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3.xml" ContentType="application/vnd.openxmlformats-officedocument.drawing+xml"/>
  <Override PartName="/xl/activeX/activeX4.xml" ContentType="application/vnd.ms-office.activeX+xml"/>
  <Override PartName="/xl/activeX/activeX4.bin" ContentType="application/vnd.ms-office.activeX"/>
  <Override PartName="/xl/tables/table5.xml" ContentType="application/vnd.openxmlformats-officedocument.spreadsheetml.table+xml"/>
  <Override PartName="/xl/charts/chart10.xml" ContentType="application/vnd.openxmlformats-officedocument.drawingml.chart+xml"/>
  <Override PartName="/xl/charts/chart11.xml" ContentType="application/vnd.openxmlformats-officedocument.drawingml.chart+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tables/table7.xml" ContentType="application/vnd.openxmlformats-officedocument.spreadsheetml.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6.xml" ContentType="application/vnd.openxmlformats-officedocument.drawing+xml"/>
  <Override PartName="/xl/charts/chart12.xml" ContentType="application/vnd.openxmlformats-officedocument.drawingml.chart+xml"/>
  <Override PartName="/xl/pivotTables/pivotTable20.xml" ContentType="application/vnd.openxmlformats-officedocument.spreadsheetml.pivotTable+xml"/>
  <Override PartName="/xl/tables/table8.xml" ContentType="application/vnd.openxmlformats-officedocument.spreadsheetml.table+xml"/>
  <Override PartName="/xl/drawings/drawing1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lwint\Documents\"/>
    </mc:Choice>
  </mc:AlternateContent>
  <bookViews>
    <workbookView xWindow="0" yWindow="0" windowWidth="25200" windowHeight="11985" tabRatio="847" activeTab="5"/>
  </bookViews>
  <sheets>
    <sheet name="Home" sheetId="35" r:id="rId1"/>
    <sheet name="Camp List" sheetId="14" r:id="rId2"/>
    <sheet name="DistanceToCamp" sheetId="90" state="hidden" r:id="rId3"/>
    <sheet name="Camp Analysis" sheetId="33" r:id="rId4"/>
    <sheet name="Camp List (printable)" sheetId="91" r:id="rId5"/>
    <sheet name="CCCM Dashboard" sheetId="40" r:id="rId6"/>
    <sheet name="ForGIS" sheetId="87" state="hidden" r:id="rId7"/>
    <sheet name="Shelter Cross Check" sheetId="88" state="hidden" r:id="rId8"/>
    <sheet name="Map" sheetId="66" state="hidden" r:id="rId9"/>
    <sheet name="Shelter Tracking" sheetId="19" r:id="rId10"/>
    <sheet name="Shelter Progress" sheetId="36" r:id="rId11"/>
    <sheet name="Shelter Summary (by Agency)" sheetId="45" r:id="rId12"/>
    <sheet name="Shelter Coverage Camp" sheetId="84" state="hidden" r:id="rId13"/>
    <sheet name="Shelter Coverage &amp; Gaps" sheetId="62" r:id="rId14"/>
    <sheet name="NFI Tracking" sheetId="20" r:id="rId15"/>
    <sheet name="NFI Pipeline" sheetId="30" r:id="rId16"/>
    <sheet name="Sheet2" sheetId="92" state="hidden" r:id="rId17"/>
    <sheet name="NFI Distribution (by Tship)" sheetId="37" r:id="rId18"/>
    <sheet name="Winter Item" sheetId="86" state="hidden" r:id="rId19"/>
    <sheet name="NFI Summary" sheetId="43" r:id="rId20"/>
    <sheet name="Define_TCL" sheetId="69" state="hidden" r:id="rId21"/>
    <sheet name="File_Details" sheetId="77" state="hidden" r:id="rId22"/>
    <sheet name="Definition" sheetId="49" state="hidden" r:id="rId23"/>
  </sheets>
  <externalReferences>
    <externalReference r:id="rId24"/>
  </externalReferences>
  <definedNames>
    <definedName name="_xlnm._FilterDatabase" localSheetId="1" hidden="1">'Camp List'!$A$1:$C$3</definedName>
    <definedName name="_xlnm._FilterDatabase" localSheetId="14" hidden="1">'NFI Tracking'!$A$5:$A$1340</definedName>
    <definedName name="_xlnm._FilterDatabase" localSheetId="9" hidden="1">'Shelter Tracking'!$A$2:$P$3</definedName>
    <definedName name="AllData_Camplist" localSheetId="8">CampList[#All]</definedName>
    <definedName name="AllData_Camplist" localSheetId="13">CampList[#All]</definedName>
    <definedName name="AllData_Camplist">CampList[#All]</definedName>
    <definedName name="Camp_Accessibility">Definition!$Q$2:$Q$4</definedName>
    <definedName name="Camp_List">CampList[#All]</definedName>
    <definedName name="Camp_Status">"Open, Close"</definedName>
    <definedName name="Camplist_HH">'Camp List'!$Q:$Q</definedName>
    <definedName name="Camplist_Popl">'Camp List'!$R:$R</definedName>
    <definedName name="CampList_Status">'Camp List'!$A:$A</definedName>
    <definedName name="Camplist_Township">'Camp List'!$F:$F</definedName>
    <definedName name="Camplist_Type_Of_Acc">'Camp List'!$V:$V</definedName>
    <definedName name="CL">Define_TCL!$G$4:$J$1000</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chin">Definition!$L$2:$L$17</definedName>
    <definedName name="Kashin">CampList[#All]</definedName>
    <definedName name="Kyauk_Phyu_G" localSheetId="8">Map!$P$44</definedName>
    <definedName name="Location">"Camp_G,Cluster_G"</definedName>
    <definedName name="NameTSPOP">Define_TCL!$M$4:$Q$2320</definedName>
    <definedName name="NFI">Definition!$A$2:$F$16</definedName>
    <definedName name="NFI_Blanket_Pipeline">'NFI Pipeline'!$V:$V</definedName>
    <definedName name="NFI_Blanket_Stock">'NFI Pipeline'!$U:$U</definedName>
    <definedName name="NFI_Blanket_Track">'NFI Tracking'!$AD:$AD</definedName>
    <definedName name="NFI_Clothes_Pipeline">'NFI Pipeline'!$AB:$AB</definedName>
    <definedName name="NFI_Clothes_Stock">'NFI Pipeline'!$AA:$AA</definedName>
    <definedName name="NFI_Clothes_Track">'NFI Tracking'!$AF:$AF</definedName>
    <definedName name="NFI_Core_Pipeline">'NFI Pipeline'!$J:$J</definedName>
    <definedName name="NFI_Core_Stock">'NFI Pipeline'!$I:$I</definedName>
    <definedName name="NFI_Core_Track">'NFI Tracking'!$Z:$Z</definedName>
    <definedName name="NFI_Expiration">'NFI Tracking'!$I$1</definedName>
    <definedName name="NFI_Hygiene_Pipeline">'NFI Pipeline'!$G:$G</definedName>
    <definedName name="NFI_Hygiene_Stock">'NFI Pipeline'!$F:$F</definedName>
    <definedName name="NFI_Hygiene_Track">'NFI Tracking'!$Y:$Y</definedName>
    <definedName name="NFI_Kitchen_Pipeline">'NFI Pipeline'!$Y:$Y</definedName>
    <definedName name="NFI_Kitchen_Stock">'NFI Pipeline'!$X:$X</definedName>
    <definedName name="NFI_Kitchen_Track">'NFI Tracking'!$AE:$AE</definedName>
    <definedName name="NFI_Monitor_Date">Definition!$B$24</definedName>
    <definedName name="NFI_Month">'NFI Tracking'!$A:$A</definedName>
    <definedName name="NFI_Mosquito_Pipeline">'NFI Pipeline'!$P:$P</definedName>
    <definedName name="NFI_Mosquito_Stock">'NFI Pipeline'!$O:$O</definedName>
    <definedName name="NFI_Mosquito_Track">'NFI Tracking'!$AB:$AB</definedName>
    <definedName name="NFI_Org">'NFI Tracking'!$C:$C</definedName>
    <definedName name="NFI_Pipeline_State">'NFI Pipeline'!$D:$D</definedName>
    <definedName name="NFI_Pipeline_Township">'NFI Pipeline'!$E:$E</definedName>
    <definedName name="NFI_Plastic_Bucket_Pipeline">'NFI Pipeline'!$AE:$AE</definedName>
    <definedName name="NFI_Plastic_Bucket_Stock">'NFI Pipeline'!$AD:$AD</definedName>
    <definedName name="NFI_Plastic_Bucket_Track">'NFI Tracking'!$AG:$AG</definedName>
    <definedName name="NFI_Plastic_Mat_Pipeline">'NFI Pipeline'!$AH:$AH</definedName>
    <definedName name="NFI_Plastic_Mat_Stock">'NFI Pipeline'!$AG:$AG</definedName>
    <definedName name="NFI_Plastic_Mat_Track">'NFI Tracking'!$AH:$AH</definedName>
    <definedName name="NFI_Sanitary_Pipeline">'NFI Pipeline'!$M:$M</definedName>
    <definedName name="NFI_Sanitary_Stock">'NFI Pipeline'!$L:$L</definedName>
    <definedName name="NFI_Sanitary_Track">'NFI Tracking'!$AA:$AA</definedName>
    <definedName name="NFI_State">'NFI Tracking'!$E:$E</definedName>
    <definedName name="NFI_Tarpaulin_Pipeline">'NFI Pipeline'!$S:$S</definedName>
    <definedName name="NFI_Tarpaulin_Stock">'NFI Pipeline'!$R:$R</definedName>
    <definedName name="NFI_Tarpaulin_Track">'NFI Tracking'!$AC:$AC</definedName>
    <definedName name="NFI_Township">'NFI Tracking'!$F:$F</definedName>
    <definedName name="NFI_Winter_Blanket_Pipeline">'NFI Pipeline'!$AW:$AW</definedName>
    <definedName name="NFI_Winter_Blanket_Stock">'NFI Pipeline'!$AV:$AV</definedName>
    <definedName name="NFI_Winter_Blanket_Track">'NFI Tracking'!$AL:$AL</definedName>
    <definedName name="NFI_Winter_Clothes_Adult_Pipeline">'NFI Pipeline'!$AN:$AN</definedName>
    <definedName name="NFI_Winter_Clothes_Adult_Stock">'NFI Pipeline'!$AM:$AM</definedName>
    <definedName name="NFI_Winter_Clothes_Adult_Track">'NFI Tracking'!$AI:$AI</definedName>
    <definedName name="NFI_Winter_Clothes_Children_Pipeline">'NFI Pipeline'!$AQ:$AQ</definedName>
    <definedName name="NFI_Winter_Clothes_Children_Stock">'NFI Pipeline'!$AP:$AP</definedName>
    <definedName name="NFI_Winter_Clothes_Children_Track">'NFI Tracking'!$AJ:$AJ</definedName>
    <definedName name="NFI_Winter_Items_Other_Pipeline">'NFI Pipeline'!$AT:$AT</definedName>
    <definedName name="NFI_Winter_Items_Other_Stock">'NFI Pipeline'!$AS:$AS</definedName>
    <definedName name="NFI_Winter_Items_Other_Track">'NFI Tracking'!$AK:$AK</definedName>
    <definedName name="Pcode_Priority">Table10[[Pcode]:[Priority]]</definedName>
    <definedName name="_xlnm.Print_Area" localSheetId="3">'Camp Analysis'!$A$2:$K$78</definedName>
    <definedName name="_xlnm.Print_Area" localSheetId="1">'Camp List'!$L$4:$R$103</definedName>
    <definedName name="_xlnm.Print_Area" localSheetId="5">'CCCM Dashboard'!$C$4:$T$44</definedName>
    <definedName name="_xlnm.Print_Area" localSheetId="8">Map!$A:$O</definedName>
    <definedName name="_xlnm.Print_Area" localSheetId="17">'NFI Distribution (by Tship)'!$A$2:$Z$28</definedName>
    <definedName name="_xlnm.Print_Area" localSheetId="15">'NFI Pipeline'!$A$5:$AI$6</definedName>
    <definedName name="_xlnm.Print_Area" localSheetId="19">'NFI Summary'!$C$4:$S$39</definedName>
    <definedName name="_xlnm.Print_Area" localSheetId="14">'NFI Tracking'!$A$5:$O$5</definedName>
    <definedName name="_xlnm.Print_Area" localSheetId="13">'Shelter Coverage &amp; Gaps'!$C$4:$O$50</definedName>
    <definedName name="_xlnm.Print_Area" localSheetId="10">'Shelter Progress'!$A$2:$O$98</definedName>
    <definedName name="_xlnm.Print_Area" localSheetId="11">'Shelter Summary (by Agency)'!$A$2:$F$55</definedName>
    <definedName name="_xlnm.Print_Titles" localSheetId="4">'Camp List (printable)'!$7:$7</definedName>
    <definedName name="_xlnm.Print_Titles" localSheetId="7">'Shelter Cross Check'!$3:$3</definedName>
    <definedName name="PriorityCampWin">Table10[[Pcode]:[Priority]]</definedName>
    <definedName name="Rakhine_DB" localSheetId="8">Map!$T$2:$AD$23</definedName>
    <definedName name="Report_Date">Definition!$B$23</definedName>
    <definedName name="Shan_North">Definition!$N$2:$N$7</definedName>
    <definedName name="Shelter_Draw_Ratio">'Shelter Coverage &amp; Gaps'!$T$13</definedName>
    <definedName name="Shelter_HH_Covered">'Shelter Tracking'!$P:$P</definedName>
    <definedName name="Stat01">'Camp Analysis'!$A$56</definedName>
    <definedName name="State">Definition!$J$2:$J$4</definedName>
    <definedName name="TCL_C">Define_TCL!$B$4:$B$1000</definedName>
    <definedName name="TCL_T">Define_TCL!$A$4:$A$1000</definedName>
    <definedName name="TCL_T1">Define_TCL!$A$4</definedName>
    <definedName name="WinAccomo">Define_TCL!$U$4:$V$233</definedName>
  </definedNames>
  <calcPr calcId="152511"/>
  <pivotCaches>
    <pivotCache cacheId="0" r:id="rId25"/>
    <pivotCache cacheId="1" r:id="rId26"/>
    <pivotCache cacheId="16" r:id="rId27"/>
    <pivotCache cacheId="23" r:id="rId28"/>
  </pivotCaches>
</workbook>
</file>

<file path=xl/calcChain.xml><?xml version="1.0" encoding="utf-8"?>
<calcChain xmlns="http://schemas.openxmlformats.org/spreadsheetml/2006/main">
  <c r="B13" i="36" l="1"/>
  <c r="B14" i="36"/>
  <c r="B11" i="36"/>
  <c r="B12" i="36"/>
  <c r="K10" i="36"/>
  <c r="K11" i="36"/>
  <c r="K12" i="36"/>
  <c r="F32" i="40"/>
  <c r="E32" i="40"/>
  <c r="D32" i="40"/>
  <c r="E38" i="40"/>
  <c r="D38" i="40"/>
  <c r="E37" i="40"/>
  <c r="D37" i="40"/>
  <c r="F38" i="40" l="1"/>
  <c r="F40" i="40" s="1"/>
  <c r="F37" i="40"/>
  <c r="A6" i="20"/>
  <c r="AM6" i="20"/>
  <c r="AO6" i="20"/>
  <c r="AR6" i="20" s="1"/>
  <c r="AQ6" i="20"/>
  <c r="AS6" i="20"/>
  <c r="AP6" i="20" l="1"/>
  <c r="A377" i="20"/>
  <c r="A378" i="20"/>
  <c r="A379" i="20"/>
  <c r="AM377" i="20"/>
  <c r="AM378" i="20"/>
  <c r="AM379" i="20"/>
  <c r="AO377" i="20"/>
  <c r="AR377" i="20" s="1"/>
  <c r="AO378" i="20"/>
  <c r="AP378" i="20" s="1"/>
  <c r="AO379" i="20"/>
  <c r="AP379" i="20" s="1"/>
  <c r="AQ377" i="20"/>
  <c r="AQ378" i="20"/>
  <c r="AQ379" i="20"/>
  <c r="AS377" i="20"/>
  <c r="AS378" i="20"/>
  <c r="AS379" i="20"/>
  <c r="A334" i="20"/>
  <c r="A335" i="20"/>
  <c r="A336" i="20"/>
  <c r="AM334" i="20"/>
  <c r="AM335" i="20"/>
  <c r="AM336" i="20"/>
  <c r="AO334" i="20"/>
  <c r="AR334" i="20" s="1"/>
  <c r="AO335" i="20"/>
  <c r="AP335" i="20" s="1"/>
  <c r="AO336" i="20"/>
  <c r="AP336" i="20" s="1"/>
  <c r="AQ334" i="20"/>
  <c r="AQ335" i="20"/>
  <c r="AQ336" i="20"/>
  <c r="AS334" i="20"/>
  <c r="AS335" i="20"/>
  <c r="AS336" i="20"/>
  <c r="A337" i="20"/>
  <c r="AM337" i="20"/>
  <c r="AO337" i="20"/>
  <c r="AR337" i="20" s="1"/>
  <c r="AQ337" i="20"/>
  <c r="AS337" i="20"/>
  <c r="A354" i="20"/>
  <c r="AM354" i="20"/>
  <c r="AO354" i="20"/>
  <c r="AR354" i="20" s="1"/>
  <c r="AQ354" i="20"/>
  <c r="AS354" i="20"/>
  <c r="A352" i="20"/>
  <c r="A353" i="20"/>
  <c r="AM352" i="20"/>
  <c r="AM353" i="20"/>
  <c r="AO352" i="20"/>
  <c r="AP352" i="20" s="1"/>
  <c r="AO353" i="20"/>
  <c r="AP353" i="20" s="1"/>
  <c r="AQ352" i="20"/>
  <c r="AQ353" i="20"/>
  <c r="AS352" i="20"/>
  <c r="AS353" i="20"/>
  <c r="A362" i="20"/>
  <c r="A363" i="20"/>
  <c r="A364" i="20"/>
  <c r="AM362" i="20"/>
  <c r="AM363" i="20"/>
  <c r="AM364" i="20"/>
  <c r="AO362" i="20"/>
  <c r="AR362" i="20" s="1"/>
  <c r="AO363" i="20"/>
  <c r="AR363" i="20" s="1"/>
  <c r="AO364" i="20"/>
  <c r="AP364" i="20" s="1"/>
  <c r="AQ362" i="20"/>
  <c r="AQ363" i="20"/>
  <c r="AQ364" i="20"/>
  <c r="AS362" i="20"/>
  <c r="AS363" i="20"/>
  <c r="AS364" i="20"/>
  <c r="A34" i="20"/>
  <c r="A35" i="20"/>
  <c r="A36" i="20"/>
  <c r="AM34" i="20"/>
  <c r="AM35" i="20"/>
  <c r="AM36" i="20"/>
  <c r="AO34" i="20"/>
  <c r="AR34" i="20" s="1"/>
  <c r="AO35" i="20"/>
  <c r="AP35" i="20" s="1"/>
  <c r="AO36" i="20"/>
  <c r="AP36" i="20" s="1"/>
  <c r="AQ34" i="20"/>
  <c r="AQ35" i="20"/>
  <c r="AQ36" i="20"/>
  <c r="AS34" i="20"/>
  <c r="AS35" i="20"/>
  <c r="AS36" i="20"/>
  <c r="A45" i="20"/>
  <c r="AM45" i="20"/>
  <c r="AO45" i="20"/>
  <c r="AR45" i="20" s="1"/>
  <c r="AQ45" i="20"/>
  <c r="AS45" i="20"/>
  <c r="AS959" i="20"/>
  <c r="AS958" i="20"/>
  <c r="AS957" i="20"/>
  <c r="AS956" i="20"/>
  <c r="AQ959" i="20"/>
  <c r="AQ958" i="20"/>
  <c r="AQ957" i="20"/>
  <c r="AQ956" i="20"/>
  <c r="AO959" i="20"/>
  <c r="AR959" i="20" s="1"/>
  <c r="AO958" i="20"/>
  <c r="AR958" i="20" s="1"/>
  <c r="AO957" i="20"/>
  <c r="AP957" i="20" s="1"/>
  <c r="AO956" i="20"/>
  <c r="AR956" i="20" s="1"/>
  <c r="AM959" i="20"/>
  <c r="AM958" i="20"/>
  <c r="AM957" i="20"/>
  <c r="AM956" i="20"/>
  <c r="A959" i="20"/>
  <c r="A958" i="20"/>
  <c r="A957" i="20"/>
  <c r="A956" i="20"/>
  <c r="A952" i="20"/>
  <c r="A953" i="20"/>
  <c r="A954" i="20"/>
  <c r="A955" i="20"/>
  <c r="AM952" i="20"/>
  <c r="AM953" i="20"/>
  <c r="AM954" i="20"/>
  <c r="AM955" i="20"/>
  <c r="AO952" i="20"/>
  <c r="AR952" i="20" s="1"/>
  <c r="AO953" i="20"/>
  <c r="AR953" i="20" s="1"/>
  <c r="AO954" i="20"/>
  <c r="AP954" i="20" s="1"/>
  <c r="AO955" i="20"/>
  <c r="AP955" i="20" s="1"/>
  <c r="AQ952" i="20"/>
  <c r="AQ953" i="20"/>
  <c r="AQ954" i="20"/>
  <c r="AQ955" i="20"/>
  <c r="AS952" i="20"/>
  <c r="AS953" i="20"/>
  <c r="AS954" i="20"/>
  <c r="AS955" i="20"/>
  <c r="A710" i="20"/>
  <c r="A711" i="20"/>
  <c r="AM710" i="20"/>
  <c r="AM711" i="20"/>
  <c r="AO710" i="20"/>
  <c r="AP710" i="20" s="1"/>
  <c r="AO711" i="20"/>
  <c r="AP711" i="20" s="1"/>
  <c r="AQ710" i="20"/>
  <c r="AQ711" i="20"/>
  <c r="AS710" i="20"/>
  <c r="AS711" i="20"/>
  <c r="A536" i="20"/>
  <c r="AM536" i="20"/>
  <c r="AO536" i="20"/>
  <c r="AR536" i="20" s="1"/>
  <c r="AQ536" i="20"/>
  <c r="AS536" i="20"/>
  <c r="AR379" i="20" l="1"/>
  <c r="AR336" i="20"/>
  <c r="AR378" i="20"/>
  <c r="AP377" i="20"/>
  <c r="AR335" i="20"/>
  <c r="AP334" i="20"/>
  <c r="AP337" i="20"/>
  <c r="AP354" i="20"/>
  <c r="AR353" i="20"/>
  <c r="AR352" i="20"/>
  <c r="AR36" i="20"/>
  <c r="AR364" i="20"/>
  <c r="AP45" i="20"/>
  <c r="AP363" i="20"/>
  <c r="AP362" i="20"/>
  <c r="AR35" i="20"/>
  <c r="AP34" i="20"/>
  <c r="AR955" i="20"/>
  <c r="AP958" i="20"/>
  <c r="AP959" i="20"/>
  <c r="AR957" i="20"/>
  <c r="AP956" i="20"/>
  <c r="AP952" i="20"/>
  <c r="AP953" i="20"/>
  <c r="AR954" i="20"/>
  <c r="AR711" i="20"/>
  <c r="AR710" i="20"/>
  <c r="AP536" i="20"/>
  <c r="S247" i="14"/>
  <c r="AI247" i="14"/>
  <c r="AJ247" i="14"/>
  <c r="AK247" i="14" s="1"/>
  <c r="AI244" i="14"/>
  <c r="AI245" i="14"/>
  <c r="AI246" i="14"/>
  <c r="AI249" i="14"/>
  <c r="AI250" i="14"/>
  <c r="AI251" i="14"/>
  <c r="AI252" i="14"/>
  <c r="AI253" i="14"/>
  <c r="AI254" i="14"/>
  <c r="AI255" i="14"/>
  <c r="AI256" i="14"/>
  <c r="AI243" i="14"/>
  <c r="S250" i="14"/>
  <c r="AJ250" i="14"/>
  <c r="AK250" i="14" s="1"/>
  <c r="S251" i="14"/>
  <c r="S252" i="14"/>
  <c r="S253" i="14"/>
  <c r="AJ251" i="14"/>
  <c r="AK251" i="14" s="1"/>
  <c r="AJ252" i="14"/>
  <c r="AK252" i="14" s="1"/>
  <c r="AJ253" i="14"/>
  <c r="AK253" i="14" s="1"/>
  <c r="S254" i="14"/>
  <c r="S255" i="14"/>
  <c r="AJ254" i="14"/>
  <c r="AK254" i="14" s="1"/>
  <c r="AJ255" i="14"/>
  <c r="AK255" i="14" s="1"/>
  <c r="S256" i="14"/>
  <c r="AJ256" i="14"/>
  <c r="AK256" i="14" s="1"/>
  <c r="S37" i="19"/>
  <c r="T37" i="19"/>
  <c r="V37" i="19"/>
  <c r="P37" i="19" s="1"/>
  <c r="U37" i="19" s="1"/>
  <c r="S98" i="19"/>
  <c r="T98" i="19"/>
  <c r="V98" i="19"/>
  <c r="S168" i="19"/>
  <c r="T168" i="19"/>
  <c r="V168" i="19"/>
  <c r="A951" i="20"/>
  <c r="A960" i="20"/>
  <c r="A961" i="20"/>
  <c r="A962" i="20"/>
  <c r="AM951" i="20"/>
  <c r="AM960" i="20"/>
  <c r="AM961" i="20"/>
  <c r="AM962" i="20"/>
  <c r="AO951" i="20"/>
  <c r="AR951" i="20" s="1"/>
  <c r="AO960" i="20"/>
  <c r="AR960" i="20" s="1"/>
  <c r="AO961" i="20"/>
  <c r="AP961" i="20" s="1"/>
  <c r="AO962" i="20"/>
  <c r="AP962" i="20" s="1"/>
  <c r="AQ951" i="20"/>
  <c r="AQ960" i="20"/>
  <c r="AQ961" i="20"/>
  <c r="AQ962" i="20"/>
  <c r="AS951" i="20"/>
  <c r="AS960" i="20"/>
  <c r="AS961" i="20"/>
  <c r="AS962" i="20"/>
  <c r="A878" i="20"/>
  <c r="A879" i="20"/>
  <c r="A880" i="20"/>
  <c r="AM878" i="20"/>
  <c r="AM879" i="20"/>
  <c r="AM880" i="20"/>
  <c r="AO878" i="20"/>
  <c r="AR878" i="20" s="1"/>
  <c r="AO879" i="20"/>
  <c r="AP879" i="20" s="1"/>
  <c r="AO880" i="20"/>
  <c r="AP880" i="20" s="1"/>
  <c r="AQ878" i="20"/>
  <c r="AQ879" i="20"/>
  <c r="AQ880" i="20"/>
  <c r="AS878" i="20"/>
  <c r="AS879" i="20"/>
  <c r="AS880" i="20"/>
  <c r="A851" i="20"/>
  <c r="A852" i="20"/>
  <c r="A853" i="20"/>
  <c r="A854" i="20"/>
  <c r="A855" i="20"/>
  <c r="AM851" i="20"/>
  <c r="AM852" i="20"/>
  <c r="AM853" i="20"/>
  <c r="AM854" i="20"/>
  <c r="AM855" i="20"/>
  <c r="AO851" i="20"/>
  <c r="AR851" i="20" s="1"/>
  <c r="AO852" i="20"/>
  <c r="AR852" i="20" s="1"/>
  <c r="AO853" i="20"/>
  <c r="AR853" i="20" s="1"/>
  <c r="AO854" i="20"/>
  <c r="AP854" i="20" s="1"/>
  <c r="AO855" i="20"/>
  <c r="AP855" i="20" s="1"/>
  <c r="AQ851" i="20"/>
  <c r="AQ852" i="20"/>
  <c r="AQ853" i="20"/>
  <c r="AQ854" i="20"/>
  <c r="AQ855" i="20"/>
  <c r="AS851" i="20"/>
  <c r="AS852" i="20"/>
  <c r="AS853" i="20"/>
  <c r="AS854" i="20"/>
  <c r="AS855" i="20"/>
  <c r="A769" i="20"/>
  <c r="A770" i="20"/>
  <c r="A771" i="20"/>
  <c r="A772" i="20"/>
  <c r="AM769" i="20"/>
  <c r="AM770" i="20"/>
  <c r="AM771" i="20"/>
  <c r="AM772" i="20"/>
  <c r="AO769" i="20"/>
  <c r="AR769" i="20" s="1"/>
  <c r="AO770" i="20"/>
  <c r="AP770" i="20" s="1"/>
  <c r="AO771" i="20"/>
  <c r="AP771" i="20" s="1"/>
  <c r="AO772" i="20"/>
  <c r="AR772" i="20" s="1"/>
  <c r="AQ769" i="20"/>
  <c r="AQ770" i="20"/>
  <c r="AQ771" i="20"/>
  <c r="AQ772" i="20"/>
  <c r="AS769" i="20"/>
  <c r="AS770" i="20"/>
  <c r="AS771" i="20"/>
  <c r="AS772" i="20"/>
  <c r="A720" i="20"/>
  <c r="A721" i="20"/>
  <c r="A722" i="20"/>
  <c r="AM720" i="20"/>
  <c r="AM721" i="20"/>
  <c r="AM722" i="20"/>
  <c r="AO720" i="20"/>
  <c r="AO721" i="20"/>
  <c r="AR721" i="20" s="1"/>
  <c r="AO722" i="20"/>
  <c r="AP722" i="20" s="1"/>
  <c r="AQ720" i="20"/>
  <c r="AQ721" i="20"/>
  <c r="AQ722" i="20"/>
  <c r="AS720" i="20"/>
  <c r="AS721" i="20"/>
  <c r="AS722" i="20"/>
  <c r="A704" i="20"/>
  <c r="AM704" i="20"/>
  <c r="AO704" i="20"/>
  <c r="AR704" i="20" s="1"/>
  <c r="AQ704" i="20"/>
  <c r="AS704" i="20"/>
  <c r="A703" i="20"/>
  <c r="A705" i="20"/>
  <c r="A706" i="20"/>
  <c r="AM703" i="20"/>
  <c r="AM705" i="20"/>
  <c r="AM706" i="20"/>
  <c r="AO703" i="20"/>
  <c r="AR703" i="20" s="1"/>
  <c r="AO705" i="20"/>
  <c r="AP705" i="20" s="1"/>
  <c r="AO706" i="20"/>
  <c r="AP706" i="20" s="1"/>
  <c r="AQ703" i="20"/>
  <c r="AQ705" i="20"/>
  <c r="AQ706" i="20"/>
  <c r="AS703" i="20"/>
  <c r="AS705" i="20"/>
  <c r="AS706" i="20"/>
  <c r="A359" i="20"/>
  <c r="A360" i="20"/>
  <c r="A361" i="20"/>
  <c r="AM359" i="20"/>
  <c r="AM360" i="20"/>
  <c r="AM361" i="20"/>
  <c r="AO359" i="20"/>
  <c r="AR359" i="20" s="1"/>
  <c r="AO360" i="20"/>
  <c r="AO361" i="20"/>
  <c r="AP361" i="20" s="1"/>
  <c r="AQ359" i="20"/>
  <c r="AQ360" i="20"/>
  <c r="AQ361" i="20"/>
  <c r="AS359" i="20"/>
  <c r="AS360" i="20"/>
  <c r="AS361" i="20"/>
  <c r="A380" i="20"/>
  <c r="A381" i="20"/>
  <c r="A382" i="20"/>
  <c r="AM380" i="20"/>
  <c r="AM381" i="20"/>
  <c r="AM382" i="20"/>
  <c r="AO380" i="20"/>
  <c r="AP380" i="20" s="1"/>
  <c r="AO381" i="20"/>
  <c r="AP381" i="20" s="1"/>
  <c r="AO382" i="20"/>
  <c r="AR382" i="20" s="1"/>
  <c r="AQ380" i="20"/>
  <c r="AQ381" i="20"/>
  <c r="AQ382" i="20"/>
  <c r="AS380" i="20"/>
  <c r="AS381" i="20"/>
  <c r="AS382" i="20"/>
  <c r="A338" i="20"/>
  <c r="A339" i="20"/>
  <c r="A340" i="20"/>
  <c r="AM338" i="20"/>
  <c r="AM339" i="20"/>
  <c r="AM340" i="20"/>
  <c r="AO338" i="20"/>
  <c r="AP338" i="20" s="1"/>
  <c r="AO339" i="20"/>
  <c r="AP339" i="20" s="1"/>
  <c r="AO340" i="20"/>
  <c r="AP340" i="20" s="1"/>
  <c r="AQ338" i="20"/>
  <c r="AQ339" i="20"/>
  <c r="AQ340" i="20"/>
  <c r="AS338" i="20"/>
  <c r="AS339" i="20"/>
  <c r="AS340" i="20"/>
  <c r="A245" i="20"/>
  <c r="AM245" i="20"/>
  <c r="AO245" i="20"/>
  <c r="AR245" i="20" s="1"/>
  <c r="AQ245" i="20"/>
  <c r="AS245" i="20"/>
  <c r="A30" i="20"/>
  <c r="A31" i="20"/>
  <c r="A32" i="20"/>
  <c r="A33" i="20"/>
  <c r="A37" i="20"/>
  <c r="AM30" i="20"/>
  <c r="AM31" i="20"/>
  <c r="AM32" i="20"/>
  <c r="AM33" i="20"/>
  <c r="AM37" i="20"/>
  <c r="AO30" i="20"/>
  <c r="AR30" i="20" s="1"/>
  <c r="AO31" i="20"/>
  <c r="AR31" i="20" s="1"/>
  <c r="AO32" i="20"/>
  <c r="AP32" i="20" s="1"/>
  <c r="AO33" i="20"/>
  <c r="AP33" i="20" s="1"/>
  <c r="AO37" i="20"/>
  <c r="AP37" i="20" s="1"/>
  <c r="AQ30" i="20"/>
  <c r="AQ31" i="20"/>
  <c r="AQ32" i="20"/>
  <c r="AQ33" i="20"/>
  <c r="AQ37" i="20"/>
  <c r="AS30" i="20"/>
  <c r="AS31" i="20"/>
  <c r="AS32" i="20"/>
  <c r="AS33" i="20"/>
  <c r="AS37" i="20"/>
  <c r="AR961" i="20"/>
  <c r="AP772" i="20"/>
  <c r="A877" i="20"/>
  <c r="A881" i="20"/>
  <c r="AM877" i="20"/>
  <c r="AM881" i="20"/>
  <c r="AO877" i="20"/>
  <c r="AP877" i="20" s="1"/>
  <c r="AO881" i="20"/>
  <c r="AP881" i="20" s="1"/>
  <c r="AQ877" i="20"/>
  <c r="AQ881" i="20"/>
  <c r="AS877" i="20"/>
  <c r="AS881" i="20"/>
  <c r="A850" i="20"/>
  <c r="A856" i="20"/>
  <c r="A857" i="20"/>
  <c r="A858" i="20"/>
  <c r="AM850" i="20"/>
  <c r="AM856" i="20"/>
  <c r="AM857" i="20"/>
  <c r="AM858" i="20"/>
  <c r="AO850" i="20"/>
  <c r="AR850" i="20" s="1"/>
  <c r="AO856" i="20"/>
  <c r="AR856" i="20" s="1"/>
  <c r="AO857" i="20"/>
  <c r="AR857" i="20" s="1"/>
  <c r="AO858" i="20"/>
  <c r="AP858" i="20" s="1"/>
  <c r="AQ850" i="20"/>
  <c r="AQ856" i="20"/>
  <c r="AQ857" i="20"/>
  <c r="AQ858" i="20"/>
  <c r="AS850" i="20"/>
  <c r="AS856" i="20"/>
  <c r="AS857" i="20"/>
  <c r="AS858" i="20"/>
  <c r="A765" i="20"/>
  <c r="A766" i="20"/>
  <c r="AM766" i="20"/>
  <c r="AO766" i="20"/>
  <c r="AP766" i="20" s="1"/>
  <c r="AQ766" i="20"/>
  <c r="AS766" i="20"/>
  <c r="A767" i="20"/>
  <c r="A768" i="20"/>
  <c r="A773" i="20"/>
  <c r="AM765" i="20"/>
  <c r="AM767" i="20"/>
  <c r="AM768" i="20"/>
  <c r="AM773" i="20"/>
  <c r="AO765" i="20"/>
  <c r="AP765" i="20" s="1"/>
  <c r="AO767" i="20"/>
  <c r="AP767" i="20" s="1"/>
  <c r="AO768" i="20"/>
  <c r="AR768" i="20" s="1"/>
  <c r="AO773" i="20"/>
  <c r="AP773" i="20" s="1"/>
  <c r="AQ765" i="20"/>
  <c r="AQ767" i="20"/>
  <c r="AQ768" i="20"/>
  <c r="AQ773" i="20"/>
  <c r="AS765" i="20"/>
  <c r="AS767" i="20"/>
  <c r="AS768" i="20"/>
  <c r="AS773" i="20"/>
  <c r="A709" i="20"/>
  <c r="AM709" i="20"/>
  <c r="AO709" i="20"/>
  <c r="AR709" i="20" s="1"/>
  <c r="AQ709" i="20"/>
  <c r="AS709" i="20"/>
  <c r="A376" i="20"/>
  <c r="A383" i="20"/>
  <c r="AM376" i="20"/>
  <c r="AM383" i="20"/>
  <c r="AO376" i="20"/>
  <c r="AP376" i="20" s="1"/>
  <c r="AO383" i="20"/>
  <c r="AP383" i="20" s="1"/>
  <c r="AQ376" i="20"/>
  <c r="AQ383" i="20"/>
  <c r="AS376" i="20"/>
  <c r="AS383" i="20"/>
  <c r="A355" i="20"/>
  <c r="A356" i="20"/>
  <c r="AM355" i="20"/>
  <c r="AM356" i="20"/>
  <c r="AO355" i="20"/>
  <c r="AP355" i="20" s="1"/>
  <c r="AO356" i="20"/>
  <c r="AP356" i="20" s="1"/>
  <c r="AQ355" i="20"/>
  <c r="AQ356" i="20"/>
  <c r="AS355" i="20"/>
  <c r="AS356" i="20"/>
  <c r="A39" i="20"/>
  <c r="AM39" i="20"/>
  <c r="AO39" i="20"/>
  <c r="AQ39" i="20"/>
  <c r="AS39" i="20"/>
  <c r="A963" i="20"/>
  <c r="AM963" i="20"/>
  <c r="AO963" i="20"/>
  <c r="AR963" i="20" s="1"/>
  <c r="AQ963" i="20"/>
  <c r="AS963" i="20"/>
  <c r="A950" i="20"/>
  <c r="A964" i="20"/>
  <c r="AM950" i="20"/>
  <c r="AM964" i="20"/>
  <c r="AO950" i="20"/>
  <c r="AP950" i="20" s="1"/>
  <c r="AO964" i="20"/>
  <c r="AP964" i="20" s="1"/>
  <c r="AQ950" i="20"/>
  <c r="AQ964" i="20"/>
  <c r="AS950" i="20"/>
  <c r="AS964" i="20"/>
  <c r="A876" i="20"/>
  <c r="A882" i="20"/>
  <c r="AM876" i="20"/>
  <c r="AM882" i="20"/>
  <c r="AO876" i="20"/>
  <c r="AP876" i="20" s="1"/>
  <c r="AO882" i="20"/>
  <c r="AQ876" i="20"/>
  <c r="AQ882" i="20"/>
  <c r="AS876" i="20"/>
  <c r="AS882" i="20"/>
  <c r="A883" i="20"/>
  <c r="AM883" i="20"/>
  <c r="AO883" i="20"/>
  <c r="AR883" i="20" s="1"/>
  <c r="AQ883" i="20"/>
  <c r="AS883" i="20"/>
  <c r="A859" i="20"/>
  <c r="AM859" i="20"/>
  <c r="AO859" i="20"/>
  <c r="AR859" i="20" s="1"/>
  <c r="AQ859" i="20"/>
  <c r="AS859" i="20"/>
  <c r="A860" i="20"/>
  <c r="A861" i="20"/>
  <c r="AM860" i="20"/>
  <c r="AM861" i="20"/>
  <c r="AO860" i="20"/>
  <c r="AP860" i="20" s="1"/>
  <c r="AO861" i="20"/>
  <c r="AQ860" i="20"/>
  <c r="AQ861" i="20"/>
  <c r="AS860" i="20"/>
  <c r="AS861" i="20"/>
  <c r="A774" i="20"/>
  <c r="A775" i="20"/>
  <c r="AM774" i="20"/>
  <c r="AM775" i="20"/>
  <c r="AO774" i="20"/>
  <c r="AP774" i="20" s="1"/>
  <c r="AO775" i="20"/>
  <c r="AP775" i="20" s="1"/>
  <c r="AQ774" i="20"/>
  <c r="AQ775" i="20"/>
  <c r="AS774" i="20"/>
  <c r="AS775" i="20"/>
  <c r="A776" i="20"/>
  <c r="AM776" i="20"/>
  <c r="AO776" i="20"/>
  <c r="AQ776" i="20"/>
  <c r="AS776" i="20"/>
  <c r="A719" i="20"/>
  <c r="A723" i="20"/>
  <c r="AM719" i="20"/>
  <c r="AM723" i="20"/>
  <c r="AO719" i="20"/>
  <c r="AP719" i="20" s="1"/>
  <c r="AO723" i="20"/>
  <c r="AP723" i="20" s="1"/>
  <c r="AQ719" i="20"/>
  <c r="AQ723" i="20"/>
  <c r="AS719" i="20"/>
  <c r="AS723" i="20"/>
  <c r="A724" i="20"/>
  <c r="AM724" i="20"/>
  <c r="AO724" i="20"/>
  <c r="AR724" i="20" s="1"/>
  <c r="AQ724" i="20"/>
  <c r="AS724" i="20"/>
  <c r="A702" i="20"/>
  <c r="AM702" i="20"/>
  <c r="AO702" i="20"/>
  <c r="AQ702" i="20"/>
  <c r="AS702" i="20"/>
  <c r="A707" i="20"/>
  <c r="A708" i="20"/>
  <c r="AM707" i="20"/>
  <c r="AM708" i="20"/>
  <c r="AO707" i="20"/>
  <c r="AP707" i="20" s="1"/>
  <c r="AO708" i="20"/>
  <c r="AP708" i="20" s="1"/>
  <c r="AQ707" i="20"/>
  <c r="AQ708" i="20"/>
  <c r="AS707" i="20"/>
  <c r="AS708" i="20"/>
  <c r="A351" i="20"/>
  <c r="A357" i="20"/>
  <c r="A358" i="20"/>
  <c r="AM351" i="20"/>
  <c r="AM357" i="20"/>
  <c r="AM358" i="20"/>
  <c r="AO351" i="20"/>
  <c r="AR351" i="20" s="1"/>
  <c r="AO357" i="20"/>
  <c r="AO358" i="20"/>
  <c r="AP358" i="20" s="1"/>
  <c r="AQ351" i="20"/>
  <c r="AQ357" i="20"/>
  <c r="AQ358" i="20"/>
  <c r="AS351" i="20"/>
  <c r="AS357" i="20"/>
  <c r="AS358" i="20"/>
  <c r="A374" i="20"/>
  <c r="A375" i="20"/>
  <c r="AM374" i="20"/>
  <c r="AM375" i="20"/>
  <c r="AO374" i="20"/>
  <c r="AP374" i="20" s="1"/>
  <c r="AO375" i="20"/>
  <c r="AP375" i="20" s="1"/>
  <c r="AQ374" i="20"/>
  <c r="AQ375" i="20"/>
  <c r="AS374" i="20"/>
  <c r="AS375" i="20"/>
  <c r="A384" i="20"/>
  <c r="AM384" i="20"/>
  <c r="AO384" i="20"/>
  <c r="AQ384" i="20"/>
  <c r="AS384" i="20"/>
  <c r="A341" i="20"/>
  <c r="AM341" i="20"/>
  <c r="AO341" i="20"/>
  <c r="AR341" i="20" s="1"/>
  <c r="AQ341" i="20"/>
  <c r="AS341" i="20"/>
  <c r="A333" i="20"/>
  <c r="A342" i="20"/>
  <c r="AM333" i="20"/>
  <c r="AM342" i="20"/>
  <c r="AO333" i="20"/>
  <c r="AO342" i="20"/>
  <c r="AQ333" i="20"/>
  <c r="AQ342" i="20"/>
  <c r="AS333" i="20"/>
  <c r="AS342" i="20"/>
  <c r="A269" i="20"/>
  <c r="AM269" i="20"/>
  <c r="AO269" i="20"/>
  <c r="AQ269" i="20"/>
  <c r="AS269" i="20"/>
  <c r="A243" i="20"/>
  <c r="AM243" i="20"/>
  <c r="AO243" i="20"/>
  <c r="AR243" i="20" s="1"/>
  <c r="AQ243" i="20"/>
  <c r="AS243" i="20"/>
  <c r="A244" i="20"/>
  <c r="AM244" i="20"/>
  <c r="AO244" i="20"/>
  <c r="AR244" i="20" s="1"/>
  <c r="AQ244" i="20"/>
  <c r="AS244" i="20"/>
  <c r="A40" i="20"/>
  <c r="AM40" i="20"/>
  <c r="AO40" i="20"/>
  <c r="AR40" i="20" s="1"/>
  <c r="AQ40" i="20"/>
  <c r="AS40" i="20"/>
  <c r="A38" i="20"/>
  <c r="A41" i="20"/>
  <c r="AM38" i="20"/>
  <c r="AM41" i="20"/>
  <c r="AO38" i="20"/>
  <c r="AP38" i="20" s="1"/>
  <c r="AO41" i="20"/>
  <c r="AQ38" i="20"/>
  <c r="AQ41" i="20"/>
  <c r="AS38" i="20"/>
  <c r="AS41" i="20"/>
  <c r="A1049" i="20"/>
  <c r="AM1049" i="20"/>
  <c r="AO1049" i="20"/>
  <c r="AR1049" i="20" s="1"/>
  <c r="AQ1049" i="20"/>
  <c r="AS1049" i="20"/>
  <c r="A948" i="20"/>
  <c r="AM948" i="20"/>
  <c r="AO948" i="20"/>
  <c r="AR948" i="20" s="1"/>
  <c r="AQ948" i="20"/>
  <c r="AS948" i="20"/>
  <c r="A926" i="20"/>
  <c r="A927" i="20"/>
  <c r="AM926" i="20"/>
  <c r="AM927" i="20"/>
  <c r="AO926" i="20"/>
  <c r="AP926" i="20" s="1"/>
  <c r="AO927" i="20"/>
  <c r="AQ926" i="20"/>
  <c r="AQ927" i="20"/>
  <c r="AS926" i="20"/>
  <c r="AS927" i="20"/>
  <c r="A916" i="20"/>
  <c r="A917" i="20"/>
  <c r="AM916" i="20"/>
  <c r="AM917" i="20"/>
  <c r="AO916" i="20"/>
  <c r="AP916" i="20" s="1"/>
  <c r="AO917" i="20"/>
  <c r="AP917" i="20" s="1"/>
  <c r="AQ916" i="20"/>
  <c r="AQ917" i="20"/>
  <c r="AS916" i="20"/>
  <c r="AS917" i="20"/>
  <c r="A862" i="20"/>
  <c r="AM862" i="20"/>
  <c r="AO862" i="20"/>
  <c r="AQ862" i="20"/>
  <c r="AS862" i="20"/>
  <c r="A832" i="20"/>
  <c r="A977" i="20"/>
  <c r="AM832" i="20"/>
  <c r="AM977" i="20"/>
  <c r="AO832" i="20"/>
  <c r="AP832" i="20" s="1"/>
  <c r="AO977" i="20"/>
  <c r="AP977" i="20" s="1"/>
  <c r="AQ832" i="20"/>
  <c r="AQ977" i="20"/>
  <c r="AS832" i="20"/>
  <c r="AS977" i="20"/>
  <c r="A657" i="20"/>
  <c r="AM657" i="20"/>
  <c r="AO657" i="20"/>
  <c r="AR657" i="20" s="1"/>
  <c r="AQ657" i="20"/>
  <c r="AS657" i="20"/>
  <c r="A658" i="20"/>
  <c r="AM658" i="20"/>
  <c r="AO658" i="20"/>
  <c r="AQ658" i="20"/>
  <c r="AS658" i="20"/>
  <c r="A601" i="20"/>
  <c r="AM601" i="20"/>
  <c r="AO601" i="20"/>
  <c r="AR601" i="20" s="1"/>
  <c r="AQ601" i="20"/>
  <c r="AS601" i="20"/>
  <c r="A583" i="20"/>
  <c r="A584" i="20"/>
  <c r="AM583" i="20"/>
  <c r="AM584" i="20"/>
  <c r="AO583" i="20"/>
  <c r="AP583" i="20" s="1"/>
  <c r="AO584" i="20"/>
  <c r="AQ583" i="20"/>
  <c r="AQ584" i="20"/>
  <c r="AS583" i="20"/>
  <c r="AS584" i="20"/>
  <c r="A494" i="20"/>
  <c r="AM494" i="20"/>
  <c r="AO494" i="20"/>
  <c r="AQ494" i="20"/>
  <c r="AS494" i="20"/>
  <c r="A467" i="20"/>
  <c r="AM467" i="20"/>
  <c r="AO467" i="20"/>
  <c r="AR467" i="20" s="1"/>
  <c r="AQ467" i="20"/>
  <c r="AS467" i="20"/>
  <c r="A365" i="20"/>
  <c r="AM365" i="20"/>
  <c r="AO365" i="20"/>
  <c r="AQ365" i="20"/>
  <c r="AS365" i="20"/>
  <c r="A366" i="20"/>
  <c r="AM366" i="20"/>
  <c r="AO366" i="20"/>
  <c r="AR366" i="20" s="1"/>
  <c r="AQ366" i="20"/>
  <c r="AS366" i="20"/>
  <c r="A343" i="20"/>
  <c r="AM343" i="20"/>
  <c r="AO343" i="20"/>
  <c r="AQ343" i="20"/>
  <c r="AS343" i="20"/>
  <c r="A324" i="20"/>
  <c r="AM324" i="20"/>
  <c r="AO324" i="20"/>
  <c r="AR324" i="20" s="1"/>
  <c r="AQ324" i="20"/>
  <c r="AS324" i="20"/>
  <c r="A247" i="20"/>
  <c r="A248" i="20"/>
  <c r="AM247" i="20"/>
  <c r="AM248" i="20"/>
  <c r="AO247" i="20"/>
  <c r="AP247" i="20" s="1"/>
  <c r="AO248" i="20"/>
  <c r="AQ247" i="20"/>
  <c r="AQ248" i="20"/>
  <c r="AS247" i="20"/>
  <c r="AS248" i="20"/>
  <c r="A208" i="20"/>
  <c r="AM208" i="20"/>
  <c r="AO208" i="20"/>
  <c r="AQ208" i="20"/>
  <c r="AS208" i="20"/>
  <c r="A209" i="20"/>
  <c r="AM209" i="20"/>
  <c r="AO209" i="20"/>
  <c r="AR209" i="20" s="1"/>
  <c r="AQ209" i="20"/>
  <c r="AS209" i="20"/>
  <c r="A189" i="20"/>
  <c r="AM189" i="20"/>
  <c r="AO189" i="20"/>
  <c r="AR189" i="20" s="1"/>
  <c r="AQ189" i="20"/>
  <c r="AS189" i="20"/>
  <c r="A188" i="20"/>
  <c r="AM188" i="20"/>
  <c r="AO188" i="20"/>
  <c r="AR188" i="20" s="1"/>
  <c r="AQ188" i="20"/>
  <c r="AS188" i="20"/>
  <c r="A146" i="20"/>
  <c r="AM146" i="20"/>
  <c r="AO146" i="20"/>
  <c r="AQ146" i="20"/>
  <c r="AS146" i="20"/>
  <c r="A982" i="20"/>
  <c r="AM982" i="20"/>
  <c r="AO982" i="20"/>
  <c r="AR982" i="20" s="1"/>
  <c r="AQ982" i="20"/>
  <c r="AS982" i="20"/>
  <c r="A42" i="20"/>
  <c r="A43" i="20"/>
  <c r="AM42" i="20"/>
  <c r="AM43" i="20"/>
  <c r="AO42" i="20"/>
  <c r="AP42" i="20" s="1"/>
  <c r="AO43" i="20"/>
  <c r="AQ42" i="20"/>
  <c r="AQ43" i="20"/>
  <c r="AS42" i="20"/>
  <c r="AS43" i="20"/>
  <c r="S239" i="19"/>
  <c r="T239" i="19"/>
  <c r="P239" i="19" s="1"/>
  <c r="U239" i="19" s="1"/>
  <c r="S340" i="19"/>
  <c r="T340" i="19"/>
  <c r="P340" i="19" s="1"/>
  <c r="U340" i="19" s="1"/>
  <c r="S249" i="14"/>
  <c r="AJ249" i="14"/>
  <c r="AK249" i="14" s="1"/>
  <c r="S28" i="19"/>
  <c r="T28" i="19"/>
  <c r="P28" i="19" s="1"/>
  <c r="U28" i="19" s="1"/>
  <c r="S49" i="19"/>
  <c r="T49" i="19"/>
  <c r="P49" i="19" s="1"/>
  <c r="U49" i="19" s="1"/>
  <c r="A3" i="37"/>
  <c r="A3" i="30"/>
  <c r="A3" i="20"/>
  <c r="C5" i="62"/>
  <c r="A3" i="45"/>
  <c r="A3" i="36"/>
  <c r="A3" i="19"/>
  <c r="C5" i="40"/>
  <c r="A3" i="91"/>
  <c r="A3" i="33"/>
  <c r="A3" i="14"/>
  <c r="C5" i="35"/>
  <c r="C5" i="43"/>
  <c r="S25" i="14"/>
  <c r="AI25" i="14"/>
  <c r="AJ25" i="14"/>
  <c r="AK25" i="14" s="1"/>
  <c r="A19" i="20"/>
  <c r="A8" i="20"/>
  <c r="AM19" i="20"/>
  <c r="AM8" i="20"/>
  <c r="AO19" i="20"/>
  <c r="AP19" i="20" s="1"/>
  <c r="AO8" i="20"/>
  <c r="AQ19" i="20"/>
  <c r="AQ8" i="20"/>
  <c r="AS19" i="20"/>
  <c r="AS8" i="20"/>
  <c r="A15" i="20"/>
  <c r="AM15" i="20"/>
  <c r="AO15" i="20"/>
  <c r="AQ15" i="20"/>
  <c r="AS15" i="20"/>
  <c r="A23" i="20"/>
  <c r="AM23" i="20"/>
  <c r="AO23" i="20"/>
  <c r="AR23" i="20" s="1"/>
  <c r="AQ23" i="20"/>
  <c r="AS23" i="20"/>
  <c r="AO937" i="20"/>
  <c r="AP937" i="20" s="1"/>
  <c r="T269" i="19"/>
  <c r="P269" i="19" s="1"/>
  <c r="U269" i="19" s="1"/>
  <c r="S269" i="19"/>
  <c r="AQ14" i="20"/>
  <c r="AF242" i="14"/>
  <c r="AH242" i="14" s="1"/>
  <c r="A22" i="20"/>
  <c r="AM22" i="20"/>
  <c r="AO22" i="20"/>
  <c r="AR22" i="20" s="1"/>
  <c r="AQ22" i="20"/>
  <c r="AS22" i="20"/>
  <c r="AS24" i="20"/>
  <c r="AS10" i="20"/>
  <c r="AS7" i="20"/>
  <c r="AS14" i="20"/>
  <c r="AS16" i="20"/>
  <c r="AS17" i="20"/>
  <c r="A17" i="20"/>
  <c r="AM17" i="20"/>
  <c r="AO17" i="20"/>
  <c r="AQ17" i="20"/>
  <c r="A10" i="20"/>
  <c r="A13" i="20"/>
  <c r="A7" i="20"/>
  <c r="AM10" i="20"/>
  <c r="AM13" i="20"/>
  <c r="AM7" i="20"/>
  <c r="AO10" i="20"/>
  <c r="AP10" i="20" s="1"/>
  <c r="AO13" i="20"/>
  <c r="AR13" i="20" s="1"/>
  <c r="AO7" i="20"/>
  <c r="AQ10" i="20"/>
  <c r="AQ13" i="20"/>
  <c r="AQ7" i="20"/>
  <c r="AS13" i="20"/>
  <c r="S137" i="19"/>
  <c r="T137" i="19"/>
  <c r="P137" i="19" s="1"/>
  <c r="U137" i="19" s="1"/>
  <c r="S255" i="19"/>
  <c r="S134" i="19"/>
  <c r="S305" i="19"/>
  <c r="S307" i="19"/>
  <c r="S66" i="19"/>
  <c r="S293" i="19"/>
  <c r="S336" i="19"/>
  <c r="S54" i="19"/>
  <c r="S60" i="19"/>
  <c r="S280" i="19"/>
  <c r="S120" i="19"/>
  <c r="T255" i="19"/>
  <c r="P255" i="19" s="1"/>
  <c r="U255" i="19" s="1"/>
  <c r="T134" i="19"/>
  <c r="P134" i="19" s="1"/>
  <c r="U134" i="19" s="1"/>
  <c r="T305" i="19"/>
  <c r="P305" i="19" s="1"/>
  <c r="U305" i="19" s="1"/>
  <c r="T307" i="19"/>
  <c r="P307" i="19" s="1"/>
  <c r="U307" i="19" s="1"/>
  <c r="T66" i="19"/>
  <c r="P66" i="19" s="1"/>
  <c r="U66" i="19" s="1"/>
  <c r="T293" i="19"/>
  <c r="P293" i="19" s="1"/>
  <c r="U293" i="19" s="1"/>
  <c r="T336" i="19"/>
  <c r="P336" i="19" s="1"/>
  <c r="U336" i="19" s="1"/>
  <c r="T54" i="19"/>
  <c r="P54" i="19" s="1"/>
  <c r="U54" i="19" s="1"/>
  <c r="T60" i="19"/>
  <c r="P60" i="19" s="1"/>
  <c r="U60" i="19" s="1"/>
  <c r="T280" i="19"/>
  <c r="P280" i="19" s="1"/>
  <c r="U280" i="19" s="1"/>
  <c r="T120" i="19"/>
  <c r="P120" i="19" s="1"/>
  <c r="U120" i="19" s="1"/>
  <c r="S222" i="19"/>
  <c r="S246" i="19"/>
  <c r="T222" i="19"/>
  <c r="P222" i="19" s="1"/>
  <c r="U222" i="19" s="1"/>
  <c r="T246" i="19"/>
  <c r="P246" i="19" s="1"/>
  <c r="U246" i="19" s="1"/>
  <c r="A1340" i="20"/>
  <c r="AM1340" i="20"/>
  <c r="AO1340" i="20"/>
  <c r="AR1340" i="20" s="1"/>
  <c r="AQ1340" i="20"/>
  <c r="AS1340" i="20"/>
  <c r="A14" i="20"/>
  <c r="AM14" i="20"/>
  <c r="AO14" i="20"/>
  <c r="AP14" i="20" s="1"/>
  <c r="AS1339" i="20"/>
  <c r="AS1338" i="20"/>
  <c r="AS1337" i="20"/>
  <c r="AS1336" i="20"/>
  <c r="AS1335" i="20"/>
  <c r="AS1334" i="20"/>
  <c r="AS1333" i="20"/>
  <c r="AS1332" i="20"/>
  <c r="AS1331" i="20"/>
  <c r="AS1330" i="20"/>
  <c r="AS1329" i="20"/>
  <c r="AS1328" i="20"/>
  <c r="AS1327" i="20"/>
  <c r="AS1326" i="20"/>
  <c r="AS1325" i="20"/>
  <c r="AS1324" i="20"/>
  <c r="AS1323" i="20"/>
  <c r="AS1322" i="20"/>
  <c r="AS1321" i="20"/>
  <c r="AS1320" i="20"/>
  <c r="AS1319" i="20"/>
  <c r="AS1318" i="20"/>
  <c r="AS1317" i="20"/>
  <c r="AS1316" i="20"/>
  <c r="AS1315" i="20"/>
  <c r="AS1314" i="20"/>
  <c r="AS1313" i="20"/>
  <c r="AS1312" i="20"/>
  <c r="AS1311" i="20"/>
  <c r="AS1310" i="20"/>
  <c r="AS1309" i="20"/>
  <c r="AS1308" i="20"/>
  <c r="AS1307" i="20"/>
  <c r="AS1306" i="20"/>
  <c r="AS1305" i="20"/>
  <c r="AS1304" i="20"/>
  <c r="AS1303" i="20"/>
  <c r="AS1302" i="20"/>
  <c r="AS1301" i="20"/>
  <c r="AS1300" i="20"/>
  <c r="AS1299" i="20"/>
  <c r="AS1298" i="20"/>
  <c r="AS1297" i="20"/>
  <c r="AS1296" i="20"/>
  <c r="AS1295" i="20"/>
  <c r="AS1294" i="20"/>
  <c r="AS1293" i="20"/>
  <c r="AS1292" i="20"/>
  <c r="AS1291" i="20"/>
  <c r="AS1290" i="20"/>
  <c r="AS1289" i="20"/>
  <c r="AS1288" i="20"/>
  <c r="AS1287" i="20"/>
  <c r="AS1286" i="20"/>
  <c r="AS1285" i="20"/>
  <c r="AS1284" i="20"/>
  <c r="AS1283" i="20"/>
  <c r="AS1282" i="20"/>
  <c r="AS1281" i="20"/>
  <c r="AS1280" i="20"/>
  <c r="AS1279" i="20"/>
  <c r="AS1278" i="20"/>
  <c r="AS1277" i="20"/>
  <c r="AS1276" i="20"/>
  <c r="AS1275" i="20"/>
  <c r="AS1274" i="20"/>
  <c r="AS1273" i="20"/>
  <c r="AS1272" i="20"/>
  <c r="AS1271" i="20"/>
  <c r="AS1270" i="20"/>
  <c r="AS1269" i="20"/>
  <c r="AS1268" i="20"/>
  <c r="AS1267" i="20"/>
  <c r="AS1266" i="20"/>
  <c r="AS1265" i="20"/>
  <c r="AS1264" i="20"/>
  <c r="AS1263" i="20"/>
  <c r="AS1262" i="20"/>
  <c r="AS1261" i="20"/>
  <c r="AS1260" i="20"/>
  <c r="AS1259" i="20"/>
  <c r="AS1258" i="20"/>
  <c r="AS1257" i="20"/>
  <c r="AS1256" i="20"/>
  <c r="AS1255" i="20"/>
  <c r="AS1254" i="20"/>
  <c r="AS1253" i="20"/>
  <c r="AS1252" i="20"/>
  <c r="AS1251" i="20"/>
  <c r="AS1250" i="20"/>
  <c r="AS1249" i="20"/>
  <c r="AS1248" i="20"/>
  <c r="AS1247" i="20"/>
  <c r="AS1246" i="20"/>
  <c r="AS1245" i="20"/>
  <c r="AS1244" i="20"/>
  <c r="AS1243" i="20"/>
  <c r="AS1242" i="20"/>
  <c r="AS1241" i="20"/>
  <c r="AS1240" i="20"/>
  <c r="AS1239" i="20"/>
  <c r="AS1238" i="20"/>
  <c r="AS1237" i="20"/>
  <c r="AS1236" i="20"/>
  <c r="AS1235" i="20"/>
  <c r="AS1234" i="20"/>
  <c r="AS1233" i="20"/>
  <c r="AS1232" i="20"/>
  <c r="AS1231" i="20"/>
  <c r="AS1230" i="20"/>
  <c r="AS1229" i="20"/>
  <c r="AS1228" i="20"/>
  <c r="AS1227" i="20"/>
  <c r="AS1226" i="20"/>
  <c r="AS1225" i="20"/>
  <c r="AS1224" i="20"/>
  <c r="AS1223" i="20"/>
  <c r="AS1222" i="20"/>
  <c r="AS1221" i="20"/>
  <c r="AS1220" i="20"/>
  <c r="AS1219" i="20"/>
  <c r="AS1218" i="20"/>
  <c r="AS1217" i="20"/>
  <c r="AS1216" i="20"/>
  <c r="AS1215" i="20"/>
  <c r="AS1214" i="20"/>
  <c r="AS1213" i="20"/>
  <c r="AS1212" i="20"/>
  <c r="AS1211" i="20"/>
  <c r="AS1210" i="20"/>
  <c r="AS1209" i="20"/>
  <c r="AS1208" i="20"/>
  <c r="AS1207" i="20"/>
  <c r="AS1206" i="20"/>
  <c r="AS1205" i="20"/>
  <c r="AS1204" i="20"/>
  <c r="AS1203" i="20"/>
  <c r="AS1202" i="20"/>
  <c r="AS1201" i="20"/>
  <c r="AS1200" i="20"/>
  <c r="AS1199" i="20"/>
  <c r="AS1198" i="20"/>
  <c r="AS1197" i="20"/>
  <c r="AS1196" i="20"/>
  <c r="AS1195" i="20"/>
  <c r="AS1194" i="20"/>
  <c r="AS1193" i="20"/>
  <c r="AS1192" i="20"/>
  <c r="AS1191" i="20"/>
  <c r="AS1190" i="20"/>
  <c r="AS1189" i="20"/>
  <c r="AS1188" i="20"/>
  <c r="AS1187" i="20"/>
  <c r="AS1186" i="20"/>
  <c r="AS1185" i="20"/>
  <c r="AS1184" i="20"/>
  <c r="AS1183" i="20"/>
  <c r="AS1182" i="20"/>
  <c r="AS1181" i="20"/>
  <c r="AS1180" i="20"/>
  <c r="AS1179" i="20"/>
  <c r="AS1178" i="20"/>
  <c r="AS1177" i="20"/>
  <c r="AS1176" i="20"/>
  <c r="AS1175" i="20"/>
  <c r="AS1174" i="20"/>
  <c r="AS1173" i="20"/>
  <c r="AS1172" i="20"/>
  <c r="AS1171" i="20"/>
  <c r="AS1170" i="20"/>
  <c r="AS1169" i="20"/>
  <c r="AS1168" i="20"/>
  <c r="AS1167" i="20"/>
  <c r="AS1166" i="20"/>
  <c r="AS1165" i="20"/>
  <c r="AS1164" i="20"/>
  <c r="AQ1339" i="20"/>
  <c r="AQ1338" i="20"/>
  <c r="AQ1337" i="20"/>
  <c r="AQ1336" i="20"/>
  <c r="AQ1335" i="20"/>
  <c r="AQ1334" i="20"/>
  <c r="AQ1333" i="20"/>
  <c r="AQ1332" i="20"/>
  <c r="AQ1331" i="20"/>
  <c r="AQ1330" i="20"/>
  <c r="AQ1329" i="20"/>
  <c r="AQ1328" i="20"/>
  <c r="AQ1327" i="20"/>
  <c r="AQ1326" i="20"/>
  <c r="AQ1325" i="20"/>
  <c r="AQ1324" i="20"/>
  <c r="AQ1323" i="20"/>
  <c r="AQ1322" i="20"/>
  <c r="AQ1321" i="20"/>
  <c r="AQ1320" i="20"/>
  <c r="AQ1319" i="20"/>
  <c r="AQ1318" i="20"/>
  <c r="AQ1317" i="20"/>
  <c r="AQ1316" i="20"/>
  <c r="AQ1315" i="20"/>
  <c r="AQ1314" i="20"/>
  <c r="AQ1313" i="20"/>
  <c r="AQ1312" i="20"/>
  <c r="AQ1311" i="20"/>
  <c r="AQ1310" i="20"/>
  <c r="AQ1309" i="20"/>
  <c r="AQ1308" i="20"/>
  <c r="AQ1307" i="20"/>
  <c r="AQ1306" i="20"/>
  <c r="AQ1305" i="20"/>
  <c r="AQ1304" i="20"/>
  <c r="AQ1303" i="20"/>
  <c r="AQ1302" i="20"/>
  <c r="AQ1301" i="20"/>
  <c r="AQ1300" i="20"/>
  <c r="AQ1299" i="20"/>
  <c r="AQ1298" i="20"/>
  <c r="AQ1297" i="20"/>
  <c r="AQ1296" i="20"/>
  <c r="AQ1295" i="20"/>
  <c r="AQ1294" i="20"/>
  <c r="AQ1293" i="20"/>
  <c r="AQ1292" i="20"/>
  <c r="AQ1291" i="20"/>
  <c r="AQ1290" i="20"/>
  <c r="AQ1289" i="20"/>
  <c r="AQ1288" i="20"/>
  <c r="AQ1287" i="20"/>
  <c r="AQ1286" i="20"/>
  <c r="AQ1285" i="20"/>
  <c r="AQ1284" i="20"/>
  <c r="AQ1283" i="20"/>
  <c r="AQ1282" i="20"/>
  <c r="AQ1281" i="20"/>
  <c r="AQ1280" i="20"/>
  <c r="AQ1279" i="20"/>
  <c r="AQ1278" i="20"/>
  <c r="AQ1277" i="20"/>
  <c r="AQ1276" i="20"/>
  <c r="AQ1275" i="20"/>
  <c r="AQ1274" i="20"/>
  <c r="AQ1273" i="20"/>
  <c r="AQ1272" i="20"/>
  <c r="AQ1271" i="20"/>
  <c r="AQ1270" i="20"/>
  <c r="AQ1269" i="20"/>
  <c r="AQ1268" i="20"/>
  <c r="AQ1267" i="20"/>
  <c r="AQ1266" i="20"/>
  <c r="AQ1265" i="20"/>
  <c r="AQ1264" i="20"/>
  <c r="AQ1263" i="20"/>
  <c r="AQ1262" i="20"/>
  <c r="AQ1261" i="20"/>
  <c r="AQ1260" i="20"/>
  <c r="AQ1259" i="20"/>
  <c r="AQ1258" i="20"/>
  <c r="AQ1257" i="20"/>
  <c r="AQ1256" i="20"/>
  <c r="AQ1255" i="20"/>
  <c r="AQ1254" i="20"/>
  <c r="AQ1253" i="20"/>
  <c r="AQ1252" i="20"/>
  <c r="AQ1251" i="20"/>
  <c r="AQ1250" i="20"/>
  <c r="AQ1249" i="20"/>
  <c r="AQ1248" i="20"/>
  <c r="AQ1247" i="20"/>
  <c r="AQ1246" i="20"/>
  <c r="AQ1245" i="20"/>
  <c r="AQ1244" i="20"/>
  <c r="AQ1243" i="20"/>
  <c r="AQ1242" i="20"/>
  <c r="AQ1241" i="20"/>
  <c r="AQ1240" i="20"/>
  <c r="AQ1239" i="20"/>
  <c r="AQ1238" i="20"/>
  <c r="AQ1237" i="20"/>
  <c r="AQ1236" i="20"/>
  <c r="AQ1235" i="20"/>
  <c r="AQ1234" i="20"/>
  <c r="AQ1233" i="20"/>
  <c r="AQ1232" i="20"/>
  <c r="AQ1231" i="20"/>
  <c r="AQ1230" i="20"/>
  <c r="AQ1229" i="20"/>
  <c r="AQ1228" i="20"/>
  <c r="AQ1227" i="20"/>
  <c r="AQ1226" i="20"/>
  <c r="AQ1225" i="20"/>
  <c r="AQ1224" i="20"/>
  <c r="AQ1223" i="20"/>
  <c r="AQ1222" i="20"/>
  <c r="AQ1221" i="20"/>
  <c r="AQ1220" i="20"/>
  <c r="AQ1219" i="20"/>
  <c r="AQ1218" i="20"/>
  <c r="AQ1217" i="20"/>
  <c r="AQ1216" i="20"/>
  <c r="AQ1215" i="20"/>
  <c r="AQ1214" i="20"/>
  <c r="AQ1213" i="20"/>
  <c r="AQ1212" i="20"/>
  <c r="AQ1211" i="20"/>
  <c r="AQ1210" i="20"/>
  <c r="AQ1209" i="20"/>
  <c r="AQ1208" i="20"/>
  <c r="AQ1207" i="20"/>
  <c r="AQ1206" i="20"/>
  <c r="AQ1205" i="20"/>
  <c r="AQ1204" i="20"/>
  <c r="AQ1203" i="20"/>
  <c r="AQ1202" i="20"/>
  <c r="AQ1201" i="20"/>
  <c r="AQ1200" i="20"/>
  <c r="AQ1199" i="20"/>
  <c r="AQ1198" i="20"/>
  <c r="AQ1197" i="20"/>
  <c r="AQ1196" i="20"/>
  <c r="AQ1195" i="20"/>
  <c r="AQ1194" i="20"/>
  <c r="AQ1193" i="20"/>
  <c r="AQ1192" i="20"/>
  <c r="AQ1191" i="20"/>
  <c r="AQ1190" i="20"/>
  <c r="AQ1189" i="20"/>
  <c r="AQ1188" i="20"/>
  <c r="AQ1187" i="20"/>
  <c r="AQ1186" i="20"/>
  <c r="AQ1185" i="20"/>
  <c r="AQ1184" i="20"/>
  <c r="AQ1183" i="20"/>
  <c r="AQ1182" i="20"/>
  <c r="AQ1181" i="20"/>
  <c r="AQ1180" i="20"/>
  <c r="AQ1179" i="20"/>
  <c r="AQ1178" i="20"/>
  <c r="AQ1177" i="20"/>
  <c r="AQ1176" i="20"/>
  <c r="AQ1175" i="20"/>
  <c r="AQ1174" i="20"/>
  <c r="AQ1173" i="20"/>
  <c r="AQ1172" i="20"/>
  <c r="AQ1171" i="20"/>
  <c r="AQ1170" i="20"/>
  <c r="AQ1169" i="20"/>
  <c r="AQ1168" i="20"/>
  <c r="AQ1167" i="20"/>
  <c r="AQ1166" i="20"/>
  <c r="AQ1165" i="20"/>
  <c r="AQ1164" i="20"/>
  <c r="AO1339" i="20"/>
  <c r="AP1339" i="20" s="1"/>
  <c r="AO1338" i="20"/>
  <c r="AR1338" i="20" s="1"/>
  <c r="AO1337" i="20"/>
  <c r="AO1336" i="20"/>
  <c r="AR1336" i="20" s="1"/>
  <c r="AO1335" i="20"/>
  <c r="AR1335" i="20" s="1"/>
  <c r="AO1334" i="20"/>
  <c r="AR1334" i="20" s="1"/>
  <c r="AO1333" i="20"/>
  <c r="AR1333" i="20" s="1"/>
  <c r="AO1332" i="20"/>
  <c r="AR1332" i="20" s="1"/>
  <c r="AO1331" i="20"/>
  <c r="AR1331" i="20" s="1"/>
  <c r="AO1330" i="20"/>
  <c r="AR1330" i="20" s="1"/>
  <c r="AO1329" i="20"/>
  <c r="AO1328" i="20"/>
  <c r="AR1328" i="20" s="1"/>
  <c r="AO1327" i="20"/>
  <c r="AP1327" i="20" s="1"/>
  <c r="AO1326" i="20"/>
  <c r="AR1326" i="20" s="1"/>
  <c r="AO1325" i="20"/>
  <c r="AO1324" i="20"/>
  <c r="AO1323" i="20"/>
  <c r="AR1323" i="20" s="1"/>
  <c r="AO1322" i="20"/>
  <c r="AR1322" i="20" s="1"/>
  <c r="AO1321" i="20"/>
  <c r="AO1320" i="20"/>
  <c r="AP1320" i="20" s="1"/>
  <c r="AO1319" i="20"/>
  <c r="AP1319" i="20" s="1"/>
  <c r="AO1318" i="20"/>
  <c r="AR1318" i="20" s="1"/>
  <c r="AO1317" i="20"/>
  <c r="AP1317" i="20" s="1"/>
  <c r="AO1316" i="20"/>
  <c r="AP1316" i="20" s="1"/>
  <c r="AO1315" i="20"/>
  <c r="AR1315" i="20" s="1"/>
  <c r="AO1314" i="20"/>
  <c r="AR1314" i="20" s="1"/>
  <c r="AO1313" i="20"/>
  <c r="AR1313" i="20" s="1"/>
  <c r="AO1312" i="20"/>
  <c r="AO1311" i="20"/>
  <c r="AR1311" i="20" s="1"/>
  <c r="AO1310" i="20"/>
  <c r="AR1310" i="20" s="1"/>
  <c r="AO1309" i="20"/>
  <c r="AO1308" i="20"/>
  <c r="AP1308" i="20" s="1"/>
  <c r="AO1307" i="20"/>
  <c r="AP1307" i="20" s="1"/>
  <c r="AO1306" i="20"/>
  <c r="AR1306" i="20" s="1"/>
  <c r="AO1305" i="20"/>
  <c r="AR1305" i="20" s="1"/>
  <c r="AO1304" i="20"/>
  <c r="AP1304" i="20" s="1"/>
  <c r="AO1303" i="20"/>
  <c r="AR1303" i="20" s="1"/>
  <c r="AO1302" i="20"/>
  <c r="AR1302" i="20" s="1"/>
  <c r="AO1301" i="20"/>
  <c r="AO1300" i="20"/>
  <c r="AP1300" i="20" s="1"/>
  <c r="AO1299" i="20"/>
  <c r="AR1299" i="20" s="1"/>
  <c r="AO1298" i="20"/>
  <c r="AR1298" i="20" s="1"/>
  <c r="AO1297" i="20"/>
  <c r="AO1296" i="20"/>
  <c r="AR1296" i="20" s="1"/>
  <c r="AO1295" i="20"/>
  <c r="AR1295" i="20" s="1"/>
  <c r="AO1294" i="20"/>
  <c r="AR1294" i="20" s="1"/>
  <c r="AO1293" i="20"/>
  <c r="AR1293" i="20" s="1"/>
  <c r="AO1292" i="20"/>
  <c r="AO1291" i="20"/>
  <c r="AR1291" i="20" s="1"/>
  <c r="AO1290" i="20"/>
  <c r="AR1290" i="20" s="1"/>
  <c r="AO1289" i="20"/>
  <c r="AO1288" i="20"/>
  <c r="AR1288" i="20" s="1"/>
  <c r="AO1287" i="20"/>
  <c r="AR1287" i="20" s="1"/>
  <c r="AO1286" i="20"/>
  <c r="AR1286" i="20" s="1"/>
  <c r="AO1285" i="20"/>
  <c r="AO1284" i="20"/>
  <c r="AP1284" i="20" s="1"/>
  <c r="AO1283" i="20"/>
  <c r="AR1283" i="20" s="1"/>
  <c r="AO1282" i="20"/>
  <c r="AR1282" i="20" s="1"/>
  <c r="AO1281" i="20"/>
  <c r="AP1281" i="20" s="1"/>
  <c r="AO1280" i="20"/>
  <c r="AP1280" i="20" s="1"/>
  <c r="AO1279" i="20"/>
  <c r="AR1279" i="20" s="1"/>
  <c r="AO1278" i="20"/>
  <c r="AR1278" i="20" s="1"/>
  <c r="AO1277" i="20"/>
  <c r="AP1277" i="20" s="1"/>
  <c r="AO1276" i="20"/>
  <c r="AR1276" i="20" s="1"/>
  <c r="AO1275" i="20"/>
  <c r="AR1275" i="20" s="1"/>
  <c r="AO1274" i="20"/>
  <c r="AR1274" i="20" s="1"/>
  <c r="AO1273" i="20"/>
  <c r="AR1273" i="20" s="1"/>
  <c r="AO1272" i="20"/>
  <c r="AP1272" i="20" s="1"/>
  <c r="AO1271" i="20"/>
  <c r="AR1271" i="20" s="1"/>
  <c r="AO1270" i="20"/>
  <c r="AR1270" i="20" s="1"/>
  <c r="AO1269" i="20"/>
  <c r="AR1269" i="20" s="1"/>
  <c r="AO1268" i="20"/>
  <c r="AR1268" i="20" s="1"/>
  <c r="AO1267" i="20"/>
  <c r="AR1267" i="20" s="1"/>
  <c r="AO1266" i="20"/>
  <c r="AR1266" i="20" s="1"/>
  <c r="AO1265" i="20"/>
  <c r="AO1264" i="20"/>
  <c r="AR1264" i="20" s="1"/>
  <c r="AO1263" i="20"/>
  <c r="AP1263" i="20" s="1"/>
  <c r="AO1262" i="20"/>
  <c r="AR1262" i="20" s="1"/>
  <c r="AO1261" i="20"/>
  <c r="AR1261" i="20" s="1"/>
  <c r="AO1260" i="20"/>
  <c r="AO1259" i="20"/>
  <c r="AR1259" i="20" s="1"/>
  <c r="AO1258" i="20"/>
  <c r="AR1258" i="20" s="1"/>
  <c r="AO1257" i="20"/>
  <c r="AP1257" i="20" s="1"/>
  <c r="AO1256" i="20"/>
  <c r="AP1256" i="20" s="1"/>
  <c r="AO1255" i="20"/>
  <c r="AR1255" i="20" s="1"/>
  <c r="AO1254" i="20"/>
  <c r="AR1254" i="20" s="1"/>
  <c r="AO1253" i="20"/>
  <c r="AO1252" i="20"/>
  <c r="AR1252" i="20" s="1"/>
  <c r="AO1251" i="20"/>
  <c r="AP1251" i="20" s="1"/>
  <c r="AO1250" i="20"/>
  <c r="AR1250" i="20" s="1"/>
  <c r="AO1249" i="20"/>
  <c r="AP1249" i="20" s="1"/>
  <c r="AO1248" i="20"/>
  <c r="AP1248" i="20" s="1"/>
  <c r="AO1247" i="20"/>
  <c r="AR1247" i="20" s="1"/>
  <c r="AO1246" i="20"/>
  <c r="AR1246" i="20" s="1"/>
  <c r="AO1245" i="20"/>
  <c r="AO1244" i="20"/>
  <c r="AP1244" i="20" s="1"/>
  <c r="AO1243" i="20"/>
  <c r="AP1243" i="20" s="1"/>
  <c r="AO1242" i="20"/>
  <c r="AR1242" i="20" s="1"/>
  <c r="AO1241" i="20"/>
  <c r="AR1241" i="20" s="1"/>
  <c r="AO1240" i="20"/>
  <c r="AO1239" i="20"/>
  <c r="AR1239" i="20" s="1"/>
  <c r="AO1238" i="20"/>
  <c r="AR1238" i="20" s="1"/>
  <c r="AO1237" i="20"/>
  <c r="AO1236" i="20"/>
  <c r="AP1236" i="20" s="1"/>
  <c r="AO1235" i="20"/>
  <c r="AP1235" i="20" s="1"/>
  <c r="AO1234" i="20"/>
  <c r="AR1234" i="20" s="1"/>
  <c r="AO1233" i="20"/>
  <c r="AO1232" i="20"/>
  <c r="AO1231" i="20"/>
  <c r="AR1231" i="20" s="1"/>
  <c r="AO1230" i="20"/>
  <c r="AR1230" i="20" s="1"/>
  <c r="AO1229" i="20"/>
  <c r="AO1228" i="20"/>
  <c r="AR1228" i="20" s="1"/>
  <c r="AO1227" i="20"/>
  <c r="AP1227" i="20" s="1"/>
  <c r="AO1226" i="20"/>
  <c r="AO1225" i="20"/>
  <c r="AR1225" i="20" s="1"/>
  <c r="AO1224" i="20"/>
  <c r="AR1224" i="20" s="1"/>
  <c r="AO1223" i="20"/>
  <c r="AR1223" i="20" s="1"/>
  <c r="AO1222" i="20"/>
  <c r="AR1222" i="20" s="1"/>
  <c r="AO1221" i="20"/>
  <c r="AO1220" i="20"/>
  <c r="AP1220" i="20" s="1"/>
  <c r="AO1219" i="20"/>
  <c r="AP1219" i="20" s="1"/>
  <c r="AO1218" i="20"/>
  <c r="AO1217" i="20"/>
  <c r="AR1217" i="20" s="1"/>
  <c r="AO1216" i="20"/>
  <c r="AO1215" i="20"/>
  <c r="AP1215" i="20" s="1"/>
  <c r="AO1214" i="20"/>
  <c r="AR1214" i="20" s="1"/>
  <c r="AO1213" i="20"/>
  <c r="AR1213" i="20" s="1"/>
  <c r="AO1212" i="20"/>
  <c r="AP1212" i="20" s="1"/>
  <c r="AO1211" i="20"/>
  <c r="AP1211" i="20" s="1"/>
  <c r="AO1210" i="20"/>
  <c r="AR1210" i="20" s="1"/>
  <c r="AO1209" i="20"/>
  <c r="AP1209" i="20" s="1"/>
  <c r="AO1208" i="20"/>
  <c r="AP1208" i="20" s="1"/>
  <c r="AO1207" i="20"/>
  <c r="AP1207" i="20" s="1"/>
  <c r="AO1206" i="20"/>
  <c r="AO1205" i="20"/>
  <c r="AR1205" i="20" s="1"/>
  <c r="AO1204" i="20"/>
  <c r="AP1204" i="20" s="1"/>
  <c r="AO1203" i="20"/>
  <c r="AP1203" i="20" s="1"/>
  <c r="AO1202" i="20"/>
  <c r="AR1202" i="20" s="1"/>
  <c r="AO1201" i="20"/>
  <c r="AR1201" i="20" s="1"/>
  <c r="AO1200" i="20"/>
  <c r="AR1200" i="20" s="1"/>
  <c r="AO1199" i="20"/>
  <c r="AR1199" i="20" s="1"/>
  <c r="AO1198" i="20"/>
  <c r="AR1198" i="20" s="1"/>
  <c r="AO1197" i="20"/>
  <c r="AO1196" i="20"/>
  <c r="AR1196" i="20" s="1"/>
  <c r="AO1195" i="20"/>
  <c r="AP1195" i="20" s="1"/>
  <c r="AO1194" i="20"/>
  <c r="AR1194" i="20" s="1"/>
  <c r="AO1193" i="20"/>
  <c r="AR1193" i="20" s="1"/>
  <c r="AO1192" i="20"/>
  <c r="AP1192" i="20" s="1"/>
  <c r="AO1191" i="20"/>
  <c r="AR1191" i="20" s="1"/>
  <c r="AO1190" i="20"/>
  <c r="AO1189" i="20"/>
  <c r="AR1189" i="20" s="1"/>
  <c r="AO1188" i="20"/>
  <c r="AP1188" i="20" s="1"/>
  <c r="AO1187" i="20"/>
  <c r="AP1187" i="20" s="1"/>
  <c r="AO1186" i="20"/>
  <c r="AR1186" i="20" s="1"/>
  <c r="AO1185" i="20"/>
  <c r="AR1185" i="20" s="1"/>
  <c r="AO1184" i="20"/>
  <c r="AP1184" i="20" s="1"/>
  <c r="AO1183" i="20"/>
  <c r="AR1183" i="20" s="1"/>
  <c r="AO1182" i="20"/>
  <c r="AR1182" i="20" s="1"/>
  <c r="AO1181" i="20"/>
  <c r="AR1181" i="20" s="1"/>
  <c r="AO1180" i="20"/>
  <c r="AP1180" i="20" s="1"/>
  <c r="AO1179" i="20"/>
  <c r="AR1179" i="20" s="1"/>
  <c r="AO1178" i="20"/>
  <c r="AO1177" i="20"/>
  <c r="AR1177" i="20" s="1"/>
  <c r="AO1176" i="20"/>
  <c r="AR1176" i="20" s="1"/>
  <c r="AO1175" i="20"/>
  <c r="AR1175" i="20" s="1"/>
  <c r="AO1174" i="20"/>
  <c r="AO1173" i="20"/>
  <c r="AR1173" i="20" s="1"/>
  <c r="AO1172" i="20"/>
  <c r="AP1172" i="20" s="1"/>
  <c r="AO1171" i="20"/>
  <c r="AP1171" i="20" s="1"/>
  <c r="AO1170" i="20"/>
  <c r="AR1170" i="20" s="1"/>
  <c r="AO1169" i="20"/>
  <c r="AR1169" i="20" s="1"/>
  <c r="AO1168" i="20"/>
  <c r="AP1168" i="20" s="1"/>
  <c r="AO1167" i="20"/>
  <c r="AR1167" i="20" s="1"/>
  <c r="AO1166" i="20"/>
  <c r="AP1166" i="20" s="1"/>
  <c r="AO1165" i="20"/>
  <c r="AR1165" i="20" s="1"/>
  <c r="AO1164" i="20"/>
  <c r="AR1164" i="20" s="1"/>
  <c r="AM1339" i="20"/>
  <c r="AM1338" i="20"/>
  <c r="AM1337" i="20"/>
  <c r="AM1336" i="20"/>
  <c r="AM1335" i="20"/>
  <c r="AM1334" i="20"/>
  <c r="AM1333" i="20"/>
  <c r="AM1332" i="20"/>
  <c r="AM1331" i="20"/>
  <c r="AM1330" i="20"/>
  <c r="AM1329" i="20"/>
  <c r="AM1328" i="20"/>
  <c r="AM1327" i="20"/>
  <c r="AM1326" i="20"/>
  <c r="AM1325" i="20"/>
  <c r="AM1324" i="20"/>
  <c r="AM1323" i="20"/>
  <c r="AM1322" i="20"/>
  <c r="AM1321" i="20"/>
  <c r="AM1320" i="20"/>
  <c r="AM1319" i="20"/>
  <c r="AM1318" i="20"/>
  <c r="AM1317" i="20"/>
  <c r="AM1316" i="20"/>
  <c r="AM1315" i="20"/>
  <c r="AM1314" i="20"/>
  <c r="AM1313" i="20"/>
  <c r="AM1312" i="20"/>
  <c r="AM1311" i="20"/>
  <c r="AM1310" i="20"/>
  <c r="AM1309" i="20"/>
  <c r="AM1308" i="20"/>
  <c r="AM1307" i="20"/>
  <c r="AM1306" i="20"/>
  <c r="AM1305" i="20"/>
  <c r="AM1304" i="20"/>
  <c r="AM1303" i="20"/>
  <c r="AM1302" i="20"/>
  <c r="AM1301" i="20"/>
  <c r="AM1300" i="20"/>
  <c r="AM1299" i="20"/>
  <c r="AM1298" i="20"/>
  <c r="AM1297" i="20"/>
  <c r="AM1296" i="20"/>
  <c r="AM1295" i="20"/>
  <c r="AM1294" i="20"/>
  <c r="AM1293" i="20"/>
  <c r="AM1292" i="20"/>
  <c r="AM1291" i="20"/>
  <c r="AM1290" i="20"/>
  <c r="AM1289" i="20"/>
  <c r="AM1288" i="20"/>
  <c r="AM1287" i="20"/>
  <c r="AM1286" i="20"/>
  <c r="AM1285" i="20"/>
  <c r="AM1284" i="20"/>
  <c r="AM1283" i="20"/>
  <c r="AM1282" i="20"/>
  <c r="AM1281" i="20"/>
  <c r="AM1280" i="20"/>
  <c r="AM1279" i="20"/>
  <c r="AM1278" i="20"/>
  <c r="AM1277" i="20"/>
  <c r="AM1276" i="20"/>
  <c r="AM1275" i="20"/>
  <c r="AM1274" i="20"/>
  <c r="AM1273" i="20"/>
  <c r="AM1272" i="20"/>
  <c r="AM1271" i="20"/>
  <c r="AM1270" i="20"/>
  <c r="AM1269" i="20"/>
  <c r="AM1268" i="20"/>
  <c r="AM1267" i="20"/>
  <c r="AM1266" i="20"/>
  <c r="AM1265" i="20"/>
  <c r="AM1264" i="20"/>
  <c r="AM1263" i="20"/>
  <c r="AM1262" i="20"/>
  <c r="AM1261" i="20"/>
  <c r="AM1260" i="20"/>
  <c r="AM1259" i="20"/>
  <c r="AM1258" i="20"/>
  <c r="AM1257" i="20"/>
  <c r="AM1256" i="20"/>
  <c r="AM1255" i="20"/>
  <c r="AM1254" i="20"/>
  <c r="AM1253" i="20"/>
  <c r="AM1252" i="20"/>
  <c r="AM1251" i="20"/>
  <c r="AM1250" i="20"/>
  <c r="AM1249" i="20"/>
  <c r="AM1248" i="20"/>
  <c r="AM1247" i="20"/>
  <c r="AM1246" i="20"/>
  <c r="AM1245" i="20"/>
  <c r="AM1244" i="20"/>
  <c r="AM1243" i="20"/>
  <c r="AM1242" i="20"/>
  <c r="AM1241" i="20"/>
  <c r="AM1240" i="20"/>
  <c r="AM1239" i="20"/>
  <c r="AM1238" i="20"/>
  <c r="AM1237" i="20"/>
  <c r="AM1236" i="20"/>
  <c r="AM1235" i="20"/>
  <c r="AM1234" i="20"/>
  <c r="AM1233" i="20"/>
  <c r="AM1232" i="20"/>
  <c r="AM1231" i="20"/>
  <c r="AM1230" i="20"/>
  <c r="AM1229" i="20"/>
  <c r="AM1228" i="20"/>
  <c r="AM1227" i="20"/>
  <c r="AM1226" i="20"/>
  <c r="AM1225" i="20"/>
  <c r="AM1224" i="20"/>
  <c r="AM1223" i="20"/>
  <c r="AM1222" i="20"/>
  <c r="AM1221" i="20"/>
  <c r="AM1220" i="20"/>
  <c r="AM1219" i="20"/>
  <c r="AM1218" i="20"/>
  <c r="AM1217" i="20"/>
  <c r="AM1216" i="20"/>
  <c r="AM1215" i="20"/>
  <c r="AM1214" i="20"/>
  <c r="AM1213" i="20"/>
  <c r="AM1212" i="20"/>
  <c r="AM1211" i="20"/>
  <c r="AM1210" i="20"/>
  <c r="AM1209" i="20"/>
  <c r="AM1208" i="20"/>
  <c r="AM1207" i="20"/>
  <c r="AM1206" i="20"/>
  <c r="AM1205" i="20"/>
  <c r="AM1204" i="20"/>
  <c r="AM1203" i="20"/>
  <c r="AM1202" i="20"/>
  <c r="AM1201" i="20"/>
  <c r="AM1200" i="20"/>
  <c r="AM1199" i="20"/>
  <c r="AM1198" i="20"/>
  <c r="AM1197" i="20"/>
  <c r="AM1196" i="20"/>
  <c r="AM1195" i="20"/>
  <c r="AM1194" i="20"/>
  <c r="AM1193" i="20"/>
  <c r="AM1192" i="20"/>
  <c r="AM1191" i="20"/>
  <c r="AM1190" i="20"/>
  <c r="AM1189" i="20"/>
  <c r="AM1188" i="20"/>
  <c r="AM1187" i="20"/>
  <c r="AM1186" i="20"/>
  <c r="AM1185" i="20"/>
  <c r="AM1184" i="20"/>
  <c r="AM1183" i="20"/>
  <c r="AM1182" i="20"/>
  <c r="AM1181" i="20"/>
  <c r="AM1180" i="20"/>
  <c r="AM1179" i="20"/>
  <c r="AM1178" i="20"/>
  <c r="AM1177" i="20"/>
  <c r="AM1176" i="20"/>
  <c r="AM1175" i="20"/>
  <c r="AM1174" i="20"/>
  <c r="AM1173" i="20"/>
  <c r="AM1172" i="20"/>
  <c r="AM1171" i="20"/>
  <c r="AM1170" i="20"/>
  <c r="AM1169" i="20"/>
  <c r="AM1168" i="20"/>
  <c r="AM1167" i="20"/>
  <c r="AM1166" i="20"/>
  <c r="AM1165" i="20"/>
  <c r="AM1164"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47" i="20"/>
  <c r="A1148" i="20"/>
  <c r="A1149" i="20"/>
  <c r="A1150" i="20"/>
  <c r="A1151" i="20"/>
  <c r="A1152" i="20"/>
  <c r="A1153" i="20"/>
  <c r="A1154" i="20"/>
  <c r="A1155" i="20"/>
  <c r="A1156" i="20"/>
  <c r="A1157" i="20"/>
  <c r="A1158" i="20"/>
  <c r="A1159" i="20"/>
  <c r="A1160" i="20"/>
  <c r="A1161" i="20"/>
  <c r="A1162" i="20"/>
  <c r="A1163" i="20"/>
  <c r="AM1147" i="20"/>
  <c r="AM1148" i="20"/>
  <c r="AM1149" i="20"/>
  <c r="AM1150" i="20"/>
  <c r="AM1151" i="20"/>
  <c r="AM1152" i="20"/>
  <c r="AM1153" i="20"/>
  <c r="AM1154" i="20"/>
  <c r="AM1155" i="20"/>
  <c r="AM1156" i="20"/>
  <c r="AM1157" i="20"/>
  <c r="AM1158" i="20"/>
  <c r="AM1159" i="20"/>
  <c r="AM1160" i="20"/>
  <c r="AM1161" i="20"/>
  <c r="AM1162" i="20"/>
  <c r="AM1163" i="20"/>
  <c r="AO1147" i="20"/>
  <c r="AR1147" i="20" s="1"/>
  <c r="AO1148" i="20"/>
  <c r="AR1148" i="20" s="1"/>
  <c r="AO1149" i="20"/>
  <c r="AP1149" i="20" s="1"/>
  <c r="AO1150" i="20"/>
  <c r="AO1151" i="20"/>
  <c r="AR1151" i="20" s="1"/>
  <c r="AO1152" i="20"/>
  <c r="AR1152" i="20" s="1"/>
  <c r="AO1153" i="20"/>
  <c r="AP1153" i="20" s="1"/>
  <c r="AO1154" i="20"/>
  <c r="AP1154" i="20" s="1"/>
  <c r="AO1155" i="20"/>
  <c r="AP1155" i="20" s="1"/>
  <c r="AO1156" i="20"/>
  <c r="AP1156" i="20" s="1"/>
  <c r="AO1157" i="20"/>
  <c r="AP1157" i="20" s="1"/>
  <c r="AO1158" i="20"/>
  <c r="AR1158" i="20" s="1"/>
  <c r="AO1159" i="20"/>
  <c r="AP1159" i="20" s="1"/>
  <c r="AO1160" i="20"/>
  <c r="AP1160" i="20" s="1"/>
  <c r="AO1161" i="20"/>
  <c r="AP1161" i="20" s="1"/>
  <c r="AO1162" i="20"/>
  <c r="AP1162" i="20" s="1"/>
  <c r="AO1163" i="20"/>
  <c r="AR1163" i="20" s="1"/>
  <c r="AQ1147" i="20"/>
  <c r="AQ1148" i="20"/>
  <c r="AQ1149" i="20"/>
  <c r="AQ1150" i="20"/>
  <c r="AQ1151" i="20"/>
  <c r="AQ1152" i="20"/>
  <c r="AQ1153" i="20"/>
  <c r="AQ1154" i="20"/>
  <c r="AQ1155" i="20"/>
  <c r="AQ1156" i="20"/>
  <c r="AQ1157" i="20"/>
  <c r="AQ1158" i="20"/>
  <c r="AQ1159" i="20"/>
  <c r="AQ1160" i="20"/>
  <c r="AQ1161" i="20"/>
  <c r="AQ1162" i="20"/>
  <c r="AQ1163" i="20"/>
  <c r="AS1147" i="20"/>
  <c r="AS1148" i="20"/>
  <c r="AS1149" i="20"/>
  <c r="AS1150" i="20"/>
  <c r="AS1151" i="20"/>
  <c r="AS1152" i="20"/>
  <c r="AS1153" i="20"/>
  <c r="AS1154" i="20"/>
  <c r="AS1155" i="20"/>
  <c r="AS1156" i="20"/>
  <c r="AS1157" i="20"/>
  <c r="AS1158" i="20"/>
  <c r="AS1159" i="20"/>
  <c r="AS1160" i="20"/>
  <c r="AS1161" i="20"/>
  <c r="AS1162" i="20"/>
  <c r="AS1163" i="20"/>
  <c r="A24" i="20"/>
  <c r="AM24" i="20"/>
  <c r="AO24" i="20"/>
  <c r="AP24" i="20" s="1"/>
  <c r="AQ24" i="20"/>
  <c r="A16" i="20"/>
  <c r="W4" i="43"/>
  <c r="AS1072" i="20"/>
  <c r="AS1069" i="20"/>
  <c r="AS1071" i="20"/>
  <c r="AS1070" i="20"/>
  <c r="AS1068" i="20"/>
  <c r="AS1067" i="20"/>
  <c r="AS1066" i="20"/>
  <c r="AS1065" i="20"/>
  <c r="AS1064" i="20"/>
  <c r="AS1063" i="20"/>
  <c r="AS1062" i="20"/>
  <c r="AS1061" i="20"/>
  <c r="AS1054" i="20"/>
  <c r="AS1056" i="20"/>
  <c r="AS1053" i="20"/>
  <c r="AS1052" i="20"/>
  <c r="AS1050" i="20"/>
  <c r="AS1044" i="20"/>
  <c r="AS1043" i="20"/>
  <c r="AS1042" i="20"/>
  <c r="AS1041" i="20"/>
  <c r="AS1040" i="20"/>
  <c r="AS1036" i="20"/>
  <c r="AS1039" i="20"/>
  <c r="AS1034" i="20"/>
  <c r="AS1033" i="20"/>
  <c r="AS1032" i="20"/>
  <c r="AS1031" i="20"/>
  <c r="AS1029" i="20"/>
  <c r="AS1027" i="20"/>
  <c r="AS1026" i="20"/>
  <c r="AS1025" i="20"/>
  <c r="AS1024" i="20"/>
  <c r="AS1021" i="20"/>
  <c r="AS1020" i="20"/>
  <c r="AS1019" i="20"/>
  <c r="AS1017" i="20"/>
  <c r="AS1016" i="20"/>
  <c r="AS1015" i="20"/>
  <c r="AS1014" i="20"/>
  <c r="AS1011" i="20"/>
  <c r="AS1010" i="20"/>
  <c r="AS1006" i="20"/>
  <c r="AS1002" i="20"/>
  <c r="AS1001" i="20"/>
  <c r="AS1000" i="20"/>
  <c r="AS991" i="20"/>
  <c r="AS990" i="20"/>
  <c r="AS989" i="20"/>
  <c r="AS988" i="20"/>
  <c r="AS986" i="20"/>
  <c r="AS1003" i="20"/>
  <c r="AS999" i="20"/>
  <c r="AS998" i="20"/>
  <c r="AS992" i="20"/>
  <c r="AS985" i="20"/>
  <c r="AS983" i="20"/>
  <c r="AS979" i="20"/>
  <c r="AS978" i="20"/>
  <c r="AS976" i="20"/>
  <c r="AS974" i="20"/>
  <c r="AS973" i="20"/>
  <c r="AS971" i="20"/>
  <c r="AS970" i="20"/>
  <c r="AS969" i="20"/>
  <c r="AS967" i="20"/>
  <c r="AS946" i="20"/>
  <c r="AS945" i="20"/>
  <c r="AS940" i="20"/>
  <c r="AS937" i="20"/>
  <c r="AS941" i="20"/>
  <c r="AS936" i="20"/>
  <c r="AS935" i="20"/>
  <c r="AS934" i="20"/>
  <c r="AS933" i="20"/>
  <c r="AS932" i="20"/>
  <c r="AS930" i="20"/>
  <c r="AS929" i="20"/>
  <c r="AS922" i="20"/>
  <c r="AS921" i="20"/>
  <c r="AS920" i="20"/>
  <c r="AS919" i="20"/>
  <c r="AS912" i="20"/>
  <c r="AS911" i="20"/>
  <c r="AS910" i="20"/>
  <c r="AS904" i="20"/>
  <c r="AS903" i="20"/>
  <c r="AS902" i="20"/>
  <c r="AS901" i="20"/>
  <c r="AS900" i="20"/>
  <c r="AS897" i="20"/>
  <c r="AS895" i="20"/>
  <c r="AS892" i="20"/>
  <c r="AS896" i="20"/>
  <c r="AS890" i="20"/>
  <c r="AS889" i="20"/>
  <c r="AS888" i="20"/>
  <c r="AS887" i="20"/>
  <c r="AS872" i="20"/>
  <c r="AS870" i="20"/>
  <c r="AS868" i="20"/>
  <c r="AS867" i="20"/>
  <c r="AS866" i="20"/>
  <c r="AS865" i="20"/>
  <c r="AS864" i="20"/>
  <c r="AS849" i="20"/>
  <c r="AS848" i="20"/>
  <c r="AS847" i="20"/>
  <c r="AS845" i="20"/>
  <c r="AS843" i="20"/>
  <c r="AS842" i="20"/>
  <c r="AS841" i="20"/>
  <c r="AS840" i="20"/>
  <c r="AS839" i="20"/>
  <c r="AS838" i="20"/>
  <c r="AS837" i="20"/>
  <c r="AS836" i="20"/>
  <c r="AS834" i="20"/>
  <c r="AS833" i="20"/>
  <c r="AS831" i="20"/>
  <c r="AS830" i="20"/>
  <c r="AS826" i="20"/>
  <c r="AS822" i="20"/>
  <c r="AS821" i="20"/>
  <c r="AS820" i="20"/>
  <c r="AS819" i="20"/>
  <c r="AS813" i="20"/>
  <c r="AS812" i="20"/>
  <c r="AS810" i="20"/>
  <c r="AS806" i="20"/>
  <c r="AS805" i="20"/>
  <c r="AS804" i="20"/>
  <c r="AS803" i="20"/>
  <c r="AS802" i="20"/>
  <c r="AS799" i="20"/>
  <c r="AS798" i="20"/>
  <c r="AS797" i="20"/>
  <c r="AS794" i="20"/>
  <c r="AS793" i="20"/>
  <c r="AS792" i="20"/>
  <c r="AS791" i="20"/>
  <c r="AS790" i="20"/>
  <c r="AS784" i="20"/>
  <c r="AS783" i="20"/>
  <c r="AS781" i="20"/>
  <c r="AS779" i="20"/>
  <c r="AS778" i="20"/>
  <c r="AS763" i="20"/>
  <c r="AS759" i="20"/>
  <c r="AS757" i="20"/>
  <c r="AS756" i="20"/>
  <c r="AS751" i="20"/>
  <c r="AS750" i="20"/>
  <c r="AS749" i="20"/>
  <c r="AS748" i="20"/>
  <c r="AS747" i="20"/>
  <c r="AS746" i="20"/>
  <c r="AS745" i="20"/>
  <c r="AS743" i="20"/>
  <c r="AS740" i="20"/>
  <c r="AS739" i="20"/>
  <c r="AS738" i="20"/>
  <c r="AS737" i="20"/>
  <c r="AS736" i="20"/>
  <c r="AS734" i="20"/>
  <c r="AS732" i="20"/>
  <c r="AS730" i="20"/>
  <c r="AS729" i="20"/>
  <c r="AS728" i="20"/>
  <c r="AS727" i="20"/>
  <c r="AS718" i="20"/>
  <c r="AS716" i="20"/>
  <c r="AS715" i="20"/>
  <c r="AS700" i="20"/>
  <c r="AS699" i="20"/>
  <c r="AS698" i="20"/>
  <c r="AS697" i="20"/>
  <c r="AS696" i="20"/>
  <c r="AS695" i="20"/>
  <c r="AS694" i="20"/>
  <c r="AS693" i="20"/>
  <c r="AS689" i="20"/>
  <c r="AS688" i="20"/>
  <c r="AS686" i="20"/>
  <c r="AS685" i="20"/>
  <c r="AS684" i="20"/>
  <c r="AS683" i="20"/>
  <c r="AS680" i="20"/>
  <c r="AS677" i="20"/>
  <c r="AS676" i="20"/>
  <c r="AS673" i="20"/>
  <c r="AS671" i="20"/>
  <c r="AS667" i="20"/>
  <c r="AS666" i="20"/>
  <c r="AS664" i="20"/>
  <c r="AS663" i="20"/>
  <c r="AS662" i="20"/>
  <c r="AS660" i="20"/>
  <c r="AS655" i="20"/>
  <c r="AS654" i="20"/>
  <c r="AS653" i="20"/>
  <c r="AS652" i="20"/>
  <c r="AS650" i="20"/>
  <c r="AS648" i="20"/>
  <c r="AS647" i="20"/>
  <c r="AS646" i="20"/>
  <c r="AS643" i="20"/>
  <c r="AS642" i="20"/>
  <c r="AS641" i="20"/>
  <c r="AS645" i="20"/>
  <c r="AS640" i="20"/>
  <c r="AS638" i="20"/>
  <c r="AS636" i="20"/>
  <c r="AS635" i="20"/>
  <c r="AS634" i="20"/>
  <c r="AS633" i="20"/>
  <c r="AS632" i="20"/>
  <c r="AS631" i="20"/>
  <c r="AS630" i="20"/>
  <c r="AS629" i="20"/>
  <c r="AS628" i="20"/>
  <c r="AS627" i="20"/>
  <c r="AS626" i="20"/>
  <c r="AS625" i="20"/>
  <c r="AS624" i="20"/>
  <c r="AS623" i="20"/>
  <c r="AS622" i="20"/>
  <c r="AS619" i="20"/>
  <c r="AS618" i="20"/>
  <c r="AS617" i="20"/>
  <c r="AS616" i="20"/>
  <c r="AS615" i="20"/>
  <c r="AS614" i="20"/>
  <c r="AS613" i="20"/>
  <c r="AS612" i="20"/>
  <c r="AS611" i="20"/>
  <c r="AS610" i="20"/>
  <c r="AS608" i="20"/>
  <c r="AS607" i="20"/>
  <c r="AS606" i="20"/>
  <c r="AS605" i="20"/>
  <c r="AS604" i="20"/>
  <c r="AS603" i="20"/>
  <c r="AS602" i="20"/>
  <c r="AS600" i="20"/>
  <c r="AS599" i="20"/>
  <c r="AS598" i="20"/>
  <c r="AS594" i="20"/>
  <c r="AS591" i="20"/>
  <c r="AS590" i="20"/>
  <c r="AS589" i="20"/>
  <c r="AS588" i="20"/>
  <c r="AS587" i="20"/>
  <c r="AS586" i="20"/>
  <c r="AS582" i="20"/>
  <c r="AS581" i="20"/>
  <c r="AS580" i="20"/>
  <c r="AS579" i="20"/>
  <c r="AS578" i="20"/>
  <c r="AS577" i="20"/>
  <c r="AS576" i="20"/>
  <c r="AS575" i="20"/>
  <c r="AS572" i="20"/>
  <c r="AS570" i="20"/>
  <c r="AS569" i="20"/>
  <c r="AS568" i="20"/>
  <c r="AS566" i="20"/>
  <c r="AS564" i="20"/>
  <c r="AS563" i="20"/>
  <c r="AS562" i="20"/>
  <c r="AS560" i="20"/>
  <c r="AS559" i="20"/>
  <c r="AS558" i="20"/>
  <c r="AS556" i="20"/>
  <c r="AS554" i="20"/>
  <c r="AS553" i="20"/>
  <c r="AS552" i="20"/>
  <c r="AS551" i="20"/>
  <c r="AS550" i="20"/>
  <c r="AS549" i="20"/>
  <c r="AS548" i="20"/>
  <c r="AS546" i="20"/>
  <c r="AS544" i="20"/>
  <c r="AS542" i="20"/>
  <c r="AS540" i="20"/>
  <c r="AS539" i="20"/>
  <c r="AS538" i="20"/>
  <c r="AS534" i="20"/>
  <c r="AS533" i="20"/>
  <c r="AS532" i="20"/>
  <c r="AS531" i="20"/>
  <c r="AS527" i="20"/>
  <c r="AS526" i="20"/>
  <c r="AS525" i="20"/>
  <c r="AS522" i="20"/>
  <c r="AS521" i="20"/>
  <c r="AS519" i="20"/>
  <c r="AS516" i="20"/>
  <c r="AS511" i="20"/>
  <c r="AS510" i="20"/>
  <c r="AS509" i="20"/>
  <c r="AS501" i="20"/>
  <c r="AS500" i="20"/>
  <c r="AS499" i="20"/>
  <c r="AS498" i="20"/>
  <c r="AS496" i="20"/>
  <c r="AS492" i="20"/>
  <c r="AS491" i="20"/>
  <c r="AS489" i="20"/>
  <c r="AS488" i="20"/>
  <c r="AS487" i="20"/>
  <c r="AS486" i="20"/>
  <c r="AS485" i="20"/>
  <c r="AS483" i="20"/>
  <c r="AS482" i="20"/>
  <c r="AS490" i="20"/>
  <c r="AS480" i="20"/>
  <c r="AS479" i="20"/>
  <c r="AS478" i="20"/>
  <c r="AS477" i="20"/>
  <c r="AS476" i="20"/>
  <c r="AS475" i="20"/>
  <c r="AS474" i="20"/>
  <c r="AS473" i="20"/>
  <c r="AS471" i="20"/>
  <c r="AS470" i="20"/>
  <c r="AS469" i="20"/>
  <c r="AS468" i="20"/>
  <c r="AS466" i="20"/>
  <c r="AS465" i="20"/>
  <c r="AS464" i="20"/>
  <c r="AS463" i="20"/>
  <c r="AS462" i="20"/>
  <c r="AS457" i="20"/>
  <c r="AS456" i="20"/>
  <c r="AS453" i="20"/>
  <c r="AS449" i="20"/>
  <c r="AS448" i="20"/>
  <c r="AS447" i="20"/>
  <c r="AS446" i="20"/>
  <c r="AS442" i="20"/>
  <c r="AS440" i="20"/>
  <c r="AS439" i="20"/>
  <c r="AS438" i="20"/>
  <c r="AS437" i="20"/>
  <c r="AS434" i="20"/>
  <c r="AS433" i="20"/>
  <c r="AS432" i="20"/>
  <c r="AS431" i="20"/>
  <c r="AS430" i="20"/>
  <c r="AS426" i="20"/>
  <c r="AS425" i="20"/>
  <c r="AS424" i="20"/>
  <c r="AS423" i="20"/>
  <c r="AS422" i="20"/>
  <c r="AS421" i="20"/>
  <c r="AS420" i="20"/>
  <c r="AS419" i="20"/>
  <c r="AS418" i="20"/>
  <c r="AS417" i="20"/>
  <c r="AS416" i="20"/>
  <c r="AS415" i="20"/>
  <c r="AS414" i="20"/>
  <c r="AS408" i="20"/>
  <c r="AS405" i="20"/>
  <c r="AS399" i="20"/>
  <c r="AS398" i="20"/>
  <c r="AS394" i="20"/>
  <c r="AS393" i="20"/>
  <c r="AS392" i="20"/>
  <c r="AS391" i="20"/>
  <c r="AS390" i="20"/>
  <c r="AS388" i="20"/>
  <c r="AS387" i="20"/>
  <c r="AS373" i="20"/>
  <c r="AS372" i="20"/>
  <c r="AS370" i="20"/>
  <c r="AS350" i="20"/>
  <c r="AS347" i="20"/>
  <c r="AS345" i="20"/>
  <c r="AS332" i="20"/>
  <c r="AS369" i="20"/>
  <c r="AS368" i="20"/>
  <c r="AS329" i="20"/>
  <c r="AS327" i="20"/>
  <c r="AS325" i="20"/>
  <c r="AS321" i="20"/>
  <c r="AS320" i="20"/>
  <c r="AS319" i="20"/>
  <c r="AS317" i="20"/>
  <c r="AS315" i="20"/>
  <c r="AS316" i="20"/>
  <c r="AS313" i="20"/>
  <c r="AS312" i="20"/>
  <c r="AS311" i="20"/>
  <c r="AS309" i="20"/>
  <c r="AS308" i="20"/>
  <c r="AS307" i="20"/>
  <c r="AS306" i="20"/>
  <c r="AS305" i="20"/>
  <c r="AS301" i="20"/>
  <c r="AS300" i="20"/>
  <c r="AS298" i="20"/>
  <c r="AS297" i="20"/>
  <c r="AS296" i="20"/>
  <c r="AS295" i="20"/>
  <c r="AS294" i="20"/>
  <c r="AS292" i="20"/>
  <c r="AS291" i="20"/>
  <c r="AS290" i="20"/>
  <c r="AS289" i="20"/>
  <c r="AS288" i="20"/>
  <c r="AS285" i="20"/>
  <c r="AS282" i="20"/>
  <c r="AS281" i="20"/>
  <c r="AS279" i="20"/>
  <c r="AS283" i="20"/>
  <c r="AS276" i="20"/>
  <c r="AS275" i="20"/>
  <c r="AS274" i="20"/>
  <c r="AS273" i="20"/>
  <c r="AS271" i="20"/>
  <c r="AS268" i="20"/>
  <c r="AS263" i="20"/>
  <c r="AS261" i="20"/>
  <c r="AS260" i="20"/>
  <c r="AS259" i="20"/>
  <c r="AS258" i="20"/>
  <c r="AS256" i="20"/>
  <c r="AS255" i="20"/>
  <c r="AS254" i="20"/>
  <c r="AS253" i="20"/>
  <c r="AS252" i="20"/>
  <c r="AS251" i="20"/>
  <c r="AS249" i="20"/>
  <c r="AS242" i="20"/>
  <c r="AS241" i="20"/>
  <c r="AS240" i="20"/>
  <c r="AS239" i="20"/>
  <c r="AS238" i="20"/>
  <c r="AS234" i="20"/>
  <c r="AS233" i="20"/>
  <c r="AS232" i="20"/>
  <c r="AS231" i="20"/>
  <c r="AS230" i="20"/>
  <c r="AS229" i="20"/>
  <c r="AS228" i="20"/>
  <c r="AS227" i="20"/>
  <c r="AS226" i="20"/>
  <c r="AS225" i="20"/>
  <c r="AS224" i="20"/>
  <c r="AS223" i="20"/>
  <c r="AS219" i="20"/>
  <c r="AS215" i="20"/>
  <c r="AS214" i="20"/>
  <c r="AS207" i="20"/>
  <c r="AS206" i="20"/>
  <c r="AS205" i="20"/>
  <c r="AS203" i="20"/>
  <c r="AS201" i="20"/>
  <c r="AS200" i="20"/>
  <c r="AS199" i="20"/>
  <c r="AS196" i="20"/>
  <c r="AS195" i="20"/>
  <c r="AS194" i="20"/>
  <c r="AS192" i="20"/>
  <c r="AS191" i="20"/>
  <c r="AS190" i="20"/>
  <c r="AS187" i="20"/>
  <c r="AS186" i="20"/>
  <c r="AS183" i="20"/>
  <c r="AS181" i="20"/>
  <c r="AS180" i="20"/>
  <c r="AS179" i="20"/>
  <c r="AS178" i="20"/>
  <c r="AS177" i="20"/>
  <c r="AS175" i="20"/>
  <c r="AS172" i="20"/>
  <c r="AS167" i="20"/>
  <c r="AS166" i="20"/>
  <c r="AS165" i="20"/>
  <c r="AS157" i="20"/>
  <c r="AS156" i="20"/>
  <c r="AS155" i="20"/>
  <c r="AS154" i="20"/>
  <c r="AS153" i="20"/>
  <c r="AS152" i="20"/>
  <c r="AS151" i="20"/>
  <c r="AS150" i="20"/>
  <c r="AS149" i="20"/>
  <c r="AS148" i="20"/>
  <c r="AS142" i="20"/>
  <c r="AS141" i="20"/>
  <c r="AS140" i="20"/>
  <c r="AS139" i="20"/>
  <c r="AS137" i="20"/>
  <c r="AS136" i="20"/>
  <c r="AS133" i="20"/>
  <c r="AS134" i="20"/>
  <c r="AS129" i="20"/>
  <c r="AS128" i="20"/>
  <c r="AS125" i="20"/>
  <c r="AS124" i="20"/>
  <c r="AS126" i="20"/>
  <c r="AS120" i="20"/>
  <c r="AS123" i="20"/>
  <c r="AS119" i="20"/>
  <c r="AS117" i="20"/>
  <c r="AS116" i="20"/>
  <c r="AS115" i="20"/>
  <c r="AS112" i="20"/>
  <c r="AS114" i="20"/>
  <c r="AS111" i="20"/>
  <c r="AS110" i="20"/>
  <c r="AS109" i="20"/>
  <c r="AS106" i="20"/>
  <c r="AS108" i="20"/>
  <c r="AS107" i="20"/>
  <c r="AS104" i="20"/>
  <c r="AS103" i="20"/>
  <c r="AS87" i="20"/>
  <c r="AS95" i="20"/>
  <c r="AS98" i="20"/>
  <c r="AS96" i="20"/>
  <c r="AS94" i="20"/>
  <c r="AS86" i="20"/>
  <c r="AS83" i="20"/>
  <c r="AS81" i="20"/>
  <c r="AS79" i="20"/>
  <c r="AS75" i="20"/>
  <c r="AS71" i="20"/>
  <c r="AS69" i="20"/>
  <c r="AS66" i="20"/>
  <c r="AS70" i="20"/>
  <c r="AS67" i="20"/>
  <c r="AS65" i="20"/>
  <c r="AS63" i="20"/>
  <c r="AS62" i="20"/>
  <c r="AS61" i="20"/>
  <c r="AS60" i="20"/>
  <c r="AS59" i="20"/>
  <c r="AS57" i="20"/>
  <c r="AS55" i="20"/>
  <c r="AS56" i="20"/>
  <c r="AS53" i="20"/>
  <c r="AS51" i="20"/>
  <c r="AS49" i="20"/>
  <c r="AS48" i="20"/>
  <c r="AS47" i="20"/>
  <c r="AS46" i="20"/>
  <c r="AS44" i="20"/>
  <c r="AS28" i="20"/>
  <c r="AS25" i="20"/>
  <c r="AQ1077" i="20"/>
  <c r="AQ1076" i="20"/>
  <c r="AQ1075" i="20"/>
  <c r="AQ1074" i="20"/>
  <c r="AQ1073" i="20"/>
  <c r="AQ1072" i="20"/>
  <c r="AQ1069" i="20"/>
  <c r="AQ1071" i="20"/>
  <c r="AQ1070" i="20"/>
  <c r="AQ1068" i="20"/>
  <c r="AQ1067" i="20"/>
  <c r="AQ1066" i="20"/>
  <c r="AQ1065" i="20"/>
  <c r="AQ1064" i="20"/>
  <c r="AQ1063" i="20"/>
  <c r="AQ1062" i="20"/>
  <c r="AQ1061" i="20"/>
  <c r="AQ1054" i="20"/>
  <c r="AQ1056" i="20"/>
  <c r="AQ1053" i="20"/>
  <c r="AQ1052" i="20"/>
  <c r="AQ1050" i="20"/>
  <c r="AQ1044" i="20"/>
  <c r="AQ1043" i="20"/>
  <c r="AQ1042" i="20"/>
  <c r="AQ1041" i="20"/>
  <c r="AQ1040" i="20"/>
  <c r="AQ1036" i="20"/>
  <c r="AQ1039" i="20"/>
  <c r="AQ1034" i="20"/>
  <c r="AQ1033" i="20"/>
  <c r="AQ1032" i="20"/>
  <c r="AQ1031" i="20"/>
  <c r="AQ1029" i="20"/>
  <c r="AQ1027" i="20"/>
  <c r="AQ1026" i="20"/>
  <c r="AQ1025" i="20"/>
  <c r="AQ1024" i="20"/>
  <c r="AQ1021" i="20"/>
  <c r="AQ1020" i="20"/>
  <c r="AQ1019" i="20"/>
  <c r="AQ1017" i="20"/>
  <c r="AQ1016" i="20"/>
  <c r="AQ1015" i="20"/>
  <c r="AQ1014" i="20"/>
  <c r="AQ1011" i="20"/>
  <c r="AQ1010" i="20"/>
  <c r="AQ1006" i="20"/>
  <c r="AQ1002" i="20"/>
  <c r="AQ1001" i="20"/>
  <c r="AQ1000" i="20"/>
  <c r="AQ991" i="20"/>
  <c r="AQ990" i="20"/>
  <c r="AQ989" i="20"/>
  <c r="AQ988" i="20"/>
  <c r="AQ986" i="20"/>
  <c r="AQ1003" i="20"/>
  <c r="AQ999" i="20"/>
  <c r="AQ998" i="20"/>
  <c r="AQ992" i="20"/>
  <c r="AQ985" i="20"/>
  <c r="AQ983" i="20"/>
  <c r="AQ979" i="20"/>
  <c r="AQ978" i="20"/>
  <c r="AQ976" i="20"/>
  <c r="AQ974" i="20"/>
  <c r="AQ973" i="20"/>
  <c r="AQ971" i="20"/>
  <c r="AQ970" i="20"/>
  <c r="AQ969" i="20"/>
  <c r="AQ967" i="20"/>
  <c r="AQ946" i="20"/>
  <c r="AQ945" i="20"/>
  <c r="AQ940" i="20"/>
  <c r="AQ937" i="20"/>
  <c r="AQ941" i="20"/>
  <c r="AQ936" i="20"/>
  <c r="AQ935" i="20"/>
  <c r="AQ934" i="20"/>
  <c r="AQ933" i="20"/>
  <c r="AQ932" i="20"/>
  <c r="AQ930" i="20"/>
  <c r="AQ929" i="20"/>
  <c r="AQ922" i="20"/>
  <c r="AQ921" i="20"/>
  <c r="AQ920" i="20"/>
  <c r="AQ919" i="20"/>
  <c r="AQ912" i="20"/>
  <c r="AQ911" i="20"/>
  <c r="AQ910" i="20"/>
  <c r="AQ904" i="20"/>
  <c r="AQ903" i="20"/>
  <c r="AQ902" i="20"/>
  <c r="AQ901" i="20"/>
  <c r="AQ900" i="20"/>
  <c r="AQ897" i="20"/>
  <c r="AQ895" i="20"/>
  <c r="AQ892" i="20"/>
  <c r="AQ896" i="20"/>
  <c r="AQ890" i="20"/>
  <c r="AQ889" i="20"/>
  <c r="AQ888" i="20"/>
  <c r="AQ887" i="20"/>
  <c r="AQ872" i="20"/>
  <c r="AQ870" i="20"/>
  <c r="AQ868" i="20"/>
  <c r="AQ867" i="20"/>
  <c r="AQ866" i="20"/>
  <c r="AQ865" i="20"/>
  <c r="AQ864" i="20"/>
  <c r="AQ849" i="20"/>
  <c r="AQ848" i="20"/>
  <c r="AQ847" i="20"/>
  <c r="AQ845" i="20"/>
  <c r="AQ843" i="20"/>
  <c r="AQ842" i="20"/>
  <c r="AQ841" i="20"/>
  <c r="AQ840" i="20"/>
  <c r="AQ839" i="20"/>
  <c r="AQ838" i="20"/>
  <c r="AQ837" i="20"/>
  <c r="AQ836" i="20"/>
  <c r="AQ834" i="20"/>
  <c r="AQ833" i="20"/>
  <c r="AQ831" i="20"/>
  <c r="AQ830" i="20"/>
  <c r="AQ826" i="20"/>
  <c r="AQ822" i="20"/>
  <c r="AQ821" i="20"/>
  <c r="AQ820" i="20"/>
  <c r="AQ819" i="20"/>
  <c r="AQ813" i="20"/>
  <c r="AQ812" i="20"/>
  <c r="AQ810" i="20"/>
  <c r="AQ806" i="20"/>
  <c r="AQ805" i="20"/>
  <c r="AQ804" i="20"/>
  <c r="AQ803" i="20"/>
  <c r="AQ802" i="20"/>
  <c r="AQ799" i="20"/>
  <c r="AQ798" i="20"/>
  <c r="AQ797" i="20"/>
  <c r="AQ794" i="20"/>
  <c r="AQ793" i="20"/>
  <c r="AQ792" i="20"/>
  <c r="AQ791" i="20"/>
  <c r="AQ790" i="20"/>
  <c r="AQ784" i="20"/>
  <c r="AQ783" i="20"/>
  <c r="AQ781" i="20"/>
  <c r="AQ779" i="20"/>
  <c r="AQ778" i="20"/>
  <c r="AQ763" i="20"/>
  <c r="AQ759" i="20"/>
  <c r="AQ757" i="20"/>
  <c r="AQ756" i="20"/>
  <c r="AQ751" i="20"/>
  <c r="AQ750" i="20"/>
  <c r="AQ749" i="20"/>
  <c r="AQ748" i="20"/>
  <c r="AQ747" i="20"/>
  <c r="AQ746" i="20"/>
  <c r="AQ745" i="20"/>
  <c r="AQ743" i="20"/>
  <c r="AQ740" i="20"/>
  <c r="AQ739" i="20"/>
  <c r="AQ738" i="20"/>
  <c r="AQ737" i="20"/>
  <c r="AQ736" i="20"/>
  <c r="AQ734" i="20"/>
  <c r="AQ732" i="20"/>
  <c r="AQ730" i="20"/>
  <c r="AQ729" i="20"/>
  <c r="AQ728" i="20"/>
  <c r="AQ727" i="20"/>
  <c r="AQ718" i="20"/>
  <c r="AQ716" i="20"/>
  <c r="AQ715" i="20"/>
  <c r="AQ700" i="20"/>
  <c r="AQ699" i="20"/>
  <c r="AQ698" i="20"/>
  <c r="AQ697" i="20"/>
  <c r="AQ696" i="20"/>
  <c r="AQ695" i="20"/>
  <c r="AQ694" i="20"/>
  <c r="AQ693" i="20"/>
  <c r="AQ689" i="20"/>
  <c r="AQ688" i="20"/>
  <c r="AQ686" i="20"/>
  <c r="AQ685" i="20"/>
  <c r="AQ684" i="20"/>
  <c r="AQ683" i="20"/>
  <c r="AQ680" i="20"/>
  <c r="AQ677" i="20"/>
  <c r="AQ676" i="20"/>
  <c r="AQ673" i="20"/>
  <c r="AQ671" i="20"/>
  <c r="AQ667" i="20"/>
  <c r="AQ666" i="20"/>
  <c r="AQ664" i="20"/>
  <c r="AQ663" i="20"/>
  <c r="AQ662" i="20"/>
  <c r="AQ660" i="20"/>
  <c r="AQ655" i="20"/>
  <c r="AQ654" i="20"/>
  <c r="AQ653" i="20"/>
  <c r="AQ652" i="20"/>
  <c r="AQ650" i="20"/>
  <c r="AQ648" i="20"/>
  <c r="AQ647" i="20"/>
  <c r="AQ646" i="20"/>
  <c r="AQ643" i="20"/>
  <c r="AQ642" i="20"/>
  <c r="AQ641" i="20"/>
  <c r="AQ645" i="20"/>
  <c r="AQ640" i="20"/>
  <c r="AQ638" i="20"/>
  <c r="AQ636" i="20"/>
  <c r="AQ635" i="20"/>
  <c r="AQ634" i="20"/>
  <c r="AQ633" i="20"/>
  <c r="AQ632" i="20"/>
  <c r="AQ631" i="20"/>
  <c r="AQ630" i="20"/>
  <c r="AQ629" i="20"/>
  <c r="AQ628" i="20"/>
  <c r="AQ627" i="20"/>
  <c r="AQ626" i="20"/>
  <c r="AQ625" i="20"/>
  <c r="AQ624" i="20"/>
  <c r="AQ623" i="20"/>
  <c r="AQ622" i="20"/>
  <c r="AQ619" i="20"/>
  <c r="AQ618" i="20"/>
  <c r="AQ617" i="20"/>
  <c r="AQ616" i="20"/>
  <c r="AQ615" i="20"/>
  <c r="AQ614" i="20"/>
  <c r="AQ613" i="20"/>
  <c r="AQ612" i="20"/>
  <c r="AQ611" i="20"/>
  <c r="AQ610" i="20"/>
  <c r="AQ608" i="20"/>
  <c r="AQ607" i="20"/>
  <c r="AQ606" i="20"/>
  <c r="AQ605" i="20"/>
  <c r="AQ604" i="20"/>
  <c r="AQ603" i="20"/>
  <c r="AQ602" i="20"/>
  <c r="AQ600" i="20"/>
  <c r="AQ599" i="20"/>
  <c r="AQ598" i="20"/>
  <c r="AQ594" i="20"/>
  <c r="AQ591" i="20"/>
  <c r="AQ590" i="20"/>
  <c r="AQ589" i="20"/>
  <c r="AQ588" i="20"/>
  <c r="AQ587" i="20"/>
  <c r="AQ586" i="20"/>
  <c r="AQ582" i="20"/>
  <c r="AQ581" i="20"/>
  <c r="AQ580" i="20"/>
  <c r="AQ579" i="20"/>
  <c r="AQ578" i="20"/>
  <c r="AQ577" i="20"/>
  <c r="AQ576" i="20"/>
  <c r="AQ575" i="20"/>
  <c r="AQ572" i="20"/>
  <c r="AQ570" i="20"/>
  <c r="AQ569" i="20"/>
  <c r="AQ568" i="20"/>
  <c r="AQ566" i="20"/>
  <c r="AQ564" i="20"/>
  <c r="AQ563" i="20"/>
  <c r="AQ562" i="20"/>
  <c r="AQ560" i="20"/>
  <c r="AQ559" i="20"/>
  <c r="AQ558" i="20"/>
  <c r="AQ556" i="20"/>
  <c r="AQ554" i="20"/>
  <c r="AQ553" i="20"/>
  <c r="AQ552" i="20"/>
  <c r="AQ551" i="20"/>
  <c r="AQ550" i="20"/>
  <c r="AQ549" i="20"/>
  <c r="AQ548" i="20"/>
  <c r="AQ546" i="20"/>
  <c r="AQ544" i="20"/>
  <c r="AQ542" i="20"/>
  <c r="AQ540" i="20"/>
  <c r="AQ539" i="20"/>
  <c r="AQ538" i="20"/>
  <c r="AQ534" i="20"/>
  <c r="AQ533" i="20"/>
  <c r="AQ532" i="20"/>
  <c r="AQ531" i="20"/>
  <c r="AQ527" i="20"/>
  <c r="AQ526" i="20"/>
  <c r="AQ525" i="20"/>
  <c r="AQ522" i="20"/>
  <c r="AQ521" i="20"/>
  <c r="AQ519" i="20"/>
  <c r="AQ516" i="20"/>
  <c r="AQ511" i="20"/>
  <c r="AQ510" i="20"/>
  <c r="AQ509" i="20"/>
  <c r="AQ501" i="20"/>
  <c r="AQ500" i="20"/>
  <c r="AQ499" i="20"/>
  <c r="AQ498" i="20"/>
  <c r="AQ496" i="20"/>
  <c r="AQ492" i="20"/>
  <c r="AQ491" i="20"/>
  <c r="AQ489" i="20"/>
  <c r="AQ488" i="20"/>
  <c r="AQ487" i="20"/>
  <c r="AQ486" i="20"/>
  <c r="AQ485" i="20"/>
  <c r="AQ483" i="20"/>
  <c r="AQ482" i="20"/>
  <c r="AQ490" i="20"/>
  <c r="AQ480" i="20"/>
  <c r="AQ479" i="20"/>
  <c r="AQ478" i="20"/>
  <c r="AQ477" i="20"/>
  <c r="AQ476" i="20"/>
  <c r="AQ475" i="20"/>
  <c r="AQ474" i="20"/>
  <c r="AQ473" i="20"/>
  <c r="AQ471" i="20"/>
  <c r="AQ470" i="20"/>
  <c r="AQ469" i="20"/>
  <c r="AQ468" i="20"/>
  <c r="AQ466" i="20"/>
  <c r="AQ465" i="20"/>
  <c r="AQ464" i="20"/>
  <c r="AQ463" i="20"/>
  <c r="AQ462" i="20"/>
  <c r="AQ457" i="20"/>
  <c r="AQ456" i="20"/>
  <c r="AQ453" i="20"/>
  <c r="AQ449" i="20"/>
  <c r="AQ448" i="20"/>
  <c r="AQ447" i="20"/>
  <c r="AQ446" i="20"/>
  <c r="AQ442" i="20"/>
  <c r="AQ440" i="20"/>
  <c r="AQ439" i="20"/>
  <c r="AQ438" i="20"/>
  <c r="AQ437" i="20"/>
  <c r="AQ434" i="20"/>
  <c r="AQ433" i="20"/>
  <c r="AQ432" i="20"/>
  <c r="AQ431" i="20"/>
  <c r="AQ430" i="20"/>
  <c r="AQ426" i="20"/>
  <c r="AQ425" i="20"/>
  <c r="AQ424" i="20"/>
  <c r="AQ423" i="20"/>
  <c r="AQ422" i="20"/>
  <c r="AQ421" i="20"/>
  <c r="AQ420" i="20"/>
  <c r="AQ419" i="20"/>
  <c r="AQ418" i="20"/>
  <c r="AQ417" i="20"/>
  <c r="AQ416" i="20"/>
  <c r="AQ415" i="20"/>
  <c r="AQ414" i="20"/>
  <c r="AQ408" i="20"/>
  <c r="AQ405" i="20"/>
  <c r="AQ399" i="20"/>
  <c r="AQ398" i="20"/>
  <c r="AQ394" i="20"/>
  <c r="AQ393" i="20"/>
  <c r="AQ392" i="20"/>
  <c r="AQ391" i="20"/>
  <c r="AQ390" i="20"/>
  <c r="AQ388" i="20"/>
  <c r="AQ387" i="20"/>
  <c r="AQ373" i="20"/>
  <c r="AQ372" i="20"/>
  <c r="AQ370" i="20"/>
  <c r="AQ350" i="20"/>
  <c r="AQ347" i="20"/>
  <c r="AQ345" i="20"/>
  <c r="AQ332" i="20"/>
  <c r="AQ369" i="20"/>
  <c r="AQ368" i="20"/>
  <c r="AQ329" i="20"/>
  <c r="AQ327" i="20"/>
  <c r="AQ325" i="20"/>
  <c r="AQ321" i="20"/>
  <c r="AQ320" i="20"/>
  <c r="AQ319" i="20"/>
  <c r="AQ317" i="20"/>
  <c r="AQ315" i="20"/>
  <c r="AQ316" i="20"/>
  <c r="AQ313" i="20"/>
  <c r="AQ312" i="20"/>
  <c r="AQ311" i="20"/>
  <c r="AQ309" i="20"/>
  <c r="AQ308" i="20"/>
  <c r="AQ307" i="20"/>
  <c r="AQ306" i="20"/>
  <c r="AQ305" i="20"/>
  <c r="AQ301" i="20"/>
  <c r="AQ300" i="20"/>
  <c r="AQ298" i="20"/>
  <c r="AQ297" i="20"/>
  <c r="AQ296" i="20"/>
  <c r="AQ295" i="20"/>
  <c r="AQ294" i="20"/>
  <c r="AQ292" i="20"/>
  <c r="AQ291" i="20"/>
  <c r="AQ290" i="20"/>
  <c r="AQ289" i="20"/>
  <c r="AQ288" i="20"/>
  <c r="AQ285" i="20"/>
  <c r="AQ282" i="20"/>
  <c r="AQ281" i="20"/>
  <c r="AQ279" i="20"/>
  <c r="AQ283" i="20"/>
  <c r="AQ276" i="20"/>
  <c r="AQ275" i="20"/>
  <c r="AQ274" i="20"/>
  <c r="AQ273" i="20"/>
  <c r="AQ271" i="20"/>
  <c r="AQ268" i="20"/>
  <c r="AQ263" i="20"/>
  <c r="AQ261" i="20"/>
  <c r="AQ260" i="20"/>
  <c r="AQ259" i="20"/>
  <c r="AQ258" i="20"/>
  <c r="AQ256" i="20"/>
  <c r="AQ255" i="20"/>
  <c r="AQ254" i="20"/>
  <c r="AQ253" i="20"/>
  <c r="AQ252" i="20"/>
  <c r="AQ251" i="20"/>
  <c r="AQ249" i="20"/>
  <c r="AQ242" i="20"/>
  <c r="AQ241" i="20"/>
  <c r="AQ240" i="20"/>
  <c r="AQ239" i="20"/>
  <c r="AQ238" i="20"/>
  <c r="AQ234" i="20"/>
  <c r="AQ233" i="20"/>
  <c r="AQ232" i="20"/>
  <c r="AQ231" i="20"/>
  <c r="AQ230" i="20"/>
  <c r="AQ229" i="20"/>
  <c r="AQ228" i="20"/>
  <c r="AQ227" i="20"/>
  <c r="AQ226" i="20"/>
  <c r="AQ225" i="20"/>
  <c r="AQ224" i="20"/>
  <c r="AQ223" i="20"/>
  <c r="AQ219" i="20"/>
  <c r="AQ215" i="20"/>
  <c r="AQ214" i="20"/>
  <c r="AQ207" i="20"/>
  <c r="AQ206" i="20"/>
  <c r="AQ205" i="20"/>
  <c r="AQ203" i="20"/>
  <c r="AQ201" i="20"/>
  <c r="AQ200" i="20"/>
  <c r="AQ199" i="20"/>
  <c r="AQ196" i="20"/>
  <c r="AQ195" i="20"/>
  <c r="AQ194" i="20"/>
  <c r="AQ192" i="20"/>
  <c r="AQ191" i="20"/>
  <c r="AQ190" i="20"/>
  <c r="AQ187" i="20"/>
  <c r="AQ186" i="20"/>
  <c r="AQ183" i="20"/>
  <c r="AQ181" i="20"/>
  <c r="AQ180" i="20"/>
  <c r="AQ179" i="20"/>
  <c r="AQ178" i="20"/>
  <c r="AQ177" i="20"/>
  <c r="AQ175" i="20"/>
  <c r="AQ172" i="20"/>
  <c r="AQ167" i="20"/>
  <c r="AQ166" i="20"/>
  <c r="AQ165" i="20"/>
  <c r="AQ157" i="20"/>
  <c r="AQ156" i="20"/>
  <c r="AQ155" i="20"/>
  <c r="AQ154" i="20"/>
  <c r="AQ153" i="20"/>
  <c r="AQ152" i="20"/>
  <c r="AQ151" i="20"/>
  <c r="AQ150" i="20"/>
  <c r="AQ149" i="20"/>
  <c r="AQ148" i="20"/>
  <c r="AQ142" i="20"/>
  <c r="AQ141" i="20"/>
  <c r="AQ140" i="20"/>
  <c r="AQ139" i="20"/>
  <c r="AQ137" i="20"/>
  <c r="AQ136" i="20"/>
  <c r="AQ133" i="20"/>
  <c r="AQ134" i="20"/>
  <c r="AQ129" i="20"/>
  <c r="AQ128" i="20"/>
  <c r="AQ125" i="20"/>
  <c r="AQ124" i="20"/>
  <c r="AQ126" i="20"/>
  <c r="AQ120" i="20"/>
  <c r="AQ123" i="20"/>
  <c r="AQ119" i="20"/>
  <c r="AQ117" i="20"/>
  <c r="AQ116" i="20"/>
  <c r="AQ115" i="20"/>
  <c r="AQ112" i="20"/>
  <c r="AQ114" i="20"/>
  <c r="AQ111" i="20"/>
  <c r="AQ110" i="20"/>
  <c r="AQ109" i="20"/>
  <c r="AQ106" i="20"/>
  <c r="AQ108" i="20"/>
  <c r="AQ107" i="20"/>
  <c r="AQ104" i="20"/>
  <c r="AQ103" i="20"/>
  <c r="AQ87" i="20"/>
  <c r="AQ95" i="20"/>
  <c r="AQ98" i="20"/>
  <c r="AQ96" i="20"/>
  <c r="AQ94" i="20"/>
  <c r="AQ86" i="20"/>
  <c r="AQ83" i="20"/>
  <c r="AQ81" i="20"/>
  <c r="AQ79" i="20"/>
  <c r="AQ75" i="20"/>
  <c r="AQ71" i="20"/>
  <c r="AQ69" i="20"/>
  <c r="AQ66" i="20"/>
  <c r="AQ70" i="20"/>
  <c r="AQ67" i="20"/>
  <c r="AQ65" i="20"/>
  <c r="AQ63" i="20"/>
  <c r="AQ62" i="20"/>
  <c r="AQ61" i="20"/>
  <c r="AQ60" i="20"/>
  <c r="AQ59" i="20"/>
  <c r="AQ57" i="20"/>
  <c r="AQ55" i="20"/>
  <c r="AQ56" i="20"/>
  <c r="AQ53" i="20"/>
  <c r="AQ51" i="20"/>
  <c r="AQ49" i="20"/>
  <c r="AQ48" i="20"/>
  <c r="AQ47" i="20"/>
  <c r="AQ46" i="20"/>
  <c r="AQ44" i="20"/>
  <c r="AQ28" i="20"/>
  <c r="AQ25" i="20"/>
  <c r="W5" i="43"/>
  <c r="A51" i="20"/>
  <c r="A59" i="20"/>
  <c r="A25" i="20"/>
  <c r="A28" i="20"/>
  <c r="A44" i="20"/>
  <c r="A46" i="20"/>
  <c r="A47" i="20"/>
  <c r="A48" i="20"/>
  <c r="A49" i="20"/>
  <c r="A53" i="20"/>
  <c r="A56" i="20"/>
  <c r="A55" i="20"/>
  <c r="A57" i="20"/>
  <c r="A60" i="20"/>
  <c r="A61" i="20"/>
  <c r="A62" i="20"/>
  <c r="A63" i="20"/>
  <c r="A65" i="20"/>
  <c r="A67" i="20"/>
  <c r="A70" i="20"/>
  <c r="A66" i="20"/>
  <c r="A69" i="20"/>
  <c r="A71" i="20"/>
  <c r="A75" i="20"/>
  <c r="A79" i="20"/>
  <c r="A81" i="20"/>
  <c r="A83" i="20"/>
  <c r="A86" i="20"/>
  <c r="A94" i="20"/>
  <c r="A96" i="20"/>
  <c r="A98" i="20"/>
  <c r="A95" i="20"/>
  <c r="A87" i="20"/>
  <c r="A103" i="20"/>
  <c r="A104" i="20"/>
  <c r="A107" i="20"/>
  <c r="A108" i="20"/>
  <c r="A106" i="20"/>
  <c r="A109" i="20"/>
  <c r="A110" i="20"/>
  <c r="A111" i="20"/>
  <c r="A114" i="20"/>
  <c r="A112" i="20"/>
  <c r="A115" i="20"/>
  <c r="A116" i="20"/>
  <c r="A117" i="20"/>
  <c r="A119" i="20"/>
  <c r="A123" i="20"/>
  <c r="A120" i="20"/>
  <c r="A126" i="20"/>
  <c r="A124" i="20"/>
  <c r="A125" i="20"/>
  <c r="A128" i="20"/>
  <c r="A129" i="20"/>
  <c r="A134" i="20"/>
  <c r="A133" i="20"/>
  <c r="A118" i="20"/>
  <c r="A299" i="20"/>
  <c r="A717" i="20"/>
  <c r="A731" i="20"/>
  <c r="A758" i="20"/>
  <c r="A835" i="20"/>
  <c r="A869" i="20"/>
  <c r="A871" i="20"/>
  <c r="A874" i="20"/>
  <c r="A942" i="20"/>
  <c r="A1023" i="20"/>
  <c r="A1051" i="20"/>
  <c r="A136" i="20"/>
  <c r="A137" i="20"/>
  <c r="A139" i="20"/>
  <c r="A140" i="20"/>
  <c r="A141" i="20"/>
  <c r="A142" i="20"/>
  <c r="A148" i="20"/>
  <c r="A149" i="20"/>
  <c r="A150" i="20"/>
  <c r="A151" i="20"/>
  <c r="A152" i="20"/>
  <c r="A153" i="20"/>
  <c r="A639" i="20"/>
  <c r="A661" i="20"/>
  <c r="A678" i="20"/>
  <c r="A1004" i="20"/>
  <c r="A154" i="20"/>
  <c r="A155" i="20"/>
  <c r="A156" i="20"/>
  <c r="A157" i="20"/>
  <c r="A165" i="20"/>
  <c r="A166" i="20"/>
  <c r="A167" i="20"/>
  <c r="A172" i="20"/>
  <c r="A175" i="20"/>
  <c r="A177" i="20"/>
  <c r="A178" i="20"/>
  <c r="A179" i="20"/>
  <c r="A400" i="20"/>
  <c r="A567" i="20"/>
  <c r="A180" i="20"/>
  <c r="A181" i="20"/>
  <c r="A183" i="20"/>
  <c r="A186" i="20"/>
  <c r="A187" i="20"/>
  <c r="A190" i="20"/>
  <c r="A191" i="20"/>
  <c r="A192" i="20"/>
  <c r="A9" i="20"/>
  <c r="A18" i="20"/>
  <c r="A50" i="20"/>
  <c r="A54" i="20"/>
  <c r="A76" i="20"/>
  <c r="A80" i="20"/>
  <c r="A113" i="20"/>
  <c r="A127" i="20"/>
  <c r="A173" i="20"/>
  <c r="A182" i="20"/>
  <c r="A193" i="20"/>
  <c r="A310" i="20"/>
  <c r="A314" i="20"/>
  <c r="A328" i="20"/>
  <c r="A346" i="20"/>
  <c r="A371" i="20"/>
  <c r="A194" i="20"/>
  <c r="A195" i="20"/>
  <c r="A196" i="20"/>
  <c r="A199" i="20"/>
  <c r="A200" i="20"/>
  <c r="A201" i="20"/>
  <c r="A203" i="20"/>
  <c r="A205" i="20"/>
  <c r="A206" i="20"/>
  <c r="A207" i="20"/>
  <c r="A214" i="20"/>
  <c r="A215" i="20"/>
  <c r="A219" i="20"/>
  <c r="A223" i="20"/>
  <c r="A224" i="20"/>
  <c r="A225" i="20"/>
  <c r="A226" i="20"/>
  <c r="A227" i="20"/>
  <c r="A228" i="20"/>
  <c r="A229" i="20"/>
  <c r="A230" i="20"/>
  <c r="A231" i="20"/>
  <c r="A232" i="20"/>
  <c r="A233" i="20"/>
  <c r="A234" i="20"/>
  <c r="A238" i="20"/>
  <c r="A239" i="20"/>
  <c r="A240" i="20"/>
  <c r="A241" i="20"/>
  <c r="A242" i="20"/>
  <c r="A249" i="20"/>
  <c r="A251" i="20"/>
  <c r="A252" i="20"/>
  <c r="A253" i="20"/>
  <c r="A254" i="20"/>
  <c r="A255" i="20"/>
  <c r="A256" i="20"/>
  <c r="A258" i="20"/>
  <c r="A259" i="20"/>
  <c r="A260" i="20"/>
  <c r="A261" i="20"/>
  <c r="A263" i="20"/>
  <c r="A268" i="20"/>
  <c r="A271" i="20"/>
  <c r="A168" i="20"/>
  <c r="A197" i="20"/>
  <c r="A409" i="20"/>
  <c r="A752" i="20"/>
  <c r="A905" i="20"/>
  <c r="A1057" i="20"/>
  <c r="A273" i="20"/>
  <c r="A274" i="20"/>
  <c r="A275" i="20"/>
  <c r="A276" i="20"/>
  <c r="A283" i="20"/>
  <c r="A279" i="20"/>
  <c r="A281" i="20"/>
  <c r="A282" i="20"/>
  <c r="A285" i="20"/>
  <c r="A288" i="20"/>
  <c r="A289" i="20"/>
  <c r="A290" i="20"/>
  <c r="A291" i="20"/>
  <c r="A292" i="20"/>
  <c r="A294" i="20"/>
  <c r="A1007" i="20"/>
  <c r="A295" i="20"/>
  <c r="A296" i="20"/>
  <c r="A297" i="20"/>
  <c r="A585" i="20"/>
  <c r="A545" i="20"/>
  <c r="A555" i="20"/>
  <c r="A987" i="20"/>
  <c r="A595" i="20"/>
  <c r="A132" i="20"/>
  <c r="A135" i="20"/>
  <c r="A138" i="20"/>
  <c r="A980" i="20"/>
  <c r="A298" i="20"/>
  <c r="A913" i="20"/>
  <c r="A923" i="20"/>
  <c r="A220" i="20"/>
  <c r="A235" i="20"/>
  <c r="A300" i="20"/>
  <c r="A682" i="20"/>
  <c r="A938" i="20"/>
  <c r="A301" i="20"/>
  <c r="A1037" i="20"/>
  <c r="A968" i="20"/>
  <c r="A972" i="20"/>
  <c r="A984" i="20"/>
  <c r="A305" i="20"/>
  <c r="A306" i="20"/>
  <c r="A307" i="20"/>
  <c r="A308" i="20"/>
  <c r="A309" i="20"/>
  <c r="A311" i="20"/>
  <c r="A681" i="20"/>
  <c r="A158" i="20"/>
  <c r="A823" i="20"/>
  <c r="A402" i="20"/>
  <c r="A795" i="20"/>
  <c r="A807" i="20"/>
  <c r="A620" i="20"/>
  <c r="A898" i="20"/>
  <c r="A993" i="20"/>
  <c r="A257" i="20"/>
  <c r="A287" i="20"/>
  <c r="A293" i="20"/>
  <c r="A450" i="20"/>
  <c r="A484" i="20"/>
  <c r="A427" i="20"/>
  <c r="A458" i="20"/>
  <c r="A814" i="20"/>
  <c r="A441" i="20"/>
  <c r="A312" i="20"/>
  <c r="A649" i="20"/>
  <c r="A313" i="20"/>
  <c r="A316" i="20"/>
  <c r="A315" i="20"/>
  <c r="A317" i="20"/>
  <c r="A319" i="20"/>
  <c r="A320" i="20"/>
  <c r="A714" i="20"/>
  <c r="A931" i="20"/>
  <c r="A321" i="20"/>
  <c r="A325" i="20"/>
  <c r="A497" i="20"/>
  <c r="A327" i="20"/>
  <c r="A329" i="20"/>
  <c r="A733" i="20"/>
  <c r="A891" i="20"/>
  <c r="A368" i="20"/>
  <c r="A369" i="20"/>
  <c r="A332" i="20"/>
  <c r="A345" i="20"/>
  <c r="A347" i="20"/>
  <c r="A350" i="20"/>
  <c r="A370" i="20"/>
  <c r="A372" i="20"/>
  <c r="A373" i="20"/>
  <c r="A387" i="20"/>
  <c r="A1045" i="20"/>
  <c r="A947" i="20"/>
  <c r="A210" i="20"/>
  <c r="A520" i="20"/>
  <c r="A701" i="20"/>
  <c r="A762" i="20"/>
  <c r="A472" i="20"/>
  <c r="A481" i="20"/>
  <c r="A185" i="20"/>
  <c r="A528" i="20"/>
  <c r="A82" i="20"/>
  <c r="A174" i="20"/>
  <c r="A388" i="20"/>
  <c r="A262" i="20"/>
  <c r="A523" i="20"/>
  <c r="A674" i="20"/>
  <c r="A121" i="20"/>
  <c r="A302" i="20"/>
  <c r="A875" i="20"/>
  <c r="A760" i="20"/>
  <c r="A873" i="20"/>
  <c r="A943" i="20"/>
  <c r="A390" i="20"/>
  <c r="A391" i="20"/>
  <c r="A169" i="20"/>
  <c r="A198" i="20"/>
  <c r="A392" i="20"/>
  <c r="A753" i="20"/>
  <c r="A906" i="20"/>
  <c r="A1058" i="20"/>
  <c r="A97" i="20"/>
  <c r="A393" i="20"/>
  <c r="A401" i="20"/>
  <c r="A410" i="20"/>
  <c r="A679" i="20"/>
  <c r="A785" i="20"/>
  <c r="A786" i="20"/>
  <c r="A1005" i="20"/>
  <c r="A394" i="20"/>
  <c r="A411" i="20"/>
  <c r="A88" i="20"/>
  <c r="A89" i="20"/>
  <c r="A398" i="20"/>
  <c r="A143" i="20"/>
  <c r="A144" i="20"/>
  <c r="A399" i="20"/>
  <c r="A218" i="20"/>
  <c r="A405" i="20"/>
  <c r="A524" i="20"/>
  <c r="A669" i="20"/>
  <c r="A675" i="20"/>
  <c r="A761" i="20"/>
  <c r="A408" i="20"/>
  <c r="A217" i="20"/>
  <c r="A796" i="20"/>
  <c r="A994" i="20"/>
  <c r="A428" i="20"/>
  <c r="A459" i="20"/>
  <c r="A824" i="20"/>
  <c r="A451" i="20"/>
  <c r="A159" i="20"/>
  <c r="A414" i="20"/>
  <c r="A403" i="20"/>
  <c r="A815" i="20"/>
  <c r="A808" i="20"/>
  <c r="A907" i="20"/>
  <c r="A1008" i="20"/>
  <c r="A529" i="20"/>
  <c r="A99" i="20"/>
  <c r="A100" i="20"/>
  <c r="A277" i="20"/>
  <c r="A395" i="20"/>
  <c r="A690" i="20"/>
  <c r="A741" i="20"/>
  <c r="A512" i="20"/>
  <c r="A145" i="20"/>
  <c r="A415" i="20"/>
  <c r="A416" i="20"/>
  <c r="A417" i="20"/>
  <c r="A90" i="20"/>
  <c r="A418" i="20"/>
  <c r="A787" i="20"/>
  <c r="A419" i="20"/>
  <c r="A914" i="20"/>
  <c r="A915" i="20"/>
  <c r="A924" i="20"/>
  <c r="A925" i="20"/>
  <c r="A26" i="20"/>
  <c r="A27" i="20"/>
  <c r="A420" i="20"/>
  <c r="A64" i="20"/>
  <c r="A91" i="20"/>
  <c r="A101" i="20"/>
  <c r="A102" i="20"/>
  <c r="A421" i="20"/>
  <c r="A147" i="20"/>
  <c r="A422" i="20"/>
  <c r="A160" i="20"/>
  <c r="A170" i="20"/>
  <c r="A202" i="20"/>
  <c r="A211" i="20"/>
  <c r="A212" i="20"/>
  <c r="A246" i="20"/>
  <c r="A264" i="20"/>
  <c r="A265" i="20"/>
  <c r="A270" i="20"/>
  <c r="A278" i="20"/>
  <c r="A423" i="20"/>
  <c r="A303" i="20"/>
  <c r="A322" i="20"/>
  <c r="A323" i="20"/>
  <c r="A330" i="20"/>
  <c r="A348" i="20"/>
  <c r="A385" i="20"/>
  <c r="A396" i="20"/>
  <c r="A404" i="20"/>
  <c r="A412" i="20"/>
  <c r="A429" i="20"/>
  <c r="A452" i="20"/>
  <c r="A460" i="20"/>
  <c r="A493" i="20"/>
  <c r="A502" i="20"/>
  <c r="A503" i="20"/>
  <c r="A513" i="20"/>
  <c r="A514" i="20"/>
  <c r="A530" i="20"/>
  <c r="A574" i="20"/>
  <c r="A592" i="20"/>
  <c r="A596" i="20"/>
  <c r="A637" i="20"/>
  <c r="A656" i="20"/>
  <c r="A672" i="20"/>
  <c r="A691" i="20"/>
  <c r="A712" i="20"/>
  <c r="A725" i="20"/>
  <c r="A742" i="20"/>
  <c r="A424" i="20"/>
  <c r="A754" i="20"/>
  <c r="A764" i="20"/>
  <c r="A777" i="20"/>
  <c r="A788" i="20"/>
  <c r="A809" i="20"/>
  <c r="A816" i="20"/>
  <c r="A825" i="20"/>
  <c r="A844" i="20"/>
  <c r="A425" i="20"/>
  <c r="A884" i="20"/>
  <c r="A908" i="20"/>
  <c r="A995" i="20"/>
  <c r="A1009" i="20"/>
  <c r="A1028" i="20"/>
  <c r="A1046" i="20"/>
  <c r="A1047" i="20"/>
  <c r="A1059" i="20"/>
  <c r="A949" i="20"/>
  <c r="A965" i="20"/>
  <c r="A171" i="20"/>
  <c r="A426" i="20"/>
  <c r="A1060" i="20"/>
  <c r="A430" i="20"/>
  <c r="A431" i="20"/>
  <c r="A266" i="20"/>
  <c r="A432" i="20"/>
  <c r="A433" i="20"/>
  <c r="A755" i="20"/>
  <c r="A504" i="20"/>
  <c r="A505" i="20"/>
  <c r="A515" i="20"/>
  <c r="A73" i="20"/>
  <c r="A74" i="20"/>
  <c r="A284" i="20"/>
  <c r="A92" i="20"/>
  <c r="A434" i="20"/>
  <c r="A437" i="20"/>
  <c r="A438" i="20"/>
  <c r="A846" i="20"/>
  <c r="A439" i="20"/>
  <c r="A413" i="20"/>
  <c r="A440" i="20"/>
  <c r="A442" i="20"/>
  <c r="A386" i="20"/>
  <c r="A349" i="20"/>
  <c r="A446" i="20"/>
  <c r="A726" i="20"/>
  <c r="A447" i="20"/>
  <c r="A448" i="20"/>
  <c r="A449" i="20"/>
  <c r="A397" i="20"/>
  <c r="A692" i="20"/>
  <c r="A453" i="20"/>
  <c r="A267" i="20"/>
  <c r="A280" i="20"/>
  <c r="A331" i="20"/>
  <c r="A506" i="20"/>
  <c r="A517" i="20"/>
  <c r="A456" i="20"/>
  <c r="A885" i="20"/>
  <c r="A507" i="20"/>
  <c r="A744" i="20"/>
  <c r="A457" i="20"/>
  <c r="A68" i="20"/>
  <c r="A462" i="20"/>
  <c r="A780" i="20"/>
  <c r="A463" i="20"/>
  <c r="A966" i="20"/>
  <c r="A464" i="20"/>
  <c r="A29" i="20"/>
  <c r="A465" i="20"/>
  <c r="A213" i="20"/>
  <c r="A466" i="20"/>
  <c r="A468" i="20"/>
  <c r="A535" i="20"/>
  <c r="A782" i="20"/>
  <c r="A469" i="20"/>
  <c r="A470" i="20"/>
  <c r="A471" i="20"/>
  <c r="A473" i="20"/>
  <c r="A474" i="20"/>
  <c r="A475" i="20"/>
  <c r="A476" i="20"/>
  <c r="A477" i="20"/>
  <c r="A478" i="20"/>
  <c r="A479" i="20"/>
  <c r="A480" i="20"/>
  <c r="A490" i="20"/>
  <c r="A482" i="20"/>
  <c r="A483" i="20"/>
  <c r="A485" i="20"/>
  <c r="A486" i="20"/>
  <c r="A487" i="20"/>
  <c r="A488" i="20"/>
  <c r="A489" i="20"/>
  <c r="A491" i="20"/>
  <c r="A492" i="20"/>
  <c r="A496" i="20"/>
  <c r="A498" i="20"/>
  <c r="A499" i="20"/>
  <c r="A500" i="20"/>
  <c r="A501" i="20"/>
  <c r="A509" i="20"/>
  <c r="A510" i="20"/>
  <c r="A511" i="20"/>
  <c r="A516" i="20"/>
  <c r="A519" i="20"/>
  <c r="A521" i="20"/>
  <c r="A522" i="20"/>
  <c r="A525" i="20"/>
  <c r="A526" i="20"/>
  <c r="A527" i="20"/>
  <c r="A531" i="20"/>
  <c r="A532" i="20"/>
  <c r="A533" i="20"/>
  <c r="A534" i="20"/>
  <c r="A538" i="20"/>
  <c r="A539" i="20"/>
  <c r="A540" i="20"/>
  <c r="A542" i="20"/>
  <c r="A544" i="20"/>
  <c r="A546" i="20"/>
  <c r="A548" i="20"/>
  <c r="A549" i="20"/>
  <c r="A550" i="20"/>
  <c r="A551" i="20"/>
  <c r="A122" i="20"/>
  <c r="A552" i="20"/>
  <c r="A304" i="20"/>
  <c r="A553" i="20"/>
  <c r="A554" i="20"/>
  <c r="A556" i="20"/>
  <c r="A558" i="20"/>
  <c r="A559" i="20"/>
  <c r="A286" i="20"/>
  <c r="A665" i="20"/>
  <c r="A1022" i="20"/>
  <c r="A93" i="20"/>
  <c r="A789" i="20"/>
  <c r="A236" i="20"/>
  <c r="A651" i="20"/>
  <c r="A443" i="20"/>
  <c r="A735" i="20"/>
  <c r="A560" i="20"/>
  <c r="A562" i="20"/>
  <c r="A944" i="20"/>
  <c r="A563" i="20"/>
  <c r="A564" i="20"/>
  <c r="A566" i="20"/>
  <c r="A568" i="20"/>
  <c r="A569" i="20"/>
  <c r="A570" i="20"/>
  <c r="A572" i="20"/>
  <c r="A575" i="20"/>
  <c r="A576" i="20"/>
  <c r="A577" i="20"/>
  <c r="A578" i="20"/>
  <c r="A579" i="20"/>
  <c r="A580" i="20"/>
  <c r="A581" i="20"/>
  <c r="A582" i="20"/>
  <c r="A886" i="20"/>
  <c r="A344" i="20"/>
  <c r="A389" i="20"/>
  <c r="A518" i="20"/>
  <c r="A586" i="20"/>
  <c r="A508" i="20"/>
  <c r="A161" i="20"/>
  <c r="A237" i="20"/>
  <c r="A587" i="20"/>
  <c r="A588" i="20"/>
  <c r="A162" i="20"/>
  <c r="A589" i="20"/>
  <c r="A590" i="20"/>
  <c r="A591" i="20"/>
  <c r="A454" i="20"/>
  <c r="A594" i="20"/>
  <c r="A598" i="20"/>
  <c r="A599" i="20"/>
  <c r="A600" i="20"/>
  <c r="A602" i="20"/>
  <c r="A603" i="20"/>
  <c r="A604" i="20"/>
  <c r="A605" i="20"/>
  <c r="A606" i="20"/>
  <c r="A607" i="20"/>
  <c r="A608" i="20"/>
  <c r="A610" i="20"/>
  <c r="A611" i="20"/>
  <c r="A612" i="20"/>
  <c r="A613" i="20"/>
  <c r="A614" i="20"/>
  <c r="A615" i="20"/>
  <c r="A616" i="20"/>
  <c r="A617" i="20"/>
  <c r="A618" i="20"/>
  <c r="A619" i="20"/>
  <c r="A622" i="20"/>
  <c r="A623" i="20"/>
  <c r="A624" i="20"/>
  <c r="A625" i="20"/>
  <c r="A626" i="20"/>
  <c r="A627" i="20"/>
  <c r="A628" i="20"/>
  <c r="A629" i="20"/>
  <c r="A630" i="20"/>
  <c r="A631" i="20"/>
  <c r="A632" i="20"/>
  <c r="A633" i="20"/>
  <c r="A634" i="20"/>
  <c r="A670" i="20"/>
  <c r="A939" i="20"/>
  <c r="A221" i="20"/>
  <c r="A893" i="20"/>
  <c r="A635" i="20"/>
  <c r="A222" i="20"/>
  <c r="A636" i="20"/>
  <c r="A444" i="20"/>
  <c r="A638" i="20"/>
  <c r="A827" i="20"/>
  <c r="A894" i="20"/>
  <c r="A11" i="20"/>
  <c r="A20" i="20"/>
  <c r="A77" i="20"/>
  <c r="A130" i="20"/>
  <c r="A640" i="20"/>
  <c r="A84" i="20"/>
  <c r="A163" i="20"/>
  <c r="A406" i="20"/>
  <c r="A435" i="20"/>
  <c r="A445" i="20"/>
  <c r="A455" i="20"/>
  <c r="A461" i="20"/>
  <c r="A800" i="20"/>
  <c r="A811" i="20"/>
  <c r="A817" i="20"/>
  <c r="A828" i="20"/>
  <c r="A909" i="20"/>
  <c r="A996" i="20"/>
  <c r="A1012" i="20"/>
  <c r="A1018" i="20"/>
  <c r="A918" i="20"/>
  <c r="A928" i="20"/>
  <c r="A713" i="20"/>
  <c r="A495" i="20"/>
  <c r="A597" i="20"/>
  <c r="A863" i="20"/>
  <c r="A659" i="20"/>
  <c r="A593" i="20"/>
  <c r="A216" i="20"/>
  <c r="A326" i="20"/>
  <c r="A367" i="20"/>
  <c r="A1048" i="20"/>
  <c r="A537" i="20"/>
  <c r="A12" i="20"/>
  <c r="A21" i="20"/>
  <c r="A52" i="20"/>
  <c r="A58" i="20"/>
  <c r="A72" i="20"/>
  <c r="A78" i="20"/>
  <c r="A85" i="20"/>
  <c r="A131" i="20"/>
  <c r="A164" i="20"/>
  <c r="A176" i="20"/>
  <c r="A184" i="20"/>
  <c r="A318" i="20"/>
  <c r="A407" i="20"/>
  <c r="A436" i="20"/>
  <c r="A541" i="20"/>
  <c r="A543" i="20"/>
  <c r="A547" i="20"/>
  <c r="A557" i="20"/>
  <c r="A561" i="20"/>
  <c r="A565" i="20"/>
  <c r="A571" i="20"/>
  <c r="A573" i="20"/>
  <c r="A609" i="20"/>
  <c r="A621" i="20"/>
  <c r="A644" i="20"/>
  <c r="A668" i="20"/>
  <c r="A687" i="20"/>
  <c r="A801" i="20"/>
  <c r="A818" i="20"/>
  <c r="A829" i="20"/>
  <c r="A899" i="20"/>
  <c r="A975" i="20"/>
  <c r="A981" i="20"/>
  <c r="A997" i="20"/>
  <c r="A1013" i="20"/>
  <c r="A1035" i="20"/>
  <c r="A1038" i="20"/>
  <c r="A1055" i="20"/>
  <c r="A645" i="20"/>
  <c r="A641" i="20"/>
  <c r="A642" i="20"/>
  <c r="A643" i="20"/>
  <c r="A646" i="20"/>
  <c r="A647" i="20"/>
  <c r="A648" i="20"/>
  <c r="A650" i="20"/>
  <c r="A652" i="20"/>
  <c r="A105" i="20"/>
  <c r="A653" i="20"/>
  <c r="A250" i="20"/>
  <c r="A204" i="20"/>
  <c r="A1030" i="20"/>
  <c r="A272" i="20"/>
  <c r="A654" i="20"/>
  <c r="A655" i="20"/>
  <c r="A660" i="20"/>
  <c r="A662" i="20"/>
  <c r="A663" i="20"/>
  <c r="A664" i="20"/>
  <c r="A666" i="20"/>
  <c r="A667" i="20"/>
  <c r="A671" i="20"/>
  <c r="A673" i="20"/>
  <c r="A676" i="20"/>
  <c r="A677" i="20"/>
  <c r="A680" i="20"/>
  <c r="A683" i="20"/>
  <c r="A684" i="20"/>
  <c r="A685" i="20"/>
  <c r="A686" i="20"/>
  <c r="A688" i="20"/>
  <c r="A689" i="20"/>
  <c r="A693" i="20"/>
  <c r="A694" i="20"/>
  <c r="A695" i="20"/>
  <c r="A696" i="20"/>
  <c r="A697" i="20"/>
  <c r="A698" i="20"/>
  <c r="A699" i="20"/>
  <c r="A700" i="20"/>
  <c r="A715" i="20"/>
  <c r="A716" i="20"/>
  <c r="A718" i="20"/>
  <c r="A727" i="20"/>
  <c r="A728" i="20"/>
  <c r="A729" i="20"/>
  <c r="A730" i="20"/>
  <c r="A732" i="20"/>
  <c r="A734" i="20"/>
  <c r="A736" i="20"/>
  <c r="A737" i="20"/>
  <c r="A738" i="20"/>
  <c r="A739" i="20"/>
  <c r="A740" i="20"/>
  <c r="A743" i="20"/>
  <c r="A745" i="20"/>
  <c r="A746" i="20"/>
  <c r="A747" i="20"/>
  <c r="A748" i="20"/>
  <c r="A749" i="20"/>
  <c r="A750" i="20"/>
  <c r="A751" i="20"/>
  <c r="A756" i="20"/>
  <c r="A757" i="20"/>
  <c r="A759" i="20"/>
  <c r="A763" i="20"/>
  <c r="A778" i="20"/>
  <c r="A779" i="20"/>
  <c r="A781" i="20"/>
  <c r="A783" i="20"/>
  <c r="A784" i="20"/>
  <c r="A790" i="20"/>
  <c r="A791" i="20"/>
  <c r="A792" i="20"/>
  <c r="A793" i="20"/>
  <c r="A794" i="20"/>
  <c r="A797" i="20"/>
  <c r="A798" i="20"/>
  <c r="A799" i="20"/>
  <c r="A802" i="20"/>
  <c r="A803" i="20"/>
  <c r="A804" i="20"/>
  <c r="A805" i="20"/>
  <c r="A806" i="20"/>
  <c r="A810" i="20"/>
  <c r="A812" i="20"/>
  <c r="A813" i="20"/>
  <c r="A819" i="20"/>
  <c r="A820" i="20"/>
  <c r="A821" i="20"/>
  <c r="A822" i="20"/>
  <c r="A826" i="20"/>
  <c r="A830" i="20"/>
  <c r="A831" i="20"/>
  <c r="A833" i="20"/>
  <c r="A834" i="20"/>
  <c r="A836" i="20"/>
  <c r="A837" i="20"/>
  <c r="A838" i="20"/>
  <c r="A839" i="20"/>
  <c r="A840" i="20"/>
  <c r="A841" i="20"/>
  <c r="A842" i="20"/>
  <c r="A843" i="20"/>
  <c r="A845" i="20"/>
  <c r="A847" i="20"/>
  <c r="A848" i="20"/>
  <c r="A849" i="20"/>
  <c r="A864" i="20"/>
  <c r="A865" i="20"/>
  <c r="A866" i="20"/>
  <c r="A867" i="20"/>
  <c r="A868" i="20"/>
  <c r="A870" i="20"/>
  <c r="A872" i="20"/>
  <c r="A887" i="20"/>
  <c r="A888" i="20"/>
  <c r="A889" i="20"/>
  <c r="A890" i="20"/>
  <c r="A896" i="20"/>
  <c r="A892" i="20"/>
  <c r="A895" i="20"/>
  <c r="A897" i="20"/>
  <c r="A900" i="20"/>
  <c r="A901" i="20"/>
  <c r="A902" i="20"/>
  <c r="A903" i="20"/>
  <c r="A904" i="20"/>
  <c r="A910" i="20"/>
  <c r="A911" i="20"/>
  <c r="A912" i="20"/>
  <c r="A919" i="20"/>
  <c r="A920" i="20"/>
  <c r="A921" i="20"/>
  <c r="A922" i="20"/>
  <c r="A929" i="20"/>
  <c r="A930" i="20"/>
  <c r="A932" i="20"/>
  <c r="A933" i="20"/>
  <c r="A934" i="20"/>
  <c r="A935" i="20"/>
  <c r="A936" i="20"/>
  <c r="A941" i="20"/>
  <c r="A937" i="20"/>
  <c r="A940" i="20"/>
  <c r="A945" i="20"/>
  <c r="A946" i="20"/>
  <c r="A967" i="20"/>
  <c r="A969" i="20"/>
  <c r="A970" i="20"/>
  <c r="A971" i="20"/>
  <c r="A973" i="20"/>
  <c r="A974" i="20"/>
  <c r="A976" i="20"/>
  <c r="A978" i="20"/>
  <c r="A979" i="20"/>
  <c r="A983" i="20"/>
  <c r="A985" i="20"/>
  <c r="A992" i="20"/>
  <c r="A998" i="20"/>
  <c r="A999" i="20"/>
  <c r="A1003" i="20"/>
  <c r="A986" i="20"/>
  <c r="A988" i="20"/>
  <c r="A989" i="20"/>
  <c r="A990" i="20"/>
  <c r="A991" i="20"/>
  <c r="A1000" i="20"/>
  <c r="A1001" i="20"/>
  <c r="A1002" i="20"/>
  <c r="A1006" i="20"/>
  <c r="A1010" i="20"/>
  <c r="A1011" i="20"/>
  <c r="A1014" i="20"/>
  <c r="A1015" i="20"/>
  <c r="A1016" i="20"/>
  <c r="A1017" i="20"/>
  <c r="A1019" i="20"/>
  <c r="A1020" i="20"/>
  <c r="A1021" i="20"/>
  <c r="A1024" i="20"/>
  <c r="A1025" i="20"/>
  <c r="A1026" i="20"/>
  <c r="A1027" i="20"/>
  <c r="A1029" i="20"/>
  <c r="A1031" i="20"/>
  <c r="A1032" i="20"/>
  <c r="A1033" i="20"/>
  <c r="A1034" i="20"/>
  <c r="A1039" i="20"/>
  <c r="A1036" i="20"/>
  <c r="A1040" i="20"/>
  <c r="A1041" i="20"/>
  <c r="A1042" i="20"/>
  <c r="A1043" i="20"/>
  <c r="A1044" i="20"/>
  <c r="A1050" i="20"/>
  <c r="A1052" i="20"/>
  <c r="A1053" i="20"/>
  <c r="A1056" i="20"/>
  <c r="A1054" i="20"/>
  <c r="A1061" i="20"/>
  <c r="A1062" i="20"/>
  <c r="A1063" i="20"/>
  <c r="A1064" i="20"/>
  <c r="A1065" i="20"/>
  <c r="A1066" i="20"/>
  <c r="A1067" i="20"/>
  <c r="A1068" i="20"/>
  <c r="A1070" i="20"/>
  <c r="A1071" i="20"/>
  <c r="A1069" i="20"/>
  <c r="A1072" i="20"/>
  <c r="A1073" i="20"/>
  <c r="A1074" i="20"/>
  <c r="A1075" i="20"/>
  <c r="A1076" i="20"/>
  <c r="A1077" i="20"/>
  <c r="A1078" i="20"/>
  <c r="A1079" i="20"/>
  <c r="A1080" i="20"/>
  <c r="A1081" i="20"/>
  <c r="A1082" i="20"/>
  <c r="A1083" i="20"/>
  <c r="A1084" i="20"/>
  <c r="A1085" i="20"/>
  <c r="A1086" i="20"/>
  <c r="A1087" i="20"/>
  <c r="A1088" i="20"/>
  <c r="A1089" i="20"/>
  <c r="A1090" i="20"/>
  <c r="A1091" i="20"/>
  <c r="A1092" i="20"/>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O46" i="20"/>
  <c r="AP46" i="20" s="1"/>
  <c r="AO44" i="20"/>
  <c r="AO47" i="20"/>
  <c r="AP47" i="20" s="1"/>
  <c r="AO49" i="20"/>
  <c r="AP49" i="20" s="1"/>
  <c r="AO53" i="20"/>
  <c r="AR53" i="20" s="1"/>
  <c r="AO86" i="20"/>
  <c r="AP86" i="20" s="1"/>
  <c r="AO51" i="20"/>
  <c r="AR51" i="20" s="1"/>
  <c r="AO79" i="20"/>
  <c r="AR79" i="20" s="1"/>
  <c r="AO67" i="20"/>
  <c r="AO107" i="20"/>
  <c r="AR107" i="20" s="1"/>
  <c r="AO70" i="20"/>
  <c r="AR70" i="20" s="1"/>
  <c r="AO75" i="20"/>
  <c r="AO71" i="20"/>
  <c r="AR71" i="20" s="1"/>
  <c r="AO66" i="20"/>
  <c r="AO94" i="20"/>
  <c r="AR94" i="20" s="1"/>
  <c r="AO108" i="20"/>
  <c r="AP108" i="20" s="1"/>
  <c r="AO109" i="20"/>
  <c r="AR109" i="20" s="1"/>
  <c r="AO96" i="20"/>
  <c r="AR96" i="20" s="1"/>
  <c r="AO98" i="20"/>
  <c r="AR98" i="20" s="1"/>
  <c r="AO106" i="20"/>
  <c r="AP106" i="20" s="1"/>
  <c r="AO103" i="20"/>
  <c r="AR103" i="20" s="1"/>
  <c r="AO104" i="20"/>
  <c r="AR104" i="20" s="1"/>
  <c r="AO111" i="20"/>
  <c r="AR111" i="20" s="1"/>
  <c r="AO114" i="20"/>
  <c r="AR114" i="20" s="1"/>
  <c r="AO69" i="20"/>
  <c r="AO81" i="20"/>
  <c r="AR81" i="20" s="1"/>
  <c r="AO95" i="20"/>
  <c r="AR95" i="20" s="1"/>
  <c r="AO87" i="20"/>
  <c r="AO112" i="20"/>
  <c r="AR112" i="20" s="1"/>
  <c r="AO123" i="20"/>
  <c r="AR123" i="20" s="1"/>
  <c r="AO83" i="20"/>
  <c r="AR83" i="20" s="1"/>
  <c r="AO126" i="20"/>
  <c r="AP126" i="20" s="1"/>
  <c r="AO124" i="20"/>
  <c r="AP124" i="20" s="1"/>
  <c r="AO125" i="20"/>
  <c r="AR125" i="20" s="1"/>
  <c r="AO128" i="20"/>
  <c r="AR128" i="20" s="1"/>
  <c r="AO134" i="20"/>
  <c r="AO133" i="20"/>
  <c r="AR133" i="20" s="1"/>
  <c r="AO137" i="20"/>
  <c r="AP137" i="20" s="1"/>
  <c r="AO56" i="20"/>
  <c r="AR56" i="20" s="1"/>
  <c r="AO62" i="20"/>
  <c r="AR62" i="20" s="1"/>
  <c r="AO48" i="20"/>
  <c r="AR48" i="20" s="1"/>
  <c r="AO59" i="20"/>
  <c r="AR59" i="20" s="1"/>
  <c r="AO60" i="20"/>
  <c r="AR60" i="20" s="1"/>
  <c r="AO1140" i="20"/>
  <c r="AP1140" i="20" s="1"/>
  <c r="AO1141" i="20"/>
  <c r="AP1141" i="20" s="1"/>
  <c r="AO1142" i="20"/>
  <c r="AO1143" i="20"/>
  <c r="AP1143" i="20" s="1"/>
  <c r="AO1144" i="20"/>
  <c r="AP1144" i="20" s="1"/>
  <c r="AO1145" i="20"/>
  <c r="AR1145" i="20" s="1"/>
  <c r="AO1146" i="20"/>
  <c r="AR1146" i="20" s="1"/>
  <c r="AQ1140" i="20"/>
  <c r="AQ1141" i="20"/>
  <c r="AQ1142" i="20"/>
  <c r="AQ1143" i="20"/>
  <c r="AQ1144" i="20"/>
  <c r="AQ1145" i="20"/>
  <c r="AQ1146" i="20"/>
  <c r="AS1140" i="20"/>
  <c r="AS1141" i="20"/>
  <c r="AS1142" i="20"/>
  <c r="AS1143" i="20"/>
  <c r="AS1144" i="20"/>
  <c r="AS1145" i="20"/>
  <c r="AS1146" i="20"/>
  <c r="AM1139" i="20"/>
  <c r="AM1140" i="20"/>
  <c r="AM1141" i="20"/>
  <c r="AM1142" i="20"/>
  <c r="AM1143" i="20"/>
  <c r="AM1144" i="20"/>
  <c r="AM1145" i="20"/>
  <c r="AM1146" i="20"/>
  <c r="AM46" i="20"/>
  <c r="AM44" i="20"/>
  <c r="AM47" i="20"/>
  <c r="AM49" i="20"/>
  <c r="AM53" i="20"/>
  <c r="AM86" i="20"/>
  <c r="AM51" i="20"/>
  <c r="AM79" i="20"/>
  <c r="AM67" i="20"/>
  <c r="AM107" i="20"/>
  <c r="AM70" i="20"/>
  <c r="AM75" i="20"/>
  <c r="AM71" i="20"/>
  <c r="AM66" i="20"/>
  <c r="AM94" i="20"/>
  <c r="AM108" i="20"/>
  <c r="AM109" i="20"/>
  <c r="AM96" i="20"/>
  <c r="AM98" i="20"/>
  <c r="AM106" i="20"/>
  <c r="AM103" i="20"/>
  <c r="AM104" i="20"/>
  <c r="AM111" i="20"/>
  <c r="AM114" i="20"/>
  <c r="AM69" i="20"/>
  <c r="AM81" i="20"/>
  <c r="AM95" i="20"/>
  <c r="AM87" i="20"/>
  <c r="AM112" i="20"/>
  <c r="AM123" i="20"/>
  <c r="AM83" i="20"/>
  <c r="AM126" i="20"/>
  <c r="AM124" i="20"/>
  <c r="AM125" i="20"/>
  <c r="AM128" i="20"/>
  <c r="AM134" i="20"/>
  <c r="AM133" i="20"/>
  <c r="AM137" i="20"/>
  <c r="AM56" i="20"/>
  <c r="AM62" i="20"/>
  <c r="AM48" i="20"/>
  <c r="AM59" i="20"/>
  <c r="AM60" i="20"/>
  <c r="AM65" i="20"/>
  <c r="AM55" i="20"/>
  <c r="AM61" i="20"/>
  <c r="AM57" i="20"/>
  <c r="AM25" i="20"/>
  <c r="AM120" i="20"/>
  <c r="AM110" i="20"/>
  <c r="AM115" i="20"/>
  <c r="AM116" i="20"/>
  <c r="AM117" i="20"/>
  <c r="AM119" i="20"/>
  <c r="AM28" i="20"/>
  <c r="AM63" i="20"/>
  <c r="AM136" i="20"/>
  <c r="AM129" i="20"/>
  <c r="AM139" i="20"/>
  <c r="AM1078" i="20"/>
  <c r="AM1079" i="20"/>
  <c r="AM1080" i="20"/>
  <c r="AM1081" i="20"/>
  <c r="AM1082" i="20"/>
  <c r="AM1083" i="20"/>
  <c r="AM1084" i="20"/>
  <c r="AM1085" i="20"/>
  <c r="AM1086" i="20"/>
  <c r="AM1087" i="20"/>
  <c r="AM1088" i="20"/>
  <c r="AM1089" i="20"/>
  <c r="AM1090" i="20"/>
  <c r="AM1091" i="20"/>
  <c r="AM1092" i="20"/>
  <c r="AM1093" i="20"/>
  <c r="AM1094" i="20"/>
  <c r="AM1095" i="20"/>
  <c r="AM1096" i="20"/>
  <c r="AM1097" i="20"/>
  <c r="AM1098" i="20"/>
  <c r="AM1099" i="20"/>
  <c r="AM1100" i="20"/>
  <c r="AM1101" i="20"/>
  <c r="AM1102" i="20"/>
  <c r="AM1103" i="20"/>
  <c r="AM1104" i="20"/>
  <c r="AM1105" i="20"/>
  <c r="AM1106" i="20"/>
  <c r="AM1107" i="20"/>
  <c r="AM1108" i="20"/>
  <c r="AM1109" i="20"/>
  <c r="AM1110" i="20"/>
  <c r="AM1111" i="20"/>
  <c r="AM1112" i="20"/>
  <c r="AM1113" i="20"/>
  <c r="AM1114" i="20"/>
  <c r="AM1115" i="20"/>
  <c r="AM1116" i="20"/>
  <c r="AM1117" i="20"/>
  <c r="AM1118" i="20"/>
  <c r="AM1119" i="20"/>
  <c r="AM1120" i="20"/>
  <c r="AM1121" i="20"/>
  <c r="AM1122" i="20"/>
  <c r="AM1123" i="20"/>
  <c r="AM1124" i="20"/>
  <c r="AM1125" i="20"/>
  <c r="AM1126" i="20"/>
  <c r="AM1127" i="20"/>
  <c r="AM1128" i="20"/>
  <c r="AM1129" i="20"/>
  <c r="AM1130" i="20"/>
  <c r="AM1131" i="20"/>
  <c r="AM1132" i="20"/>
  <c r="AM1133" i="20"/>
  <c r="AM1134" i="20"/>
  <c r="AM1135" i="20"/>
  <c r="AM1136" i="20"/>
  <c r="AM1137" i="20"/>
  <c r="AM1138" i="20"/>
  <c r="AM1044" i="20"/>
  <c r="AM1050" i="20"/>
  <c r="AM1052" i="20"/>
  <c r="AM1053" i="20"/>
  <c r="AM1056" i="20"/>
  <c r="AM1054" i="20"/>
  <c r="AM1061" i="20"/>
  <c r="AM1062" i="20"/>
  <c r="AM1063" i="20"/>
  <c r="AM1064" i="20"/>
  <c r="AM1065" i="20"/>
  <c r="AM1066" i="20"/>
  <c r="AM1067" i="20"/>
  <c r="AM1068" i="20"/>
  <c r="AM1070" i="20"/>
  <c r="AM1071" i="20"/>
  <c r="AM1069" i="20"/>
  <c r="AM1072" i="20"/>
  <c r="AM1073" i="20"/>
  <c r="AM1074" i="20"/>
  <c r="AM1075" i="20"/>
  <c r="AM1076" i="20"/>
  <c r="AM1077" i="20"/>
  <c r="AO1088" i="20"/>
  <c r="AR1088" i="20" s="1"/>
  <c r="AO1089" i="20"/>
  <c r="AP1089" i="20" s="1"/>
  <c r="AO1090" i="20"/>
  <c r="AR1090" i="20" s="1"/>
  <c r="AO1091" i="20"/>
  <c r="AP1091" i="20" s="1"/>
  <c r="AO1092" i="20"/>
  <c r="AR1092" i="20" s="1"/>
  <c r="AO1093" i="20"/>
  <c r="AR1093" i="20" s="1"/>
  <c r="AO1094" i="20"/>
  <c r="AR1094" i="20" s="1"/>
  <c r="AO1095" i="20"/>
  <c r="AP1095" i="20" s="1"/>
  <c r="AO1096" i="20"/>
  <c r="AR1096" i="20" s="1"/>
  <c r="AO1097" i="20"/>
  <c r="AO1098" i="20"/>
  <c r="AR1098" i="20" s="1"/>
  <c r="AO1099" i="20"/>
  <c r="AR1099" i="20" s="1"/>
  <c r="AO1100" i="20"/>
  <c r="AR1100" i="20" s="1"/>
  <c r="AO1101" i="20"/>
  <c r="AR1101" i="20" s="1"/>
  <c r="AO1102" i="20"/>
  <c r="AR1102" i="20" s="1"/>
  <c r="AO1103" i="20"/>
  <c r="AR1103" i="20" s="1"/>
  <c r="AO1104" i="20"/>
  <c r="AO1105" i="20"/>
  <c r="AP1105" i="20" s="1"/>
  <c r="AO1106" i="20"/>
  <c r="AR1106" i="20" s="1"/>
  <c r="AO1107" i="20"/>
  <c r="AR1107" i="20" s="1"/>
  <c r="AO1108" i="20"/>
  <c r="AR1108" i="20" s="1"/>
  <c r="AO1109" i="20"/>
  <c r="AR1109" i="20" s="1"/>
  <c r="AO1110" i="20"/>
  <c r="AO1111" i="20"/>
  <c r="AP1111" i="20" s="1"/>
  <c r="AO1112" i="20"/>
  <c r="AR1112" i="20" s="1"/>
  <c r="AO1113" i="20"/>
  <c r="AR1113" i="20" s="1"/>
  <c r="AO1114" i="20"/>
  <c r="AP1114" i="20" s="1"/>
  <c r="AO1115" i="20"/>
  <c r="AP1115" i="20" s="1"/>
  <c r="AO1116" i="20"/>
  <c r="AR1116" i="20" s="1"/>
  <c r="AO1117" i="20"/>
  <c r="AP1117" i="20" s="1"/>
  <c r="AO1118" i="20"/>
  <c r="AO1119" i="20"/>
  <c r="AP1119" i="20" s="1"/>
  <c r="AO1120" i="20"/>
  <c r="AR1120" i="20" s="1"/>
  <c r="AO1121" i="20"/>
  <c r="AP1121" i="20" s="1"/>
  <c r="AO1122" i="20"/>
  <c r="AP1122" i="20" s="1"/>
  <c r="AO1123" i="20"/>
  <c r="AP1123" i="20" s="1"/>
  <c r="AO1124" i="20"/>
  <c r="AR1124" i="20" s="1"/>
  <c r="AO1125" i="20"/>
  <c r="AO1126" i="20"/>
  <c r="AO1127" i="20"/>
  <c r="AP1127" i="20" s="1"/>
  <c r="AO1128" i="20"/>
  <c r="AR1128" i="20" s="1"/>
  <c r="AO1129" i="20"/>
  <c r="AP1129" i="20" s="1"/>
  <c r="AO1130" i="20"/>
  <c r="AP1130" i="20" s="1"/>
  <c r="AO1131" i="20"/>
  <c r="AP1131" i="20" s="1"/>
  <c r="AO1132" i="20"/>
  <c r="AR1132" i="20" s="1"/>
  <c r="AO1133" i="20"/>
  <c r="AP1133" i="20" s="1"/>
  <c r="AO1134" i="20"/>
  <c r="AP1134" i="20" s="1"/>
  <c r="AO1135" i="20"/>
  <c r="AP1135" i="20" s="1"/>
  <c r="AO1136" i="20"/>
  <c r="AR1136" i="20" s="1"/>
  <c r="AO1137" i="20"/>
  <c r="AO1138" i="20"/>
  <c r="AP1138" i="20" s="1"/>
  <c r="AO1139" i="20"/>
  <c r="AP1139" i="20" s="1"/>
  <c r="AQ1088" i="20"/>
  <c r="AQ1089" i="20"/>
  <c r="AQ1090" i="20"/>
  <c r="AQ1091" i="20"/>
  <c r="AQ1092" i="20"/>
  <c r="AQ1093" i="20"/>
  <c r="AQ1094" i="20"/>
  <c r="AQ1095" i="20"/>
  <c r="AQ1096" i="20"/>
  <c r="AQ1097" i="20"/>
  <c r="AQ1098" i="20"/>
  <c r="AQ1099" i="20"/>
  <c r="AQ1100" i="20"/>
  <c r="AQ1101" i="20"/>
  <c r="AQ1102" i="20"/>
  <c r="AQ1103" i="20"/>
  <c r="AQ1104" i="20"/>
  <c r="AQ1105" i="20"/>
  <c r="AQ1106" i="20"/>
  <c r="AQ1107" i="20"/>
  <c r="AQ1108" i="20"/>
  <c r="AQ1109" i="20"/>
  <c r="AQ1110" i="20"/>
  <c r="AQ1111" i="20"/>
  <c r="AQ1112" i="20"/>
  <c r="AQ1113" i="20"/>
  <c r="AQ1114" i="20"/>
  <c r="AQ1115" i="20"/>
  <c r="AQ1116" i="20"/>
  <c r="AQ1117" i="20"/>
  <c r="AQ1118" i="20"/>
  <c r="AQ1119" i="20"/>
  <c r="AQ1120" i="20"/>
  <c r="AQ1121" i="20"/>
  <c r="AQ1122" i="20"/>
  <c r="AQ1123" i="20"/>
  <c r="AQ1124" i="20"/>
  <c r="AQ1125" i="20"/>
  <c r="AQ1126" i="20"/>
  <c r="AQ1127" i="20"/>
  <c r="AQ1128" i="20"/>
  <c r="AQ1129" i="20"/>
  <c r="AQ1130" i="20"/>
  <c r="AQ1131" i="20"/>
  <c r="AQ1132" i="20"/>
  <c r="AQ1133" i="20"/>
  <c r="AQ1134" i="20"/>
  <c r="AQ1135" i="20"/>
  <c r="AQ1136" i="20"/>
  <c r="AQ1137" i="20"/>
  <c r="AQ1138" i="20"/>
  <c r="AQ1139" i="20"/>
  <c r="AS1088" i="20"/>
  <c r="AS1089" i="20"/>
  <c r="AS1090" i="20"/>
  <c r="AS1091" i="20"/>
  <c r="AS1092" i="20"/>
  <c r="AS1093" i="20"/>
  <c r="AS1094" i="20"/>
  <c r="AS1095" i="20"/>
  <c r="AS1096" i="20"/>
  <c r="AS1097" i="20"/>
  <c r="AS1098" i="20"/>
  <c r="AS1099" i="20"/>
  <c r="AS1100" i="20"/>
  <c r="AS1101" i="20"/>
  <c r="AS1102" i="20"/>
  <c r="AS1103" i="20"/>
  <c r="AS1104" i="20"/>
  <c r="AS1105" i="20"/>
  <c r="AS1106" i="20"/>
  <c r="AS1107" i="20"/>
  <c r="AS1108" i="20"/>
  <c r="AS1109" i="20"/>
  <c r="AS1110" i="20"/>
  <c r="AS1111" i="20"/>
  <c r="AS1112" i="20"/>
  <c r="AS1113" i="20"/>
  <c r="AS1114" i="20"/>
  <c r="AS1115" i="20"/>
  <c r="AS1116" i="20"/>
  <c r="AS1117" i="20"/>
  <c r="AS1118" i="20"/>
  <c r="AS1119" i="20"/>
  <c r="AS1120" i="20"/>
  <c r="AS1121" i="20"/>
  <c r="AS1122" i="20"/>
  <c r="AS1123" i="20"/>
  <c r="AS1124" i="20"/>
  <c r="AS1125" i="20"/>
  <c r="AS1126" i="20"/>
  <c r="AS1127" i="20"/>
  <c r="AS1128" i="20"/>
  <c r="AS1129" i="20"/>
  <c r="AS1130" i="20"/>
  <c r="AS1131" i="20"/>
  <c r="AS1132" i="20"/>
  <c r="AS1133" i="20"/>
  <c r="AS1134" i="20"/>
  <c r="AS1135" i="20"/>
  <c r="AS1136" i="20"/>
  <c r="AS1137" i="20"/>
  <c r="AS1138" i="20"/>
  <c r="AS1139" i="20"/>
  <c r="AO1078" i="20"/>
  <c r="AP1078" i="20" s="1"/>
  <c r="AO1079" i="20"/>
  <c r="AO1080" i="20"/>
  <c r="AP1080" i="20" s="1"/>
  <c r="AO1081" i="20"/>
  <c r="AR1081" i="20" s="1"/>
  <c r="AO1082" i="20"/>
  <c r="AP1082" i="20" s="1"/>
  <c r="AO1083" i="20"/>
  <c r="AO1084" i="20"/>
  <c r="AP1084" i="20" s="1"/>
  <c r="AO1085" i="20"/>
  <c r="AR1085" i="20" s="1"/>
  <c r="AO1086" i="20"/>
  <c r="AP1086" i="20" s="1"/>
  <c r="AO1087" i="20"/>
  <c r="AP1087" i="20" s="1"/>
  <c r="AQ1078" i="20"/>
  <c r="AQ1079" i="20"/>
  <c r="AQ1080" i="20"/>
  <c r="AQ1081" i="20"/>
  <c r="AQ1082" i="20"/>
  <c r="AQ1083" i="20"/>
  <c r="AQ1084" i="20"/>
  <c r="AQ1085" i="20"/>
  <c r="AQ1086" i="20"/>
  <c r="AQ1087" i="20"/>
  <c r="AS1078" i="20"/>
  <c r="AS1079" i="20"/>
  <c r="AS1080" i="20"/>
  <c r="AS1081" i="20"/>
  <c r="AS1082" i="20"/>
  <c r="AS1083" i="20"/>
  <c r="AS1084" i="20"/>
  <c r="AS1085" i="20"/>
  <c r="AS1086" i="20"/>
  <c r="AS1087" i="20"/>
  <c r="AO65" i="20"/>
  <c r="AO55" i="20"/>
  <c r="AO61" i="20"/>
  <c r="AR61" i="20" s="1"/>
  <c r="AO57" i="20"/>
  <c r="AR57" i="20" s="1"/>
  <c r="AO25" i="20"/>
  <c r="AO120" i="20"/>
  <c r="AP120" i="20" s="1"/>
  <c r="AO110" i="20"/>
  <c r="AR110" i="20" s="1"/>
  <c r="AO115" i="20"/>
  <c r="AR115" i="20" s="1"/>
  <c r="AO116" i="20"/>
  <c r="AP116" i="20" s="1"/>
  <c r="AO117" i="20"/>
  <c r="AR117" i="20" s="1"/>
  <c r="AO119" i="20"/>
  <c r="AR119" i="20" s="1"/>
  <c r="AO28" i="20"/>
  <c r="AR28" i="20" s="1"/>
  <c r="AO63" i="20"/>
  <c r="AO136" i="20"/>
  <c r="AR136" i="20" s="1"/>
  <c r="AO129" i="20"/>
  <c r="AO139" i="20"/>
  <c r="AR139" i="20" s="1"/>
  <c r="S188" i="14"/>
  <c r="C11" i="36"/>
  <c r="AS1051" i="20"/>
  <c r="AQ1051" i="20"/>
  <c r="AO1051" i="20"/>
  <c r="AP1051" i="20" s="1"/>
  <c r="AM1051" i="20"/>
  <c r="AS1023" i="20"/>
  <c r="AQ1023" i="20"/>
  <c r="AO1023" i="20"/>
  <c r="AP1023" i="20" s="1"/>
  <c r="AM1023" i="20"/>
  <c r="AS942" i="20"/>
  <c r="AQ942" i="20"/>
  <c r="AO942" i="20"/>
  <c r="AR942" i="20" s="1"/>
  <c r="AM942" i="20"/>
  <c r="AS874" i="20"/>
  <c r="AQ874" i="20"/>
  <c r="AO874" i="20"/>
  <c r="AP874" i="20" s="1"/>
  <c r="AM874" i="20"/>
  <c r="AS871" i="20"/>
  <c r="AQ871" i="20"/>
  <c r="AO871" i="20"/>
  <c r="AP871" i="20" s="1"/>
  <c r="AM871" i="20"/>
  <c r="AS869" i="20"/>
  <c r="AQ869" i="20"/>
  <c r="AO869" i="20"/>
  <c r="AP869" i="20" s="1"/>
  <c r="AM869" i="20"/>
  <c r="AS835" i="20"/>
  <c r="AQ835" i="20"/>
  <c r="AO835" i="20"/>
  <c r="AR835" i="20" s="1"/>
  <c r="AM835" i="20"/>
  <c r="AS758" i="20"/>
  <c r="AQ758" i="20"/>
  <c r="AO758" i="20"/>
  <c r="AP758" i="20" s="1"/>
  <c r="AM758" i="20"/>
  <c r="AS731" i="20"/>
  <c r="AQ731" i="20"/>
  <c r="AO731" i="20"/>
  <c r="AP731" i="20" s="1"/>
  <c r="AM731" i="20"/>
  <c r="AS717" i="20"/>
  <c r="AQ717" i="20"/>
  <c r="AO717" i="20"/>
  <c r="AP717" i="20" s="1"/>
  <c r="AM717" i="20"/>
  <c r="AS299" i="20"/>
  <c r="AQ299" i="20"/>
  <c r="AO299" i="20"/>
  <c r="AR299" i="20" s="1"/>
  <c r="AM299" i="20"/>
  <c r="AS118" i="20"/>
  <c r="AQ118" i="20"/>
  <c r="AO118" i="20"/>
  <c r="AP118" i="20" s="1"/>
  <c r="AM118" i="20"/>
  <c r="AO301" i="20"/>
  <c r="AP301" i="20" s="1"/>
  <c r="AM301" i="20"/>
  <c r="AM16" i="20"/>
  <c r="AO16" i="20"/>
  <c r="AP16" i="20" s="1"/>
  <c r="AQ16" i="20"/>
  <c r="T223" i="19"/>
  <c r="P223" i="19" s="1"/>
  <c r="U223" i="19" s="1"/>
  <c r="S223" i="19"/>
  <c r="T247" i="19"/>
  <c r="P247" i="19" s="1"/>
  <c r="U247" i="19" s="1"/>
  <c r="S247" i="19"/>
  <c r="T73" i="19"/>
  <c r="P73" i="19" s="1"/>
  <c r="U73" i="19" s="1"/>
  <c r="S73" i="19"/>
  <c r="T234" i="19"/>
  <c r="P234" i="19" s="1"/>
  <c r="U234" i="19" s="1"/>
  <c r="S234" i="19"/>
  <c r="T274" i="19"/>
  <c r="P274" i="19" s="1"/>
  <c r="U274" i="19" s="1"/>
  <c r="S274" i="19"/>
  <c r="S195" i="19"/>
  <c r="T195" i="19"/>
  <c r="P195" i="19" s="1"/>
  <c r="U195" i="19" s="1"/>
  <c r="S202" i="19"/>
  <c r="T202" i="19"/>
  <c r="P202" i="19" s="1"/>
  <c r="S342" i="19"/>
  <c r="T342" i="19"/>
  <c r="P342" i="19" s="1"/>
  <c r="U342" i="19" s="1"/>
  <c r="S193" i="19"/>
  <c r="T193" i="19"/>
  <c r="P193" i="19" s="1"/>
  <c r="U193" i="19" s="1"/>
  <c r="T205" i="19"/>
  <c r="P205" i="19" s="1"/>
  <c r="U205" i="19" s="1"/>
  <c r="S205" i="19"/>
  <c r="T281" i="19"/>
  <c r="P281" i="19" s="1"/>
  <c r="U281" i="19" s="1"/>
  <c r="S281" i="19"/>
  <c r="T121" i="19"/>
  <c r="P121" i="19" s="1"/>
  <c r="S121" i="19"/>
  <c r="T61" i="19"/>
  <c r="P61" i="19" s="1"/>
  <c r="U61" i="19" s="1"/>
  <c r="S61" i="19"/>
  <c r="T74" i="19"/>
  <c r="P74" i="19" s="1"/>
  <c r="U74" i="19" s="1"/>
  <c r="S74" i="19"/>
  <c r="T232" i="19"/>
  <c r="P232" i="19" s="1"/>
  <c r="U232" i="19" s="1"/>
  <c r="S232" i="19"/>
  <c r="T8" i="19"/>
  <c r="P8" i="19" s="1"/>
  <c r="U8" i="19" s="1"/>
  <c r="S8" i="19"/>
  <c r="T48" i="19"/>
  <c r="P48" i="19" s="1"/>
  <c r="U48" i="19" s="1"/>
  <c r="S48" i="19"/>
  <c r="S337" i="19"/>
  <c r="T337" i="19"/>
  <c r="P337" i="19" s="1"/>
  <c r="U337" i="19" s="1"/>
  <c r="S294" i="19"/>
  <c r="T294" i="19"/>
  <c r="P294" i="19" s="1"/>
  <c r="U294" i="19" s="1"/>
  <c r="S276" i="19"/>
  <c r="T276" i="19"/>
  <c r="P276" i="19" s="1"/>
  <c r="U276" i="19" s="1"/>
  <c r="T288" i="19"/>
  <c r="P288" i="19" s="1"/>
  <c r="U288" i="19" s="1"/>
  <c r="S288" i="19"/>
  <c r="S93" i="19"/>
  <c r="T93" i="19"/>
  <c r="P93" i="19" s="1"/>
  <c r="U93" i="19" s="1"/>
  <c r="S44" i="19"/>
  <c r="T44" i="19"/>
  <c r="P44" i="19" s="1"/>
  <c r="U44" i="19" s="1"/>
  <c r="T253" i="19"/>
  <c r="P253" i="19" s="1"/>
  <c r="U253" i="19" s="1"/>
  <c r="T254" i="19"/>
  <c r="P254" i="19" s="1"/>
  <c r="U254" i="19" s="1"/>
  <c r="T256" i="19"/>
  <c r="P256" i="19" s="1"/>
  <c r="U256" i="19" s="1"/>
  <c r="T257" i="19"/>
  <c r="P257" i="19" s="1"/>
  <c r="U257" i="19" s="1"/>
  <c r="T258" i="19"/>
  <c r="P258" i="19" s="1"/>
  <c r="U258" i="19" s="1"/>
  <c r="T259" i="19"/>
  <c r="P259" i="19" s="1"/>
  <c r="U259" i="19" s="1"/>
  <c r="T260" i="19"/>
  <c r="P260" i="19" s="1"/>
  <c r="U260" i="19" s="1"/>
  <c r="T261" i="19"/>
  <c r="P261" i="19" s="1"/>
  <c r="U261" i="19" s="1"/>
  <c r="T262" i="19"/>
  <c r="P262" i="19" s="1"/>
  <c r="U262" i="19" s="1"/>
  <c r="T263" i="19"/>
  <c r="P263" i="19" s="1"/>
  <c r="U263" i="19" s="1"/>
  <c r="T264" i="19"/>
  <c r="P264" i="19" s="1"/>
  <c r="U264" i="19" s="1"/>
  <c r="T265" i="19"/>
  <c r="P265" i="19" s="1"/>
  <c r="U265" i="19" s="1"/>
  <c r="T266" i="19"/>
  <c r="P266" i="19" s="1"/>
  <c r="U266" i="19" s="1"/>
  <c r="T267" i="19"/>
  <c r="P267" i="19" s="1"/>
  <c r="U267" i="19" s="1"/>
  <c r="T268" i="19"/>
  <c r="P268" i="19" s="1"/>
  <c r="U268" i="19" s="1"/>
  <c r="T270" i="19"/>
  <c r="P270" i="19" s="1"/>
  <c r="U270" i="19" s="1"/>
  <c r="T271" i="19"/>
  <c r="P271" i="19" s="1"/>
  <c r="U271" i="19" s="1"/>
  <c r="T272" i="19"/>
  <c r="P272" i="19" s="1"/>
  <c r="U272" i="19" s="1"/>
  <c r="T273" i="19"/>
  <c r="P273" i="19" s="1"/>
  <c r="T275" i="19"/>
  <c r="P275" i="19" s="1"/>
  <c r="U275" i="19" s="1"/>
  <c r="T277" i="19"/>
  <c r="P277" i="19" s="1"/>
  <c r="U277" i="19" s="1"/>
  <c r="T278" i="19"/>
  <c r="P278" i="19" s="1"/>
  <c r="U278" i="19" s="1"/>
  <c r="T279" i="19"/>
  <c r="P279" i="19"/>
  <c r="U279" i="19" s="1"/>
  <c r="T282" i="19"/>
  <c r="P282" i="19" s="1"/>
  <c r="U282" i="19" s="1"/>
  <c r="T283" i="19"/>
  <c r="P283" i="19" s="1"/>
  <c r="U283" i="19" s="1"/>
  <c r="T284" i="19"/>
  <c r="P284" i="19" s="1"/>
  <c r="U284" i="19" s="1"/>
  <c r="T285" i="19"/>
  <c r="P285" i="19" s="1"/>
  <c r="T286" i="19"/>
  <c r="P286" i="19" s="1"/>
  <c r="U286" i="19" s="1"/>
  <c r="T287" i="19"/>
  <c r="P287" i="19" s="1"/>
  <c r="U287" i="19" s="1"/>
  <c r="T289" i="19"/>
  <c r="P289" i="19" s="1"/>
  <c r="U289" i="19" s="1"/>
  <c r="T290" i="19"/>
  <c r="P290" i="19" s="1"/>
  <c r="U290" i="19" s="1"/>
  <c r="T291" i="19"/>
  <c r="P291" i="19" s="1"/>
  <c r="U291" i="19" s="1"/>
  <c r="T292" i="19"/>
  <c r="P292" i="19" s="1"/>
  <c r="U292" i="19" s="1"/>
  <c r="T295" i="19"/>
  <c r="P295" i="19" s="1"/>
  <c r="U295" i="19" s="1"/>
  <c r="T297" i="19"/>
  <c r="P297" i="19" s="1"/>
  <c r="U297" i="19" s="1"/>
  <c r="T298" i="19"/>
  <c r="P298" i="19" s="1"/>
  <c r="U298" i="19" s="1"/>
  <c r="T299" i="19"/>
  <c r="P299" i="19" s="1"/>
  <c r="U299" i="19" s="1"/>
  <c r="T300" i="19"/>
  <c r="P300" i="19" s="1"/>
  <c r="U300" i="19" s="1"/>
  <c r="T301" i="19"/>
  <c r="P301" i="19" s="1"/>
  <c r="U301" i="19" s="1"/>
  <c r="T302" i="19"/>
  <c r="P302" i="19" s="1"/>
  <c r="U302" i="19" s="1"/>
  <c r="T303" i="19"/>
  <c r="P303" i="19" s="1"/>
  <c r="U303" i="19" s="1"/>
  <c r="T304" i="19"/>
  <c r="P304" i="19" s="1"/>
  <c r="U304" i="19" s="1"/>
  <c r="T306" i="19"/>
  <c r="P306" i="19" s="1"/>
  <c r="U306" i="19" s="1"/>
  <c r="T308" i="19"/>
  <c r="P308" i="19" s="1"/>
  <c r="U308" i="19" s="1"/>
  <c r="T309" i="19"/>
  <c r="P309" i="19" s="1"/>
  <c r="U309" i="19" s="1"/>
  <c r="T310" i="19"/>
  <c r="P310" i="19" s="1"/>
  <c r="U310" i="19" s="1"/>
  <c r="T311" i="19"/>
  <c r="P311" i="19" s="1"/>
  <c r="U311" i="19" s="1"/>
  <c r="T312" i="19"/>
  <c r="P312" i="19" s="1"/>
  <c r="T313" i="19"/>
  <c r="P313" i="19" s="1"/>
  <c r="U313" i="19" s="1"/>
  <c r="T314" i="19"/>
  <c r="P314" i="19" s="1"/>
  <c r="U314" i="19" s="1"/>
  <c r="T315" i="19"/>
  <c r="P315" i="19" s="1"/>
  <c r="U315" i="19" s="1"/>
  <c r="T316" i="19"/>
  <c r="P316" i="19" s="1"/>
  <c r="U316" i="19" s="1"/>
  <c r="T317" i="19"/>
  <c r="P317" i="19" s="1"/>
  <c r="U317" i="19" s="1"/>
  <c r="T318" i="19"/>
  <c r="P318" i="19" s="1"/>
  <c r="U318" i="19" s="1"/>
  <c r="T319" i="19"/>
  <c r="P319" i="19" s="1"/>
  <c r="U319" i="19" s="1"/>
  <c r="T320" i="19"/>
  <c r="P320" i="19" s="1"/>
  <c r="T321" i="19"/>
  <c r="P321" i="19" s="1"/>
  <c r="U321" i="19" s="1"/>
  <c r="T322" i="19"/>
  <c r="P322" i="19" s="1"/>
  <c r="U322" i="19" s="1"/>
  <c r="T323" i="19"/>
  <c r="P323" i="19" s="1"/>
  <c r="T324" i="19"/>
  <c r="P324" i="19" s="1"/>
  <c r="U324" i="19" s="1"/>
  <c r="T325" i="19"/>
  <c r="P325" i="19" s="1"/>
  <c r="U325" i="19" s="1"/>
  <c r="T326" i="19"/>
  <c r="P326" i="19" s="1"/>
  <c r="U326" i="19" s="1"/>
  <c r="T327" i="19"/>
  <c r="P327" i="19" s="1"/>
  <c r="U327" i="19" s="1"/>
  <c r="T328" i="19"/>
  <c r="P328" i="19" s="1"/>
  <c r="T329" i="19"/>
  <c r="P329" i="19" s="1"/>
  <c r="U329" i="19" s="1"/>
  <c r="T330" i="19"/>
  <c r="P330" i="19" s="1"/>
  <c r="U330" i="19" s="1"/>
  <c r="T331" i="19"/>
  <c r="P331" i="19" s="1"/>
  <c r="U331" i="19" s="1"/>
  <c r="T332" i="19"/>
  <c r="P332" i="19" s="1"/>
  <c r="U332" i="19" s="1"/>
  <c r="T333" i="19"/>
  <c r="P333" i="19" s="1"/>
  <c r="U333" i="19" s="1"/>
  <c r="T334" i="19"/>
  <c r="P334" i="19" s="1"/>
  <c r="U334" i="19" s="1"/>
  <c r="T335" i="19"/>
  <c r="P335" i="19" s="1"/>
  <c r="U335" i="19" s="1"/>
  <c r="T338" i="19"/>
  <c r="P338" i="19" s="1"/>
  <c r="U338" i="19" s="1"/>
  <c r="T339" i="19"/>
  <c r="P339" i="19" s="1"/>
  <c r="U339" i="19" s="1"/>
  <c r="T341" i="19"/>
  <c r="P341" i="19" s="1"/>
  <c r="U341" i="19" s="1"/>
  <c r="T343" i="19"/>
  <c r="P343" i="19" s="1"/>
  <c r="U343" i="19" s="1"/>
  <c r="T344" i="19"/>
  <c r="P344" i="19" s="1"/>
  <c r="U344" i="19" s="1"/>
  <c r="T345" i="19"/>
  <c r="P345" i="19" s="1"/>
  <c r="U345" i="19" s="1"/>
  <c r="T346" i="19"/>
  <c r="P346" i="19" s="1"/>
  <c r="U346" i="19" s="1"/>
  <c r="T105" i="19"/>
  <c r="P105" i="19"/>
  <c r="U105" i="19" s="1"/>
  <c r="S105" i="19"/>
  <c r="T12" i="19"/>
  <c r="P12" i="19" s="1"/>
  <c r="U12" i="19" s="1"/>
  <c r="S12" i="19"/>
  <c r="T296" i="19"/>
  <c r="P296" i="19" s="1"/>
  <c r="U296" i="19" s="1"/>
  <c r="S296" i="19"/>
  <c r="AI113" i="14"/>
  <c r="AJ113" i="14"/>
  <c r="AK113" i="14" s="1"/>
  <c r="V22" i="62"/>
  <c r="S36" i="14"/>
  <c r="AI36" i="14"/>
  <c r="AJ36" i="14"/>
  <c r="AK36" i="14" s="1"/>
  <c r="S246" i="14"/>
  <c r="AJ246" i="14"/>
  <c r="AK246" i="14" s="1"/>
  <c r="S9" i="19"/>
  <c r="U312" i="19"/>
  <c r="U320" i="19"/>
  <c r="U328" i="19"/>
  <c r="K14" i="36"/>
  <c r="K26" i="36"/>
  <c r="E8" i="36"/>
  <c r="E9" i="36"/>
  <c r="E10" i="36"/>
  <c r="E11" i="36"/>
  <c r="E12" i="36"/>
  <c r="E13" i="36"/>
  <c r="E14" i="36"/>
  <c r="E15" i="36"/>
  <c r="E16" i="36"/>
  <c r="E17" i="36"/>
  <c r="E18" i="36"/>
  <c r="E19" i="36"/>
  <c r="E20" i="36"/>
  <c r="E21" i="36"/>
  <c r="E22" i="36"/>
  <c r="E23" i="36"/>
  <c r="E24" i="36"/>
  <c r="E25" i="36"/>
  <c r="E26" i="36"/>
  <c r="E27" i="36"/>
  <c r="D27" i="36"/>
  <c r="D22" i="36"/>
  <c r="D23" i="36"/>
  <c r="D24" i="36"/>
  <c r="D25" i="36"/>
  <c r="D26" i="36"/>
  <c r="D8" i="36"/>
  <c r="D9" i="36"/>
  <c r="D10" i="36"/>
  <c r="D11" i="36"/>
  <c r="D12" i="36"/>
  <c r="D13" i="36"/>
  <c r="D14" i="36"/>
  <c r="D15" i="36"/>
  <c r="D16" i="36"/>
  <c r="D17" i="36"/>
  <c r="D18" i="36"/>
  <c r="D19" i="36"/>
  <c r="D20" i="36"/>
  <c r="D21" i="36"/>
  <c r="B7" i="36"/>
  <c r="M28" i="40"/>
  <c r="AJ69" i="14"/>
  <c r="AK69" i="14" s="1"/>
  <c r="AJ20" i="14"/>
  <c r="AK20" i="14" s="1"/>
  <c r="AJ203" i="14"/>
  <c r="AK203" i="14" s="1"/>
  <c r="AJ198" i="14"/>
  <c r="AK198" i="14" s="1"/>
  <c r="AJ46" i="14"/>
  <c r="AK46" i="14" s="1"/>
  <c r="AJ47" i="14"/>
  <c r="AK47" i="14" s="1"/>
  <c r="AJ34" i="14"/>
  <c r="AK34" i="14" s="1"/>
  <c r="AJ71" i="14"/>
  <c r="AK71" i="14" s="1"/>
  <c r="AJ122" i="14"/>
  <c r="AK122" i="14" s="1"/>
  <c r="AJ32" i="14"/>
  <c r="AK32" i="14" s="1"/>
  <c r="AJ237" i="14"/>
  <c r="AK237" i="14" s="1"/>
  <c r="AJ232" i="14"/>
  <c r="AK232" i="14" s="1"/>
  <c r="AJ77" i="14"/>
  <c r="AK77" i="14" s="1"/>
  <c r="AJ76" i="14"/>
  <c r="AK76" i="14" s="1"/>
  <c r="AJ78" i="14"/>
  <c r="AK78" i="14" s="1"/>
  <c r="AJ56" i="14"/>
  <c r="AK56" i="14" s="1"/>
  <c r="AJ146" i="14"/>
  <c r="AK146" i="14" s="1"/>
  <c r="AJ164" i="14"/>
  <c r="AK164" i="14" s="1"/>
  <c r="AJ177" i="14"/>
  <c r="AK177" i="14" s="1"/>
  <c r="AJ18" i="14"/>
  <c r="AK18" i="14" s="1"/>
  <c r="AJ19" i="14"/>
  <c r="AK19" i="14" s="1"/>
  <c r="AJ138" i="14"/>
  <c r="AK138" i="14" s="1"/>
  <c r="AJ128" i="14"/>
  <c r="AK128" i="14" s="1"/>
  <c r="AJ52" i="14"/>
  <c r="AK52" i="14" s="1"/>
  <c r="AJ140" i="14"/>
  <c r="AK140" i="14" s="1"/>
  <c r="AJ81" i="14"/>
  <c r="AK81" i="14" s="1"/>
  <c r="AJ84" i="14"/>
  <c r="AK84" i="14" s="1"/>
  <c r="AJ17" i="14"/>
  <c r="AK17" i="14" s="1"/>
  <c r="AJ219" i="14"/>
  <c r="AK219" i="14" s="1"/>
  <c r="AJ217" i="14"/>
  <c r="AK217" i="14" s="1"/>
  <c r="AJ218" i="14"/>
  <c r="AK218" i="14" s="1"/>
  <c r="AJ216" i="14"/>
  <c r="AK216" i="14" s="1"/>
  <c r="AJ182" i="14"/>
  <c r="AK182" i="14" s="1"/>
  <c r="AJ124" i="14"/>
  <c r="AK124" i="14" s="1"/>
  <c r="AJ23" i="14"/>
  <c r="AK23" i="14" s="1"/>
  <c r="AJ22" i="14"/>
  <c r="AK22" i="14" s="1"/>
  <c r="AJ207" i="14"/>
  <c r="AK207" i="14" s="1"/>
  <c r="AJ188" i="14"/>
  <c r="AK188" i="14" s="1"/>
  <c r="AJ59" i="14"/>
  <c r="AK59" i="14" s="1"/>
  <c r="AJ125" i="14"/>
  <c r="AK125" i="14" s="1"/>
  <c r="AJ50" i="14"/>
  <c r="AK50" i="14" s="1"/>
  <c r="AJ209" i="14"/>
  <c r="AK209" i="14" s="1"/>
  <c r="AJ225" i="14"/>
  <c r="AK225" i="14" s="1"/>
  <c r="AJ212" i="14"/>
  <c r="AK212" i="14" s="1"/>
  <c r="AJ181" i="14"/>
  <c r="AK181" i="14" s="1"/>
  <c r="AJ179" i="14"/>
  <c r="AK179" i="14" s="1"/>
  <c r="AJ178" i="14"/>
  <c r="AK178" i="14" s="1"/>
  <c r="AJ145" i="14"/>
  <c r="AK145" i="14" s="1"/>
  <c r="AJ220" i="14"/>
  <c r="AK220" i="14" s="1"/>
  <c r="AJ173" i="14"/>
  <c r="AK173" i="14" s="1"/>
  <c r="AJ139" i="14"/>
  <c r="AK139" i="14" s="1"/>
  <c r="AJ118" i="14"/>
  <c r="AK118" i="14" s="1"/>
  <c r="AJ33" i="14"/>
  <c r="AK33" i="14" s="1"/>
  <c r="AJ126" i="14"/>
  <c r="AK126" i="14" s="1"/>
  <c r="S43" i="14"/>
  <c r="S238" i="14"/>
  <c r="AI238" i="14"/>
  <c r="AJ238" i="14"/>
  <c r="AK238" i="14" s="1"/>
  <c r="S241" i="14"/>
  <c r="AI241" i="14"/>
  <c r="AJ241" i="14"/>
  <c r="AK241" i="14" s="1"/>
  <c r="S242" i="14"/>
  <c r="AI242" i="14"/>
  <c r="AJ242" i="14"/>
  <c r="AK242" i="14" s="1"/>
  <c r="AP38" i="40"/>
  <c r="AP39" i="40"/>
  <c r="AP40" i="40"/>
  <c r="AP41" i="40"/>
  <c r="AP42" i="40"/>
  <c r="AP43" i="40"/>
  <c r="AP44" i="40"/>
  <c r="AP45" i="40"/>
  <c r="AP46" i="40"/>
  <c r="AP47" i="40"/>
  <c r="AP48" i="40"/>
  <c r="AP49" i="40"/>
  <c r="AP51" i="40"/>
  <c r="AP52" i="40"/>
  <c r="AP53" i="40"/>
  <c r="AP54" i="40"/>
  <c r="AP55" i="40"/>
  <c r="AP56" i="40"/>
  <c r="AP57" i="40"/>
  <c r="AO38" i="40"/>
  <c r="AO39" i="40"/>
  <c r="AO40" i="40"/>
  <c r="AO41" i="40"/>
  <c r="AO42" i="40"/>
  <c r="AO43" i="40"/>
  <c r="AO44" i="40"/>
  <c r="AO45" i="40"/>
  <c r="AO46" i="40"/>
  <c r="AO47" i="40"/>
  <c r="AO48" i="40"/>
  <c r="AO49" i="40"/>
  <c r="AO50" i="40"/>
  <c r="AO52" i="40"/>
  <c r="AO53" i="40"/>
  <c r="AO54" i="40"/>
  <c r="AO55" i="40"/>
  <c r="AO56" i="40"/>
  <c r="AO57" i="40"/>
  <c r="AN38" i="40"/>
  <c r="AN39" i="40"/>
  <c r="AN40" i="40"/>
  <c r="AN41" i="40"/>
  <c r="AN42" i="40"/>
  <c r="AN43" i="40"/>
  <c r="AN44" i="40"/>
  <c r="AN45" i="40"/>
  <c r="AN46" i="40"/>
  <c r="AN47" i="40"/>
  <c r="AN48" i="40"/>
  <c r="AN49" i="40"/>
  <c r="AN50" i="40"/>
  <c r="AN52" i="40"/>
  <c r="AN53" i="40"/>
  <c r="AN54" i="40"/>
  <c r="AN55" i="40"/>
  <c r="AN56" i="40"/>
  <c r="AN57" i="40"/>
  <c r="AM38" i="40"/>
  <c r="AM39" i="40"/>
  <c r="AM40" i="40"/>
  <c r="AM41" i="40"/>
  <c r="AM42" i="40"/>
  <c r="AM43" i="40"/>
  <c r="AM44" i="40"/>
  <c r="AM45" i="40"/>
  <c r="AM46" i="40"/>
  <c r="AM47" i="40"/>
  <c r="AM48" i="40"/>
  <c r="AM49" i="40"/>
  <c r="AM50" i="40"/>
  <c r="AM52" i="40"/>
  <c r="AM53" i="40"/>
  <c r="AM54" i="40"/>
  <c r="AM55" i="40"/>
  <c r="AM56" i="40"/>
  <c r="AM57" i="40"/>
  <c r="AL52" i="40"/>
  <c r="AL53" i="40"/>
  <c r="AL54" i="40"/>
  <c r="AL55" i="40"/>
  <c r="AL56" i="40"/>
  <c r="AL57" i="40"/>
  <c r="AL38" i="40"/>
  <c r="AL39" i="40"/>
  <c r="AL40" i="40"/>
  <c r="AL41" i="40"/>
  <c r="AL42" i="40"/>
  <c r="AL43" i="40"/>
  <c r="AL44" i="40"/>
  <c r="AL45" i="40"/>
  <c r="AL46" i="40"/>
  <c r="AL47" i="40"/>
  <c r="AL48" i="40"/>
  <c r="AL49" i="40"/>
  <c r="AL50" i="40"/>
  <c r="AM192" i="20"/>
  <c r="AO192" i="20"/>
  <c r="AP192" i="20" s="1"/>
  <c r="AM391" i="20"/>
  <c r="AO391" i="20"/>
  <c r="AP391" i="20" s="1"/>
  <c r="AM399" i="20"/>
  <c r="AO399" i="20"/>
  <c r="AP399" i="20" s="1"/>
  <c r="S187" i="19"/>
  <c r="T187" i="19"/>
  <c r="P187" i="19" s="1"/>
  <c r="U187" i="19" s="1"/>
  <c r="S212" i="19"/>
  <c r="T212" i="19"/>
  <c r="P212" i="19" s="1"/>
  <c r="U212" i="19" s="1"/>
  <c r="S111" i="19"/>
  <c r="T111" i="19"/>
  <c r="P111" i="19" s="1"/>
  <c r="U111" i="19" s="1"/>
  <c r="S43" i="19"/>
  <c r="T43" i="19"/>
  <c r="P43" i="19" s="1"/>
  <c r="U43" i="19" s="1"/>
  <c r="S16" i="19"/>
  <c r="T16" i="19"/>
  <c r="P16" i="19" s="1"/>
  <c r="U16" i="19" s="1"/>
  <c r="S39" i="19"/>
  <c r="T39" i="19"/>
  <c r="P39" i="19" s="1"/>
  <c r="U39" i="19" s="1"/>
  <c r="S254" i="19"/>
  <c r="S262" i="19"/>
  <c r="S302" i="19"/>
  <c r="S152" i="19"/>
  <c r="T152" i="19"/>
  <c r="P152" i="19" s="1"/>
  <c r="U152" i="19" s="1"/>
  <c r="S203" i="19"/>
  <c r="S79" i="19"/>
  <c r="T79" i="19"/>
  <c r="P79" i="19" s="1"/>
  <c r="U79" i="19" s="1"/>
  <c r="S221" i="19"/>
  <c r="T221" i="19"/>
  <c r="P221" i="19" s="1"/>
  <c r="U221" i="19" s="1"/>
  <c r="T203" i="19"/>
  <c r="P203" i="19" s="1"/>
  <c r="U203" i="19" s="1"/>
  <c r="S113" i="19"/>
  <c r="T113" i="19"/>
  <c r="P113" i="19" s="1"/>
  <c r="U113" i="19" s="1"/>
  <c r="S310" i="19"/>
  <c r="S57" i="14"/>
  <c r="S176" i="14"/>
  <c r="S145" i="14"/>
  <c r="S59" i="14"/>
  <c r="S56" i="14"/>
  <c r="S58" i="14"/>
  <c r="S61" i="14"/>
  <c r="S175" i="14"/>
  <c r="S54" i="14"/>
  <c r="S62" i="14"/>
  <c r="S60" i="14"/>
  <c r="S49" i="14"/>
  <c r="S50" i="14"/>
  <c r="S52" i="14"/>
  <c r="S177" i="14"/>
  <c r="S190" i="14"/>
  <c r="S205" i="14"/>
  <c r="S162" i="14"/>
  <c r="S148" i="14"/>
  <c r="S156" i="14"/>
  <c r="S172" i="14"/>
  <c r="S149" i="14"/>
  <c r="S170" i="14"/>
  <c r="S113" i="14"/>
  <c r="S154" i="14"/>
  <c r="S139" i="14"/>
  <c r="S173" i="14"/>
  <c r="S209" i="14"/>
  <c r="S218" i="14"/>
  <c r="S164" i="14"/>
  <c r="S146" i="14"/>
  <c r="S95" i="14"/>
  <c r="S174" i="14"/>
  <c r="S107" i="14"/>
  <c r="S165" i="14"/>
  <c r="S166" i="14"/>
  <c r="S167" i="14"/>
  <c r="S109" i="14"/>
  <c r="S245" i="14"/>
  <c r="S228" i="14"/>
  <c r="S81" i="14"/>
  <c r="S216" i="14"/>
  <c r="S217" i="14"/>
  <c r="S219" i="14"/>
  <c r="S221" i="14"/>
  <c r="S160" i="14"/>
  <c r="S244" i="14"/>
  <c r="S161" i="14"/>
  <c r="S224" i="14"/>
  <c r="S129" i="14"/>
  <c r="S206" i="14"/>
  <c r="S178" i="14"/>
  <c r="S128" i="14"/>
  <c r="S134" i="14"/>
  <c r="S198" i="14"/>
  <c r="S203" i="14"/>
  <c r="S132" i="14"/>
  <c r="S210" i="14"/>
  <c r="S131" i="14"/>
  <c r="S208" i="14"/>
  <c r="S133" i="14"/>
  <c r="S73" i="14"/>
  <c r="S211" i="14"/>
  <c r="S229" i="14"/>
  <c r="S84" i="14"/>
  <c r="S237" i="14"/>
  <c r="S83" i="14"/>
  <c r="S85" i="14"/>
  <c r="S233" i="14"/>
  <c r="S234" i="14"/>
  <c r="S220" i="14"/>
  <c r="S223" i="14"/>
  <c r="S141" i="14"/>
  <c r="S86" i="14"/>
  <c r="S126" i="14"/>
  <c r="S179" i="14"/>
  <c r="S125" i="14"/>
  <c r="S124" i="14"/>
  <c r="S182" i="14"/>
  <c r="S78" i="14"/>
  <c r="S76" i="14"/>
  <c r="S77" i="14"/>
  <c r="S71" i="14"/>
  <c r="S69" i="14"/>
  <c r="S70" i="14"/>
  <c r="S180" i="14"/>
  <c r="S65" i="14"/>
  <c r="S63" i="14"/>
  <c r="S68" i="14"/>
  <c r="S130" i="14"/>
  <c r="S66" i="14"/>
  <c r="S79" i="14"/>
  <c r="S127" i="14"/>
  <c r="S72" i="14"/>
  <c r="S80" i="14"/>
  <c r="S67" i="14"/>
  <c r="S212" i="14"/>
  <c r="S225" i="14"/>
  <c r="S214" i="14"/>
  <c r="S159" i="14"/>
  <c r="S236" i="14"/>
  <c r="S243" i="14"/>
  <c r="S227" i="14"/>
  <c r="S213" i="14"/>
  <c r="S16" i="14"/>
  <c r="S14" i="14"/>
  <c r="S15" i="14"/>
  <c r="S22" i="14"/>
  <c r="S17" i="14"/>
  <c r="S19" i="14"/>
  <c r="S18" i="14"/>
  <c r="S20" i="14"/>
  <c r="S12" i="14"/>
  <c r="S26" i="14"/>
  <c r="S6" i="14"/>
  <c r="S144" i="14"/>
  <c r="S10" i="14"/>
  <c r="S11" i="14"/>
  <c r="S13" i="14"/>
  <c r="S5" i="14"/>
  <c r="S28" i="14"/>
  <c r="S8" i="14"/>
  <c r="S7" i="14"/>
  <c r="S9" i="14"/>
  <c r="S27" i="14"/>
  <c r="S147" i="14"/>
  <c r="S24" i="14"/>
  <c r="S239" i="14"/>
  <c r="S38" i="14"/>
  <c r="S240" i="14"/>
  <c r="S215" i="14"/>
  <c r="S230" i="14"/>
  <c r="S207" i="14"/>
  <c r="S232" i="14"/>
  <c r="S82" i="14"/>
  <c r="S181" i="14"/>
  <c r="S138" i="14"/>
  <c r="S74" i="14"/>
  <c r="S75" i="14"/>
  <c r="S187" i="14"/>
  <c r="S116" i="14"/>
  <c r="S33" i="14"/>
  <c r="S118" i="14"/>
  <c r="S140" i="14"/>
  <c r="S32" i="14"/>
  <c r="S122" i="14"/>
  <c r="S34" i="14"/>
  <c r="S47" i="14"/>
  <c r="S46" i="14"/>
  <c r="S40" i="14"/>
  <c r="S123" i="14"/>
  <c r="S143" i="14"/>
  <c r="S39" i="14"/>
  <c r="S30" i="14"/>
  <c r="S35" i="14"/>
  <c r="S31" i="14"/>
  <c r="S48" i="14"/>
  <c r="S44" i="14"/>
  <c r="S45" i="14"/>
  <c r="S119" i="14"/>
  <c r="S115" i="14"/>
  <c r="AI61" i="14"/>
  <c r="AI208" i="14"/>
  <c r="AI128" i="14"/>
  <c r="AI130" i="14"/>
  <c r="AI131" i="14"/>
  <c r="AI127" i="14"/>
  <c r="AI69" i="14"/>
  <c r="AI190" i="14"/>
  <c r="AI119" i="14"/>
  <c r="AI219" i="14"/>
  <c r="AI38" i="14"/>
  <c r="AI229" i="14"/>
  <c r="AI205" i="14"/>
  <c r="AI143" i="14"/>
  <c r="AI34" i="14"/>
  <c r="AI122" i="14"/>
  <c r="AI126" i="14"/>
  <c r="AI144" i="14"/>
  <c r="AI23" i="14"/>
  <c r="AI116" i="14"/>
  <c r="AI124" i="14"/>
  <c r="AI29" i="14"/>
  <c r="AI57" i="14"/>
  <c r="AI86" i="14"/>
  <c r="AI237" i="14"/>
  <c r="AI125" i="14"/>
  <c r="AI75" i="14"/>
  <c r="AI76" i="14"/>
  <c r="AJ61" i="14"/>
  <c r="AK61" i="14" s="1"/>
  <c r="AJ208" i="14"/>
  <c r="AK208" i="14" s="1"/>
  <c r="AJ130" i="14"/>
  <c r="AK130" i="14" s="1"/>
  <c r="AJ131" i="14"/>
  <c r="AK131" i="14" s="1"/>
  <c r="AJ127" i="14"/>
  <c r="AK127" i="14" s="1"/>
  <c r="AJ190" i="14"/>
  <c r="AK190" i="14" s="1"/>
  <c r="AJ119" i="14"/>
  <c r="AK119" i="14" s="1"/>
  <c r="AJ243" i="14"/>
  <c r="AK243" i="14" s="1"/>
  <c r="AJ38" i="14"/>
  <c r="AK38" i="14" s="1"/>
  <c r="AJ229" i="14"/>
  <c r="AK229" i="14" s="1"/>
  <c r="AJ244" i="14"/>
  <c r="AK244" i="14" s="1"/>
  <c r="AJ205" i="14"/>
  <c r="AK205" i="14" s="1"/>
  <c r="AJ143" i="14"/>
  <c r="AK143" i="14" s="1"/>
  <c r="AJ144" i="14"/>
  <c r="AK144" i="14" s="1"/>
  <c r="AJ116" i="14"/>
  <c r="AK116" i="14" s="1"/>
  <c r="AJ29" i="14"/>
  <c r="AK29" i="14" s="1"/>
  <c r="AJ57" i="14"/>
  <c r="AK57" i="14" s="1"/>
  <c r="AJ86" i="14"/>
  <c r="AK86" i="14" s="1"/>
  <c r="AJ75" i="14"/>
  <c r="AK75" i="14" s="1"/>
  <c r="AM197" i="20"/>
  <c r="AO197" i="20"/>
  <c r="AP197" i="20" s="1"/>
  <c r="AQ197" i="20"/>
  <c r="AS197" i="20"/>
  <c r="AM905" i="20"/>
  <c r="AO905" i="20"/>
  <c r="AP905" i="20" s="1"/>
  <c r="AQ905" i="20"/>
  <c r="AS905" i="20"/>
  <c r="AM752" i="20"/>
  <c r="AO752" i="20"/>
  <c r="AR752" i="20" s="1"/>
  <c r="AQ752" i="20"/>
  <c r="AS752" i="20"/>
  <c r="AM168" i="20"/>
  <c r="AO168" i="20"/>
  <c r="AP168" i="20" s="1"/>
  <c r="AQ168" i="20"/>
  <c r="AS168" i="20"/>
  <c r="AM409" i="20"/>
  <c r="AO409" i="20"/>
  <c r="AP409" i="20" s="1"/>
  <c r="AQ409" i="20"/>
  <c r="AS409" i="20"/>
  <c r="AM1057" i="20"/>
  <c r="AO1057" i="20"/>
  <c r="AR1057" i="20" s="1"/>
  <c r="AQ1057" i="20"/>
  <c r="AS1057" i="20"/>
  <c r="F10" i="36"/>
  <c r="E12" i="37"/>
  <c r="E13" i="37"/>
  <c r="C7" i="36"/>
  <c r="B9" i="36"/>
  <c r="B8" i="36"/>
  <c r="D7" i="36"/>
  <c r="AI234" i="14"/>
  <c r="AJ234" i="14"/>
  <c r="AK234" i="14" s="1"/>
  <c r="AF233" i="14"/>
  <c r="AH233" i="14" s="1"/>
  <c r="AI233" i="14"/>
  <c r="AJ233" i="14"/>
  <c r="AK233" i="14" s="1"/>
  <c r="AI232" i="14"/>
  <c r="AJ245" i="14"/>
  <c r="AK245" i="14" s="1"/>
  <c r="S159" i="19"/>
  <c r="T159" i="19"/>
  <c r="P159" i="19" s="1"/>
  <c r="U159" i="19" s="1"/>
  <c r="S188" i="19"/>
  <c r="T188" i="19"/>
  <c r="P188" i="19" s="1"/>
  <c r="U188" i="19" s="1"/>
  <c r="S102" i="19"/>
  <c r="T102" i="19"/>
  <c r="P102" i="19" s="1"/>
  <c r="U102" i="19" s="1"/>
  <c r="S41" i="19"/>
  <c r="T41" i="19"/>
  <c r="P41" i="19" s="1"/>
  <c r="U41" i="19" s="1"/>
  <c r="S99" i="19"/>
  <c r="T99" i="19"/>
  <c r="P99" i="19" s="1"/>
  <c r="U99" i="19" s="1"/>
  <c r="S259" i="19"/>
  <c r="S298" i="19"/>
  <c r="S167" i="19"/>
  <c r="T167" i="19"/>
  <c r="P167" i="19" s="1"/>
  <c r="U167" i="19" s="1"/>
  <c r="S199" i="19"/>
  <c r="T199" i="19"/>
  <c r="P199" i="19" s="1"/>
  <c r="U199" i="19" s="1"/>
  <c r="S338" i="19"/>
  <c r="S330" i="19"/>
  <c r="S317" i="19"/>
  <c r="S311" i="19"/>
  <c r="S312" i="19"/>
  <c r="S299" i="19"/>
  <c r="S297" i="19"/>
  <c r="S283" i="19"/>
  <c r="S260" i="19"/>
  <c r="S249" i="19"/>
  <c r="T249" i="19"/>
  <c r="P249" i="19" s="1"/>
  <c r="U249" i="19" s="1"/>
  <c r="S250" i="19"/>
  <c r="T250" i="19"/>
  <c r="P250" i="19" s="1"/>
  <c r="U250" i="19" s="1"/>
  <c r="S242" i="19"/>
  <c r="T242" i="19"/>
  <c r="P242" i="19" s="1"/>
  <c r="U242" i="19" s="1"/>
  <c r="S238" i="19"/>
  <c r="T238" i="19"/>
  <c r="P238" i="19" s="1"/>
  <c r="U238" i="19" s="1"/>
  <c r="S218" i="19"/>
  <c r="T218" i="19"/>
  <c r="P218" i="19" s="1"/>
  <c r="U218" i="19" s="1"/>
  <c r="S214" i="19"/>
  <c r="T214" i="19"/>
  <c r="P214" i="19" s="1"/>
  <c r="U214" i="19" s="1"/>
  <c r="S175" i="19"/>
  <c r="T175" i="19"/>
  <c r="P175" i="19" s="1"/>
  <c r="U175" i="19" s="1"/>
  <c r="S172" i="19"/>
  <c r="T172" i="19"/>
  <c r="P172" i="19" s="1"/>
  <c r="U172" i="19" s="1"/>
  <c r="S170" i="19"/>
  <c r="T170" i="19"/>
  <c r="P170" i="19" s="1"/>
  <c r="U170" i="19" s="1"/>
  <c r="S162" i="19"/>
  <c r="T162" i="19"/>
  <c r="P162" i="19" s="1"/>
  <c r="U162" i="19" s="1"/>
  <c r="S157" i="19"/>
  <c r="T157" i="19"/>
  <c r="P157" i="19" s="1"/>
  <c r="U157" i="19" s="1"/>
  <c r="S125" i="19"/>
  <c r="T125" i="19"/>
  <c r="P125" i="19" s="1"/>
  <c r="U125" i="19" s="1"/>
  <c r="S107" i="19"/>
  <c r="T107" i="19"/>
  <c r="P107" i="19" s="1"/>
  <c r="U107" i="19" s="1"/>
  <c r="S101" i="19"/>
  <c r="T101" i="19"/>
  <c r="P101" i="19" s="1"/>
  <c r="U101" i="19" s="1"/>
  <c r="S97" i="19"/>
  <c r="T97" i="19"/>
  <c r="P97" i="19" s="1"/>
  <c r="U97" i="19" s="1"/>
  <c r="S52" i="19"/>
  <c r="T52" i="19"/>
  <c r="P52" i="19" s="1"/>
  <c r="U52" i="19" s="1"/>
  <c r="S34" i="19"/>
  <c r="T34" i="19"/>
  <c r="P34" i="19" s="1"/>
  <c r="U34" i="19" s="1"/>
  <c r="S26" i="19"/>
  <c r="T26" i="19"/>
  <c r="P26" i="19" s="1"/>
  <c r="U26" i="19" s="1"/>
  <c r="S23" i="19"/>
  <c r="T23" i="19"/>
  <c r="P23" i="19" s="1"/>
  <c r="U23" i="19" s="1"/>
  <c r="S17" i="19"/>
  <c r="T17" i="19"/>
  <c r="P17" i="19" s="1"/>
  <c r="U17" i="19" s="1"/>
  <c r="S13" i="19"/>
  <c r="T13" i="19"/>
  <c r="P13" i="19" s="1"/>
  <c r="U13" i="19" s="1"/>
  <c r="S56" i="19"/>
  <c r="T56" i="19"/>
  <c r="P56" i="19" s="1"/>
  <c r="U56" i="19" s="1"/>
  <c r="S183" i="19"/>
  <c r="T183" i="19"/>
  <c r="P183" i="19" s="1"/>
  <c r="U183" i="19" s="1"/>
  <c r="AM260" i="20"/>
  <c r="AO260" i="20"/>
  <c r="AP260" i="20" s="1"/>
  <c r="AM225" i="20"/>
  <c r="AM201" i="20"/>
  <c r="AM214" i="20"/>
  <c r="AM223" i="20"/>
  <c r="AM254" i="20"/>
  <c r="AM206" i="20"/>
  <c r="AM226" i="20"/>
  <c r="AM205" i="20"/>
  <c r="AM233" i="20"/>
  <c r="AM227" i="20"/>
  <c r="AM203" i="20"/>
  <c r="AM238" i="20"/>
  <c r="AM259" i="20"/>
  <c r="AM234" i="20"/>
  <c r="AM256" i="20"/>
  <c r="AM232" i="20"/>
  <c r="AM231" i="20"/>
  <c r="AM263" i="20"/>
  <c r="AM219" i="20"/>
  <c r="AM251" i="20"/>
  <c r="AM229" i="20"/>
  <c r="AM253" i="20"/>
  <c r="AM241" i="20"/>
  <c r="AM252" i="20"/>
  <c r="AM261" i="20"/>
  <c r="AO225" i="20"/>
  <c r="AP225" i="20" s="1"/>
  <c r="AO201" i="20"/>
  <c r="AR201" i="20" s="1"/>
  <c r="AO214" i="20"/>
  <c r="AR214" i="20" s="1"/>
  <c r="AO223" i="20"/>
  <c r="AR223" i="20" s="1"/>
  <c r="AO254" i="20"/>
  <c r="AO206" i="20"/>
  <c r="AP206" i="20" s="1"/>
  <c r="AO226" i="20"/>
  <c r="AP226" i="20" s="1"/>
  <c r="AO205" i="20"/>
  <c r="AP205" i="20" s="1"/>
  <c r="AO233" i="20"/>
  <c r="AP233" i="20" s="1"/>
  <c r="AO227" i="20"/>
  <c r="AR227" i="20" s="1"/>
  <c r="AO203" i="20"/>
  <c r="AR203" i="20" s="1"/>
  <c r="AO238" i="20"/>
  <c r="AR238" i="20" s="1"/>
  <c r="AO259" i="20"/>
  <c r="AO234" i="20"/>
  <c r="AP234" i="20" s="1"/>
  <c r="AO256" i="20"/>
  <c r="AP256" i="20" s="1"/>
  <c r="AO232" i="20"/>
  <c r="AP232" i="20" s="1"/>
  <c r="AO231" i="20"/>
  <c r="AP231" i="20" s="1"/>
  <c r="AO263" i="20"/>
  <c r="AR263" i="20" s="1"/>
  <c r="AO219" i="20"/>
  <c r="AR219" i="20" s="1"/>
  <c r="AO251" i="20"/>
  <c r="AR251" i="20" s="1"/>
  <c r="AO229" i="20"/>
  <c r="AP229" i="20" s="1"/>
  <c r="AO253" i="20"/>
  <c r="AP253" i="20" s="1"/>
  <c r="AO241" i="20"/>
  <c r="AP241" i="20" s="1"/>
  <c r="AO252" i="20"/>
  <c r="AP252" i="20" s="1"/>
  <c r="AO261" i="20"/>
  <c r="AP261" i="20" s="1"/>
  <c r="AM207" i="20"/>
  <c r="AO207" i="20"/>
  <c r="AR207" i="20" s="1"/>
  <c r="AM230" i="20"/>
  <c r="AO230" i="20"/>
  <c r="AP230" i="20" s="1"/>
  <c r="AM242" i="20"/>
  <c r="AO242" i="20"/>
  <c r="AP242" i="20" s="1"/>
  <c r="AM239" i="20"/>
  <c r="AO239" i="20"/>
  <c r="AP239" i="20" s="1"/>
  <c r="AM224" i="20"/>
  <c r="AO224" i="20"/>
  <c r="AR224" i="20" s="1"/>
  <c r="AM258" i="20"/>
  <c r="AO258" i="20"/>
  <c r="AM240" i="20"/>
  <c r="AO240" i="20"/>
  <c r="AP240" i="20" s="1"/>
  <c r="AM200" i="20"/>
  <c r="AO200" i="20"/>
  <c r="AP200" i="20" s="1"/>
  <c r="AM215" i="20"/>
  <c r="AO215" i="20"/>
  <c r="AR215" i="20" s="1"/>
  <c r="AM255" i="20"/>
  <c r="AO255" i="20"/>
  <c r="AR255" i="20" s="1"/>
  <c r="AM249" i="20"/>
  <c r="AO249" i="20"/>
  <c r="AP249" i="20" s="1"/>
  <c r="AM228" i="20"/>
  <c r="AO228" i="20"/>
  <c r="AP228" i="20" s="1"/>
  <c r="AP227" i="20"/>
  <c r="V16" i="40"/>
  <c r="G27" i="36"/>
  <c r="G25" i="36"/>
  <c r="G22" i="36"/>
  <c r="G19" i="36"/>
  <c r="G17" i="36"/>
  <c r="G16" i="36"/>
  <c r="G15" i="36"/>
  <c r="G13" i="36"/>
  <c r="G9" i="36"/>
  <c r="G8" i="36"/>
  <c r="G7" i="36"/>
  <c r="E7" i="36"/>
  <c r="AL11" i="40"/>
  <c r="AM11" i="40"/>
  <c r="AN11" i="40"/>
  <c r="AO11" i="40"/>
  <c r="AP37" i="40"/>
  <c r="AO37" i="40"/>
  <c r="AN37" i="40"/>
  <c r="AM37" i="40"/>
  <c r="AL37" i="40"/>
  <c r="AO27" i="40"/>
  <c r="AN27" i="40"/>
  <c r="AM27" i="40"/>
  <c r="AL27" i="40"/>
  <c r="AO26" i="40"/>
  <c r="AN26" i="40"/>
  <c r="AM26" i="40"/>
  <c r="AL26" i="40"/>
  <c r="AO25" i="40"/>
  <c r="AN25" i="40"/>
  <c r="AM25" i="40"/>
  <c r="AL25" i="40"/>
  <c r="AO24" i="40"/>
  <c r="AN24" i="40"/>
  <c r="AM24" i="40"/>
  <c r="AL24" i="40"/>
  <c r="AO23" i="40"/>
  <c r="AN23" i="40"/>
  <c r="AM23" i="40"/>
  <c r="AL23" i="40"/>
  <c r="AO22" i="40"/>
  <c r="AN22" i="40"/>
  <c r="AM22" i="40"/>
  <c r="AL22" i="40"/>
  <c r="AO20" i="40"/>
  <c r="AN20" i="40"/>
  <c r="AM20" i="40"/>
  <c r="AL20" i="40"/>
  <c r="AO19" i="40"/>
  <c r="AN19" i="40"/>
  <c r="AM19" i="40"/>
  <c r="AL19" i="40"/>
  <c r="AO18" i="40"/>
  <c r="AN18" i="40"/>
  <c r="AM18" i="40"/>
  <c r="AL18" i="40"/>
  <c r="AO17" i="40"/>
  <c r="AN17" i="40"/>
  <c r="AM17" i="40"/>
  <c r="AL17" i="40"/>
  <c r="AO16" i="40"/>
  <c r="AN16" i="40"/>
  <c r="AM16" i="40"/>
  <c r="AL16" i="40"/>
  <c r="AO15" i="40"/>
  <c r="AN15" i="40"/>
  <c r="AM15" i="40"/>
  <c r="AL15" i="40"/>
  <c r="AO14" i="40"/>
  <c r="AN14" i="40"/>
  <c r="AM14" i="40"/>
  <c r="AL14" i="40"/>
  <c r="AO13" i="40"/>
  <c r="AN13" i="40"/>
  <c r="AM13" i="40"/>
  <c r="AL13" i="40"/>
  <c r="AO12" i="40"/>
  <c r="AN12" i="40"/>
  <c r="AM12" i="40"/>
  <c r="AL12" i="40"/>
  <c r="AO10" i="40"/>
  <c r="AN10" i="40"/>
  <c r="AM10" i="40"/>
  <c r="AL10" i="40"/>
  <c r="AO9" i="40"/>
  <c r="AN9" i="40"/>
  <c r="AM9" i="40"/>
  <c r="AL9" i="40"/>
  <c r="AO8" i="40"/>
  <c r="AN8" i="40"/>
  <c r="AM8" i="40"/>
  <c r="AL8" i="40"/>
  <c r="AO7" i="40"/>
  <c r="AN7" i="40"/>
  <c r="AM7" i="40"/>
  <c r="AL7" i="40"/>
  <c r="F33" i="40"/>
  <c r="AG23" i="66" s="1"/>
  <c r="Z23" i="66" s="1"/>
  <c r="E33" i="40"/>
  <c r="Y23" i="66" s="1"/>
  <c r="D33" i="40"/>
  <c r="X23" i="66" s="1"/>
  <c r="F31" i="40"/>
  <c r="AG22" i="66" s="1"/>
  <c r="Z22" i="66" s="1"/>
  <c r="E31" i="40"/>
  <c r="Y22" i="66" s="1"/>
  <c r="D31" i="40"/>
  <c r="X22" i="66" s="1"/>
  <c r="F30" i="40"/>
  <c r="AG21" i="66" s="1"/>
  <c r="Z21" i="66" s="1"/>
  <c r="E30" i="40"/>
  <c r="Y21" i="66" s="1"/>
  <c r="D30" i="40"/>
  <c r="X21" i="66" s="1"/>
  <c r="F29" i="40"/>
  <c r="AG20" i="66" s="1"/>
  <c r="Z20" i="66" s="1"/>
  <c r="E29" i="40"/>
  <c r="Y20" i="66" s="1"/>
  <c r="D29" i="40"/>
  <c r="X20" i="66" s="1"/>
  <c r="F28" i="40"/>
  <c r="AG19" i="66" s="1"/>
  <c r="Z19" i="66" s="1"/>
  <c r="E28" i="40"/>
  <c r="D28" i="40"/>
  <c r="X19" i="66" s="1"/>
  <c r="F27" i="40"/>
  <c r="E27" i="40"/>
  <c r="Y18" i="66" s="1"/>
  <c r="D27" i="40"/>
  <c r="F26" i="40"/>
  <c r="AG17" i="66" s="1"/>
  <c r="Z17" i="66" s="1"/>
  <c r="D26" i="40"/>
  <c r="X17" i="66" s="1"/>
  <c r="F25" i="40"/>
  <c r="AG16" i="66" s="1"/>
  <c r="Z16" i="66" s="1"/>
  <c r="E25" i="40"/>
  <c r="D25" i="40"/>
  <c r="X16" i="66" s="1"/>
  <c r="F24" i="40"/>
  <c r="E24" i="40"/>
  <c r="Y15" i="66" s="1"/>
  <c r="D24" i="40"/>
  <c r="X15" i="66" s="1"/>
  <c r="F23" i="40"/>
  <c r="AG14" i="66" s="1"/>
  <c r="Z14" i="66" s="1"/>
  <c r="E23" i="40"/>
  <c r="Y14" i="66" s="1"/>
  <c r="D23" i="40"/>
  <c r="X14" i="66" s="1"/>
  <c r="F22" i="40"/>
  <c r="AG13" i="66" s="1"/>
  <c r="Z13" i="66" s="1"/>
  <c r="E22" i="40"/>
  <c r="Y13" i="66" s="1"/>
  <c r="D22" i="40"/>
  <c r="X13" i="66" s="1"/>
  <c r="F21" i="40"/>
  <c r="AG12" i="66" s="1"/>
  <c r="Z12" i="66" s="1"/>
  <c r="E21" i="40"/>
  <c r="Y12" i="66" s="1"/>
  <c r="D21" i="40"/>
  <c r="X12" i="66" s="1"/>
  <c r="F20" i="40"/>
  <c r="AG11" i="66" s="1"/>
  <c r="Z11" i="66" s="1"/>
  <c r="E20" i="40"/>
  <c r="Y11" i="66" s="1"/>
  <c r="D20" i="40"/>
  <c r="X11" i="66" s="1"/>
  <c r="F19" i="40"/>
  <c r="AG10" i="66" s="1"/>
  <c r="E19" i="40"/>
  <c r="D19" i="40"/>
  <c r="X10" i="66" s="1"/>
  <c r="F18" i="40"/>
  <c r="AG9" i="66" s="1"/>
  <c r="Z9" i="66" s="1"/>
  <c r="E18" i="40"/>
  <c r="Y9" i="66" s="1"/>
  <c r="D18" i="40"/>
  <c r="X9" i="66" s="1"/>
  <c r="F17" i="40"/>
  <c r="AG8" i="66" s="1"/>
  <c r="Z8" i="66" s="1"/>
  <c r="E17" i="40"/>
  <c r="D17" i="40"/>
  <c r="X8" i="66" s="1"/>
  <c r="F16" i="40"/>
  <c r="AG7" i="66" s="1"/>
  <c r="Z7" i="66" s="1"/>
  <c r="E16" i="40"/>
  <c r="Y7" i="66" s="1"/>
  <c r="D16" i="40"/>
  <c r="X7" i="66" s="1"/>
  <c r="F15" i="40"/>
  <c r="AG6" i="66" s="1"/>
  <c r="Z6" i="66" s="1"/>
  <c r="E15" i="40"/>
  <c r="Y6" i="66" s="1"/>
  <c r="D15" i="40"/>
  <c r="X6" i="66" s="1"/>
  <c r="F14" i="40"/>
  <c r="AG5" i="66" s="1"/>
  <c r="Z5" i="66" s="1"/>
  <c r="E14" i="40"/>
  <c r="Y5" i="66" s="1"/>
  <c r="D14" i="40"/>
  <c r="X5" i="66" s="1"/>
  <c r="F13" i="40"/>
  <c r="AG4" i="66" s="1"/>
  <c r="Z4" i="66" s="1"/>
  <c r="E13" i="40"/>
  <c r="Y4" i="66" s="1"/>
  <c r="D13" i="40"/>
  <c r="X4" i="66" s="1"/>
  <c r="F12" i="40"/>
  <c r="AG3" i="66" s="1"/>
  <c r="Z3" i="66" s="1"/>
  <c r="E12" i="40"/>
  <c r="D12" i="40"/>
  <c r="X3" i="66" s="1"/>
  <c r="AM1004" i="20"/>
  <c r="AM678" i="20"/>
  <c r="AM400" i="20"/>
  <c r="AM9" i="20"/>
  <c r="AM18" i="20"/>
  <c r="AM50" i="20"/>
  <c r="AM54" i="20"/>
  <c r="AM76" i="20"/>
  <c r="AM80" i="20"/>
  <c r="AM113" i="20"/>
  <c r="AM127" i="20"/>
  <c r="AM173" i="20"/>
  <c r="AM182" i="20"/>
  <c r="AM193" i="20"/>
  <c r="AM310" i="20"/>
  <c r="AM314" i="20"/>
  <c r="AM567" i="20"/>
  <c r="AM639" i="20"/>
  <c r="AM661" i="20"/>
  <c r="AM328" i="20"/>
  <c r="AM346" i="20"/>
  <c r="AM371" i="20"/>
  <c r="AO1004" i="20"/>
  <c r="AP1004" i="20" s="1"/>
  <c r="AO678" i="20"/>
  <c r="AR678" i="20" s="1"/>
  <c r="AO400" i="20"/>
  <c r="AO9" i="20"/>
  <c r="AP9" i="20" s="1"/>
  <c r="AO18" i="20"/>
  <c r="AP18" i="20" s="1"/>
  <c r="AO50" i="20"/>
  <c r="AR50" i="20" s="1"/>
  <c r="AO54" i="20"/>
  <c r="AP54" i="20" s="1"/>
  <c r="AO76" i="20"/>
  <c r="AR76" i="20" s="1"/>
  <c r="AO80" i="20"/>
  <c r="AP80" i="20" s="1"/>
  <c r="AO113" i="20"/>
  <c r="AP113" i="20" s="1"/>
  <c r="AO127" i="20"/>
  <c r="AP127" i="20" s="1"/>
  <c r="AO173" i="20"/>
  <c r="AP173" i="20" s="1"/>
  <c r="AO182" i="20"/>
  <c r="AP182" i="20" s="1"/>
  <c r="AO193" i="20"/>
  <c r="AP193" i="20" s="1"/>
  <c r="AO310" i="20"/>
  <c r="AP310" i="20" s="1"/>
  <c r="AO314" i="20"/>
  <c r="AP314" i="20" s="1"/>
  <c r="AO567" i="20"/>
  <c r="AP567" i="20" s="1"/>
  <c r="AO639" i="20"/>
  <c r="AR639" i="20" s="1"/>
  <c r="AO661" i="20"/>
  <c r="AP661" i="20" s="1"/>
  <c r="AO328" i="20"/>
  <c r="AP328" i="20" s="1"/>
  <c r="AO346" i="20"/>
  <c r="AP346" i="20" s="1"/>
  <c r="AO371" i="20"/>
  <c r="AR371" i="20" s="1"/>
  <c r="AQ1004" i="20"/>
  <c r="AQ678" i="20"/>
  <c r="AQ400" i="20"/>
  <c r="AQ9" i="20"/>
  <c r="AQ18" i="20"/>
  <c r="AQ50" i="20"/>
  <c r="AQ54" i="20"/>
  <c r="AQ76" i="20"/>
  <c r="AQ80" i="20"/>
  <c r="AQ113" i="20"/>
  <c r="AQ127" i="20"/>
  <c r="AQ173" i="20"/>
  <c r="AQ182" i="20"/>
  <c r="AQ193" i="20"/>
  <c r="AQ310" i="20"/>
  <c r="AQ314" i="20"/>
  <c r="AQ567" i="20"/>
  <c r="AQ639" i="20"/>
  <c r="AQ661" i="20"/>
  <c r="AQ328" i="20"/>
  <c r="AQ346" i="20"/>
  <c r="AQ371" i="20"/>
  <c r="AS1004" i="20"/>
  <c r="AS678" i="20"/>
  <c r="AS400" i="20"/>
  <c r="AS9" i="20"/>
  <c r="AS18" i="20"/>
  <c r="AS50" i="20"/>
  <c r="AS54" i="20"/>
  <c r="AS76" i="20"/>
  <c r="AS80" i="20"/>
  <c r="AS113" i="20"/>
  <c r="AS127" i="20"/>
  <c r="AS173" i="20"/>
  <c r="AS182" i="20"/>
  <c r="AS193" i="20"/>
  <c r="AS310" i="20"/>
  <c r="AS314" i="20"/>
  <c r="AS567" i="20"/>
  <c r="AS639" i="20"/>
  <c r="AS661" i="20"/>
  <c r="AS328" i="20"/>
  <c r="AS346" i="20"/>
  <c r="AS371" i="20"/>
  <c r="AR661" i="20"/>
  <c r="AO321" i="20"/>
  <c r="AM321" i="20"/>
  <c r="AO327" i="20"/>
  <c r="AM327" i="20"/>
  <c r="AO368" i="20"/>
  <c r="AR368" i="20" s="1"/>
  <c r="AM368" i="20"/>
  <c r="F2" i="86"/>
  <c r="F3" i="86"/>
  <c r="F4" i="86"/>
  <c r="F5" i="86"/>
  <c r="F6" i="86"/>
  <c r="F7" i="86"/>
  <c r="F8" i="86"/>
  <c r="F9" i="86"/>
  <c r="F10" i="86"/>
  <c r="F11" i="86"/>
  <c r="F12" i="86"/>
  <c r="F13" i="86"/>
  <c r="F14" i="86"/>
  <c r="F15" i="86"/>
  <c r="F16" i="86"/>
  <c r="F17" i="86"/>
  <c r="F18" i="86"/>
  <c r="F19" i="86"/>
  <c r="F20" i="86"/>
  <c r="F21" i="86"/>
  <c r="F22" i="86"/>
  <c r="F23" i="86"/>
  <c r="F24" i="86"/>
  <c r="F25" i="86"/>
  <c r="F26" i="86"/>
  <c r="F27" i="86"/>
  <c r="F28" i="86"/>
  <c r="F29" i="86"/>
  <c r="F30" i="86"/>
  <c r="F31" i="86"/>
  <c r="F32" i="86"/>
  <c r="F33" i="86"/>
  <c r="F34" i="86"/>
  <c r="F35" i="86"/>
  <c r="F36" i="86"/>
  <c r="F37" i="86"/>
  <c r="F38" i="86"/>
  <c r="F39" i="86"/>
  <c r="F40" i="86"/>
  <c r="F41" i="86"/>
  <c r="F42" i="86"/>
  <c r="F43" i="86"/>
  <c r="F44" i="86"/>
  <c r="F45" i="86"/>
  <c r="F46" i="86"/>
  <c r="F47" i="86"/>
  <c r="F48" i="86"/>
  <c r="F49" i="86"/>
  <c r="F50" i="86"/>
  <c r="F51" i="86"/>
  <c r="F52" i="86"/>
  <c r="F53" i="86"/>
  <c r="F54" i="86"/>
  <c r="F55" i="86"/>
  <c r="F56" i="86"/>
  <c r="F57" i="86"/>
  <c r="F58" i="86"/>
  <c r="F59" i="86"/>
  <c r="F60" i="86"/>
  <c r="F61" i="86"/>
  <c r="F62" i="86"/>
  <c r="F63" i="86"/>
  <c r="F64" i="86"/>
  <c r="F65" i="86"/>
  <c r="F66" i="86"/>
  <c r="F67" i="86"/>
  <c r="F68" i="86"/>
  <c r="F69" i="86"/>
  <c r="F70" i="86"/>
  <c r="F71" i="86"/>
  <c r="F72" i="86"/>
  <c r="F73" i="86"/>
  <c r="F74" i="86"/>
  <c r="F75" i="86"/>
  <c r="F76" i="86"/>
  <c r="F77" i="86"/>
  <c r="F78" i="86"/>
  <c r="F79" i="86"/>
  <c r="F81" i="86"/>
  <c r="F82" i="86"/>
  <c r="F83" i="86"/>
  <c r="F84" i="86"/>
  <c r="F85" i="86"/>
  <c r="F86" i="86"/>
  <c r="F87" i="86"/>
  <c r="F88" i="86"/>
  <c r="F89" i="86"/>
  <c r="F90" i="86"/>
  <c r="F91" i="86"/>
  <c r="F92" i="86"/>
  <c r="F93" i="86"/>
  <c r="F94" i="86"/>
  <c r="F95" i="86"/>
  <c r="F96" i="86"/>
  <c r="F97" i="86"/>
  <c r="F98" i="86"/>
  <c r="F99" i="86"/>
  <c r="F100" i="86"/>
  <c r="F101" i="86"/>
  <c r="F102" i="86"/>
  <c r="F103" i="86"/>
  <c r="F104" i="86"/>
  <c r="F105" i="86"/>
  <c r="F106" i="86"/>
  <c r="F107" i="86"/>
  <c r="F108" i="86"/>
  <c r="F109" i="86"/>
  <c r="F110" i="86"/>
  <c r="F111" i="86"/>
  <c r="F112" i="86"/>
  <c r="F113" i="86"/>
  <c r="F114" i="86"/>
  <c r="F115" i="86"/>
  <c r="F116" i="86"/>
  <c r="F117" i="86"/>
  <c r="F118" i="86"/>
  <c r="F119" i="86"/>
  <c r="F120" i="86"/>
  <c r="F121" i="86"/>
  <c r="F122" i="86"/>
  <c r="F123" i="86"/>
  <c r="F124" i="86"/>
  <c r="F125" i="86"/>
  <c r="F127" i="86"/>
  <c r="F128" i="86"/>
  <c r="F129" i="86"/>
  <c r="F130" i="86"/>
  <c r="F131" i="86"/>
  <c r="F132" i="86"/>
  <c r="F133" i="86"/>
  <c r="F134" i="86"/>
  <c r="F135" i="86"/>
  <c r="F136" i="86"/>
  <c r="F137" i="86"/>
  <c r="F138" i="86"/>
  <c r="F139" i="86"/>
  <c r="F140" i="86"/>
  <c r="F141" i="86"/>
  <c r="F142" i="86"/>
  <c r="F143" i="86"/>
  <c r="F144" i="86"/>
  <c r="F145" i="86"/>
  <c r="F146" i="86"/>
  <c r="F147" i="86"/>
  <c r="F148" i="86"/>
  <c r="F149" i="86"/>
  <c r="F150" i="86"/>
  <c r="F151" i="86"/>
  <c r="F152" i="86"/>
  <c r="F153" i="86"/>
  <c r="F154" i="86"/>
  <c r="F155" i="86"/>
  <c r="F156" i="86"/>
  <c r="F157" i="86"/>
  <c r="F158" i="86"/>
  <c r="F159" i="86"/>
  <c r="F160" i="86"/>
  <c r="F161" i="86"/>
  <c r="F162" i="86"/>
  <c r="F163" i="86"/>
  <c r="F164" i="86"/>
  <c r="F165" i="86"/>
  <c r="F166" i="86"/>
  <c r="F167" i="86"/>
  <c r="F168" i="86"/>
  <c r="E2" i="86"/>
  <c r="E3" i="86"/>
  <c r="E4" i="86"/>
  <c r="E5" i="86"/>
  <c r="E6" i="86"/>
  <c r="E7" i="86"/>
  <c r="E8" i="86"/>
  <c r="E9" i="86"/>
  <c r="E10" i="86"/>
  <c r="E11" i="86"/>
  <c r="E12" i="86"/>
  <c r="E13" i="86"/>
  <c r="E14" i="86"/>
  <c r="E15" i="86"/>
  <c r="E16" i="86"/>
  <c r="E17"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80" i="86"/>
  <c r="E81" i="86"/>
  <c r="E82" i="86"/>
  <c r="E83" i="86"/>
  <c r="E84" i="86"/>
  <c r="E85" i="86"/>
  <c r="E86" i="86"/>
  <c r="E87" i="86"/>
  <c r="E88" i="86"/>
  <c r="E89" i="86"/>
  <c r="E90" i="86"/>
  <c r="E91" i="86"/>
  <c r="E92" i="86"/>
  <c r="E93" i="86"/>
  <c r="E94" i="86"/>
  <c r="E95" i="86"/>
  <c r="E96" i="86"/>
  <c r="E97" i="86"/>
  <c r="E98" i="86"/>
  <c r="E99" i="86"/>
  <c r="E100" i="86"/>
  <c r="E101" i="86"/>
  <c r="E102" i="86"/>
  <c r="E103" i="86"/>
  <c r="E104" i="86"/>
  <c r="E105" i="86"/>
  <c r="E106" i="86"/>
  <c r="E107" i="86"/>
  <c r="E108" i="86"/>
  <c r="E109" i="86"/>
  <c r="E110" i="86"/>
  <c r="E111" i="86"/>
  <c r="E112" i="86"/>
  <c r="E113" i="86"/>
  <c r="E114" i="86"/>
  <c r="E115" i="86"/>
  <c r="E116" i="86"/>
  <c r="E117" i="86"/>
  <c r="E118" i="86"/>
  <c r="E119" i="86"/>
  <c r="E120" i="86"/>
  <c r="E121" i="86"/>
  <c r="E122" i="86"/>
  <c r="E123" i="86"/>
  <c r="E124" i="86"/>
  <c r="E125" i="86"/>
  <c r="E126" i="86"/>
  <c r="E127" i="86"/>
  <c r="E128" i="86"/>
  <c r="E129" i="86"/>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E164" i="86"/>
  <c r="E165" i="86"/>
  <c r="E166" i="86"/>
  <c r="E167" i="86"/>
  <c r="E168" i="86"/>
  <c r="D3" i="86"/>
  <c r="D4" i="86"/>
  <c r="D5" i="86"/>
  <c r="D6" i="86"/>
  <c r="D7" i="86"/>
  <c r="D8" i="86"/>
  <c r="D9" i="86"/>
  <c r="D10" i="86"/>
  <c r="D11" i="86"/>
  <c r="D12" i="86"/>
  <c r="D13" i="86"/>
  <c r="D14" i="86"/>
  <c r="D15" i="86"/>
  <c r="D16" i="86"/>
  <c r="D17" i="86"/>
  <c r="D18" i="86"/>
  <c r="D19" i="86"/>
  <c r="D20" i="86"/>
  <c r="D21" i="86"/>
  <c r="D22" i="86"/>
  <c r="D23" i="86"/>
  <c r="D24" i="86"/>
  <c r="D25" i="86"/>
  <c r="D26" i="86"/>
  <c r="D27" i="86"/>
  <c r="D28" i="86"/>
  <c r="D29" i="86"/>
  <c r="D30" i="86"/>
  <c r="D31" i="86"/>
  <c r="D32" i="86"/>
  <c r="D33" i="86"/>
  <c r="D34" i="86"/>
  <c r="D35" i="86"/>
  <c r="D36" i="86"/>
  <c r="D37" i="86"/>
  <c r="D38" i="86"/>
  <c r="D39" i="86"/>
  <c r="D40" i="86"/>
  <c r="D41" i="86"/>
  <c r="D42" i="86"/>
  <c r="D43" i="86"/>
  <c r="D44" i="86"/>
  <c r="D45" i="86"/>
  <c r="D46" i="86"/>
  <c r="D47" i="86"/>
  <c r="D48" i="86"/>
  <c r="D49" i="86"/>
  <c r="D50" i="86"/>
  <c r="D51" i="86"/>
  <c r="D52" i="86"/>
  <c r="D53" i="86"/>
  <c r="D54" i="86"/>
  <c r="D55" i="86"/>
  <c r="D56" i="86"/>
  <c r="D57" i="86"/>
  <c r="D58" i="86"/>
  <c r="D59" i="86"/>
  <c r="D60" i="86"/>
  <c r="D61" i="86"/>
  <c r="D62" i="86"/>
  <c r="D63" i="86"/>
  <c r="D64" i="86"/>
  <c r="D65" i="86"/>
  <c r="D66" i="86"/>
  <c r="D67" i="86"/>
  <c r="D68"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1" i="86"/>
  <c r="D102" i="86"/>
  <c r="D103" i="86"/>
  <c r="D104" i="86"/>
  <c r="D105" i="86"/>
  <c r="D106" i="86"/>
  <c r="D107" i="86"/>
  <c r="D108" i="86"/>
  <c r="D109" i="86"/>
  <c r="D110" i="86"/>
  <c r="D111" i="86"/>
  <c r="D112" i="86"/>
  <c r="D113" i="86"/>
  <c r="D114" i="86"/>
  <c r="D115" i="86"/>
  <c r="D116" i="86"/>
  <c r="D117" i="86"/>
  <c r="D118" i="86"/>
  <c r="D119" i="86"/>
  <c r="D120" i="86"/>
  <c r="D121" i="86"/>
  <c r="D122" i="86"/>
  <c r="D123" i="86"/>
  <c r="D124" i="86"/>
  <c r="D125" i="86"/>
  <c r="D126" i="86"/>
  <c r="D127" i="86"/>
  <c r="D128" i="86"/>
  <c r="D129"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D164" i="86"/>
  <c r="D165" i="86"/>
  <c r="D166" i="86"/>
  <c r="D167" i="86"/>
  <c r="D168" i="86"/>
  <c r="D2" i="86"/>
  <c r="C3" i="86"/>
  <c r="C4" i="86"/>
  <c r="C5" i="86"/>
  <c r="C6" i="86"/>
  <c r="C7" i="86"/>
  <c r="C8" i="86"/>
  <c r="C9" i="86"/>
  <c r="C10" i="86"/>
  <c r="C11" i="86"/>
  <c r="C12" i="86"/>
  <c r="C13" i="86"/>
  <c r="C14" i="86"/>
  <c r="C15" i="86"/>
  <c r="C16" i="86"/>
  <c r="C17" i="86"/>
  <c r="C18" i="86"/>
  <c r="C19" i="86"/>
  <c r="C20" i="86"/>
  <c r="C21" i="86"/>
  <c r="C22" i="86"/>
  <c r="C23" i="86"/>
  <c r="C24" i="86"/>
  <c r="C25" i="86"/>
  <c r="C26" i="86"/>
  <c r="C27" i="86"/>
  <c r="C28" i="86"/>
  <c r="C29" i="86"/>
  <c r="C30" i="86"/>
  <c r="C31" i="86"/>
  <c r="C32" i="86"/>
  <c r="C33" i="86"/>
  <c r="C34" i="86"/>
  <c r="C35" i="86"/>
  <c r="C36" i="86"/>
  <c r="C37" i="86"/>
  <c r="C38" i="86"/>
  <c r="C39" i="86"/>
  <c r="C40" i="86"/>
  <c r="C41" i="86"/>
  <c r="C42" i="86"/>
  <c r="C43" i="86"/>
  <c r="C44" i="86"/>
  <c r="C45" i="86"/>
  <c r="C46" i="86"/>
  <c r="C47" i="86"/>
  <c r="C48" i="86"/>
  <c r="C49" i="86"/>
  <c r="C50" i="86"/>
  <c r="C51" i="86"/>
  <c r="C52" i="86"/>
  <c r="C53" i="86"/>
  <c r="C54" i="86"/>
  <c r="C55" i="86"/>
  <c r="C56" i="86"/>
  <c r="C57" i="86"/>
  <c r="C58" i="86"/>
  <c r="C59" i="86"/>
  <c r="C60" i="86"/>
  <c r="C61" i="86"/>
  <c r="C62" i="86"/>
  <c r="C63" i="86"/>
  <c r="C64" i="86"/>
  <c r="C65" i="86"/>
  <c r="C66" i="86"/>
  <c r="C67" i="86"/>
  <c r="C68" i="86"/>
  <c r="C69" i="86"/>
  <c r="C70" i="86"/>
  <c r="C71" i="86"/>
  <c r="C72" i="86"/>
  <c r="C73" i="86"/>
  <c r="C74" i="86"/>
  <c r="C75" i="86"/>
  <c r="C76" i="86"/>
  <c r="C77" i="86"/>
  <c r="C78" i="86"/>
  <c r="C79" i="86"/>
  <c r="C80" i="86"/>
  <c r="C81" i="86"/>
  <c r="C82" i="86"/>
  <c r="C83" i="86"/>
  <c r="C84" i="86"/>
  <c r="C85" i="86"/>
  <c r="C86" i="86"/>
  <c r="C87" i="86"/>
  <c r="C88" i="86"/>
  <c r="C89" i="86"/>
  <c r="C90" i="86"/>
  <c r="C91" i="86"/>
  <c r="C92" i="86"/>
  <c r="C93" i="86"/>
  <c r="C94" i="86"/>
  <c r="C95" i="86"/>
  <c r="C96" i="86"/>
  <c r="C97" i="86"/>
  <c r="C98" i="86"/>
  <c r="C99" i="86"/>
  <c r="C100" i="86"/>
  <c r="C101" i="86"/>
  <c r="C102" i="86"/>
  <c r="C103" i="86"/>
  <c r="C104" i="86"/>
  <c r="C105" i="86"/>
  <c r="C106" i="86"/>
  <c r="C107" i="86"/>
  <c r="C108" i="86"/>
  <c r="C109" i="86"/>
  <c r="C110" i="86"/>
  <c r="C111" i="86"/>
  <c r="C112" i="86"/>
  <c r="C113" i="86"/>
  <c r="C114" i="86"/>
  <c r="C115" i="86"/>
  <c r="C116" i="86"/>
  <c r="C117" i="86"/>
  <c r="C118" i="86"/>
  <c r="C119" i="86"/>
  <c r="C120" i="86"/>
  <c r="C121" i="86"/>
  <c r="C122" i="86"/>
  <c r="C123" i="86"/>
  <c r="C124" i="86"/>
  <c r="C125" i="86"/>
  <c r="C126" i="86"/>
  <c r="C127" i="86"/>
  <c r="C128" i="86"/>
  <c r="C129"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C164" i="86"/>
  <c r="C165" i="86"/>
  <c r="C166" i="86"/>
  <c r="C167" i="86"/>
  <c r="C168" i="86"/>
  <c r="C2" i="86"/>
  <c r="B2" i="86"/>
  <c r="B3" i="86"/>
  <c r="B4" i="86"/>
  <c r="B5" i="86"/>
  <c r="B6" i="86"/>
  <c r="B7" i="86"/>
  <c r="B8" i="86"/>
  <c r="B9" i="86"/>
  <c r="B10" i="86"/>
  <c r="B11" i="86"/>
  <c r="B12" i="86"/>
  <c r="B13" i="86"/>
  <c r="B14" i="86"/>
  <c r="B15" i="86"/>
  <c r="B16" i="86"/>
  <c r="B17" i="86"/>
  <c r="B18" i="86"/>
  <c r="B19" i="86"/>
  <c r="B20" i="86"/>
  <c r="B21" i="86"/>
  <c r="B22" i="86"/>
  <c r="B23" i="86"/>
  <c r="B24" i="86"/>
  <c r="B25" i="86"/>
  <c r="B26" i="86"/>
  <c r="B27" i="86"/>
  <c r="B28" i="86"/>
  <c r="B29" i="86"/>
  <c r="B30" i="86"/>
  <c r="B31" i="86"/>
  <c r="B32" i="86"/>
  <c r="B33" i="86"/>
  <c r="B34" i="86"/>
  <c r="B35" i="86"/>
  <c r="B36" i="86"/>
  <c r="B37" i="86"/>
  <c r="B38" i="86"/>
  <c r="B39" i="86"/>
  <c r="B40" i="86"/>
  <c r="B41" i="86"/>
  <c r="B42" i="86"/>
  <c r="B43" i="86"/>
  <c r="B44" i="86"/>
  <c r="B45" i="86"/>
  <c r="B46" i="86"/>
  <c r="B47" i="86"/>
  <c r="B48" i="86"/>
  <c r="B49" i="86"/>
  <c r="B50" i="86"/>
  <c r="B51" i="86"/>
  <c r="B52" i="86"/>
  <c r="B53" i="86"/>
  <c r="B54" i="86"/>
  <c r="B55" i="86"/>
  <c r="B56" i="86"/>
  <c r="B57" i="86"/>
  <c r="B58" i="86"/>
  <c r="B59" i="86"/>
  <c r="B60" i="86"/>
  <c r="B61" i="86"/>
  <c r="B62" i="86"/>
  <c r="B63" i="86"/>
  <c r="B64" i="86"/>
  <c r="B65" i="86"/>
  <c r="B66" i="86"/>
  <c r="B67" i="86"/>
  <c r="B68" i="86"/>
  <c r="B69" i="86"/>
  <c r="B70" i="86"/>
  <c r="B71" i="86"/>
  <c r="B72" i="86"/>
  <c r="B73" i="86"/>
  <c r="B74" i="86"/>
  <c r="B75" i="86"/>
  <c r="B76" i="86"/>
  <c r="B77" i="86"/>
  <c r="B78" i="86"/>
  <c r="B79" i="86"/>
  <c r="B80" i="86"/>
  <c r="B81" i="86"/>
  <c r="B82" i="86"/>
  <c r="B83" i="86"/>
  <c r="B84" i="86"/>
  <c r="B85" i="86"/>
  <c r="B86" i="86"/>
  <c r="B87" i="86"/>
  <c r="B88" i="86"/>
  <c r="B89" i="86"/>
  <c r="B90" i="86"/>
  <c r="B91" i="86"/>
  <c r="B92" i="86"/>
  <c r="B93" i="86"/>
  <c r="B94" i="86"/>
  <c r="B95" i="86"/>
  <c r="B96" i="86"/>
  <c r="B97" i="86"/>
  <c r="B98" i="86"/>
  <c r="B99" i="86"/>
  <c r="B100" i="86"/>
  <c r="B101" i="86"/>
  <c r="B102" i="86"/>
  <c r="B103" i="86"/>
  <c r="B104" i="86"/>
  <c r="B105" i="86"/>
  <c r="B106" i="86"/>
  <c r="B107" i="86"/>
  <c r="B108" i="86"/>
  <c r="B109" i="86"/>
  <c r="B110" i="86"/>
  <c r="B111" i="86"/>
  <c r="B112" i="86"/>
  <c r="B113" i="86"/>
  <c r="B114" i="86"/>
  <c r="B115" i="86"/>
  <c r="B116" i="86"/>
  <c r="B117" i="86"/>
  <c r="B118" i="86"/>
  <c r="B119" i="86"/>
  <c r="B120" i="86"/>
  <c r="B121" i="86"/>
  <c r="B122" i="86"/>
  <c r="B123" i="86"/>
  <c r="B124" i="86"/>
  <c r="B125" i="86"/>
  <c r="B126" i="86"/>
  <c r="B127" i="86"/>
  <c r="B128" i="86"/>
  <c r="B129" i="86"/>
  <c r="B130" i="86"/>
  <c r="B131" i="86"/>
  <c r="B132" i="86"/>
  <c r="B133" i="86"/>
  <c r="B134" i="86"/>
  <c r="B135" i="86"/>
  <c r="B136" i="86"/>
  <c r="B137" i="86"/>
  <c r="B138" i="86"/>
  <c r="B139" i="86"/>
  <c r="B140" i="86"/>
  <c r="B141" i="86"/>
  <c r="B142" i="86"/>
  <c r="B143" i="86"/>
  <c r="B144" i="86"/>
  <c r="B145" i="86"/>
  <c r="B146" i="86"/>
  <c r="B147" i="86"/>
  <c r="B148" i="86"/>
  <c r="B149" i="86"/>
  <c r="B150" i="86"/>
  <c r="B151" i="86"/>
  <c r="B152" i="86"/>
  <c r="B153" i="86"/>
  <c r="B154" i="86"/>
  <c r="B155" i="86"/>
  <c r="B156" i="86"/>
  <c r="B157" i="86"/>
  <c r="B158" i="86"/>
  <c r="B159" i="86"/>
  <c r="B160" i="86"/>
  <c r="B161" i="86"/>
  <c r="B162" i="86"/>
  <c r="B163" i="86"/>
  <c r="B164" i="86"/>
  <c r="B165" i="86"/>
  <c r="B166" i="86"/>
  <c r="B167" i="86"/>
  <c r="B168" i="86"/>
  <c r="AJ120" i="14"/>
  <c r="AK120" i="14" s="1"/>
  <c r="AJ210" i="14"/>
  <c r="AK210" i="14" s="1"/>
  <c r="AJ63" i="14"/>
  <c r="AK63" i="14" s="1"/>
  <c r="AJ58" i="14"/>
  <c r="AK58" i="14" s="1"/>
  <c r="AJ24" i="14"/>
  <c r="AK24" i="14" s="1"/>
  <c r="AJ175" i="14"/>
  <c r="AK175" i="14" s="1"/>
  <c r="AJ35" i="14"/>
  <c r="AK35" i="14" s="1"/>
  <c r="AJ165" i="14"/>
  <c r="AK165" i="14" s="1"/>
  <c r="AJ54" i="14"/>
  <c r="AK54" i="14" s="1"/>
  <c r="AJ62" i="14"/>
  <c r="AK62" i="14" s="1"/>
  <c r="AJ60" i="14"/>
  <c r="AK60" i="14" s="1"/>
  <c r="AJ151" i="14"/>
  <c r="AK151" i="14" s="1"/>
  <c r="AJ153" i="14"/>
  <c r="AK153" i="14" s="1"/>
  <c r="AJ150" i="14"/>
  <c r="AK150" i="14" s="1"/>
  <c r="AJ96" i="14"/>
  <c r="AK96" i="14" s="1"/>
  <c r="AJ195" i="14"/>
  <c r="AK195" i="14" s="1"/>
  <c r="AJ196" i="14"/>
  <c r="AK196" i="14" s="1"/>
  <c r="AJ194" i="14"/>
  <c r="AK194" i="14" s="1"/>
  <c r="AJ152" i="14"/>
  <c r="AK152" i="14" s="1"/>
  <c r="AJ117" i="14"/>
  <c r="AK117" i="14" s="1"/>
  <c r="AJ92" i="14"/>
  <c r="AK92" i="14" s="1"/>
  <c r="AJ142" i="14"/>
  <c r="AK142" i="14" s="1"/>
  <c r="AJ163" i="14"/>
  <c r="AK163" i="14" s="1"/>
  <c r="AJ169" i="14"/>
  <c r="AK169" i="14" s="1"/>
  <c r="AJ231" i="14"/>
  <c r="AK231" i="14" s="1"/>
  <c r="AJ235" i="14"/>
  <c r="AK235" i="14" s="1"/>
  <c r="AJ171" i="14"/>
  <c r="AK171" i="14" s="1"/>
  <c r="AJ197" i="14"/>
  <c r="AK197" i="14" s="1"/>
  <c r="AJ55" i="14"/>
  <c r="AK55" i="14" s="1"/>
  <c r="AJ184" i="14"/>
  <c r="AK184" i="14" s="1"/>
  <c r="AJ137" i="14"/>
  <c r="AK137" i="14" s="1"/>
  <c r="AJ111" i="14"/>
  <c r="AK111" i="14" s="1"/>
  <c r="AJ192" i="14"/>
  <c r="AK192" i="14" s="1"/>
  <c r="AJ193" i="14"/>
  <c r="AK193" i="14" s="1"/>
  <c r="AJ121" i="14"/>
  <c r="AK121" i="14" s="1"/>
  <c r="AJ98" i="14"/>
  <c r="AK98" i="14" s="1"/>
  <c r="AJ97" i="14"/>
  <c r="AK97" i="14" s="1"/>
  <c r="AJ100" i="14"/>
  <c r="AK100" i="14" s="1"/>
  <c r="AJ102" i="14"/>
  <c r="AK102" i="14" s="1"/>
  <c r="AJ103" i="14"/>
  <c r="AK103" i="14" s="1"/>
  <c r="AJ99" i="14"/>
  <c r="AK99" i="14" s="1"/>
  <c r="AJ104" i="14"/>
  <c r="AK104" i="14" s="1"/>
  <c r="AJ101" i="14"/>
  <c r="AK101" i="14" s="1"/>
  <c r="AJ110" i="14"/>
  <c r="AK110" i="14" s="1"/>
  <c r="AJ94" i="14"/>
  <c r="AK94" i="14" s="1"/>
  <c r="AJ91" i="14"/>
  <c r="AK91" i="14" s="1"/>
  <c r="AJ90" i="14"/>
  <c r="AK90" i="14" s="1"/>
  <c r="AJ93" i="14"/>
  <c r="AK93" i="14" s="1"/>
  <c r="AJ158" i="14"/>
  <c r="AK158" i="14" s="1"/>
  <c r="AJ42" i="14"/>
  <c r="AK42" i="14" s="1"/>
  <c r="AJ64" i="14"/>
  <c r="AK64" i="14" s="1"/>
  <c r="AJ248" i="14"/>
  <c r="AK248" i="14" s="1"/>
  <c r="AJ185" i="14"/>
  <c r="AK185" i="14" s="1"/>
  <c r="AJ222" i="14"/>
  <c r="AK222" i="14" s="1"/>
  <c r="AJ157" i="14"/>
  <c r="AK157" i="14" s="1"/>
  <c r="AJ135" i="14"/>
  <c r="AK135" i="14" s="1"/>
  <c r="AJ226" i="14"/>
  <c r="AK226" i="14" s="1"/>
  <c r="AJ37" i="14"/>
  <c r="AK37" i="14" s="1"/>
  <c r="AJ186" i="14"/>
  <c r="AK186" i="14" s="1"/>
  <c r="AJ189" i="14"/>
  <c r="AK189" i="14" s="1"/>
  <c r="AJ136" i="14"/>
  <c r="AK136" i="14" s="1"/>
  <c r="AJ87" i="14"/>
  <c r="AK87" i="14" s="1"/>
  <c r="AJ41" i="14"/>
  <c r="AK41" i="14" s="1"/>
  <c r="AJ88" i="14"/>
  <c r="AK88" i="14" s="1"/>
  <c r="AJ89" i="14"/>
  <c r="AK89" i="14" s="1"/>
  <c r="AJ106" i="14"/>
  <c r="AK106" i="14" s="1"/>
  <c r="AJ112" i="14"/>
  <c r="AK112" i="14" s="1"/>
  <c r="AJ108" i="14"/>
  <c r="AK108" i="14" s="1"/>
  <c r="AJ199" i="14"/>
  <c r="AK199" i="14" s="1"/>
  <c r="AJ202" i="14"/>
  <c r="AK202" i="14" s="1"/>
  <c r="AJ114" i="14"/>
  <c r="AK114" i="14" s="1"/>
  <c r="AJ204" i="14"/>
  <c r="AK204" i="14" s="1"/>
  <c r="AJ105" i="14"/>
  <c r="AK105" i="14" s="1"/>
  <c r="AJ191" i="14"/>
  <c r="AK191" i="14" s="1"/>
  <c r="AJ168" i="14"/>
  <c r="AK168" i="14" s="1"/>
  <c r="AJ51" i="14"/>
  <c r="AK51" i="14" s="1"/>
  <c r="AJ155" i="14"/>
  <c r="AK155" i="14" s="1"/>
  <c r="AJ183" i="14"/>
  <c r="AK183" i="14" s="1"/>
  <c r="AJ162" i="14"/>
  <c r="AK162" i="14" s="1"/>
  <c r="AJ148" i="14"/>
  <c r="AK148" i="14" s="1"/>
  <c r="AJ156" i="14"/>
  <c r="AK156" i="14" s="1"/>
  <c r="AJ172" i="14"/>
  <c r="AK172" i="14" s="1"/>
  <c r="AJ176" i="14"/>
  <c r="AK176" i="14" s="1"/>
  <c r="AJ149" i="14"/>
  <c r="AK149" i="14" s="1"/>
  <c r="AJ170" i="14"/>
  <c r="AK170" i="14" s="1"/>
  <c r="AJ129" i="14"/>
  <c r="AK129" i="14" s="1"/>
  <c r="AJ206" i="14"/>
  <c r="AK206" i="14" s="1"/>
  <c r="AJ49" i="14"/>
  <c r="AK49" i="14" s="1"/>
  <c r="AJ154" i="14"/>
  <c r="AK154" i="14" s="1"/>
  <c r="AJ16" i="14"/>
  <c r="AK16" i="14" s="1"/>
  <c r="AJ14" i="14"/>
  <c r="AK14" i="14" s="1"/>
  <c r="AJ15" i="14"/>
  <c r="AK15" i="14" s="1"/>
  <c r="AJ53" i="14"/>
  <c r="AK53" i="14" s="1"/>
  <c r="AJ134" i="14"/>
  <c r="AK134" i="14" s="1"/>
  <c r="AJ201" i="14"/>
  <c r="AK201" i="14" s="1"/>
  <c r="AJ12" i="14"/>
  <c r="AK12" i="14" s="1"/>
  <c r="AJ70" i="14"/>
  <c r="AK70" i="14" s="1"/>
  <c r="AJ180" i="14"/>
  <c r="AK180" i="14" s="1"/>
  <c r="AJ132" i="14"/>
  <c r="AK132" i="14" s="1"/>
  <c r="AJ133" i="14"/>
  <c r="AK133" i="14" s="1"/>
  <c r="AJ211" i="14"/>
  <c r="AK211" i="14" s="1"/>
  <c r="AJ83" i="14"/>
  <c r="AK83" i="14" s="1"/>
  <c r="AJ73" i="14"/>
  <c r="AK73" i="14" s="1"/>
  <c r="AJ26" i="14"/>
  <c r="AK26" i="14" s="1"/>
  <c r="AJ95" i="14"/>
  <c r="AK95" i="14" s="1"/>
  <c r="AJ221" i="14"/>
  <c r="AK221" i="14" s="1"/>
  <c r="AJ223" i="14"/>
  <c r="AK223" i="14" s="1"/>
  <c r="AJ214" i="14"/>
  <c r="AK214" i="14" s="1"/>
  <c r="AJ159" i="14"/>
  <c r="AK159" i="14" s="1"/>
  <c r="AJ160" i="14"/>
  <c r="AK160" i="14" s="1"/>
  <c r="AJ236" i="14"/>
  <c r="AK236" i="14" s="1"/>
  <c r="AJ21" i="14"/>
  <c r="AK21" i="14" s="1"/>
  <c r="AJ68" i="14"/>
  <c r="AK68" i="14" s="1"/>
  <c r="AJ147" i="14"/>
  <c r="AK147" i="14" s="1"/>
  <c r="AJ239" i="14"/>
  <c r="AK239" i="14" s="1"/>
  <c r="AJ227" i="14"/>
  <c r="AK227" i="14" s="1"/>
  <c r="AJ213" i="14"/>
  <c r="AK213" i="14" s="1"/>
  <c r="AJ161" i="14"/>
  <c r="AK161" i="14" s="1"/>
  <c r="AJ174" i="14"/>
  <c r="AK174" i="14" s="1"/>
  <c r="AJ215" i="14"/>
  <c r="AK215" i="14" s="1"/>
  <c r="AJ230" i="14"/>
  <c r="AK230" i="14" s="1"/>
  <c r="AJ240" i="14"/>
  <c r="AK240" i="14" s="1"/>
  <c r="AJ107" i="14"/>
  <c r="AK107" i="14" s="1"/>
  <c r="AJ228" i="14"/>
  <c r="AK228" i="14" s="1"/>
  <c r="AJ85" i="14"/>
  <c r="AK85" i="14" s="1"/>
  <c r="AJ200" i="14"/>
  <c r="AK200" i="14" s="1"/>
  <c r="AJ40" i="14"/>
  <c r="AK40" i="14" s="1"/>
  <c r="AJ141" i="14"/>
  <c r="AK141" i="14" s="1"/>
  <c r="AJ66" i="14"/>
  <c r="AK66" i="14" s="1"/>
  <c r="AJ6" i="14"/>
  <c r="AK6" i="14" s="1"/>
  <c r="AJ79" i="14"/>
  <c r="AK79" i="14" s="1"/>
  <c r="AJ123" i="14"/>
  <c r="AK123" i="14" s="1"/>
  <c r="AJ72" i="14"/>
  <c r="AK72" i="14" s="1"/>
  <c r="AJ39" i="14"/>
  <c r="AK39" i="14" s="1"/>
  <c r="AJ30" i="14"/>
  <c r="AK30" i="14" s="1"/>
  <c r="AJ31" i="14"/>
  <c r="AK31" i="14" s="1"/>
  <c r="AJ166" i="14"/>
  <c r="AK166" i="14" s="1"/>
  <c r="AJ80" i="14"/>
  <c r="AK80" i="14" s="1"/>
  <c r="AJ10" i="14"/>
  <c r="AK10" i="14" s="1"/>
  <c r="AJ11" i="14"/>
  <c r="AK11" i="14" s="1"/>
  <c r="AJ48" i="14"/>
  <c r="AK48" i="14" s="1"/>
  <c r="AJ74" i="14"/>
  <c r="AK74" i="14" s="1"/>
  <c r="AJ13" i="14"/>
  <c r="AK13" i="14" s="1"/>
  <c r="AJ187" i="14"/>
  <c r="AK187" i="14" s="1"/>
  <c r="AJ67" i="14"/>
  <c r="AK67" i="14" s="1"/>
  <c r="AJ5" i="14"/>
  <c r="AK5" i="14" s="1"/>
  <c r="AJ28" i="14"/>
  <c r="AK28" i="14" s="1"/>
  <c r="AJ8" i="14"/>
  <c r="AK8" i="14" s="1"/>
  <c r="AJ7" i="14"/>
  <c r="AK7" i="14" s="1"/>
  <c r="AJ9" i="14"/>
  <c r="AK9" i="14" s="1"/>
  <c r="AJ44" i="14"/>
  <c r="AK44" i="14" s="1"/>
  <c r="AJ82" i="14"/>
  <c r="AK82" i="14" s="1"/>
  <c r="AJ45" i="14"/>
  <c r="AK45" i="14" s="1"/>
  <c r="AJ43" i="14"/>
  <c r="AK43" i="14" s="1"/>
  <c r="AJ167" i="14"/>
  <c r="AK167" i="14" s="1"/>
  <c r="AJ27" i="14"/>
  <c r="AK27" i="14" s="1"/>
  <c r="AJ109" i="14"/>
  <c r="AK109" i="14" s="1"/>
  <c r="AJ115" i="14"/>
  <c r="AK115" i="14" s="1"/>
  <c r="AJ224" i="14"/>
  <c r="AK224" i="14" s="1"/>
  <c r="AI120" i="14"/>
  <c r="AI210" i="14"/>
  <c r="AI63" i="14"/>
  <c r="AI58" i="14"/>
  <c r="AI24" i="14"/>
  <c r="AI175" i="14"/>
  <c r="AI35" i="14"/>
  <c r="AI165" i="14"/>
  <c r="AI54" i="14"/>
  <c r="AI62" i="14"/>
  <c r="AI60" i="14"/>
  <c r="AI151" i="14"/>
  <c r="AI153" i="14"/>
  <c r="AI150" i="14"/>
  <c r="AI96" i="14"/>
  <c r="AI195" i="14"/>
  <c r="AI196" i="14"/>
  <c r="AI194" i="14"/>
  <c r="AI152" i="14"/>
  <c r="AI117" i="14"/>
  <c r="AI92" i="14"/>
  <c r="AI142" i="14"/>
  <c r="AI163" i="14"/>
  <c r="AI169" i="14"/>
  <c r="AI231" i="14"/>
  <c r="AI235" i="14"/>
  <c r="AI171" i="14"/>
  <c r="AI197" i="14"/>
  <c r="AI55" i="14"/>
  <c r="AI184" i="14"/>
  <c r="AI137" i="14"/>
  <c r="AI111" i="14"/>
  <c r="AI192" i="14"/>
  <c r="AI193" i="14"/>
  <c r="AI121" i="14"/>
  <c r="AI98" i="14"/>
  <c r="AI97" i="14"/>
  <c r="AI100" i="14"/>
  <c r="AI102" i="14"/>
  <c r="AI103" i="14"/>
  <c r="AI99" i="14"/>
  <c r="AI104" i="14"/>
  <c r="AI101" i="14"/>
  <c r="AI110" i="14"/>
  <c r="AI94" i="14"/>
  <c r="AI91" i="14"/>
  <c r="AI90" i="14"/>
  <c r="AI93" i="14"/>
  <c r="AI158" i="14"/>
  <c r="AI42" i="14"/>
  <c r="AI64" i="14"/>
  <c r="AI248" i="14"/>
  <c r="AI185" i="14"/>
  <c r="AI222" i="14"/>
  <c r="AI157" i="14"/>
  <c r="AI135" i="14"/>
  <c r="AI226" i="14"/>
  <c r="AI37" i="14"/>
  <c r="AI186" i="14"/>
  <c r="AI189" i="14"/>
  <c r="AI136" i="14"/>
  <c r="AI87" i="14"/>
  <c r="AI41" i="14"/>
  <c r="AI88" i="14"/>
  <c r="AI89" i="14"/>
  <c r="AI106" i="14"/>
  <c r="AI112" i="14"/>
  <c r="AI108" i="14"/>
  <c r="AI199" i="14"/>
  <c r="AI202" i="14"/>
  <c r="AI114" i="14"/>
  <c r="AI204" i="14"/>
  <c r="AI105" i="14"/>
  <c r="AI191" i="14"/>
  <c r="AI168" i="14"/>
  <c r="AI51" i="14"/>
  <c r="AI155" i="14"/>
  <c r="AI183" i="14"/>
  <c r="AI162" i="14"/>
  <c r="AI148" i="14"/>
  <c r="AI156" i="14"/>
  <c r="AI172" i="14"/>
  <c r="AI176" i="14"/>
  <c r="AI149" i="14"/>
  <c r="AI170" i="14"/>
  <c r="AI129" i="14"/>
  <c r="AI206" i="14"/>
  <c r="AI49" i="14"/>
  <c r="AI154" i="14"/>
  <c r="AI16" i="14"/>
  <c r="AI14" i="14"/>
  <c r="AI15" i="14"/>
  <c r="AI53" i="14"/>
  <c r="AI33" i="14"/>
  <c r="AI118" i="14"/>
  <c r="AI139" i="14"/>
  <c r="AI173" i="14"/>
  <c r="AI220" i="14"/>
  <c r="AI145" i="14"/>
  <c r="AI178" i="14"/>
  <c r="AI179" i="14"/>
  <c r="AI181" i="14"/>
  <c r="AI212" i="14"/>
  <c r="AI225" i="14"/>
  <c r="AI209" i="14"/>
  <c r="AI50" i="14"/>
  <c r="AI188" i="14"/>
  <c r="AI207" i="14"/>
  <c r="AI22" i="14"/>
  <c r="AI182" i="14"/>
  <c r="AI216" i="14"/>
  <c r="AI217" i="14"/>
  <c r="AI17" i="14"/>
  <c r="AI84" i="14"/>
  <c r="AI81" i="14"/>
  <c r="AI140" i="14"/>
  <c r="AI52" i="14"/>
  <c r="AI138" i="14"/>
  <c r="AI19" i="14"/>
  <c r="AI18" i="14"/>
  <c r="AI164" i="14"/>
  <c r="AI146" i="14"/>
  <c r="AI56" i="14"/>
  <c r="AI78" i="14"/>
  <c r="AI77" i="14"/>
  <c r="AI134" i="14"/>
  <c r="AI201" i="14"/>
  <c r="AI32" i="14"/>
  <c r="AI71" i="14"/>
  <c r="AI47" i="14"/>
  <c r="AI46" i="14"/>
  <c r="AI198" i="14"/>
  <c r="AI203" i="14"/>
  <c r="AI20" i="14"/>
  <c r="AI12" i="14"/>
  <c r="AI70" i="14"/>
  <c r="AI180" i="14"/>
  <c r="AI132" i="14"/>
  <c r="AI133" i="14"/>
  <c r="AI211" i="14"/>
  <c r="AI83" i="14"/>
  <c r="AI73" i="14"/>
  <c r="AI26" i="14"/>
  <c r="AI95" i="14"/>
  <c r="AI221" i="14"/>
  <c r="AI223" i="14"/>
  <c r="AI214" i="14"/>
  <c r="AI159" i="14"/>
  <c r="AI160" i="14"/>
  <c r="AI236" i="14"/>
  <c r="AI21" i="14"/>
  <c r="AI68" i="14"/>
  <c r="AI147" i="14"/>
  <c r="AI239" i="14"/>
  <c r="AI227" i="14"/>
  <c r="AI213" i="14"/>
  <c r="AI161" i="14"/>
  <c r="AI174" i="14"/>
  <c r="AI215" i="14"/>
  <c r="AI230" i="14"/>
  <c r="AI240" i="14"/>
  <c r="AI107" i="14"/>
  <c r="AI228" i="14"/>
  <c r="AI85" i="14"/>
  <c r="AI200" i="14"/>
  <c r="AI40" i="14"/>
  <c r="AI141" i="14"/>
  <c r="AI66" i="14"/>
  <c r="AI6" i="14"/>
  <c r="AI79" i="14"/>
  <c r="AI123" i="14"/>
  <c r="AI72" i="14"/>
  <c r="AI39" i="14"/>
  <c r="AI30" i="14"/>
  <c r="AI31" i="14"/>
  <c r="AI166" i="14"/>
  <c r="AI80" i="14"/>
  <c r="AI10" i="14"/>
  <c r="AI11" i="14"/>
  <c r="AI48" i="14"/>
  <c r="AI74" i="14"/>
  <c r="AI13" i="14"/>
  <c r="AI187" i="14"/>
  <c r="AI67" i="14"/>
  <c r="AI5" i="14"/>
  <c r="AI28" i="14"/>
  <c r="AI8" i="14"/>
  <c r="AI7" i="14"/>
  <c r="AI9" i="14"/>
  <c r="AI44" i="14"/>
  <c r="AI82" i="14"/>
  <c r="AI45" i="14"/>
  <c r="AI43" i="14"/>
  <c r="AI167" i="14"/>
  <c r="AI27" i="14"/>
  <c r="AI109" i="14"/>
  <c r="AI115" i="14"/>
  <c r="AI224" i="14"/>
  <c r="AP368" i="20"/>
  <c r="V23" i="62"/>
  <c r="V24" i="62"/>
  <c r="V25" i="62"/>
  <c r="V26" i="62"/>
  <c r="V27" i="62"/>
  <c r="V28" i="62"/>
  <c r="V29" i="62"/>
  <c r="V30" i="62"/>
  <c r="V31" i="62"/>
  <c r="U22" i="62"/>
  <c r="T22" i="62" s="1"/>
  <c r="U23" i="62"/>
  <c r="U24" i="62"/>
  <c r="U25" i="62"/>
  <c r="U26" i="62"/>
  <c r="U27" i="62"/>
  <c r="U28" i="62"/>
  <c r="U29" i="62"/>
  <c r="U30" i="62"/>
  <c r="U31" i="62"/>
  <c r="S31" i="62"/>
  <c r="S23" i="62"/>
  <c r="S24" i="62"/>
  <c r="S25" i="62"/>
  <c r="S26" i="62"/>
  <c r="S27" i="62"/>
  <c r="S28" i="62"/>
  <c r="S29" i="62"/>
  <c r="S30" i="62"/>
  <c r="S22" i="62"/>
  <c r="S179" i="19"/>
  <c r="S177" i="19"/>
  <c r="S178" i="19"/>
  <c r="S176" i="19"/>
  <c r="S180" i="19"/>
  <c r="S181" i="19"/>
  <c r="S182" i="19"/>
  <c r="S185" i="19"/>
  <c r="S184" i="19"/>
  <c r="S186" i="19"/>
  <c r="S189" i="19"/>
  <c r="S190" i="19"/>
  <c r="S191" i="19"/>
  <c r="S192" i="19"/>
  <c r="S194" i="19"/>
  <c r="S196" i="19"/>
  <c r="S197" i="19"/>
  <c r="S198" i="19"/>
  <c r="S201" i="19"/>
  <c r="S200" i="19"/>
  <c r="S204" i="19"/>
  <c r="S206" i="19"/>
  <c r="S207" i="19"/>
  <c r="S208" i="19"/>
  <c r="S209" i="19"/>
  <c r="S210" i="19"/>
  <c r="S211" i="19"/>
  <c r="S213" i="19"/>
  <c r="S215" i="19"/>
  <c r="S216" i="19"/>
  <c r="S217" i="19"/>
  <c r="S219" i="19"/>
  <c r="S220" i="19"/>
  <c r="S224" i="19"/>
  <c r="S225" i="19"/>
  <c r="S227" i="19"/>
  <c r="S226" i="19"/>
  <c r="S228" i="19"/>
  <c r="S229" i="19"/>
  <c r="S230" i="19"/>
  <c r="S231" i="19"/>
  <c r="S233" i="19"/>
  <c r="S235" i="19"/>
  <c r="S236" i="19"/>
  <c r="S237" i="19"/>
  <c r="S240" i="19"/>
  <c r="S241" i="19"/>
  <c r="S244" i="19"/>
  <c r="S243" i="19"/>
  <c r="S245" i="19"/>
  <c r="S248" i="19"/>
  <c r="S251" i="19"/>
  <c r="S252" i="19"/>
  <c r="S253" i="19"/>
  <c r="S256" i="19"/>
  <c r="S257" i="19"/>
  <c r="S258" i="19"/>
  <c r="S261" i="19"/>
  <c r="S263" i="19"/>
  <c r="S265" i="19"/>
  <c r="S264" i="19"/>
  <c r="S267" i="19"/>
  <c r="S268" i="19"/>
  <c r="S266" i="19"/>
  <c r="S270" i="19"/>
  <c r="S271" i="19"/>
  <c r="S273" i="19"/>
  <c r="S272" i="19"/>
  <c r="S275" i="19"/>
  <c r="S277" i="19"/>
  <c r="S278" i="19"/>
  <c r="S279" i="19"/>
  <c r="S282" i="19"/>
  <c r="S284" i="19"/>
  <c r="S285" i="19"/>
  <c r="S286" i="19"/>
  <c r="S287" i="19"/>
  <c r="S289" i="19"/>
  <c r="S290" i="19"/>
  <c r="S291" i="19"/>
  <c r="S292" i="19"/>
  <c r="S295" i="19"/>
  <c r="S301" i="19"/>
  <c r="S300" i="19"/>
  <c r="S303" i="19"/>
  <c r="S304" i="19"/>
  <c r="S306" i="19"/>
  <c r="S308" i="19"/>
  <c r="S309" i="19"/>
  <c r="S313" i="19"/>
  <c r="S314" i="19"/>
  <c r="S315" i="19"/>
  <c r="S316" i="19"/>
  <c r="S318" i="19"/>
  <c r="S319" i="19"/>
  <c r="S320" i="19"/>
  <c r="S321" i="19"/>
  <c r="S322" i="19"/>
  <c r="S323" i="19"/>
  <c r="S325" i="19"/>
  <c r="S324" i="19"/>
  <c r="S326" i="19"/>
  <c r="S328" i="19"/>
  <c r="S327" i="19"/>
  <c r="S329" i="19"/>
  <c r="S331" i="19"/>
  <c r="S332" i="19"/>
  <c r="S333" i="19"/>
  <c r="S334" i="19"/>
  <c r="S335" i="19"/>
  <c r="S339" i="19"/>
  <c r="S341" i="19"/>
  <c r="S343" i="19"/>
  <c r="S345" i="19"/>
  <c r="S344" i="19"/>
  <c r="S346" i="19"/>
  <c r="T179" i="19"/>
  <c r="P179" i="19" s="1"/>
  <c r="U179" i="19" s="1"/>
  <c r="T177" i="19"/>
  <c r="P177" i="19" s="1"/>
  <c r="U177" i="19" s="1"/>
  <c r="T178" i="19"/>
  <c r="P178" i="19"/>
  <c r="U178" i="19" s="1"/>
  <c r="T176" i="19"/>
  <c r="P176" i="19" s="1"/>
  <c r="U176" i="19" s="1"/>
  <c r="T180" i="19"/>
  <c r="P180" i="19" s="1"/>
  <c r="U180" i="19" s="1"/>
  <c r="T181" i="19"/>
  <c r="P181" i="19" s="1"/>
  <c r="U181" i="19" s="1"/>
  <c r="T182" i="19"/>
  <c r="P182" i="19" s="1"/>
  <c r="U182" i="19" s="1"/>
  <c r="T185" i="19"/>
  <c r="P185" i="19" s="1"/>
  <c r="U185" i="19" s="1"/>
  <c r="T184" i="19"/>
  <c r="P184" i="19" s="1"/>
  <c r="U184" i="19" s="1"/>
  <c r="T186" i="19"/>
  <c r="P186" i="19" s="1"/>
  <c r="U186" i="19" s="1"/>
  <c r="T189" i="19"/>
  <c r="P189" i="19" s="1"/>
  <c r="U189" i="19" s="1"/>
  <c r="T190" i="19"/>
  <c r="P190" i="19" s="1"/>
  <c r="U190" i="19" s="1"/>
  <c r="T191" i="19"/>
  <c r="P191" i="19" s="1"/>
  <c r="U191" i="19" s="1"/>
  <c r="T192" i="19"/>
  <c r="P192" i="19" s="1"/>
  <c r="U192" i="19" s="1"/>
  <c r="T194" i="19"/>
  <c r="P194" i="19" s="1"/>
  <c r="U194" i="19" s="1"/>
  <c r="T196" i="19"/>
  <c r="P196" i="19" s="1"/>
  <c r="U196" i="19" s="1"/>
  <c r="T197" i="19"/>
  <c r="P197" i="19" s="1"/>
  <c r="U197" i="19" s="1"/>
  <c r="T198" i="19"/>
  <c r="P198" i="19" s="1"/>
  <c r="U198" i="19" s="1"/>
  <c r="T201" i="19"/>
  <c r="P201" i="19" s="1"/>
  <c r="U201" i="19" s="1"/>
  <c r="T200" i="19"/>
  <c r="P200" i="19" s="1"/>
  <c r="U200" i="19" s="1"/>
  <c r="T204" i="19"/>
  <c r="P204" i="19" s="1"/>
  <c r="T206" i="19"/>
  <c r="P206" i="19" s="1"/>
  <c r="U206" i="19" s="1"/>
  <c r="T207" i="19"/>
  <c r="P207" i="19" s="1"/>
  <c r="U207" i="19" s="1"/>
  <c r="T208" i="19"/>
  <c r="P208" i="19" s="1"/>
  <c r="U208" i="19" s="1"/>
  <c r="T209" i="19"/>
  <c r="P209" i="19" s="1"/>
  <c r="U209" i="19" s="1"/>
  <c r="T210" i="19"/>
  <c r="P210" i="19" s="1"/>
  <c r="U210" i="19" s="1"/>
  <c r="T211" i="19"/>
  <c r="P211" i="19" s="1"/>
  <c r="U211" i="19" s="1"/>
  <c r="T213" i="19"/>
  <c r="P213" i="19" s="1"/>
  <c r="U213" i="19" s="1"/>
  <c r="T215" i="19"/>
  <c r="P215" i="19"/>
  <c r="U215" i="19" s="1"/>
  <c r="T216" i="19"/>
  <c r="P216" i="19" s="1"/>
  <c r="T217" i="19"/>
  <c r="P217" i="19" s="1"/>
  <c r="U217" i="19" s="1"/>
  <c r="T219" i="19"/>
  <c r="P219" i="19" s="1"/>
  <c r="U219" i="19" s="1"/>
  <c r="T220" i="19"/>
  <c r="P220" i="19" s="1"/>
  <c r="U220" i="19" s="1"/>
  <c r="T224" i="19"/>
  <c r="P224" i="19" s="1"/>
  <c r="U224" i="19" s="1"/>
  <c r="T225" i="19"/>
  <c r="P225" i="19" s="1"/>
  <c r="U225" i="19" s="1"/>
  <c r="T227" i="19"/>
  <c r="P227" i="19" s="1"/>
  <c r="U227" i="19" s="1"/>
  <c r="T226" i="19"/>
  <c r="P226" i="19" s="1"/>
  <c r="T228" i="19"/>
  <c r="P228" i="19" s="1"/>
  <c r="U228" i="19" s="1"/>
  <c r="T229" i="19"/>
  <c r="P229" i="19" s="1"/>
  <c r="U229" i="19" s="1"/>
  <c r="T230" i="19"/>
  <c r="P230" i="19" s="1"/>
  <c r="U230" i="19" s="1"/>
  <c r="T231" i="19"/>
  <c r="P231" i="19" s="1"/>
  <c r="U231" i="19" s="1"/>
  <c r="T233" i="19"/>
  <c r="P233" i="19" s="1"/>
  <c r="U233" i="19" s="1"/>
  <c r="T235" i="19"/>
  <c r="P235" i="19" s="1"/>
  <c r="U235" i="19" s="1"/>
  <c r="T236" i="19"/>
  <c r="P236" i="19" s="1"/>
  <c r="U236" i="19" s="1"/>
  <c r="T237" i="19"/>
  <c r="P237" i="19" s="1"/>
  <c r="U237" i="19" s="1"/>
  <c r="T240" i="19"/>
  <c r="P240" i="19" s="1"/>
  <c r="U240" i="19" s="1"/>
  <c r="T241" i="19"/>
  <c r="P241" i="19" s="1"/>
  <c r="U241" i="19" s="1"/>
  <c r="T244" i="19"/>
  <c r="P244" i="19" s="1"/>
  <c r="U244" i="19" s="1"/>
  <c r="T243" i="19"/>
  <c r="P243" i="19" s="1"/>
  <c r="U243" i="19" s="1"/>
  <c r="T245" i="19"/>
  <c r="P245" i="19" s="1"/>
  <c r="U245" i="19" s="1"/>
  <c r="T248" i="19"/>
  <c r="P248" i="19" s="1"/>
  <c r="U248" i="19" s="1"/>
  <c r="T251" i="19"/>
  <c r="P251" i="19" s="1"/>
  <c r="U251" i="19" s="1"/>
  <c r="T252" i="19"/>
  <c r="P252" i="19" s="1"/>
  <c r="U252" i="19" s="1"/>
  <c r="T5" i="19"/>
  <c r="P5" i="19" s="1"/>
  <c r="T7" i="19"/>
  <c r="P7" i="19" s="1"/>
  <c r="U7" i="19" s="1"/>
  <c r="T9" i="19"/>
  <c r="P9" i="19" s="1"/>
  <c r="T10" i="19"/>
  <c r="P10" i="19" s="1"/>
  <c r="U10" i="19" s="1"/>
  <c r="T11" i="19"/>
  <c r="P11" i="19" s="1"/>
  <c r="U11" i="19" s="1"/>
  <c r="T15" i="19"/>
  <c r="P15" i="19" s="1"/>
  <c r="U15" i="19" s="1"/>
  <c r="T14" i="19"/>
  <c r="P14" i="19" s="1"/>
  <c r="U14" i="19" s="1"/>
  <c r="T18" i="19"/>
  <c r="P18" i="19" s="1"/>
  <c r="U18" i="19" s="1"/>
  <c r="T19" i="19"/>
  <c r="P19" i="19" s="1"/>
  <c r="U19" i="19" s="1"/>
  <c r="T20" i="19"/>
  <c r="P20" i="19" s="1"/>
  <c r="U20" i="19" s="1"/>
  <c r="T22" i="19"/>
  <c r="P22" i="19" s="1"/>
  <c r="U22" i="19" s="1"/>
  <c r="T21" i="19"/>
  <c r="P21" i="19" s="1"/>
  <c r="U21" i="19" s="1"/>
  <c r="T24" i="19"/>
  <c r="P24" i="19" s="1"/>
  <c r="U24" i="19" s="1"/>
  <c r="T25" i="19"/>
  <c r="P25" i="19" s="1"/>
  <c r="U25" i="19" s="1"/>
  <c r="T27" i="19"/>
  <c r="P27" i="19" s="1"/>
  <c r="U27" i="19" s="1"/>
  <c r="T29" i="19"/>
  <c r="P29" i="19" s="1"/>
  <c r="U29" i="19" s="1"/>
  <c r="T30" i="19"/>
  <c r="P30" i="19" s="1"/>
  <c r="U30" i="19" s="1"/>
  <c r="T31" i="19"/>
  <c r="P31" i="19" s="1"/>
  <c r="U31" i="19" s="1"/>
  <c r="T32" i="19"/>
  <c r="P32" i="19" s="1"/>
  <c r="U32" i="19" s="1"/>
  <c r="T33" i="19"/>
  <c r="P33" i="19" s="1"/>
  <c r="U33" i="19" s="1"/>
  <c r="T35" i="19"/>
  <c r="P35" i="19" s="1"/>
  <c r="U35" i="19" s="1"/>
  <c r="T38" i="19"/>
  <c r="P38" i="19" s="1"/>
  <c r="U38" i="19" s="1"/>
  <c r="T36" i="19"/>
  <c r="P36" i="19" s="1"/>
  <c r="T42" i="19"/>
  <c r="P42" i="19" s="1"/>
  <c r="U42" i="19" s="1"/>
  <c r="T40" i="19"/>
  <c r="P40" i="19" s="1"/>
  <c r="U40" i="19" s="1"/>
  <c r="T45" i="19"/>
  <c r="P45" i="19" s="1"/>
  <c r="T46" i="19"/>
  <c r="P46" i="19" s="1"/>
  <c r="U46" i="19" s="1"/>
  <c r="T47" i="19"/>
  <c r="P47" i="19" s="1"/>
  <c r="U47" i="19" s="1"/>
  <c r="T50" i="19"/>
  <c r="P50" i="19" s="1"/>
  <c r="U50" i="19" s="1"/>
  <c r="T51" i="19"/>
  <c r="P51" i="19" s="1"/>
  <c r="U51" i="19" s="1"/>
  <c r="T53" i="19"/>
  <c r="P53" i="19" s="1"/>
  <c r="U53" i="19" s="1"/>
  <c r="T55" i="19"/>
  <c r="P55" i="19" s="1"/>
  <c r="U55" i="19" s="1"/>
  <c r="T57" i="19"/>
  <c r="P57" i="19" s="1"/>
  <c r="U57" i="19" s="1"/>
  <c r="T58" i="19"/>
  <c r="P58" i="19" s="1"/>
  <c r="U58" i="19" s="1"/>
  <c r="T59" i="19"/>
  <c r="P59" i="19" s="1"/>
  <c r="U59" i="19" s="1"/>
  <c r="T62" i="19"/>
  <c r="P62" i="19" s="1"/>
  <c r="U62" i="19" s="1"/>
  <c r="T63" i="19"/>
  <c r="P63" i="19" s="1"/>
  <c r="U63" i="19" s="1"/>
  <c r="T64" i="19"/>
  <c r="P64" i="19" s="1"/>
  <c r="U64" i="19" s="1"/>
  <c r="T65" i="19"/>
  <c r="P65" i="19" s="1"/>
  <c r="U65" i="19" s="1"/>
  <c r="T68" i="19"/>
  <c r="P68" i="19" s="1"/>
  <c r="U68" i="19" s="1"/>
  <c r="T69" i="19"/>
  <c r="P69" i="19" s="1"/>
  <c r="U69" i="19" s="1"/>
  <c r="T67" i="19"/>
  <c r="P67" i="19" s="1"/>
  <c r="U67" i="19" s="1"/>
  <c r="T70" i="19"/>
  <c r="P70" i="19" s="1"/>
  <c r="U70" i="19" s="1"/>
  <c r="T71" i="19"/>
  <c r="P71" i="19" s="1"/>
  <c r="U71" i="19" s="1"/>
  <c r="T72" i="19"/>
  <c r="P72" i="19" s="1"/>
  <c r="U72" i="19" s="1"/>
  <c r="T75" i="19"/>
  <c r="P75" i="19" s="1"/>
  <c r="U75" i="19" s="1"/>
  <c r="T76" i="19"/>
  <c r="P76" i="19" s="1"/>
  <c r="U76" i="19" s="1"/>
  <c r="T77" i="19"/>
  <c r="P77" i="19" s="1"/>
  <c r="U77" i="19" s="1"/>
  <c r="T78" i="19"/>
  <c r="P78" i="19" s="1"/>
  <c r="U78" i="19" s="1"/>
  <c r="T80" i="19"/>
  <c r="P80" i="19" s="1"/>
  <c r="T81" i="19"/>
  <c r="P81" i="19" s="1"/>
  <c r="U81" i="19" s="1"/>
  <c r="T82" i="19"/>
  <c r="P82" i="19" s="1"/>
  <c r="U82" i="19" s="1"/>
  <c r="T83" i="19"/>
  <c r="P83" i="19" s="1"/>
  <c r="T85" i="19"/>
  <c r="P85" i="19" s="1"/>
  <c r="U85" i="19" s="1"/>
  <c r="T84" i="19"/>
  <c r="P84" i="19" s="1"/>
  <c r="U84" i="19" s="1"/>
  <c r="T87" i="19"/>
  <c r="P87" i="19" s="1"/>
  <c r="U87" i="19" s="1"/>
  <c r="T86" i="19"/>
  <c r="P86" i="19" s="1"/>
  <c r="U86" i="19" s="1"/>
  <c r="T88" i="19"/>
  <c r="P88" i="19" s="1"/>
  <c r="U88" i="19" s="1"/>
  <c r="T89" i="19"/>
  <c r="P89" i="19" s="1"/>
  <c r="U89" i="19" s="1"/>
  <c r="T90" i="19"/>
  <c r="P90" i="19" s="1"/>
  <c r="U90" i="19" s="1"/>
  <c r="T91" i="19"/>
  <c r="P91" i="19" s="1"/>
  <c r="U91" i="19" s="1"/>
  <c r="T92" i="19"/>
  <c r="P92" i="19" s="1"/>
  <c r="U92" i="19" s="1"/>
  <c r="T94" i="19"/>
  <c r="P94" i="19" s="1"/>
  <c r="U94" i="19" s="1"/>
  <c r="T95" i="19"/>
  <c r="P95" i="19" s="1"/>
  <c r="U95" i="19" s="1"/>
  <c r="T96" i="19"/>
  <c r="P96" i="19" s="1"/>
  <c r="U96" i="19" s="1"/>
  <c r="T100" i="19"/>
  <c r="P100" i="19" s="1"/>
  <c r="U100" i="19" s="1"/>
  <c r="T103" i="19"/>
  <c r="P103" i="19" s="1"/>
  <c r="U103" i="19" s="1"/>
  <c r="T104" i="19"/>
  <c r="P104" i="19" s="1"/>
  <c r="U104" i="19" s="1"/>
  <c r="T108" i="19"/>
  <c r="P108" i="19" s="1"/>
  <c r="U108" i="19" s="1"/>
  <c r="T109" i="19"/>
  <c r="P109" i="19" s="1"/>
  <c r="U109" i="19" s="1"/>
  <c r="T106" i="19"/>
  <c r="P106" i="19" s="1"/>
  <c r="U106" i="19" s="1"/>
  <c r="T110" i="19"/>
  <c r="P110" i="19" s="1"/>
  <c r="U110" i="19" s="1"/>
  <c r="T112" i="19"/>
  <c r="P112" i="19" s="1"/>
  <c r="U112" i="19" s="1"/>
  <c r="T115" i="19"/>
  <c r="P115" i="19" s="1"/>
  <c r="U115" i="19" s="1"/>
  <c r="T114" i="19"/>
  <c r="P114" i="19" s="1"/>
  <c r="U114" i="19" s="1"/>
  <c r="T116" i="19"/>
  <c r="P116" i="19" s="1"/>
  <c r="U116" i="19" s="1"/>
  <c r="T118" i="19"/>
  <c r="P118" i="19" s="1"/>
  <c r="U118" i="19" s="1"/>
  <c r="T117" i="19"/>
  <c r="P117" i="19" s="1"/>
  <c r="U117" i="19" s="1"/>
  <c r="T119" i="19"/>
  <c r="P119" i="19" s="1"/>
  <c r="U119" i="19" s="1"/>
  <c r="T122" i="19"/>
  <c r="P122" i="19" s="1"/>
  <c r="U122" i="19" s="1"/>
  <c r="T123" i="19"/>
  <c r="P123" i="19" s="1"/>
  <c r="U123" i="19" s="1"/>
  <c r="T124" i="19"/>
  <c r="P124" i="19" s="1"/>
  <c r="U124" i="19" s="1"/>
  <c r="T126" i="19"/>
  <c r="P126" i="19" s="1"/>
  <c r="U126" i="19" s="1"/>
  <c r="T127" i="19"/>
  <c r="P127" i="19" s="1"/>
  <c r="U127" i="19" s="1"/>
  <c r="T128" i="19"/>
  <c r="P128" i="19" s="1"/>
  <c r="U128" i="19" s="1"/>
  <c r="T129" i="19"/>
  <c r="P129" i="19" s="1"/>
  <c r="U129" i="19" s="1"/>
  <c r="T130" i="19"/>
  <c r="P130" i="19" s="1"/>
  <c r="U130" i="19" s="1"/>
  <c r="T131" i="19"/>
  <c r="P131" i="19" s="1"/>
  <c r="U131" i="19" s="1"/>
  <c r="T132" i="19"/>
  <c r="P132" i="19" s="1"/>
  <c r="U132" i="19" s="1"/>
  <c r="T133" i="19"/>
  <c r="P133" i="19" s="1"/>
  <c r="U133" i="19" s="1"/>
  <c r="T135" i="19"/>
  <c r="P135" i="19" s="1"/>
  <c r="U135" i="19" s="1"/>
  <c r="T136" i="19"/>
  <c r="P136" i="19" s="1"/>
  <c r="U136" i="19" s="1"/>
  <c r="T138" i="19"/>
  <c r="P138" i="19" s="1"/>
  <c r="U138" i="19" s="1"/>
  <c r="T139" i="19"/>
  <c r="P139" i="19" s="1"/>
  <c r="U139" i="19" s="1"/>
  <c r="T140" i="19"/>
  <c r="P140" i="19" s="1"/>
  <c r="U140" i="19" s="1"/>
  <c r="T141" i="19"/>
  <c r="P141" i="19" s="1"/>
  <c r="U141" i="19" s="1"/>
  <c r="T142" i="19"/>
  <c r="P142" i="19" s="1"/>
  <c r="U142" i="19" s="1"/>
  <c r="T143" i="19"/>
  <c r="P143" i="19" s="1"/>
  <c r="U143" i="19" s="1"/>
  <c r="T144" i="19"/>
  <c r="P144" i="19" s="1"/>
  <c r="U144" i="19" s="1"/>
  <c r="T145" i="19"/>
  <c r="P145" i="19" s="1"/>
  <c r="U145" i="19" s="1"/>
  <c r="T146" i="19"/>
  <c r="P146" i="19" s="1"/>
  <c r="U146" i="19" s="1"/>
  <c r="T147" i="19"/>
  <c r="P147" i="19" s="1"/>
  <c r="U147" i="19" s="1"/>
  <c r="T148" i="19"/>
  <c r="P148" i="19" s="1"/>
  <c r="U148" i="19" s="1"/>
  <c r="T149" i="19"/>
  <c r="P149" i="19" s="1"/>
  <c r="U149" i="19" s="1"/>
  <c r="T150" i="19"/>
  <c r="P150" i="19" s="1"/>
  <c r="U150" i="19" s="1"/>
  <c r="T151" i="19"/>
  <c r="P151" i="19" s="1"/>
  <c r="U151" i="19" s="1"/>
  <c r="T153" i="19"/>
  <c r="P153" i="19" s="1"/>
  <c r="U153" i="19" s="1"/>
  <c r="T154" i="19"/>
  <c r="P154" i="19" s="1"/>
  <c r="U154" i="19" s="1"/>
  <c r="T155" i="19"/>
  <c r="P155" i="19" s="1"/>
  <c r="U155" i="19" s="1"/>
  <c r="T156" i="19"/>
  <c r="P156" i="19" s="1"/>
  <c r="U156" i="19" s="1"/>
  <c r="T158" i="19"/>
  <c r="P158" i="19"/>
  <c r="T160" i="19"/>
  <c r="P160" i="19" s="1"/>
  <c r="U160" i="19" s="1"/>
  <c r="T161" i="19"/>
  <c r="P161" i="19" s="1"/>
  <c r="U161" i="19" s="1"/>
  <c r="T163" i="19"/>
  <c r="P163" i="19" s="1"/>
  <c r="U163" i="19"/>
  <c r="T164" i="19"/>
  <c r="P164" i="19" s="1"/>
  <c r="U164" i="19" s="1"/>
  <c r="T165" i="19"/>
  <c r="P165" i="19" s="1"/>
  <c r="U165" i="19" s="1"/>
  <c r="T166" i="19"/>
  <c r="P166" i="19" s="1"/>
  <c r="U166" i="19" s="1"/>
  <c r="T169" i="19"/>
  <c r="P169" i="19" s="1"/>
  <c r="U169" i="19" s="1"/>
  <c r="T171" i="19"/>
  <c r="P171" i="19" s="1"/>
  <c r="U171" i="19" s="1"/>
  <c r="T173" i="19"/>
  <c r="P173" i="19" s="1"/>
  <c r="U173" i="19" s="1"/>
  <c r="T174" i="19"/>
  <c r="P174" i="19" s="1"/>
  <c r="U174" i="19" s="1"/>
  <c r="T6" i="19"/>
  <c r="P6" i="19" s="1"/>
  <c r="U6" i="19" s="1"/>
  <c r="S5" i="19"/>
  <c r="S7" i="19"/>
  <c r="S10" i="19"/>
  <c r="S11" i="19"/>
  <c r="S15" i="19"/>
  <c r="S14" i="19"/>
  <c r="S18" i="19"/>
  <c r="S19" i="19"/>
  <c r="S20" i="19"/>
  <c r="S22" i="19"/>
  <c r="S21" i="19"/>
  <c r="S24" i="19"/>
  <c r="S25" i="19"/>
  <c r="S27" i="19"/>
  <c r="S29" i="19"/>
  <c r="S30" i="19"/>
  <c r="S31" i="19"/>
  <c r="S32" i="19"/>
  <c r="S33" i="19"/>
  <c r="S35" i="19"/>
  <c r="S38" i="19"/>
  <c r="S36" i="19"/>
  <c r="S42" i="19"/>
  <c r="S40" i="19"/>
  <c r="S45" i="19"/>
  <c r="S46" i="19"/>
  <c r="S47" i="19"/>
  <c r="S50" i="19"/>
  <c r="S51" i="19"/>
  <c r="S53" i="19"/>
  <c r="S55" i="19"/>
  <c r="S57" i="19"/>
  <c r="S58" i="19"/>
  <c r="S59" i="19"/>
  <c r="S62" i="19"/>
  <c r="S63" i="19"/>
  <c r="S64" i="19"/>
  <c r="S65" i="19"/>
  <c r="S68" i="19"/>
  <c r="S69" i="19"/>
  <c r="S67" i="19"/>
  <c r="S70" i="19"/>
  <c r="S71" i="19"/>
  <c r="S72" i="19"/>
  <c r="S75" i="19"/>
  <c r="S76" i="19"/>
  <c r="S77" i="19"/>
  <c r="S78" i="19"/>
  <c r="S80" i="19"/>
  <c r="S81" i="19"/>
  <c r="S82" i="19"/>
  <c r="S83" i="19"/>
  <c r="S85" i="19"/>
  <c r="S84" i="19"/>
  <c r="S87" i="19"/>
  <c r="S86" i="19"/>
  <c r="S88" i="19"/>
  <c r="S89" i="19"/>
  <c r="S90" i="19"/>
  <c r="S91" i="19"/>
  <c r="S92" i="19"/>
  <c r="S94" i="19"/>
  <c r="S95" i="19"/>
  <c r="S96" i="19"/>
  <c r="S100" i="19"/>
  <c r="S103" i="19"/>
  <c r="S104" i="19"/>
  <c r="S108" i="19"/>
  <c r="S109" i="19"/>
  <c r="S106" i="19"/>
  <c r="S110" i="19"/>
  <c r="S112" i="19"/>
  <c r="S115" i="19"/>
  <c r="S114" i="19"/>
  <c r="S116" i="19"/>
  <c r="S118" i="19"/>
  <c r="S117" i="19"/>
  <c r="S119" i="19"/>
  <c r="S122" i="19"/>
  <c r="S123" i="19"/>
  <c r="S124" i="19"/>
  <c r="S126" i="19"/>
  <c r="S127" i="19"/>
  <c r="S128" i="19"/>
  <c r="S129" i="19"/>
  <c r="S130" i="19"/>
  <c r="S131" i="19"/>
  <c r="S132" i="19"/>
  <c r="S133" i="19"/>
  <c r="S135" i="19"/>
  <c r="S136" i="19"/>
  <c r="S138" i="19"/>
  <c r="S139" i="19"/>
  <c r="S140" i="19"/>
  <c r="S141" i="19"/>
  <c r="S142" i="19"/>
  <c r="S143" i="19"/>
  <c r="S144" i="19"/>
  <c r="S145" i="19"/>
  <c r="S146" i="19"/>
  <c r="S147" i="19"/>
  <c r="S148" i="19"/>
  <c r="S149" i="19"/>
  <c r="S150" i="19"/>
  <c r="S151" i="19"/>
  <c r="S153" i="19"/>
  <c r="S154" i="19"/>
  <c r="S155" i="19"/>
  <c r="S156" i="19"/>
  <c r="S158" i="19"/>
  <c r="S160" i="19"/>
  <c r="S161" i="19"/>
  <c r="S163" i="19"/>
  <c r="S164" i="19"/>
  <c r="S165" i="19"/>
  <c r="S166" i="19"/>
  <c r="S169" i="19"/>
  <c r="S171" i="19"/>
  <c r="S173" i="19"/>
  <c r="S174" i="19"/>
  <c r="S6" i="19"/>
  <c r="AM148" i="20"/>
  <c r="AO148" i="20"/>
  <c r="AM142" i="20"/>
  <c r="AO142" i="20"/>
  <c r="AM151" i="20"/>
  <c r="AO151" i="20"/>
  <c r="AM150" i="20"/>
  <c r="AO150" i="20"/>
  <c r="AP150" i="20" s="1"/>
  <c r="AF223" i="14"/>
  <c r="AH223" i="14" s="1"/>
  <c r="AF220" i="14"/>
  <c r="AH220" i="14" s="1"/>
  <c r="AM524" i="20"/>
  <c r="AM675" i="20"/>
  <c r="AM669" i="20"/>
  <c r="AM761" i="20"/>
  <c r="AM528" i="20"/>
  <c r="AM427" i="20"/>
  <c r="AM441" i="20"/>
  <c r="AM762" i="20"/>
  <c r="AM733" i="20"/>
  <c r="AM121" i="20"/>
  <c r="AM174" i="20"/>
  <c r="AM1045" i="20"/>
  <c r="AM875" i="20"/>
  <c r="AM450" i="20"/>
  <c r="AM402" i="20"/>
  <c r="AM947" i="20"/>
  <c r="AM523" i="20"/>
  <c r="AM262" i="20"/>
  <c r="AM1037" i="20"/>
  <c r="AM972" i="20"/>
  <c r="AM674" i="20"/>
  <c r="AM823" i="20"/>
  <c r="AM302" i="20"/>
  <c r="AM898" i="20"/>
  <c r="AM257" i="20"/>
  <c r="AM649" i="20"/>
  <c r="AM458" i="20"/>
  <c r="AM210" i="20"/>
  <c r="AM1007" i="20"/>
  <c r="AM545" i="20"/>
  <c r="AM555" i="20"/>
  <c r="AM620" i="20"/>
  <c r="AM520" i="20"/>
  <c r="AM701" i="20"/>
  <c r="AM595" i="20"/>
  <c r="AM980" i="20"/>
  <c r="AM484" i="20"/>
  <c r="AM891" i="20"/>
  <c r="AM913" i="20"/>
  <c r="AM923" i="20"/>
  <c r="AM220" i="20"/>
  <c r="AM235" i="20"/>
  <c r="AM984" i="20"/>
  <c r="AM795" i="20"/>
  <c r="AM497" i="20"/>
  <c r="AM931" i="20"/>
  <c r="AM585" i="20"/>
  <c r="AM135" i="20"/>
  <c r="AM138" i="20"/>
  <c r="AM132" i="20"/>
  <c r="AM968" i="20"/>
  <c r="AM158" i="20"/>
  <c r="AM807" i="20"/>
  <c r="AM293" i="20"/>
  <c r="AM814" i="20"/>
  <c r="AM714" i="20"/>
  <c r="AM287" i="20"/>
  <c r="AM987" i="20"/>
  <c r="AM682" i="20"/>
  <c r="AM938" i="20"/>
  <c r="AM681" i="20"/>
  <c r="AM993" i="20"/>
  <c r="AM185" i="20"/>
  <c r="AM472" i="20"/>
  <c r="AM481" i="20"/>
  <c r="AM82" i="20"/>
  <c r="AM943" i="20"/>
  <c r="AM760" i="20"/>
  <c r="AM873" i="20"/>
  <c r="AM286" i="20"/>
  <c r="AM665" i="20"/>
  <c r="AM443" i="20"/>
  <c r="AM1022" i="20"/>
  <c r="AM122" i="20"/>
  <c r="AM735" i="20"/>
  <c r="AM304" i="20"/>
  <c r="AM651" i="20"/>
  <c r="AM93" i="20"/>
  <c r="AM789" i="20"/>
  <c r="AM236" i="20"/>
  <c r="AM668" i="20"/>
  <c r="AM436" i="20"/>
  <c r="AM318" i="20"/>
  <c r="AM21" i="20"/>
  <c r="AM78" i="20"/>
  <c r="AM85" i="20"/>
  <c r="AM131" i="20"/>
  <c r="AM52" i="20"/>
  <c r="AM609" i="20"/>
  <c r="AM12" i="20"/>
  <c r="AM58" i="20"/>
  <c r="AM644" i="20"/>
  <c r="AM176" i="20"/>
  <c r="AM726" i="20"/>
  <c r="AM885" i="20"/>
  <c r="AM571" i="20"/>
  <c r="AM1055" i="20"/>
  <c r="AM184" i="20"/>
  <c r="AM407" i="20"/>
  <c r="AM386" i="20"/>
  <c r="AM1038" i="20"/>
  <c r="AM975" i="20"/>
  <c r="AM506" i="20"/>
  <c r="AM829" i="20"/>
  <c r="AM899" i="20"/>
  <c r="AM785" i="20"/>
  <c r="AM786" i="20"/>
  <c r="AM88" i="20"/>
  <c r="AM89" i="20"/>
  <c r="AM512" i="20"/>
  <c r="AM92" i="20"/>
  <c r="AM349" i="20"/>
  <c r="AM1013" i="20"/>
  <c r="AM97" i="20"/>
  <c r="AM621" i="20"/>
  <c r="AM547" i="20"/>
  <c r="AM557" i="20"/>
  <c r="AM143" i="20"/>
  <c r="AM144" i="20"/>
  <c r="AM981" i="20"/>
  <c r="AM801" i="20"/>
  <c r="AM410" i="20"/>
  <c r="AM411" i="20"/>
  <c r="AM164" i="20"/>
  <c r="AM818" i="20"/>
  <c r="AM331" i="20"/>
  <c r="AM997" i="20"/>
  <c r="AM687" i="20"/>
  <c r="AM565" i="20"/>
  <c r="AM72" i="20"/>
  <c r="AM543" i="20"/>
  <c r="AM541" i="20"/>
  <c r="AM561" i="20"/>
  <c r="AM1035" i="20"/>
  <c r="AM573" i="20"/>
  <c r="AM264" i="20"/>
  <c r="AM672" i="20"/>
  <c r="AM764" i="20"/>
  <c r="AM574" i="20"/>
  <c r="AM1046" i="20"/>
  <c r="AM949" i="20"/>
  <c r="AM502" i="20"/>
  <c r="AM211" i="20"/>
  <c r="AM26" i="20"/>
  <c r="AM513" i="20"/>
  <c r="AM101" i="20"/>
  <c r="AM914" i="20"/>
  <c r="AM924" i="20"/>
  <c r="AM322" i="20"/>
  <c r="AM401" i="20"/>
  <c r="AM679" i="20"/>
  <c r="AM1005" i="20"/>
  <c r="AM535" i="20"/>
  <c r="AM444" i="20"/>
  <c r="AM782" i="20"/>
  <c r="AM20" i="20"/>
  <c r="AM77" i="20"/>
  <c r="AM130" i="20"/>
  <c r="AM11" i="20"/>
  <c r="AM454" i="20"/>
  <c r="AM670" i="20"/>
  <c r="AM827" i="20"/>
  <c r="AM213" i="20"/>
  <c r="AM29" i="20"/>
  <c r="AM893" i="20"/>
  <c r="AM894" i="20"/>
  <c r="AM237" i="20"/>
  <c r="AM221" i="20"/>
  <c r="AM222" i="20"/>
  <c r="AM161" i="20"/>
  <c r="AM162" i="20"/>
  <c r="AM944" i="20"/>
  <c r="AM939" i="20"/>
  <c r="AM198" i="20"/>
  <c r="AM169" i="20"/>
  <c r="AM1058" i="20"/>
  <c r="AM753" i="20"/>
  <c r="AM906" i="20"/>
  <c r="AM395" i="20"/>
  <c r="AM741" i="20"/>
  <c r="AM690" i="20"/>
  <c r="AM277" i="20"/>
  <c r="AM99" i="20"/>
  <c r="AM100" i="20"/>
  <c r="AM529" i="20"/>
  <c r="AM530" i="20"/>
  <c r="AM537" i="20"/>
  <c r="AM428" i="20"/>
  <c r="AM429" i="20"/>
  <c r="AM265" i="20"/>
  <c r="AM266" i="20"/>
  <c r="AM267" i="20"/>
  <c r="AM777" i="20"/>
  <c r="AM780" i="20"/>
  <c r="AM1047" i="20"/>
  <c r="AM725" i="20"/>
  <c r="AM884" i="20"/>
  <c r="AM396" i="20"/>
  <c r="AM397" i="20"/>
  <c r="AM886" i="20"/>
  <c r="AM1048" i="20"/>
  <c r="AM451" i="20"/>
  <c r="AM452" i="20"/>
  <c r="AM246" i="20"/>
  <c r="AM250" i="20"/>
  <c r="AM403" i="20"/>
  <c r="AM404" i="20"/>
  <c r="AM965" i="20"/>
  <c r="AM493" i="20"/>
  <c r="AM966" i="20"/>
  <c r="AM495" i="20"/>
  <c r="AM385" i="20"/>
  <c r="AM742" i="20"/>
  <c r="AM691" i="20"/>
  <c r="AM692" i="20"/>
  <c r="AM744" i="20"/>
  <c r="AM389" i="20"/>
  <c r="AM824" i="20"/>
  <c r="AM825" i="20"/>
  <c r="AM503" i="20"/>
  <c r="AM303" i="20"/>
  <c r="AM504" i="20"/>
  <c r="AM505" i="20"/>
  <c r="AM507" i="20"/>
  <c r="AM508" i="20"/>
  <c r="AM459" i="20"/>
  <c r="AM460" i="20"/>
  <c r="AM212" i="20"/>
  <c r="AM170" i="20"/>
  <c r="AM171" i="20"/>
  <c r="AM216" i="20"/>
  <c r="AM1008" i="20"/>
  <c r="AM90" i="20"/>
  <c r="AM787" i="20"/>
  <c r="AM1009" i="20"/>
  <c r="AM27" i="20"/>
  <c r="AM656" i="20"/>
  <c r="AM348" i="20"/>
  <c r="AM1059" i="20"/>
  <c r="AM91" i="20"/>
  <c r="AM514" i="20"/>
  <c r="AM788" i="20"/>
  <c r="AM1060" i="20"/>
  <c r="AM515" i="20"/>
  <c r="AM517" i="20"/>
  <c r="AM518" i="20"/>
  <c r="AM659" i="20"/>
  <c r="AM367" i="20"/>
  <c r="AM712" i="20"/>
  <c r="AM278" i="20"/>
  <c r="AM102" i="20"/>
  <c r="AM280" i="20"/>
  <c r="AM713" i="20"/>
  <c r="AM105" i="20"/>
  <c r="AM64" i="20"/>
  <c r="AM68" i="20"/>
  <c r="AM145" i="20"/>
  <c r="AM596" i="20"/>
  <c r="AM147" i="20"/>
  <c r="AM597" i="20"/>
  <c r="AM796" i="20"/>
  <c r="AM844" i="20"/>
  <c r="AM915" i="20"/>
  <c r="AM925" i="20"/>
  <c r="AM754" i="20"/>
  <c r="AM755" i="20"/>
  <c r="AM846" i="20"/>
  <c r="AM918" i="20"/>
  <c r="AM928" i="20"/>
  <c r="AM863" i="20"/>
  <c r="AM159" i="20"/>
  <c r="AM815" i="20"/>
  <c r="AM808" i="20"/>
  <c r="AM809" i="20"/>
  <c r="AM160" i="20"/>
  <c r="AM816" i="20"/>
  <c r="AM323" i="20"/>
  <c r="AM592" i="20"/>
  <c r="AM1028" i="20"/>
  <c r="AM270" i="20"/>
  <c r="AM412" i="20"/>
  <c r="AM202" i="20"/>
  <c r="AM413" i="20"/>
  <c r="AM593" i="20"/>
  <c r="AM326" i="20"/>
  <c r="AM204" i="20"/>
  <c r="AM1030" i="20"/>
  <c r="AM272" i="20"/>
  <c r="AM218" i="20"/>
  <c r="AM217" i="20"/>
  <c r="AM994" i="20"/>
  <c r="AM907" i="20"/>
  <c r="AM995" i="20"/>
  <c r="AM908" i="20"/>
  <c r="AM330" i="20"/>
  <c r="AM637" i="20"/>
  <c r="AM284" i="20"/>
  <c r="AM74" i="20"/>
  <c r="AM73" i="20"/>
  <c r="AM344" i="20"/>
  <c r="AM283" i="20"/>
  <c r="AM449" i="20"/>
  <c r="AM490" i="20"/>
  <c r="AM919" i="20"/>
  <c r="AM936" i="20"/>
  <c r="AM941" i="20"/>
  <c r="AM974" i="20"/>
  <c r="AM976" i="20"/>
  <c r="AM992" i="20"/>
  <c r="AM998" i="20"/>
  <c r="AM999" i="20"/>
  <c r="AM1003" i="20"/>
  <c r="AM1039" i="20"/>
  <c r="AM369" i="20"/>
  <c r="AM325" i="20"/>
  <c r="AM329" i="20"/>
  <c r="AM491" i="20"/>
  <c r="AM630" i="20"/>
  <c r="AM347" i="20"/>
  <c r="AM426" i="20"/>
  <c r="AM456" i="20"/>
  <c r="AM464" i="20"/>
  <c r="AM730" i="20"/>
  <c r="AM183" i="20"/>
  <c r="AM167" i="20"/>
  <c r="AM525" i="20"/>
  <c r="AM569" i="20"/>
  <c r="AM606" i="20"/>
  <c r="AM607" i="20"/>
  <c r="AM307" i="20"/>
  <c r="AM509" i="20"/>
  <c r="AM519" i="20"/>
  <c r="AM560" i="20"/>
  <c r="AM586" i="20"/>
  <c r="AM636" i="20"/>
  <c r="AM901" i="20"/>
  <c r="AM521" i="20"/>
  <c r="AM683" i="20"/>
  <c r="AM892" i="20"/>
  <c r="AM1014" i="20"/>
  <c r="AM1024" i="20"/>
  <c r="AM500" i="20"/>
  <c r="AM179" i="20"/>
  <c r="AM156" i="20"/>
  <c r="AM166" i="20"/>
  <c r="AM172" i="20"/>
  <c r="AM157" i="20"/>
  <c r="AM155" i="20"/>
  <c r="AM178" i="20"/>
  <c r="AM186" i="20"/>
  <c r="AM187" i="20"/>
  <c r="AM190" i="20"/>
  <c r="AM165" i="20"/>
  <c r="AM181" i="20"/>
  <c r="AM438" i="20"/>
  <c r="AM447" i="20"/>
  <c r="AM463" i="20"/>
  <c r="AM475" i="20"/>
  <c r="AM483" i="20"/>
  <c r="AM487" i="20"/>
  <c r="AM554" i="20"/>
  <c r="AM563" i="20"/>
  <c r="AM564" i="20"/>
  <c r="AM572" i="20"/>
  <c r="AM577" i="20"/>
  <c r="AM578" i="20"/>
  <c r="AM566" i="20"/>
  <c r="AM602" i="20"/>
  <c r="AM598" i="20"/>
  <c r="AM618" i="20"/>
  <c r="AM614" i="20"/>
  <c r="AM622" i="20"/>
  <c r="AM990" i="20"/>
  <c r="AM986" i="20"/>
  <c r="AM988" i="20"/>
  <c r="AM989" i="20"/>
  <c r="AM305" i="20"/>
  <c r="AM485" i="20"/>
  <c r="AM526" i="20"/>
  <c r="AM552" i="20"/>
  <c r="AM587" i="20"/>
  <c r="AM625" i="20"/>
  <c r="AM640" i="20"/>
  <c r="AM650" i="20"/>
  <c r="AM676" i="20"/>
  <c r="AM153" i="20"/>
  <c r="AM312" i="20"/>
  <c r="AM388" i="20"/>
  <c r="AM433" i="20"/>
  <c r="AM624" i="20"/>
  <c r="AM647" i="20"/>
  <c r="AM655" i="20"/>
  <c r="AM660" i="20"/>
  <c r="AM991" i="20"/>
  <c r="AM180" i="20"/>
  <c r="AM191" i="20"/>
  <c r="AM175" i="20"/>
  <c r="AM199" i="20"/>
  <c r="AM556" i="20"/>
  <c r="AM559" i="20"/>
  <c r="AM576" i="20"/>
  <c r="AM608" i="20"/>
  <c r="AM611" i="20"/>
  <c r="AM646" i="20"/>
  <c r="AM662" i="20"/>
  <c r="AM693" i="20"/>
  <c r="AM694" i="20"/>
  <c r="AM781" i="20"/>
  <c r="AM935" i="20"/>
  <c r="AM1006" i="20"/>
  <c r="AM628" i="20"/>
  <c r="AM748" i="20"/>
  <c r="AM285" i="20"/>
  <c r="AM477" i="20"/>
  <c r="AM581" i="20"/>
  <c r="AM840" i="20"/>
  <c r="AM895" i="20"/>
  <c r="AM1032" i="20"/>
  <c r="AM194" i="20"/>
  <c r="AM313" i="20"/>
  <c r="AM320" i="20"/>
  <c r="AM501" i="20"/>
  <c r="AM589" i="20"/>
  <c r="AM671" i="20"/>
  <c r="AM677" i="20"/>
  <c r="AM732" i="20"/>
  <c r="AM736" i="20"/>
  <c r="AM834" i="20"/>
  <c r="AM196" i="20"/>
  <c r="AM268" i="20"/>
  <c r="AM271" i="20"/>
  <c r="AM274" i="20"/>
  <c r="AM281" i="20"/>
  <c r="AM393" i="20"/>
  <c r="AM424" i="20"/>
  <c r="AM457" i="20"/>
  <c r="AM468" i="20"/>
  <c r="AM480" i="20"/>
  <c r="AM486" i="20"/>
  <c r="AM533" i="20"/>
  <c r="AM538" i="20"/>
  <c r="AM548" i="20"/>
  <c r="AM551" i="20"/>
  <c r="AM627" i="20"/>
  <c r="AM666" i="20"/>
  <c r="AM689" i="20"/>
  <c r="AM699" i="20"/>
  <c r="AM729" i="20"/>
  <c r="AM747" i="20"/>
  <c r="AM746" i="20"/>
  <c r="AM779" i="20"/>
  <c r="AM797" i="20"/>
  <c r="AM798" i="20"/>
  <c r="AM838" i="20"/>
  <c r="AM848" i="20"/>
  <c r="AM912" i="20"/>
  <c r="AM934" i="20"/>
  <c r="AM973" i="20"/>
  <c r="AM737" i="20"/>
  <c r="AM275" i="20"/>
  <c r="AM309" i="20"/>
  <c r="AM370" i="20"/>
  <c r="AM531" i="20"/>
  <c r="AM591" i="20"/>
  <c r="AM626" i="20"/>
  <c r="AM664" i="20"/>
  <c r="AM790" i="20"/>
  <c r="AM821" i="20"/>
  <c r="AM843" i="20"/>
  <c r="AM904" i="20"/>
  <c r="AM910" i="20"/>
  <c r="AM979" i="20"/>
  <c r="AM983" i="20"/>
  <c r="AM522" i="20"/>
  <c r="AM653" i="20"/>
  <c r="AM728" i="20"/>
  <c r="AM740" i="20"/>
  <c r="AM745" i="20"/>
  <c r="AM799" i="20"/>
  <c r="AM794" i="20"/>
  <c r="AM803" i="20"/>
  <c r="AM887" i="20"/>
  <c r="AM141" i="20"/>
  <c r="AM470" i="20"/>
  <c r="AM474" i="20"/>
  <c r="AM492" i="20"/>
  <c r="AM496" i="20"/>
  <c r="AM631" i="20"/>
  <c r="AM633" i="20"/>
  <c r="AM819" i="20"/>
  <c r="AM1000" i="20"/>
  <c r="AM1020" i="20"/>
  <c r="AM149" i="20"/>
  <c r="AM279" i="20"/>
  <c r="AM315" i="20"/>
  <c r="AM317" i="20"/>
  <c r="AM332" i="20"/>
  <c r="AM372" i="20"/>
  <c r="AM408" i="20"/>
  <c r="AM420" i="20"/>
  <c r="AM446" i="20"/>
  <c r="AM473" i="20"/>
  <c r="AM534" i="20"/>
  <c r="AM550" i="20"/>
  <c r="AM562" i="20"/>
  <c r="AM684" i="20"/>
  <c r="AM688" i="20"/>
  <c r="AM750" i="20"/>
  <c r="AM826" i="20"/>
  <c r="AM833" i="20"/>
  <c r="AM839" i="20"/>
  <c r="AM842" i="20"/>
  <c r="AM845" i="20"/>
  <c r="AM889" i="20"/>
  <c r="AM890" i="20"/>
  <c r="AM900" i="20"/>
  <c r="AM920" i="20"/>
  <c r="AM937" i="20"/>
  <c r="AM940" i="20"/>
  <c r="AM945" i="20"/>
  <c r="AM967" i="20"/>
  <c r="AM1019" i="20"/>
  <c r="AM1034" i="20"/>
  <c r="AM308" i="20"/>
  <c r="AM394" i="20"/>
  <c r="AM398" i="20"/>
  <c r="AM423" i="20"/>
  <c r="AM421" i="20"/>
  <c r="AM466" i="20"/>
  <c r="AM465" i="20"/>
  <c r="AM638" i="20"/>
  <c r="AM685" i="20"/>
  <c r="AM697" i="20"/>
  <c r="AM698" i="20"/>
  <c r="AM718" i="20"/>
  <c r="AM727" i="20"/>
  <c r="AM791" i="20"/>
  <c r="AM792" i="20"/>
  <c r="AM864" i="20"/>
  <c r="AM865" i="20"/>
  <c r="AM902" i="20"/>
  <c r="AM930" i="20"/>
  <c r="AM932" i="20"/>
  <c r="AM933" i="20"/>
  <c r="AM978" i="20"/>
  <c r="AM415" i="20"/>
  <c r="AM430" i="20"/>
  <c r="AM434" i="20"/>
  <c r="AM453" i="20"/>
  <c r="AM469" i="20"/>
  <c r="AM488" i="20"/>
  <c r="AM489" i="20"/>
  <c r="AM629" i="20"/>
  <c r="AM632" i="20"/>
  <c r="AM392" i="20"/>
  <c r="AM422" i="20"/>
  <c r="AM510" i="20"/>
  <c r="AM532" i="20"/>
  <c r="AM680" i="20"/>
  <c r="AM696" i="20"/>
  <c r="AM716" i="20"/>
  <c r="AM739" i="20"/>
  <c r="AM759" i="20"/>
  <c r="AM810" i="20"/>
  <c r="AM837" i="20"/>
  <c r="AM849" i="20"/>
  <c r="AM911" i="20"/>
  <c r="AM929" i="20"/>
  <c r="AM969" i="20"/>
  <c r="AM1021" i="20"/>
  <c r="AM1040" i="20"/>
  <c r="AM152" i="20"/>
  <c r="AM276" i="20"/>
  <c r="AM405" i="20"/>
  <c r="AM416" i="20"/>
  <c r="AM417" i="20"/>
  <c r="AM419" i="20"/>
  <c r="AM425" i="20"/>
  <c r="AM440" i="20"/>
  <c r="AM448" i="20"/>
  <c r="AM471" i="20"/>
  <c r="AM558" i="20"/>
  <c r="AM582" i="20"/>
  <c r="AM635" i="20"/>
  <c r="AM642" i="20"/>
  <c r="AM643" i="20"/>
  <c r="AM645" i="20"/>
  <c r="AM648" i="20"/>
  <c r="AM652" i="20"/>
  <c r="AM654" i="20"/>
  <c r="AM695" i="20"/>
  <c r="AM700" i="20"/>
  <c r="AM715" i="20"/>
  <c r="AM738" i="20"/>
  <c r="AM802" i="20"/>
  <c r="AM778" i="20"/>
  <c r="AM820" i="20"/>
  <c r="AM831" i="20"/>
  <c r="AM866" i="20"/>
  <c r="AM870" i="20"/>
  <c r="AM872" i="20"/>
  <c r="AM896" i="20"/>
  <c r="AM897" i="20"/>
  <c r="AM921" i="20"/>
  <c r="AM922" i="20"/>
  <c r="AM946" i="20"/>
  <c r="AM970" i="20"/>
  <c r="AM985" i="20"/>
  <c r="AM1011" i="20"/>
  <c r="AM1015" i="20"/>
  <c r="AM1025" i="20"/>
  <c r="AM1029" i="20"/>
  <c r="AM1036" i="20"/>
  <c r="AM1043" i="20"/>
  <c r="AM154" i="20"/>
  <c r="AM288" i="20"/>
  <c r="AM289" i="20"/>
  <c r="AM290" i="20"/>
  <c r="AM291" i="20"/>
  <c r="AM306" i="20"/>
  <c r="AM319" i="20"/>
  <c r="AM350" i="20"/>
  <c r="AM373" i="20"/>
  <c r="AM387" i="20"/>
  <c r="AM418" i="20"/>
  <c r="AM432" i="20"/>
  <c r="AM478" i="20"/>
  <c r="AM476" i="20"/>
  <c r="AM479" i="20"/>
  <c r="AM516" i="20"/>
  <c r="AM527" i="20"/>
  <c r="AM641" i="20"/>
  <c r="AM756" i="20"/>
  <c r="AM757" i="20"/>
  <c r="AM751" i="20"/>
  <c r="AM763" i="20"/>
  <c r="AM812" i="20"/>
  <c r="AM806" i="20"/>
  <c r="AM813" i="20"/>
  <c r="AM830" i="20"/>
  <c r="AM836" i="20"/>
  <c r="AM847" i="20"/>
  <c r="AM867" i="20"/>
  <c r="AM888" i="20"/>
  <c r="AM903" i="20"/>
  <c r="AM1026" i="20"/>
  <c r="AM1027" i="20"/>
  <c r="AM1033" i="20"/>
  <c r="AM1031" i="20"/>
  <c r="AM511" i="20"/>
  <c r="AM804" i="20"/>
  <c r="AM805" i="20"/>
  <c r="AM1042" i="20"/>
  <c r="AM140" i="20"/>
  <c r="AM177" i="20"/>
  <c r="AM195" i="20"/>
  <c r="AM273" i="20"/>
  <c r="AM282" i="20"/>
  <c r="AM292" i="20"/>
  <c r="AM294" i="20"/>
  <c r="AM295" i="20"/>
  <c r="AM296" i="20"/>
  <c r="AM297" i="20"/>
  <c r="AM298" i="20"/>
  <c r="AM300" i="20"/>
  <c r="AM311" i="20"/>
  <c r="AM316" i="20"/>
  <c r="AM345" i="20"/>
  <c r="AM390" i="20"/>
  <c r="AM414" i="20"/>
  <c r="AM431" i="20"/>
  <c r="AM437" i="20"/>
  <c r="AM439" i="20"/>
  <c r="AM442" i="20"/>
  <c r="AM462" i="20"/>
  <c r="AM482" i="20"/>
  <c r="AM498" i="20"/>
  <c r="AM499" i="20"/>
  <c r="AM539" i="20"/>
  <c r="AM540" i="20"/>
  <c r="AM542" i="20"/>
  <c r="AM544" i="20"/>
  <c r="AM546" i="20"/>
  <c r="AM549" i="20"/>
  <c r="AM553" i="20"/>
  <c r="AM575" i="20"/>
  <c r="AM570" i="20"/>
  <c r="AM568" i="20"/>
  <c r="AM579" i="20"/>
  <c r="AM580" i="20"/>
  <c r="AM594" i="20"/>
  <c r="AM590" i="20"/>
  <c r="AM588" i="20"/>
  <c r="AM610" i="20"/>
  <c r="AM605" i="20"/>
  <c r="AM600" i="20"/>
  <c r="AM599" i="20"/>
  <c r="AM604" i="20"/>
  <c r="AM603" i="20"/>
  <c r="AM612" i="20"/>
  <c r="AM617" i="20"/>
  <c r="AM613" i="20"/>
  <c r="AM615" i="20"/>
  <c r="AM616" i="20"/>
  <c r="AM623" i="20"/>
  <c r="AM619" i="20"/>
  <c r="AM634" i="20"/>
  <c r="AM663" i="20"/>
  <c r="AM667" i="20"/>
  <c r="AM673" i="20"/>
  <c r="AM686" i="20"/>
  <c r="AM734" i="20"/>
  <c r="AM743" i="20"/>
  <c r="AM749" i="20"/>
  <c r="AM793" i="20"/>
  <c r="AM783" i="20"/>
  <c r="AM784" i="20"/>
  <c r="AM822" i="20"/>
  <c r="AM841" i="20"/>
  <c r="AM868" i="20"/>
  <c r="AM971" i="20"/>
  <c r="AM1002" i="20"/>
  <c r="AM1001" i="20"/>
  <c r="AM1010" i="20"/>
  <c r="AM1016" i="20"/>
  <c r="AM1017" i="20"/>
  <c r="AM1041" i="20"/>
  <c r="AM435" i="20"/>
  <c r="AM445" i="20"/>
  <c r="AM455" i="20"/>
  <c r="AM406" i="20"/>
  <c r="AM828" i="20"/>
  <c r="AM461" i="20"/>
  <c r="AM1018" i="20"/>
  <c r="AM1012" i="20"/>
  <c r="AM800" i="20"/>
  <c r="AM811" i="20"/>
  <c r="AM163" i="20"/>
  <c r="AM817" i="20"/>
  <c r="AM996" i="20"/>
  <c r="AM909" i="20"/>
  <c r="AM84" i="20"/>
  <c r="AO283" i="20"/>
  <c r="AO449" i="20"/>
  <c r="AO490" i="20"/>
  <c r="AO286" i="20"/>
  <c r="AO919" i="20"/>
  <c r="AP919" i="20" s="1"/>
  <c r="AO936" i="20"/>
  <c r="AP936" i="20" s="1"/>
  <c r="AO941" i="20"/>
  <c r="AO974" i="20"/>
  <c r="AP974" i="20" s="1"/>
  <c r="AO976" i="20"/>
  <c r="AO992" i="20"/>
  <c r="AP992" i="20" s="1"/>
  <c r="AO998" i="20"/>
  <c r="AR998" i="20" s="1"/>
  <c r="AO999" i="20"/>
  <c r="AO1003" i="20"/>
  <c r="AR1003" i="20" s="1"/>
  <c r="AO1039" i="20"/>
  <c r="AO1050" i="20"/>
  <c r="AO369" i="20"/>
  <c r="AO325" i="20"/>
  <c r="AR325" i="20" s="1"/>
  <c r="AO329" i="20"/>
  <c r="AO491" i="20"/>
  <c r="AR491" i="20" s="1"/>
  <c r="AO630" i="20"/>
  <c r="AO347" i="20"/>
  <c r="AP347" i="20" s="1"/>
  <c r="AO528" i="20"/>
  <c r="AP528" i="20" s="1"/>
  <c r="AO529" i="20"/>
  <c r="AO530" i="20"/>
  <c r="AO426" i="20"/>
  <c r="AP426" i="20" s="1"/>
  <c r="AO456" i="20"/>
  <c r="AP456" i="20" s="1"/>
  <c r="AO464" i="20"/>
  <c r="AR464" i="20" s="1"/>
  <c r="AO535" i="20"/>
  <c r="AO537" i="20"/>
  <c r="AO730" i="20"/>
  <c r="AO401" i="20"/>
  <c r="AO183" i="20"/>
  <c r="AP183" i="20" s="1"/>
  <c r="AO167" i="20"/>
  <c r="AO679" i="20"/>
  <c r="AP679" i="20" s="1"/>
  <c r="AO525" i="20"/>
  <c r="AO665" i="20"/>
  <c r="AP665" i="20" s="1"/>
  <c r="AO569" i="20"/>
  <c r="AP569" i="20" s="1"/>
  <c r="AO606" i="20"/>
  <c r="AP606" i="20" s="1"/>
  <c r="AO607" i="20"/>
  <c r="AR607" i="20" s="1"/>
  <c r="AO668" i="20"/>
  <c r="AP668" i="20" s="1"/>
  <c r="AO307" i="20"/>
  <c r="AR307" i="20" s="1"/>
  <c r="AO427" i="20"/>
  <c r="AP427" i="20" s="1"/>
  <c r="AO428" i="20"/>
  <c r="AP428" i="20" s="1"/>
  <c r="AO429" i="20"/>
  <c r="AP429" i="20" s="1"/>
  <c r="AO509" i="20"/>
  <c r="AO519" i="20"/>
  <c r="AO560" i="20"/>
  <c r="AR560" i="20" s="1"/>
  <c r="AO586" i="20"/>
  <c r="AO636" i="20"/>
  <c r="AP636" i="20" s="1"/>
  <c r="AO435" i="20"/>
  <c r="AP435" i="20" s="1"/>
  <c r="AO436" i="20"/>
  <c r="AP436" i="20" s="1"/>
  <c r="AO901" i="20"/>
  <c r="AO441" i="20"/>
  <c r="AP441" i="20" s="1"/>
  <c r="AO521" i="20"/>
  <c r="AR521" i="20" s="1"/>
  <c r="AO443" i="20"/>
  <c r="AO444" i="20"/>
  <c r="AP444" i="20" s="1"/>
  <c r="AO445" i="20"/>
  <c r="AP445" i="20" s="1"/>
  <c r="AO683" i="20"/>
  <c r="AP683" i="20" s="1"/>
  <c r="AO892" i="20"/>
  <c r="AO1014" i="20"/>
  <c r="AO1024" i="20"/>
  <c r="AO264" i="20"/>
  <c r="AP264" i="20" s="1"/>
  <c r="AO265" i="20"/>
  <c r="AP265" i="20" s="1"/>
  <c r="AO672" i="20"/>
  <c r="AP672" i="20" s="1"/>
  <c r="AO266" i="20"/>
  <c r="AP266" i="20" s="1"/>
  <c r="AO267" i="20"/>
  <c r="AO500" i="20"/>
  <c r="AR500" i="20" s="1"/>
  <c r="AO179" i="20"/>
  <c r="AO156" i="20"/>
  <c r="AO166" i="20"/>
  <c r="AR166" i="20" s="1"/>
  <c r="AO172" i="20"/>
  <c r="AO157" i="20"/>
  <c r="AP157" i="20" s="1"/>
  <c r="AO155" i="20"/>
  <c r="AO178" i="20"/>
  <c r="AP178" i="20" s="1"/>
  <c r="AO186" i="20"/>
  <c r="AO187" i="20"/>
  <c r="AO190" i="20"/>
  <c r="AO165" i="20"/>
  <c r="AO181" i="20"/>
  <c r="AP181" i="20" s="1"/>
  <c r="AO762" i="20"/>
  <c r="AO764" i="20"/>
  <c r="AO777" i="20"/>
  <c r="AP777" i="20" s="1"/>
  <c r="AO574" i="20"/>
  <c r="AO438" i="20"/>
  <c r="AO447" i="20"/>
  <c r="AO780" i="20"/>
  <c r="AP780" i="20" s="1"/>
  <c r="AO463" i="20"/>
  <c r="AO782" i="20"/>
  <c r="AO475" i="20"/>
  <c r="AO483" i="20"/>
  <c r="AP483" i="20" s="1"/>
  <c r="AO487" i="20"/>
  <c r="AO554" i="20"/>
  <c r="AO1022" i="20"/>
  <c r="AP1022" i="20" s="1"/>
  <c r="AO563" i="20"/>
  <c r="AO564" i="20"/>
  <c r="AO572" i="20"/>
  <c r="AO577" i="20"/>
  <c r="AO578" i="20"/>
  <c r="AP578" i="20" s="1"/>
  <c r="AO566" i="20"/>
  <c r="AO602" i="20"/>
  <c r="AO598" i="20"/>
  <c r="AO618" i="20"/>
  <c r="AO614" i="20"/>
  <c r="AR614" i="20" s="1"/>
  <c r="AO622" i="20"/>
  <c r="AR622" i="20" s="1"/>
  <c r="AO20" i="20"/>
  <c r="AP20" i="20" s="1"/>
  <c r="AO77" i="20"/>
  <c r="AP77" i="20" s="1"/>
  <c r="AO130" i="20"/>
  <c r="AP130" i="20" s="1"/>
  <c r="AO11" i="20"/>
  <c r="AP11" i="20" s="1"/>
  <c r="AO318" i="20"/>
  <c r="AP318" i="20" s="1"/>
  <c r="AO21" i="20"/>
  <c r="AP21" i="20" s="1"/>
  <c r="AO78" i="20"/>
  <c r="AO85" i="20"/>
  <c r="AP85" i="20" s="1"/>
  <c r="AO131" i="20"/>
  <c r="AO52" i="20"/>
  <c r="AP52" i="20" s="1"/>
  <c r="AO609" i="20"/>
  <c r="AP609" i="20" s="1"/>
  <c r="AO12" i="20"/>
  <c r="AO58" i="20"/>
  <c r="AP58" i="20" s="1"/>
  <c r="AO644" i="20"/>
  <c r="AP644" i="20" s="1"/>
  <c r="AO990" i="20"/>
  <c r="AP990" i="20" s="1"/>
  <c r="AO986" i="20"/>
  <c r="AO988" i="20"/>
  <c r="AO989" i="20"/>
  <c r="AP989" i="20" s="1"/>
  <c r="AO305" i="20"/>
  <c r="AO733" i="20"/>
  <c r="AO121" i="20"/>
  <c r="AP121" i="20" s="1"/>
  <c r="AO485" i="20"/>
  <c r="AO526" i="20"/>
  <c r="AO122" i="20"/>
  <c r="AP122" i="20" s="1"/>
  <c r="AO552" i="20"/>
  <c r="AP552" i="20" s="1"/>
  <c r="AO735" i="20"/>
  <c r="AP735" i="20" s="1"/>
  <c r="AO587" i="20"/>
  <c r="AO625" i="20"/>
  <c r="AO640" i="20"/>
  <c r="AR640" i="20" s="1"/>
  <c r="AO650" i="20"/>
  <c r="AP650" i="20" s="1"/>
  <c r="AO676" i="20"/>
  <c r="AP676" i="20" s="1"/>
  <c r="AO153" i="20"/>
  <c r="AO312" i="20"/>
  <c r="AR312" i="20" s="1"/>
  <c r="AO174" i="20"/>
  <c r="AP174" i="20" s="1"/>
  <c r="AO388" i="20"/>
  <c r="AR388" i="20" s="1"/>
  <c r="AO433" i="20"/>
  <c r="AO624" i="20"/>
  <c r="AR624" i="20" s="1"/>
  <c r="AO176" i="20"/>
  <c r="AP176" i="20" s="1"/>
  <c r="AO647" i="20"/>
  <c r="AO655" i="20"/>
  <c r="AR655" i="20" s="1"/>
  <c r="AO660" i="20"/>
  <c r="AP660" i="20" s="1"/>
  <c r="AO991" i="20"/>
  <c r="AR991" i="20" s="1"/>
  <c r="AO180" i="20"/>
  <c r="AR180" i="20" s="1"/>
  <c r="AO191" i="20"/>
  <c r="AO175" i="20"/>
  <c r="AR175" i="20" s="1"/>
  <c r="AO199" i="20"/>
  <c r="AP199" i="20" s="1"/>
  <c r="AO1045" i="20"/>
  <c r="AO875" i="20"/>
  <c r="AP875" i="20" s="1"/>
  <c r="AO395" i="20"/>
  <c r="AP395" i="20" s="1"/>
  <c r="AO1046" i="20"/>
  <c r="AP1046" i="20" s="1"/>
  <c r="AO1047" i="20"/>
  <c r="AO725" i="20"/>
  <c r="AO884" i="20"/>
  <c r="AO396" i="20"/>
  <c r="AP396" i="20" s="1"/>
  <c r="AO726" i="20"/>
  <c r="AP726" i="20" s="1"/>
  <c r="AO397" i="20"/>
  <c r="AO885" i="20"/>
  <c r="AO556" i="20"/>
  <c r="AO559" i="20"/>
  <c r="AO576" i="20"/>
  <c r="AO886" i="20"/>
  <c r="AP886" i="20" s="1"/>
  <c r="AO608" i="20"/>
  <c r="AP608" i="20" s="1"/>
  <c r="AO611" i="20"/>
  <c r="AO1048" i="20"/>
  <c r="AO571" i="20"/>
  <c r="AO1055" i="20"/>
  <c r="AP1055" i="20" s="1"/>
  <c r="AO184" i="20"/>
  <c r="AO646" i="20"/>
  <c r="AO662" i="20"/>
  <c r="AO693" i="20"/>
  <c r="AO694" i="20"/>
  <c r="AO781" i="20"/>
  <c r="AO935" i="20"/>
  <c r="AR935" i="20" s="1"/>
  <c r="AO1006" i="20"/>
  <c r="AP1006" i="20" s="1"/>
  <c r="AO628" i="20"/>
  <c r="AP628" i="20" s="1"/>
  <c r="AO748" i="20"/>
  <c r="AO285" i="20"/>
  <c r="AO450" i="20"/>
  <c r="AP450" i="20" s="1"/>
  <c r="AO451" i="20"/>
  <c r="AO452" i="20"/>
  <c r="AO246" i="20"/>
  <c r="AO477" i="20"/>
  <c r="AO581" i="20"/>
  <c r="AO454" i="20"/>
  <c r="AP454" i="20" s="1"/>
  <c r="AO455" i="20"/>
  <c r="AO250" i="20"/>
  <c r="AP250" i="20" s="1"/>
  <c r="AO840" i="20"/>
  <c r="AO895" i="20"/>
  <c r="AO1032" i="20"/>
  <c r="AO194" i="20"/>
  <c r="AP194" i="20" s="1"/>
  <c r="AO402" i="20"/>
  <c r="AP402" i="20" s="1"/>
  <c r="AO313" i="20"/>
  <c r="AO320" i="20"/>
  <c r="AO947" i="20"/>
  <c r="AP947" i="20" s="1"/>
  <c r="AO523" i="20"/>
  <c r="AP523" i="20" s="1"/>
  <c r="AO262" i="20"/>
  <c r="AO198" i="20"/>
  <c r="AP198" i="20" s="1"/>
  <c r="AO524" i="20"/>
  <c r="AO403" i="20"/>
  <c r="AP403" i="20" s="1"/>
  <c r="AO404" i="20"/>
  <c r="AO949" i="20"/>
  <c r="AP949" i="20" s="1"/>
  <c r="AO965" i="20"/>
  <c r="AP965" i="20" s="1"/>
  <c r="AO493" i="20"/>
  <c r="AO966" i="20"/>
  <c r="AO501" i="20"/>
  <c r="AO589" i="20"/>
  <c r="AP589" i="20" s="1"/>
  <c r="AO406" i="20"/>
  <c r="AP406" i="20" s="1"/>
  <c r="AO495" i="20"/>
  <c r="AP495" i="20" s="1"/>
  <c r="AO407" i="20"/>
  <c r="AP407" i="20" s="1"/>
  <c r="AO671" i="20"/>
  <c r="AP671" i="20" s="1"/>
  <c r="AO677" i="20"/>
  <c r="AP677" i="20" s="1"/>
  <c r="AO732" i="20"/>
  <c r="AO736" i="20"/>
  <c r="AP736" i="20" s="1"/>
  <c r="AO834" i="20"/>
  <c r="AO196" i="20"/>
  <c r="AP196" i="20" s="1"/>
  <c r="AO268" i="20"/>
  <c r="AO271" i="20"/>
  <c r="AR271" i="20" s="1"/>
  <c r="AO274" i="20"/>
  <c r="AO281" i="20"/>
  <c r="AP281" i="20" s="1"/>
  <c r="AO1037" i="20"/>
  <c r="AO972" i="20"/>
  <c r="AP972" i="20" s="1"/>
  <c r="AO393" i="20"/>
  <c r="AR393" i="20" s="1"/>
  <c r="AO741" i="20"/>
  <c r="AO690" i="20"/>
  <c r="AO385" i="20"/>
  <c r="AP385" i="20" s="1"/>
  <c r="AO742" i="20"/>
  <c r="AO424" i="20"/>
  <c r="AO691" i="20"/>
  <c r="AP691" i="20" s="1"/>
  <c r="AO386" i="20"/>
  <c r="AP386" i="20" s="1"/>
  <c r="AO692" i="20"/>
  <c r="AP692" i="20" s="1"/>
  <c r="AO744" i="20"/>
  <c r="AO457" i="20"/>
  <c r="AO468" i="20"/>
  <c r="AO480" i="20"/>
  <c r="AP480" i="20" s="1"/>
  <c r="AO486" i="20"/>
  <c r="AO533" i="20"/>
  <c r="AO538" i="20"/>
  <c r="AR538" i="20" s="1"/>
  <c r="AO548" i="20"/>
  <c r="AO551" i="20"/>
  <c r="AO389" i="20"/>
  <c r="AO627" i="20"/>
  <c r="AP627" i="20" s="1"/>
  <c r="AO1038" i="20"/>
  <c r="AP1038" i="20" s="1"/>
  <c r="AO975" i="20"/>
  <c r="AO666" i="20"/>
  <c r="AO689" i="20"/>
  <c r="AP689" i="20" s="1"/>
  <c r="AO699" i="20"/>
  <c r="AR699" i="20" s="1"/>
  <c r="AO729" i="20"/>
  <c r="AO747" i="20"/>
  <c r="AO746" i="20"/>
  <c r="AP746" i="20" s="1"/>
  <c r="AO779" i="20"/>
  <c r="AO797" i="20"/>
  <c r="AR797" i="20" s="1"/>
  <c r="AO798" i="20"/>
  <c r="AO838" i="20"/>
  <c r="AP838" i="20" s="1"/>
  <c r="AO848" i="20"/>
  <c r="AR848" i="20" s="1"/>
  <c r="AO912" i="20"/>
  <c r="AO934" i="20"/>
  <c r="AO973" i="20"/>
  <c r="AP973" i="20" s="1"/>
  <c r="AO1052" i="20"/>
  <c r="AO674" i="20"/>
  <c r="AP674" i="20" s="1"/>
  <c r="AO675" i="20"/>
  <c r="AP675" i="20" s="1"/>
  <c r="AO669" i="20"/>
  <c r="AP669" i="20" s="1"/>
  <c r="AO670" i="20"/>
  <c r="AP670" i="20" s="1"/>
  <c r="AO737" i="20"/>
  <c r="AO275" i="20"/>
  <c r="AO309" i="20"/>
  <c r="AP309" i="20" s="1"/>
  <c r="AO823" i="20"/>
  <c r="AP823" i="20" s="1"/>
  <c r="AO370" i="20"/>
  <c r="AO302" i="20"/>
  <c r="AO824" i="20"/>
  <c r="AP824" i="20" s="1"/>
  <c r="AO825" i="20"/>
  <c r="AP825" i="20" s="1"/>
  <c r="AO502" i="20"/>
  <c r="AP502" i="20" s="1"/>
  <c r="AO503" i="20"/>
  <c r="AO303" i="20"/>
  <c r="AP303" i="20" s="1"/>
  <c r="AO504" i="20"/>
  <c r="AP504" i="20" s="1"/>
  <c r="AO505" i="20"/>
  <c r="AP505" i="20" s="1"/>
  <c r="AO506" i="20"/>
  <c r="AP506" i="20" s="1"/>
  <c r="AO507" i="20"/>
  <c r="AP507" i="20" s="1"/>
  <c r="AO531" i="20"/>
  <c r="AO304" i="20"/>
  <c r="AO508" i="20"/>
  <c r="AO591" i="20"/>
  <c r="AP591" i="20" s="1"/>
  <c r="AO626" i="20"/>
  <c r="AP626" i="20" s="1"/>
  <c r="AO827" i="20"/>
  <c r="AP827" i="20" s="1"/>
  <c r="AO828" i="20"/>
  <c r="AO829" i="20"/>
  <c r="AP829" i="20" s="1"/>
  <c r="AO664" i="20"/>
  <c r="AO790" i="20"/>
  <c r="AR790" i="20" s="1"/>
  <c r="AO821" i="20"/>
  <c r="AO843" i="20"/>
  <c r="AO904" i="20"/>
  <c r="AO910" i="20"/>
  <c r="AO979" i="20"/>
  <c r="AO983" i="20"/>
  <c r="AP983" i="20" s="1"/>
  <c r="AO898" i="20"/>
  <c r="AP898" i="20" s="1"/>
  <c r="AO257" i="20"/>
  <c r="AO649" i="20"/>
  <c r="AO522" i="20"/>
  <c r="AP522" i="20" s="1"/>
  <c r="AO651" i="20"/>
  <c r="AO899" i="20"/>
  <c r="AP899" i="20" s="1"/>
  <c r="AO653" i="20"/>
  <c r="AO728" i="20"/>
  <c r="AP728" i="20" s="1"/>
  <c r="AO740" i="20"/>
  <c r="AR740" i="20" s="1"/>
  <c r="AO745" i="20"/>
  <c r="AP745" i="20" s="1"/>
  <c r="AO799" i="20"/>
  <c r="AR799" i="20" s="1"/>
  <c r="AO794" i="20"/>
  <c r="AO803" i="20"/>
  <c r="AO887" i="20"/>
  <c r="AO1062" i="20"/>
  <c r="AO1077" i="20"/>
  <c r="AP1077" i="20" s="1"/>
  <c r="AO141" i="20"/>
  <c r="AR141" i="20" s="1"/>
  <c r="AO458" i="20"/>
  <c r="AP458" i="20" s="1"/>
  <c r="AO210" i="20"/>
  <c r="AO169" i="20"/>
  <c r="AP169" i="20" s="1"/>
  <c r="AO459" i="20"/>
  <c r="AP459" i="20" s="1"/>
  <c r="AO460" i="20"/>
  <c r="AO211" i="20"/>
  <c r="AO212" i="20"/>
  <c r="AP212" i="20" s="1"/>
  <c r="AO170" i="20"/>
  <c r="AP170" i="20" s="1"/>
  <c r="AO171" i="20"/>
  <c r="AP171" i="20" s="1"/>
  <c r="AO213" i="20"/>
  <c r="AO470" i="20"/>
  <c r="AR470" i="20" s="1"/>
  <c r="AO474" i="20"/>
  <c r="AO492" i="20"/>
  <c r="AO496" i="20"/>
  <c r="AR496" i="20" s="1"/>
  <c r="AO631" i="20"/>
  <c r="AP631" i="20" s="1"/>
  <c r="AO633" i="20"/>
  <c r="AO461" i="20"/>
  <c r="AP461" i="20" s="1"/>
  <c r="AO216" i="20"/>
  <c r="AP216" i="20" s="1"/>
  <c r="AO819" i="20"/>
  <c r="AP819" i="20" s="1"/>
  <c r="AO1000" i="20"/>
  <c r="AO1020" i="20"/>
  <c r="AR1020" i="20" s="1"/>
  <c r="AO149" i="20"/>
  <c r="AO279" i="20"/>
  <c r="AO1007" i="20"/>
  <c r="AP1007" i="20" s="1"/>
  <c r="AO315" i="20"/>
  <c r="AP315" i="20" s="1"/>
  <c r="AO317" i="20"/>
  <c r="AO332" i="20"/>
  <c r="AP332" i="20" s="1"/>
  <c r="AO372" i="20"/>
  <c r="AP372" i="20" s="1"/>
  <c r="AO1058" i="20"/>
  <c r="AO785" i="20"/>
  <c r="AO786" i="20"/>
  <c r="AP786" i="20" s="1"/>
  <c r="AO88" i="20"/>
  <c r="AP88" i="20" s="1"/>
  <c r="AO89" i="20"/>
  <c r="AO408" i="20"/>
  <c r="AO1008" i="20"/>
  <c r="AP1008" i="20" s="1"/>
  <c r="AO512" i="20"/>
  <c r="AP512" i="20" s="1"/>
  <c r="AO90" i="20"/>
  <c r="AO787" i="20"/>
  <c r="AP787" i="20" s="1"/>
  <c r="AO1009" i="20"/>
  <c r="AP1009" i="20" s="1"/>
  <c r="AO26" i="20"/>
  <c r="AP26" i="20" s="1"/>
  <c r="AO27" i="20"/>
  <c r="AP27" i="20" s="1"/>
  <c r="AO420" i="20"/>
  <c r="AO656" i="20"/>
  <c r="AP656" i="20" s="1"/>
  <c r="AO348" i="20"/>
  <c r="AP348" i="20" s="1"/>
  <c r="AO1059" i="20"/>
  <c r="AO91" i="20"/>
  <c r="AP91" i="20" s="1"/>
  <c r="AO513" i="20"/>
  <c r="AP513" i="20" s="1"/>
  <c r="AO514" i="20"/>
  <c r="AO788" i="20"/>
  <c r="AP788" i="20" s="1"/>
  <c r="AO1060" i="20"/>
  <c r="AO515" i="20"/>
  <c r="AP515" i="20" s="1"/>
  <c r="AO92" i="20"/>
  <c r="AP92" i="20" s="1"/>
  <c r="AO349" i="20"/>
  <c r="AP349" i="20" s="1"/>
  <c r="AO446" i="20"/>
  <c r="AP446" i="20" s="1"/>
  <c r="AO517" i="20"/>
  <c r="AO29" i="20"/>
  <c r="AP29" i="20" s="1"/>
  <c r="AO473" i="20"/>
  <c r="AO534" i="20"/>
  <c r="AR534" i="20" s="1"/>
  <c r="AO550" i="20"/>
  <c r="AO93" i="20"/>
  <c r="AP93" i="20" s="1"/>
  <c r="AO789" i="20"/>
  <c r="AP789" i="20" s="1"/>
  <c r="AO562" i="20"/>
  <c r="AO518" i="20"/>
  <c r="AP518" i="20" s="1"/>
  <c r="AO1018" i="20"/>
  <c r="AP1018" i="20" s="1"/>
  <c r="AO1012" i="20"/>
  <c r="AO659" i="20"/>
  <c r="AP659" i="20" s="1"/>
  <c r="AO367" i="20"/>
  <c r="AP367" i="20" s="1"/>
  <c r="AO1013" i="20"/>
  <c r="AO684" i="20"/>
  <c r="AP684" i="20" s="1"/>
  <c r="AO688" i="20"/>
  <c r="AP688" i="20" s="1"/>
  <c r="AO750" i="20"/>
  <c r="AO826" i="20"/>
  <c r="AO833" i="20"/>
  <c r="AO839" i="20"/>
  <c r="AP839" i="20" s="1"/>
  <c r="AO842" i="20"/>
  <c r="AO845" i="20"/>
  <c r="AP845" i="20" s="1"/>
  <c r="AO889" i="20"/>
  <c r="AP889" i="20" s="1"/>
  <c r="AO890" i="20"/>
  <c r="AO900" i="20"/>
  <c r="AP900" i="20" s="1"/>
  <c r="AO920" i="20"/>
  <c r="AO940" i="20"/>
  <c r="AO945" i="20"/>
  <c r="AO967" i="20"/>
  <c r="AO1019" i="20"/>
  <c r="AO1034" i="20"/>
  <c r="AP1034" i="20" s="1"/>
  <c r="AO545" i="20"/>
  <c r="AP545" i="20" s="1"/>
  <c r="AO555" i="20"/>
  <c r="AP555" i="20" s="1"/>
  <c r="AO308" i="20"/>
  <c r="AR308" i="20" s="1"/>
  <c r="AO620" i="20"/>
  <c r="AP620" i="20" s="1"/>
  <c r="AO520" i="20"/>
  <c r="AO701" i="20"/>
  <c r="AP701" i="20" s="1"/>
  <c r="AO97" i="20"/>
  <c r="AP97" i="20" s="1"/>
  <c r="AO394" i="20"/>
  <c r="AO398" i="20"/>
  <c r="AP398" i="20" s="1"/>
  <c r="AO277" i="20"/>
  <c r="AP277" i="20" s="1"/>
  <c r="AO99" i="20"/>
  <c r="AP99" i="20" s="1"/>
  <c r="AO100" i="20"/>
  <c r="AP100" i="20" s="1"/>
  <c r="AO712" i="20"/>
  <c r="AP712" i="20" s="1"/>
  <c r="AO278" i="20"/>
  <c r="AP278" i="20" s="1"/>
  <c r="AO423" i="20"/>
  <c r="AO101" i="20"/>
  <c r="AP101" i="20" s="1"/>
  <c r="AO102" i="20"/>
  <c r="AP102" i="20" s="1"/>
  <c r="AO421" i="20"/>
  <c r="AO280" i="20"/>
  <c r="AP280" i="20" s="1"/>
  <c r="AO466" i="20"/>
  <c r="AP466" i="20" s="1"/>
  <c r="AO465" i="20"/>
  <c r="AR465" i="20" s="1"/>
  <c r="AO638" i="20"/>
  <c r="AO713" i="20"/>
  <c r="AP713" i="20" s="1"/>
  <c r="AO621" i="20"/>
  <c r="AO547" i="20"/>
  <c r="AP547" i="20" s="1"/>
  <c r="AO557" i="20"/>
  <c r="AP557" i="20" s="1"/>
  <c r="AO105" i="20"/>
  <c r="AP105" i="20" s="1"/>
  <c r="AO685" i="20"/>
  <c r="AP685" i="20" s="1"/>
  <c r="AO697" i="20"/>
  <c r="AR697" i="20" s="1"/>
  <c r="AO698" i="20"/>
  <c r="AO718" i="20"/>
  <c r="AO727" i="20"/>
  <c r="AO791" i="20"/>
  <c r="AR791" i="20" s="1"/>
  <c r="AO792" i="20"/>
  <c r="AO864" i="20"/>
  <c r="AP864" i="20" s="1"/>
  <c r="AO865" i="20"/>
  <c r="AP865" i="20" s="1"/>
  <c r="AO902" i="20"/>
  <c r="AP902" i="20" s="1"/>
  <c r="AO930" i="20"/>
  <c r="AO932" i="20"/>
  <c r="AR932" i="20" s="1"/>
  <c r="AO933" i="20"/>
  <c r="AO978" i="20"/>
  <c r="AR978" i="20" s="1"/>
  <c r="AO1066" i="20"/>
  <c r="AO415" i="20"/>
  <c r="AO64" i="20"/>
  <c r="AO430" i="20"/>
  <c r="AP430" i="20" s="1"/>
  <c r="AO434" i="20"/>
  <c r="AO453" i="20"/>
  <c r="AP453" i="20" s="1"/>
  <c r="AO68" i="20"/>
  <c r="AP68" i="20" s="1"/>
  <c r="AO469" i="20"/>
  <c r="AO488" i="20"/>
  <c r="AP488" i="20" s="1"/>
  <c r="AO489" i="20"/>
  <c r="AP489" i="20" s="1"/>
  <c r="AO629" i="20"/>
  <c r="AP629" i="20" s="1"/>
  <c r="AO632" i="20"/>
  <c r="AR632" i="20" s="1"/>
  <c r="AO595" i="20"/>
  <c r="AP595" i="20" s="1"/>
  <c r="AO980" i="20"/>
  <c r="AP980" i="20" s="1"/>
  <c r="AO484" i="20"/>
  <c r="AO891" i="20"/>
  <c r="AP891" i="20" s="1"/>
  <c r="AO392" i="20"/>
  <c r="AR392" i="20" s="1"/>
  <c r="AO143" i="20"/>
  <c r="AO144" i="20"/>
  <c r="AO145" i="20"/>
  <c r="AP145" i="20" s="1"/>
  <c r="AO596" i="20"/>
  <c r="AP596" i="20" s="1"/>
  <c r="AO147" i="20"/>
  <c r="AP147" i="20" s="1"/>
  <c r="AO422" i="20"/>
  <c r="AP422" i="20" s="1"/>
  <c r="AO510" i="20"/>
  <c r="AP510" i="20" s="1"/>
  <c r="AO532" i="20"/>
  <c r="AO893" i="20"/>
  <c r="AO894" i="20"/>
  <c r="AP894" i="20" s="1"/>
  <c r="AO597" i="20"/>
  <c r="AP597" i="20" s="1"/>
  <c r="AO981" i="20"/>
  <c r="AP981" i="20" s="1"/>
  <c r="AO680" i="20"/>
  <c r="AO696" i="20"/>
  <c r="AO716" i="20"/>
  <c r="AP716" i="20" s="1"/>
  <c r="AO739" i="20"/>
  <c r="AO759" i="20"/>
  <c r="AO810" i="20"/>
  <c r="AO837" i="20"/>
  <c r="AO849" i="20"/>
  <c r="AP849" i="20" s="1"/>
  <c r="AO911" i="20"/>
  <c r="AP911" i="20" s="1"/>
  <c r="AO929" i="20"/>
  <c r="AP929" i="20" s="1"/>
  <c r="AO969" i="20"/>
  <c r="AP969" i="20" s="1"/>
  <c r="AO1021" i="20"/>
  <c r="AO1040" i="20"/>
  <c r="AO1064" i="20"/>
  <c r="AP1064" i="20" s="1"/>
  <c r="AO1071" i="20"/>
  <c r="AP1071" i="20" s="1"/>
  <c r="AO1076" i="20"/>
  <c r="AO152" i="20"/>
  <c r="AP152" i="20" s="1"/>
  <c r="AO276" i="20"/>
  <c r="AP276" i="20" s="1"/>
  <c r="AO913" i="20"/>
  <c r="AP913" i="20" s="1"/>
  <c r="AO923" i="20"/>
  <c r="AP923" i="20" s="1"/>
  <c r="AO220" i="20"/>
  <c r="AP220" i="20" s="1"/>
  <c r="AO235" i="20"/>
  <c r="AO984" i="20"/>
  <c r="AP984" i="20" s="1"/>
  <c r="AO795" i="20"/>
  <c r="AP795" i="20" s="1"/>
  <c r="AO497" i="20"/>
  <c r="AP497" i="20" s="1"/>
  <c r="AO931" i="20"/>
  <c r="AP931" i="20" s="1"/>
  <c r="AO753" i="20"/>
  <c r="AP753" i="20" s="1"/>
  <c r="AO405" i="20"/>
  <c r="AO796" i="20"/>
  <c r="AP796" i="20" s="1"/>
  <c r="AO416" i="20"/>
  <c r="AO417" i="20"/>
  <c r="AR417" i="20" s="1"/>
  <c r="AO419" i="20"/>
  <c r="AO844" i="20"/>
  <c r="AO425" i="20"/>
  <c r="AO914" i="20"/>
  <c r="AP914" i="20" s="1"/>
  <c r="AO915" i="20"/>
  <c r="AP915" i="20" s="1"/>
  <c r="AO924" i="20"/>
  <c r="AP924" i="20" s="1"/>
  <c r="AO925" i="20"/>
  <c r="AP925" i="20" s="1"/>
  <c r="AO754" i="20"/>
  <c r="AP754" i="20" s="1"/>
  <c r="AO755" i="20"/>
  <c r="AO846" i="20"/>
  <c r="AP846" i="20" s="1"/>
  <c r="AO440" i="20"/>
  <c r="AO448" i="20"/>
  <c r="AP448" i="20" s="1"/>
  <c r="AO471" i="20"/>
  <c r="AP471" i="20" s="1"/>
  <c r="AO558" i="20"/>
  <c r="AO236" i="20"/>
  <c r="AO582" i="20"/>
  <c r="AO237" i="20"/>
  <c r="AP237" i="20" s="1"/>
  <c r="AO221" i="20"/>
  <c r="AP221" i="20" s="1"/>
  <c r="AO635" i="20"/>
  <c r="AO222" i="20"/>
  <c r="AP222" i="20" s="1"/>
  <c r="AO800" i="20"/>
  <c r="AP800" i="20" s="1"/>
  <c r="AO918" i="20"/>
  <c r="AP918" i="20" s="1"/>
  <c r="AO928" i="20"/>
  <c r="AP928" i="20" s="1"/>
  <c r="AO863" i="20"/>
  <c r="AP863" i="20" s="1"/>
  <c r="AO801" i="20"/>
  <c r="AP801" i="20" s="1"/>
  <c r="AO642" i="20"/>
  <c r="AR642" i="20" s="1"/>
  <c r="AO643" i="20"/>
  <c r="AR643" i="20" s="1"/>
  <c r="AO645" i="20"/>
  <c r="AP645" i="20" s="1"/>
  <c r="AO648" i="20"/>
  <c r="AR648" i="20" s="1"/>
  <c r="AO652" i="20"/>
  <c r="AR652" i="20" s="1"/>
  <c r="AO654" i="20"/>
  <c r="AP654" i="20" s="1"/>
  <c r="AO695" i="20"/>
  <c r="AR695" i="20" s="1"/>
  <c r="AO700" i="20"/>
  <c r="AO715" i="20"/>
  <c r="AP715" i="20" s="1"/>
  <c r="AO738" i="20"/>
  <c r="AO802" i="20"/>
  <c r="AP802" i="20" s="1"/>
  <c r="AO778" i="20"/>
  <c r="AO820" i="20"/>
  <c r="AR820" i="20" s="1"/>
  <c r="AO831" i="20"/>
  <c r="AP831" i="20" s="1"/>
  <c r="AO866" i="20"/>
  <c r="AP866" i="20" s="1"/>
  <c r="AO870" i="20"/>
  <c r="AO872" i="20"/>
  <c r="AO896" i="20"/>
  <c r="AP896" i="20" s="1"/>
  <c r="AO897" i="20"/>
  <c r="AP897" i="20" s="1"/>
  <c r="AO921" i="20"/>
  <c r="AO922" i="20"/>
  <c r="AO946" i="20"/>
  <c r="AO970" i="20"/>
  <c r="AP970" i="20" s="1"/>
  <c r="AO985" i="20"/>
  <c r="AP985" i="20" s="1"/>
  <c r="AO1011" i="20"/>
  <c r="AP1011" i="20" s="1"/>
  <c r="AO1015" i="20"/>
  <c r="AO1025" i="20"/>
  <c r="AP1025" i="20" s="1"/>
  <c r="AO1029" i="20"/>
  <c r="AO1036" i="20"/>
  <c r="AR1036" i="20" s="1"/>
  <c r="AO1043" i="20"/>
  <c r="AP1043" i="20" s="1"/>
  <c r="AO1044" i="20"/>
  <c r="AO1056" i="20"/>
  <c r="AO1054" i="20"/>
  <c r="AR1054" i="20" s="1"/>
  <c r="AO1065" i="20"/>
  <c r="AR1065" i="20" s="1"/>
  <c r="AO1069" i="20"/>
  <c r="AP1069" i="20" s="1"/>
  <c r="AO1067" i="20"/>
  <c r="AO1075" i="20"/>
  <c r="AO154" i="20"/>
  <c r="AO288" i="20"/>
  <c r="AO289" i="20"/>
  <c r="AO290" i="20"/>
  <c r="AP290" i="20" s="1"/>
  <c r="AO291" i="20"/>
  <c r="AP291" i="20" s="1"/>
  <c r="AO585" i="20"/>
  <c r="AP585" i="20" s="1"/>
  <c r="AO135" i="20"/>
  <c r="AP135" i="20" s="1"/>
  <c r="AO138" i="20"/>
  <c r="AO132" i="20"/>
  <c r="AP132" i="20" s="1"/>
  <c r="AO968" i="20"/>
  <c r="AP968" i="20" s="1"/>
  <c r="AO306" i="20"/>
  <c r="AO158" i="20"/>
  <c r="AO807" i="20"/>
  <c r="AP807" i="20" s="1"/>
  <c r="AO293" i="20"/>
  <c r="AP293" i="20" s="1"/>
  <c r="AO814" i="20"/>
  <c r="AP814" i="20" s="1"/>
  <c r="AO319" i="20"/>
  <c r="AR319" i="20" s="1"/>
  <c r="AO714" i="20"/>
  <c r="AP714" i="20" s="1"/>
  <c r="AO350" i="20"/>
  <c r="AP350" i="20" s="1"/>
  <c r="AO373" i="20"/>
  <c r="AO387" i="20"/>
  <c r="AP387" i="20" s="1"/>
  <c r="AO410" i="20"/>
  <c r="AP410" i="20" s="1"/>
  <c r="AO411" i="20"/>
  <c r="AO159" i="20"/>
  <c r="AP159" i="20" s="1"/>
  <c r="AO815" i="20"/>
  <c r="AP815" i="20" s="1"/>
  <c r="AO808" i="20"/>
  <c r="AO418" i="20"/>
  <c r="AP418" i="20" s="1"/>
  <c r="AO809" i="20"/>
  <c r="AP809" i="20" s="1"/>
  <c r="AO160" i="20"/>
  <c r="AO816" i="20"/>
  <c r="AP816" i="20" s="1"/>
  <c r="AO322" i="20"/>
  <c r="AP322" i="20" s="1"/>
  <c r="AO323" i="20"/>
  <c r="AP323" i="20" s="1"/>
  <c r="AO592" i="20"/>
  <c r="AP592" i="20" s="1"/>
  <c r="AO1028" i="20"/>
  <c r="AP1028" i="20" s="1"/>
  <c r="AO270" i="20"/>
  <c r="AP270" i="20" s="1"/>
  <c r="AO412" i="20"/>
  <c r="AP412" i="20" s="1"/>
  <c r="AO202" i="20"/>
  <c r="AP202" i="20" s="1"/>
  <c r="AO432" i="20"/>
  <c r="AO413" i="20"/>
  <c r="AP413" i="20" s="1"/>
  <c r="AO478" i="20"/>
  <c r="AP478" i="20" s="1"/>
  <c r="AO476" i="20"/>
  <c r="AO479" i="20"/>
  <c r="AR479" i="20" s="1"/>
  <c r="AO516" i="20"/>
  <c r="AP516" i="20" s="1"/>
  <c r="AO527" i="20"/>
  <c r="AO161" i="20"/>
  <c r="AP161" i="20" s="1"/>
  <c r="AO162" i="20"/>
  <c r="AP162" i="20" s="1"/>
  <c r="AO811" i="20"/>
  <c r="AO163" i="20"/>
  <c r="AP163" i="20" s="1"/>
  <c r="AO817" i="20"/>
  <c r="AO593" i="20"/>
  <c r="AP593" i="20" s="1"/>
  <c r="AO326" i="20"/>
  <c r="AP326" i="20" s="1"/>
  <c r="AO164" i="20"/>
  <c r="AP164" i="20" s="1"/>
  <c r="AO818" i="20"/>
  <c r="AP818" i="20" s="1"/>
  <c r="AO641" i="20"/>
  <c r="AO204" i="20"/>
  <c r="AP204" i="20" s="1"/>
  <c r="AO1030" i="20"/>
  <c r="AP1030" i="20" s="1"/>
  <c r="AO272" i="20"/>
  <c r="AO756" i="20"/>
  <c r="AO757" i="20"/>
  <c r="AP757" i="20" s="1"/>
  <c r="AO751" i="20"/>
  <c r="AO763" i="20"/>
  <c r="AP763" i="20" s="1"/>
  <c r="AO812" i="20"/>
  <c r="AO806" i="20"/>
  <c r="AR806" i="20" s="1"/>
  <c r="AO813" i="20"/>
  <c r="AP813" i="20" s="1"/>
  <c r="AO830" i="20"/>
  <c r="AP830" i="20" s="1"/>
  <c r="AO836" i="20"/>
  <c r="AO847" i="20"/>
  <c r="AP847" i="20" s="1"/>
  <c r="AO867" i="20"/>
  <c r="AO888" i="20"/>
  <c r="AP888" i="20" s="1"/>
  <c r="AO903" i="20"/>
  <c r="AO1026" i="20"/>
  <c r="AP1026" i="20" s="1"/>
  <c r="AO1027" i="20"/>
  <c r="AO1033" i="20"/>
  <c r="AO1031" i="20"/>
  <c r="AO1053" i="20"/>
  <c r="AP1053" i="20" s="1"/>
  <c r="AO1070" i="20"/>
  <c r="AO1068" i="20"/>
  <c r="AP1068" i="20" s="1"/>
  <c r="AO1073" i="20"/>
  <c r="AP1073" i="20" s="1"/>
  <c r="AO1074" i="20"/>
  <c r="AP1074" i="20" s="1"/>
  <c r="AO1072" i="20"/>
  <c r="AO287" i="20"/>
  <c r="AO511" i="20"/>
  <c r="AO804" i="20"/>
  <c r="AP804" i="20" s="1"/>
  <c r="AO805" i="20"/>
  <c r="AR805" i="20" s="1"/>
  <c r="AO1042" i="20"/>
  <c r="AO1063" i="20"/>
  <c r="AO140" i="20"/>
  <c r="AR140" i="20" s="1"/>
  <c r="AO177" i="20"/>
  <c r="AO195" i="20"/>
  <c r="AO273" i="20"/>
  <c r="AO282" i="20"/>
  <c r="AO292" i="20"/>
  <c r="AO294" i="20"/>
  <c r="AO295" i="20"/>
  <c r="AO296" i="20"/>
  <c r="AR296" i="20" s="1"/>
  <c r="AO297" i="20"/>
  <c r="AO987" i="20"/>
  <c r="AP987" i="20" s="1"/>
  <c r="AO298" i="20"/>
  <c r="AO300" i="20"/>
  <c r="AP300" i="20" s="1"/>
  <c r="AO682" i="20"/>
  <c r="AO938" i="20"/>
  <c r="AO311" i="20"/>
  <c r="AO681" i="20"/>
  <c r="AP681" i="20" s="1"/>
  <c r="AO993" i="20"/>
  <c r="AP993" i="20" s="1"/>
  <c r="AO316" i="20"/>
  <c r="AO345" i="20"/>
  <c r="AO185" i="20"/>
  <c r="AP185" i="20" s="1"/>
  <c r="AO472" i="20"/>
  <c r="AP472" i="20" s="1"/>
  <c r="AO481" i="20"/>
  <c r="AP481" i="20" s="1"/>
  <c r="AO82" i="20"/>
  <c r="AP82" i="20" s="1"/>
  <c r="AO943" i="20"/>
  <c r="AO760" i="20"/>
  <c r="AP760" i="20" s="1"/>
  <c r="AO873" i="20"/>
  <c r="AP873" i="20" s="1"/>
  <c r="AO390" i="20"/>
  <c r="AO906" i="20"/>
  <c r="AP906" i="20" s="1"/>
  <c r="AO1005" i="20"/>
  <c r="AP1005" i="20" s="1"/>
  <c r="AO218" i="20"/>
  <c r="AO761" i="20"/>
  <c r="AO217" i="20"/>
  <c r="AP217" i="20" s="1"/>
  <c r="AO994" i="20"/>
  <c r="AP994" i="20" s="1"/>
  <c r="AO414" i="20"/>
  <c r="AO907" i="20"/>
  <c r="AO995" i="20"/>
  <c r="AP995" i="20" s="1"/>
  <c r="AO908" i="20"/>
  <c r="AP908" i="20" s="1"/>
  <c r="AO330" i="20"/>
  <c r="AO637" i="20"/>
  <c r="AO431" i="20"/>
  <c r="AR431" i="20" s="1"/>
  <c r="AO284" i="20"/>
  <c r="AP284" i="20" s="1"/>
  <c r="AO74" i="20"/>
  <c r="AO73" i="20"/>
  <c r="AO437" i="20"/>
  <c r="AO439" i="20"/>
  <c r="AP439" i="20" s="1"/>
  <c r="AO442" i="20"/>
  <c r="AO331" i="20"/>
  <c r="AP331" i="20" s="1"/>
  <c r="AO462" i="20"/>
  <c r="AR462" i="20" s="1"/>
  <c r="AO482" i="20"/>
  <c r="AO498" i="20"/>
  <c r="AO499" i="20"/>
  <c r="AP499" i="20" s="1"/>
  <c r="AO539" i="20"/>
  <c r="AO540" i="20"/>
  <c r="AO542" i="20"/>
  <c r="AP542" i="20" s="1"/>
  <c r="AO544" i="20"/>
  <c r="AO546" i="20"/>
  <c r="AO549" i="20"/>
  <c r="AO553" i="20"/>
  <c r="AO944" i="20"/>
  <c r="AO575" i="20"/>
  <c r="AP575" i="20" s="1"/>
  <c r="AO570" i="20"/>
  <c r="AO568" i="20"/>
  <c r="AO579" i="20"/>
  <c r="AO580" i="20"/>
  <c r="AP580" i="20" s="1"/>
  <c r="AO344" i="20"/>
  <c r="AP344" i="20" s="1"/>
  <c r="AO594" i="20"/>
  <c r="AP594" i="20" s="1"/>
  <c r="AO590" i="20"/>
  <c r="AO588" i="20"/>
  <c r="AP588" i="20" s="1"/>
  <c r="AO610" i="20"/>
  <c r="AR610" i="20" s="1"/>
  <c r="AO605" i="20"/>
  <c r="AR605" i="20" s="1"/>
  <c r="AO600" i="20"/>
  <c r="AO599" i="20"/>
  <c r="AR599" i="20" s="1"/>
  <c r="AO604" i="20"/>
  <c r="AO603" i="20"/>
  <c r="AO612" i="20"/>
  <c r="AO617" i="20"/>
  <c r="AP617" i="20" s="1"/>
  <c r="AO613" i="20"/>
  <c r="AR613" i="20" s="1"/>
  <c r="AO615" i="20"/>
  <c r="AO616" i="20"/>
  <c r="AR616" i="20" s="1"/>
  <c r="AO623" i="20"/>
  <c r="AP623" i="20" s="1"/>
  <c r="AO619" i="20"/>
  <c r="AO634" i="20"/>
  <c r="AO939" i="20"/>
  <c r="AO996" i="20"/>
  <c r="AP996" i="20" s="1"/>
  <c r="AO909" i="20"/>
  <c r="AP909" i="20" s="1"/>
  <c r="AO84" i="20"/>
  <c r="AO997" i="20"/>
  <c r="AO687" i="20"/>
  <c r="AP687" i="20" s="1"/>
  <c r="AO565" i="20"/>
  <c r="AO72" i="20"/>
  <c r="AP72" i="20" s="1"/>
  <c r="AO543" i="20"/>
  <c r="AP543" i="20" s="1"/>
  <c r="AO541" i="20"/>
  <c r="AP541" i="20" s="1"/>
  <c r="AO561" i="20"/>
  <c r="AO1035" i="20"/>
  <c r="AO573" i="20"/>
  <c r="AO663" i="20"/>
  <c r="AP663" i="20" s="1"/>
  <c r="AO667" i="20"/>
  <c r="AO673" i="20"/>
  <c r="AO686" i="20"/>
  <c r="AO734" i="20"/>
  <c r="AR734" i="20" s="1"/>
  <c r="AO743" i="20"/>
  <c r="AO749" i="20"/>
  <c r="AO793" i="20"/>
  <c r="AO783" i="20"/>
  <c r="AP783" i="20" s="1"/>
  <c r="AO784" i="20"/>
  <c r="AO822" i="20"/>
  <c r="AO841" i="20"/>
  <c r="AP841" i="20" s="1"/>
  <c r="AO868" i="20"/>
  <c r="AO971" i="20"/>
  <c r="AR971" i="20" s="1"/>
  <c r="AO1002" i="20"/>
  <c r="AO1001" i="20"/>
  <c r="AO1010" i="20"/>
  <c r="AO1016" i="20"/>
  <c r="AO1017" i="20"/>
  <c r="AO1041" i="20"/>
  <c r="AO1061" i="20"/>
  <c r="AR1061" i="20" s="1"/>
  <c r="I1" i="20"/>
  <c r="AQ524" i="20"/>
  <c r="AQ675" i="20"/>
  <c r="AQ669" i="20"/>
  <c r="AQ761" i="20"/>
  <c r="AQ528" i="20"/>
  <c r="AQ427" i="20"/>
  <c r="AQ441" i="20"/>
  <c r="AQ762" i="20"/>
  <c r="AQ733" i="20"/>
  <c r="AQ121" i="20"/>
  <c r="AQ174" i="20"/>
  <c r="AQ1045" i="20"/>
  <c r="AQ875" i="20"/>
  <c r="AQ450" i="20"/>
  <c r="AQ402" i="20"/>
  <c r="AQ947" i="20"/>
  <c r="AQ523" i="20"/>
  <c r="AQ262" i="20"/>
  <c r="AQ1037" i="20"/>
  <c r="AQ972" i="20"/>
  <c r="AQ674" i="20"/>
  <c r="AQ823" i="20"/>
  <c r="AQ302" i="20"/>
  <c r="AQ898" i="20"/>
  <c r="AQ257" i="20"/>
  <c r="AQ649" i="20"/>
  <c r="AQ458" i="20"/>
  <c r="AQ210" i="20"/>
  <c r="AQ1007" i="20"/>
  <c r="AQ545" i="20"/>
  <c r="AQ555" i="20"/>
  <c r="AQ620" i="20"/>
  <c r="AQ701" i="20"/>
  <c r="AQ595" i="20"/>
  <c r="AQ980" i="20"/>
  <c r="AQ484" i="20"/>
  <c r="AQ891" i="20"/>
  <c r="AQ913" i="20"/>
  <c r="AQ923" i="20"/>
  <c r="AQ220" i="20"/>
  <c r="AQ235" i="20"/>
  <c r="AQ984" i="20"/>
  <c r="AQ795" i="20"/>
  <c r="AQ497" i="20"/>
  <c r="AQ931" i="20"/>
  <c r="AQ585" i="20"/>
  <c r="AQ135" i="20"/>
  <c r="AQ138" i="20"/>
  <c r="AQ132" i="20"/>
  <c r="AQ968" i="20"/>
  <c r="AQ158" i="20"/>
  <c r="AQ807" i="20"/>
  <c r="AQ293" i="20"/>
  <c r="AQ814" i="20"/>
  <c r="AQ714" i="20"/>
  <c r="AQ287" i="20"/>
  <c r="AQ987" i="20"/>
  <c r="AQ682" i="20"/>
  <c r="AQ938" i="20"/>
  <c r="AQ681" i="20"/>
  <c r="AQ993" i="20"/>
  <c r="AQ185" i="20"/>
  <c r="AQ472" i="20"/>
  <c r="AQ481" i="20"/>
  <c r="AQ82" i="20"/>
  <c r="AQ943" i="20"/>
  <c r="AQ760" i="20"/>
  <c r="AQ873" i="20"/>
  <c r="AQ286" i="20"/>
  <c r="AQ665" i="20"/>
  <c r="AQ443" i="20"/>
  <c r="AQ1022" i="20"/>
  <c r="AQ122" i="20"/>
  <c r="AQ735" i="20"/>
  <c r="AQ304" i="20"/>
  <c r="AQ651" i="20"/>
  <c r="AQ93" i="20"/>
  <c r="AQ789" i="20"/>
  <c r="AQ236" i="20"/>
  <c r="AQ668" i="20"/>
  <c r="AQ436" i="20"/>
  <c r="AQ318" i="20"/>
  <c r="AQ21" i="20"/>
  <c r="AQ78" i="20"/>
  <c r="AQ85" i="20"/>
  <c r="AQ131" i="20"/>
  <c r="AQ52" i="20"/>
  <c r="AQ609" i="20"/>
  <c r="AQ12" i="20"/>
  <c r="AQ58" i="20"/>
  <c r="AQ644" i="20"/>
  <c r="AQ176" i="20"/>
  <c r="AQ726" i="20"/>
  <c r="AQ885" i="20"/>
  <c r="AQ571" i="20"/>
  <c r="AQ1055" i="20"/>
  <c r="AQ184" i="20"/>
  <c r="AQ407" i="20"/>
  <c r="AQ386" i="20"/>
  <c r="AQ1038" i="20"/>
  <c r="AQ975" i="20"/>
  <c r="AQ506" i="20"/>
  <c r="AQ829" i="20"/>
  <c r="AQ899" i="20"/>
  <c r="AQ785" i="20"/>
  <c r="AQ786" i="20"/>
  <c r="AQ88" i="20"/>
  <c r="AQ89" i="20"/>
  <c r="AQ512" i="20"/>
  <c r="AQ92" i="20"/>
  <c r="AQ349" i="20"/>
  <c r="AQ1013" i="20"/>
  <c r="AQ97" i="20"/>
  <c r="AQ621" i="20"/>
  <c r="AQ547" i="20"/>
  <c r="AQ557" i="20"/>
  <c r="AQ143" i="20"/>
  <c r="AQ144" i="20"/>
  <c r="AQ981" i="20"/>
  <c r="AQ801" i="20"/>
  <c r="AQ410" i="20"/>
  <c r="AQ411" i="20"/>
  <c r="AQ164" i="20"/>
  <c r="AQ818" i="20"/>
  <c r="AQ331" i="20"/>
  <c r="AQ997" i="20"/>
  <c r="AQ687" i="20"/>
  <c r="AQ565" i="20"/>
  <c r="AQ72" i="20"/>
  <c r="AQ543" i="20"/>
  <c r="AQ541" i="20"/>
  <c r="AQ561" i="20"/>
  <c r="AQ1035" i="20"/>
  <c r="AQ573" i="20"/>
  <c r="AQ264" i="20"/>
  <c r="AQ672" i="20"/>
  <c r="AQ764" i="20"/>
  <c r="AQ574" i="20"/>
  <c r="AQ1046" i="20"/>
  <c r="AQ949" i="20"/>
  <c r="AQ502" i="20"/>
  <c r="AQ211" i="20"/>
  <c r="AQ26" i="20"/>
  <c r="AQ513" i="20"/>
  <c r="AQ101" i="20"/>
  <c r="AQ914" i="20"/>
  <c r="AQ924" i="20"/>
  <c r="AQ322" i="20"/>
  <c r="AQ401" i="20"/>
  <c r="AQ679" i="20"/>
  <c r="AQ1005" i="20"/>
  <c r="AQ535" i="20"/>
  <c r="AQ444" i="20"/>
  <c r="AQ782" i="20"/>
  <c r="AQ20" i="20"/>
  <c r="AQ77" i="20"/>
  <c r="AQ130" i="20"/>
  <c r="AQ11" i="20"/>
  <c r="AQ454" i="20"/>
  <c r="AQ670" i="20"/>
  <c r="AQ827" i="20"/>
  <c r="AQ213" i="20"/>
  <c r="AQ29" i="20"/>
  <c r="AQ893" i="20"/>
  <c r="AQ894" i="20"/>
  <c r="AQ237" i="20"/>
  <c r="AQ221" i="20"/>
  <c r="AQ222" i="20"/>
  <c r="AQ161" i="20"/>
  <c r="AQ162" i="20"/>
  <c r="AQ944" i="20"/>
  <c r="AQ939" i="20"/>
  <c r="AQ198" i="20"/>
  <c r="AQ169" i="20"/>
  <c r="AQ1058" i="20"/>
  <c r="AQ753" i="20"/>
  <c r="AQ906" i="20"/>
  <c r="AQ395" i="20"/>
  <c r="AQ741" i="20"/>
  <c r="AQ690" i="20"/>
  <c r="AQ277" i="20"/>
  <c r="AQ99" i="20"/>
  <c r="AQ100" i="20"/>
  <c r="AQ529" i="20"/>
  <c r="AQ530" i="20"/>
  <c r="AQ537" i="20"/>
  <c r="AQ428" i="20"/>
  <c r="AQ429" i="20"/>
  <c r="AQ265" i="20"/>
  <c r="AQ266" i="20"/>
  <c r="AQ267" i="20"/>
  <c r="AQ777" i="20"/>
  <c r="AQ780" i="20"/>
  <c r="AQ1047" i="20"/>
  <c r="AQ725" i="20"/>
  <c r="AQ884" i="20"/>
  <c r="AQ396" i="20"/>
  <c r="AQ397" i="20"/>
  <c r="AQ886" i="20"/>
  <c r="AQ1048" i="20"/>
  <c r="AQ451" i="20"/>
  <c r="AQ452" i="20"/>
  <c r="AQ246" i="20"/>
  <c r="AQ250" i="20"/>
  <c r="AQ403" i="20"/>
  <c r="AQ404" i="20"/>
  <c r="AQ965" i="20"/>
  <c r="AQ493" i="20"/>
  <c r="AQ966" i="20"/>
  <c r="AQ495" i="20"/>
  <c r="AQ385" i="20"/>
  <c r="AQ742" i="20"/>
  <c r="AQ691" i="20"/>
  <c r="AQ692" i="20"/>
  <c r="AQ744" i="20"/>
  <c r="AQ389" i="20"/>
  <c r="AQ824" i="20"/>
  <c r="AQ825" i="20"/>
  <c r="AQ503" i="20"/>
  <c r="AQ303" i="20"/>
  <c r="AQ504" i="20"/>
  <c r="AQ505" i="20"/>
  <c r="AQ507" i="20"/>
  <c r="AQ508" i="20"/>
  <c r="AQ459" i="20"/>
  <c r="AQ460" i="20"/>
  <c r="AQ212" i="20"/>
  <c r="AQ170" i="20"/>
  <c r="AQ171" i="20"/>
  <c r="AQ216" i="20"/>
  <c r="AQ1008" i="20"/>
  <c r="AQ90" i="20"/>
  <c r="AQ787" i="20"/>
  <c r="AQ1009" i="20"/>
  <c r="AQ27" i="20"/>
  <c r="AQ656" i="20"/>
  <c r="AQ348" i="20"/>
  <c r="AQ1059" i="20"/>
  <c r="AQ91" i="20"/>
  <c r="AQ514" i="20"/>
  <c r="AQ788" i="20"/>
  <c r="AQ1060" i="20"/>
  <c r="AQ515" i="20"/>
  <c r="AQ517" i="20"/>
  <c r="AQ518" i="20"/>
  <c r="AQ659" i="20"/>
  <c r="AQ367" i="20"/>
  <c r="AQ712" i="20"/>
  <c r="AQ278" i="20"/>
  <c r="AQ102" i="20"/>
  <c r="AQ280" i="20"/>
  <c r="AQ713" i="20"/>
  <c r="AQ105" i="20"/>
  <c r="AQ145" i="20"/>
  <c r="AQ596" i="20"/>
  <c r="AQ147" i="20"/>
  <c r="AQ597" i="20"/>
  <c r="AQ796" i="20"/>
  <c r="AQ844" i="20"/>
  <c r="AQ915" i="20"/>
  <c r="AQ925" i="20"/>
  <c r="AQ754" i="20"/>
  <c r="AQ755" i="20"/>
  <c r="AQ846" i="20"/>
  <c r="AQ918" i="20"/>
  <c r="AQ928" i="20"/>
  <c r="AQ863" i="20"/>
  <c r="AQ159" i="20"/>
  <c r="AQ815" i="20"/>
  <c r="AQ808" i="20"/>
  <c r="AQ809" i="20"/>
  <c r="AQ160" i="20"/>
  <c r="AQ816" i="20"/>
  <c r="AQ323" i="20"/>
  <c r="AQ592" i="20"/>
  <c r="AQ1028" i="20"/>
  <c r="AQ270" i="20"/>
  <c r="AQ412" i="20"/>
  <c r="AQ202" i="20"/>
  <c r="AQ413" i="20"/>
  <c r="AQ593" i="20"/>
  <c r="AQ326" i="20"/>
  <c r="AQ204" i="20"/>
  <c r="AQ1030" i="20"/>
  <c r="AQ272" i="20"/>
  <c r="AQ218" i="20"/>
  <c r="AQ217" i="20"/>
  <c r="AQ994" i="20"/>
  <c r="AQ907" i="20"/>
  <c r="AQ995" i="20"/>
  <c r="AQ908" i="20"/>
  <c r="AQ330" i="20"/>
  <c r="AQ637" i="20"/>
  <c r="AQ284" i="20"/>
  <c r="AQ74" i="20"/>
  <c r="AQ73" i="20"/>
  <c r="AQ344" i="20"/>
  <c r="AQ435" i="20"/>
  <c r="AQ445" i="20"/>
  <c r="AQ455" i="20"/>
  <c r="AQ406" i="20"/>
  <c r="AQ828" i="20"/>
  <c r="AQ461" i="20"/>
  <c r="AQ1018" i="20"/>
  <c r="AQ1012" i="20"/>
  <c r="AQ800" i="20"/>
  <c r="AQ811" i="20"/>
  <c r="AQ163" i="20"/>
  <c r="AQ817" i="20"/>
  <c r="AQ996" i="20"/>
  <c r="AQ909" i="20"/>
  <c r="AQ84" i="20"/>
  <c r="M14" i="43"/>
  <c r="M15" i="43"/>
  <c r="M13" i="43"/>
  <c r="AF142" i="14"/>
  <c r="AH142" i="14" s="1"/>
  <c r="AF197" i="14"/>
  <c r="AH197" i="14" s="1"/>
  <c r="AF43" i="14"/>
  <c r="AH43" i="14" s="1"/>
  <c r="AF52" i="14"/>
  <c r="AH52" i="14" s="1"/>
  <c r="AF145" i="14"/>
  <c r="AH145" i="14" s="1"/>
  <c r="AF179" i="14"/>
  <c r="AH179" i="14" s="1"/>
  <c r="AF72" i="14"/>
  <c r="AH72" i="14" s="1"/>
  <c r="AF82" i="14"/>
  <c r="AH82" i="14" s="1"/>
  <c r="AF70" i="14"/>
  <c r="AH70" i="14" s="1"/>
  <c r="AF68" i="14"/>
  <c r="AH68" i="14" s="1"/>
  <c r="AF67" i="14"/>
  <c r="AH67" i="14" s="1"/>
  <c r="AF182" i="14"/>
  <c r="AH182" i="14" s="1"/>
  <c r="AF133" i="14"/>
  <c r="AH133" i="14" s="1"/>
  <c r="AF138" i="14"/>
  <c r="AH138" i="14" s="1"/>
  <c r="AF140" i="14"/>
  <c r="AH140" i="14" s="1"/>
  <c r="AF178" i="14"/>
  <c r="AH178" i="14" s="1"/>
  <c r="AF71" i="14"/>
  <c r="AH71" i="14" s="1"/>
  <c r="AF181" i="14"/>
  <c r="AH181" i="14" s="1"/>
  <c r="AF180" i="14"/>
  <c r="AH180" i="14" s="1"/>
  <c r="AF188" i="14"/>
  <c r="AH188" i="14" s="1"/>
  <c r="AF196" i="14"/>
  <c r="AH196" i="14" s="1"/>
  <c r="AF207" i="14"/>
  <c r="AH207" i="14" s="1"/>
  <c r="AF159" i="14"/>
  <c r="AH159" i="14" s="1"/>
  <c r="AF212" i="14"/>
  <c r="AH212" i="14" s="1"/>
  <c r="AF213" i="14"/>
  <c r="AH213" i="14" s="1"/>
  <c r="AF225" i="14"/>
  <c r="AH225" i="14" s="1"/>
  <c r="AF228" i="14"/>
  <c r="AH228" i="14" s="1"/>
  <c r="AF230" i="14"/>
  <c r="AH230" i="14" s="1"/>
  <c r="N12" i="37"/>
  <c r="N13" i="37"/>
  <c r="AS891" i="20"/>
  <c r="AS733" i="20"/>
  <c r="AS931" i="20"/>
  <c r="AS497" i="20"/>
  <c r="AS220" i="20"/>
  <c r="AS235" i="20"/>
  <c r="AS649" i="20"/>
  <c r="AS484" i="20"/>
  <c r="AS287" i="20"/>
  <c r="AS257" i="20"/>
  <c r="AS293" i="20"/>
  <c r="AS898" i="20"/>
  <c r="AS620" i="20"/>
  <c r="AS545" i="20"/>
  <c r="AS555" i="20"/>
  <c r="AS984" i="20"/>
  <c r="AS968" i="20"/>
  <c r="AS1037" i="20"/>
  <c r="AS714" i="20"/>
  <c r="AS980" i="20"/>
  <c r="AS135" i="20"/>
  <c r="AS138" i="20"/>
  <c r="AS132" i="20"/>
  <c r="AS987" i="20"/>
  <c r="AS972" i="20"/>
  <c r="AS441" i="20"/>
  <c r="AS458" i="20"/>
  <c r="AS814" i="20"/>
  <c r="AS427" i="20"/>
  <c r="AS450" i="20"/>
  <c r="AS993" i="20"/>
  <c r="AS795" i="20"/>
  <c r="AS402" i="20"/>
  <c r="AS807" i="20"/>
  <c r="AS823" i="20"/>
  <c r="AS158" i="20"/>
  <c r="AS681" i="20"/>
  <c r="AS1007" i="20"/>
  <c r="AS923" i="20"/>
  <c r="AS913" i="20"/>
  <c r="AS262" i="20"/>
  <c r="AS523" i="20"/>
  <c r="AS674" i="20"/>
  <c r="AS938" i="20"/>
  <c r="AS682" i="20"/>
  <c r="AS520" i="20"/>
  <c r="AS701" i="20"/>
  <c r="AS595" i="20"/>
  <c r="AS585" i="20"/>
  <c r="AS528" i="20"/>
  <c r="AS185" i="20"/>
  <c r="AS481" i="20"/>
  <c r="AS472" i="20"/>
  <c r="AS762" i="20"/>
  <c r="AS210" i="20"/>
  <c r="AS1045" i="20"/>
  <c r="AS947" i="20"/>
  <c r="AS121" i="20"/>
  <c r="AS302" i="20"/>
  <c r="AS760" i="20"/>
  <c r="AS873" i="20"/>
  <c r="AS875" i="20"/>
  <c r="AS943" i="20"/>
  <c r="AS82" i="20"/>
  <c r="AS174" i="20"/>
  <c r="AS401" i="20"/>
  <c r="AS1005" i="20"/>
  <c r="AS679" i="20"/>
  <c r="N162" i="86"/>
  <c r="N163" i="86"/>
  <c r="N164" i="86"/>
  <c r="N165" i="86"/>
  <c r="N166" i="86"/>
  <c r="N167" i="86"/>
  <c r="N168" i="86"/>
  <c r="N148" i="86"/>
  <c r="N149" i="86"/>
  <c r="N150" i="86"/>
  <c r="N151" i="86"/>
  <c r="N152" i="86"/>
  <c r="N153" i="86"/>
  <c r="N154" i="86"/>
  <c r="N155" i="86"/>
  <c r="N156" i="86"/>
  <c r="N157" i="86"/>
  <c r="N158" i="86"/>
  <c r="N159" i="86"/>
  <c r="N160" i="86"/>
  <c r="N161" i="86"/>
  <c r="N146" i="86"/>
  <c r="N147" i="86"/>
  <c r="N139" i="86"/>
  <c r="N140" i="86"/>
  <c r="N141" i="86"/>
  <c r="N142" i="86"/>
  <c r="N143" i="86"/>
  <c r="N144" i="86"/>
  <c r="N145" i="86"/>
  <c r="N137" i="86"/>
  <c r="N138" i="86"/>
  <c r="N136" i="86"/>
  <c r="N134" i="86"/>
  <c r="N135" i="86"/>
  <c r="N132" i="86"/>
  <c r="N133" i="86"/>
  <c r="N125" i="86"/>
  <c r="N126" i="86"/>
  <c r="N127" i="86"/>
  <c r="N128" i="86"/>
  <c r="N129" i="86"/>
  <c r="N130" i="86"/>
  <c r="N131" i="86"/>
  <c r="N124" i="86"/>
  <c r="N123" i="86"/>
  <c r="N118" i="86"/>
  <c r="N119" i="86"/>
  <c r="N120" i="86"/>
  <c r="N121" i="86"/>
  <c r="N122" i="86"/>
  <c r="N116" i="86"/>
  <c r="N117" i="86"/>
  <c r="N111" i="86"/>
  <c r="N112" i="86"/>
  <c r="N113" i="86"/>
  <c r="N114" i="86"/>
  <c r="N115" i="86"/>
  <c r="N94" i="86"/>
  <c r="N95" i="86"/>
  <c r="N96" i="86"/>
  <c r="N97" i="86"/>
  <c r="N98" i="86"/>
  <c r="N99" i="86"/>
  <c r="N100" i="86"/>
  <c r="N101" i="86"/>
  <c r="N102" i="86"/>
  <c r="N103" i="86"/>
  <c r="N104" i="86"/>
  <c r="N105" i="86"/>
  <c r="N106" i="86"/>
  <c r="N107" i="86"/>
  <c r="N108" i="86"/>
  <c r="N109" i="86"/>
  <c r="N110" i="86"/>
  <c r="N93" i="86"/>
  <c r="N90" i="86"/>
  <c r="N91" i="86"/>
  <c r="N92" i="86"/>
  <c r="N87" i="86"/>
  <c r="N88" i="86"/>
  <c r="N89" i="86"/>
  <c r="N86" i="86"/>
  <c r="N82" i="86"/>
  <c r="N83" i="86"/>
  <c r="N84" i="86"/>
  <c r="N85" i="86"/>
  <c r="N81" i="86"/>
  <c r="N79" i="86"/>
  <c r="N80" i="86"/>
  <c r="N78" i="86"/>
  <c r="N76" i="86"/>
  <c r="N77" i="86"/>
  <c r="N70" i="86"/>
  <c r="N71" i="86"/>
  <c r="N72" i="86"/>
  <c r="N73" i="86"/>
  <c r="N74" i="86"/>
  <c r="N75" i="86"/>
  <c r="N69" i="86"/>
  <c r="N65" i="86"/>
  <c r="N66" i="86"/>
  <c r="N67" i="86"/>
  <c r="N68" i="86"/>
  <c r="N64" i="86"/>
  <c r="N55" i="86"/>
  <c r="N56" i="86"/>
  <c r="N57" i="86"/>
  <c r="N58" i="86"/>
  <c r="N59" i="86"/>
  <c r="N60" i="86"/>
  <c r="N61" i="86"/>
  <c r="N62" i="86"/>
  <c r="N63" i="86"/>
  <c r="AS808" i="20"/>
  <c r="AS824" i="20"/>
  <c r="AS403" i="20"/>
  <c r="AS159" i="20"/>
  <c r="AS815" i="20"/>
  <c r="AS428" i="20"/>
  <c r="AS796" i="20"/>
  <c r="AS994" i="20"/>
  <c r="AS1008" i="20"/>
  <c r="AS459" i="20"/>
  <c r="AS451" i="20"/>
  <c r="AS907" i="20"/>
  <c r="AS846" i="20"/>
  <c r="AS966" i="20"/>
  <c r="AS529" i="20"/>
  <c r="AS1060" i="20"/>
  <c r="AS90" i="20"/>
  <c r="AS171" i="20"/>
  <c r="AS413" i="20"/>
  <c r="AS755" i="20"/>
  <c r="AS145" i="20"/>
  <c r="AS744" i="20"/>
  <c r="AS280" i="20"/>
  <c r="AS692" i="20"/>
  <c r="AS517" i="20"/>
  <c r="AS515" i="20"/>
  <c r="AS507" i="20"/>
  <c r="AS505" i="20"/>
  <c r="AS397" i="20"/>
  <c r="AS284" i="20"/>
  <c r="AS787" i="20"/>
  <c r="AS780" i="20"/>
  <c r="AS68" i="20"/>
  <c r="AS267" i="20"/>
  <c r="AS266" i="20"/>
  <c r="AS217" i="20"/>
  <c r="AS74" i="20"/>
  <c r="AS73" i="20"/>
  <c r="AS218" i="20"/>
  <c r="AS504" i="20"/>
  <c r="R1" i="86"/>
  <c r="N2" i="86"/>
  <c r="N3" i="86"/>
  <c r="N4" i="86"/>
  <c r="N5" i="86"/>
  <c r="N6" i="86"/>
  <c r="N7" i="86"/>
  <c r="N8" i="86"/>
  <c r="N9" i="86"/>
  <c r="N10"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AS410" i="20"/>
  <c r="AS786" i="20"/>
  <c r="AS89" i="20"/>
  <c r="AS144" i="20"/>
  <c r="AS143" i="20"/>
  <c r="AS88" i="20"/>
  <c r="AS785" i="20"/>
  <c r="AS411" i="20"/>
  <c r="AS97" i="20"/>
  <c r="AS512" i="20"/>
  <c r="AS506" i="20"/>
  <c r="AS92" i="20"/>
  <c r="AS726" i="20"/>
  <c r="AS331" i="20"/>
  <c r="AS349" i="20"/>
  <c r="AS386" i="20"/>
  <c r="AS885" i="20"/>
  <c r="AS286" i="20"/>
  <c r="AS981" i="20"/>
  <c r="AS894" i="20"/>
  <c r="AS893" i="20"/>
  <c r="AS1076" i="20"/>
  <c r="AS899" i="20"/>
  <c r="AS1077" i="20"/>
  <c r="AS1075" i="20"/>
  <c r="AS1073" i="20"/>
  <c r="AS1074" i="20"/>
  <c r="AS621" i="20"/>
  <c r="AS222" i="20"/>
  <c r="AS221" i="20"/>
  <c r="AS237" i="20"/>
  <c r="AS236" i="20"/>
  <c r="AS547" i="20"/>
  <c r="AS557" i="20"/>
  <c r="AS1038" i="20"/>
  <c r="AS975" i="20"/>
  <c r="AS651" i="20"/>
  <c r="AS829" i="20"/>
  <c r="AS827" i="20"/>
  <c r="AS825" i="20"/>
  <c r="AS404" i="20"/>
  <c r="AS407" i="20"/>
  <c r="AS162" i="20"/>
  <c r="AS164" i="20"/>
  <c r="AS160" i="20"/>
  <c r="AS161" i="20"/>
  <c r="AS444" i="20"/>
  <c r="AS443" i="20"/>
  <c r="AS818" i="20"/>
  <c r="AS436" i="20"/>
  <c r="AS801" i="20"/>
  <c r="AS997" i="20"/>
  <c r="AS995" i="20"/>
  <c r="AS1013" i="20"/>
  <c r="AS1009" i="20"/>
  <c r="AS454" i="20"/>
  <c r="AS908" i="20"/>
  <c r="AS906" i="20"/>
  <c r="AS122" i="20"/>
  <c r="AS198" i="20"/>
  <c r="AS863" i="20"/>
  <c r="AS844" i="20"/>
  <c r="AS326" i="20"/>
  <c r="AS323" i="20"/>
  <c r="AS27" i="20"/>
  <c r="AS29" i="20"/>
  <c r="AS216" i="20"/>
  <c r="AS212" i="20"/>
  <c r="AS213" i="20"/>
  <c r="AS1048" i="20"/>
  <c r="AS1047" i="20"/>
  <c r="AS659" i="20"/>
  <c r="AS656" i="20"/>
  <c r="AS965" i="20"/>
  <c r="AS593" i="20"/>
  <c r="AS592" i="20"/>
  <c r="AS597" i="20"/>
  <c r="AS596" i="20"/>
  <c r="AS713" i="20"/>
  <c r="AS712" i="20"/>
  <c r="AS495" i="20"/>
  <c r="AS493" i="20"/>
  <c r="AS537" i="20"/>
  <c r="AS530" i="20"/>
  <c r="AS535" i="20"/>
  <c r="AS918" i="20"/>
  <c r="AS915" i="20"/>
  <c r="AS928" i="20"/>
  <c r="AS925" i="20"/>
  <c r="AS367" i="20"/>
  <c r="AS348" i="20"/>
  <c r="AS389" i="20"/>
  <c r="AS385" i="20"/>
  <c r="AS344" i="20"/>
  <c r="AS330" i="20"/>
  <c r="AS725" i="20"/>
  <c r="AS886" i="20"/>
  <c r="AS884" i="20"/>
  <c r="AS524" i="20"/>
  <c r="AS675" i="20"/>
  <c r="AS939" i="20"/>
  <c r="AS669" i="20"/>
  <c r="AS670" i="20"/>
  <c r="AS687" i="20"/>
  <c r="AS565" i="20"/>
  <c r="AS571" i="20"/>
  <c r="AS72" i="20"/>
  <c r="AS543" i="20"/>
  <c r="AS541" i="20"/>
  <c r="AS668" i="20"/>
  <c r="AS665" i="20"/>
  <c r="AS1055" i="20"/>
  <c r="AS561" i="20"/>
  <c r="AS1059" i="20"/>
  <c r="AS1058" i="20"/>
  <c r="AS93" i="20"/>
  <c r="AS91" i="20"/>
  <c r="AS170" i="20"/>
  <c r="AS169" i="20"/>
  <c r="AS1030" i="20"/>
  <c r="AS1028" i="20"/>
  <c r="AS272" i="20"/>
  <c r="AS270" i="20"/>
  <c r="AS412" i="20"/>
  <c r="AS753" i="20"/>
  <c r="AS250" i="20"/>
  <c r="AS246" i="20"/>
  <c r="AS204" i="20"/>
  <c r="AS202" i="20"/>
  <c r="AS147" i="20"/>
  <c r="AS742" i="20"/>
  <c r="AS741" i="20"/>
  <c r="AS277" i="20"/>
  <c r="AS278" i="20"/>
  <c r="AS105" i="20"/>
  <c r="AS99" i="20"/>
  <c r="AS100" i="20"/>
  <c r="AS102" i="20"/>
  <c r="AS691" i="20"/>
  <c r="AS690" i="20"/>
  <c r="AS518" i="20"/>
  <c r="AS514" i="20"/>
  <c r="AS508" i="20"/>
  <c r="AS503" i="20"/>
  <c r="AS396" i="20"/>
  <c r="AS395" i="20"/>
  <c r="AS637" i="20"/>
  <c r="AS176" i="20"/>
  <c r="AS789" i="20"/>
  <c r="AS735" i="20"/>
  <c r="AS318" i="20"/>
  <c r="AS21" i="20"/>
  <c r="AS20" i="20"/>
  <c r="AS78" i="20"/>
  <c r="AS77" i="20"/>
  <c r="AS85" i="20"/>
  <c r="AS131" i="20"/>
  <c r="AS130" i="20"/>
  <c r="AS1035" i="20"/>
  <c r="AS52" i="20"/>
  <c r="AS609" i="20"/>
  <c r="AS573" i="20"/>
  <c r="AS12" i="20"/>
  <c r="AS11" i="20"/>
  <c r="AS1022" i="20"/>
  <c r="AS58" i="20"/>
  <c r="AS184" i="20"/>
  <c r="AS644" i="20"/>
  <c r="AS777" i="20"/>
  <c r="AS782" i="20"/>
  <c r="AS64" i="20"/>
  <c r="AS304" i="20"/>
  <c r="AS303" i="20"/>
  <c r="AS265" i="20"/>
  <c r="AS944" i="20"/>
  <c r="AS761" i="20"/>
  <c r="AS26" i="20"/>
  <c r="AS211" i="20"/>
  <c r="AS322" i="20"/>
  <c r="AS764" i="20"/>
  <c r="AS949" i="20"/>
  <c r="AS1046" i="20"/>
  <c r="AS84" i="20"/>
  <c r="AS672" i="20"/>
  <c r="AS574" i="20"/>
  <c r="AS264" i="20"/>
  <c r="AS502" i="20"/>
  <c r="AS513" i="20"/>
  <c r="AS101" i="20"/>
  <c r="AS914" i="20"/>
  <c r="AS924" i="20"/>
  <c r="AS163" i="20"/>
  <c r="AS406" i="20"/>
  <c r="AS435" i="20"/>
  <c r="AS445" i="20"/>
  <c r="AS455" i="20"/>
  <c r="AS461" i="20"/>
  <c r="AS800" i="20"/>
  <c r="AS811" i="20"/>
  <c r="AS817" i="20"/>
  <c r="AS828" i="20"/>
  <c r="AS909" i="20"/>
  <c r="AS996" i="20"/>
  <c r="AS1012" i="20"/>
  <c r="AS1018" i="20"/>
  <c r="AS429" i="20"/>
  <c r="AS452" i="20"/>
  <c r="AS460" i="20"/>
  <c r="AS754" i="20"/>
  <c r="AS788" i="20"/>
  <c r="AS809" i="20"/>
  <c r="AS816" i="20"/>
  <c r="S204" i="14"/>
  <c r="Z10" i="66"/>
  <c r="AF3" i="66"/>
  <c r="AF4" i="66"/>
  <c r="AF5" i="66"/>
  <c r="AF6" i="66"/>
  <c r="AF7" i="66"/>
  <c r="AF8" i="66"/>
  <c r="AF9" i="66"/>
  <c r="AF10" i="66"/>
  <c r="AF11" i="66"/>
  <c r="AF12" i="66"/>
  <c r="AF13" i="66"/>
  <c r="AF14" i="66"/>
  <c r="AF15" i="66"/>
  <c r="AF16" i="66"/>
  <c r="AF17" i="66"/>
  <c r="AF18" i="66"/>
  <c r="AF19" i="66"/>
  <c r="AF20" i="66"/>
  <c r="AF21" i="66"/>
  <c r="AF22" i="66"/>
  <c r="AF23" i="66"/>
  <c r="AE3" i="66"/>
  <c r="AE4" i="66"/>
  <c r="AE5" i="66"/>
  <c r="AE6" i="66"/>
  <c r="AE7" i="66"/>
  <c r="AE8" i="66"/>
  <c r="AE9" i="66"/>
  <c r="AE10" i="66"/>
  <c r="AE11" i="66"/>
  <c r="AE12" i="66"/>
  <c r="AE13" i="66"/>
  <c r="AE14" i="66"/>
  <c r="AE15" i="66"/>
  <c r="AE16" i="66"/>
  <c r="AE17" i="66"/>
  <c r="AE18" i="66"/>
  <c r="AE19" i="66"/>
  <c r="AE20" i="66"/>
  <c r="AE21" i="66"/>
  <c r="AE22" i="66"/>
  <c r="AE23" i="66"/>
  <c r="M12" i="37"/>
  <c r="M13" i="37"/>
  <c r="L12" i="37"/>
  <c r="L13" i="37"/>
  <c r="K12" i="37"/>
  <c r="K13" i="37"/>
  <c r="C3" i="77"/>
  <c r="C2" i="77" s="1"/>
  <c r="S235" i="14"/>
  <c r="S231" i="14"/>
  <c r="B15" i="37"/>
  <c r="C15" i="37"/>
  <c r="C14" i="36"/>
  <c r="F14" i="36"/>
  <c r="G14" i="36"/>
  <c r="H14" i="36"/>
  <c r="I14" i="36"/>
  <c r="J14" i="36"/>
  <c r="Y10" i="66"/>
  <c r="S202" i="14"/>
  <c r="S201" i="14"/>
  <c r="S200" i="14"/>
  <c r="S199" i="14"/>
  <c r="S197" i="14"/>
  <c r="S196" i="14"/>
  <c r="S195" i="14"/>
  <c r="S194" i="14"/>
  <c r="S193" i="14"/>
  <c r="S192" i="14"/>
  <c r="S191" i="14"/>
  <c r="S64" i="14"/>
  <c r="S168" i="14"/>
  <c r="S152" i="14"/>
  <c r="S184" i="14"/>
  <c r="S185" i="14"/>
  <c r="S120" i="14"/>
  <c r="S55" i="14"/>
  <c r="S21" i="14"/>
  <c r="S37" i="14"/>
  <c r="S88" i="14"/>
  <c r="S87" i="14"/>
  <c r="S222" i="14"/>
  <c r="S186" i="14"/>
  <c r="S169" i="14"/>
  <c r="S53" i="14"/>
  <c r="S136" i="14"/>
  <c r="S135" i="14"/>
  <c r="S189" i="14"/>
  <c r="S41" i="14"/>
  <c r="S42" i="14"/>
  <c r="S51" i="14"/>
  <c r="S89" i="14"/>
  <c r="S90" i="14"/>
  <c r="S91" i="14"/>
  <c r="S92" i="14"/>
  <c r="S93" i="14"/>
  <c r="S94" i="14"/>
  <c r="S96" i="14"/>
  <c r="S97" i="14"/>
  <c r="S98" i="14"/>
  <c r="S99" i="14"/>
  <c r="S100" i="14"/>
  <c r="S101" i="14"/>
  <c r="S102" i="14"/>
  <c r="S103" i="14"/>
  <c r="S104" i="14"/>
  <c r="S105" i="14"/>
  <c r="S106" i="14"/>
  <c r="S108" i="14"/>
  <c r="S110" i="14"/>
  <c r="S111" i="14"/>
  <c r="S112" i="14"/>
  <c r="S114" i="14"/>
  <c r="S117" i="14"/>
  <c r="S121" i="14"/>
  <c r="S137" i="14"/>
  <c r="S142" i="14"/>
  <c r="S150" i="14"/>
  <c r="S151" i="14"/>
  <c r="S153" i="14"/>
  <c r="S155" i="14"/>
  <c r="S158" i="14"/>
  <c r="S171" i="14"/>
  <c r="S183" i="14"/>
  <c r="S248" i="14"/>
  <c r="S226" i="14"/>
  <c r="D17" i="43"/>
  <c r="D18" i="43"/>
  <c r="D19" i="43"/>
  <c r="Y3" i="66"/>
  <c r="C9" i="37"/>
  <c r="C11" i="37"/>
  <c r="C12" i="37"/>
  <c r="C13" i="37"/>
  <c r="C14" i="37"/>
  <c r="C16" i="37"/>
  <c r="C17" i="37"/>
  <c r="C18" i="37"/>
  <c r="C19" i="37"/>
  <c r="C20" i="37"/>
  <c r="C21" i="37"/>
  <c r="C23" i="37"/>
  <c r="C24" i="37"/>
  <c r="C25" i="37"/>
  <c r="C26" i="37"/>
  <c r="C27" i="37"/>
  <c r="C28" i="37"/>
  <c r="C8" i="37"/>
  <c r="B9" i="37"/>
  <c r="B10" i="37"/>
  <c r="B11" i="37"/>
  <c r="B12" i="37"/>
  <c r="B13" i="37"/>
  <c r="B14" i="37"/>
  <c r="B16" i="37"/>
  <c r="B17" i="37"/>
  <c r="B18" i="37"/>
  <c r="B19" i="37"/>
  <c r="B20" i="37"/>
  <c r="B21" i="37"/>
  <c r="B22" i="37"/>
  <c r="B23" i="37"/>
  <c r="B24" i="37"/>
  <c r="B25" i="37"/>
  <c r="B26" i="37"/>
  <c r="B27" i="37"/>
  <c r="B28" i="37"/>
  <c r="B8" i="37"/>
  <c r="B10" i="36"/>
  <c r="N11" i="36"/>
  <c r="AA7" i="66" s="1"/>
  <c r="B15" i="36"/>
  <c r="B16" i="36"/>
  <c r="B17" i="36"/>
  <c r="B18" i="36"/>
  <c r="B19" i="36"/>
  <c r="B20" i="36"/>
  <c r="B21" i="36"/>
  <c r="B22" i="36"/>
  <c r="B23" i="36"/>
  <c r="B24" i="36"/>
  <c r="B25" i="36"/>
  <c r="B26" i="36"/>
  <c r="B27" i="36"/>
  <c r="C17" i="36"/>
  <c r="C18" i="36"/>
  <c r="C19" i="36"/>
  <c r="C20" i="36"/>
  <c r="C22" i="36"/>
  <c r="C23" i="36"/>
  <c r="C24" i="36"/>
  <c r="C25" i="36"/>
  <c r="C26" i="36"/>
  <c r="C27" i="36"/>
  <c r="C8" i="36"/>
  <c r="C10" i="36"/>
  <c r="C12" i="36"/>
  <c r="C13" i="36"/>
  <c r="C15" i="36"/>
  <c r="C16" i="36"/>
  <c r="Y8" i="66"/>
  <c r="Y16" i="66"/>
  <c r="Y19" i="66"/>
  <c r="X18" i="66"/>
  <c r="AG15" i="66"/>
  <c r="Z15" i="66" s="1"/>
  <c r="AG18" i="66"/>
  <c r="Z18" i="66" s="1"/>
  <c r="N53" i="37"/>
  <c r="M53" i="37"/>
  <c r="J53" i="37"/>
  <c r="I53" i="37"/>
  <c r="F53" i="37"/>
  <c r="E53" i="37"/>
  <c r="C53" i="37"/>
  <c r="B53" i="37"/>
  <c r="N52" i="37"/>
  <c r="M52" i="37"/>
  <c r="J52" i="37"/>
  <c r="I52" i="37"/>
  <c r="F52" i="37"/>
  <c r="E52" i="37"/>
  <c r="C52" i="37"/>
  <c r="B52" i="37"/>
  <c r="N51" i="37"/>
  <c r="M51" i="37"/>
  <c r="J51" i="37"/>
  <c r="I51" i="37"/>
  <c r="F51" i="37"/>
  <c r="E51" i="37"/>
  <c r="C51" i="37"/>
  <c r="B51" i="37"/>
  <c r="N50" i="37"/>
  <c r="M50" i="37"/>
  <c r="J50" i="37"/>
  <c r="I50" i="37"/>
  <c r="F50" i="37"/>
  <c r="E50" i="37"/>
  <c r="C50" i="37"/>
  <c r="B50" i="37"/>
  <c r="N49" i="37"/>
  <c r="M49" i="37"/>
  <c r="J49" i="37"/>
  <c r="I49" i="37"/>
  <c r="F49" i="37"/>
  <c r="E49" i="37"/>
  <c r="C49" i="37"/>
  <c r="B49" i="37"/>
  <c r="N48" i="37"/>
  <c r="M48" i="37"/>
  <c r="J48" i="37"/>
  <c r="I48" i="37"/>
  <c r="F48" i="37"/>
  <c r="E48" i="37"/>
  <c r="C48" i="37"/>
  <c r="B48" i="37"/>
  <c r="N47" i="37"/>
  <c r="M47" i="37"/>
  <c r="J47" i="37"/>
  <c r="I47" i="37"/>
  <c r="F47" i="37"/>
  <c r="E47" i="37"/>
  <c r="B47" i="37"/>
  <c r="N46" i="37"/>
  <c r="M46" i="37"/>
  <c r="J46" i="37"/>
  <c r="I46" i="37"/>
  <c r="F46" i="37"/>
  <c r="E46" i="37"/>
  <c r="C46" i="37"/>
  <c r="B46" i="37"/>
  <c r="N45" i="37"/>
  <c r="M45" i="37"/>
  <c r="J45" i="37"/>
  <c r="I45" i="37"/>
  <c r="F45" i="37"/>
  <c r="E45" i="37"/>
  <c r="C45" i="37"/>
  <c r="B45" i="37"/>
  <c r="N44" i="37"/>
  <c r="M44" i="37"/>
  <c r="J44" i="37"/>
  <c r="I44" i="37"/>
  <c r="F44" i="37"/>
  <c r="E44" i="37"/>
  <c r="C44" i="37"/>
  <c r="B44" i="37"/>
  <c r="N43" i="37"/>
  <c r="M43" i="37"/>
  <c r="J43" i="37"/>
  <c r="I43" i="37"/>
  <c r="F43" i="37"/>
  <c r="E43" i="37"/>
  <c r="C43" i="37"/>
  <c r="B43" i="37"/>
  <c r="N42" i="37"/>
  <c r="M42" i="37"/>
  <c r="J42" i="37"/>
  <c r="I42" i="37"/>
  <c r="F42" i="37"/>
  <c r="E42" i="37"/>
  <c r="C42" i="37"/>
  <c r="B42" i="37"/>
  <c r="N41" i="37"/>
  <c r="M41" i="37"/>
  <c r="J41" i="37"/>
  <c r="I41" i="37"/>
  <c r="F41" i="37"/>
  <c r="E41" i="37"/>
  <c r="C41" i="37"/>
  <c r="B41" i="37"/>
  <c r="N40" i="37"/>
  <c r="M40" i="37"/>
  <c r="J40" i="37"/>
  <c r="I40" i="37"/>
  <c r="F40" i="37"/>
  <c r="E40" i="37"/>
  <c r="C40" i="37"/>
  <c r="B40" i="37"/>
  <c r="N39" i="37"/>
  <c r="M39" i="37"/>
  <c r="L39" i="37"/>
  <c r="J39" i="37"/>
  <c r="I39" i="37"/>
  <c r="H39" i="37"/>
  <c r="F39" i="37"/>
  <c r="E39" i="37"/>
  <c r="D39" i="37"/>
  <c r="C39" i="37"/>
  <c r="B39" i="37"/>
  <c r="N38" i="37"/>
  <c r="M38" i="37"/>
  <c r="L38" i="37"/>
  <c r="J38" i="37"/>
  <c r="I38" i="37"/>
  <c r="H38" i="37"/>
  <c r="F38" i="37"/>
  <c r="E38" i="37"/>
  <c r="D38" i="37"/>
  <c r="C38" i="37"/>
  <c r="B38" i="37"/>
  <c r="N37" i="37"/>
  <c r="M37" i="37"/>
  <c r="J37" i="37"/>
  <c r="I37" i="37"/>
  <c r="F37" i="37"/>
  <c r="E37" i="37"/>
  <c r="C37" i="37"/>
  <c r="B37" i="37"/>
  <c r="N36" i="37"/>
  <c r="M36" i="37"/>
  <c r="J36" i="37"/>
  <c r="J54" i="37" s="1"/>
  <c r="I36" i="37"/>
  <c r="F36" i="37"/>
  <c r="E36" i="37"/>
  <c r="B36" i="37"/>
  <c r="N35" i="37"/>
  <c r="M35" i="37"/>
  <c r="J35" i="37"/>
  <c r="I35" i="37"/>
  <c r="F35" i="37"/>
  <c r="E35" i="37"/>
  <c r="C35" i="37"/>
  <c r="B35" i="37"/>
  <c r="N34" i="37"/>
  <c r="M34" i="37"/>
  <c r="J34" i="37"/>
  <c r="I34" i="37"/>
  <c r="F34" i="37"/>
  <c r="E34" i="37"/>
  <c r="C34" i="37"/>
  <c r="B34" i="37"/>
  <c r="D12" i="37"/>
  <c r="F12" i="37"/>
  <c r="G12" i="37"/>
  <c r="H12" i="37"/>
  <c r="I12" i="37"/>
  <c r="J12" i="37"/>
  <c r="D13" i="37"/>
  <c r="F13" i="37"/>
  <c r="G13" i="37"/>
  <c r="H13" i="37"/>
  <c r="I13" i="37"/>
  <c r="J13" i="37"/>
  <c r="F8" i="36"/>
  <c r="H8" i="36"/>
  <c r="I8" i="36"/>
  <c r="J8" i="36"/>
  <c r="F9" i="36"/>
  <c r="H9" i="36"/>
  <c r="I9" i="36"/>
  <c r="J9" i="36"/>
  <c r="G10" i="36"/>
  <c r="H10" i="36"/>
  <c r="I10" i="36"/>
  <c r="J10" i="36"/>
  <c r="F11" i="36"/>
  <c r="G11" i="36"/>
  <c r="H11" i="36"/>
  <c r="I11" i="36"/>
  <c r="I28" i="36" s="1"/>
  <c r="J11" i="36"/>
  <c r="F12" i="36"/>
  <c r="G12" i="36"/>
  <c r="G28" i="36" s="1"/>
  <c r="H12" i="36"/>
  <c r="I12" i="36"/>
  <c r="J12" i="36"/>
  <c r="F13" i="36"/>
  <c r="H13" i="36"/>
  <c r="I13" i="36"/>
  <c r="J13" i="36"/>
  <c r="F15" i="36"/>
  <c r="H15" i="36"/>
  <c r="I15" i="36"/>
  <c r="J15" i="36"/>
  <c r="F16" i="36"/>
  <c r="H16" i="36"/>
  <c r="I16" i="36"/>
  <c r="J16" i="36"/>
  <c r="F17" i="36"/>
  <c r="H17" i="36"/>
  <c r="I17" i="36"/>
  <c r="J17" i="36"/>
  <c r="F18" i="36"/>
  <c r="G18" i="36"/>
  <c r="H18" i="36"/>
  <c r="I18" i="36"/>
  <c r="J18" i="36"/>
  <c r="F19" i="36"/>
  <c r="H19" i="36"/>
  <c r="I19" i="36"/>
  <c r="J19" i="36"/>
  <c r="F20" i="36"/>
  <c r="G20" i="36"/>
  <c r="H20" i="36"/>
  <c r="I20" i="36"/>
  <c r="J20" i="36"/>
  <c r="F21" i="36"/>
  <c r="G21" i="36"/>
  <c r="H21" i="36"/>
  <c r="I21" i="36"/>
  <c r="J21" i="36"/>
  <c r="F22" i="36"/>
  <c r="H22" i="36"/>
  <c r="I22" i="36"/>
  <c r="J22" i="36"/>
  <c r="F23" i="36"/>
  <c r="G23" i="36"/>
  <c r="H23" i="36"/>
  <c r="I23" i="36"/>
  <c r="J23" i="36"/>
  <c r="F24" i="36"/>
  <c r="G24" i="36"/>
  <c r="H24" i="36"/>
  <c r="I24" i="36"/>
  <c r="J24" i="36"/>
  <c r="F25" i="36"/>
  <c r="H25" i="36"/>
  <c r="I25" i="36"/>
  <c r="J25" i="36"/>
  <c r="F26" i="36"/>
  <c r="G26" i="36"/>
  <c r="H26" i="36"/>
  <c r="I26" i="36"/>
  <c r="J26" i="36"/>
  <c r="J28" i="36" s="1"/>
  <c r="F27" i="36"/>
  <c r="H27" i="36"/>
  <c r="I27" i="36"/>
  <c r="J27" i="36"/>
  <c r="S157" i="14"/>
  <c r="AQ35" i="40"/>
  <c r="AE24" i="66"/>
  <c r="AF24" i="66"/>
  <c r="D16" i="43"/>
  <c r="D15" i="43"/>
  <c r="D14" i="43"/>
  <c r="D13" i="43"/>
  <c r="J7" i="36"/>
  <c r="I7" i="36"/>
  <c r="H7" i="36"/>
  <c r="F7" i="36"/>
  <c r="F28" i="36" s="1"/>
  <c r="E54" i="37"/>
  <c r="N13" i="43"/>
  <c r="E19" i="43"/>
  <c r="Q1" i="86"/>
  <c r="P14" i="36"/>
  <c r="L14" i="36" s="1"/>
  <c r="E15" i="43"/>
  <c r="E18" i="43"/>
  <c r="N15" i="43"/>
  <c r="AQ36" i="40"/>
  <c r="H28" i="36"/>
  <c r="D28" i="36"/>
  <c r="M14" i="36"/>
  <c r="E28" i="36"/>
  <c r="AF112" i="14"/>
  <c r="AH112" i="14" s="1"/>
  <c r="AF163" i="14"/>
  <c r="AH163" i="14" s="1"/>
  <c r="C10" i="37"/>
  <c r="C36" i="37"/>
  <c r="S163" i="14"/>
  <c r="C9" i="36"/>
  <c r="F80" i="86"/>
  <c r="S23" i="14"/>
  <c r="F126" i="86"/>
  <c r="AM21" i="40"/>
  <c r="AO21" i="40"/>
  <c r="AL51" i="40"/>
  <c r="C22" i="37"/>
  <c r="C47" i="37"/>
  <c r="AN21" i="40"/>
  <c r="AN28" i="40" s="1"/>
  <c r="K28" i="40" s="1"/>
  <c r="AL21" i="40"/>
  <c r="AL28" i="40" s="1"/>
  <c r="C21" i="36"/>
  <c r="E26" i="40"/>
  <c r="Y17" i="66" s="1"/>
  <c r="AM51" i="40"/>
  <c r="AN51" i="40"/>
  <c r="AP50" i="40"/>
  <c r="S29" i="14"/>
  <c r="AO51" i="40"/>
  <c r="E39" i="40"/>
  <c r="T10" i="62"/>
  <c r="T4" i="62"/>
  <c r="T9" i="62"/>
  <c r="T5" i="62"/>
  <c r="T7" i="62"/>
  <c r="T8" i="62"/>
  <c r="D39" i="40"/>
  <c r="H17" i="43"/>
  <c r="H19" i="43"/>
  <c r="H13" i="43"/>
  <c r="AB14" i="43"/>
  <c r="Q14" i="43"/>
  <c r="AB22" i="43"/>
  <c r="AB15" i="43"/>
  <c r="AB18" i="43"/>
  <c r="H14" i="43"/>
  <c r="H18" i="43"/>
  <c r="H16" i="43"/>
  <c r="AB19" i="43"/>
  <c r="AB17" i="43"/>
  <c r="Q15" i="43"/>
  <c r="AB16" i="43"/>
  <c r="AB20" i="43"/>
  <c r="AB13" i="43"/>
  <c r="AB21" i="43"/>
  <c r="H15" i="43"/>
  <c r="Q13" i="43"/>
  <c r="AF42" i="14" l="1"/>
  <c r="AH42" i="14" s="1"/>
  <c r="AF191" i="14"/>
  <c r="AH191" i="14" s="1"/>
  <c r="AF214" i="14"/>
  <c r="AH214" i="14" s="1"/>
  <c r="AF58" i="14"/>
  <c r="AH58" i="14" s="1"/>
  <c r="N26" i="36"/>
  <c r="AA22" i="66" s="1"/>
  <c r="AF170" i="14"/>
  <c r="AH170" i="14" s="1"/>
  <c r="T30" i="62"/>
  <c r="T28" i="62"/>
  <c r="T24" i="62"/>
  <c r="AF39" i="14"/>
  <c r="AH39" i="14" s="1"/>
  <c r="AF53" i="14"/>
  <c r="AH53" i="14" s="1"/>
  <c r="AF77" i="14"/>
  <c r="AH77" i="14" s="1"/>
  <c r="AF215" i="14"/>
  <c r="AH215" i="14" s="1"/>
  <c r="AF227" i="14"/>
  <c r="AH227" i="14" s="1"/>
  <c r="AF149" i="14"/>
  <c r="AH149" i="14" s="1"/>
  <c r="AF150" i="14"/>
  <c r="AH150" i="14" s="1"/>
  <c r="AF106" i="14"/>
  <c r="AH106" i="14" s="1"/>
  <c r="AF193" i="14"/>
  <c r="AH193" i="14" s="1"/>
  <c r="AF108" i="14"/>
  <c r="AH108" i="14" s="1"/>
  <c r="AF41" i="14"/>
  <c r="AH41" i="14" s="1"/>
  <c r="AF217" i="14"/>
  <c r="AH217" i="14" s="1"/>
  <c r="AF79" i="14"/>
  <c r="AH79" i="14" s="1"/>
  <c r="AF65" i="14"/>
  <c r="AH65" i="14" s="1"/>
  <c r="AF161" i="14"/>
  <c r="AH161" i="14" s="1"/>
  <c r="AF104" i="14"/>
  <c r="AH104" i="14" s="1"/>
  <c r="AF209" i="14"/>
  <c r="AH209" i="14" s="1"/>
  <c r="AF50" i="14"/>
  <c r="AH50" i="14" s="1"/>
  <c r="AF20" i="14"/>
  <c r="AH20" i="14" s="1"/>
  <c r="AF81" i="14"/>
  <c r="AH81" i="14" s="1"/>
  <c r="AF49" i="14"/>
  <c r="AH49" i="14" s="1"/>
  <c r="AF241" i="14"/>
  <c r="AH241" i="14" s="1"/>
  <c r="U273" i="19"/>
  <c r="AF166" i="14"/>
  <c r="AH166" i="14" s="1"/>
  <c r="U323" i="19"/>
  <c r="AF168" i="14"/>
  <c r="AH168" i="14" s="1"/>
  <c r="U226" i="19"/>
  <c r="AF66" i="14"/>
  <c r="AH66" i="14" s="1"/>
  <c r="M54" i="37"/>
  <c r="P98" i="19"/>
  <c r="N14" i="43"/>
  <c r="E13" i="43"/>
  <c r="F54" i="37"/>
  <c r="N54" i="37"/>
  <c r="K18" i="36"/>
  <c r="T31" i="62"/>
  <c r="T27" i="62"/>
  <c r="T23" i="62"/>
  <c r="T29" i="62"/>
  <c r="AF59" i="14"/>
  <c r="AH59" i="14" s="1"/>
  <c r="I54" i="37"/>
  <c r="M12" i="36"/>
  <c r="AB6" i="20"/>
  <c r="AF6" i="20"/>
  <c r="AJ6" i="20"/>
  <c r="AN6" i="20"/>
  <c r="Y6" i="20"/>
  <c r="AC6" i="20"/>
  <c r="AG6" i="20"/>
  <c r="AK6" i="20"/>
  <c r="Z6" i="20"/>
  <c r="AD6" i="20"/>
  <c r="AH6" i="20"/>
  <c r="AL6" i="20"/>
  <c r="AA6" i="20"/>
  <c r="AE6" i="20"/>
  <c r="AI6" i="20"/>
  <c r="U285" i="19"/>
  <c r="K25" i="36"/>
  <c r="AF136" i="14"/>
  <c r="AH136" i="14" s="1"/>
  <c r="AF137" i="14"/>
  <c r="AH137" i="14" s="1"/>
  <c r="AF152" i="14"/>
  <c r="AH152" i="14" s="1"/>
  <c r="AF202" i="14"/>
  <c r="AH202" i="14" s="1"/>
  <c r="AF55" i="14"/>
  <c r="AH55" i="14" s="1"/>
  <c r="AF236" i="14"/>
  <c r="AH236" i="14" s="1"/>
  <c r="AF30" i="14"/>
  <c r="AH30" i="14" s="1"/>
  <c r="AF153" i="14"/>
  <c r="AH153" i="14" s="1"/>
  <c r="AF199" i="14"/>
  <c r="AH199" i="14" s="1"/>
  <c r="AF91" i="14"/>
  <c r="AH91" i="14" s="1"/>
  <c r="AF48" i="14"/>
  <c r="AH48" i="14" s="1"/>
  <c r="AF186" i="14"/>
  <c r="AH186" i="14" s="1"/>
  <c r="AF173" i="14"/>
  <c r="AH173" i="14" s="1"/>
  <c r="AF164" i="14"/>
  <c r="AH164" i="14" s="1"/>
  <c r="AF22" i="14"/>
  <c r="AH22" i="14" s="1"/>
  <c r="AF94" i="14"/>
  <c r="AH94" i="14" s="1"/>
  <c r="AF248" i="14"/>
  <c r="AH248" i="14" s="1"/>
  <c r="AF169" i="14"/>
  <c r="AH169" i="14" s="1"/>
  <c r="AF92" i="14"/>
  <c r="AH92" i="14" s="1"/>
  <c r="AF157" i="14"/>
  <c r="AH157" i="14" s="1"/>
  <c r="AF222" i="14"/>
  <c r="AH222" i="14" s="1"/>
  <c r="AF111" i="14"/>
  <c r="AH111" i="14" s="1"/>
  <c r="AF95" i="14"/>
  <c r="AH95" i="14" s="1"/>
  <c r="AF160" i="14"/>
  <c r="AH160" i="14" s="1"/>
  <c r="AF235" i="14"/>
  <c r="AH235" i="14" s="1"/>
  <c r="AF210" i="14"/>
  <c r="AH210" i="14" s="1"/>
  <c r="AF224" i="14"/>
  <c r="AH224" i="14" s="1"/>
  <c r="AF183" i="14"/>
  <c r="AH183" i="14" s="1"/>
  <c r="AF89" i="14"/>
  <c r="AH89" i="14" s="1"/>
  <c r="AF185" i="14"/>
  <c r="AH185" i="14" s="1"/>
  <c r="AF24" i="14"/>
  <c r="AH24" i="14" s="1"/>
  <c r="AF226" i="14"/>
  <c r="AH226" i="14" s="1"/>
  <c r="AF139" i="14"/>
  <c r="AH139" i="14" s="1"/>
  <c r="AF129" i="14"/>
  <c r="AH129" i="14" s="1"/>
  <c r="AF18" i="14"/>
  <c r="AH18" i="14" s="1"/>
  <c r="AF211" i="14"/>
  <c r="AH211" i="14" s="1"/>
  <c r="AF33" i="14"/>
  <c r="AH33" i="14" s="1"/>
  <c r="AF115" i="14"/>
  <c r="AH115" i="14" s="1"/>
  <c r="AF12" i="14"/>
  <c r="AH12" i="14" s="1"/>
  <c r="AF27" i="14"/>
  <c r="AH27" i="14" s="1"/>
  <c r="AF7" i="14"/>
  <c r="AH7" i="14" s="1"/>
  <c r="AF47" i="14"/>
  <c r="AH47" i="14" s="1"/>
  <c r="AF62" i="14"/>
  <c r="AH62" i="14" s="1"/>
  <c r="AF113" i="14"/>
  <c r="AH113" i="14" s="1"/>
  <c r="AF167" i="14"/>
  <c r="AH167" i="14" s="1"/>
  <c r="AF118" i="14"/>
  <c r="AH118" i="14" s="1"/>
  <c r="AF54" i="14"/>
  <c r="AH54" i="14" s="1"/>
  <c r="AF251" i="14"/>
  <c r="AH251" i="14" s="1"/>
  <c r="AF36" i="14"/>
  <c r="AH36" i="14" s="1"/>
  <c r="AF243" i="14"/>
  <c r="AH243" i="14" s="1"/>
  <c r="AF17" i="14"/>
  <c r="AH17" i="14" s="1"/>
  <c r="AF31" i="14"/>
  <c r="AH31" i="14" s="1"/>
  <c r="AF221" i="14"/>
  <c r="AH221" i="14" s="1"/>
  <c r="AF231" i="14"/>
  <c r="AH231" i="14" s="1"/>
  <c r="AF107" i="14"/>
  <c r="AH107" i="14" s="1"/>
  <c r="AF154" i="14"/>
  <c r="AH154" i="14" s="1"/>
  <c r="AF44" i="14"/>
  <c r="AH44" i="14" s="1"/>
  <c r="AF174" i="14"/>
  <c r="AH174" i="14" s="1"/>
  <c r="AF132" i="14"/>
  <c r="AH132" i="14" s="1"/>
  <c r="AF15" i="14"/>
  <c r="AH15" i="14" s="1"/>
  <c r="AF109" i="14"/>
  <c r="AH109" i="14" s="1"/>
  <c r="AF201" i="14"/>
  <c r="AH201" i="14" s="1"/>
  <c r="AF74" i="14"/>
  <c r="AH74" i="14" s="1"/>
  <c r="AF32" i="14"/>
  <c r="AH32" i="14" s="1"/>
  <c r="AF78" i="14"/>
  <c r="AH78" i="14" s="1"/>
  <c r="AF14" i="14"/>
  <c r="AH14" i="14" s="1"/>
  <c r="AF147" i="14"/>
  <c r="AH147" i="14" s="1"/>
  <c r="AF134" i="14"/>
  <c r="AH134" i="14" s="1"/>
  <c r="AF99" i="14"/>
  <c r="AH99" i="14" s="1"/>
  <c r="AF198" i="14"/>
  <c r="AH198" i="14" s="1"/>
  <c r="AF40" i="14"/>
  <c r="AH40" i="14" s="1"/>
  <c r="AF172" i="14"/>
  <c r="AH172" i="14" s="1"/>
  <c r="AF121" i="14"/>
  <c r="AH121" i="14" s="1"/>
  <c r="AF84" i="14"/>
  <c r="AH84" i="14" s="1"/>
  <c r="AF16" i="14"/>
  <c r="AH16" i="14" s="1"/>
  <c r="AF26" i="14"/>
  <c r="AH26" i="14" s="1"/>
  <c r="AF189" i="14"/>
  <c r="AH189" i="14" s="1"/>
  <c r="AF87" i="14"/>
  <c r="AH87" i="14" s="1"/>
  <c r="AF105" i="14"/>
  <c r="AH105" i="14" s="1"/>
  <c r="AF187" i="14"/>
  <c r="AH187" i="14" s="1"/>
  <c r="AF11" i="14"/>
  <c r="AH11" i="14" s="1"/>
  <c r="AF203" i="14"/>
  <c r="AH203" i="14" s="1"/>
  <c r="AF96" i="14"/>
  <c r="AH96" i="14" s="1"/>
  <c r="AF45" i="14"/>
  <c r="AH45" i="14" s="1"/>
  <c r="AF103" i="14"/>
  <c r="AH103" i="14" s="1"/>
  <c r="AF135" i="14"/>
  <c r="AH135" i="14" s="1"/>
  <c r="AF120" i="14"/>
  <c r="AH120" i="14" s="1"/>
  <c r="AF239" i="14"/>
  <c r="AH239" i="14" s="1"/>
  <c r="AF176" i="14"/>
  <c r="AH176" i="14" s="1"/>
  <c r="AF206" i="14"/>
  <c r="AH206" i="14" s="1"/>
  <c r="AF200" i="14"/>
  <c r="AH200" i="14" s="1"/>
  <c r="AF192" i="14"/>
  <c r="AH192" i="14" s="1"/>
  <c r="AF97" i="14"/>
  <c r="AH97" i="14" s="1"/>
  <c r="AF37" i="14"/>
  <c r="AH37" i="14" s="1"/>
  <c r="AF102" i="14"/>
  <c r="AH102" i="14" s="1"/>
  <c r="AF6" i="14"/>
  <c r="AH6" i="14" s="1"/>
  <c r="AF158" i="14"/>
  <c r="AH158" i="14" s="1"/>
  <c r="AF110" i="14"/>
  <c r="AH110" i="14" s="1"/>
  <c r="AF151" i="14"/>
  <c r="AH151" i="14" s="1"/>
  <c r="AF90" i="14"/>
  <c r="AH90" i="14" s="1"/>
  <c r="AF13" i="14"/>
  <c r="AH13" i="14" s="1"/>
  <c r="AF194" i="14"/>
  <c r="AH194" i="14" s="1"/>
  <c r="AF114" i="14"/>
  <c r="AH114" i="14" s="1"/>
  <c r="AF216" i="14"/>
  <c r="AH216" i="14" s="1"/>
  <c r="AF184" i="14"/>
  <c r="AH184" i="14" s="1"/>
  <c r="AF195" i="14"/>
  <c r="AH195" i="14" s="1"/>
  <c r="AF101" i="14"/>
  <c r="AH101" i="14" s="1"/>
  <c r="AF175" i="14"/>
  <c r="AH175" i="14" s="1"/>
  <c r="AF9" i="14"/>
  <c r="AH9" i="14" s="1"/>
  <c r="AF93" i="14"/>
  <c r="AH93" i="14" s="1"/>
  <c r="AF171" i="14"/>
  <c r="AH171" i="14" s="1"/>
  <c r="AF73" i="14"/>
  <c r="AH73" i="14" s="1"/>
  <c r="AF123" i="14"/>
  <c r="AH123" i="14" s="1"/>
  <c r="AF19" i="14"/>
  <c r="AH19" i="14" s="1"/>
  <c r="AF83" i="14"/>
  <c r="AH83" i="14" s="1"/>
  <c r="AF63" i="14"/>
  <c r="AH63" i="14" s="1"/>
  <c r="AF156" i="14"/>
  <c r="AH156" i="14" s="1"/>
  <c r="AF10" i="14"/>
  <c r="AH10" i="14" s="1"/>
  <c r="AF88" i="14"/>
  <c r="AH88" i="14" s="1"/>
  <c r="AF60" i="14"/>
  <c r="AH60" i="14" s="1"/>
  <c r="AF165" i="14"/>
  <c r="AH165" i="14" s="1"/>
  <c r="AF64" i="14"/>
  <c r="AH64" i="14" s="1"/>
  <c r="AF28" i="14"/>
  <c r="AH28" i="14" s="1"/>
  <c r="AF56" i="14"/>
  <c r="AH56" i="14" s="1"/>
  <c r="AF5" i="14"/>
  <c r="AH5" i="14" s="1"/>
  <c r="N25" i="36"/>
  <c r="AA21" i="66" s="1"/>
  <c r="AF29" i="14"/>
  <c r="AH29" i="14" s="1"/>
  <c r="U204" i="19"/>
  <c r="K23" i="36"/>
  <c r="N23" i="36" s="1"/>
  <c r="AA19" i="66" s="1"/>
  <c r="AF21" i="14"/>
  <c r="AH21" i="14" s="1"/>
  <c r="AF35" i="14"/>
  <c r="AH35" i="14" s="1"/>
  <c r="AF100" i="14"/>
  <c r="AH100" i="14" s="1"/>
  <c r="AF240" i="14"/>
  <c r="AH240" i="14" s="1"/>
  <c r="AF51" i="14"/>
  <c r="AH51" i="14" s="1"/>
  <c r="AF204" i="14"/>
  <c r="AH204" i="14" s="1"/>
  <c r="AF146" i="14"/>
  <c r="AH146" i="14" s="1"/>
  <c r="AF98" i="14"/>
  <c r="AH98" i="14" s="1"/>
  <c r="AF117" i="14"/>
  <c r="AH117" i="14" s="1"/>
  <c r="AF218" i="14"/>
  <c r="AH218" i="14" s="1"/>
  <c r="AF80" i="14"/>
  <c r="AH80" i="14" s="1"/>
  <c r="AF141" i="14"/>
  <c r="AH141" i="14" s="1"/>
  <c r="AF155" i="14"/>
  <c r="AH155" i="14" s="1"/>
  <c r="AF85" i="14"/>
  <c r="AH85" i="14" s="1"/>
  <c r="AF46" i="14"/>
  <c r="AH46" i="14" s="1"/>
  <c r="AF8" i="14"/>
  <c r="AH8" i="14" s="1"/>
  <c r="U36" i="19"/>
  <c r="K8" i="36"/>
  <c r="M8" i="36" s="1"/>
  <c r="U121" i="19"/>
  <c r="K24" i="36"/>
  <c r="N24" i="36" s="1"/>
  <c r="AA20" i="66" s="1"/>
  <c r="N18" i="36"/>
  <c r="AA14" i="66" s="1"/>
  <c r="T25" i="62"/>
  <c r="AF131" i="14"/>
  <c r="AH131" i="14" s="1"/>
  <c r="AF127" i="14"/>
  <c r="AH127" i="14" s="1"/>
  <c r="P168" i="19"/>
  <c r="U168" i="19" s="1"/>
  <c r="T26" i="62"/>
  <c r="P9" i="36"/>
  <c r="E17" i="43"/>
  <c r="I17" i="43" s="1"/>
  <c r="E16" i="43"/>
  <c r="E14" i="43"/>
  <c r="AC14" i="43" s="1"/>
  <c r="Y378" i="20"/>
  <c r="Z379" i="20"/>
  <c r="AB377" i="20"/>
  <c r="AC378" i="20"/>
  <c r="AD379" i="20"/>
  <c r="AF377" i="20"/>
  <c r="AG378" i="20"/>
  <c r="AH379" i="20"/>
  <c r="AJ377" i="20"/>
  <c r="AK378" i="20"/>
  <c r="AL379" i="20"/>
  <c r="AN377" i="20"/>
  <c r="Y379" i="20"/>
  <c r="AA377" i="20"/>
  <c r="AB378" i="20"/>
  <c r="AC379" i="20"/>
  <c r="AE377" i="20"/>
  <c r="AF378" i="20"/>
  <c r="AG379" i="20"/>
  <c r="AI377" i="20"/>
  <c r="AJ378" i="20"/>
  <c r="AK379" i="20"/>
  <c r="AN378" i="20"/>
  <c r="Y377" i="20"/>
  <c r="AA379" i="20"/>
  <c r="AE379" i="20"/>
  <c r="AH378" i="20"/>
  <c r="AK377" i="20"/>
  <c r="Z377" i="20"/>
  <c r="AA378" i="20"/>
  <c r="AB379" i="20"/>
  <c r="AD377" i="20"/>
  <c r="AE378" i="20"/>
  <c r="AF379" i="20"/>
  <c r="AH377" i="20"/>
  <c r="AI378" i="20"/>
  <c r="AJ379" i="20"/>
  <c r="AL377" i="20"/>
  <c r="AN379" i="20"/>
  <c r="Z378" i="20"/>
  <c r="AC377" i="20"/>
  <c r="AD378" i="20"/>
  <c r="AG377" i="20"/>
  <c r="AI379" i="20"/>
  <c r="AL378" i="20"/>
  <c r="Y335" i="20"/>
  <c r="Z336" i="20"/>
  <c r="AB334" i="20"/>
  <c r="AC335" i="20"/>
  <c r="AD336" i="20"/>
  <c r="AF334" i="20"/>
  <c r="AG335" i="20"/>
  <c r="AH336" i="20"/>
  <c r="AJ334" i="20"/>
  <c r="AK335" i="20"/>
  <c r="AL336" i="20"/>
  <c r="AN334" i="20"/>
  <c r="Y336" i="20"/>
  <c r="AA334" i="20"/>
  <c r="AB335" i="20"/>
  <c r="AC336" i="20"/>
  <c r="AE334" i="20"/>
  <c r="AF335" i="20"/>
  <c r="AG336" i="20"/>
  <c r="AI334" i="20"/>
  <c r="AJ335" i="20"/>
  <c r="AK336" i="20"/>
  <c r="AN335" i="20"/>
  <c r="AN336" i="20"/>
  <c r="Y334" i="20"/>
  <c r="AA336" i="20"/>
  <c r="AC334" i="20"/>
  <c r="AD335" i="20"/>
  <c r="AG334" i="20"/>
  <c r="AI336" i="20"/>
  <c r="AL335" i="20"/>
  <c r="Z334" i="20"/>
  <c r="AA335" i="20"/>
  <c r="AB336" i="20"/>
  <c r="AD334" i="20"/>
  <c r="AE335" i="20"/>
  <c r="AF336" i="20"/>
  <c r="AH334" i="20"/>
  <c r="AI335" i="20"/>
  <c r="AJ336" i="20"/>
  <c r="AL334" i="20"/>
  <c r="Z335" i="20"/>
  <c r="AE336" i="20"/>
  <c r="AH335" i="20"/>
  <c r="AK334" i="20"/>
  <c r="AB337" i="20"/>
  <c r="AF337" i="20"/>
  <c r="AJ337" i="20"/>
  <c r="AN337" i="20"/>
  <c r="AG337" i="20"/>
  <c r="AA337" i="20"/>
  <c r="AE337" i="20"/>
  <c r="AI337" i="20"/>
  <c r="Z337" i="20"/>
  <c r="AD337" i="20"/>
  <c r="AH337" i="20"/>
  <c r="AL337" i="20"/>
  <c r="Y337" i="20"/>
  <c r="AC337" i="20"/>
  <c r="AK337" i="20"/>
  <c r="AB354" i="20"/>
  <c r="AF354" i="20"/>
  <c r="AJ354" i="20"/>
  <c r="AN354" i="20"/>
  <c r="AD354" i="20"/>
  <c r="AE354" i="20"/>
  <c r="Y354" i="20"/>
  <c r="AC354" i="20"/>
  <c r="AG354" i="20"/>
  <c r="AK354" i="20"/>
  <c r="Z354" i="20"/>
  <c r="AH354" i="20"/>
  <c r="AL354" i="20"/>
  <c r="AA354" i="20"/>
  <c r="AI354" i="20"/>
  <c r="Z352" i="20"/>
  <c r="AB352" i="20"/>
  <c r="AD352" i="20"/>
  <c r="AF352" i="20"/>
  <c r="AH352" i="20"/>
  <c r="AJ352" i="20"/>
  <c r="AL352" i="20"/>
  <c r="AN352" i="20"/>
  <c r="Y353" i="20"/>
  <c r="AA353" i="20"/>
  <c r="AC353" i="20"/>
  <c r="AE353" i="20"/>
  <c r="AI353" i="20"/>
  <c r="AK353" i="20"/>
  <c r="Z353" i="20"/>
  <c r="AB353" i="20"/>
  <c r="AD353" i="20"/>
  <c r="AF353" i="20"/>
  <c r="AH353" i="20"/>
  <c r="AJ353" i="20"/>
  <c r="AL353" i="20"/>
  <c r="AN353" i="20"/>
  <c r="Y352" i="20"/>
  <c r="AA352" i="20"/>
  <c r="AC352" i="20"/>
  <c r="AE352" i="20"/>
  <c r="AG352" i="20"/>
  <c r="AI352" i="20"/>
  <c r="AK352" i="20"/>
  <c r="AG353" i="20"/>
  <c r="Y363" i="20"/>
  <c r="Z364" i="20"/>
  <c r="AB362" i="20"/>
  <c r="AC363" i="20"/>
  <c r="AD364" i="20"/>
  <c r="AF362" i="20"/>
  <c r="AG363" i="20"/>
  <c r="AH364" i="20"/>
  <c r="AJ362" i="20"/>
  <c r="AK363" i="20"/>
  <c r="AL364" i="20"/>
  <c r="AN362" i="20"/>
  <c r="Y364" i="20"/>
  <c r="AA362" i="20"/>
  <c r="AB363" i="20"/>
  <c r="AC364" i="20"/>
  <c r="AE362" i="20"/>
  <c r="AF363" i="20"/>
  <c r="AG364" i="20"/>
  <c r="AI362" i="20"/>
  <c r="AJ363" i="20"/>
  <c r="AK364" i="20"/>
  <c r="AN363" i="20"/>
  <c r="Z362" i="20"/>
  <c r="AA363" i="20"/>
  <c r="AB364" i="20"/>
  <c r="AD362" i="20"/>
  <c r="AE363" i="20"/>
  <c r="AF364" i="20"/>
  <c r="AH362" i="20"/>
  <c r="AI363" i="20"/>
  <c r="AJ364" i="20"/>
  <c r="AL362" i="20"/>
  <c r="AN364" i="20"/>
  <c r="Y362" i="20"/>
  <c r="Z363" i="20"/>
  <c r="AA364" i="20"/>
  <c r="AC362" i="20"/>
  <c r="AD363" i="20"/>
  <c r="AE364" i="20"/>
  <c r="AG362" i="20"/>
  <c r="AH363" i="20"/>
  <c r="AI364" i="20"/>
  <c r="AK362" i="20"/>
  <c r="AL363" i="20"/>
  <c r="Y35" i="20"/>
  <c r="Z36" i="20"/>
  <c r="AB34" i="20"/>
  <c r="AC35" i="20"/>
  <c r="AD36" i="20"/>
  <c r="AF34" i="20"/>
  <c r="AG35" i="20"/>
  <c r="AH36" i="20"/>
  <c r="AJ34" i="20"/>
  <c r="AK35" i="20"/>
  <c r="AL36" i="20"/>
  <c r="AN34" i="20"/>
  <c r="Y36" i="20"/>
  <c r="AA34" i="20"/>
  <c r="AB35" i="20"/>
  <c r="AC36" i="20"/>
  <c r="AE34" i="20"/>
  <c r="AF35" i="20"/>
  <c r="AG36" i="20"/>
  <c r="AI34" i="20"/>
  <c r="AJ35" i="20"/>
  <c r="AK36" i="20"/>
  <c r="AN35" i="20"/>
  <c r="Z34" i="20"/>
  <c r="AA35" i="20"/>
  <c r="AB36" i="20"/>
  <c r="AD34" i="20"/>
  <c r="AE35" i="20"/>
  <c r="AF36" i="20"/>
  <c r="AH34" i="20"/>
  <c r="AI35" i="20"/>
  <c r="AJ36" i="20"/>
  <c r="AL34" i="20"/>
  <c r="AN36" i="20"/>
  <c r="Y34" i="20"/>
  <c r="Z35" i="20"/>
  <c r="AA36" i="20"/>
  <c r="AC34" i="20"/>
  <c r="AD35" i="20"/>
  <c r="AE36" i="20"/>
  <c r="AG34" i="20"/>
  <c r="AH35" i="20"/>
  <c r="AI36" i="20"/>
  <c r="AK34" i="20"/>
  <c r="AL35" i="20"/>
  <c r="Y45" i="20"/>
  <c r="AC45" i="20"/>
  <c r="AG45" i="20"/>
  <c r="AK45" i="20"/>
  <c r="Z45" i="20"/>
  <c r="AD45" i="20"/>
  <c r="AH45" i="20"/>
  <c r="AL45" i="20"/>
  <c r="AA45" i="20"/>
  <c r="AE45" i="20"/>
  <c r="AI45" i="20"/>
  <c r="AB45" i="20"/>
  <c r="AF45" i="20"/>
  <c r="AJ45" i="20"/>
  <c r="AN45" i="20"/>
  <c r="AI403" i="20"/>
  <c r="AN22" i="20"/>
  <c r="AR677" i="20"/>
  <c r="AR937" i="20"/>
  <c r="AI1307" i="20"/>
  <c r="AN959" i="20"/>
  <c r="AL959" i="20"/>
  <c r="AK959" i="20"/>
  <c r="AJ959" i="20"/>
  <c r="AI959" i="20"/>
  <c r="AH959" i="20"/>
  <c r="AG959" i="20"/>
  <c r="AF959" i="20"/>
  <c r="AE959" i="20"/>
  <c r="AD959" i="20"/>
  <c r="AC959" i="20"/>
  <c r="AB959" i="20"/>
  <c r="AA959" i="20"/>
  <c r="Z959" i="20"/>
  <c r="Y959" i="20"/>
  <c r="AN956" i="20"/>
  <c r="AL956" i="20"/>
  <c r="AK956" i="20"/>
  <c r="AJ956" i="20"/>
  <c r="AI956" i="20"/>
  <c r="AH956" i="20"/>
  <c r="AG956" i="20"/>
  <c r="AF956" i="20"/>
  <c r="AE956" i="20"/>
  <c r="AD956" i="20"/>
  <c r="AC956" i="20"/>
  <c r="AB956" i="20"/>
  <c r="AA956" i="20"/>
  <c r="Z956" i="20"/>
  <c r="Y956" i="20"/>
  <c r="AN958" i="20"/>
  <c r="AL958" i="20"/>
  <c r="AK958" i="20"/>
  <c r="AJ958" i="20"/>
  <c r="AI958" i="20"/>
  <c r="AH958" i="20"/>
  <c r="AG958" i="20"/>
  <c r="AF958" i="20"/>
  <c r="AE958" i="20"/>
  <c r="AD958" i="20"/>
  <c r="AC958" i="20"/>
  <c r="AB958" i="20"/>
  <c r="AA958" i="20"/>
  <c r="Z958" i="20"/>
  <c r="Y958" i="20"/>
  <c r="AN957" i="20"/>
  <c r="AL957" i="20"/>
  <c r="AK957" i="20"/>
  <c r="AJ957" i="20"/>
  <c r="AI957" i="20"/>
  <c r="AH957" i="20"/>
  <c r="AG957" i="20"/>
  <c r="AF957" i="20"/>
  <c r="AE957" i="20"/>
  <c r="AD957" i="20"/>
  <c r="AC957" i="20"/>
  <c r="AB957" i="20"/>
  <c r="AA957" i="20"/>
  <c r="Z957" i="20"/>
  <c r="Y957" i="20"/>
  <c r="AC357" i="20"/>
  <c r="AB376" i="20"/>
  <c r="AR788" i="20"/>
  <c r="AR827" i="20"/>
  <c r="AD19" i="20"/>
  <c r="AN1223" i="20"/>
  <c r="AA720" i="20"/>
  <c r="AH753" i="20"/>
  <c r="AI16" i="20"/>
  <c r="AE1187" i="20"/>
  <c r="Y382" i="20"/>
  <c r="AL456" i="20"/>
  <c r="AI1340" i="20"/>
  <c r="AN862" i="20"/>
  <c r="AH878" i="20"/>
  <c r="AK1335" i="20"/>
  <c r="Y1247" i="20"/>
  <c r="AD15" i="20"/>
  <c r="AH269" i="20"/>
  <c r="AI599" i="20"/>
  <c r="AH157" i="20"/>
  <c r="AB967" i="20"/>
  <c r="AL241" i="20"/>
  <c r="AB16" i="20"/>
  <c r="Z16" i="20"/>
  <c r="AH1195" i="20"/>
  <c r="AK1319" i="20"/>
  <c r="AJ1283" i="20"/>
  <c r="AN1340" i="20"/>
  <c r="AG208" i="20"/>
  <c r="AK38" i="20"/>
  <c r="AJ723" i="20"/>
  <c r="AD857" i="20"/>
  <c r="AN706" i="20"/>
  <c r="AJ961" i="20"/>
  <c r="AJ813" i="20"/>
  <c r="AH294" i="20"/>
  <c r="Y559" i="20"/>
  <c r="AI1191" i="20"/>
  <c r="AF1175" i="20"/>
  <c r="AK13" i="20"/>
  <c r="AL365" i="20"/>
  <c r="AN860" i="20"/>
  <c r="Z31" i="20"/>
  <c r="AJ805" i="20"/>
  <c r="AH561" i="20"/>
  <c r="AD347" i="20"/>
  <c r="Y1287" i="20"/>
  <c r="AA1175" i="20"/>
  <c r="AJ1199" i="20"/>
  <c r="AB1183" i="20"/>
  <c r="AI22" i="20"/>
  <c r="AI19" i="20"/>
  <c r="AL658" i="20"/>
  <c r="Y384" i="20"/>
  <c r="AE39" i="20"/>
  <c r="Y245" i="20"/>
  <c r="AE769" i="20"/>
  <c r="AD951" i="20"/>
  <c r="Y961" i="20"/>
  <c r="AL961" i="20"/>
  <c r="AK961" i="20"/>
  <c r="Z880" i="20"/>
  <c r="AJ878" i="20"/>
  <c r="AG878" i="20"/>
  <c r="AG880" i="20"/>
  <c r="AB880" i="20"/>
  <c r="AL878" i="20"/>
  <c r="AE852" i="20"/>
  <c r="AG852" i="20"/>
  <c r="AF852" i="20"/>
  <c r="Z852" i="20"/>
  <c r="AL852" i="20"/>
  <c r="AB769" i="20"/>
  <c r="AF769" i="20"/>
  <c r="AJ769" i="20"/>
  <c r="AA771" i="20"/>
  <c r="AK771" i="20"/>
  <c r="AD722" i="20"/>
  <c r="AN720" i="20"/>
  <c r="AF722" i="20"/>
  <c r="Y722" i="20"/>
  <c r="AG722" i="20"/>
  <c r="AC720" i="20"/>
  <c r="AB703" i="20"/>
  <c r="AN703" i="20"/>
  <c r="AG706" i="20"/>
  <c r="AB706" i="20"/>
  <c r="AL703" i="20"/>
  <c r="AG703" i="20"/>
  <c r="AC360" i="20"/>
  <c r="AF360" i="20"/>
  <c r="AE360" i="20"/>
  <c r="AH360" i="20"/>
  <c r="AD382" i="20"/>
  <c r="AF382" i="20"/>
  <c r="AG382" i="20"/>
  <c r="AL380" i="20"/>
  <c r="AE382" i="20"/>
  <c r="AG339" i="20"/>
  <c r="AN339" i="20"/>
  <c r="AL339" i="20"/>
  <c r="AN245" i="20"/>
  <c r="AG245" i="20"/>
  <c r="AE245" i="20"/>
  <c r="Y33" i="20"/>
  <c r="AK33" i="20"/>
  <c r="AH31" i="20"/>
  <c r="AJ31" i="20"/>
  <c r="AC31" i="20"/>
  <c r="AD31" i="20"/>
  <c r="Z877" i="20"/>
  <c r="AH877" i="20"/>
  <c r="Y877" i="20"/>
  <c r="AG877" i="20"/>
  <c r="AC850" i="20"/>
  <c r="AB857" i="20"/>
  <c r="AF857" i="20"/>
  <c r="AJ857" i="20"/>
  <c r="AE765" i="20"/>
  <c r="AA767" i="20"/>
  <c r="AE767" i="20"/>
  <c r="AI767" i="20"/>
  <c r="AN767" i="20"/>
  <c r="AD376" i="20"/>
  <c r="AL376" i="20"/>
  <c r="AC376" i="20"/>
  <c r="AK376" i="20"/>
  <c r="AJ39" i="20"/>
  <c r="AG39" i="20"/>
  <c r="AH39" i="20"/>
  <c r="AI39" i="20"/>
  <c r="AB876" i="20"/>
  <c r="AJ876" i="20"/>
  <c r="AA876" i="20"/>
  <c r="AI876" i="20"/>
  <c r="Z860" i="20"/>
  <c r="AH860" i="20"/>
  <c r="Y860" i="20"/>
  <c r="AG860" i="20"/>
  <c r="AJ774" i="20"/>
  <c r="AJ776" i="20"/>
  <c r="AG776" i="20"/>
  <c r="AG951" i="20"/>
  <c r="AD961" i="20"/>
  <c r="AH961" i="20"/>
  <c r="AD880" i="20"/>
  <c r="Y878" i="20"/>
  <c r="AE878" i="20"/>
  <c r="AD878" i="20"/>
  <c r="Y854" i="20"/>
  <c r="AC852" i="20"/>
  <c r="AH854" i="20"/>
  <c r="AF854" i="20"/>
  <c r="AA769" i="20"/>
  <c r="AG769" i="20"/>
  <c r="AL769" i="20"/>
  <c r="AJ771" i="20"/>
  <c r="AF720" i="20"/>
  <c r="AB722" i="20"/>
  <c r="AL720" i="20"/>
  <c r="AI720" i="20"/>
  <c r="AI722" i="20"/>
  <c r="AJ703" i="20"/>
  <c r="AI703" i="20"/>
  <c r="AF706" i="20"/>
  <c r="AC703" i="20"/>
  <c r="AG360" i="20"/>
  <c r="AN360" i="20"/>
  <c r="AD360" i="20"/>
  <c r="AH382" i="20"/>
  <c r="AC382" i="20"/>
  <c r="AB382" i="20"/>
  <c r="AI382" i="20"/>
  <c r="AB339" i="20"/>
  <c r="Z339" i="20"/>
  <c r="AD245" i="20"/>
  <c r="AH245" i="20"/>
  <c r="AL245" i="20"/>
  <c r="AA33" i="20"/>
  <c r="AD33" i="20"/>
  <c r="Y31" i="20"/>
  <c r="AF33" i="20"/>
  <c r="AD877" i="20"/>
  <c r="AN877" i="20"/>
  <c r="AI877" i="20"/>
  <c r="Z857" i="20"/>
  <c r="AE857" i="20"/>
  <c r="AK857" i="20"/>
  <c r="Y767" i="20"/>
  <c r="AD767" i="20"/>
  <c r="AJ767" i="20"/>
  <c r="Z376" i="20"/>
  <c r="AJ376" i="20"/>
  <c r="AE376" i="20"/>
  <c r="AB39" i="20"/>
  <c r="AC39" i="20"/>
  <c r="AL39" i="20"/>
  <c r="AI950" i="20"/>
  <c r="AH876" i="20"/>
  <c r="AC876" i="20"/>
  <c r="Z883" i="20"/>
  <c r="AF860" i="20"/>
  <c r="AA860" i="20"/>
  <c r="AK860" i="20"/>
  <c r="AF776" i="20"/>
  <c r="AK776" i="20"/>
  <c r="AL776" i="20"/>
  <c r="AF723" i="20"/>
  <c r="AF702" i="20"/>
  <c r="AC702" i="20"/>
  <c r="Z702" i="20"/>
  <c r="AA702" i="20"/>
  <c r="AI708" i="20"/>
  <c r="AK357" i="20"/>
  <c r="AN357" i="20"/>
  <c r="Z357" i="20"/>
  <c r="AH374" i="20"/>
  <c r="AF384" i="20"/>
  <c r="AC384" i="20"/>
  <c r="AD384" i="20"/>
  <c r="AE384" i="20"/>
  <c r="AA333" i="20"/>
  <c r="AN269" i="20"/>
  <c r="AD269" i="20"/>
  <c r="AI269" i="20"/>
  <c r="Z38" i="20"/>
  <c r="AH38" i="20"/>
  <c r="Y38" i="20"/>
  <c r="AG38" i="20"/>
  <c r="AD1049" i="20"/>
  <c r="AF926" i="20"/>
  <c r="AA926" i="20"/>
  <c r="AG926" i="20"/>
  <c r="AB862" i="20"/>
  <c r="Y862" i="20"/>
  <c r="Z862" i="20"/>
  <c r="AA862" i="20"/>
  <c r="AE977" i="20"/>
  <c r="Y658" i="20"/>
  <c r="AH658" i="20"/>
  <c r="AB583" i="20"/>
  <c r="AB494" i="20"/>
  <c r="AG494" i="20"/>
  <c r="AL494" i="20"/>
  <c r="AC365" i="20"/>
  <c r="AF343" i="20"/>
  <c r="AC343" i="20"/>
  <c r="AD343" i="20"/>
  <c r="AE343" i="20"/>
  <c r="AN208" i="20"/>
  <c r="AK208" i="20"/>
  <c r="AL208" i="20"/>
  <c r="AN146" i="20"/>
  <c r="Z146" i="20"/>
  <c r="AI146" i="20"/>
  <c r="AF19" i="20"/>
  <c r="AN19" i="20"/>
  <c r="AE19" i="20"/>
  <c r="AB15" i="20"/>
  <c r="AE15" i="20"/>
  <c r="Z15" i="20"/>
  <c r="AB22" i="20"/>
  <c r="Y22" i="20"/>
  <c r="Z22" i="20"/>
  <c r="AA22" i="20"/>
  <c r="AC13" i="20"/>
  <c r="AE16" i="20"/>
  <c r="AG13" i="20"/>
  <c r="AE13" i="20"/>
  <c r="AB1340" i="20"/>
  <c r="Y1340" i="20"/>
  <c r="Z1340" i="20"/>
  <c r="AA1340" i="20"/>
  <c r="AB1213" i="20"/>
  <c r="AC1183" i="20"/>
  <c r="AH1179" i="20"/>
  <c r="AK1159" i="20"/>
  <c r="AN1283" i="20"/>
  <c r="AA1279" i="20"/>
  <c r="AC1267" i="20"/>
  <c r="AH1175" i="20"/>
  <c r="AJ1171" i="20"/>
  <c r="AG1251" i="20"/>
  <c r="Z1219" i="20"/>
  <c r="AK1183" i="20"/>
  <c r="Y1331" i="20"/>
  <c r="AK1231" i="20"/>
  <c r="AK1307" i="20"/>
  <c r="AB1227" i="20"/>
  <c r="Y1267" i="20"/>
  <c r="AN1239" i="20"/>
  <c r="AD1311" i="20"/>
  <c r="AD1335" i="20"/>
  <c r="AK1245" i="20"/>
  <c r="AK1239" i="20"/>
  <c r="AD1307" i="20"/>
  <c r="AK1167" i="20"/>
  <c r="AB1303" i="20"/>
  <c r="AK1235" i="20"/>
  <c r="AC1311" i="20"/>
  <c r="AB1323" i="20"/>
  <c r="AD1303" i="20"/>
  <c r="AH1323" i="20"/>
  <c r="AC1203" i="20"/>
  <c r="AH1327" i="20"/>
  <c r="AL1239" i="20"/>
  <c r="AD1167" i="20"/>
  <c r="AF1307" i="20"/>
  <c r="AA1243" i="20"/>
  <c r="AC1241" i="20"/>
  <c r="AL1179" i="20"/>
  <c r="AG1215" i="20"/>
  <c r="AI951" i="20"/>
  <c r="Z961" i="20"/>
  <c r="AI961" i="20"/>
  <c r="AA880" i="20"/>
  <c r="AE880" i="20"/>
  <c r="AN880" i="20"/>
  <c r="AK852" i="20"/>
  <c r="AN852" i="20"/>
  <c r="Z769" i="20"/>
  <c r="AH769" i="20"/>
  <c r="AD771" i="20"/>
  <c r="AB720" i="20"/>
  <c r="AD720" i="20"/>
  <c r="AC722" i="20"/>
  <c r="AG720" i="20"/>
  <c r="Y706" i="20"/>
  <c r="Z703" i="20"/>
  <c r="Y703" i="20"/>
  <c r="AK360" i="20"/>
  <c r="AI360" i="20"/>
  <c r="AB380" i="20"/>
  <c r="AE380" i="20"/>
  <c r="AA382" i="20"/>
  <c r="AK339" i="20"/>
  <c r="AB245" i="20"/>
  <c r="AC245" i="20"/>
  <c r="Z245" i="20"/>
  <c r="AE33" i="20"/>
  <c r="AL33" i="20"/>
  <c r="AB33" i="20"/>
  <c r="AF877" i="20"/>
  <c r="AC877" i="20"/>
  <c r="Y857" i="20"/>
  <c r="AG857" i="20"/>
  <c r="AN857" i="20"/>
  <c r="AC767" i="20"/>
  <c r="AK767" i="20"/>
  <c r="AF376" i="20"/>
  <c r="AA376" i="20"/>
  <c r="AF39" i="20"/>
  <c r="Z39" i="20"/>
  <c r="AH950" i="20"/>
  <c r="AL876" i="20"/>
  <c r="AG876" i="20"/>
  <c r="AD860" i="20"/>
  <c r="AC860" i="20"/>
  <c r="AI774" i="20"/>
  <c r="AC776" i="20"/>
  <c r="AA776" i="20"/>
  <c r="AE723" i="20"/>
  <c r="Y702" i="20"/>
  <c r="AD702" i="20"/>
  <c r="AD708" i="20"/>
  <c r="AG357" i="20"/>
  <c r="AA357" i="20"/>
  <c r="AH357" i="20"/>
  <c r="AB384" i="20"/>
  <c r="AG384" i="20"/>
  <c r="AL384" i="20"/>
  <c r="AD333" i="20"/>
  <c r="AC269" i="20"/>
  <c r="AL269" i="20"/>
  <c r="AE244" i="20"/>
  <c r="AJ38" i="20"/>
  <c r="AC38" i="20"/>
  <c r="AC1049" i="20"/>
  <c r="AH926" i="20"/>
  <c r="Y926" i="20"/>
  <c r="AA916" i="20"/>
  <c r="AC862" i="20"/>
  <c r="AH862" i="20"/>
  <c r="AD977" i="20"/>
  <c r="AG658" i="20"/>
  <c r="AA658" i="20"/>
  <c r="AI583" i="20"/>
  <c r="AK494" i="20"/>
  <c r="AI494" i="20"/>
  <c r="AB343" i="20"/>
  <c r="AG343" i="20"/>
  <c r="AL343" i="20"/>
  <c r="AJ208" i="20"/>
  <c r="AI208" i="20"/>
  <c r="AB146" i="20"/>
  <c r="AK146" i="20"/>
  <c r="Z19" i="20"/>
  <c r="AJ19" i="20"/>
  <c r="AC19" i="20"/>
  <c r="AF15" i="20"/>
  <c r="AC15" i="20"/>
  <c r="AC22" i="20"/>
  <c r="AH22" i="20"/>
  <c r="Y13" i="20"/>
  <c r="AH13" i="20"/>
  <c r="Z13" i="20"/>
  <c r="AN13" i="20"/>
  <c r="AC1340" i="20"/>
  <c r="AH1340" i="20"/>
  <c r="AF1227" i="20"/>
  <c r="Z1159" i="20"/>
  <c r="AG1159" i="20"/>
  <c r="AG1243" i="20"/>
  <c r="Z1155" i="20"/>
  <c r="Y1319" i="20"/>
  <c r="AF1167" i="20"/>
  <c r="AI1291" i="20"/>
  <c r="Z1319" i="20"/>
  <c r="Z1183" i="20"/>
  <c r="AK1247" i="20"/>
  <c r="AN1339" i="20"/>
  <c r="AH1191" i="20"/>
  <c r="AJ1243" i="20"/>
  <c r="Y1291" i="20"/>
  <c r="AK1259" i="20"/>
  <c r="AN1307" i="20"/>
  <c r="AI1203" i="20"/>
  <c r="AH1275" i="20"/>
  <c r="AD1263" i="20"/>
  <c r="Y1275" i="20"/>
  <c r="AD1211" i="20"/>
  <c r="AA1311" i="20"/>
  <c r="AH1251" i="20"/>
  <c r="AF1171" i="20"/>
  <c r="AH1331" i="20"/>
  <c r="AK1275" i="20"/>
  <c r="AJ1331" i="20"/>
  <c r="AL1207" i="20"/>
  <c r="AC1243" i="20"/>
  <c r="Y16" i="20"/>
  <c r="AC16" i="20"/>
  <c r="AJ16" i="20"/>
  <c r="AH16" i="20"/>
  <c r="Y241" i="20"/>
  <c r="AG282" i="20"/>
  <c r="AC541" i="20"/>
  <c r="AG849" i="20"/>
  <c r="Z638" i="20"/>
  <c r="AA992" i="20"/>
  <c r="AK745" i="20"/>
  <c r="Y147" i="20"/>
  <c r="AH886" i="20"/>
  <c r="AH689" i="20"/>
  <c r="AH508" i="20"/>
  <c r="AH903" i="20"/>
  <c r="AL153" i="20"/>
  <c r="AL277" i="20"/>
  <c r="AL937" i="20"/>
  <c r="AJ1036" i="20"/>
  <c r="AJ992" i="20"/>
  <c r="AJ373" i="20"/>
  <c r="AI122" i="20"/>
  <c r="AJ489" i="20"/>
  <c r="AI1048" i="20"/>
  <c r="AI440" i="20"/>
  <c r="AL825" i="20"/>
  <c r="AI909" i="20"/>
  <c r="AJ294" i="20"/>
  <c r="AL559" i="20"/>
  <c r="AK951" i="20"/>
  <c r="AB961" i="20"/>
  <c r="AF878" i="20"/>
  <c r="Y880" i="20"/>
  <c r="AI880" i="20"/>
  <c r="AA852" i="20"/>
  <c r="AB852" i="20"/>
  <c r="AD852" i="20"/>
  <c r="AC769" i="20"/>
  <c r="AI769" i="20"/>
  <c r="AE771" i="20"/>
  <c r="AJ720" i="20"/>
  <c r="AH720" i="20"/>
  <c r="AE720" i="20"/>
  <c r="AK720" i="20"/>
  <c r="AA703" i="20"/>
  <c r="AD703" i="20"/>
  <c r="AI706" i="20"/>
  <c r="AB360" i="20"/>
  <c r="Z360" i="20"/>
  <c r="AL382" i="20"/>
  <c r="AI380" i="20"/>
  <c r="AC380" i="20"/>
  <c r="AF339" i="20"/>
  <c r="AF245" i="20"/>
  <c r="AK245" i="20"/>
  <c r="AC33" i="20"/>
  <c r="AI33" i="20"/>
  <c r="AN31" i="20"/>
  <c r="AJ33" i="20"/>
  <c r="AJ877" i="20"/>
  <c r="AE877" i="20"/>
  <c r="AA857" i="20"/>
  <c r="AH857" i="20"/>
  <c r="AJ765" i="20"/>
  <c r="AF767" i="20"/>
  <c r="AL767" i="20"/>
  <c r="AH376" i="20"/>
  <c r="AG376" i="20"/>
  <c r="AN39" i="20"/>
  <c r="AD39" i="20"/>
  <c r="Z876" i="20"/>
  <c r="AK876" i="20"/>
  <c r="AJ860" i="20"/>
  <c r="AE860" i="20"/>
  <c r="AB776" i="20"/>
  <c r="Z776" i="20"/>
  <c r="AE776" i="20"/>
  <c r="AB702" i="20"/>
  <c r="AG702" i="20"/>
  <c r="AH702" i="20"/>
  <c r="Y708" i="20"/>
  <c r="AB357" i="20"/>
  <c r="AE357" i="20"/>
  <c r="AL357" i="20"/>
  <c r="AJ384" i="20"/>
  <c r="AK384" i="20"/>
  <c r="AA384" i="20"/>
  <c r="AK333" i="20"/>
  <c r="AE269" i="20"/>
  <c r="AB38" i="20"/>
  <c r="AL38" i="20"/>
  <c r="AE38" i="20"/>
  <c r="AL926" i="20"/>
  <c r="AF862" i="20"/>
  <c r="AL862" i="20"/>
  <c r="AB658" i="20"/>
  <c r="AI658" i="20"/>
  <c r="Z494" i="20"/>
  <c r="AJ343" i="20"/>
  <c r="AA343" i="20"/>
  <c r="AE208" i="20"/>
  <c r="AJ146" i="20"/>
  <c r="AB19" i="20"/>
  <c r="AG19" i="20"/>
  <c r="AN15" i="20"/>
  <c r="AF22" i="20"/>
  <c r="AL22" i="20"/>
  <c r="AL13" i="20"/>
  <c r="AF1340" i="20"/>
  <c r="AL1340" i="20"/>
  <c r="AE1151" i="20"/>
  <c r="AK1155" i="20"/>
  <c r="AI1219" i="20"/>
  <c r="AJ1207" i="20"/>
  <c r="AL1171" i="20"/>
  <c r="AK1267" i="20"/>
  <c r="AD1283" i="20"/>
  <c r="Z1179" i="20"/>
  <c r="AF1311" i="20"/>
  <c r="AL1167" i="20"/>
  <c r="AB1259" i="20"/>
  <c r="AN1179" i="20"/>
  <c r="AJ1311" i="20"/>
  <c r="AI1303" i="20"/>
  <c r="Y1195" i="20"/>
  <c r="AE1323" i="20"/>
  <c r="AA16" i="20"/>
  <c r="AN16" i="20"/>
  <c r="AL16" i="20"/>
  <c r="Y234" i="20"/>
  <c r="AF317" i="20"/>
  <c r="AG646" i="20"/>
  <c r="Y432" i="20"/>
  <c r="AC909" i="20"/>
  <c r="Y29" i="20"/>
  <c r="Z599" i="20"/>
  <c r="AF785" i="20"/>
  <c r="AH503" i="20"/>
  <c r="AH293" i="20"/>
  <c r="AH922" i="20"/>
  <c r="AH195" i="20"/>
  <c r="AL458" i="20"/>
  <c r="AH147" i="20"/>
  <c r="AJ515" i="20"/>
  <c r="AJ816" i="20"/>
  <c r="AJ475" i="20"/>
  <c r="AJ867" i="20"/>
  <c r="AJ800" i="20"/>
  <c r="AI523" i="20"/>
  <c r="AI946" i="20"/>
  <c r="AL778" i="20"/>
  <c r="AI532" i="20"/>
  <c r="AJ978" i="20"/>
  <c r="AN876" i="20"/>
  <c r="AG269" i="20"/>
  <c r="AA1049" i="20"/>
  <c r="AC926" i="20"/>
  <c r="AG862" i="20"/>
  <c r="AK658" i="20"/>
  <c r="AJ494" i="20"/>
  <c r="AF365" i="20"/>
  <c r="AK343" i="20"/>
  <c r="Z208" i="20"/>
  <c r="AH146" i="20"/>
  <c r="AL19" i="20"/>
  <c r="AG15" i="20"/>
  <c r="AG22" i="20"/>
  <c r="AI13" i="20"/>
  <c r="AD13" i="20"/>
  <c r="AG1340" i="20"/>
  <c r="AB1163" i="20"/>
  <c r="Z1299" i="20"/>
  <c r="AL1323" i="20"/>
  <c r="AG1295" i="20"/>
  <c r="Y1311" i="20"/>
  <c r="Z1195" i="20"/>
  <c r="AN1279" i="20"/>
  <c r="AG1211" i="20"/>
  <c r="AJ1339" i="20"/>
  <c r="AJ1271" i="20"/>
  <c r="AF1207" i="20"/>
  <c r="AN1315" i="20"/>
  <c r="AB1291" i="20"/>
  <c r="AE1191" i="20"/>
  <c r="AI777" i="20"/>
  <c r="Z951" i="20"/>
  <c r="AA961" i="20"/>
  <c r="AN961" i="20"/>
  <c r="AH880" i="20"/>
  <c r="AA878" i="20"/>
  <c r="AF880" i="20"/>
  <c r="AI852" i="20"/>
  <c r="AD854" i="20"/>
  <c r="AH852" i="20"/>
  <c r="AD769" i="20"/>
  <c r="AK769" i="20"/>
  <c r="AN771" i="20"/>
  <c r="AL722" i="20"/>
  <c r="AJ722" i="20"/>
  <c r="AN722" i="20"/>
  <c r="AD706" i="20"/>
  <c r="AE703" i="20"/>
  <c r="AH703" i="20"/>
  <c r="AK703" i="20"/>
  <c r="AJ360" i="20"/>
  <c r="AL360" i="20"/>
  <c r="AN380" i="20"/>
  <c r="AK382" i="20"/>
  <c r="AK380" i="20"/>
  <c r="AE339" i="20"/>
  <c r="AJ245" i="20"/>
  <c r="AA245" i="20"/>
  <c r="AE31" i="20"/>
  <c r="Z33" i="20"/>
  <c r="AG31" i="20"/>
  <c r="AN33" i="20"/>
  <c r="AL877" i="20"/>
  <c r="AK877" i="20"/>
  <c r="AC857" i="20"/>
  <c r="AI857" i="20"/>
  <c r="Z767" i="20"/>
  <c r="AG767" i="20"/>
  <c r="AC773" i="20"/>
  <c r="AN376" i="20"/>
  <c r="AI376" i="20"/>
  <c r="Y39" i="20"/>
  <c r="AA39" i="20"/>
  <c r="AD876" i="20"/>
  <c r="Y876" i="20"/>
  <c r="AD883" i="20"/>
  <c r="AL860" i="20"/>
  <c r="AI860" i="20"/>
  <c r="AN776" i="20"/>
  <c r="AD776" i="20"/>
  <c r="AI776" i="20"/>
  <c r="AJ702" i="20"/>
  <c r="AK702" i="20"/>
  <c r="AL702" i="20"/>
  <c r="Y357" i="20"/>
  <c r="AF357" i="20"/>
  <c r="AI357" i="20"/>
  <c r="AJ374" i="20"/>
  <c r="AN384" i="20"/>
  <c r="Z384" i="20"/>
  <c r="AI384" i="20"/>
  <c r="AF269" i="20"/>
  <c r="AK269" i="20"/>
  <c r="AG244" i="20"/>
  <c r="AD38" i="20"/>
  <c r="AN38" i="20"/>
  <c r="AI38" i="20"/>
  <c r="Z926" i="20"/>
  <c r="AN926" i="20"/>
  <c r="AD916" i="20"/>
  <c r="AJ862" i="20"/>
  <c r="AK862" i="20"/>
  <c r="AE862" i="20"/>
  <c r="AJ658" i="20"/>
  <c r="Z658" i="20"/>
  <c r="AL583" i="20"/>
  <c r="AN494" i="20"/>
  <c r="AH494" i="20"/>
  <c r="AH365" i="20"/>
  <c r="AN343" i="20"/>
  <c r="Z343" i="20"/>
  <c r="AI343" i="20"/>
  <c r="AC208" i="20"/>
  <c r="AD208" i="20"/>
  <c r="Y146" i="20"/>
  <c r="AL146" i="20"/>
  <c r="AL472" i="20"/>
  <c r="AI1007" i="20"/>
  <c r="AJ833" i="20"/>
  <c r="AJ446" i="20"/>
  <c r="AJ152" i="20"/>
  <c r="AL1013" i="20"/>
  <c r="AH756" i="20"/>
  <c r="AH627" i="20"/>
  <c r="AC1036" i="20"/>
  <c r="AE793" i="20"/>
  <c r="Y483" i="20"/>
  <c r="AJ503" i="20"/>
  <c r="AE234" i="20"/>
  <c r="AK16" i="20"/>
  <c r="AH1287" i="20"/>
  <c r="AF1179" i="20"/>
  <c r="AE1319" i="20"/>
  <c r="AC1319" i="20"/>
  <c r="AF1243" i="20"/>
  <c r="AH1299" i="20"/>
  <c r="AK1215" i="20"/>
  <c r="AB1239" i="20"/>
  <c r="AD1279" i="20"/>
  <c r="AC1195" i="20"/>
  <c r="AI1171" i="20"/>
  <c r="AA1207" i="20"/>
  <c r="Z1271" i="20"/>
  <c r="AD1323" i="20"/>
  <c r="AG1203" i="20"/>
  <c r="AE1340" i="20"/>
  <c r="AJ1340" i="20"/>
  <c r="AA13" i="20"/>
  <c r="AE22" i="20"/>
  <c r="AJ22" i="20"/>
  <c r="Y15" i="20"/>
  <c r="AA19" i="20"/>
  <c r="AA146" i="20"/>
  <c r="AB208" i="20"/>
  <c r="AA494" i="20"/>
  <c r="AN658" i="20"/>
  <c r="AF916" i="20"/>
  <c r="AA38" i="20"/>
  <c r="AJ269" i="20"/>
  <c r="AC374" i="20"/>
  <c r="AI702" i="20"/>
  <c r="AH776" i="20"/>
  <c r="AB860" i="20"/>
  <c r="AK39" i="20"/>
  <c r="AH767" i="20"/>
  <c r="AB850" i="20"/>
  <c r="AH33" i="20"/>
  <c r="AI339" i="20"/>
  <c r="Z382" i="20"/>
  <c r="AK706" i="20"/>
  <c r="Z720" i="20"/>
  <c r="Y769" i="20"/>
  <c r="AK880" i="20"/>
  <c r="AA951" i="20"/>
  <c r="AI626" i="20"/>
  <c r="AH1036" i="20"/>
  <c r="AD1295" i="20"/>
  <c r="AH1227" i="20"/>
  <c r="AF1299" i="20"/>
  <c r="AJ1183" i="20"/>
  <c r="AH1319" i="20"/>
  <c r="AI1227" i="20"/>
  <c r="AG1187" i="20"/>
  <c r="AJ1255" i="20"/>
  <c r="AH1199" i="20"/>
  <c r="AL1319" i="20"/>
  <c r="AG1155" i="20"/>
  <c r="AK1251" i="20"/>
  <c r="AA1271" i="20"/>
  <c r="AB1223" i="20"/>
  <c r="AE1339" i="20"/>
  <c r="AD1340" i="20"/>
  <c r="AJ13" i="20"/>
  <c r="AD16" i="20"/>
  <c r="AD22" i="20"/>
  <c r="AA15" i="20"/>
  <c r="Y19" i="20"/>
  <c r="AG146" i="20"/>
  <c r="AH343" i="20"/>
  <c r="Y494" i="20"/>
  <c r="AI862" i="20"/>
  <c r="AI926" i="20"/>
  <c r="AF38" i="20"/>
  <c r="Z333" i="20"/>
  <c r="AD357" i="20"/>
  <c r="AE702" i="20"/>
  <c r="Y776" i="20"/>
  <c r="AE876" i="20"/>
  <c r="AH355" i="20"/>
  <c r="AB767" i="20"/>
  <c r="AA877" i="20"/>
  <c r="AG33" i="20"/>
  <c r="AJ382" i="20"/>
  <c r="AA360" i="20"/>
  <c r="AF703" i="20"/>
  <c r="Z722" i="20"/>
  <c r="AJ852" i="20"/>
  <c r="AN878" i="20"/>
  <c r="AJ11" i="20"/>
  <c r="AJ649" i="20"/>
  <c r="AL756" i="20"/>
  <c r="AL944" i="20"/>
  <c r="AJ458" i="20"/>
  <c r="AJ933" i="20"/>
  <c r="AL1020" i="20"/>
  <c r="AH815" i="20"/>
  <c r="AK971" i="20"/>
  <c r="Y587" i="20"/>
  <c r="AC944" i="20"/>
  <c r="AJ622" i="20"/>
  <c r="AG16" i="20"/>
  <c r="AJ603" i="20"/>
  <c r="AL992" i="20"/>
  <c r="AI156" i="20"/>
  <c r="AJ82" i="20"/>
  <c r="AL673" i="20"/>
  <c r="AL688" i="20"/>
  <c r="AH811" i="20"/>
  <c r="AH742" i="20"/>
  <c r="AH764" i="20"/>
  <c r="AB718" i="20"/>
  <c r="AD757" i="20"/>
  <c r="Z210" i="20"/>
  <c r="AF16" i="20"/>
  <c r="AL1235" i="20"/>
  <c r="AC1179" i="20"/>
  <c r="AE1287" i="20"/>
  <c r="AD1199" i="20"/>
  <c r="AF1339" i="20"/>
  <c r="AI1187" i="20"/>
  <c r="AC1255" i="20"/>
  <c r="AE1259" i="20"/>
  <c r="AD1183" i="20"/>
  <c r="AF1279" i="20"/>
  <c r="AI1207" i="20"/>
  <c r="AE1215" i="20"/>
  <c r="AF1223" i="20"/>
  <c r="AD1191" i="20"/>
  <c r="AN1147" i="20"/>
  <c r="AK1340" i="20"/>
  <c r="AF13" i="20"/>
  <c r="AB13" i="20"/>
  <c r="AK22" i="20"/>
  <c r="AH15" i="20"/>
  <c r="AK19" i="20"/>
  <c r="AH19" i="20"/>
  <c r="AG189" i="20"/>
  <c r="Y343" i="20"/>
  <c r="AG583" i="20"/>
  <c r="AD862" i="20"/>
  <c r="AD926" i="20"/>
  <c r="AA244" i="20"/>
  <c r="AH384" i="20"/>
  <c r="AJ357" i="20"/>
  <c r="AN702" i="20"/>
  <c r="AD774" i="20"/>
  <c r="AF876" i="20"/>
  <c r="Y376" i="20"/>
  <c r="AL857" i="20"/>
  <c r="AB877" i="20"/>
  <c r="AI245" i="20"/>
  <c r="AN382" i="20"/>
  <c r="Y360" i="20"/>
  <c r="Y720" i="20"/>
  <c r="AN769" i="20"/>
  <c r="AA854" i="20"/>
  <c r="AC961" i="20"/>
  <c r="AB1139" i="20"/>
  <c r="AK1107" i="20"/>
  <c r="AB1091" i="20"/>
  <c r="Y1040" i="20"/>
  <c r="AG1033" i="20"/>
  <c r="AG1021" i="20"/>
  <c r="AA1010" i="20"/>
  <c r="Y1000" i="20"/>
  <c r="AF988" i="20"/>
  <c r="AL998" i="20"/>
  <c r="AI979" i="20"/>
  <c r="AF973" i="20"/>
  <c r="AH967" i="20"/>
  <c r="AC934" i="20"/>
  <c r="AH929" i="20"/>
  <c r="AJ919" i="20"/>
  <c r="AG904" i="20"/>
  <c r="Z900" i="20"/>
  <c r="AD896" i="20"/>
  <c r="AK887" i="20"/>
  <c r="AC849" i="20"/>
  <c r="AJ843" i="20"/>
  <c r="AC839" i="20"/>
  <c r="AJ834" i="20"/>
  <c r="AL826" i="20"/>
  <c r="AJ806" i="20"/>
  <c r="AB802" i="20"/>
  <c r="AH794" i="20"/>
  <c r="AK790" i="20"/>
  <c r="AB779" i="20"/>
  <c r="AA757" i="20"/>
  <c r="AD749" i="20"/>
  <c r="AA745" i="20"/>
  <c r="AL738" i="20"/>
  <c r="AD727" i="20"/>
  <c r="AJ700" i="20"/>
  <c r="AH696" i="20"/>
  <c r="AB684" i="20"/>
  <c r="AL676" i="20"/>
  <c r="AH666" i="20"/>
  <c r="AA660" i="20"/>
  <c r="AH1030" i="20"/>
  <c r="AG105" i="20"/>
  <c r="AA1035" i="20"/>
  <c r="AA975" i="20"/>
  <c r="AK801" i="20"/>
  <c r="AH565" i="20"/>
  <c r="AD543" i="20"/>
  <c r="AA318" i="20"/>
  <c r="AL58" i="20"/>
  <c r="AH537" i="20"/>
  <c r="AJ216" i="20"/>
  <c r="AL863" i="20"/>
  <c r="AH996" i="20"/>
  <c r="AK811" i="20"/>
  <c r="AH445" i="20"/>
  <c r="AG84" i="20"/>
  <c r="AL635" i="20"/>
  <c r="AE670" i="20"/>
  <c r="AB631" i="20"/>
  <c r="AA623" i="20"/>
  <c r="Z617" i="20"/>
  <c r="AL613" i="20"/>
  <c r="Y604" i="20"/>
  <c r="AL599" i="20"/>
  <c r="AH591" i="20"/>
  <c r="AD588" i="20"/>
  <c r="AH580" i="20"/>
  <c r="AH576" i="20"/>
  <c r="AC569" i="20"/>
  <c r="Z563" i="20"/>
  <c r="AG789" i="20"/>
  <c r="AH286" i="20"/>
  <c r="AB122" i="20"/>
  <c r="Z548" i="20"/>
  <c r="AL540" i="20"/>
  <c r="AE526" i="20"/>
  <c r="AH489" i="20"/>
  <c r="AB485" i="20"/>
  <c r="AA480" i="20"/>
  <c r="AF476" i="20"/>
  <c r="AJ471" i="20"/>
  <c r="AE535" i="20"/>
  <c r="AF465" i="20"/>
  <c r="AL397" i="20"/>
  <c r="AH726" i="20"/>
  <c r="Y442" i="20"/>
  <c r="AL846" i="20"/>
  <c r="AI92" i="20"/>
  <c r="AH433" i="20"/>
  <c r="AB430" i="20"/>
  <c r="AH1046" i="20"/>
  <c r="AH908" i="20"/>
  <c r="AI825" i="20"/>
  <c r="AG777" i="20"/>
  <c r="AL742" i="20"/>
  <c r="AB672" i="20"/>
  <c r="AG513" i="20"/>
  <c r="AA460" i="20"/>
  <c r="AL404" i="20"/>
  <c r="AB330" i="20"/>
  <c r="AG423" i="20"/>
  <c r="AG264" i="20"/>
  <c r="AK202" i="20"/>
  <c r="AH91" i="20"/>
  <c r="AH90" i="20"/>
  <c r="AH145" i="20"/>
  <c r="AH451" i="20"/>
  <c r="Z994" i="20"/>
  <c r="AC761" i="20"/>
  <c r="Y405" i="20"/>
  <c r="AL785" i="20"/>
  <c r="AJ393" i="20"/>
  <c r="AA481" i="20"/>
  <c r="AL520" i="20"/>
  <c r="AH387" i="20"/>
  <c r="AN350" i="20"/>
  <c r="AD369" i="20"/>
  <c r="AD329" i="20"/>
  <c r="AA313" i="20"/>
  <c r="AH450" i="20"/>
  <c r="AH993" i="20"/>
  <c r="AK681" i="20"/>
  <c r="AH972" i="20"/>
  <c r="AH938" i="20"/>
  <c r="AK980" i="20"/>
  <c r="AL595" i="20"/>
  <c r="AG585" i="20"/>
  <c r="AH290" i="20"/>
  <c r="AH1057" i="20"/>
  <c r="AH328" i="20"/>
  <c r="AH172" i="20"/>
  <c r="AI153" i="20"/>
  <c r="AH149" i="20"/>
  <c r="AH70" i="20"/>
  <c r="Y955" i="20"/>
  <c r="Z954" i="20"/>
  <c r="AA953" i="20"/>
  <c r="AB952" i="20"/>
  <c r="AC955" i="20"/>
  <c r="AD954" i="20"/>
  <c r="AE953" i="20"/>
  <c r="AF952" i="20"/>
  <c r="AG955" i="20"/>
  <c r="AH954" i="20"/>
  <c r="AI953" i="20"/>
  <c r="AJ952" i="20"/>
  <c r="AK955" i="20"/>
  <c r="AL954" i="20"/>
  <c r="AN952" i="20"/>
  <c r="Y952" i="20"/>
  <c r="Z955" i="20"/>
  <c r="AA954" i="20"/>
  <c r="AB953" i="20"/>
  <c r="AC952" i="20"/>
  <c r="AD955" i="20"/>
  <c r="AE954" i="20"/>
  <c r="AF953" i="20"/>
  <c r="AG952" i="20"/>
  <c r="AH955" i="20"/>
  <c r="AI954" i="20"/>
  <c r="AJ953" i="20"/>
  <c r="AK952" i="20"/>
  <c r="AL955" i="20"/>
  <c r="AN953" i="20"/>
  <c r="Y953" i="20"/>
  <c r="Z952" i="20"/>
  <c r="AA955" i="20"/>
  <c r="AB954" i="20"/>
  <c r="AC953" i="20"/>
  <c r="AD952" i="20"/>
  <c r="AE955" i="20"/>
  <c r="AF954" i="20"/>
  <c r="AG953" i="20"/>
  <c r="AH952" i="20"/>
  <c r="AI955" i="20"/>
  <c r="AJ954" i="20"/>
  <c r="AK953" i="20"/>
  <c r="AL952" i="20"/>
  <c r="AN954" i="20"/>
  <c r="Y954" i="20"/>
  <c r="Z953" i="20"/>
  <c r="AA952" i="20"/>
  <c r="AB955" i="20"/>
  <c r="AC954" i="20"/>
  <c r="AD953" i="20"/>
  <c r="AE952" i="20"/>
  <c r="AF955" i="20"/>
  <c r="AG954" i="20"/>
  <c r="AH953" i="20"/>
  <c r="AI952" i="20"/>
  <c r="AJ955" i="20"/>
  <c r="AK954" i="20"/>
  <c r="AL953" i="20"/>
  <c r="AN955" i="20"/>
  <c r="AE213" i="20"/>
  <c r="AC493" i="20"/>
  <c r="AI1154" i="20"/>
  <c r="AF1150" i="20"/>
  <c r="Y1168" i="20"/>
  <c r="AK1172" i="20"/>
  <c r="AC1180" i="20"/>
  <c r="AJ1184" i="20"/>
  <c r="AG1200" i="20"/>
  <c r="AE1204" i="20"/>
  <c r="AL1208" i="20"/>
  <c r="AK1212" i="20"/>
  <c r="AH1216" i="20"/>
  <c r="Y1220" i="20"/>
  <c r="AD1244" i="20"/>
  <c r="AA1264" i="20"/>
  <c r="AH1268" i="20"/>
  <c r="AA1272" i="20"/>
  <c r="AD1276" i="20"/>
  <c r="AJ1280" i="20"/>
  <c r="AG1284" i="20"/>
  <c r="AC1288" i="20"/>
  <c r="Z1292" i="20"/>
  <c r="AB1300" i="20"/>
  <c r="AB1312" i="20"/>
  <c r="Y1316" i="20"/>
  <c r="Z1320" i="20"/>
  <c r="AG1324" i="20"/>
  <c r="AG1336" i="20"/>
  <c r="AN10" i="20"/>
  <c r="Y17" i="20"/>
  <c r="AL23" i="20"/>
  <c r="AL982" i="20"/>
  <c r="AC209" i="20"/>
  <c r="AN324" i="20"/>
  <c r="AE601" i="20"/>
  <c r="AJ832" i="20"/>
  <c r="AB927" i="20"/>
  <c r="AF41" i="20"/>
  <c r="AL861" i="20"/>
  <c r="AB963" i="20"/>
  <c r="AH383" i="20"/>
  <c r="AF858" i="20"/>
  <c r="AC37" i="20"/>
  <c r="AI30" i="20"/>
  <c r="AH338" i="20"/>
  <c r="AJ361" i="20"/>
  <c r="AJ721" i="20"/>
  <c r="AH770" i="20"/>
  <c r="AL879" i="20"/>
  <c r="AA960" i="20"/>
  <c r="AR726" i="20"/>
  <c r="AR162" i="20"/>
  <c r="AJ145" i="20"/>
  <c r="AL779" i="20"/>
  <c r="AJ1030" i="20"/>
  <c r="AL588" i="20"/>
  <c r="AH202" i="20"/>
  <c r="AG91" i="20"/>
  <c r="Z569" i="20"/>
  <c r="AA476" i="20"/>
  <c r="AN145" i="20"/>
  <c r="AR925" i="20"/>
  <c r="AJ849" i="20"/>
  <c r="AI973" i="20"/>
  <c r="AI900" i="20"/>
  <c r="AL569" i="20"/>
  <c r="AH635" i="20"/>
  <c r="AA742" i="20"/>
  <c r="Z480" i="20"/>
  <c r="AE826" i="20"/>
  <c r="AE1268" i="20"/>
  <c r="AI17" i="20"/>
  <c r="AI982" i="20"/>
  <c r="AL927" i="20"/>
  <c r="AN23" i="20"/>
  <c r="AN1264" i="20"/>
  <c r="AL839" i="20"/>
  <c r="AJ460" i="20"/>
  <c r="AI896" i="20"/>
  <c r="AL1046" i="20"/>
  <c r="AJ802" i="20"/>
  <c r="AJ904" i="20"/>
  <c r="AH700" i="20"/>
  <c r="AJ846" i="20"/>
  <c r="AH1010" i="20"/>
  <c r="AH1035" i="20"/>
  <c r="Z460" i="20"/>
  <c r="Z58" i="20"/>
  <c r="AA777" i="20"/>
  <c r="AD1030" i="20"/>
  <c r="AG660" i="20"/>
  <c r="AF684" i="20"/>
  <c r="AN543" i="20"/>
  <c r="AR454" i="20"/>
  <c r="AI1021" i="20"/>
  <c r="AC369" i="20"/>
  <c r="AJ313" i="20"/>
  <c r="AI666" i="20"/>
  <c r="AJ520" i="20"/>
  <c r="AL801" i="20"/>
  <c r="AL105" i="20"/>
  <c r="AL745" i="20"/>
  <c r="AH543" i="20"/>
  <c r="AH761" i="20"/>
  <c r="Z318" i="20"/>
  <c r="AD442" i="20"/>
  <c r="Y789" i="20"/>
  <c r="AC794" i="20"/>
  <c r="AK595" i="20"/>
  <c r="AN1216" i="20"/>
  <c r="AE10" i="20"/>
  <c r="AH10" i="20"/>
  <c r="AD17" i="20"/>
  <c r="AE209" i="20"/>
  <c r="Y324" i="20"/>
  <c r="AI861" i="20"/>
  <c r="AB37" i="20"/>
  <c r="AI960" i="20"/>
  <c r="AH1212" i="20"/>
  <c r="AG1184" i="20"/>
  <c r="AB1150" i="20"/>
  <c r="AH30" i="20"/>
  <c r="AK10" i="20"/>
  <c r="AD10" i="20"/>
  <c r="AJ10" i="20"/>
  <c r="AN17" i="20"/>
  <c r="AK17" i="20"/>
  <c r="AL17" i="20"/>
  <c r="AF17" i="20"/>
  <c r="AJ23" i="20"/>
  <c r="AG23" i="20"/>
  <c r="AH23" i="20"/>
  <c r="AI23" i="20"/>
  <c r="G53" i="86" s="1"/>
  <c r="AB23" i="20"/>
  <c r="Y23" i="20"/>
  <c r="Z23" i="20"/>
  <c r="AA23" i="20"/>
  <c r="AN982" i="20"/>
  <c r="Y982" i="20"/>
  <c r="Z982" i="20"/>
  <c r="AF982" i="20"/>
  <c r="AE982" i="20"/>
  <c r="AG982" i="20"/>
  <c r="AH982" i="20"/>
  <c r="AF832" i="20"/>
  <c r="AN832" i="20"/>
  <c r="AC832" i="20"/>
  <c r="AK832" i="20"/>
  <c r="AB832" i="20"/>
  <c r="AL832" i="20"/>
  <c r="AE832" i="20"/>
  <c r="AD832" i="20"/>
  <c r="AG832" i="20"/>
  <c r="AH832" i="20"/>
  <c r="Y832" i="20"/>
  <c r="AI832" i="20"/>
  <c r="AF243" i="20"/>
  <c r="AK243" i="20"/>
  <c r="AA243" i="20"/>
  <c r="Y243" i="20"/>
  <c r="AL243" i="20"/>
  <c r="AC243" i="20"/>
  <c r="AE243" i="20"/>
  <c r="AB243" i="20"/>
  <c r="Z243" i="20"/>
  <c r="Y341" i="20"/>
  <c r="Z341" i="20"/>
  <c r="AN341" i="20"/>
  <c r="AH341" i="20"/>
  <c r="AC341" i="20"/>
  <c r="AL341" i="20"/>
  <c r="AB341" i="20"/>
  <c r="AK341" i="20"/>
  <c r="AA341" i="20"/>
  <c r="AB707" i="20"/>
  <c r="AN707" i="20"/>
  <c r="AE707" i="20"/>
  <c r="AJ707" i="20"/>
  <c r="AG707" i="20"/>
  <c r="Z707" i="20"/>
  <c r="AI707" i="20"/>
  <c r="AF707" i="20"/>
  <c r="Y707" i="20"/>
  <c r="AF861" i="20"/>
  <c r="AA861" i="20"/>
  <c r="Z861" i="20"/>
  <c r="AN861" i="20"/>
  <c r="Y861" i="20"/>
  <c r="AD861" i="20"/>
  <c r="AE861" i="20"/>
  <c r="AH861" i="20"/>
  <c r="AG861" i="20"/>
  <c r="AA963" i="20"/>
  <c r="AG963" i="20"/>
  <c r="AF963" i="20"/>
  <c r="AC963" i="20"/>
  <c r="AN963" i="20"/>
  <c r="Z963" i="20"/>
  <c r="AE963" i="20"/>
  <c r="AD963" i="20"/>
  <c r="AH881" i="20"/>
  <c r="AE881" i="20"/>
  <c r="AF881" i="20"/>
  <c r="AG881" i="20"/>
  <c r="AL881" i="20"/>
  <c r="AI881" i="20"/>
  <c r="Z881" i="20"/>
  <c r="AN881" i="20"/>
  <c r="Y881" i="20"/>
  <c r="AB338" i="20"/>
  <c r="AE338" i="20"/>
  <c r="Z338" i="20"/>
  <c r="AC338" i="20"/>
  <c r="AA338" i="20"/>
  <c r="AG338" i="20"/>
  <c r="AD338" i="20"/>
  <c r="AJ338" i="20"/>
  <c r="AL338" i="20"/>
  <c r="AK338" i="20"/>
  <c r="Y338" i="20"/>
  <c r="AN361" i="20"/>
  <c r="AF361" i="20"/>
  <c r="AA361" i="20"/>
  <c r="AI361" i="20"/>
  <c r="Z361" i="20"/>
  <c r="AH361" i="20"/>
  <c r="AB361" i="20"/>
  <c r="AC361" i="20"/>
  <c r="AK361" i="20"/>
  <c r="AD361" i="20"/>
  <c r="AL361" i="20"/>
  <c r="AE361" i="20"/>
  <c r="AA853" i="20"/>
  <c r="AK853" i="20"/>
  <c r="AJ853" i="20"/>
  <c r="AL853" i="20"/>
  <c r="AE853" i="20"/>
  <c r="AC853" i="20"/>
  <c r="AN853" i="20"/>
  <c r="Y853" i="20"/>
  <c r="AB853" i="20"/>
  <c r="AD1268" i="20"/>
  <c r="AA10" i="20"/>
  <c r="Z17" i="20"/>
  <c r="AF23" i="20"/>
  <c r="AF338" i="20"/>
  <c r="Y361" i="20"/>
  <c r="AG853" i="20"/>
  <c r="AJ1256" i="20"/>
  <c r="AA1256" i="20"/>
  <c r="AF467" i="20"/>
  <c r="AC467" i="20"/>
  <c r="AD467" i="20"/>
  <c r="AE467" i="20"/>
  <c r="AN467" i="20"/>
  <c r="Z467" i="20"/>
  <c r="AI467" i="20"/>
  <c r="Y467" i="20"/>
  <c r="AH467" i="20"/>
  <c r="AB467" i="20"/>
  <c r="AG467" i="20"/>
  <c r="AL467" i="20"/>
  <c r="AN601" i="20"/>
  <c r="Y601" i="20"/>
  <c r="Z601" i="20"/>
  <c r="AF601" i="20"/>
  <c r="AI601" i="20"/>
  <c r="AD601" i="20"/>
  <c r="AJ601" i="20"/>
  <c r="AC601" i="20"/>
  <c r="AH601" i="20"/>
  <c r="AA601" i="20"/>
  <c r="AG601" i="20"/>
  <c r="AL601" i="20"/>
  <c r="AH41" i="20"/>
  <c r="AA41" i="20"/>
  <c r="AI41" i="20"/>
  <c r="AJ41" i="20"/>
  <c r="AE41" i="20"/>
  <c r="Z41" i="20"/>
  <c r="AL41" i="20"/>
  <c r="AG41" i="20"/>
  <c r="AD41" i="20"/>
  <c r="AN41" i="20"/>
  <c r="Y41" i="20"/>
  <c r="AK41" i="20"/>
  <c r="AF719" i="20"/>
  <c r="AE719" i="20"/>
  <c r="AH719" i="20"/>
  <c r="AK719" i="20"/>
  <c r="AJ719" i="20"/>
  <c r="Y719" i="20"/>
  <c r="Z719" i="20"/>
  <c r="AN719" i="20"/>
  <c r="AC719" i="20"/>
  <c r="AD383" i="20"/>
  <c r="AN383" i="20"/>
  <c r="Y383" i="20"/>
  <c r="AI383" i="20"/>
  <c r="AL383" i="20"/>
  <c r="AA383" i="20"/>
  <c r="Z383" i="20"/>
  <c r="AE383" i="20"/>
  <c r="AF383" i="20"/>
  <c r="AG383" i="20"/>
  <c r="AA768" i="20"/>
  <c r="AF768" i="20"/>
  <c r="AL768" i="20"/>
  <c r="Z768" i="20"/>
  <c r="AH768" i="20"/>
  <c r="AB768" i="20"/>
  <c r="AI768" i="20"/>
  <c r="AD768" i="20"/>
  <c r="AJ768" i="20"/>
  <c r="AJ37" i="20"/>
  <c r="AI37" i="20"/>
  <c r="AG37" i="20"/>
  <c r="AK37" i="20"/>
  <c r="Z37" i="20"/>
  <c r="AH37" i="20"/>
  <c r="Y37" i="20"/>
  <c r="AL37" i="20"/>
  <c r="AF37" i="20"/>
  <c r="AE37" i="20"/>
  <c r="AD37" i="20"/>
  <c r="AC721" i="20"/>
  <c r="AE721" i="20"/>
  <c r="AB721" i="20"/>
  <c r="AD721" i="20"/>
  <c r="AK721" i="20"/>
  <c r="AA721" i="20"/>
  <c r="AF721" i="20"/>
  <c r="AN721" i="20"/>
  <c r="Y721" i="20"/>
  <c r="AI721" i="20"/>
  <c r="AL721" i="20"/>
  <c r="AG721" i="20"/>
  <c r="AH721" i="20"/>
  <c r="AB770" i="20"/>
  <c r="AF770" i="20"/>
  <c r="AJ770" i="20"/>
  <c r="Y770" i="20"/>
  <c r="AD770" i="20"/>
  <c r="AI770" i="20"/>
  <c r="Z770" i="20"/>
  <c r="AE770" i="20"/>
  <c r="AK770" i="20"/>
  <c r="AA770" i="20"/>
  <c r="AG770" i="20"/>
  <c r="AL770" i="20"/>
  <c r="AI10" i="20"/>
  <c r="AC10" i="20"/>
  <c r="AJ17" i="20"/>
  <c r="AD982" i="20"/>
  <c r="AD209" i="20"/>
  <c r="AA467" i="20"/>
  <c r="AB601" i="20"/>
  <c r="Z832" i="20"/>
  <c r="AD243" i="20"/>
  <c r="AH707" i="20"/>
  <c r="AB719" i="20"/>
  <c r="AC770" i="20"/>
  <c r="AG1220" i="20"/>
  <c r="AA1316" i="20"/>
  <c r="AN1180" i="20"/>
  <c r="AG1180" i="20"/>
  <c r="Z10" i="20"/>
  <c r="AL10" i="20"/>
  <c r="AB10" i="20"/>
  <c r="AA17" i="20"/>
  <c r="AG17" i="20"/>
  <c r="AB17" i="20"/>
  <c r="AK23" i="20"/>
  <c r="I53" i="86" s="1"/>
  <c r="L53" i="86" s="1"/>
  <c r="AK982" i="20"/>
  <c r="AJ982" i="20"/>
  <c r="AK467" i="20"/>
  <c r="AA832" i="20"/>
  <c r="AN243" i="20"/>
  <c r="AE341" i="20"/>
  <c r="AG719" i="20"/>
  <c r="AH963" i="20"/>
  <c r="AN768" i="20"/>
  <c r="AA37" i="20"/>
  <c r="AN338" i="20"/>
  <c r="AG361" i="20"/>
  <c r="Z721" i="20"/>
  <c r="AF853" i="20"/>
  <c r="Z1324" i="20"/>
  <c r="AH1324" i="20"/>
  <c r="AJ209" i="20"/>
  <c r="AG209" i="20"/>
  <c r="AH209" i="20"/>
  <c r="AI209" i="20"/>
  <c r="AN209" i="20"/>
  <c r="AK209" i="20"/>
  <c r="AL209" i="20"/>
  <c r="AB209" i="20"/>
  <c r="Y209" i="20"/>
  <c r="Z209" i="20"/>
  <c r="AA209" i="20"/>
  <c r="AB324" i="20"/>
  <c r="AA324" i="20"/>
  <c r="AC324" i="20"/>
  <c r="AD324" i="20"/>
  <c r="AF324" i="20"/>
  <c r="AE324" i="20"/>
  <c r="AG324" i="20"/>
  <c r="AH324" i="20"/>
  <c r="AJ324" i="20"/>
  <c r="AI324" i="20"/>
  <c r="AK324" i="20"/>
  <c r="AL324" i="20"/>
  <c r="AF927" i="20"/>
  <c r="AN927" i="20"/>
  <c r="AE927" i="20"/>
  <c r="AD927" i="20"/>
  <c r="Y927" i="20"/>
  <c r="AI927" i="20"/>
  <c r="AH927" i="20"/>
  <c r="AA927" i="20"/>
  <c r="AK927" i="20"/>
  <c r="Z927" i="20"/>
  <c r="AJ927" i="20"/>
  <c r="AC927" i="20"/>
  <c r="AB358" i="20"/>
  <c r="AN358" i="20"/>
  <c r="AH358" i="20"/>
  <c r="AC358" i="20"/>
  <c r="AK358" i="20"/>
  <c r="AE358" i="20"/>
  <c r="AJ358" i="20"/>
  <c r="Z358" i="20"/>
  <c r="AL358" i="20"/>
  <c r="AG358" i="20"/>
  <c r="AI358" i="20"/>
  <c r="AF882" i="20"/>
  <c r="AA882" i="20"/>
  <c r="AH882" i="20"/>
  <c r="AG882" i="20"/>
  <c r="AL882" i="20"/>
  <c r="AI882" i="20"/>
  <c r="Z882" i="20"/>
  <c r="AN882" i="20"/>
  <c r="Y882" i="20"/>
  <c r="AE858" i="20"/>
  <c r="AJ858" i="20"/>
  <c r="AA858" i="20"/>
  <c r="Z858" i="20"/>
  <c r="AG858" i="20"/>
  <c r="AB858" i="20"/>
  <c r="AI858" i="20"/>
  <c r="AC858" i="20"/>
  <c r="AK858" i="20"/>
  <c r="AB30" i="20"/>
  <c r="AF30" i="20"/>
  <c r="AC30" i="20"/>
  <c r="Z30" i="20"/>
  <c r="AA30" i="20"/>
  <c r="AE30" i="20"/>
  <c r="AJ30" i="20"/>
  <c r="Y30" i="20"/>
  <c r="AK30" i="20"/>
  <c r="AL30" i="20"/>
  <c r="AD30" i="20"/>
  <c r="AG30" i="20"/>
  <c r="AN30" i="20"/>
  <c r="AC705" i="20"/>
  <c r="AN705" i="20"/>
  <c r="AI705" i="20"/>
  <c r="Z705" i="20"/>
  <c r="AH705" i="20"/>
  <c r="AK705" i="20"/>
  <c r="AB705" i="20"/>
  <c r="AA705" i="20"/>
  <c r="AJ705" i="20"/>
  <c r="Y705" i="20"/>
  <c r="AG705" i="20"/>
  <c r="AF705" i="20"/>
  <c r="AD705" i="20"/>
  <c r="AL705" i="20"/>
  <c r="Y879" i="20"/>
  <c r="AB879" i="20"/>
  <c r="AJ879" i="20"/>
  <c r="AN879" i="20"/>
  <c r="AA879" i="20"/>
  <c r="AH879" i="20"/>
  <c r="AF879" i="20"/>
  <c r="AI879" i="20"/>
  <c r="AC879" i="20"/>
  <c r="AB960" i="20"/>
  <c r="AG960" i="20"/>
  <c r="AN960" i="20"/>
  <c r="AC960" i="20"/>
  <c r="AJ960" i="20"/>
  <c r="AE960" i="20"/>
  <c r="AK960" i="20"/>
  <c r="Y960" i="20"/>
  <c r="AF960" i="20"/>
  <c r="AG10" i="20"/>
  <c r="AE17" i="20"/>
  <c r="AD23" i="20"/>
  <c r="AA982" i="20"/>
  <c r="AC41" i="20"/>
  <c r="Z1276" i="20"/>
  <c r="AL1154" i="20"/>
  <c r="AK1276" i="20"/>
  <c r="AK1154" i="20"/>
  <c r="Y10" i="20"/>
  <c r="AF10" i="20"/>
  <c r="AH17" i="20"/>
  <c r="AC17" i="20"/>
  <c r="AE23" i="20"/>
  <c r="AC23" i="20"/>
  <c r="AC982" i="20"/>
  <c r="AB982" i="20"/>
  <c r="AF209" i="20"/>
  <c r="Z324" i="20"/>
  <c r="AJ467" i="20"/>
  <c r="AK601" i="20"/>
  <c r="AG927" i="20"/>
  <c r="AF341" i="20"/>
  <c r="AA707" i="20"/>
  <c r="AE882" i="20"/>
  <c r="AD882" i="20"/>
  <c r="Y963" i="20"/>
  <c r="AE768" i="20"/>
  <c r="AA881" i="20"/>
  <c r="AD881" i="20"/>
  <c r="AN37" i="20"/>
  <c r="AI338" i="20"/>
  <c r="AE705" i="20"/>
  <c r="AN770" i="20"/>
  <c r="AI853" i="20"/>
  <c r="AD879" i="20"/>
  <c r="AK879" i="20"/>
  <c r="AJ1158" i="20"/>
  <c r="Y1158" i="20"/>
  <c r="Z1158" i="20"/>
  <c r="AI1158" i="20"/>
  <c r="AC1158" i="20"/>
  <c r="AD1158" i="20"/>
  <c r="AK1158" i="20"/>
  <c r="AF1158" i="20"/>
  <c r="AG1158" i="20"/>
  <c r="AA1158" i="20"/>
  <c r="AE1158" i="20"/>
  <c r="AL1158" i="20"/>
  <c r="AN1158" i="20"/>
  <c r="AH1158" i="20"/>
  <c r="AD1164" i="20"/>
  <c r="AG1164" i="20"/>
  <c r="AF1164" i="20"/>
  <c r="AH1164" i="20"/>
  <c r="AE1164" i="20"/>
  <c r="AB1164" i="20"/>
  <c r="AA1164" i="20"/>
  <c r="AI1164" i="20"/>
  <c r="AJ1164" i="20"/>
  <c r="AC1164" i="20"/>
  <c r="AL1164" i="20"/>
  <c r="Z1164" i="20"/>
  <c r="AK1164" i="20"/>
  <c r="Y1164" i="20"/>
  <c r="AD1176" i="20"/>
  <c r="AK1176" i="20"/>
  <c r="AG1176" i="20"/>
  <c r="AJ1176" i="20"/>
  <c r="AA1176" i="20"/>
  <c r="AN1176" i="20"/>
  <c r="Z1176" i="20"/>
  <c r="AB1176" i="20"/>
  <c r="AL1176" i="20"/>
  <c r="AI1176" i="20"/>
  <c r="AF1176" i="20"/>
  <c r="AE1176" i="20"/>
  <c r="Y1176" i="20"/>
  <c r="AC1176" i="20"/>
  <c r="AD1188" i="20"/>
  <c r="AJ1188" i="20"/>
  <c r="AB1188" i="20"/>
  <c r="AE1188" i="20"/>
  <c r="AI1188" i="20"/>
  <c r="AH1188" i="20"/>
  <c r="AG1188" i="20"/>
  <c r="Y1188" i="20"/>
  <c r="Z1188" i="20"/>
  <c r="AL1188" i="20"/>
  <c r="AA1188" i="20"/>
  <c r="AF1188" i="20"/>
  <c r="AK1188" i="20"/>
  <c r="AF1196" i="20"/>
  <c r="AE1196" i="20"/>
  <c r="AD1196" i="20"/>
  <c r="AH1196" i="20"/>
  <c r="AK1196" i="20"/>
  <c r="AC1196" i="20"/>
  <c r="AG1196" i="20"/>
  <c r="AN1196" i="20"/>
  <c r="AL1196" i="20"/>
  <c r="Y1196" i="20"/>
  <c r="AA1196" i="20"/>
  <c r="AJ1196" i="20"/>
  <c r="Z1196" i="20"/>
  <c r="AG1208" i="20"/>
  <c r="AE1208" i="20"/>
  <c r="AF1208" i="20"/>
  <c r="Z1208" i="20"/>
  <c r="AC1208" i="20"/>
  <c r="AJ1208" i="20"/>
  <c r="AD1208" i="20"/>
  <c r="AB1208" i="20"/>
  <c r="AK1208" i="20"/>
  <c r="AN1208" i="20"/>
  <c r="Y1208" i="20"/>
  <c r="AH1208" i="20"/>
  <c r="AE1216" i="20"/>
  <c r="Y1216" i="20"/>
  <c r="AC1216" i="20"/>
  <c r="AI1216" i="20"/>
  <c r="Z1216" i="20"/>
  <c r="AA1216" i="20"/>
  <c r="AB1216" i="20"/>
  <c r="AG1216" i="20"/>
  <c r="AL1216" i="20"/>
  <c r="AF1216" i="20"/>
  <c r="AD1216" i="20"/>
  <c r="AK1216" i="20"/>
  <c r="AJ1216" i="20"/>
  <c r="AD1228" i="20"/>
  <c r="AE1228" i="20"/>
  <c r="AG1228" i="20"/>
  <c r="AL1228" i="20"/>
  <c r="AH1228" i="20"/>
  <c r="Z1228" i="20"/>
  <c r="AK1228" i="20"/>
  <c r="AJ1228" i="20"/>
  <c r="AI1228" i="20"/>
  <c r="AC1228" i="20"/>
  <c r="AB1228" i="20"/>
  <c r="Y1228" i="20"/>
  <c r="AA1228" i="20"/>
  <c r="AN1228" i="20"/>
  <c r="AG1236" i="20"/>
  <c r="AA1236" i="20"/>
  <c r="AL1236" i="20"/>
  <c r="AH1236" i="20"/>
  <c r="AB1236" i="20"/>
  <c r="AC1236" i="20"/>
  <c r="AE1236" i="20"/>
  <c r="AK1236" i="20"/>
  <c r="AJ1236" i="20"/>
  <c r="AN1236" i="20"/>
  <c r="AI1236" i="20"/>
  <c r="Y1236" i="20"/>
  <c r="Z1236" i="20"/>
  <c r="AF1236" i="20"/>
  <c r="AE1248" i="20"/>
  <c r="AJ1248" i="20"/>
  <c r="AH1248" i="20"/>
  <c r="AA1248" i="20"/>
  <c r="AG1248" i="20"/>
  <c r="AI1248" i="20"/>
  <c r="AD1248" i="20"/>
  <c r="AF1248" i="20"/>
  <c r="Z1248" i="20"/>
  <c r="AL1248" i="20"/>
  <c r="AK1248" i="20"/>
  <c r="AB1248" i="20"/>
  <c r="Y1248" i="20"/>
  <c r="AC1248" i="20"/>
  <c r="AG1264" i="20"/>
  <c r="AL1264" i="20"/>
  <c r="AB1264" i="20"/>
  <c r="AC1264" i="20"/>
  <c r="AI1264" i="20"/>
  <c r="Z1264" i="20"/>
  <c r="AE1264" i="20"/>
  <c r="AD1264" i="20"/>
  <c r="AH1264" i="20"/>
  <c r="Y1264" i="20"/>
  <c r="AF1264" i="20"/>
  <c r="AJ1264" i="20"/>
  <c r="AH1276" i="20"/>
  <c r="AC1276" i="20"/>
  <c r="AJ1276" i="20"/>
  <c r="AL1276" i="20"/>
  <c r="AF1276" i="20"/>
  <c r="Y1276" i="20"/>
  <c r="AA1276" i="20"/>
  <c r="AE1276" i="20"/>
  <c r="AI1276" i="20"/>
  <c r="AF1288" i="20"/>
  <c r="AK1288" i="20"/>
  <c r="AA1288" i="20"/>
  <c r="AL1288" i="20"/>
  <c r="AI1288" i="20"/>
  <c r="AJ1288" i="20"/>
  <c r="Z1288" i="20"/>
  <c r="AE1288" i="20"/>
  <c r="AN1288" i="20"/>
  <c r="AB1288" i="20"/>
  <c r="AG1288" i="20"/>
  <c r="Z1296" i="20"/>
  <c r="AL1296" i="20"/>
  <c r="AJ1296" i="20"/>
  <c r="AG1296" i="20"/>
  <c r="AA1296" i="20"/>
  <c r="AB1296" i="20"/>
  <c r="AI1296" i="20"/>
  <c r="AN1296" i="20"/>
  <c r="Y1296" i="20"/>
  <c r="AH1296" i="20"/>
  <c r="AD1296" i="20"/>
  <c r="AE1296" i="20"/>
  <c r="AH1308" i="20"/>
  <c r="AI1308" i="20"/>
  <c r="AC1308" i="20"/>
  <c r="AE1308" i="20"/>
  <c r="AA1308" i="20"/>
  <c r="AF1308" i="20"/>
  <c r="AD1308" i="20"/>
  <c r="AK1308" i="20"/>
  <c r="AG1308" i="20"/>
  <c r="AN1308" i="20"/>
  <c r="AJ1308" i="20"/>
  <c r="AL1308" i="20"/>
  <c r="Y1308" i="20"/>
  <c r="Z1308" i="20"/>
  <c r="AB1308" i="20"/>
  <c r="AD1320" i="20"/>
  <c r="AE1320" i="20"/>
  <c r="AG1320" i="20"/>
  <c r="AL1320" i="20"/>
  <c r="AF1320" i="20"/>
  <c r="AJ1320" i="20"/>
  <c r="AH1320" i="20"/>
  <c r="AN1320" i="20"/>
  <c r="AK1320" i="20"/>
  <c r="AB1320" i="20"/>
  <c r="AI1320" i="20"/>
  <c r="AC1320" i="20"/>
  <c r="AC1336" i="20"/>
  <c r="AJ1336" i="20"/>
  <c r="Z1336" i="20"/>
  <c r="AD1336" i="20"/>
  <c r="AI1336" i="20"/>
  <c r="AB1336" i="20"/>
  <c r="AA1336" i="20"/>
  <c r="AF1336" i="20"/>
  <c r="AK1336" i="20"/>
  <c r="AE1336" i="20"/>
  <c r="AL1336" i="20"/>
  <c r="Y1336" i="20"/>
  <c r="AK1264" i="20"/>
  <c r="AD1220" i="20"/>
  <c r="Y1320" i="20"/>
  <c r="AC1188" i="20"/>
  <c r="AD1288" i="20"/>
  <c r="AC1296" i="20"/>
  <c r="Y1162" i="20"/>
  <c r="AJ1162" i="20"/>
  <c r="AB1162" i="20"/>
  <c r="AH1162" i="20"/>
  <c r="AK1162" i="20"/>
  <c r="AE1162" i="20"/>
  <c r="AD1162" i="20"/>
  <c r="AN1162" i="20"/>
  <c r="Z1162" i="20"/>
  <c r="AI1162" i="20"/>
  <c r="AC1162" i="20"/>
  <c r="AL1162" i="20"/>
  <c r="AN1150" i="20"/>
  <c r="AK1150" i="20"/>
  <c r="Y1150" i="20"/>
  <c r="AE1150" i="20"/>
  <c r="AJ1150" i="20"/>
  <c r="AG1150" i="20"/>
  <c r="AI1150" i="20"/>
  <c r="AH1150" i="20"/>
  <c r="AA1150" i="20"/>
  <c r="Z1150" i="20"/>
  <c r="AL1150" i="20"/>
  <c r="AA1172" i="20"/>
  <c r="AE1172" i="20"/>
  <c r="AH1172" i="20"/>
  <c r="AL1172" i="20"/>
  <c r="Y1172" i="20"/>
  <c r="Z1172" i="20"/>
  <c r="AN1172" i="20"/>
  <c r="AD1172" i="20"/>
  <c r="AJ1172" i="20"/>
  <c r="AC1172" i="20"/>
  <c r="AB1172" i="20"/>
  <c r="AG1172" i="20"/>
  <c r="AJ1180" i="20"/>
  <c r="AL1180" i="20"/>
  <c r="Y1180" i="20"/>
  <c r="AI1180" i="20"/>
  <c r="AD1180" i="20"/>
  <c r="Z1180" i="20"/>
  <c r="AB1180" i="20"/>
  <c r="AK1180" i="20"/>
  <c r="AH1180" i="20"/>
  <c r="AE1180" i="20"/>
  <c r="AF1180" i="20"/>
  <c r="AA1180" i="20"/>
  <c r="AL1192" i="20"/>
  <c r="AD1192" i="20"/>
  <c r="AF1192" i="20"/>
  <c r="AC1192" i="20"/>
  <c r="Z1192" i="20"/>
  <c r="Y1192" i="20"/>
  <c r="AA1192" i="20"/>
  <c r="AB1192" i="20"/>
  <c r="AI1192" i="20"/>
  <c r="AE1192" i="20"/>
  <c r="AK1192" i="20"/>
  <c r="AG1192" i="20"/>
  <c r="AN1192" i="20"/>
  <c r="AH1192" i="20"/>
  <c r="AJ1192" i="20"/>
  <c r="AK1204" i="20"/>
  <c r="Y1204" i="20"/>
  <c r="AC1204" i="20"/>
  <c r="AH1204" i="20"/>
  <c r="AN1204" i="20"/>
  <c r="AI1204" i="20"/>
  <c r="AJ1204" i="20"/>
  <c r="AG1204" i="20"/>
  <c r="AD1204" i="20"/>
  <c r="AF1204" i="20"/>
  <c r="AI1220" i="20"/>
  <c r="Z1220" i="20"/>
  <c r="AE1220" i="20"/>
  <c r="AF1220" i="20"/>
  <c r="AH1220" i="20"/>
  <c r="AA1220" i="20"/>
  <c r="AB1220" i="20"/>
  <c r="AC1220" i="20"/>
  <c r="AK1220" i="20"/>
  <c r="AJ1220" i="20"/>
  <c r="AL1220" i="20"/>
  <c r="AG1232" i="20"/>
  <c r="Z1232" i="20"/>
  <c r="Y1232" i="20"/>
  <c r="AL1232" i="20"/>
  <c r="AE1232" i="20"/>
  <c r="AD1232" i="20"/>
  <c r="AH1232" i="20"/>
  <c r="AI1232" i="20"/>
  <c r="AB1232" i="20"/>
  <c r="AN1232" i="20"/>
  <c r="AC1232" i="20"/>
  <c r="AG1240" i="20"/>
  <c r="AI1240" i="20"/>
  <c r="AD1240" i="20"/>
  <c r="AL1240" i="20"/>
  <c r="AB1240" i="20"/>
  <c r="AF1240" i="20"/>
  <c r="AE1240" i="20"/>
  <c r="Z1240" i="20"/>
  <c r="AK1240" i="20"/>
  <c r="AJ1240" i="20"/>
  <c r="Y1240" i="20"/>
  <c r="AC1240" i="20"/>
  <c r="AN1252" i="20"/>
  <c r="AD1252" i="20"/>
  <c r="AB1252" i="20"/>
  <c r="AI1252" i="20"/>
  <c r="Y1252" i="20"/>
  <c r="Z1252" i="20"/>
  <c r="AA1252" i="20"/>
  <c r="AH1252" i="20"/>
  <c r="AK1252" i="20"/>
  <c r="AF1252" i="20"/>
  <c r="AC1252" i="20"/>
  <c r="AG1252" i="20"/>
  <c r="AE1252" i="20"/>
  <c r="AJ1252" i="20"/>
  <c r="AL1252" i="20"/>
  <c r="Y1260" i="20"/>
  <c r="AN1260" i="20"/>
  <c r="Z1260" i="20"/>
  <c r="AJ1260" i="20"/>
  <c r="AC1260" i="20"/>
  <c r="AK1260" i="20"/>
  <c r="AH1260" i="20"/>
  <c r="AE1260" i="20"/>
  <c r="AB1260" i="20"/>
  <c r="AF1260" i="20"/>
  <c r="AD1260" i="20"/>
  <c r="AA1260" i="20"/>
  <c r="AC1272" i="20"/>
  <c r="AK1272" i="20"/>
  <c r="AF1272" i="20"/>
  <c r="AJ1272" i="20"/>
  <c r="Y1272" i="20"/>
  <c r="AE1272" i="20"/>
  <c r="AI1272" i="20"/>
  <c r="AD1272" i="20"/>
  <c r="AG1272" i="20"/>
  <c r="Z1272" i="20"/>
  <c r="AB1272" i="20"/>
  <c r="AN1272" i="20"/>
  <c r="AI1284" i="20"/>
  <c r="Z1284" i="20"/>
  <c r="AK1284" i="20"/>
  <c r="AJ1284" i="20"/>
  <c r="AD1284" i="20"/>
  <c r="AL1284" i="20"/>
  <c r="AN1284" i="20"/>
  <c r="AF1284" i="20"/>
  <c r="AE1284" i="20"/>
  <c r="Y1284" i="20"/>
  <c r="AA1284" i="20"/>
  <c r="AB1284" i="20"/>
  <c r="AH1284" i="20"/>
  <c r="AC1284" i="20"/>
  <c r="AH1292" i="20"/>
  <c r="AK1292" i="20"/>
  <c r="AG1292" i="20"/>
  <c r="AA1292" i="20"/>
  <c r="AN1292" i="20"/>
  <c r="AC1292" i="20"/>
  <c r="AF1292" i="20"/>
  <c r="AJ1292" i="20"/>
  <c r="AL1292" i="20"/>
  <c r="AD1292" i="20"/>
  <c r="AB1292" i="20"/>
  <c r="Y1292" i="20"/>
  <c r="AG1304" i="20"/>
  <c r="AJ1304" i="20"/>
  <c r="AD1304" i="20"/>
  <c r="AF1304" i="20"/>
  <c r="AC1304" i="20"/>
  <c r="AL1304" i="20"/>
  <c r="AH1304" i="20"/>
  <c r="AK1304" i="20"/>
  <c r="AA1304" i="20"/>
  <c r="AE1304" i="20"/>
  <c r="Y1304" i="20"/>
  <c r="AI1304" i="20"/>
  <c r="Z1304" i="20"/>
  <c r="AB1304" i="20"/>
  <c r="AL1316" i="20"/>
  <c r="AH1316" i="20"/>
  <c r="AB1316" i="20"/>
  <c r="AC1316" i="20"/>
  <c r="AK1316" i="20"/>
  <c r="AE1316" i="20"/>
  <c r="AF1316" i="20"/>
  <c r="AD1316" i="20"/>
  <c r="AJ1316" i="20"/>
  <c r="AG1316" i="20"/>
  <c r="AN1316" i="20"/>
  <c r="AG1328" i="20"/>
  <c r="AB1328" i="20"/>
  <c r="AD1328" i="20"/>
  <c r="AK1328" i="20"/>
  <c r="AC1328" i="20"/>
  <c r="AH1328" i="20"/>
  <c r="AN1328" i="20"/>
  <c r="AJ1328" i="20"/>
  <c r="Y1328" i="20"/>
  <c r="AA1328" i="20"/>
  <c r="AI1328" i="20"/>
  <c r="AL1328" i="20"/>
  <c r="AE1328" i="20"/>
  <c r="AF1328" i="20"/>
  <c r="Z1328" i="20"/>
  <c r="AB1196" i="20"/>
  <c r="AA1204" i="20"/>
  <c r="AA1232" i="20"/>
  <c r="AH1240" i="20"/>
  <c r="AH1288" i="20"/>
  <c r="AP782" i="20"/>
  <c r="AR782" i="20"/>
  <c r="AA1027" i="20"/>
  <c r="Z1027" i="20"/>
  <c r="AE1016" i="20"/>
  <c r="AD1016" i="20"/>
  <c r="AA937" i="20"/>
  <c r="AG937" i="20"/>
  <c r="AH937" i="20"/>
  <c r="AJ929" i="20"/>
  <c r="AG929" i="20"/>
  <c r="Z904" i="20"/>
  <c r="AK904" i="20"/>
  <c r="AG843" i="20"/>
  <c r="AC843" i="20"/>
  <c r="AD843" i="20"/>
  <c r="AE834" i="20"/>
  <c r="AI834" i="20"/>
  <c r="Z834" i="20"/>
  <c r="AD732" i="20"/>
  <c r="AK732" i="20"/>
  <c r="AC732" i="20"/>
  <c r="AE732" i="20"/>
  <c r="Z689" i="20"/>
  <c r="AC689" i="20"/>
  <c r="AF689" i="20"/>
  <c r="AA641" i="20"/>
  <c r="AK641" i="20"/>
  <c r="Z641" i="20"/>
  <c r="Y641" i="20"/>
  <c r="AD638" i="20"/>
  <c r="AL638" i="20"/>
  <c r="AF638" i="20"/>
  <c r="AB635" i="20"/>
  <c r="Y635" i="20"/>
  <c r="AG627" i="20"/>
  <c r="AK627" i="20"/>
  <c r="Y627" i="20"/>
  <c r="AI613" i="20"/>
  <c r="AD613" i="20"/>
  <c r="AL608" i="20"/>
  <c r="AE608" i="20"/>
  <c r="Z508" i="20"/>
  <c r="AK508" i="20"/>
  <c r="AF735" i="20"/>
  <c r="AA735" i="20"/>
  <c r="AH554" i="20"/>
  <c r="AB554" i="20"/>
  <c r="AK554" i="20"/>
  <c r="AJ533" i="20"/>
  <c r="AA533" i="20"/>
  <c r="Y533" i="20"/>
  <c r="AD533" i="20"/>
  <c r="AI526" i="20"/>
  <c r="AC526" i="20"/>
  <c r="Y526" i="20"/>
  <c r="AI509" i="20"/>
  <c r="AG509" i="20"/>
  <c r="AC509" i="20"/>
  <c r="AL498" i="20"/>
  <c r="AG498" i="20"/>
  <c r="AL463" i="20"/>
  <c r="AK463" i="20"/>
  <c r="AH457" i="20"/>
  <c r="AL457" i="20"/>
  <c r="AJ457" i="20"/>
  <c r="AD457" i="20"/>
  <c r="AD433" i="20"/>
  <c r="AG433" i="20"/>
  <c r="AF777" i="20"/>
  <c r="Z777" i="20"/>
  <c r="AA592" i="20"/>
  <c r="AF592" i="20"/>
  <c r="AD404" i="20"/>
  <c r="AG404" i="20"/>
  <c r="Z404" i="20"/>
  <c r="AL90" i="20"/>
  <c r="AA90" i="20"/>
  <c r="AJ815" i="20"/>
  <c r="AB815" i="20"/>
  <c r="AD451" i="20"/>
  <c r="AE451" i="20"/>
  <c r="AI451" i="20"/>
  <c r="AA405" i="20"/>
  <c r="AI405" i="20"/>
  <c r="AE405" i="20"/>
  <c r="AI143" i="20"/>
  <c r="AJ143" i="20"/>
  <c r="AL411" i="20"/>
  <c r="AI411" i="20"/>
  <c r="AL760" i="20"/>
  <c r="AN760" i="20"/>
  <c r="AF329" i="20"/>
  <c r="AJ329" i="20"/>
  <c r="AG814" i="20"/>
  <c r="AD814" i="20"/>
  <c r="AK190" i="20"/>
  <c r="AL190" i="20"/>
  <c r="AJ92" i="20"/>
  <c r="AJ749" i="20"/>
  <c r="AI641" i="20"/>
  <c r="AL318" i="20"/>
  <c r="AI580" i="20"/>
  <c r="AI1000" i="20"/>
  <c r="AI393" i="20"/>
  <c r="AJ585" i="20"/>
  <c r="AJ58" i="20"/>
  <c r="AL592" i="20"/>
  <c r="AI457" i="20"/>
  <c r="AJ543" i="20"/>
  <c r="AJ660" i="20"/>
  <c r="AB369" i="20"/>
  <c r="AJ627" i="20"/>
  <c r="AL811" i="20"/>
  <c r="AL929" i="20"/>
  <c r="AH617" i="20"/>
  <c r="AL369" i="20"/>
  <c r="AH749" i="20"/>
  <c r="AH849" i="20"/>
  <c r="AH631" i="20"/>
  <c r="AH839" i="20"/>
  <c r="AH313" i="20"/>
  <c r="AH569" i="20"/>
  <c r="AF617" i="20"/>
  <c r="AG779" i="20"/>
  <c r="AG735" i="20"/>
  <c r="AF732" i="20"/>
  <c r="AK735" i="20"/>
  <c r="Z1033" i="20"/>
  <c r="AE1010" i="20"/>
  <c r="Y143" i="20"/>
  <c r="Y430" i="20"/>
  <c r="AK149" i="20"/>
  <c r="AG1162" i="20"/>
  <c r="AL1268" i="20"/>
  <c r="AB1276" i="20"/>
  <c r="AI1316" i="20"/>
  <c r="Y1212" i="20"/>
  <c r="AI1172" i="20"/>
  <c r="AC1268" i="20"/>
  <c r="Y1288" i="20"/>
  <c r="Z1316" i="20"/>
  <c r="AN1336" i="20"/>
  <c r="AN1220" i="20"/>
  <c r="Z1200" i="20"/>
  <c r="AL1260" i="20"/>
  <c r="AI1292" i="20"/>
  <c r="AH1176" i="20"/>
  <c r="AI1196" i="20"/>
  <c r="AI1260" i="20"/>
  <c r="AE1292" i="20"/>
  <c r="AH1272" i="20"/>
  <c r="AF1162" i="20"/>
  <c r="AB1158" i="20"/>
  <c r="AJ1154" i="20"/>
  <c r="AN1154" i="20"/>
  <c r="AF1154" i="20"/>
  <c r="AA1154" i="20"/>
  <c r="AE1154" i="20"/>
  <c r="Z1154" i="20"/>
  <c r="Y1154" i="20"/>
  <c r="AG1154" i="20"/>
  <c r="AD1154" i="20"/>
  <c r="AC1154" i="20"/>
  <c r="AH1168" i="20"/>
  <c r="AF1168" i="20"/>
  <c r="Z1168" i="20"/>
  <c r="AK1168" i="20"/>
  <c r="AE1168" i="20"/>
  <c r="AJ1168" i="20"/>
  <c r="AI1168" i="20"/>
  <c r="AA1168" i="20"/>
  <c r="AC1168" i="20"/>
  <c r="AL1168" i="20"/>
  <c r="AD1168" i="20"/>
  <c r="AG1168" i="20"/>
  <c r="AB1168" i="20"/>
  <c r="AN1168" i="20"/>
  <c r="AH1184" i="20"/>
  <c r="AD1184" i="20"/>
  <c r="AE1184" i="20"/>
  <c r="AI1184" i="20"/>
  <c r="AA1184" i="20"/>
  <c r="AK1184" i="20"/>
  <c r="Y1184" i="20"/>
  <c r="AC1184" i="20"/>
  <c r="AL1184" i="20"/>
  <c r="AN1184" i="20"/>
  <c r="AF1184" i="20"/>
  <c r="AB1184" i="20"/>
  <c r="AH1200" i="20"/>
  <c r="AB1200" i="20"/>
  <c r="AF1200" i="20"/>
  <c r="AL1200" i="20"/>
  <c r="AC1200" i="20"/>
  <c r="AI1200" i="20"/>
  <c r="AN1200" i="20"/>
  <c r="AE1200" i="20"/>
  <c r="AJ1200" i="20"/>
  <c r="Y1200" i="20"/>
  <c r="AA1200" i="20"/>
  <c r="AK1200" i="20"/>
  <c r="AD1200" i="20"/>
  <c r="AG1212" i="20"/>
  <c r="AE1212" i="20"/>
  <c r="AI1212" i="20"/>
  <c r="AJ1212" i="20"/>
  <c r="Z1212" i="20"/>
  <c r="AC1212" i="20"/>
  <c r="AA1212" i="20"/>
  <c r="AF1212" i="20"/>
  <c r="AD1212" i="20"/>
  <c r="AB1212" i="20"/>
  <c r="AN1212" i="20"/>
  <c r="AL1212" i="20"/>
  <c r="AL1224" i="20"/>
  <c r="AG1224" i="20"/>
  <c r="AE1224" i="20"/>
  <c r="AI1224" i="20"/>
  <c r="AJ1224" i="20"/>
  <c r="AD1224" i="20"/>
  <c r="AF1224" i="20"/>
  <c r="AN1224" i="20"/>
  <c r="AB1224" i="20"/>
  <c r="Z1224" i="20"/>
  <c r="AA1224" i="20"/>
  <c r="Y1224" i="20"/>
  <c r="AC1224" i="20"/>
  <c r="AK1224" i="20"/>
  <c r="AH1224" i="20"/>
  <c r="AF1244" i="20"/>
  <c r="AJ1244" i="20"/>
  <c r="AE1244" i="20"/>
  <c r="AH1244" i="20"/>
  <c r="AL1244" i="20"/>
  <c r="AK1244" i="20"/>
  <c r="AC1244" i="20"/>
  <c r="AN1244" i="20"/>
  <c r="AB1244" i="20"/>
  <c r="AI1244" i="20"/>
  <c r="AA1244" i="20"/>
  <c r="Y1244" i="20"/>
  <c r="Z1244" i="20"/>
  <c r="AC1256" i="20"/>
  <c r="AH1256" i="20"/>
  <c r="AL1256" i="20"/>
  <c r="Y1256" i="20"/>
  <c r="AD1256" i="20"/>
  <c r="AK1256" i="20"/>
  <c r="AG1256" i="20"/>
  <c r="Z1256" i="20"/>
  <c r="AB1256" i="20"/>
  <c r="AE1256" i="20"/>
  <c r="AF1256" i="20"/>
  <c r="AJ1268" i="20"/>
  <c r="AN1268" i="20"/>
  <c r="Y1268" i="20"/>
  <c r="AG1268" i="20"/>
  <c r="AK1268" i="20"/>
  <c r="AI1268" i="20"/>
  <c r="Z1268" i="20"/>
  <c r="AA1268" i="20"/>
  <c r="AB1268" i="20"/>
  <c r="AF1268" i="20"/>
  <c r="AF1280" i="20"/>
  <c r="AD1280" i="20"/>
  <c r="Y1280" i="20"/>
  <c r="AG1280" i="20"/>
  <c r="AE1280" i="20"/>
  <c r="AH1280" i="20"/>
  <c r="AA1280" i="20"/>
  <c r="AN1280" i="20"/>
  <c r="AK1280" i="20"/>
  <c r="AI1280" i="20"/>
  <c r="AC1280" i="20"/>
  <c r="Z1280" i="20"/>
  <c r="AA1300" i="20"/>
  <c r="AF1300" i="20"/>
  <c r="AC1300" i="20"/>
  <c r="AN1300" i="20"/>
  <c r="AE1300" i="20"/>
  <c r="AL1300" i="20"/>
  <c r="AD1300" i="20"/>
  <c r="AI1300" i="20"/>
  <c r="AH1300" i="20"/>
  <c r="AK1300" i="20"/>
  <c r="AG1300" i="20"/>
  <c r="Y1300" i="20"/>
  <c r="Z1300" i="20"/>
  <c r="AF1312" i="20"/>
  <c r="AA1312" i="20"/>
  <c r="AJ1312" i="20"/>
  <c r="Y1312" i="20"/>
  <c r="Z1312" i="20"/>
  <c r="AN1312" i="20"/>
  <c r="AC1312" i="20"/>
  <c r="AH1312" i="20"/>
  <c r="AI1312" i="20"/>
  <c r="AG1312" i="20"/>
  <c r="AD1312" i="20"/>
  <c r="AK1312" i="20"/>
  <c r="AL1312" i="20"/>
  <c r="AE1312" i="20"/>
  <c r="AJ1324" i="20"/>
  <c r="AD1324" i="20"/>
  <c r="AB1324" i="20"/>
  <c r="AI1324" i="20"/>
  <c r="AE1324" i="20"/>
  <c r="AF1324" i="20"/>
  <c r="AN1324" i="20"/>
  <c r="AC1324" i="20"/>
  <c r="AK1324" i="20"/>
  <c r="AI1332" i="20"/>
  <c r="AN1332" i="20"/>
  <c r="AE1332" i="20"/>
  <c r="AL1332" i="20"/>
  <c r="Y1332" i="20"/>
  <c r="AG1332" i="20"/>
  <c r="AJ1332" i="20"/>
  <c r="Z1332" i="20"/>
  <c r="AA1332" i="20"/>
  <c r="AB1332" i="20"/>
  <c r="AD1332" i="20"/>
  <c r="AH1332" i="20"/>
  <c r="AK1332" i="20"/>
  <c r="AC1332" i="20"/>
  <c r="AA1208" i="20"/>
  <c r="AD1236" i="20"/>
  <c r="Y1324" i="20"/>
  <c r="AN1164" i="20"/>
  <c r="AG1244" i="20"/>
  <c r="AN1240" i="20"/>
  <c r="AL1324" i="20"/>
  <c r="AG1260" i="20"/>
  <c r="AK1296" i="20"/>
  <c r="AP761" i="20"/>
  <c r="AR761" i="20"/>
  <c r="AF979" i="20"/>
  <c r="AB979" i="20"/>
  <c r="AN934" i="20"/>
  <c r="AK934" i="20"/>
  <c r="AK919" i="20"/>
  <c r="AB919" i="20"/>
  <c r="Y900" i="20"/>
  <c r="AJ900" i="20"/>
  <c r="AB900" i="20"/>
  <c r="AF900" i="20"/>
  <c r="AD867" i="20"/>
  <c r="AB867" i="20"/>
  <c r="AD819" i="20"/>
  <c r="AJ819" i="20"/>
  <c r="AB696" i="20"/>
  <c r="AL696" i="20"/>
  <c r="Y696" i="20"/>
  <c r="Z696" i="20"/>
  <c r="AK696" i="20"/>
  <c r="AK676" i="20"/>
  <c r="Y676" i="20"/>
  <c r="AE647" i="20"/>
  <c r="AD647" i="20"/>
  <c r="AJ1035" i="20"/>
  <c r="Y1035" i="20"/>
  <c r="AH621" i="20"/>
  <c r="AG621" i="20"/>
  <c r="Z565" i="20"/>
  <c r="AB565" i="20"/>
  <c r="AC318" i="20"/>
  <c r="AG318" i="20"/>
  <c r="AN58" i="20"/>
  <c r="AB58" i="20"/>
  <c r="Y537" i="20"/>
  <c r="AC537" i="20"/>
  <c r="AJ863" i="20"/>
  <c r="AA863" i="20"/>
  <c r="AC863" i="20"/>
  <c r="AB863" i="20"/>
  <c r="AF928" i="20"/>
  <c r="Y928" i="20"/>
  <c r="AI928" i="20"/>
  <c r="AH20" i="20"/>
  <c r="Y20" i="20"/>
  <c r="AE344" i="20"/>
  <c r="AA344" i="20"/>
  <c r="AL344" i="20"/>
  <c r="Z519" i="20"/>
  <c r="AB519" i="20"/>
  <c r="AC519" i="20"/>
  <c r="AC471" i="20"/>
  <c r="AH471" i="20"/>
  <c r="Y965" i="20"/>
  <c r="AB965" i="20"/>
  <c r="AA1046" i="20"/>
  <c r="AE1046" i="20"/>
  <c r="AK825" i="20"/>
  <c r="AN825" i="20"/>
  <c r="Y825" i="20"/>
  <c r="AF264" i="20"/>
  <c r="AA264" i="20"/>
  <c r="AL264" i="20"/>
  <c r="Y26" i="20"/>
  <c r="AG26" i="20"/>
  <c r="AL674" i="20"/>
  <c r="AJ674" i="20"/>
  <c r="AI387" i="20"/>
  <c r="AJ387" i="20"/>
  <c r="AH319" i="20"/>
  <c r="AD319" i="20"/>
  <c r="AE307" i="20"/>
  <c r="AL307" i="20"/>
  <c r="AE220" i="20"/>
  <c r="AB220" i="20"/>
  <c r="AH220" i="20"/>
  <c r="AB276" i="20"/>
  <c r="Z276" i="20"/>
  <c r="AD276" i="20"/>
  <c r="AL276" i="20"/>
  <c r="AH181" i="20"/>
  <c r="AJ181" i="20"/>
  <c r="Z153" i="20"/>
  <c r="AJ153" i="20"/>
  <c r="AR665" i="20"/>
  <c r="AL834" i="20"/>
  <c r="AJ726" i="20"/>
  <c r="AJ202" i="20"/>
  <c r="AI450" i="20"/>
  <c r="AI91" i="20"/>
  <c r="AI761" i="20"/>
  <c r="AI350" i="20"/>
  <c r="AI465" i="20"/>
  <c r="AI904" i="20"/>
  <c r="AJ604" i="20"/>
  <c r="AL749" i="20"/>
  <c r="AL290" i="20"/>
  <c r="AI404" i="20"/>
  <c r="AJ149" i="20"/>
  <c r="AJ988" i="20"/>
  <c r="AL843" i="20"/>
  <c r="AH476" i="20"/>
  <c r="AJ727" i="20"/>
  <c r="AJ735" i="20"/>
  <c r="AL585" i="20"/>
  <c r="AL727" i="20"/>
  <c r="AL508" i="20"/>
  <c r="AL537" i="20"/>
  <c r="AH745" i="20"/>
  <c r="AG329" i="20"/>
  <c r="AH934" i="20"/>
  <c r="AH928" i="20"/>
  <c r="AH975" i="20"/>
  <c r="AH790" i="20"/>
  <c r="AH919" i="20"/>
  <c r="AH965" i="20"/>
  <c r="AH814" i="20"/>
  <c r="AB627" i="20"/>
  <c r="AE264" i="20"/>
  <c r="AE975" i="20"/>
  <c r="AG533" i="20"/>
  <c r="AG58" i="20"/>
  <c r="AF485" i="20"/>
  <c r="AF554" i="20"/>
  <c r="AC485" i="20"/>
  <c r="AK979" i="20"/>
  <c r="AK604" i="20"/>
  <c r="AK423" i="20"/>
  <c r="Z938" i="20"/>
  <c r="AA1162" i="20"/>
  <c r="AN1304" i="20"/>
  <c r="AJ1232" i="20"/>
  <c r="AN1248" i="20"/>
  <c r="AD1150" i="20"/>
  <c r="AA1324" i="20"/>
  <c r="AN1276" i="20"/>
  <c r="AF1332" i="20"/>
  <c r="AL1204" i="20"/>
  <c r="AA1240" i="20"/>
  <c r="AH1154" i="20"/>
  <c r="AA1320" i="20"/>
  <c r="AL1272" i="20"/>
  <c r="AF1172" i="20"/>
  <c r="AB1204" i="20"/>
  <c r="Z1204" i="20"/>
  <c r="AJ1300" i="20"/>
  <c r="AN1188" i="20"/>
  <c r="AC1150" i="20"/>
  <c r="AI1208" i="20"/>
  <c r="AB1280" i="20"/>
  <c r="Z1184" i="20"/>
  <c r="AN1256" i="20"/>
  <c r="AF1232" i="20"/>
  <c r="AB1154" i="20"/>
  <c r="AG1276" i="20"/>
  <c r="AL1280" i="20"/>
  <c r="AF1296" i="20"/>
  <c r="AI1256" i="20"/>
  <c r="AK1232" i="20"/>
  <c r="AH1336" i="20"/>
  <c r="AF1228" i="20"/>
  <c r="AF1041" i="20"/>
  <c r="AJ1034" i="20"/>
  <c r="AA1017" i="20"/>
  <c r="AH1011" i="20"/>
  <c r="AG1001" i="20"/>
  <c r="AB989" i="20"/>
  <c r="AF983" i="20"/>
  <c r="AJ969" i="20"/>
  <c r="AL940" i="20"/>
  <c r="AA910" i="20"/>
  <c r="AD892" i="20"/>
  <c r="AA864" i="20"/>
  <c r="Z845" i="20"/>
  <c r="AB840" i="20"/>
  <c r="AL830" i="20"/>
  <c r="AI820" i="20"/>
  <c r="AH810" i="20"/>
  <c r="AD803" i="20"/>
  <c r="AL791" i="20"/>
  <c r="AJ746" i="20"/>
  <c r="AA734" i="20"/>
  <c r="AB715" i="20"/>
  <c r="AB697" i="20"/>
  <c r="AB693" i="20"/>
  <c r="AG685" i="20"/>
  <c r="AL677" i="20"/>
  <c r="Y667" i="20"/>
  <c r="AH662" i="20"/>
  <c r="AL648" i="20"/>
  <c r="AL642" i="20"/>
  <c r="AA981" i="20"/>
  <c r="AK818" i="20"/>
  <c r="AI644" i="20"/>
  <c r="AI571" i="20"/>
  <c r="AK164" i="20"/>
  <c r="AJ12" i="20"/>
  <c r="AC713" i="20"/>
  <c r="AJ1012" i="20"/>
  <c r="AJ455" i="20"/>
  <c r="Y939" i="20"/>
  <c r="AI632" i="20"/>
  <c r="G31" i="86" s="1"/>
  <c r="AJ624" i="20"/>
  <c r="AI618" i="20"/>
  <c r="AD162" i="20"/>
  <c r="AL570" i="20"/>
  <c r="AC560" i="20"/>
  <c r="AL236" i="20"/>
  <c r="AJ665" i="20"/>
  <c r="AE556" i="20"/>
  <c r="AG549" i="20"/>
  <c r="AH542" i="20"/>
  <c r="AB527" i="20"/>
  <c r="AJ521" i="20"/>
  <c r="AB499" i="20"/>
  <c r="AH486" i="20"/>
  <c r="AI490" i="20"/>
  <c r="AH473" i="20"/>
  <c r="AA782" i="20"/>
  <c r="AR1324" i="20"/>
  <c r="AP1324" i="20"/>
  <c r="AK998" i="20"/>
  <c r="AI843" i="20"/>
  <c r="AK591" i="20"/>
  <c r="AF286" i="20"/>
  <c r="AB202" i="20"/>
  <c r="AA451" i="20"/>
  <c r="Z405" i="20"/>
  <c r="AE182" i="20"/>
  <c r="AG80" i="20"/>
  <c r="AD1004" i="20"/>
  <c r="Y951" i="20"/>
  <c r="Z710" i="20"/>
  <c r="AB710" i="20"/>
  <c r="AD710" i="20"/>
  <c r="AF710" i="20"/>
  <c r="AH710" i="20"/>
  <c r="AJ710" i="20"/>
  <c r="AL710" i="20"/>
  <c r="AN710" i="20"/>
  <c r="Y711" i="20"/>
  <c r="AA711" i="20"/>
  <c r="AC711" i="20"/>
  <c r="AE711" i="20"/>
  <c r="AG711" i="20"/>
  <c r="AK711" i="20"/>
  <c r="Z711" i="20"/>
  <c r="AB711" i="20"/>
  <c r="AD711" i="20"/>
  <c r="AF711" i="20"/>
  <c r="AH711" i="20"/>
  <c r="AJ711" i="20"/>
  <c r="AL711" i="20"/>
  <c r="AN711" i="20"/>
  <c r="AI711" i="20"/>
  <c r="Y710" i="20"/>
  <c r="AA710" i="20"/>
  <c r="AC710" i="20"/>
  <c r="AE710" i="20"/>
  <c r="AG710" i="20"/>
  <c r="AI710" i="20"/>
  <c r="AK710" i="20"/>
  <c r="AE1113" i="20"/>
  <c r="AF1042" i="20"/>
  <c r="Y1025" i="20"/>
  <c r="AH1019" i="20"/>
  <c r="AK1002" i="20"/>
  <c r="AB1003" i="20"/>
  <c r="AH970" i="20"/>
  <c r="AK945" i="20"/>
  <c r="AI936" i="20"/>
  <c r="AK921" i="20"/>
  <c r="Z911" i="20"/>
  <c r="Y902" i="20"/>
  <c r="AG895" i="20"/>
  <c r="AK889" i="20"/>
  <c r="AB870" i="20"/>
  <c r="AG865" i="20"/>
  <c r="AA847" i="20"/>
  <c r="AH837" i="20"/>
  <c r="AF821" i="20"/>
  <c r="Z804" i="20"/>
  <c r="AC798" i="20"/>
  <c r="AL783" i="20"/>
  <c r="AG751" i="20"/>
  <c r="AF747" i="20"/>
  <c r="Y740" i="20"/>
  <c r="AH736" i="20"/>
  <c r="AG729" i="20"/>
  <c r="AH698" i="20"/>
  <c r="AJ680" i="20"/>
  <c r="AH671" i="20"/>
  <c r="AI654" i="20"/>
  <c r="AJ650" i="20"/>
  <c r="AB643" i="20"/>
  <c r="AK997" i="20"/>
  <c r="AL829" i="20"/>
  <c r="AI668" i="20"/>
  <c r="AE573" i="20"/>
  <c r="AH557" i="20"/>
  <c r="AJ436" i="20"/>
  <c r="AK176" i="20"/>
  <c r="AC78" i="20"/>
  <c r="AF367" i="20"/>
  <c r="AJ593" i="20"/>
  <c r="AA495" i="20"/>
  <c r="AD1018" i="20"/>
  <c r="AK828" i="20"/>
  <c r="AK461" i="20"/>
  <c r="AJ406" i="20"/>
  <c r="AL130" i="20"/>
  <c r="AH894" i="20"/>
  <c r="AA636" i="20"/>
  <c r="AD221" i="20"/>
  <c r="AE629" i="20"/>
  <c r="AJ615" i="20"/>
  <c r="Y611" i="20"/>
  <c r="AJ606" i="20"/>
  <c r="AJ594" i="20"/>
  <c r="Y589" i="20"/>
  <c r="AC237" i="20"/>
  <c r="AE518" i="20"/>
  <c r="AJ572" i="20"/>
  <c r="AL651" i="20"/>
  <c r="AD550" i="20"/>
  <c r="AH538" i="20"/>
  <c r="AH522" i="20"/>
  <c r="AC500" i="20"/>
  <c r="AC487" i="20"/>
  <c r="AH482" i="20"/>
  <c r="AG466" i="20"/>
  <c r="AN462" i="20"/>
  <c r="Z437" i="20"/>
  <c r="AG74" i="20"/>
  <c r="AK266" i="20"/>
  <c r="AK426" i="20"/>
  <c r="Z425" i="20"/>
  <c r="Z809" i="20"/>
  <c r="AG754" i="20"/>
  <c r="Z712" i="20"/>
  <c r="AF637" i="20"/>
  <c r="Y530" i="20"/>
  <c r="AC429" i="20"/>
  <c r="AJ322" i="20"/>
  <c r="AI270" i="20"/>
  <c r="AL212" i="20"/>
  <c r="AD102" i="20"/>
  <c r="AI924" i="20"/>
  <c r="AL787" i="20"/>
  <c r="AB416" i="20"/>
  <c r="AH100" i="20"/>
  <c r="AI907" i="20"/>
  <c r="AL414" i="20"/>
  <c r="AJ459" i="20"/>
  <c r="AL669" i="20"/>
  <c r="AG399" i="20"/>
  <c r="AJ89" i="20"/>
  <c r="AF198" i="20"/>
  <c r="AH762" i="20"/>
  <c r="AL947" i="20"/>
  <c r="AH891" i="20"/>
  <c r="AD497" i="20"/>
  <c r="AL714" i="20"/>
  <c r="AI315" i="20"/>
  <c r="AI312" i="20"/>
  <c r="AI287" i="20"/>
  <c r="AD620" i="20"/>
  <c r="AA309" i="20"/>
  <c r="AH1037" i="20"/>
  <c r="AI300" i="20"/>
  <c r="AA555" i="20"/>
  <c r="AJ296" i="20"/>
  <c r="AH292" i="20"/>
  <c r="AL288" i="20"/>
  <c r="Y274" i="20"/>
  <c r="AD271" i="20"/>
  <c r="AI229" i="20"/>
  <c r="AG205" i="20"/>
  <c r="AA371" i="20"/>
  <c r="AL310" i="20"/>
  <c r="Y567" i="20"/>
  <c r="AH166" i="20"/>
  <c r="AL142" i="20"/>
  <c r="AD137" i="20"/>
  <c r="AH299" i="20"/>
  <c r="AG106" i="20"/>
  <c r="AI1026" i="20"/>
  <c r="AG1015" i="20"/>
  <c r="AH991" i="20"/>
  <c r="AA971" i="20"/>
  <c r="AJ799" i="20"/>
  <c r="AE756" i="20"/>
  <c r="AE204" i="20"/>
  <c r="AE184" i="20"/>
  <c r="AL886" i="20"/>
  <c r="AH559" i="20"/>
  <c r="AJ539" i="20"/>
  <c r="AC525" i="20"/>
  <c r="AE468" i="20"/>
  <c r="AE170" i="20"/>
  <c r="Y398" i="20"/>
  <c r="Z679" i="20"/>
  <c r="AL392" i="20"/>
  <c r="AC875" i="20"/>
  <c r="AA347" i="20"/>
  <c r="AF327" i="20"/>
  <c r="AH458" i="20"/>
  <c r="AJ682" i="20"/>
  <c r="H133" i="86" s="1"/>
  <c r="K133" i="86" s="1"/>
  <c r="AF138" i="20"/>
  <c r="AI180" i="20"/>
  <c r="AJ15" i="20"/>
  <c r="AF146" i="20"/>
  <c r="AF208" i="20"/>
  <c r="AF494" i="20"/>
  <c r="AF658" i="20"/>
  <c r="AB926" i="20"/>
  <c r="AB269" i="20"/>
  <c r="AN1156" i="20"/>
  <c r="AB1170" i="20"/>
  <c r="AB1174" i="20"/>
  <c r="AI1190" i="20"/>
  <c r="AA1202" i="20"/>
  <c r="AH1210" i="20"/>
  <c r="AB1218" i="20"/>
  <c r="AJ1222" i="20"/>
  <c r="AA1242" i="20"/>
  <c r="Y1250" i="20"/>
  <c r="AL1254" i="20"/>
  <c r="Z1258" i="20"/>
  <c r="AI1262" i="20"/>
  <c r="AE1278" i="20"/>
  <c r="AL1282" i="20"/>
  <c r="AN1290" i="20"/>
  <c r="AK1298" i="20"/>
  <c r="AG1306" i="20"/>
  <c r="AI1314" i="20"/>
  <c r="AG1322" i="20"/>
  <c r="AG1326" i="20"/>
  <c r="Y1330" i="20"/>
  <c r="AG1334" i="20"/>
  <c r="AN14" i="20"/>
  <c r="AD43" i="20"/>
  <c r="AK188" i="20"/>
  <c r="AJ366" i="20"/>
  <c r="AL657" i="20"/>
  <c r="AN917" i="20"/>
  <c r="AH948" i="20"/>
  <c r="AN40" i="20"/>
  <c r="AC375" i="20"/>
  <c r="AB775" i="20"/>
  <c r="AH859" i="20"/>
  <c r="AC964" i="20"/>
  <c r="Y356" i="20"/>
  <c r="AL709" i="20"/>
  <c r="AG766" i="20"/>
  <c r="AL851" i="20"/>
  <c r="AA213" i="20"/>
  <c r="AJ68" i="20"/>
  <c r="AJ885" i="20"/>
  <c r="AJ692" i="20"/>
  <c r="AC447" i="20"/>
  <c r="AJ439" i="20"/>
  <c r="AJ73" i="20"/>
  <c r="Y171" i="20"/>
  <c r="AE995" i="20"/>
  <c r="AE844" i="20"/>
  <c r="AL691" i="20"/>
  <c r="AL412" i="20"/>
  <c r="AJ422" i="20"/>
  <c r="AF101" i="20"/>
  <c r="AH915" i="20"/>
  <c r="AD418" i="20"/>
  <c r="AH415" i="20"/>
  <c r="AH690" i="20"/>
  <c r="AL808" i="20"/>
  <c r="AH159" i="20"/>
  <c r="AJ428" i="20"/>
  <c r="AJ408" i="20"/>
  <c r="AL786" i="20"/>
  <c r="AJ401" i="20"/>
  <c r="AI906" i="20"/>
  <c r="Z169" i="20"/>
  <c r="AH873" i="20"/>
  <c r="AD121" i="20"/>
  <c r="AB388" i="20"/>
  <c r="AJ370" i="20"/>
  <c r="AE325" i="20"/>
  <c r="AL320" i="20"/>
  <c r="AD316" i="20"/>
  <c r="AG807" i="20"/>
  <c r="AH158" i="20"/>
  <c r="AH984" i="20"/>
  <c r="AL273" i="20"/>
  <c r="AH203" i="20"/>
  <c r="AH183" i="20"/>
  <c r="AH175" i="20"/>
  <c r="AL154" i="20"/>
  <c r="AF150" i="20"/>
  <c r="AN1159" i="20"/>
  <c r="AF1151" i="20"/>
  <c r="AH1167" i="20"/>
  <c r="Z1175" i="20"/>
  <c r="AA1183" i="20"/>
  <c r="Z1191" i="20"/>
  <c r="AK1199" i="20"/>
  <c r="AL1215" i="20"/>
  <c r="AD1223" i="20"/>
  <c r="AD1231" i="20"/>
  <c r="AB1247" i="20"/>
  <c r="AF1263" i="20"/>
  <c r="AC1271" i="20"/>
  <c r="AL1279" i="20"/>
  <c r="AI1287" i="20"/>
  <c r="AN1295" i="20"/>
  <c r="AE1303" i="20"/>
  <c r="AG1311" i="20"/>
  <c r="AF1319" i="20"/>
  <c r="AI1327" i="20"/>
  <c r="AA1339" i="20"/>
  <c r="Z42" i="20"/>
  <c r="AC189" i="20"/>
  <c r="AB247" i="20"/>
  <c r="AG365" i="20"/>
  <c r="AJ583" i="20"/>
  <c r="AH977" i="20"/>
  <c r="AC916" i="20"/>
  <c r="AN1049" i="20"/>
  <c r="Y244" i="20"/>
  <c r="Y333" i="20"/>
  <c r="AI374" i="20"/>
  <c r="AF708" i="20"/>
  <c r="Y723" i="20"/>
  <c r="AK774" i="20"/>
  <c r="AF883" i="20"/>
  <c r="AJ950" i="20"/>
  <c r="AJ355" i="20"/>
  <c r="AF773" i="20"/>
  <c r="AL765" i="20"/>
  <c r="AH850" i="20"/>
  <c r="Z771" i="20"/>
  <c r="AB854" i="20"/>
  <c r="AF750" i="20"/>
  <c r="AJ750" i="20"/>
  <c r="AC1163" i="20"/>
  <c r="AL1163" i="20"/>
  <c r="AI1163" i="20"/>
  <c r="Y1163" i="20"/>
  <c r="AN1163" i="20"/>
  <c r="AG1163" i="20"/>
  <c r="AF1163" i="20"/>
  <c r="AK1163" i="20"/>
  <c r="AD1163" i="20"/>
  <c r="AJ1163" i="20"/>
  <c r="AA1163" i="20"/>
  <c r="AN1155" i="20"/>
  <c r="AB1155" i="20"/>
  <c r="AF1155" i="20"/>
  <c r="AH1155" i="20"/>
  <c r="AA1155" i="20"/>
  <c r="AD1155" i="20"/>
  <c r="Y1155" i="20"/>
  <c r="AL1155" i="20"/>
  <c r="AI1155" i="20"/>
  <c r="AJ1155" i="20"/>
  <c r="AE1155" i="20"/>
  <c r="AC1155" i="20"/>
  <c r="AK1147" i="20"/>
  <c r="AH1147" i="20"/>
  <c r="AA1147" i="20"/>
  <c r="AE1147" i="20"/>
  <c r="Z1147" i="20"/>
  <c r="AD1147" i="20"/>
  <c r="AC1147" i="20"/>
  <c r="Y1147" i="20"/>
  <c r="AG1147" i="20"/>
  <c r="AJ1147" i="20"/>
  <c r="AF1147" i="20"/>
  <c r="AL1147" i="20"/>
  <c r="AB1147" i="20"/>
  <c r="AI1147" i="20"/>
  <c r="AA1171" i="20"/>
  <c r="AG1171" i="20"/>
  <c r="AB1171" i="20"/>
  <c r="AH1171" i="20"/>
  <c r="Z1171" i="20"/>
  <c r="AE1171" i="20"/>
  <c r="AD1171" i="20"/>
  <c r="AK1171" i="20"/>
  <c r="AG1179" i="20"/>
  <c r="AJ1179" i="20"/>
  <c r="AI1179" i="20"/>
  <c r="AA1179" i="20"/>
  <c r="AB1179" i="20"/>
  <c r="AK1179" i="20"/>
  <c r="Y1179" i="20"/>
  <c r="Z1187" i="20"/>
  <c r="AF1187" i="20"/>
  <c r="Y1187" i="20"/>
  <c r="AD1187" i="20"/>
  <c r="AJ1187" i="20"/>
  <c r="AH1187" i="20"/>
  <c r="AC1187" i="20"/>
  <c r="AB1187" i="20"/>
  <c r="AK1187" i="20"/>
  <c r="AL1187" i="20"/>
  <c r="AE1195" i="20"/>
  <c r="AD1195" i="20"/>
  <c r="AJ1195" i="20"/>
  <c r="AL1195" i="20"/>
  <c r="AK1195" i="20"/>
  <c r="AB1195" i="20"/>
  <c r="AA1195" i="20"/>
  <c r="Z1203" i="20"/>
  <c r="AB1203" i="20"/>
  <c r="AK1203" i="20"/>
  <c r="Y1203" i="20"/>
  <c r="AF1203" i="20"/>
  <c r="AJ1203" i="20"/>
  <c r="AA1203" i="20"/>
  <c r="AH1203" i="20"/>
  <c r="AL1211" i="20"/>
  <c r="AE1211" i="20"/>
  <c r="AJ1211" i="20"/>
  <c r="AN1211" i="20"/>
  <c r="AA1211" i="20"/>
  <c r="AC1211" i="20"/>
  <c r="AK1211" i="20"/>
  <c r="AI1211" i="20"/>
  <c r="Y1219" i="20"/>
  <c r="AA1219" i="20"/>
  <c r="AF1219" i="20"/>
  <c r="AL1219" i="20"/>
  <c r="AE1219" i="20"/>
  <c r="AN1219" i="20"/>
  <c r="AC1219" i="20"/>
  <c r="AK1227" i="20"/>
  <c r="AJ1227" i="20"/>
  <c r="AD1227" i="20"/>
  <c r="AC1227" i="20"/>
  <c r="AE1227" i="20"/>
  <c r="AN1227" i="20"/>
  <c r="Y1227" i="20"/>
  <c r="Y1235" i="20"/>
  <c r="AG1235" i="20"/>
  <c r="AC1235" i="20"/>
  <c r="AH1235" i="20"/>
  <c r="AB1235" i="20"/>
  <c r="AD1235" i="20"/>
  <c r="AJ1235" i="20"/>
  <c r="AA1235" i="20"/>
  <c r="AF1235" i="20"/>
  <c r="AE1235" i="20"/>
  <c r="AI1235" i="20"/>
  <c r="AN1235" i="20"/>
  <c r="AK1243" i="20"/>
  <c r="AL1243" i="20"/>
  <c r="AN1243" i="20"/>
  <c r="Z1243" i="20"/>
  <c r="AB1243" i="20"/>
  <c r="AH1243" i="20"/>
  <c r="Y1243" i="20"/>
  <c r="AF1251" i="20"/>
  <c r="AD1251" i="20"/>
  <c r="AB1251" i="20"/>
  <c r="AN1251" i="20"/>
  <c r="Z1251" i="20"/>
  <c r="Y1251" i="20"/>
  <c r="AC1251" i="20"/>
  <c r="AJ1251" i="20"/>
  <c r="AI1251" i="20"/>
  <c r="AD1259" i="20"/>
  <c r="AC1259" i="20"/>
  <c r="AN1259" i="20"/>
  <c r="AF1259" i="20"/>
  <c r="Y1259" i="20"/>
  <c r="AH1259" i="20"/>
  <c r="AG1259" i="20"/>
  <c r="AJ1259" i="20"/>
  <c r="AA1267" i="20"/>
  <c r="AH1267" i="20"/>
  <c r="AN1267" i="20"/>
  <c r="AE1267" i="20"/>
  <c r="AB1267" i="20"/>
  <c r="Z1267" i="20"/>
  <c r="AF1267" i="20"/>
  <c r="AC1275" i="20"/>
  <c r="AN1275" i="20"/>
  <c r="AB1275" i="20"/>
  <c r="AL1275" i="20"/>
  <c r="AG1275" i="20"/>
  <c r="AI1275" i="20"/>
  <c r="AA1275" i="20"/>
  <c r="AA1283" i="20"/>
  <c r="AB1283" i="20"/>
  <c r="AG1283" i="20"/>
  <c r="AE1283" i="20"/>
  <c r="Z1283" i="20"/>
  <c r="AK1283" i="20"/>
  <c r="AF1283" i="20"/>
  <c r="AL1283" i="20"/>
  <c r="AH1283" i="20"/>
  <c r="AG1291" i="20"/>
  <c r="AF1291" i="20"/>
  <c r="AD1291" i="20"/>
  <c r="AN1291" i="20"/>
  <c r="Z1291" i="20"/>
  <c r="AK1291" i="20"/>
  <c r="AC1291" i="20"/>
  <c r="AH1291" i="20"/>
  <c r="AA1291" i="20"/>
  <c r="Y1299" i="20"/>
  <c r="AB1299" i="20"/>
  <c r="AL1299" i="20"/>
  <c r="AJ1299" i="20"/>
  <c r="AC1299" i="20"/>
  <c r="AG1299" i="20"/>
  <c r="AE1299" i="20"/>
  <c r="AA1299" i="20"/>
  <c r="AK1299" i="20"/>
  <c r="AH1307" i="20"/>
  <c r="Y1307" i="20"/>
  <c r="AE1307" i="20"/>
  <c r="AC1307" i="20"/>
  <c r="AB1307" i="20"/>
  <c r="Z1307" i="20"/>
  <c r="AL1307" i="20"/>
  <c r="AJ1307" i="20"/>
  <c r="AK1315" i="20"/>
  <c r="AF1315" i="20"/>
  <c r="AC1315" i="20"/>
  <c r="Y1315" i="20"/>
  <c r="Z1315" i="20"/>
  <c r="AD1315" i="20"/>
  <c r="AB1315" i="20"/>
  <c r="AJ1315" i="20"/>
  <c r="AG1315" i="20"/>
  <c r="AA1315" i="20"/>
  <c r="AE1315" i="20"/>
  <c r="AI1315" i="20"/>
  <c r="AL1315" i="20"/>
  <c r="AC1323" i="20"/>
  <c r="AJ1323" i="20"/>
  <c r="AA1323" i="20"/>
  <c r="Y1323" i="20"/>
  <c r="Z1323" i="20"/>
  <c r="AK1323" i="20"/>
  <c r="AG1323" i="20"/>
  <c r="AF1323" i="20"/>
  <c r="AC1331" i="20"/>
  <c r="AB1331" i="20"/>
  <c r="AK1331" i="20"/>
  <c r="Z1331" i="20"/>
  <c r="AE1331" i="20"/>
  <c r="AA1331" i="20"/>
  <c r="AE1335" i="20"/>
  <c r="Z1335" i="20"/>
  <c r="AN1335" i="20"/>
  <c r="AF1335" i="20"/>
  <c r="AI1335" i="20"/>
  <c r="AH1335" i="20"/>
  <c r="AA1335" i="20"/>
  <c r="AL1335" i="20"/>
  <c r="Y1335" i="20"/>
  <c r="AC1335" i="20"/>
  <c r="AG1223" i="20"/>
  <c r="Y1211" i="20"/>
  <c r="AI1319" i="20"/>
  <c r="AH1223" i="20"/>
  <c r="AD1275" i="20"/>
  <c r="AF1275" i="20"/>
  <c r="AE1327" i="20"/>
  <c r="AL1259" i="20"/>
  <c r="AA1231" i="20"/>
  <c r="AL1339" i="20"/>
  <c r="AG1227" i="20"/>
  <c r="Z1275" i="20"/>
  <c r="AD1267" i="20"/>
  <c r="AA1227" i="20"/>
  <c r="AL1247" i="20"/>
  <c r="AF1195" i="20"/>
  <c r="AN1263" i="20"/>
  <c r="AG1307" i="20"/>
  <c r="AE1291" i="20"/>
  <c r="AK1339" i="20"/>
  <c r="AF1211" i="20"/>
  <c r="AA1307" i="20"/>
  <c r="AI1259" i="20"/>
  <c r="AI1247" i="20"/>
  <c r="AL1251" i="20"/>
  <c r="Y1283" i="20"/>
  <c r="AD1331" i="20"/>
  <c r="Z1211" i="20"/>
  <c r="AK1279" i="20"/>
  <c r="AH1183" i="20"/>
  <c r="AG1219" i="20"/>
  <c r="AB1211" i="20"/>
  <c r="AI1331" i="20"/>
  <c r="AN1299" i="20"/>
  <c r="AE1263" i="20"/>
  <c r="AH1219" i="20"/>
  <c r="Z1279" i="20"/>
  <c r="AH1211" i="20"/>
  <c r="AC1171" i="20"/>
  <c r="AE1251" i="20"/>
  <c r="AL1331" i="20"/>
  <c r="AN1303" i="20"/>
  <c r="AJ1219" i="20"/>
  <c r="AE1275" i="20"/>
  <c r="AB1271" i="20"/>
  <c r="AN1195" i="20"/>
  <c r="AB1335" i="20"/>
  <c r="Z1235" i="20"/>
  <c r="AH1163" i="20"/>
  <c r="AE1163" i="20"/>
  <c r="AB1219" i="20"/>
  <c r="Y1171" i="20"/>
  <c r="AB1159" i="20"/>
  <c r="AI1159" i="20"/>
  <c r="AE1159" i="20"/>
  <c r="AL1159" i="20"/>
  <c r="AC1159" i="20"/>
  <c r="Y1159" i="20"/>
  <c r="AD1159" i="20"/>
  <c r="AH1159" i="20"/>
  <c r="AF1159" i="20"/>
  <c r="AI1151" i="20"/>
  <c r="AB1151" i="20"/>
  <c r="AH1151" i="20"/>
  <c r="Y1151" i="20"/>
  <c r="AG1151" i="20"/>
  <c r="AC1151" i="20"/>
  <c r="AN1151" i="20"/>
  <c r="AA1151" i="20"/>
  <c r="AK1151" i="20"/>
  <c r="Z1151" i="20"/>
  <c r="AL1151" i="20"/>
  <c r="AD1151" i="20"/>
  <c r="AJ1151" i="20"/>
  <c r="AC1167" i="20"/>
  <c r="AA1167" i="20"/>
  <c r="AJ1167" i="20"/>
  <c r="AN1167" i="20"/>
  <c r="AB1167" i="20"/>
  <c r="AG1167" i="20"/>
  <c r="Z1167" i="20"/>
  <c r="AI1167" i="20"/>
  <c r="AE1167" i="20"/>
  <c r="AI1175" i="20"/>
  <c r="AN1175" i="20"/>
  <c r="AG1175" i="20"/>
  <c r="AJ1175" i="20"/>
  <c r="AD1175" i="20"/>
  <c r="AK1175" i="20"/>
  <c r="AL1175" i="20"/>
  <c r="AE1175" i="20"/>
  <c r="AC1175" i="20"/>
  <c r="Y1175" i="20"/>
  <c r="Y1183" i="20"/>
  <c r="AL1183" i="20"/>
  <c r="AE1183" i="20"/>
  <c r="AF1183" i="20"/>
  <c r="AG1183" i="20"/>
  <c r="AN1183" i="20"/>
  <c r="AC1191" i="20"/>
  <c r="AL1191" i="20"/>
  <c r="Y1191" i="20"/>
  <c r="AK1191" i="20"/>
  <c r="AJ1191" i="20"/>
  <c r="AA1191" i="20"/>
  <c r="AF1191" i="20"/>
  <c r="AN1191" i="20"/>
  <c r="AG1191" i="20"/>
  <c r="AA1199" i="20"/>
  <c r="AB1199" i="20"/>
  <c r="Y1199" i="20"/>
  <c r="AI1199" i="20"/>
  <c r="AC1199" i="20"/>
  <c r="AN1199" i="20"/>
  <c r="AL1199" i="20"/>
  <c r="Z1199" i="20"/>
  <c r="AG1199" i="20"/>
  <c r="AF1199" i="20"/>
  <c r="Y1207" i="20"/>
  <c r="AG1207" i="20"/>
  <c r="AH1207" i="20"/>
  <c r="AE1207" i="20"/>
  <c r="AC1207" i="20"/>
  <c r="AD1207" i="20"/>
  <c r="AK1207" i="20"/>
  <c r="AB1207" i="20"/>
  <c r="Z1207" i="20"/>
  <c r="AN1207" i="20"/>
  <c r="AI1215" i="20"/>
  <c r="Y1215" i="20"/>
  <c r="AB1215" i="20"/>
  <c r="AC1215" i="20"/>
  <c r="AH1215" i="20"/>
  <c r="AJ1215" i="20"/>
  <c r="Z1215" i="20"/>
  <c r="AD1215" i="20"/>
  <c r="AF1215" i="20"/>
  <c r="AI1223" i="20"/>
  <c r="Y1223" i="20"/>
  <c r="AJ1223" i="20"/>
  <c r="AK1223" i="20"/>
  <c r="AE1223" i="20"/>
  <c r="Z1223" i="20"/>
  <c r="AA1223" i="20"/>
  <c r="AL1223" i="20"/>
  <c r="AL1231" i="20"/>
  <c r="AJ1231" i="20"/>
  <c r="AG1231" i="20"/>
  <c r="AB1231" i="20"/>
  <c r="AC1231" i="20"/>
  <c r="Y1231" i="20"/>
  <c r="AF1231" i="20"/>
  <c r="Z1231" i="20"/>
  <c r="AE1231" i="20"/>
  <c r="AI1231" i="20"/>
  <c r="Y1239" i="20"/>
  <c r="Z1239" i="20"/>
  <c r="AH1239" i="20"/>
  <c r="AD1239" i="20"/>
  <c r="AI1239" i="20"/>
  <c r="AE1239" i="20"/>
  <c r="AJ1239" i="20"/>
  <c r="AF1239" i="20"/>
  <c r="AA1239" i="20"/>
  <c r="AC1239" i="20"/>
  <c r="AG1239" i="20"/>
  <c r="AA1247" i="20"/>
  <c r="AE1247" i="20"/>
  <c r="AJ1247" i="20"/>
  <c r="AH1247" i="20"/>
  <c r="AC1247" i="20"/>
  <c r="AD1247" i="20"/>
  <c r="AG1247" i="20"/>
  <c r="AN1247" i="20"/>
  <c r="AD1255" i="20"/>
  <c r="Y1255" i="20"/>
  <c r="Z1255" i="20"/>
  <c r="AB1255" i="20"/>
  <c r="AF1255" i="20"/>
  <c r="AA1255" i="20"/>
  <c r="AK1255" i="20"/>
  <c r="AE1255" i="20"/>
  <c r="AI1255" i="20"/>
  <c r="AG1255" i="20"/>
  <c r="AH1255" i="20"/>
  <c r="AL1255" i="20"/>
  <c r="AL1263" i="20"/>
  <c r="Z1263" i="20"/>
  <c r="AK1263" i="20"/>
  <c r="AH1263" i="20"/>
  <c r="AI1263" i="20"/>
  <c r="AG1263" i="20"/>
  <c r="AA1263" i="20"/>
  <c r="AB1263" i="20"/>
  <c r="AC1263" i="20"/>
  <c r="AH1271" i="20"/>
  <c r="AL1271" i="20"/>
  <c r="AE1271" i="20"/>
  <c r="AN1271" i="20"/>
  <c r="AF1271" i="20"/>
  <c r="Y1271" i="20"/>
  <c r="AD1271" i="20"/>
  <c r="AK1271" i="20"/>
  <c r="AB1279" i="20"/>
  <c r="AE1279" i="20"/>
  <c r="Y1279" i="20"/>
  <c r="AH1279" i="20"/>
  <c r="AG1279" i="20"/>
  <c r="AI1279" i="20"/>
  <c r="AJ1279" i="20"/>
  <c r="AG1287" i="20"/>
  <c r="AD1287" i="20"/>
  <c r="AN1287" i="20"/>
  <c r="AC1287" i="20"/>
  <c r="AL1287" i="20"/>
  <c r="Z1287" i="20"/>
  <c r="AA1287" i="20"/>
  <c r="AF1287" i="20"/>
  <c r="AJ1295" i="20"/>
  <c r="Y1295" i="20"/>
  <c r="Z1295" i="20"/>
  <c r="AL1295" i="20"/>
  <c r="AH1295" i="20"/>
  <c r="AC1295" i="20"/>
  <c r="AK1295" i="20"/>
  <c r="AA1295" i="20"/>
  <c r="AF1295" i="20"/>
  <c r="AI1295" i="20"/>
  <c r="AC1303" i="20"/>
  <c r="AL1303" i="20"/>
  <c r="AF1303" i="20"/>
  <c r="AJ1303" i="20"/>
  <c r="AK1303" i="20"/>
  <c r="AG1303" i="20"/>
  <c r="AA1303" i="20"/>
  <c r="Y1303" i="20"/>
  <c r="AB1311" i="20"/>
  <c r="AE1311" i="20"/>
  <c r="Z1311" i="20"/>
  <c r="AK1311" i="20"/>
  <c r="AI1311" i="20"/>
  <c r="AL1311" i="20"/>
  <c r="AN1311" i="20"/>
  <c r="AH1311" i="20"/>
  <c r="AD1319" i="20"/>
  <c r="AG1319" i="20"/>
  <c r="AJ1319" i="20"/>
  <c r="AB1319" i="20"/>
  <c r="Y1327" i="20"/>
  <c r="AA1327" i="20"/>
  <c r="AB1327" i="20"/>
  <c r="AK1327" i="20"/>
  <c r="AF1327" i="20"/>
  <c r="AG1327" i="20"/>
  <c r="AL1327" i="20"/>
  <c r="AC1327" i="20"/>
  <c r="AJ1327" i="20"/>
  <c r="AD1327" i="20"/>
  <c r="AI1339" i="20"/>
  <c r="AG1339" i="20"/>
  <c r="Y1339" i="20"/>
  <c r="Z1339" i="20"/>
  <c r="AC1339" i="20"/>
  <c r="AB1339" i="20"/>
  <c r="AJ644" i="20"/>
  <c r="AI1283" i="20"/>
  <c r="AI1323" i="20"/>
  <c r="AB1287" i="20"/>
  <c r="AL1267" i="20"/>
  <c r="AJ1263" i="20"/>
  <c r="AG1271" i="20"/>
  <c r="AD1179" i="20"/>
  <c r="AH1315" i="20"/>
  <c r="AN1231" i="20"/>
  <c r="AG1335" i="20"/>
  <c r="AD1299" i="20"/>
  <c r="AC1279" i="20"/>
  <c r="AN1331" i="20"/>
  <c r="AJ1291" i="20"/>
  <c r="AJ1335" i="20"/>
  <c r="AI1271" i="20"/>
  <c r="AK1219" i="20"/>
  <c r="AI1299" i="20"/>
  <c r="AG1195" i="20"/>
  <c r="AD1339" i="20"/>
  <c r="AJ1275" i="20"/>
  <c r="AD1243" i="20"/>
  <c r="Z1227" i="20"/>
  <c r="AN1319" i="20"/>
  <c r="AK1287" i="20"/>
  <c r="AI1243" i="20"/>
  <c r="AE1199" i="20"/>
  <c r="AB1295" i="20"/>
  <c r="AE1179" i="20"/>
  <c r="AL1227" i="20"/>
  <c r="AC1223" i="20"/>
  <c r="AN1203" i="20"/>
  <c r="AD1203" i="20"/>
  <c r="AG1331" i="20"/>
  <c r="AG1267" i="20"/>
  <c r="AN1171" i="20"/>
  <c r="Z1303" i="20"/>
  <c r="AF1331" i="20"/>
  <c r="AA1259" i="20"/>
  <c r="AN1327" i="20"/>
  <c r="AE1295" i="20"/>
  <c r="AN1255" i="20"/>
  <c r="AN1215" i="20"/>
  <c r="AH1339" i="20"/>
  <c r="Y1167" i="20"/>
  <c r="AI1183" i="20"/>
  <c r="AC1283" i="20"/>
  <c r="Z1259" i="20"/>
  <c r="AN1323" i="20"/>
  <c r="AJ1287" i="20"/>
  <c r="AF1247" i="20"/>
  <c r="AL1203" i="20"/>
  <c r="Z1247" i="20"/>
  <c r="AI1195" i="20"/>
  <c r="AA1215" i="20"/>
  <c r="AI1267" i="20"/>
  <c r="AJ1267" i="20"/>
  <c r="AH1231" i="20"/>
  <c r="AN1187" i="20"/>
  <c r="AA1319" i="20"/>
  <c r="AD1219" i="20"/>
  <c r="Y1263" i="20"/>
  <c r="AL1291" i="20"/>
  <c r="AE1243" i="20"/>
  <c r="AA1187" i="20"/>
  <c r="Z1327" i="20"/>
  <c r="AH1303" i="20"/>
  <c r="AA1251" i="20"/>
  <c r="AE1203" i="20"/>
  <c r="AB1175" i="20"/>
  <c r="Z1163" i="20"/>
  <c r="AJ1159" i="20"/>
  <c r="AA1159" i="20"/>
  <c r="AB1191" i="20"/>
  <c r="AH73" i="20"/>
  <c r="AD906" i="20"/>
  <c r="AD648" i="20"/>
  <c r="AL316" i="20"/>
  <c r="AR875" i="20"/>
  <c r="AR668" i="20"/>
  <c r="AR659" i="20"/>
  <c r="N14" i="36"/>
  <c r="AA10" i="66" s="1"/>
  <c r="P12" i="36"/>
  <c r="L12" i="36" s="1"/>
  <c r="O12" i="36" s="1"/>
  <c r="AH751" i="20"/>
  <c r="Y1174" i="20"/>
  <c r="AC870" i="20"/>
  <c r="Y736" i="20"/>
  <c r="Y1278" i="20"/>
  <c r="Z1278" i="20"/>
  <c r="AA292" i="20"/>
  <c r="AH636" i="20"/>
  <c r="AF629" i="20"/>
  <c r="AK573" i="20"/>
  <c r="AL425" i="20"/>
  <c r="AF538" i="20"/>
  <c r="AK751" i="20"/>
  <c r="AE891" i="20"/>
  <c r="AE414" i="20"/>
  <c r="AB891" i="20"/>
  <c r="AI1003" i="20"/>
  <c r="Z14" i="20"/>
  <c r="Z188" i="20"/>
  <c r="AL1003" i="20"/>
  <c r="AL751" i="20"/>
  <c r="AI809" i="20"/>
  <c r="AJ798" i="20"/>
  <c r="Y518" i="20"/>
  <c r="AE865" i="20"/>
  <c r="AC1298" i="20"/>
  <c r="AF43" i="20"/>
  <c r="AJ809" i="20"/>
  <c r="AL729" i="20"/>
  <c r="Z895" i="20"/>
  <c r="AA804" i="20"/>
  <c r="AB1298" i="20"/>
  <c r="AL1156" i="20"/>
  <c r="AI102" i="20"/>
  <c r="AL538" i="20"/>
  <c r="AH266" i="20"/>
  <c r="AH555" i="20"/>
  <c r="Z762" i="20"/>
  <c r="Z573" i="20"/>
  <c r="AL271" i="20"/>
  <c r="AJ654" i="20"/>
  <c r="AL300" i="20"/>
  <c r="AH78" i="20"/>
  <c r="Z142" i="20"/>
  <c r="AG889" i="20"/>
  <c r="AA680" i="20"/>
  <c r="Z461" i="20"/>
  <c r="Z500" i="20"/>
  <c r="AD309" i="20"/>
  <c r="AF1314" i="20"/>
  <c r="AE375" i="20"/>
  <c r="AK766" i="20"/>
  <c r="P7" i="36"/>
  <c r="AQ57" i="40"/>
  <c r="AQ41" i="40"/>
  <c r="G39" i="37"/>
  <c r="M25" i="36"/>
  <c r="G38" i="37"/>
  <c r="M18" i="36"/>
  <c r="AQ38" i="40"/>
  <c r="AQ46" i="40"/>
  <c r="AQ49" i="40"/>
  <c r="AP58" i="40"/>
  <c r="M27" i="40" s="1"/>
  <c r="P21" i="36"/>
  <c r="P25" i="36"/>
  <c r="L25" i="36" s="1"/>
  <c r="O25" i="36" s="1"/>
  <c r="P19" i="36"/>
  <c r="AO28" i="40"/>
  <c r="L28" i="40" s="1"/>
  <c r="P18" i="36"/>
  <c r="L18" i="36" s="1"/>
  <c r="O18" i="36" s="1"/>
  <c r="P13" i="36"/>
  <c r="AP158" i="20"/>
  <c r="AR158" i="20"/>
  <c r="AP893" i="20"/>
  <c r="AR893" i="20"/>
  <c r="AP1059" i="20"/>
  <c r="AR1059" i="20"/>
  <c r="AP975" i="20"/>
  <c r="AR975" i="20"/>
  <c r="AP741" i="20"/>
  <c r="AR741" i="20"/>
  <c r="AR463" i="20"/>
  <c r="AP463" i="20"/>
  <c r="AP443" i="20"/>
  <c r="AR443" i="20"/>
  <c r="AR349" i="20"/>
  <c r="AR97" i="20"/>
  <c r="AL495" i="20"/>
  <c r="AI1037" i="20"/>
  <c r="AE78" i="20"/>
  <c r="AB466" i="20"/>
  <c r="AA436" i="20"/>
  <c r="AG902" i="20"/>
  <c r="Z74" i="20"/>
  <c r="AP1013" i="20"/>
  <c r="AR1013" i="20"/>
  <c r="AP1058" i="20"/>
  <c r="AR1058" i="20"/>
  <c r="AP257" i="20"/>
  <c r="AR257" i="20"/>
  <c r="AP744" i="20"/>
  <c r="AR744" i="20"/>
  <c r="AP184" i="20"/>
  <c r="AR184" i="20"/>
  <c r="AR559" i="20"/>
  <c r="AP559" i="20"/>
  <c r="AR305" i="20"/>
  <c r="AP305" i="20"/>
  <c r="AP186" i="20"/>
  <c r="AR186" i="20"/>
  <c r="AP172" i="20"/>
  <c r="AR172" i="20"/>
  <c r="AJ1141" i="20"/>
  <c r="Y1141" i="20"/>
  <c r="AG1141" i="20"/>
  <c r="AK1141" i="20"/>
  <c r="Z1141" i="20"/>
  <c r="AE1141" i="20"/>
  <c r="AA1141" i="20"/>
  <c r="AD1141" i="20"/>
  <c r="Z1133" i="20"/>
  <c r="AI1133" i="20"/>
  <c r="AF1133" i="20"/>
  <c r="AG1133" i="20"/>
  <c r="AL1133" i="20"/>
  <c r="AC1133" i="20"/>
  <c r="AH1133" i="20"/>
  <c r="AE1133" i="20"/>
  <c r="AK1133" i="20"/>
  <c r="AB1133" i="20"/>
  <c r="AJ1133" i="20"/>
  <c r="AL1125" i="20"/>
  <c r="Z1125" i="20"/>
  <c r="AE1125" i="20"/>
  <c r="AB1125" i="20"/>
  <c r="Y1125" i="20"/>
  <c r="AG1125" i="20"/>
  <c r="AH1125" i="20"/>
  <c r="AA1125" i="20"/>
  <c r="AC1125" i="20"/>
  <c r="AF1125" i="20"/>
  <c r="AF1117" i="20"/>
  <c r="AE1117" i="20"/>
  <c r="AA1117" i="20"/>
  <c r="AG1117" i="20"/>
  <c r="Z1117" i="20"/>
  <c r="AC1117" i="20"/>
  <c r="AJ1117" i="20"/>
  <c r="AK1117" i="20"/>
  <c r="AI1117" i="20"/>
  <c r="AH1109" i="20"/>
  <c r="Y1109" i="20"/>
  <c r="AF1109" i="20"/>
  <c r="AC1109" i="20"/>
  <c r="AK1109" i="20"/>
  <c r="AL1109" i="20"/>
  <c r="AG1109" i="20"/>
  <c r="AJ1109" i="20"/>
  <c r="AA1109" i="20"/>
  <c r="Z1101" i="20"/>
  <c r="AA1101" i="20"/>
  <c r="AK1101" i="20"/>
  <c r="Y1101" i="20"/>
  <c r="AF1101" i="20"/>
  <c r="AH1101" i="20"/>
  <c r="AG1101" i="20"/>
  <c r="AB1101" i="20"/>
  <c r="AB1093" i="20"/>
  <c r="Z1093" i="20"/>
  <c r="AK1093" i="20"/>
  <c r="Y1093" i="20"/>
  <c r="AL1093" i="20"/>
  <c r="AJ1093" i="20"/>
  <c r="AI1093" i="20"/>
  <c r="AA1093" i="20"/>
  <c r="AN1093" i="20"/>
  <c r="AG1093" i="20"/>
  <c r="AI1085" i="20"/>
  <c r="AF1085" i="20"/>
  <c r="AD1085" i="20"/>
  <c r="AB1085" i="20"/>
  <c r="AK1085" i="20"/>
  <c r="Y1085" i="20"/>
  <c r="AE1085" i="20"/>
  <c r="AB1077" i="20"/>
  <c r="AJ1077" i="20"/>
  <c r="AC1077" i="20"/>
  <c r="AI1077" i="20"/>
  <c r="AD1077" i="20"/>
  <c r="AF1077" i="20"/>
  <c r="AL1077" i="20"/>
  <c r="AG1077" i="20"/>
  <c r="AA1077" i="20"/>
  <c r="AH1077" i="20"/>
  <c r="AN1077" i="20"/>
  <c r="AE1077" i="20"/>
  <c r="Y1077" i="20"/>
  <c r="AB1070" i="20"/>
  <c r="Z1070" i="20"/>
  <c r="AJ1070" i="20"/>
  <c r="AD1070" i="20"/>
  <c r="AC1070" i="20"/>
  <c r="Y1070" i="20"/>
  <c r="AA1070" i="20"/>
  <c r="AF1070" i="20"/>
  <c r="AI1070" i="20"/>
  <c r="AN1070" i="20"/>
  <c r="AG1070" i="20"/>
  <c r="AB1061" i="20"/>
  <c r="AJ1061" i="20"/>
  <c r="AC1061" i="20"/>
  <c r="AN1061" i="20"/>
  <c r="AI1061" i="20"/>
  <c r="AL1061" i="20"/>
  <c r="Y1061" i="20"/>
  <c r="Z1061" i="20"/>
  <c r="AE1061" i="20"/>
  <c r="AA1061" i="20"/>
  <c r="AF1061" i="20"/>
  <c r="AG1061" i="20"/>
  <c r="AH1061" i="20"/>
  <c r="Z1042" i="20"/>
  <c r="AI1042" i="20"/>
  <c r="AE1042" i="20"/>
  <c r="AK1042" i="20"/>
  <c r="AH1042" i="20"/>
  <c r="AN1042" i="20"/>
  <c r="AG1042" i="20"/>
  <c r="AL1042" i="20"/>
  <c r="AC1042" i="20"/>
  <c r="AJ1042" i="20"/>
  <c r="Y1042" i="20"/>
  <c r="Z1031" i="20"/>
  <c r="AI1031" i="20"/>
  <c r="AN1031" i="20"/>
  <c r="AD1031" i="20"/>
  <c r="AC1031" i="20"/>
  <c r="AB1031" i="20"/>
  <c r="Y1031" i="20"/>
  <c r="AA1031" i="20"/>
  <c r="AJ1031" i="20"/>
  <c r="AE1031" i="20"/>
  <c r="AK1031" i="20"/>
  <c r="AF1031" i="20"/>
  <c r="AG1031" i="20"/>
  <c r="AH1031" i="20"/>
  <c r="AL1031" i="20"/>
  <c r="AN1019" i="20"/>
  <c r="AI1019" i="20"/>
  <c r="AD1019" i="20"/>
  <c r="AK1019" i="20"/>
  <c r="AB1019" i="20"/>
  <c r="Y1019" i="20"/>
  <c r="AL1019" i="20"/>
  <c r="AJ1019" i="20"/>
  <c r="AE1019" i="20"/>
  <c r="AC1019" i="20"/>
  <c r="Z1019" i="20"/>
  <c r="AG1019" i="20"/>
  <c r="AA1019" i="20"/>
  <c r="AF1019" i="20"/>
  <c r="AN1002" i="20"/>
  <c r="AE1002" i="20"/>
  <c r="AI1002" i="20"/>
  <c r="AA1002" i="20"/>
  <c r="AL1002" i="20"/>
  <c r="AD1002" i="20"/>
  <c r="AH1002" i="20"/>
  <c r="AC1002" i="20"/>
  <c r="Y1002" i="20"/>
  <c r="Z1002" i="20"/>
  <c r="AJ1002" i="20"/>
  <c r="AG1002" i="20"/>
  <c r="AB1002" i="20"/>
  <c r="AN1003" i="20"/>
  <c r="AJ1003" i="20"/>
  <c r="AA1003" i="20"/>
  <c r="AF1003" i="20"/>
  <c r="AH1003" i="20"/>
  <c r="AG1003" i="20"/>
  <c r="AK1003" i="20"/>
  <c r="AE1003" i="20"/>
  <c r="AD1003" i="20"/>
  <c r="AC1003" i="20"/>
  <c r="Z1003" i="20"/>
  <c r="Z976" i="20"/>
  <c r="Y976" i="20"/>
  <c r="AH976" i="20"/>
  <c r="AL976" i="20"/>
  <c r="AG976" i="20"/>
  <c r="AI976" i="20"/>
  <c r="AJ976" i="20"/>
  <c r="AD976" i="20"/>
  <c r="AC976" i="20"/>
  <c r="AN976" i="20"/>
  <c r="AK976" i="20"/>
  <c r="AE976" i="20"/>
  <c r="AB976" i="20"/>
  <c r="AF976" i="20"/>
  <c r="AA976" i="20"/>
  <c r="AN945" i="20"/>
  <c r="Y945" i="20"/>
  <c r="AL945" i="20"/>
  <c r="AJ945" i="20"/>
  <c r="AA945" i="20"/>
  <c r="AC945" i="20"/>
  <c r="AB945" i="20"/>
  <c r="AD945" i="20"/>
  <c r="AE945" i="20"/>
  <c r="AG945" i="20"/>
  <c r="AF945" i="20"/>
  <c r="Z945" i="20"/>
  <c r="AH945" i="20"/>
  <c r="AI945" i="20"/>
  <c r="AN932" i="20"/>
  <c r="AA932" i="20"/>
  <c r="AJ932" i="20"/>
  <c r="AG932" i="20"/>
  <c r="AC932" i="20"/>
  <c r="AK932" i="20"/>
  <c r="AE932" i="20"/>
  <c r="Z932" i="20"/>
  <c r="AD932" i="20"/>
  <c r="AB932" i="20"/>
  <c r="AL932" i="20"/>
  <c r="Y932" i="20"/>
  <c r="AF932" i="20"/>
  <c r="AI932" i="20"/>
  <c r="AI911" i="20"/>
  <c r="AG911" i="20"/>
  <c r="AD911" i="20"/>
  <c r="AL911" i="20"/>
  <c r="AH911" i="20"/>
  <c r="AJ911" i="20"/>
  <c r="AN911" i="20"/>
  <c r="AF911" i="20"/>
  <c r="Y911" i="20"/>
  <c r="AK911" i="20"/>
  <c r="AC911" i="20"/>
  <c r="AB911" i="20"/>
  <c r="AB895" i="20"/>
  <c r="AD895" i="20"/>
  <c r="AH895" i="20"/>
  <c r="AK895" i="20"/>
  <c r="AC895" i="20"/>
  <c r="AN895" i="20"/>
  <c r="AF895" i="20"/>
  <c r="AE895" i="20"/>
  <c r="AI895" i="20"/>
  <c r="Y895" i="20"/>
  <c r="AA895" i="20"/>
  <c r="AL895" i="20"/>
  <c r="AE870" i="20"/>
  <c r="AD870" i="20"/>
  <c r="Y870" i="20"/>
  <c r="Z870" i="20"/>
  <c r="AJ870" i="20"/>
  <c r="AI870" i="20"/>
  <c r="AK870" i="20"/>
  <c r="AF870" i="20"/>
  <c r="AN870" i="20"/>
  <c r="AN847" i="20"/>
  <c r="AC847" i="20"/>
  <c r="AD847" i="20"/>
  <c r="AB847" i="20"/>
  <c r="AH847" i="20"/>
  <c r="Y847" i="20"/>
  <c r="AF847" i="20"/>
  <c r="AJ847" i="20"/>
  <c r="AK847" i="20"/>
  <c r="Z847" i="20"/>
  <c r="AE847" i="20"/>
  <c r="AG847" i="20"/>
  <c r="AL847" i="20"/>
  <c r="AI847" i="20"/>
  <c r="AC837" i="20"/>
  <c r="AN837" i="20"/>
  <c r="Y837" i="20"/>
  <c r="AD837" i="20"/>
  <c r="AE837" i="20"/>
  <c r="AA837" i="20"/>
  <c r="AL837" i="20"/>
  <c r="AJ837" i="20"/>
  <c r="AK837" i="20"/>
  <c r="AF837" i="20"/>
  <c r="Z837" i="20"/>
  <c r="AG837" i="20"/>
  <c r="AJ821" i="20"/>
  <c r="AI821" i="20"/>
  <c r="AD821" i="20"/>
  <c r="AE821" i="20"/>
  <c r="AK821" i="20"/>
  <c r="Z821" i="20"/>
  <c r="AC821" i="20"/>
  <c r="AL821" i="20"/>
  <c r="AN821" i="20"/>
  <c r="AB821" i="20"/>
  <c r="AH821" i="20"/>
  <c r="AG821" i="20"/>
  <c r="Y821" i="20"/>
  <c r="AN804" i="20"/>
  <c r="AF804" i="20"/>
  <c r="AE804" i="20"/>
  <c r="AC804" i="20"/>
  <c r="AD804" i="20"/>
  <c r="Y804" i="20"/>
  <c r="AK804" i="20"/>
  <c r="AH804" i="20"/>
  <c r="AI804" i="20"/>
  <c r="AG804" i="20"/>
  <c r="AL804" i="20"/>
  <c r="AB804" i="20"/>
  <c r="AN792" i="20"/>
  <c r="Y792" i="20"/>
  <c r="AA792" i="20"/>
  <c r="AC792" i="20"/>
  <c r="AB792" i="20"/>
  <c r="Z792" i="20"/>
  <c r="AL792" i="20"/>
  <c r="AG792" i="20"/>
  <c r="AJ792" i="20"/>
  <c r="AF792" i="20"/>
  <c r="AD792" i="20"/>
  <c r="AE792" i="20"/>
  <c r="AK792" i="20"/>
  <c r="AN763" i="20"/>
  <c r="AD763" i="20"/>
  <c r="Z763" i="20"/>
  <c r="AL763" i="20"/>
  <c r="AJ763" i="20"/>
  <c r="AH763" i="20"/>
  <c r="AE763" i="20"/>
  <c r="AF763" i="20"/>
  <c r="AC763" i="20"/>
  <c r="AA763" i="20"/>
  <c r="Y763" i="20"/>
  <c r="AI763" i="20"/>
  <c r="AG763" i="20"/>
  <c r="AB747" i="20"/>
  <c r="AC747" i="20"/>
  <c r="AG747" i="20"/>
  <c r="AK747" i="20"/>
  <c r="AN747" i="20"/>
  <c r="AA747" i="20"/>
  <c r="AE747" i="20"/>
  <c r="AD747" i="20"/>
  <c r="AL747" i="20"/>
  <c r="AH747" i="20"/>
  <c r="AJ747" i="20"/>
  <c r="Z747" i="20"/>
  <c r="Y747" i="20"/>
  <c r="AN736" i="20"/>
  <c r="AE736" i="20"/>
  <c r="AI736" i="20"/>
  <c r="Z736" i="20"/>
  <c r="AA736" i="20"/>
  <c r="AL736" i="20"/>
  <c r="AD736" i="20"/>
  <c r="AF736" i="20"/>
  <c r="AG736" i="20"/>
  <c r="AB736" i="20"/>
  <c r="AK736" i="20"/>
  <c r="AN716" i="20"/>
  <c r="AE716" i="20"/>
  <c r="AG716" i="20"/>
  <c r="AB716" i="20"/>
  <c r="AH716" i="20"/>
  <c r="AL716" i="20"/>
  <c r="Z716" i="20"/>
  <c r="AJ716" i="20"/>
  <c r="Y716" i="20"/>
  <c r="AF716" i="20"/>
  <c r="AK716" i="20"/>
  <c r="AC716" i="20"/>
  <c r="AN694" i="20"/>
  <c r="AA694" i="20"/>
  <c r="AL694" i="20"/>
  <c r="AK694" i="20"/>
  <c r="AB694" i="20"/>
  <c r="AE694" i="20"/>
  <c r="AI694" i="20"/>
  <c r="AJ694" i="20"/>
  <c r="AH694" i="20"/>
  <c r="Y694" i="20"/>
  <c r="Z694" i="20"/>
  <c r="AC694" i="20"/>
  <c r="AG694" i="20"/>
  <c r="AN680" i="20"/>
  <c r="Z680" i="20"/>
  <c r="AG680" i="20"/>
  <c r="AE680" i="20"/>
  <c r="AC680" i="20"/>
  <c r="Y680" i="20"/>
  <c r="AB680" i="20"/>
  <c r="AF680" i="20"/>
  <c r="AI680" i="20"/>
  <c r="AD680" i="20"/>
  <c r="AL680" i="20"/>
  <c r="AH680" i="20"/>
  <c r="AN663" i="20"/>
  <c r="AC663" i="20"/>
  <c r="AA663" i="20"/>
  <c r="Y663" i="20"/>
  <c r="AL663" i="20"/>
  <c r="AB663" i="20"/>
  <c r="Z663" i="20"/>
  <c r="AK663" i="20"/>
  <c r="AE663" i="20"/>
  <c r="AD663" i="20"/>
  <c r="AH663" i="20"/>
  <c r="AI663" i="20"/>
  <c r="AF663" i="20"/>
  <c r="AG663" i="20"/>
  <c r="AJ663" i="20"/>
  <c r="AG250" i="20"/>
  <c r="AE250" i="20"/>
  <c r="AK250" i="20"/>
  <c r="AL250" i="20"/>
  <c r="AF250" i="20"/>
  <c r="Z250" i="20"/>
  <c r="AH250" i="20"/>
  <c r="AN250" i="20"/>
  <c r="AA250" i="20"/>
  <c r="Y250" i="20"/>
  <c r="AC250" i="20"/>
  <c r="AJ250" i="20"/>
  <c r="AB250" i="20"/>
  <c r="AN643" i="20"/>
  <c r="AJ643" i="20"/>
  <c r="AC643" i="20"/>
  <c r="AE643" i="20"/>
  <c r="AG643" i="20"/>
  <c r="AF643" i="20"/>
  <c r="AK643" i="20"/>
  <c r="AD643" i="20"/>
  <c r="Y643" i="20"/>
  <c r="AL643" i="20"/>
  <c r="AI643" i="20"/>
  <c r="AH643" i="20"/>
  <c r="Z643" i="20"/>
  <c r="AA643" i="20"/>
  <c r="AN997" i="20"/>
  <c r="AI997" i="20"/>
  <c r="Y997" i="20"/>
  <c r="AD997" i="20"/>
  <c r="AJ997" i="20"/>
  <c r="AH997" i="20"/>
  <c r="AL997" i="20"/>
  <c r="AG997" i="20"/>
  <c r="Z997" i="20"/>
  <c r="AB997" i="20"/>
  <c r="AA997" i="20"/>
  <c r="AE997" i="20"/>
  <c r="AF997" i="20"/>
  <c r="AC997" i="20"/>
  <c r="AN668" i="20"/>
  <c r="AA668" i="20"/>
  <c r="AD668" i="20"/>
  <c r="AF668" i="20"/>
  <c r="AC668" i="20"/>
  <c r="AB668" i="20"/>
  <c r="Z668" i="20"/>
  <c r="AE668" i="20"/>
  <c r="Y668" i="20"/>
  <c r="AK668" i="20"/>
  <c r="AG668" i="20"/>
  <c r="AH668" i="20"/>
  <c r="AL668" i="20"/>
  <c r="AJ668" i="20"/>
  <c r="Z557" i="20"/>
  <c r="AE557" i="20"/>
  <c r="AD557" i="20"/>
  <c r="AG557" i="20"/>
  <c r="AF557" i="20"/>
  <c r="AK557" i="20"/>
  <c r="AN557" i="20"/>
  <c r="AI557" i="20"/>
  <c r="Y557" i="20"/>
  <c r="AC557" i="20"/>
  <c r="AL557" i="20"/>
  <c r="AB557" i="20"/>
  <c r="AF176" i="20"/>
  <c r="AB176" i="20"/>
  <c r="AH176" i="20"/>
  <c r="Z176" i="20"/>
  <c r="Y176" i="20"/>
  <c r="AE176" i="20"/>
  <c r="AD176" i="20"/>
  <c r="AC176" i="20"/>
  <c r="AL176" i="20"/>
  <c r="AJ176" i="20"/>
  <c r="AN176" i="20"/>
  <c r="AG176" i="20"/>
  <c r="AA176" i="20"/>
  <c r="AG21" i="20"/>
  <c r="AB21" i="20"/>
  <c r="AE21" i="20"/>
  <c r="AH21" i="20"/>
  <c r="AI21" i="20"/>
  <c r="AN21" i="20"/>
  <c r="AF21" i="20"/>
  <c r="Z21" i="20"/>
  <c r="AD21" i="20"/>
  <c r="AJ21" i="20"/>
  <c r="AA21" i="20"/>
  <c r="Y21" i="20"/>
  <c r="AK21" i="20"/>
  <c r="AC21" i="20"/>
  <c r="AK593" i="20"/>
  <c r="AE593" i="20"/>
  <c r="AN593" i="20"/>
  <c r="AI593" i="20"/>
  <c r="AA593" i="20"/>
  <c r="AC593" i="20"/>
  <c r="AF593" i="20"/>
  <c r="AG593" i="20"/>
  <c r="AL593" i="20"/>
  <c r="AD593" i="20"/>
  <c r="Z593" i="20"/>
  <c r="AB593" i="20"/>
  <c r="Y593" i="20"/>
  <c r="AN1018" i="20"/>
  <c r="AJ1018" i="20"/>
  <c r="AA1018" i="20"/>
  <c r="AE1018" i="20"/>
  <c r="Y1018" i="20"/>
  <c r="Z1018" i="20"/>
  <c r="AL1018" i="20"/>
  <c r="AK1018" i="20"/>
  <c r="AI1018" i="20"/>
  <c r="AG1018" i="20"/>
  <c r="AC1018" i="20"/>
  <c r="AB1018" i="20"/>
  <c r="AF1018" i="20"/>
  <c r="AH1018" i="20"/>
  <c r="AE461" i="20"/>
  <c r="Y461" i="20"/>
  <c r="AN461" i="20"/>
  <c r="AA461" i="20"/>
  <c r="AC461" i="20"/>
  <c r="AH461" i="20"/>
  <c r="AI461" i="20"/>
  <c r="AL461" i="20"/>
  <c r="AF461" i="20"/>
  <c r="AD461" i="20"/>
  <c r="AB461" i="20"/>
  <c r="AJ461" i="20"/>
  <c r="AG461" i="20"/>
  <c r="AK130" i="20"/>
  <c r="AG130" i="20"/>
  <c r="AN130" i="20"/>
  <c r="Z130" i="20"/>
  <c r="AD130" i="20"/>
  <c r="Y130" i="20"/>
  <c r="AF130" i="20"/>
  <c r="AH130" i="20"/>
  <c r="AJ130" i="20"/>
  <c r="AI130" i="20"/>
  <c r="AC130" i="20"/>
  <c r="AA130" i="20"/>
  <c r="AE130" i="20"/>
  <c r="AB130" i="20"/>
  <c r="AN636" i="20"/>
  <c r="AB636" i="20"/>
  <c r="AE636" i="20"/>
  <c r="AD636" i="20"/>
  <c r="AG636" i="20"/>
  <c r="AC636" i="20"/>
  <c r="AF636" i="20"/>
  <c r="Z636" i="20"/>
  <c r="AJ636" i="20"/>
  <c r="AI636" i="20"/>
  <c r="AK636" i="20"/>
  <c r="Y636" i="20"/>
  <c r="Y633" i="20"/>
  <c r="AE633" i="20"/>
  <c r="AJ633" i="20"/>
  <c r="H45" i="86" s="1"/>
  <c r="K45" i="86" s="1"/>
  <c r="AB633" i="20"/>
  <c r="Z633" i="20"/>
  <c r="AA633" i="20"/>
  <c r="AK633" i="20"/>
  <c r="I45" i="86" s="1"/>
  <c r="L45" i="86" s="1"/>
  <c r="AC633" i="20"/>
  <c r="AD633" i="20"/>
  <c r="AH633" i="20"/>
  <c r="AG633" i="20"/>
  <c r="AN633" i="20"/>
  <c r="AN625" i="20"/>
  <c r="Y625" i="20"/>
  <c r="AI625" i="20"/>
  <c r="G42" i="86" s="1"/>
  <c r="J42" i="86" s="1"/>
  <c r="AH625" i="20"/>
  <c r="AF625" i="20"/>
  <c r="AE625" i="20"/>
  <c r="AL625" i="20"/>
  <c r="AJ625" i="20"/>
  <c r="H42" i="86" s="1"/>
  <c r="K42" i="86" s="1"/>
  <c r="AB625" i="20"/>
  <c r="AK625" i="20"/>
  <c r="I42" i="86" s="1"/>
  <c r="L42" i="86" s="1"/>
  <c r="AD625" i="20"/>
  <c r="AG625" i="20"/>
  <c r="AC625" i="20"/>
  <c r="AF615" i="20"/>
  <c r="AI615" i="20"/>
  <c r="AK615" i="20"/>
  <c r="AN615" i="20"/>
  <c r="AA615" i="20"/>
  <c r="AE615" i="20"/>
  <c r="AL615" i="20"/>
  <c r="Z615" i="20"/>
  <c r="AD615" i="20"/>
  <c r="Y615" i="20"/>
  <c r="AG615" i="20"/>
  <c r="AH615" i="20"/>
  <c r="AN606" i="20"/>
  <c r="AC606" i="20"/>
  <c r="Z606" i="20"/>
  <c r="AL606" i="20"/>
  <c r="AI606" i="20"/>
  <c r="AG606" i="20"/>
  <c r="AE606" i="20"/>
  <c r="AA606" i="20"/>
  <c r="AB606" i="20"/>
  <c r="Y606" i="20"/>
  <c r="AF606" i="20"/>
  <c r="AK606" i="20"/>
  <c r="AH606" i="20"/>
  <c r="AD606" i="20"/>
  <c r="AN594" i="20"/>
  <c r="AG594" i="20"/>
  <c r="AB594" i="20"/>
  <c r="AK594" i="20"/>
  <c r="AF594" i="20"/>
  <c r="AI594" i="20"/>
  <c r="Z594" i="20"/>
  <c r="AD594" i="20"/>
  <c r="AA594" i="20"/>
  <c r="AE594" i="20"/>
  <c r="AH594" i="20"/>
  <c r="Y594" i="20"/>
  <c r="AC594" i="20"/>
  <c r="AL594" i="20"/>
  <c r="AN237" i="20"/>
  <c r="AF237" i="20"/>
  <c r="Z237" i="20"/>
  <c r="AB237" i="20"/>
  <c r="AG237" i="20"/>
  <c r="AD237" i="20"/>
  <c r="AK237" i="20"/>
  <c r="Y237" i="20"/>
  <c r="AI237" i="20"/>
  <c r="AL237" i="20"/>
  <c r="AJ237" i="20"/>
  <c r="AA237" i="20"/>
  <c r="AE237" i="20"/>
  <c r="AH237" i="20"/>
  <c r="AN582" i="20"/>
  <c r="AB582" i="20"/>
  <c r="AI582" i="20"/>
  <c r="AF582" i="20"/>
  <c r="Y582" i="20"/>
  <c r="AE582" i="20"/>
  <c r="AC582" i="20"/>
  <c r="AD582" i="20"/>
  <c r="AL582" i="20"/>
  <c r="Z582" i="20"/>
  <c r="AK582" i="20"/>
  <c r="AH582" i="20"/>
  <c r="AD572" i="20"/>
  <c r="AG572" i="20"/>
  <c r="AL572" i="20"/>
  <c r="AK572" i="20"/>
  <c r="AB572" i="20"/>
  <c r="Z572" i="20"/>
  <c r="AF572" i="20"/>
  <c r="AI572" i="20"/>
  <c r="AE572" i="20"/>
  <c r="AA572" i="20"/>
  <c r="AL562" i="20"/>
  <c r="AG562" i="20"/>
  <c r="AK562" i="20"/>
  <c r="AD562" i="20"/>
  <c r="AC562" i="20"/>
  <c r="AB562" i="20"/>
  <c r="AE562" i="20"/>
  <c r="Y562" i="20"/>
  <c r="AF562" i="20"/>
  <c r="AA562" i="20"/>
  <c r="Z562" i="20"/>
  <c r="AI562" i="20"/>
  <c r="AJ562" i="20"/>
  <c r="AN1022" i="20"/>
  <c r="AI1022" i="20"/>
  <c r="AF1022" i="20"/>
  <c r="AH1022" i="20"/>
  <c r="AL1022" i="20"/>
  <c r="Z1022" i="20"/>
  <c r="AE1022" i="20"/>
  <c r="AG1022" i="20"/>
  <c r="AA1022" i="20"/>
  <c r="Y1022" i="20"/>
  <c r="AC1022" i="20"/>
  <c r="AK1022" i="20"/>
  <c r="AN304" i="20"/>
  <c r="AI304" i="20"/>
  <c r="AE304" i="20"/>
  <c r="AH304" i="20"/>
  <c r="AC304" i="20"/>
  <c r="Y304" i="20"/>
  <c r="AK304" i="20"/>
  <c r="AG304" i="20"/>
  <c r="AA304" i="20"/>
  <c r="AB304" i="20"/>
  <c r="AJ304" i="20"/>
  <c r="AL304" i="20"/>
  <c r="Z304" i="20"/>
  <c r="AF304" i="20"/>
  <c r="AI544" i="20"/>
  <c r="Z544" i="20"/>
  <c r="Y544" i="20"/>
  <c r="AN544" i="20"/>
  <c r="AE544" i="20"/>
  <c r="AH544" i="20"/>
  <c r="AD544" i="20"/>
  <c r="AC544" i="20"/>
  <c r="AB544" i="20"/>
  <c r="AF544" i="20"/>
  <c r="AL544" i="20"/>
  <c r="AG544" i="20"/>
  <c r="AA544" i="20"/>
  <c r="AK544" i="20"/>
  <c r="Y531" i="20"/>
  <c r="AN531" i="20"/>
  <c r="AB531" i="20"/>
  <c r="AE531" i="20"/>
  <c r="AF531" i="20"/>
  <c r="AC531" i="20"/>
  <c r="AH531" i="20"/>
  <c r="AI531" i="20"/>
  <c r="AG531" i="20"/>
  <c r="AK531" i="20"/>
  <c r="Z531" i="20"/>
  <c r="AA531" i="20"/>
  <c r="AJ531" i="20"/>
  <c r="AL531" i="20"/>
  <c r="AN511" i="20"/>
  <c r="AF511" i="20"/>
  <c r="AC511" i="20"/>
  <c r="AB511" i="20"/>
  <c r="AE511" i="20"/>
  <c r="AH511" i="20"/>
  <c r="AJ511" i="20"/>
  <c r="AI511" i="20"/>
  <c r="Y511" i="20"/>
  <c r="AK511" i="20"/>
  <c r="Z511" i="20"/>
  <c r="AD511" i="20"/>
  <c r="AA511" i="20"/>
  <c r="AG511" i="20"/>
  <c r="AL511" i="20"/>
  <c r="AN492" i="20"/>
  <c r="AJ492" i="20"/>
  <c r="AF492" i="20"/>
  <c r="AK492" i="20"/>
  <c r="AH492" i="20"/>
  <c r="Z492" i="20"/>
  <c r="AL492" i="20"/>
  <c r="AI492" i="20"/>
  <c r="AE492" i="20"/>
  <c r="AG492" i="20"/>
  <c r="Y492" i="20"/>
  <c r="AB492" i="20"/>
  <c r="AA492" i="20"/>
  <c r="AD492" i="20"/>
  <c r="AI482" i="20"/>
  <c r="Z482" i="20"/>
  <c r="AK482" i="20"/>
  <c r="AD482" i="20"/>
  <c r="AB482" i="20"/>
  <c r="AN482" i="20"/>
  <c r="Y482" i="20"/>
  <c r="AF482" i="20"/>
  <c r="AE482" i="20"/>
  <c r="AC482" i="20"/>
  <c r="AL482" i="20"/>
  <c r="AA482" i="20"/>
  <c r="AJ482" i="20"/>
  <c r="AN469" i="20"/>
  <c r="AJ469" i="20"/>
  <c r="AC469" i="20"/>
  <c r="AH469" i="20"/>
  <c r="AL469" i="20"/>
  <c r="AA469" i="20"/>
  <c r="AK469" i="20"/>
  <c r="AI469" i="20"/>
  <c r="Y469" i="20"/>
  <c r="Z469" i="20"/>
  <c r="AD469" i="20"/>
  <c r="AE469" i="20"/>
  <c r="AF469" i="20"/>
  <c r="AB469" i="20"/>
  <c r="AJ464" i="20"/>
  <c r="AC464" i="20"/>
  <c r="Z464" i="20"/>
  <c r="AB464" i="20"/>
  <c r="AK464" i="20"/>
  <c r="Y464" i="20"/>
  <c r="AF464" i="20"/>
  <c r="AG464" i="20"/>
  <c r="AA464" i="20"/>
  <c r="AL464" i="20"/>
  <c r="AI464" i="20"/>
  <c r="AD464" i="20"/>
  <c r="AN464" i="20"/>
  <c r="AH464" i="20"/>
  <c r="AE464" i="20"/>
  <c r="AC507" i="20"/>
  <c r="AF507" i="20"/>
  <c r="AB507" i="20"/>
  <c r="AL507" i="20"/>
  <c r="AN507" i="20"/>
  <c r="AI507" i="20"/>
  <c r="Z507" i="20"/>
  <c r="AK507" i="20"/>
  <c r="AG507" i="20"/>
  <c r="Y507" i="20"/>
  <c r="AE507" i="20"/>
  <c r="AH507" i="20"/>
  <c r="AI453" i="20"/>
  <c r="AF453" i="20"/>
  <c r="Y453" i="20"/>
  <c r="Z453" i="20"/>
  <c r="AE453" i="20"/>
  <c r="AD453" i="20"/>
  <c r="AC453" i="20"/>
  <c r="AG453" i="20"/>
  <c r="AB453" i="20"/>
  <c r="AH453" i="20"/>
  <c r="AN453" i="20"/>
  <c r="AJ453" i="20"/>
  <c r="AA453" i="20"/>
  <c r="AK453" i="20"/>
  <c r="AG349" i="20"/>
  <c r="AH349" i="20"/>
  <c r="AN349" i="20"/>
  <c r="AA349" i="20"/>
  <c r="AB349" i="20"/>
  <c r="Y349" i="20"/>
  <c r="Z349" i="20"/>
  <c r="AK349" i="20"/>
  <c r="AC349" i="20"/>
  <c r="AE349" i="20"/>
  <c r="AL349" i="20"/>
  <c r="AJ349" i="20"/>
  <c r="AD349" i="20"/>
  <c r="AI349" i="20"/>
  <c r="AB437" i="20"/>
  <c r="AJ437" i="20"/>
  <c r="AA437" i="20"/>
  <c r="AG437" i="20"/>
  <c r="AL437" i="20"/>
  <c r="AN437" i="20"/>
  <c r="AK437" i="20"/>
  <c r="AE437" i="20"/>
  <c r="Y437" i="20"/>
  <c r="AI437" i="20"/>
  <c r="AD437" i="20"/>
  <c r="AC437" i="20"/>
  <c r="AH437" i="20"/>
  <c r="AF437" i="20"/>
  <c r="AN504" i="20"/>
  <c r="AE504" i="20"/>
  <c r="AG504" i="20"/>
  <c r="AA504" i="20"/>
  <c r="AC504" i="20"/>
  <c r="AF504" i="20"/>
  <c r="AL504" i="20"/>
  <c r="AJ504" i="20"/>
  <c r="Z504" i="20"/>
  <c r="AB504" i="20"/>
  <c r="AK504" i="20"/>
  <c r="Y504" i="20"/>
  <c r="AI504" i="20"/>
  <c r="AD504" i="20"/>
  <c r="AN1059" i="20"/>
  <c r="AB1059" i="20"/>
  <c r="AG1059" i="20"/>
  <c r="Z1059" i="20"/>
  <c r="AL1059" i="20"/>
  <c r="AE1059" i="20"/>
  <c r="AH1059" i="20"/>
  <c r="AJ1059" i="20"/>
  <c r="AI1059" i="20"/>
  <c r="AC1059" i="20"/>
  <c r="AK1059" i="20"/>
  <c r="Y1059" i="20"/>
  <c r="AA1059" i="20"/>
  <c r="AF1059" i="20"/>
  <c r="AG425" i="20"/>
  <c r="AN425" i="20"/>
  <c r="Y425" i="20"/>
  <c r="AB425" i="20"/>
  <c r="AD425" i="20"/>
  <c r="AA425" i="20"/>
  <c r="AF425" i="20"/>
  <c r="AC425" i="20"/>
  <c r="AH425" i="20"/>
  <c r="AJ425" i="20"/>
  <c r="AK425" i="20"/>
  <c r="AI425" i="20"/>
  <c r="AE425" i="20"/>
  <c r="AN754" i="20"/>
  <c r="AC754" i="20"/>
  <c r="AH754" i="20"/>
  <c r="AE754" i="20"/>
  <c r="Z754" i="20"/>
  <c r="AL754" i="20"/>
  <c r="AI754" i="20"/>
  <c r="AJ754" i="20"/>
  <c r="Y754" i="20"/>
  <c r="AB754" i="20"/>
  <c r="AF754" i="20"/>
  <c r="AA754" i="20"/>
  <c r="AD754" i="20"/>
  <c r="AN637" i="20"/>
  <c r="Z637" i="20"/>
  <c r="Y637" i="20"/>
  <c r="AG637" i="20"/>
  <c r="AL637" i="20"/>
  <c r="AI637" i="20"/>
  <c r="AB637" i="20"/>
  <c r="AE637" i="20"/>
  <c r="AD637" i="20"/>
  <c r="AC637" i="20"/>
  <c r="AA637" i="20"/>
  <c r="AJ637" i="20"/>
  <c r="AN502" i="20"/>
  <c r="AF502" i="20"/>
  <c r="AA502" i="20"/>
  <c r="AE502" i="20"/>
  <c r="AJ502" i="20"/>
  <c r="AH502" i="20"/>
  <c r="AL502" i="20"/>
  <c r="AK502" i="20"/>
  <c r="Z502" i="20"/>
  <c r="AC502" i="20"/>
  <c r="AB502" i="20"/>
  <c r="AG502" i="20"/>
  <c r="Y502" i="20"/>
  <c r="AD502" i="20"/>
  <c r="AN385" i="20"/>
  <c r="AI385" i="20"/>
  <c r="AH385" i="20"/>
  <c r="AB385" i="20"/>
  <c r="AG385" i="20"/>
  <c r="AJ385" i="20"/>
  <c r="AF385" i="20"/>
  <c r="AE385" i="20"/>
  <c r="AD385" i="20"/>
  <c r="Z385" i="20"/>
  <c r="Y385" i="20"/>
  <c r="AL385" i="20"/>
  <c r="AK385" i="20"/>
  <c r="AB270" i="20"/>
  <c r="AG270" i="20"/>
  <c r="AJ270" i="20"/>
  <c r="AF270" i="20"/>
  <c r="AD270" i="20"/>
  <c r="Z270" i="20"/>
  <c r="AN270" i="20"/>
  <c r="Y270" i="20"/>
  <c r="AC270" i="20"/>
  <c r="AA270" i="20"/>
  <c r="AH270" i="20"/>
  <c r="AJ160" i="20"/>
  <c r="AN160" i="20"/>
  <c r="AI160" i="20"/>
  <c r="AE160" i="20"/>
  <c r="AA160" i="20"/>
  <c r="AD160" i="20"/>
  <c r="AF160" i="20"/>
  <c r="AC160" i="20"/>
  <c r="Z160" i="20"/>
  <c r="AG160" i="20"/>
  <c r="AH160" i="20"/>
  <c r="AB160" i="20"/>
  <c r="Y160" i="20"/>
  <c r="AC420" i="20"/>
  <c r="Z420" i="20"/>
  <c r="AA420" i="20"/>
  <c r="AE420" i="20"/>
  <c r="AI420" i="20"/>
  <c r="AJ420" i="20"/>
  <c r="AN420" i="20"/>
  <c r="AD420" i="20"/>
  <c r="AK420" i="20"/>
  <c r="AB420" i="20"/>
  <c r="AF420" i="20"/>
  <c r="AL420" i="20"/>
  <c r="Y420" i="20"/>
  <c r="AG420" i="20"/>
  <c r="AH420" i="20"/>
  <c r="AF787" i="20"/>
  <c r="AN787" i="20"/>
  <c r="AI787" i="20"/>
  <c r="AK787" i="20"/>
  <c r="AD787" i="20"/>
  <c r="AC787" i="20"/>
  <c r="AG787" i="20"/>
  <c r="AE787" i="20"/>
  <c r="Z787" i="20"/>
  <c r="Y787" i="20"/>
  <c r="AA787" i="20"/>
  <c r="AJ787" i="20"/>
  <c r="AH787" i="20"/>
  <c r="AB787" i="20"/>
  <c r="AN741" i="20"/>
  <c r="AG741" i="20"/>
  <c r="AJ741" i="20"/>
  <c r="Z741" i="20"/>
  <c r="Y741" i="20"/>
  <c r="AH741" i="20"/>
  <c r="AI741" i="20"/>
  <c r="AK741" i="20"/>
  <c r="AF741" i="20"/>
  <c r="AE741" i="20"/>
  <c r="AA741" i="20"/>
  <c r="AB741" i="20"/>
  <c r="AN414" i="20"/>
  <c r="AJ414" i="20"/>
  <c r="Z414" i="20"/>
  <c r="AC414" i="20"/>
  <c r="AD414" i="20"/>
  <c r="AB414" i="20"/>
  <c r="Y414" i="20"/>
  <c r="AH414" i="20"/>
  <c r="AI414" i="20"/>
  <c r="AG414" i="20"/>
  <c r="AK414" i="20"/>
  <c r="AE217" i="20"/>
  <c r="Z217" i="20"/>
  <c r="AA217" i="20"/>
  <c r="AN217" i="20"/>
  <c r="AC217" i="20"/>
  <c r="AK217" i="20"/>
  <c r="I26" i="86" s="1"/>
  <c r="L26" i="86" s="1"/>
  <c r="AB217" i="20"/>
  <c r="AD217" i="20"/>
  <c r="AF217" i="20"/>
  <c r="Y217" i="20"/>
  <c r="AI217" i="20"/>
  <c r="G26" i="86" s="1"/>
  <c r="J26" i="86" s="1"/>
  <c r="AG217" i="20"/>
  <c r="AH217" i="20"/>
  <c r="AJ217" i="20"/>
  <c r="H26" i="86" s="1"/>
  <c r="K26" i="86" s="1"/>
  <c r="AN399" i="20"/>
  <c r="AH399" i="20"/>
  <c r="AC399" i="20"/>
  <c r="AB399" i="20"/>
  <c r="AI399" i="20"/>
  <c r="AA399" i="20"/>
  <c r="AD399" i="20"/>
  <c r="Z399" i="20"/>
  <c r="AL399" i="20"/>
  <c r="AK399" i="20"/>
  <c r="Y399" i="20"/>
  <c r="AE399" i="20"/>
  <c r="AJ399" i="20"/>
  <c r="AF399" i="20"/>
  <c r="AN89" i="20"/>
  <c r="AB89" i="20"/>
  <c r="AE89" i="20"/>
  <c r="AK89" i="20"/>
  <c r="AL89" i="20"/>
  <c r="AI89" i="20"/>
  <c r="AG89" i="20"/>
  <c r="AA89" i="20"/>
  <c r="AF89" i="20"/>
  <c r="AC89" i="20"/>
  <c r="AH89" i="20"/>
  <c r="AD410" i="20"/>
  <c r="AG410" i="20"/>
  <c r="AA410" i="20"/>
  <c r="AF410" i="20"/>
  <c r="AK410" i="20"/>
  <c r="Z410" i="20"/>
  <c r="AC410" i="20"/>
  <c r="AB410" i="20"/>
  <c r="AH410" i="20"/>
  <c r="AJ410" i="20"/>
  <c r="AL410" i="20"/>
  <c r="AE410" i="20"/>
  <c r="AN410" i="20"/>
  <c r="Y410" i="20"/>
  <c r="AI198" i="20"/>
  <c r="Z198" i="20"/>
  <c r="Y198" i="20"/>
  <c r="AD198" i="20"/>
  <c r="AH198" i="20"/>
  <c r="AN198" i="20"/>
  <c r="AC198" i="20"/>
  <c r="AA198" i="20"/>
  <c r="AG198" i="20"/>
  <c r="AE198" i="20"/>
  <c r="AB198" i="20"/>
  <c r="AL198" i="20"/>
  <c r="AJ198" i="20"/>
  <c r="AK198" i="20"/>
  <c r="AN302" i="20"/>
  <c r="AD302" i="20"/>
  <c r="AC302" i="20"/>
  <c r="AB302" i="20"/>
  <c r="AF302" i="20"/>
  <c r="AH302" i="20"/>
  <c r="AJ302" i="20"/>
  <c r="AI302" i="20"/>
  <c r="AG302" i="20"/>
  <c r="AL302" i="20"/>
  <c r="AA302" i="20"/>
  <c r="AK302" i="20"/>
  <c r="Z302" i="20"/>
  <c r="Y302" i="20"/>
  <c r="AE302" i="20"/>
  <c r="AN528" i="20"/>
  <c r="AK528" i="20"/>
  <c r="AB528" i="20"/>
  <c r="Z528" i="20"/>
  <c r="Y528" i="20"/>
  <c r="AF528" i="20"/>
  <c r="AA528" i="20"/>
  <c r="AG528" i="20"/>
  <c r="AH528" i="20"/>
  <c r="AJ528" i="20"/>
  <c r="AC528" i="20"/>
  <c r="AE528" i="20"/>
  <c r="AD528" i="20"/>
  <c r="AI947" i="20"/>
  <c r="AE947" i="20"/>
  <c r="AN947" i="20"/>
  <c r="AB947" i="20"/>
  <c r="AK947" i="20"/>
  <c r="AF947" i="20"/>
  <c r="Z947" i="20"/>
  <c r="AA947" i="20"/>
  <c r="AD947" i="20"/>
  <c r="Y947" i="20"/>
  <c r="AG947" i="20"/>
  <c r="AJ947" i="20"/>
  <c r="AH947" i="20"/>
  <c r="AC947" i="20"/>
  <c r="AN345" i="20"/>
  <c r="AL345" i="20"/>
  <c r="AB345" i="20"/>
  <c r="AF345" i="20"/>
  <c r="AD345" i="20"/>
  <c r="AC345" i="20"/>
  <c r="AH345" i="20"/>
  <c r="AK345" i="20"/>
  <c r="Y345" i="20"/>
  <c r="AE345" i="20"/>
  <c r="AI345" i="20"/>
  <c r="Z345" i="20"/>
  <c r="AJ345" i="20"/>
  <c r="AI497" i="20"/>
  <c r="AB497" i="20"/>
  <c r="AA497" i="20"/>
  <c r="AF497" i="20"/>
  <c r="AK497" i="20"/>
  <c r="AC497" i="20"/>
  <c r="AH497" i="20"/>
  <c r="AJ497" i="20"/>
  <c r="AN497" i="20"/>
  <c r="Z497" i="20"/>
  <c r="Y497" i="20"/>
  <c r="AG497" i="20"/>
  <c r="AE497" i="20"/>
  <c r="AN315" i="20"/>
  <c r="AK315" i="20"/>
  <c r="AD315" i="20"/>
  <c r="AA315" i="20"/>
  <c r="Z315" i="20"/>
  <c r="AH315" i="20"/>
  <c r="AL315" i="20"/>
  <c r="AJ315" i="20"/>
  <c r="AF315" i="20"/>
  <c r="AB315" i="20"/>
  <c r="AE315" i="20"/>
  <c r="AC315" i="20"/>
  <c r="AG315" i="20"/>
  <c r="Y315" i="20"/>
  <c r="AA427" i="20"/>
  <c r="AK427" i="20"/>
  <c r="AN427" i="20"/>
  <c r="AI427" i="20"/>
  <c r="AC427" i="20"/>
  <c r="AG427" i="20"/>
  <c r="AB427" i="20"/>
  <c r="Z427" i="20"/>
  <c r="AH427" i="20"/>
  <c r="AJ427" i="20"/>
  <c r="AF427" i="20"/>
  <c r="AD427" i="20"/>
  <c r="AE427" i="20"/>
  <c r="Y427" i="20"/>
  <c r="AG620" i="20"/>
  <c r="AB620" i="20"/>
  <c r="Z620" i="20"/>
  <c r="AN620" i="20"/>
  <c r="Y620" i="20"/>
  <c r="AH620" i="20"/>
  <c r="AL620" i="20"/>
  <c r="AI620" i="20"/>
  <c r="AK620" i="20"/>
  <c r="AF620" i="20"/>
  <c r="AC620" i="20"/>
  <c r="AA620" i="20"/>
  <c r="AE620" i="20"/>
  <c r="AG309" i="20"/>
  <c r="AK309" i="20"/>
  <c r="AN309" i="20"/>
  <c r="AC309" i="20"/>
  <c r="AL309" i="20"/>
  <c r="Z309" i="20"/>
  <c r="Y309" i="20"/>
  <c r="AE309" i="20"/>
  <c r="AB309" i="20"/>
  <c r="AF309" i="20"/>
  <c r="AC1037" i="20"/>
  <c r="AA1037" i="20"/>
  <c r="AE1037" i="20"/>
  <c r="AB1037" i="20"/>
  <c r="Y1037" i="20"/>
  <c r="AG1037" i="20"/>
  <c r="AJ1037" i="20"/>
  <c r="AN1037" i="20"/>
  <c r="AD1037" i="20"/>
  <c r="AK1037" i="20"/>
  <c r="AL1037" i="20"/>
  <c r="AF1037" i="20"/>
  <c r="Z1037" i="20"/>
  <c r="AN135" i="20"/>
  <c r="AI135" i="20"/>
  <c r="AB135" i="20"/>
  <c r="Z135" i="20"/>
  <c r="AA135" i="20"/>
  <c r="AF135" i="20"/>
  <c r="AG135" i="20"/>
  <c r="AC135" i="20"/>
  <c r="AJ135" i="20"/>
  <c r="Y135" i="20"/>
  <c r="AE135" i="20"/>
  <c r="AD135" i="20"/>
  <c r="AK135" i="20"/>
  <c r="AN555" i="20"/>
  <c r="AG555" i="20"/>
  <c r="AK555" i="20"/>
  <c r="AB555" i="20"/>
  <c r="AL555" i="20"/>
  <c r="AJ555" i="20"/>
  <c r="AD555" i="20"/>
  <c r="AE555" i="20"/>
  <c r="Z555" i="20"/>
  <c r="Y555" i="20"/>
  <c r="AF555" i="20"/>
  <c r="AC555" i="20"/>
  <c r="Y292" i="20"/>
  <c r="AD292" i="20"/>
  <c r="AN292" i="20"/>
  <c r="AB292" i="20"/>
  <c r="Z292" i="20"/>
  <c r="AC292" i="20"/>
  <c r="AJ292" i="20"/>
  <c r="AL292" i="20"/>
  <c r="AK292" i="20"/>
  <c r="AF292" i="20"/>
  <c r="AG292" i="20"/>
  <c r="AE292" i="20"/>
  <c r="AI279" i="20"/>
  <c r="Z279" i="20"/>
  <c r="AK279" i="20"/>
  <c r="AE279" i="20"/>
  <c r="AA279" i="20"/>
  <c r="AB279" i="20"/>
  <c r="AH279" i="20"/>
  <c r="AN279" i="20"/>
  <c r="AD279" i="20"/>
  <c r="AF279" i="20"/>
  <c r="Y279" i="20"/>
  <c r="AL279" i="20"/>
  <c r="AG279" i="20"/>
  <c r="AB752" i="20"/>
  <c r="AF752" i="20"/>
  <c r="AI752" i="20"/>
  <c r="AE752" i="20"/>
  <c r="AH752" i="20"/>
  <c r="AK752" i="20"/>
  <c r="AJ752" i="20"/>
  <c r="Z752" i="20"/>
  <c r="AC752" i="20"/>
  <c r="Y752" i="20"/>
  <c r="AD752" i="20"/>
  <c r="AL752" i="20"/>
  <c r="AA752" i="20"/>
  <c r="AN752" i="20"/>
  <c r="AG752" i="20"/>
  <c r="AJ260" i="20"/>
  <c r="AB260" i="20"/>
  <c r="AK260" i="20"/>
  <c r="AG260" i="20"/>
  <c r="AN260" i="20"/>
  <c r="AE260" i="20"/>
  <c r="AF260" i="20"/>
  <c r="AI260" i="20"/>
  <c r="AL260" i="20"/>
  <c r="Z260" i="20"/>
  <c r="AH260" i="20"/>
  <c r="AD260" i="20"/>
  <c r="Y260" i="20"/>
  <c r="AC260" i="20"/>
  <c r="AA260" i="20"/>
  <c r="AD251" i="20"/>
  <c r="AI251" i="20"/>
  <c r="AG251" i="20"/>
  <c r="AJ251" i="20"/>
  <c r="AE251" i="20"/>
  <c r="AH251" i="20"/>
  <c r="AB251" i="20"/>
  <c r="AL251" i="20"/>
  <c r="AN251" i="20"/>
  <c r="AC251" i="20"/>
  <c r="Z251" i="20"/>
  <c r="AK251" i="20"/>
  <c r="AF251" i="20"/>
  <c r="AA251" i="20"/>
  <c r="Y251" i="20"/>
  <c r="AA233" i="20"/>
  <c r="AI233" i="20"/>
  <c r="AG233" i="20"/>
  <c r="AH233" i="20"/>
  <c r="Z233" i="20"/>
  <c r="AE233" i="20"/>
  <c r="AL233" i="20"/>
  <c r="AJ233" i="20"/>
  <c r="AN233" i="20"/>
  <c r="AK233" i="20"/>
  <c r="Y233" i="20"/>
  <c r="AD233" i="20"/>
  <c r="AC233" i="20"/>
  <c r="AF233" i="20"/>
  <c r="AA225" i="20"/>
  <c r="AI225" i="20"/>
  <c r="AE225" i="20"/>
  <c r="AJ225" i="20"/>
  <c r="AG225" i="20"/>
  <c r="AC225" i="20"/>
  <c r="AH225" i="20"/>
  <c r="AD225" i="20"/>
  <c r="AK225" i="20"/>
  <c r="Z225" i="20"/>
  <c r="AF225" i="20"/>
  <c r="AL225" i="20"/>
  <c r="Y225" i="20"/>
  <c r="AB225" i="20"/>
  <c r="AN225" i="20"/>
  <c r="AF205" i="20"/>
  <c r="AB205" i="20"/>
  <c r="AD205" i="20"/>
  <c r="Y205" i="20"/>
  <c r="Z205" i="20"/>
  <c r="AJ205" i="20"/>
  <c r="AE205" i="20"/>
  <c r="AA205" i="20"/>
  <c r="AK205" i="20"/>
  <c r="AI205" i="20"/>
  <c r="AL205" i="20"/>
  <c r="AC205" i="20"/>
  <c r="AH205" i="20"/>
  <c r="AN205" i="20"/>
  <c r="AN371" i="20"/>
  <c r="AF371" i="20"/>
  <c r="AL371" i="20"/>
  <c r="AJ371" i="20"/>
  <c r="AE371" i="20"/>
  <c r="AI371" i="20"/>
  <c r="AG371" i="20"/>
  <c r="AH371" i="20"/>
  <c r="AC371" i="20"/>
  <c r="AD371" i="20"/>
  <c r="AK371" i="20"/>
  <c r="Y371" i="20"/>
  <c r="Z371" i="20"/>
  <c r="AB371" i="20"/>
  <c r="AF127" i="20"/>
  <c r="AH127" i="20"/>
  <c r="AB127" i="20"/>
  <c r="Z127" i="20"/>
  <c r="AI127" i="20"/>
  <c r="AA127" i="20"/>
  <c r="AL127" i="20"/>
  <c r="AG127" i="20"/>
  <c r="AN127" i="20"/>
  <c r="AJ127" i="20"/>
  <c r="AK127" i="20"/>
  <c r="Y127" i="20"/>
  <c r="AE127" i="20"/>
  <c r="AC127" i="20"/>
  <c r="AD127" i="20"/>
  <c r="Z54" i="20"/>
  <c r="AN54" i="20"/>
  <c r="AB54" i="20"/>
  <c r="AF54" i="20"/>
  <c r="AL54" i="20"/>
  <c r="AG54" i="20"/>
  <c r="Y54" i="20"/>
  <c r="AJ54" i="20"/>
  <c r="AK54" i="20"/>
  <c r="AA54" i="20"/>
  <c r="AH54" i="20"/>
  <c r="AD54" i="20"/>
  <c r="AI54" i="20"/>
  <c r="AE54" i="20"/>
  <c r="AC54" i="20"/>
  <c r="AC186" i="20"/>
  <c r="AB186" i="20"/>
  <c r="AA186" i="20"/>
  <c r="AE186" i="20"/>
  <c r="AK186" i="20"/>
  <c r="AD186" i="20"/>
  <c r="AN186" i="20"/>
  <c r="AF186" i="20"/>
  <c r="AI186" i="20"/>
  <c r="Z186" i="20"/>
  <c r="Y186" i="20"/>
  <c r="AH186" i="20"/>
  <c r="AG186" i="20"/>
  <c r="AN177" i="20"/>
  <c r="AJ177" i="20"/>
  <c r="AC177" i="20"/>
  <c r="Y177" i="20"/>
  <c r="AE177" i="20"/>
  <c r="AB177" i="20"/>
  <c r="AF177" i="20"/>
  <c r="AD177" i="20"/>
  <c r="AA177" i="20"/>
  <c r="AK177" i="20"/>
  <c r="Z177" i="20"/>
  <c r="AG177" i="20"/>
  <c r="AI177" i="20"/>
  <c r="AL177" i="20"/>
  <c r="AC155" i="20"/>
  <c r="AB155" i="20"/>
  <c r="AD155" i="20"/>
  <c r="AG155" i="20"/>
  <c r="Y155" i="20"/>
  <c r="AF155" i="20"/>
  <c r="AA155" i="20"/>
  <c r="AH155" i="20"/>
  <c r="AN155" i="20"/>
  <c r="AE155" i="20"/>
  <c r="Z155" i="20"/>
  <c r="AK155" i="20"/>
  <c r="AL155" i="20"/>
  <c r="AI155" i="20"/>
  <c r="AH151" i="20"/>
  <c r="AE151" i="20"/>
  <c r="AC151" i="20"/>
  <c r="AK151" i="20"/>
  <c r="AD151" i="20"/>
  <c r="AN151" i="20"/>
  <c r="AA151" i="20"/>
  <c r="Z151" i="20"/>
  <c r="AF151" i="20"/>
  <c r="AG151" i="20"/>
  <c r="Y137" i="20"/>
  <c r="AC137" i="20"/>
  <c r="AE137" i="20"/>
  <c r="AF137" i="20"/>
  <c r="AG137" i="20"/>
  <c r="AI137" i="20"/>
  <c r="AB137" i="20"/>
  <c r="AJ137" i="20"/>
  <c r="AG835" i="20"/>
  <c r="AB835" i="20"/>
  <c r="AA835" i="20"/>
  <c r="AL835" i="20"/>
  <c r="AE835" i="20"/>
  <c r="AN835" i="20"/>
  <c r="AC835" i="20"/>
  <c r="AH835" i="20"/>
  <c r="AF835" i="20"/>
  <c r="AD835" i="20"/>
  <c r="Z835" i="20"/>
  <c r="AI835" i="20"/>
  <c r="AJ835" i="20"/>
  <c r="AL129" i="20"/>
  <c r="AB129" i="20"/>
  <c r="Y129" i="20"/>
  <c r="AN129" i="20"/>
  <c r="AJ129" i="20"/>
  <c r="AH129" i="20"/>
  <c r="AI129" i="20"/>
  <c r="AE129" i="20"/>
  <c r="AA117" i="20"/>
  <c r="AG117" i="20"/>
  <c r="AD117" i="20"/>
  <c r="AB117" i="20"/>
  <c r="AN117" i="20"/>
  <c r="AK117" i="20"/>
  <c r="AF117" i="20"/>
  <c r="AN106" i="20"/>
  <c r="AC106" i="20"/>
  <c r="AH106" i="20"/>
  <c r="Z106" i="20"/>
  <c r="AJ106" i="20"/>
  <c r="AA106" i="20"/>
  <c r="AL65" i="20"/>
  <c r="AB65" i="20"/>
  <c r="AH65" i="20"/>
  <c r="AI65" i="20"/>
  <c r="AG65" i="20"/>
  <c r="AA65" i="20"/>
  <c r="AE65" i="20"/>
  <c r="AR609" i="20"/>
  <c r="AL497" i="20"/>
  <c r="AI837" i="20"/>
  <c r="AI176" i="20"/>
  <c r="AI798" i="20"/>
  <c r="AJ729" i="20"/>
  <c r="AJ620" i="20"/>
  <c r="AH287" i="20"/>
  <c r="AJ151" i="20"/>
  <c r="AA870" i="20"/>
  <c r="Y572" i="20"/>
  <c r="AD829" i="20"/>
  <c r="AA654" i="20"/>
  <c r="AG482" i="20"/>
  <c r="Y89" i="20"/>
  <c r="AC736" i="20"/>
  <c r="AD531" i="20"/>
  <c r="AN1125" i="20"/>
  <c r="AR403" i="20"/>
  <c r="AJ712" i="20"/>
  <c r="AJ582" i="20"/>
  <c r="AJ804" i="20"/>
  <c r="AI250" i="20"/>
  <c r="AI502" i="20"/>
  <c r="AI555" i="20"/>
  <c r="AI573" i="20"/>
  <c r="AL160" i="20"/>
  <c r="AI716" i="20"/>
  <c r="AI367" i="20"/>
  <c r="AI633" i="20"/>
  <c r="G45" i="86" s="1"/>
  <c r="AL453" i="20"/>
  <c r="AI747" i="20"/>
  <c r="AI495" i="20"/>
  <c r="AJ544" i="20"/>
  <c r="AL712" i="20"/>
  <c r="AJ507" i="20"/>
  <c r="AJ538" i="20"/>
  <c r="AL270" i="20"/>
  <c r="AH177" i="20"/>
  <c r="AL528" i="20"/>
  <c r="AL186" i="20"/>
  <c r="AH271" i="20"/>
  <c r="AH562" i="20"/>
  <c r="AG142" i="20"/>
  <c r="AB151" i="20"/>
  <c r="AA582" i="20"/>
  <c r="AD716" i="20"/>
  <c r="AG582" i="20"/>
  <c r="AG870" i="20"/>
  <c r="AG367" i="20"/>
  <c r="AB1022" i="20"/>
  <c r="AK270" i="20"/>
  <c r="AA414" i="20"/>
  <c r="Y1003" i="20"/>
  <c r="AF414" i="20"/>
  <c r="AA385" i="20"/>
  <c r="AA716" i="20"/>
  <c r="AD89" i="20"/>
  <c r="AC492" i="20"/>
  <c r="AF74" i="20"/>
  <c r="AD507" i="20"/>
  <c r="AA345" i="20"/>
  <c r="AF633" i="20"/>
  <c r="Z625" i="20"/>
  <c r="AB233" i="20"/>
  <c r="AN572" i="20"/>
  <c r="AD1061" i="20"/>
  <c r="AP1012" i="20"/>
  <c r="AR1012" i="20"/>
  <c r="AP89" i="20"/>
  <c r="AR89" i="20"/>
  <c r="AP460" i="20"/>
  <c r="AR460" i="20"/>
  <c r="AP493" i="20"/>
  <c r="AR493" i="20"/>
  <c r="AR581" i="20"/>
  <c r="AP581" i="20"/>
  <c r="AP451" i="20"/>
  <c r="AR451" i="20"/>
  <c r="AP611" i="20"/>
  <c r="AR611" i="20"/>
  <c r="AP1047" i="20"/>
  <c r="AR1047" i="20"/>
  <c r="AP587" i="20"/>
  <c r="AR587" i="20"/>
  <c r="AP78" i="20"/>
  <c r="AR78" i="20"/>
  <c r="AR564" i="20"/>
  <c r="AP564" i="20"/>
  <c r="AP574" i="20"/>
  <c r="AR574" i="20"/>
  <c r="AL1145" i="20"/>
  <c r="Z1145" i="20"/>
  <c r="AB1145" i="20"/>
  <c r="AK1145" i="20"/>
  <c r="AJ1145" i="20"/>
  <c r="AN1137" i="20"/>
  <c r="AJ1137" i="20"/>
  <c r="AE1137" i="20"/>
  <c r="AL1137" i="20"/>
  <c r="AH1137" i="20"/>
  <c r="AF1137" i="20"/>
  <c r="Z1137" i="20"/>
  <c r="AI1137" i="20"/>
  <c r="AA1137" i="20"/>
  <c r="AC1137" i="20"/>
  <c r="AB1137" i="20"/>
  <c r="Y1137" i="20"/>
  <c r="AD1129" i="20"/>
  <c r="AH1129" i="20"/>
  <c r="AA1129" i="20"/>
  <c r="AB1129" i="20"/>
  <c r="AJ1129" i="20"/>
  <c r="AF1129" i="20"/>
  <c r="AK1129" i="20"/>
  <c r="AI1129" i="20"/>
  <c r="AL1129" i="20"/>
  <c r="AE1129" i="20"/>
  <c r="AC1129" i="20"/>
  <c r="Z1121" i="20"/>
  <c r="AD1121" i="20"/>
  <c r="AA1121" i="20"/>
  <c r="AN1121" i="20"/>
  <c r="AK1121" i="20"/>
  <c r="Y1121" i="20"/>
  <c r="AI1121" i="20"/>
  <c r="AB1121" i="20"/>
  <c r="AL1121" i="20"/>
  <c r="AG1121" i="20"/>
  <c r="AJ1121" i="20"/>
  <c r="AB1113" i="20"/>
  <c r="AL1113" i="20"/>
  <c r="Y1113" i="20"/>
  <c r="AC1113" i="20"/>
  <c r="AK1113" i="20"/>
  <c r="AD1113" i="20"/>
  <c r="AA1113" i="20"/>
  <c r="Z1113" i="20"/>
  <c r="AG1113" i="20"/>
  <c r="AF1113" i="20"/>
  <c r="AB1105" i="20"/>
  <c r="Y1105" i="20"/>
  <c r="AI1105" i="20"/>
  <c r="AJ1105" i="20"/>
  <c r="AH1105" i="20"/>
  <c r="AE1105" i="20"/>
  <c r="AG1105" i="20"/>
  <c r="AC1105" i="20"/>
  <c r="AA1105" i="20"/>
  <c r="AL1105" i="20"/>
  <c r="AI1097" i="20"/>
  <c r="AJ1097" i="20"/>
  <c r="AF1097" i="20"/>
  <c r="AL1097" i="20"/>
  <c r="Y1097" i="20"/>
  <c r="AD1097" i="20"/>
  <c r="AK1097" i="20"/>
  <c r="AA1097" i="20"/>
  <c r="AN1097" i="20"/>
  <c r="AG1097" i="20"/>
  <c r="AA1089" i="20"/>
  <c r="AC1089" i="20"/>
  <c r="AJ1089" i="20"/>
  <c r="Z1089" i="20"/>
  <c r="Y1089" i="20"/>
  <c r="AK1089" i="20"/>
  <c r="AB1089" i="20"/>
  <c r="AL1089" i="20"/>
  <c r="AK1081" i="20"/>
  <c r="Y1081" i="20"/>
  <c r="AE1081" i="20"/>
  <c r="AG1081" i="20"/>
  <c r="AL1081" i="20"/>
  <c r="AA1081" i="20"/>
  <c r="AH1081" i="20"/>
  <c r="AJ1081" i="20"/>
  <c r="AB1073" i="20"/>
  <c r="AF1073" i="20"/>
  <c r="Y1073" i="20"/>
  <c r="AE1073" i="20"/>
  <c r="AC1073" i="20"/>
  <c r="AI1073" i="20"/>
  <c r="AJ1073" i="20"/>
  <c r="Z1073" i="20"/>
  <c r="AH1073" i="20"/>
  <c r="AN1073" i="20"/>
  <c r="AG1073" i="20"/>
  <c r="AB1065" i="20"/>
  <c r="AN1065" i="20"/>
  <c r="AG1065" i="20"/>
  <c r="AA1065" i="20"/>
  <c r="AL1065" i="20"/>
  <c r="AC1065" i="20"/>
  <c r="AF1065" i="20"/>
  <c r="AJ1065" i="20"/>
  <c r="AH1065" i="20"/>
  <c r="AD1065" i="20"/>
  <c r="Y1065" i="20"/>
  <c r="Z1065" i="20"/>
  <c r="AE1065" i="20"/>
  <c r="AN1052" i="20"/>
  <c r="AI1052" i="20"/>
  <c r="AL1052" i="20"/>
  <c r="AB1052" i="20"/>
  <c r="AJ1052" i="20"/>
  <c r="AF1052" i="20"/>
  <c r="AG1052" i="20"/>
  <c r="AD1052" i="20"/>
  <c r="Z1052" i="20"/>
  <c r="AK1052" i="20"/>
  <c r="AN1039" i="20"/>
  <c r="AI1039" i="20"/>
  <c r="AB1039" i="20"/>
  <c r="Y1039" i="20"/>
  <c r="AL1039" i="20"/>
  <c r="AF1039" i="20"/>
  <c r="AD1039" i="20"/>
  <c r="AH1039" i="20"/>
  <c r="AE1039" i="20"/>
  <c r="AC1039" i="20"/>
  <c r="AA1039" i="20"/>
  <c r="Z1039" i="20"/>
  <c r="AG1039" i="20"/>
  <c r="AK1039" i="20"/>
  <c r="AD1025" i="20"/>
  <c r="AG1025" i="20"/>
  <c r="AF1025" i="20"/>
  <c r="AJ1025" i="20"/>
  <c r="AE1025" i="20"/>
  <c r="AI1025" i="20"/>
  <c r="Z1025" i="20"/>
  <c r="AH1025" i="20"/>
  <c r="AL1025" i="20"/>
  <c r="AN1025" i="20"/>
  <c r="AK1025" i="20"/>
  <c r="AA1025" i="20"/>
  <c r="AC1025" i="20"/>
  <c r="AB1025" i="20"/>
  <c r="AN1014" i="20"/>
  <c r="AF1014" i="20"/>
  <c r="Y1014" i="20"/>
  <c r="AB1014" i="20"/>
  <c r="AA1014" i="20"/>
  <c r="AG1014" i="20"/>
  <c r="AE1014" i="20"/>
  <c r="AK1014" i="20"/>
  <c r="AJ1014" i="20"/>
  <c r="Z1014" i="20"/>
  <c r="AI1014" i="20"/>
  <c r="AD1014" i="20"/>
  <c r="AC1014" i="20"/>
  <c r="AI990" i="20"/>
  <c r="AA990" i="20"/>
  <c r="AH990" i="20"/>
  <c r="AL990" i="20"/>
  <c r="AJ990" i="20"/>
  <c r="AE990" i="20"/>
  <c r="AC990" i="20"/>
  <c r="AD990" i="20"/>
  <c r="Y990" i="20"/>
  <c r="Z990" i="20"/>
  <c r="AB990" i="20"/>
  <c r="AF990" i="20"/>
  <c r="AK990" i="20"/>
  <c r="AG990" i="20"/>
  <c r="AN990" i="20"/>
  <c r="AN985" i="20"/>
  <c r="Y985" i="20"/>
  <c r="AC985" i="20"/>
  <c r="AG985" i="20"/>
  <c r="AH985" i="20"/>
  <c r="AJ985" i="20"/>
  <c r="AD985" i="20"/>
  <c r="AE985" i="20"/>
  <c r="AB985" i="20"/>
  <c r="AA985" i="20"/>
  <c r="AL985" i="20"/>
  <c r="AK985" i="20"/>
  <c r="AI985" i="20"/>
  <c r="Z985" i="20"/>
  <c r="AF985" i="20"/>
  <c r="AN970" i="20"/>
  <c r="AI970" i="20"/>
  <c r="AG970" i="20"/>
  <c r="AA970" i="20"/>
  <c r="AJ970" i="20"/>
  <c r="AK970" i="20"/>
  <c r="Z970" i="20"/>
  <c r="AL970" i="20"/>
  <c r="Y970" i="20"/>
  <c r="AE970" i="20"/>
  <c r="AD970" i="20"/>
  <c r="AB970" i="20"/>
  <c r="AF970" i="20"/>
  <c r="AN936" i="20"/>
  <c r="Z936" i="20"/>
  <c r="AH936" i="20"/>
  <c r="AL936" i="20"/>
  <c r="AC936" i="20"/>
  <c r="AF936" i="20"/>
  <c r="AJ936" i="20"/>
  <c r="AA936" i="20"/>
  <c r="Y936" i="20"/>
  <c r="AD936" i="20"/>
  <c r="AE936" i="20"/>
  <c r="AG936" i="20"/>
  <c r="AK936" i="20"/>
  <c r="AB936" i="20"/>
  <c r="AN921" i="20"/>
  <c r="AL921" i="20"/>
  <c r="AC921" i="20"/>
  <c r="AA921" i="20"/>
  <c r="AB921" i="20"/>
  <c r="AG921" i="20"/>
  <c r="AJ921" i="20"/>
  <c r="Y921" i="20"/>
  <c r="AF921" i="20"/>
  <c r="AE921" i="20"/>
  <c r="Z921" i="20"/>
  <c r="AH921" i="20"/>
  <c r="AD921" i="20"/>
  <c r="AB902" i="20"/>
  <c r="Z902" i="20"/>
  <c r="AD902" i="20"/>
  <c r="AE902" i="20"/>
  <c r="AC902" i="20"/>
  <c r="AH902" i="20"/>
  <c r="AJ902" i="20"/>
  <c r="AN902" i="20"/>
  <c r="AF902" i="20"/>
  <c r="AA902" i="20"/>
  <c r="AK902" i="20"/>
  <c r="AI902" i="20"/>
  <c r="AJ889" i="20"/>
  <c r="Z889" i="20"/>
  <c r="AA889" i="20"/>
  <c r="AC889" i="20"/>
  <c r="AB889" i="20"/>
  <c r="AN889" i="20"/>
  <c r="AD889" i="20"/>
  <c r="AE889" i="20"/>
  <c r="Y889" i="20"/>
  <c r="AH889" i="20"/>
  <c r="AI889" i="20"/>
  <c r="AF889" i="20"/>
  <c r="Y865" i="20"/>
  <c r="AH865" i="20"/>
  <c r="AD865" i="20"/>
  <c r="AI865" i="20"/>
  <c r="AA865" i="20"/>
  <c r="AJ865" i="20"/>
  <c r="AK865" i="20"/>
  <c r="AF865" i="20"/>
  <c r="AN865" i="20"/>
  <c r="AC865" i="20"/>
  <c r="AL865" i="20"/>
  <c r="Z865" i="20"/>
  <c r="AB865" i="20"/>
  <c r="Z841" i="20"/>
  <c r="AI841" i="20"/>
  <c r="AC841" i="20"/>
  <c r="AK841" i="20"/>
  <c r="AD841" i="20"/>
  <c r="AA841" i="20"/>
  <c r="AH841" i="20"/>
  <c r="AJ841" i="20"/>
  <c r="AN841" i="20"/>
  <c r="AF841" i="20"/>
  <c r="AL841" i="20"/>
  <c r="Y841" i="20"/>
  <c r="AE841" i="20"/>
  <c r="AG841" i="20"/>
  <c r="AN831" i="20"/>
  <c r="AC831" i="20"/>
  <c r="Y831" i="20"/>
  <c r="AA831" i="20"/>
  <c r="AE831" i="20"/>
  <c r="AK831" i="20"/>
  <c r="AH831" i="20"/>
  <c r="AF831" i="20"/>
  <c r="AD831" i="20"/>
  <c r="Z831" i="20"/>
  <c r="AJ831" i="20"/>
  <c r="AI831" i="20"/>
  <c r="AB831" i="20"/>
  <c r="AG831" i="20"/>
  <c r="AL831" i="20"/>
  <c r="AN812" i="20"/>
  <c r="AA812" i="20"/>
  <c r="AE812" i="20"/>
  <c r="AC812" i="20"/>
  <c r="AH812" i="20"/>
  <c r="AL812" i="20"/>
  <c r="AI812" i="20"/>
  <c r="AF812" i="20"/>
  <c r="AG812" i="20"/>
  <c r="AB812" i="20"/>
  <c r="Y812" i="20"/>
  <c r="AK812" i="20"/>
  <c r="AD812" i="20"/>
  <c r="AN798" i="20"/>
  <c r="AA798" i="20"/>
  <c r="AB798" i="20"/>
  <c r="AG798" i="20"/>
  <c r="AK798" i="20"/>
  <c r="AD798" i="20"/>
  <c r="AL798" i="20"/>
  <c r="Y798" i="20"/>
  <c r="AF798" i="20"/>
  <c r="AH798" i="20"/>
  <c r="Z798" i="20"/>
  <c r="AE798" i="20"/>
  <c r="AN783" i="20"/>
  <c r="AJ783" i="20"/>
  <c r="AC783" i="20"/>
  <c r="AD783" i="20"/>
  <c r="AA783" i="20"/>
  <c r="AF783" i="20"/>
  <c r="AB783" i="20"/>
  <c r="AG783" i="20"/>
  <c r="Y783" i="20"/>
  <c r="AE783" i="20"/>
  <c r="Z783" i="20"/>
  <c r="AI783" i="20"/>
  <c r="AK783" i="20"/>
  <c r="AA751" i="20"/>
  <c r="AJ751" i="20"/>
  <c r="AB751" i="20"/>
  <c r="AF751" i="20"/>
  <c r="AN751" i="20"/>
  <c r="AE751" i="20"/>
  <c r="Z751" i="20"/>
  <c r="AC751" i="20"/>
  <c r="AD751" i="20"/>
  <c r="AI751" i="20"/>
  <c r="Y751" i="20"/>
  <c r="AN740" i="20"/>
  <c r="AC740" i="20"/>
  <c r="AD740" i="20"/>
  <c r="AH740" i="20"/>
  <c r="AJ740" i="20"/>
  <c r="AB740" i="20"/>
  <c r="AA740" i="20"/>
  <c r="AG740" i="20"/>
  <c r="AI740" i="20"/>
  <c r="AE740" i="20"/>
  <c r="AL740" i="20"/>
  <c r="Z740" i="20"/>
  <c r="AK740" i="20"/>
  <c r="AN729" i="20"/>
  <c r="Z729" i="20"/>
  <c r="AD729" i="20"/>
  <c r="AC729" i="20"/>
  <c r="AB729" i="20"/>
  <c r="AH729" i="20"/>
  <c r="AF729" i="20"/>
  <c r="AK729" i="20"/>
  <c r="Y729" i="20"/>
  <c r="AA729" i="20"/>
  <c r="AN698" i="20"/>
  <c r="AI698" i="20"/>
  <c r="AE698" i="20"/>
  <c r="AG698" i="20"/>
  <c r="AF698" i="20"/>
  <c r="AD698" i="20"/>
  <c r="AL698" i="20"/>
  <c r="Y698" i="20"/>
  <c r="AB698" i="20"/>
  <c r="AC698" i="20"/>
  <c r="AA698" i="20"/>
  <c r="AK698" i="20"/>
  <c r="AA686" i="20"/>
  <c r="AL686" i="20"/>
  <c r="AC686" i="20"/>
  <c r="AG686" i="20"/>
  <c r="Y686" i="20"/>
  <c r="AF686" i="20"/>
  <c r="AH686" i="20"/>
  <c r="AN686" i="20"/>
  <c r="AI686" i="20"/>
  <c r="AK686" i="20"/>
  <c r="Z686" i="20"/>
  <c r="AB686" i="20"/>
  <c r="AE686" i="20"/>
  <c r="AJ686" i="20"/>
  <c r="AD686" i="20"/>
  <c r="AN671" i="20"/>
  <c r="AD671" i="20"/>
  <c r="AB671" i="20"/>
  <c r="AC671" i="20"/>
  <c r="Y671" i="20"/>
  <c r="AI671" i="20"/>
  <c r="AE671" i="20"/>
  <c r="AJ671" i="20"/>
  <c r="AG671" i="20"/>
  <c r="AK671" i="20"/>
  <c r="AA671" i="20"/>
  <c r="AL671" i="20"/>
  <c r="Z671" i="20"/>
  <c r="AF671" i="20"/>
  <c r="AL654" i="20"/>
  <c r="AB654" i="20"/>
  <c r="AF654" i="20"/>
  <c r="AH654" i="20"/>
  <c r="AE654" i="20"/>
  <c r="AN654" i="20"/>
  <c r="AD654" i="20"/>
  <c r="AK654" i="20"/>
  <c r="AG654" i="20"/>
  <c r="AC654" i="20"/>
  <c r="Y654" i="20"/>
  <c r="AN650" i="20"/>
  <c r="AE650" i="20"/>
  <c r="Z650" i="20"/>
  <c r="AH650" i="20"/>
  <c r="AK650" i="20"/>
  <c r="Y650" i="20"/>
  <c r="AA650" i="20"/>
  <c r="AG650" i="20"/>
  <c r="AF650" i="20"/>
  <c r="AB650" i="20"/>
  <c r="AI650" i="20"/>
  <c r="AC650" i="20"/>
  <c r="AD650" i="20"/>
  <c r="AN1055" i="20"/>
  <c r="AF1055" i="20"/>
  <c r="AA1055" i="20"/>
  <c r="AB1055" i="20"/>
  <c r="AI1055" i="20"/>
  <c r="AK1055" i="20"/>
  <c r="Y1055" i="20"/>
  <c r="AJ1055" i="20"/>
  <c r="AE1055" i="20"/>
  <c r="AC1055" i="20"/>
  <c r="Z1055" i="20"/>
  <c r="AD1055" i="20"/>
  <c r="AN829" i="20"/>
  <c r="Y829" i="20"/>
  <c r="AC829" i="20"/>
  <c r="AK829" i="20"/>
  <c r="Z829" i="20"/>
  <c r="AA829" i="20"/>
  <c r="AJ829" i="20"/>
  <c r="AF829" i="20"/>
  <c r="AE829" i="20"/>
  <c r="AI829" i="20"/>
  <c r="AG829" i="20"/>
  <c r="AH829" i="20"/>
  <c r="AB829" i="20"/>
  <c r="AN573" i="20"/>
  <c r="AB573" i="20"/>
  <c r="AG573" i="20"/>
  <c r="AF573" i="20"/>
  <c r="AH573" i="20"/>
  <c r="AJ573" i="20"/>
  <c r="AC573" i="20"/>
  <c r="AA573" i="20"/>
  <c r="AD573" i="20"/>
  <c r="Y573" i="20"/>
  <c r="AN436" i="20"/>
  <c r="AL436" i="20"/>
  <c r="AH436" i="20"/>
  <c r="AB436" i="20"/>
  <c r="Y436" i="20"/>
  <c r="AK436" i="20"/>
  <c r="AD436" i="20"/>
  <c r="AE436" i="20"/>
  <c r="AF436" i="20"/>
  <c r="AG436" i="20"/>
  <c r="AC436" i="20"/>
  <c r="Z436" i="20"/>
  <c r="AN78" i="20"/>
  <c r="AF78" i="20"/>
  <c r="AG78" i="20"/>
  <c r="Z78" i="20"/>
  <c r="AD78" i="20"/>
  <c r="AI78" i="20"/>
  <c r="AB78" i="20"/>
  <c r="Y78" i="20"/>
  <c r="AK78" i="20"/>
  <c r="AJ78" i="20"/>
  <c r="AA78" i="20"/>
  <c r="AN367" i="20"/>
  <c r="Z367" i="20"/>
  <c r="AC367" i="20"/>
  <c r="AH367" i="20"/>
  <c r="AL367" i="20"/>
  <c r="AE367" i="20"/>
  <c r="AB367" i="20"/>
  <c r="Y367" i="20"/>
  <c r="AD367" i="20"/>
  <c r="AJ367" i="20"/>
  <c r="AK367" i="20"/>
  <c r="AN495" i="20"/>
  <c r="AK495" i="20"/>
  <c r="AJ495" i="20"/>
  <c r="AH495" i="20"/>
  <c r="Y495" i="20"/>
  <c r="AG495" i="20"/>
  <c r="Z495" i="20"/>
  <c r="AB495" i="20"/>
  <c r="AF495" i="20"/>
  <c r="AD495" i="20"/>
  <c r="AE495" i="20"/>
  <c r="AC495" i="20"/>
  <c r="AA828" i="20"/>
  <c r="AI828" i="20"/>
  <c r="AE828" i="20"/>
  <c r="AB828" i="20"/>
  <c r="AH828" i="20"/>
  <c r="AN828" i="20"/>
  <c r="Y828" i="20"/>
  <c r="AL828" i="20"/>
  <c r="AF828" i="20"/>
  <c r="Z828" i="20"/>
  <c r="AG828" i="20"/>
  <c r="AC828" i="20"/>
  <c r="AJ828" i="20"/>
  <c r="AD828" i="20"/>
  <c r="Z406" i="20"/>
  <c r="AK406" i="20"/>
  <c r="Y406" i="20"/>
  <c r="AC406" i="20"/>
  <c r="AD406" i="20"/>
  <c r="AB406" i="20"/>
  <c r="AA406" i="20"/>
  <c r="AL406" i="20"/>
  <c r="AI406" i="20"/>
  <c r="AF406" i="20"/>
  <c r="AN406" i="20"/>
  <c r="AH406" i="20"/>
  <c r="AG406" i="20"/>
  <c r="AE406" i="20"/>
  <c r="AE894" i="20"/>
  <c r="Z894" i="20"/>
  <c r="AI894" i="20"/>
  <c r="AC894" i="20"/>
  <c r="AB894" i="20"/>
  <c r="AA894" i="20"/>
  <c r="AN894" i="20"/>
  <c r="Y894" i="20"/>
  <c r="AJ894" i="20"/>
  <c r="AL894" i="20"/>
  <c r="AD894" i="20"/>
  <c r="AF894" i="20"/>
  <c r="AK894" i="20"/>
  <c r="AG894" i="20"/>
  <c r="AN221" i="20"/>
  <c r="AI221" i="20"/>
  <c r="AA221" i="20"/>
  <c r="AB221" i="20"/>
  <c r="AF221" i="20"/>
  <c r="AE221" i="20"/>
  <c r="AJ221" i="20"/>
  <c r="Z221" i="20"/>
  <c r="Y221" i="20"/>
  <c r="AK221" i="20"/>
  <c r="AC221" i="20"/>
  <c r="AH221" i="20"/>
  <c r="AL221" i="20"/>
  <c r="AG221" i="20"/>
  <c r="AI629" i="20"/>
  <c r="AA629" i="20"/>
  <c r="AK629" i="20"/>
  <c r="AJ629" i="20"/>
  <c r="Y629" i="20"/>
  <c r="Z629" i="20"/>
  <c r="AH629" i="20"/>
  <c r="AN629" i="20"/>
  <c r="AB629" i="20"/>
  <c r="AL629" i="20"/>
  <c r="AG629" i="20"/>
  <c r="AC629" i="20"/>
  <c r="AD629" i="20"/>
  <c r="AN619" i="20"/>
  <c r="AI619" i="20"/>
  <c r="Z619" i="20"/>
  <c r="AF619" i="20"/>
  <c r="AE619" i="20"/>
  <c r="AB619" i="20"/>
  <c r="AH619" i="20"/>
  <c r="AJ619" i="20"/>
  <c r="AA619" i="20"/>
  <c r="AK619" i="20"/>
  <c r="AL619" i="20"/>
  <c r="Y619" i="20"/>
  <c r="AG619" i="20"/>
  <c r="AN611" i="20"/>
  <c r="AA611" i="20"/>
  <c r="AC611" i="20"/>
  <c r="AH611" i="20"/>
  <c r="AL611" i="20"/>
  <c r="AJ611" i="20"/>
  <c r="AF611" i="20"/>
  <c r="AE611" i="20"/>
  <c r="Z611" i="20"/>
  <c r="AI611" i="20"/>
  <c r="AB611" i="20"/>
  <c r="AD611" i="20"/>
  <c r="AG611" i="20"/>
  <c r="AK611" i="20"/>
  <c r="AF602" i="20"/>
  <c r="AE602" i="20"/>
  <c r="Z602" i="20"/>
  <c r="AJ602" i="20"/>
  <c r="AA602" i="20"/>
  <c r="AN602" i="20"/>
  <c r="AI602" i="20"/>
  <c r="AB602" i="20"/>
  <c r="AK602" i="20"/>
  <c r="AD602" i="20"/>
  <c r="AC602" i="20"/>
  <c r="AH602" i="20"/>
  <c r="AL602" i="20"/>
  <c r="AG602" i="20"/>
  <c r="Y602" i="20"/>
  <c r="AL589" i="20"/>
  <c r="AJ589" i="20"/>
  <c r="AC589" i="20"/>
  <c r="AD589" i="20"/>
  <c r="AK589" i="20"/>
  <c r="AB589" i="20"/>
  <c r="AE589" i="20"/>
  <c r="AA589" i="20"/>
  <c r="AG589" i="20"/>
  <c r="AN589" i="20"/>
  <c r="AF589" i="20"/>
  <c r="AN518" i="20"/>
  <c r="AA518" i="20"/>
  <c r="Z518" i="20"/>
  <c r="AB518" i="20"/>
  <c r="AG518" i="20"/>
  <c r="AK518" i="20"/>
  <c r="AD518" i="20"/>
  <c r="AH518" i="20"/>
  <c r="AI518" i="20"/>
  <c r="AL518" i="20"/>
  <c r="AC518" i="20"/>
  <c r="AJ518" i="20"/>
  <c r="AE578" i="20"/>
  <c r="AF578" i="20"/>
  <c r="Z578" i="20"/>
  <c r="AD578" i="20"/>
  <c r="AA578" i="20"/>
  <c r="AC578" i="20"/>
  <c r="AH578" i="20"/>
  <c r="AI578" i="20"/>
  <c r="AN578" i="20"/>
  <c r="AK578" i="20"/>
  <c r="Y578" i="20"/>
  <c r="AL578" i="20"/>
  <c r="AJ578" i="20"/>
  <c r="AG578" i="20"/>
  <c r="AB578" i="20"/>
  <c r="AN566" i="20"/>
  <c r="AK566" i="20"/>
  <c r="Z566" i="20"/>
  <c r="AB566" i="20"/>
  <c r="AF566" i="20"/>
  <c r="AA566" i="20"/>
  <c r="AG566" i="20"/>
  <c r="AD566" i="20"/>
  <c r="AH566" i="20"/>
  <c r="AI566" i="20"/>
  <c r="AE566" i="20"/>
  <c r="AJ566" i="20"/>
  <c r="AC566" i="20"/>
  <c r="Y566" i="20"/>
  <c r="AL566" i="20"/>
  <c r="AN651" i="20"/>
  <c r="AG651" i="20"/>
  <c r="Z651" i="20"/>
  <c r="AF651" i="20"/>
  <c r="AK651" i="20"/>
  <c r="AC651" i="20"/>
  <c r="AA651" i="20"/>
  <c r="AH651" i="20"/>
  <c r="AJ651" i="20"/>
  <c r="AD651" i="20"/>
  <c r="AE651" i="20"/>
  <c r="AB651" i="20"/>
  <c r="AN558" i="20"/>
  <c r="AK558" i="20"/>
  <c r="AB558" i="20"/>
  <c r="AG558" i="20"/>
  <c r="Z558" i="20"/>
  <c r="AL558" i="20"/>
  <c r="AD558" i="20"/>
  <c r="AA558" i="20"/>
  <c r="AC558" i="20"/>
  <c r="AF558" i="20"/>
  <c r="Y558" i="20"/>
  <c r="AI558" i="20"/>
  <c r="AE558" i="20"/>
  <c r="AI550" i="20"/>
  <c r="AA550" i="20"/>
  <c r="AK550" i="20"/>
  <c r="Y550" i="20"/>
  <c r="AC550" i="20"/>
  <c r="AH550" i="20"/>
  <c r="AJ550" i="20"/>
  <c r="AN550" i="20"/>
  <c r="Z550" i="20"/>
  <c r="AE550" i="20"/>
  <c r="AB550" i="20"/>
  <c r="AG550" i="20"/>
  <c r="AL550" i="20"/>
  <c r="AN538" i="20"/>
  <c r="AD538" i="20"/>
  <c r="Y538" i="20"/>
  <c r="AG538" i="20"/>
  <c r="AC538" i="20"/>
  <c r="AI538" i="20"/>
  <c r="AE538" i="20"/>
  <c r="AA538" i="20"/>
  <c r="Z538" i="20"/>
  <c r="AB538" i="20"/>
  <c r="AN522" i="20"/>
  <c r="AD522" i="20"/>
  <c r="AG522" i="20"/>
  <c r="AK522" i="20"/>
  <c r="AC522" i="20"/>
  <c r="AJ522" i="20"/>
  <c r="AE522" i="20"/>
  <c r="AF522" i="20"/>
  <c r="AB522" i="20"/>
  <c r="AL522" i="20"/>
  <c r="AI522" i="20"/>
  <c r="Z522" i="20"/>
  <c r="AA522" i="20"/>
  <c r="Y522" i="20"/>
  <c r="AD500" i="20"/>
  <c r="AI500" i="20"/>
  <c r="AJ500" i="20"/>
  <c r="AN500" i="20"/>
  <c r="AG500" i="20"/>
  <c r="Y500" i="20"/>
  <c r="AE500" i="20"/>
  <c r="AB500" i="20"/>
  <c r="AA500" i="20"/>
  <c r="AK500" i="20"/>
  <c r="AF500" i="20"/>
  <c r="AH500" i="20"/>
  <c r="AF487" i="20"/>
  <c r="AE487" i="20"/>
  <c r="AA487" i="20"/>
  <c r="AD487" i="20"/>
  <c r="AB487" i="20"/>
  <c r="AH487" i="20"/>
  <c r="AL487" i="20"/>
  <c r="AJ487" i="20"/>
  <c r="AN487" i="20"/>
  <c r="AK487" i="20"/>
  <c r="AG487" i="20"/>
  <c r="Z487" i="20"/>
  <c r="AI487" i="20"/>
  <c r="Y487" i="20"/>
  <c r="AN478" i="20"/>
  <c r="AC478" i="20"/>
  <c r="AD478" i="20"/>
  <c r="AI478" i="20"/>
  <c r="AF478" i="20"/>
  <c r="AG478" i="20"/>
  <c r="AJ478" i="20"/>
  <c r="AE478" i="20"/>
  <c r="AL478" i="20"/>
  <c r="AK478" i="20"/>
  <c r="AB478" i="20"/>
  <c r="Y478" i="20"/>
  <c r="AA478" i="20"/>
  <c r="AH478" i="20"/>
  <c r="AN474" i="20"/>
  <c r="AB474" i="20"/>
  <c r="AG474" i="20"/>
  <c r="AK474" i="20"/>
  <c r="AL474" i="20"/>
  <c r="AE474" i="20"/>
  <c r="AD474" i="20"/>
  <c r="AF474" i="20"/>
  <c r="AC474" i="20"/>
  <c r="Z474" i="20"/>
  <c r="AA474" i="20"/>
  <c r="AH474" i="20"/>
  <c r="AJ474" i="20"/>
  <c r="Y474" i="20"/>
  <c r="AI474" i="20"/>
  <c r="AN466" i="20"/>
  <c r="Y466" i="20"/>
  <c r="Z466" i="20"/>
  <c r="AK466" i="20"/>
  <c r="AJ466" i="20"/>
  <c r="AI466" i="20"/>
  <c r="AE466" i="20"/>
  <c r="AA466" i="20"/>
  <c r="AF466" i="20"/>
  <c r="AC466" i="20"/>
  <c r="AH466" i="20"/>
  <c r="AJ462" i="20"/>
  <c r="AF462" i="20"/>
  <c r="AC462" i="20"/>
  <c r="AB462" i="20"/>
  <c r="AA462" i="20"/>
  <c r="AG462" i="20"/>
  <c r="AD462" i="20"/>
  <c r="AH462" i="20"/>
  <c r="AE462" i="20"/>
  <c r="Y462" i="20"/>
  <c r="Z462" i="20"/>
  <c r="AL462" i="20"/>
  <c r="AK462" i="20"/>
  <c r="AI462" i="20"/>
  <c r="AN506" i="20"/>
  <c r="AD506" i="20"/>
  <c r="Z506" i="20"/>
  <c r="AG506" i="20"/>
  <c r="AA506" i="20"/>
  <c r="AE506" i="20"/>
  <c r="AL506" i="20"/>
  <c r="AF506" i="20"/>
  <c r="AK506" i="20"/>
  <c r="AH506" i="20"/>
  <c r="AI506" i="20"/>
  <c r="AJ506" i="20"/>
  <c r="AB506" i="20"/>
  <c r="Y506" i="20"/>
  <c r="AC506" i="20"/>
  <c r="AN448" i="20"/>
  <c r="AG448" i="20"/>
  <c r="AA448" i="20"/>
  <c r="AF448" i="20"/>
  <c r="Z448" i="20"/>
  <c r="AC448" i="20"/>
  <c r="AH448" i="20"/>
  <c r="AB448" i="20"/>
  <c r="AE448" i="20"/>
  <c r="AL448" i="20"/>
  <c r="AD448" i="20"/>
  <c r="AK448" i="20"/>
  <c r="Y448" i="20"/>
  <c r="AI448" i="20"/>
  <c r="AJ448" i="20"/>
  <c r="AJ413" i="20"/>
  <c r="AC413" i="20"/>
  <c r="AD413" i="20"/>
  <c r="Y413" i="20"/>
  <c r="AL413" i="20"/>
  <c r="AG413" i="20"/>
  <c r="AE413" i="20"/>
  <c r="AB413" i="20"/>
  <c r="AA413" i="20"/>
  <c r="Z413" i="20"/>
  <c r="AK413" i="20"/>
  <c r="AN413" i="20"/>
  <c r="AF413" i="20"/>
  <c r="AH413" i="20"/>
  <c r="AC74" i="20"/>
  <c r="AE74" i="20"/>
  <c r="AJ74" i="20"/>
  <c r="Y74" i="20"/>
  <c r="AD74" i="20"/>
  <c r="AB74" i="20"/>
  <c r="AA74" i="20"/>
  <c r="AK74" i="20"/>
  <c r="AH74" i="20"/>
  <c r="AL74" i="20"/>
  <c r="AI74" i="20"/>
  <c r="AN74" i="20"/>
  <c r="AB266" i="20"/>
  <c r="AE266" i="20"/>
  <c r="AA266" i="20"/>
  <c r="AG266" i="20"/>
  <c r="AI266" i="20"/>
  <c r="AC266" i="20"/>
  <c r="AN266" i="20"/>
  <c r="AJ266" i="20"/>
  <c r="AD266" i="20"/>
  <c r="Y266" i="20"/>
  <c r="Z266" i="20"/>
  <c r="AL266" i="20"/>
  <c r="Z426" i="20"/>
  <c r="AB426" i="20"/>
  <c r="AG426" i="20"/>
  <c r="AE426" i="20"/>
  <c r="AD426" i="20"/>
  <c r="AA426" i="20"/>
  <c r="AI426" i="20"/>
  <c r="AN426" i="20"/>
  <c r="AL426" i="20"/>
  <c r="AC426" i="20"/>
  <c r="AF426" i="20"/>
  <c r="Y426" i="20"/>
  <c r="AH426" i="20"/>
  <c r="AJ426" i="20"/>
  <c r="AN1009" i="20"/>
  <c r="AG1009" i="20"/>
  <c r="Z1009" i="20"/>
  <c r="AB1009" i="20"/>
  <c r="AJ1009" i="20"/>
  <c r="AC1009" i="20"/>
  <c r="AI1009" i="20"/>
  <c r="AE1009" i="20"/>
  <c r="AD1009" i="20"/>
  <c r="AF1009" i="20"/>
  <c r="Y1009" i="20"/>
  <c r="AH1009" i="20"/>
  <c r="AA1009" i="20"/>
  <c r="AL1009" i="20"/>
  <c r="AK1009" i="20"/>
  <c r="AN809" i="20"/>
  <c r="AB809" i="20"/>
  <c r="AL809" i="20"/>
  <c r="AA809" i="20"/>
  <c r="AD809" i="20"/>
  <c r="AE809" i="20"/>
  <c r="AC809" i="20"/>
  <c r="AK809" i="20"/>
  <c r="AF809" i="20"/>
  <c r="AG809" i="20"/>
  <c r="AH809" i="20"/>
  <c r="Y809" i="20"/>
  <c r="Y712" i="20"/>
  <c r="AF712" i="20"/>
  <c r="AA712" i="20"/>
  <c r="AB712" i="20"/>
  <c r="AG712" i="20"/>
  <c r="AI712" i="20"/>
  <c r="AC712" i="20"/>
  <c r="AE712" i="20"/>
  <c r="AD712" i="20"/>
  <c r="AH712" i="20"/>
  <c r="AN712" i="20"/>
  <c r="AK712" i="20"/>
  <c r="AB530" i="20"/>
  <c r="AI530" i="20"/>
  <c r="AC530" i="20"/>
  <c r="AE530" i="20"/>
  <c r="AA530" i="20"/>
  <c r="Z530" i="20"/>
  <c r="AH530" i="20"/>
  <c r="AN530" i="20"/>
  <c r="AL530" i="20"/>
  <c r="AF530" i="20"/>
  <c r="AJ530" i="20"/>
  <c r="AG530" i="20"/>
  <c r="AK530" i="20"/>
  <c r="AN429" i="20"/>
  <c r="AG429" i="20"/>
  <c r="Z429" i="20"/>
  <c r="AL429" i="20"/>
  <c r="AJ429" i="20"/>
  <c r="AB429" i="20"/>
  <c r="AK429" i="20"/>
  <c r="AD429" i="20"/>
  <c r="AI429" i="20"/>
  <c r="AF429" i="20"/>
  <c r="AE429" i="20"/>
  <c r="AH429" i="20"/>
  <c r="AA429" i="20"/>
  <c r="Y322" i="20"/>
  <c r="AE322" i="20"/>
  <c r="AK322" i="20"/>
  <c r="Z322" i="20"/>
  <c r="AH322" i="20"/>
  <c r="AG322" i="20"/>
  <c r="AI322" i="20"/>
  <c r="AB322" i="20"/>
  <c r="AN322" i="20"/>
  <c r="AD322" i="20"/>
  <c r="AF322" i="20"/>
  <c r="AC322" i="20"/>
  <c r="AL322" i="20"/>
  <c r="AA322" i="20"/>
  <c r="AN212" i="20"/>
  <c r="AB212" i="20"/>
  <c r="AG212" i="20"/>
  <c r="AA212" i="20"/>
  <c r="AD212" i="20"/>
  <c r="AH212" i="20"/>
  <c r="Z212" i="20"/>
  <c r="AI212" i="20"/>
  <c r="AC212" i="20"/>
  <c r="Y212" i="20"/>
  <c r="AF212" i="20"/>
  <c r="AJ212" i="20"/>
  <c r="AE212" i="20"/>
  <c r="AC102" i="20"/>
  <c r="AB102" i="20"/>
  <c r="AL102" i="20"/>
  <c r="AK102" i="20"/>
  <c r="Y102" i="20"/>
  <c r="Z102" i="20"/>
  <c r="AJ102" i="20"/>
  <c r="AN102" i="20"/>
  <c r="AF102" i="20"/>
  <c r="AG102" i="20"/>
  <c r="AH102" i="20"/>
  <c r="AE102" i="20"/>
  <c r="AA102" i="20"/>
  <c r="AN924" i="20"/>
  <c r="AG924" i="20"/>
  <c r="AK924" i="20"/>
  <c r="AD924" i="20"/>
  <c r="AF924" i="20"/>
  <c r="AC924" i="20"/>
  <c r="AL924" i="20"/>
  <c r="AE924" i="20"/>
  <c r="AB924" i="20"/>
  <c r="AA924" i="20"/>
  <c r="AH924" i="20"/>
  <c r="AJ924" i="20"/>
  <c r="Z924" i="20"/>
  <c r="Y924" i="20"/>
  <c r="AN416" i="20"/>
  <c r="Y416" i="20"/>
  <c r="AD416" i="20"/>
  <c r="AL416" i="20"/>
  <c r="AJ416" i="20"/>
  <c r="AE416" i="20"/>
  <c r="AG416" i="20"/>
  <c r="AC416" i="20"/>
  <c r="AI416" i="20"/>
  <c r="Z416" i="20"/>
  <c r="AA416" i="20"/>
  <c r="AK416" i="20"/>
  <c r="AF416" i="20"/>
  <c r="AN100" i="20"/>
  <c r="AL100" i="20"/>
  <c r="AA100" i="20"/>
  <c r="AC100" i="20"/>
  <c r="AK100" i="20"/>
  <c r="Y100" i="20"/>
  <c r="AG100" i="20"/>
  <c r="AD100" i="20"/>
  <c r="AF100" i="20"/>
  <c r="AJ100" i="20"/>
  <c r="AI100" i="20"/>
  <c r="Z100" i="20"/>
  <c r="AE100" i="20"/>
  <c r="AB100" i="20"/>
  <c r="AK907" i="20"/>
  <c r="AE907" i="20"/>
  <c r="AC907" i="20"/>
  <c r="AF907" i="20"/>
  <c r="AB907" i="20"/>
  <c r="AN907" i="20"/>
  <c r="Y907" i="20"/>
  <c r="Z907" i="20"/>
  <c r="AJ907" i="20"/>
  <c r="AG907" i="20"/>
  <c r="AD907" i="20"/>
  <c r="AH907" i="20"/>
  <c r="AL459" i="20"/>
  <c r="AG459" i="20"/>
  <c r="AE459" i="20"/>
  <c r="AA459" i="20"/>
  <c r="AF459" i="20"/>
  <c r="AB459" i="20"/>
  <c r="AH459" i="20"/>
  <c r="Y459" i="20"/>
  <c r="Z459" i="20"/>
  <c r="AI459" i="20"/>
  <c r="AC459" i="20"/>
  <c r="AK459" i="20"/>
  <c r="AC669" i="20"/>
  <c r="AK669" i="20"/>
  <c r="AB669" i="20"/>
  <c r="Z669" i="20"/>
  <c r="AG669" i="20"/>
  <c r="AE669" i="20"/>
  <c r="AJ669" i="20"/>
  <c r="AN669" i="20"/>
  <c r="AI669" i="20"/>
  <c r="AA669" i="20"/>
  <c r="AF669" i="20"/>
  <c r="AD669" i="20"/>
  <c r="Y669" i="20"/>
  <c r="AH669" i="20"/>
  <c r="AD1005" i="20"/>
  <c r="AA1005" i="20"/>
  <c r="AE1005" i="20"/>
  <c r="AC1005" i="20"/>
  <c r="AF1005" i="20"/>
  <c r="AN1005" i="20"/>
  <c r="AJ1005" i="20"/>
  <c r="AI1005" i="20"/>
  <c r="Z1005" i="20"/>
  <c r="AB1005" i="20"/>
  <c r="AG1005" i="20"/>
  <c r="AH1005" i="20"/>
  <c r="AL1005" i="20"/>
  <c r="Y1005" i="20"/>
  <c r="AI1058" i="20"/>
  <c r="Z1058" i="20"/>
  <c r="AN1058" i="20"/>
  <c r="AC1058" i="20"/>
  <c r="Y1058" i="20"/>
  <c r="AF1058" i="20"/>
  <c r="AB1058" i="20"/>
  <c r="AA1058" i="20"/>
  <c r="AJ1058" i="20"/>
  <c r="AE1058" i="20"/>
  <c r="AK1058" i="20"/>
  <c r="AD1058" i="20"/>
  <c r="AH1058" i="20"/>
  <c r="AG1058" i="20"/>
  <c r="Z943" i="20"/>
  <c r="AK943" i="20"/>
  <c r="AC943" i="20"/>
  <c r="AN943" i="20"/>
  <c r="AF943" i="20"/>
  <c r="AB943" i="20"/>
  <c r="AL943" i="20"/>
  <c r="AJ943" i="20"/>
  <c r="AE943" i="20"/>
  <c r="AA943" i="20"/>
  <c r="AG943" i="20"/>
  <c r="Y943" i="20"/>
  <c r="AD943" i="20"/>
  <c r="AH943" i="20"/>
  <c r="AJ262" i="20"/>
  <c r="AD262" i="20"/>
  <c r="AG262" i="20"/>
  <c r="AK262" i="20"/>
  <c r="AI262" i="20"/>
  <c r="AN262" i="20"/>
  <c r="AE262" i="20"/>
  <c r="Z262" i="20"/>
  <c r="Y262" i="20"/>
  <c r="AA262" i="20"/>
  <c r="AH262" i="20"/>
  <c r="AL262" i="20"/>
  <c r="AB262" i="20"/>
  <c r="AF262" i="20"/>
  <c r="AA762" i="20"/>
  <c r="AC762" i="20"/>
  <c r="AE762" i="20"/>
  <c r="AG762" i="20"/>
  <c r="AF762" i="20"/>
  <c r="AB762" i="20"/>
  <c r="AK762" i="20"/>
  <c r="AJ762" i="20"/>
  <c r="AN762" i="20"/>
  <c r="AD762" i="20"/>
  <c r="Y762" i="20"/>
  <c r="AL762" i="20"/>
  <c r="AN372" i="20"/>
  <c r="AK372" i="20"/>
  <c r="Y372" i="20"/>
  <c r="AB372" i="20"/>
  <c r="AF372" i="20"/>
  <c r="AA372" i="20"/>
  <c r="AH372" i="20"/>
  <c r="AL372" i="20"/>
  <c r="AJ372" i="20"/>
  <c r="AE372" i="20"/>
  <c r="AC372" i="20"/>
  <c r="Z372" i="20"/>
  <c r="AG372" i="20"/>
  <c r="AD372" i="20"/>
  <c r="AI372" i="20"/>
  <c r="AN891" i="20"/>
  <c r="Y891" i="20"/>
  <c r="Z891" i="20"/>
  <c r="AA891" i="20"/>
  <c r="AG891" i="20"/>
  <c r="AD891" i="20"/>
  <c r="AF891" i="20"/>
  <c r="AL891" i="20"/>
  <c r="AJ891" i="20"/>
  <c r="AC891" i="20"/>
  <c r="AI891" i="20"/>
  <c r="AK891" i="20"/>
  <c r="AA714" i="20"/>
  <c r="AN714" i="20"/>
  <c r="Z714" i="20"/>
  <c r="AD714" i="20"/>
  <c r="AE714" i="20"/>
  <c r="AH714" i="20"/>
  <c r="AF714" i="20"/>
  <c r="Y714" i="20"/>
  <c r="AB714" i="20"/>
  <c r="AC714" i="20"/>
  <c r="AK714" i="20"/>
  <c r="AJ714" i="20"/>
  <c r="AI714" i="20"/>
  <c r="AG714" i="20"/>
  <c r="AN312" i="20"/>
  <c r="AK312" i="20"/>
  <c r="Z312" i="20"/>
  <c r="AB312" i="20"/>
  <c r="AE312" i="20"/>
  <c r="AG312" i="20"/>
  <c r="AJ312" i="20"/>
  <c r="AC312" i="20"/>
  <c r="AD312" i="20"/>
  <c r="Y312" i="20"/>
  <c r="AF312" i="20"/>
  <c r="AH312" i="20"/>
  <c r="AL312" i="20"/>
  <c r="AA312" i="20"/>
  <c r="AL287" i="20"/>
  <c r="AK287" i="20"/>
  <c r="AF287" i="20"/>
  <c r="AA287" i="20"/>
  <c r="AN287" i="20"/>
  <c r="AE287" i="20"/>
  <c r="AG287" i="20"/>
  <c r="Y287" i="20"/>
  <c r="Z287" i="20"/>
  <c r="AC287" i="20"/>
  <c r="AJ287" i="20"/>
  <c r="AB287" i="20"/>
  <c r="AD287" i="20"/>
  <c r="AN823" i="20"/>
  <c r="AG823" i="20"/>
  <c r="AE823" i="20"/>
  <c r="AJ823" i="20"/>
  <c r="AB823" i="20"/>
  <c r="AI823" i="20"/>
  <c r="AD823" i="20"/>
  <c r="Y823" i="20"/>
  <c r="AA823" i="20"/>
  <c r="AL823" i="20"/>
  <c r="Z823" i="20"/>
  <c r="AF823" i="20"/>
  <c r="AK823" i="20"/>
  <c r="AC823" i="20"/>
  <c r="AF305" i="20"/>
  <c r="Y305" i="20"/>
  <c r="AK305" i="20"/>
  <c r="Z305" i="20"/>
  <c r="AC305" i="20"/>
  <c r="AB305" i="20"/>
  <c r="AH305" i="20"/>
  <c r="AD305" i="20"/>
  <c r="AJ305" i="20"/>
  <c r="AE305" i="20"/>
  <c r="AN305" i="20"/>
  <c r="AA305" i="20"/>
  <c r="AG305" i="20"/>
  <c r="AL305" i="20"/>
  <c r="AN300" i="20"/>
  <c r="AA300" i="20"/>
  <c r="AE300" i="20"/>
  <c r="AD300" i="20"/>
  <c r="AG300" i="20"/>
  <c r="AF300" i="20"/>
  <c r="AK300" i="20"/>
  <c r="AC300" i="20"/>
  <c r="Y300" i="20"/>
  <c r="Z300" i="20"/>
  <c r="AB300" i="20"/>
  <c r="AH300" i="20"/>
  <c r="AJ300" i="20"/>
  <c r="AN913" i="20"/>
  <c r="AI913" i="20"/>
  <c r="AE913" i="20"/>
  <c r="AB913" i="20"/>
  <c r="Y913" i="20"/>
  <c r="AD913" i="20"/>
  <c r="AA913" i="20"/>
  <c r="AF913" i="20"/>
  <c r="AC913" i="20"/>
  <c r="AG913" i="20"/>
  <c r="Z913" i="20"/>
  <c r="AH913" i="20"/>
  <c r="AL913" i="20"/>
  <c r="AJ913" i="20"/>
  <c r="AK913" i="20"/>
  <c r="AE296" i="20"/>
  <c r="Y296" i="20"/>
  <c r="AL296" i="20"/>
  <c r="AC296" i="20"/>
  <c r="AK296" i="20"/>
  <c r="AB296" i="20"/>
  <c r="AD296" i="20"/>
  <c r="AG296" i="20"/>
  <c r="AF296" i="20"/>
  <c r="Z296" i="20"/>
  <c r="AA296" i="20"/>
  <c r="AH296" i="20"/>
  <c r="AN296" i="20"/>
  <c r="AI296" i="20"/>
  <c r="AA288" i="20"/>
  <c r="AG288" i="20"/>
  <c r="Y288" i="20"/>
  <c r="AN288" i="20"/>
  <c r="AJ288" i="20"/>
  <c r="AD288" i="20"/>
  <c r="AE288" i="20"/>
  <c r="AH288" i="20"/>
  <c r="AF288" i="20"/>
  <c r="AC288" i="20"/>
  <c r="AB288" i="20"/>
  <c r="AK288" i="20"/>
  <c r="Z288" i="20"/>
  <c r="AN274" i="20"/>
  <c r="AJ274" i="20"/>
  <c r="AK274" i="20"/>
  <c r="AB274" i="20"/>
  <c r="AF274" i="20"/>
  <c r="AC274" i="20"/>
  <c r="AH274" i="20"/>
  <c r="AL274" i="20"/>
  <c r="AA274" i="20"/>
  <c r="AI274" i="20"/>
  <c r="Z274" i="20"/>
  <c r="AG274" i="20"/>
  <c r="AD274" i="20"/>
  <c r="AE274" i="20"/>
  <c r="AF271" i="20"/>
  <c r="AC271" i="20"/>
  <c r="AB271" i="20"/>
  <c r="AA271" i="20"/>
  <c r="AE271" i="20"/>
  <c r="AJ271" i="20"/>
  <c r="AK271" i="20"/>
  <c r="AN271" i="20"/>
  <c r="AG271" i="20"/>
  <c r="Z271" i="20"/>
  <c r="AI271" i="20"/>
  <c r="Y271" i="20"/>
  <c r="Z255" i="20"/>
  <c r="AF255" i="20"/>
  <c r="AH255" i="20"/>
  <c r="AC255" i="20"/>
  <c r="AN255" i="20"/>
  <c r="AD255" i="20"/>
  <c r="AK255" i="20"/>
  <c r="AB255" i="20"/>
  <c r="AG255" i="20"/>
  <c r="AI255" i="20"/>
  <c r="AL255" i="20"/>
  <c r="Y255" i="20"/>
  <c r="AJ255" i="20"/>
  <c r="AE255" i="20"/>
  <c r="AA255" i="20"/>
  <c r="AL240" i="20"/>
  <c r="AE240" i="20"/>
  <c r="Y240" i="20"/>
  <c r="AB240" i="20"/>
  <c r="AC240" i="20"/>
  <c r="AJ240" i="20"/>
  <c r="AD240" i="20"/>
  <c r="AF240" i="20"/>
  <c r="Z240" i="20"/>
  <c r="AN240" i="20"/>
  <c r="AG240" i="20"/>
  <c r="AI240" i="20"/>
  <c r="AK240" i="20"/>
  <c r="AA240" i="20"/>
  <c r="AH240" i="20"/>
  <c r="AN229" i="20"/>
  <c r="AE229" i="20"/>
  <c r="AD229" i="20"/>
  <c r="AB229" i="20"/>
  <c r="AL229" i="20"/>
  <c r="Y229" i="20"/>
  <c r="Z229" i="20"/>
  <c r="AJ229" i="20"/>
  <c r="AG229" i="20"/>
  <c r="AK229" i="20"/>
  <c r="AH229" i="20"/>
  <c r="AC229" i="20"/>
  <c r="AA229" i="20"/>
  <c r="AF229" i="20"/>
  <c r="AN215" i="20"/>
  <c r="AK215" i="20"/>
  <c r="AI215" i="20"/>
  <c r="AG215" i="20"/>
  <c r="AD215" i="20"/>
  <c r="AE215" i="20"/>
  <c r="Y215" i="20"/>
  <c r="AA215" i="20"/>
  <c r="AL215" i="20"/>
  <c r="AJ215" i="20"/>
  <c r="AB215" i="20"/>
  <c r="AF215" i="20"/>
  <c r="Z215" i="20"/>
  <c r="AH215" i="20"/>
  <c r="AC215" i="20"/>
  <c r="AN199" i="20"/>
  <c r="AG199" i="20"/>
  <c r="Y199" i="20"/>
  <c r="Z199" i="20"/>
  <c r="AJ199" i="20"/>
  <c r="AC199" i="20"/>
  <c r="AI199" i="20"/>
  <c r="AA199" i="20"/>
  <c r="AH199" i="20"/>
  <c r="AK199" i="20"/>
  <c r="AF199" i="20"/>
  <c r="AB199" i="20"/>
  <c r="AD199" i="20"/>
  <c r="AL199" i="20"/>
  <c r="AE199" i="20"/>
  <c r="AF310" i="20"/>
  <c r="AK310" i="20"/>
  <c r="AC310" i="20"/>
  <c r="AI310" i="20"/>
  <c r="Y310" i="20"/>
  <c r="Z310" i="20"/>
  <c r="AG310" i="20"/>
  <c r="AH310" i="20"/>
  <c r="AN310" i="20"/>
  <c r="AE310" i="20"/>
  <c r="AA310" i="20"/>
  <c r="AJ310" i="20"/>
  <c r="AB310" i="20"/>
  <c r="AD310" i="20"/>
  <c r="AD192" i="20"/>
  <c r="AJ192" i="20"/>
  <c r="AH192" i="20"/>
  <c r="AE192" i="20"/>
  <c r="AK192" i="20"/>
  <c r="AF192" i="20"/>
  <c r="AN192" i="20"/>
  <c r="Z192" i="20"/>
  <c r="AI192" i="20"/>
  <c r="AL192" i="20"/>
  <c r="AG192" i="20"/>
  <c r="AA192" i="20"/>
  <c r="AC192" i="20"/>
  <c r="Y192" i="20"/>
  <c r="AB192" i="20"/>
  <c r="AN567" i="20"/>
  <c r="AL567" i="20"/>
  <c r="AF567" i="20"/>
  <c r="AG567" i="20"/>
  <c r="AJ567" i="20"/>
  <c r="AI567" i="20"/>
  <c r="AD567" i="20"/>
  <c r="AE567" i="20"/>
  <c r="AB567" i="20"/>
  <c r="Z567" i="20"/>
  <c r="AC567" i="20"/>
  <c r="AK567" i="20"/>
  <c r="AA567" i="20"/>
  <c r="AH567" i="20"/>
  <c r="AN166" i="20"/>
  <c r="AA166" i="20"/>
  <c r="AD166" i="20"/>
  <c r="AG166" i="20"/>
  <c r="AC166" i="20"/>
  <c r="AK166" i="20"/>
  <c r="AF166" i="20"/>
  <c r="AL166" i="20"/>
  <c r="AI166" i="20"/>
  <c r="AB166" i="20"/>
  <c r="Y166" i="20"/>
  <c r="AJ166" i="20"/>
  <c r="AE166" i="20"/>
  <c r="Z166" i="20"/>
  <c r="AK661" i="20"/>
  <c r="AC661" i="20"/>
  <c r="AL661" i="20"/>
  <c r="AE661" i="20"/>
  <c r="Z661" i="20"/>
  <c r="AH661" i="20"/>
  <c r="AN661" i="20"/>
  <c r="AD661" i="20"/>
  <c r="Y661" i="20"/>
  <c r="AG661" i="20"/>
  <c r="AJ661" i="20"/>
  <c r="AB661" i="20"/>
  <c r="AA661" i="20"/>
  <c r="AF661" i="20"/>
  <c r="AI661" i="20"/>
  <c r="AN142" i="20"/>
  <c r="AH142" i="20"/>
  <c r="AJ142" i="20"/>
  <c r="AA142" i="20"/>
  <c r="Y142" i="20"/>
  <c r="AI142" i="20"/>
  <c r="AE142" i="20"/>
  <c r="AF142" i="20"/>
  <c r="AD142" i="20"/>
  <c r="AC142" i="20"/>
  <c r="AK142" i="20"/>
  <c r="AB142" i="20"/>
  <c r="AB942" i="20"/>
  <c r="AI942" i="20"/>
  <c r="AC942" i="20"/>
  <c r="AK942" i="20"/>
  <c r="AD942" i="20"/>
  <c r="Z942" i="20"/>
  <c r="AJ942" i="20"/>
  <c r="AL942" i="20"/>
  <c r="AE942" i="20"/>
  <c r="AA942" i="20"/>
  <c r="AN942" i="20"/>
  <c r="AH942" i="20"/>
  <c r="AF942" i="20"/>
  <c r="AG942" i="20"/>
  <c r="AJ299" i="20"/>
  <c r="AD299" i="20"/>
  <c r="AI299" i="20"/>
  <c r="AB299" i="20"/>
  <c r="AN299" i="20"/>
  <c r="AE299" i="20"/>
  <c r="AA299" i="20"/>
  <c r="AK299" i="20"/>
  <c r="Y299" i="20"/>
  <c r="AC299" i="20"/>
  <c r="AF299" i="20"/>
  <c r="AG299" i="20"/>
  <c r="AL299" i="20"/>
  <c r="AA126" i="20"/>
  <c r="AE126" i="20"/>
  <c r="AI126" i="20"/>
  <c r="AD126" i="20"/>
  <c r="Y126" i="20"/>
  <c r="AB126" i="20"/>
  <c r="AE114" i="20"/>
  <c r="AD114" i="20"/>
  <c r="AL114" i="20"/>
  <c r="Z114" i="20"/>
  <c r="AG114" i="20"/>
  <c r="AH114" i="20"/>
  <c r="AC114" i="20"/>
  <c r="AB114" i="20"/>
  <c r="AN103" i="20"/>
  <c r="AG103" i="20"/>
  <c r="AL103" i="20"/>
  <c r="AA103" i="20"/>
  <c r="AK103" i="20"/>
  <c r="AE103" i="20"/>
  <c r="AE96" i="20"/>
  <c r="Z96" i="20"/>
  <c r="Y96" i="20"/>
  <c r="AD96" i="20"/>
  <c r="AH96" i="20"/>
  <c r="AJ96" i="20"/>
  <c r="AL96" i="20"/>
  <c r="AB81" i="20"/>
  <c r="AI81" i="20"/>
  <c r="AD81" i="20"/>
  <c r="Y81" i="20"/>
  <c r="AN81" i="20"/>
  <c r="AG81" i="20"/>
  <c r="AC69" i="20"/>
  <c r="AB69" i="20"/>
  <c r="AE69" i="20"/>
  <c r="AF69" i="20"/>
  <c r="AA69" i="20"/>
  <c r="AD69" i="20"/>
  <c r="AC60" i="20"/>
  <c r="AE60" i="20"/>
  <c r="AI60" i="20"/>
  <c r="Y60" i="20"/>
  <c r="AH60" i="20"/>
  <c r="AA60" i="20"/>
  <c r="AN60" i="20"/>
  <c r="AB60" i="20"/>
  <c r="Z60" i="20"/>
  <c r="AJ60" i="20"/>
  <c r="AG60" i="20"/>
  <c r="AI53" i="20"/>
  <c r="AK53" i="20"/>
  <c r="AD53" i="20"/>
  <c r="AN53" i="20"/>
  <c r="AE53" i="20"/>
  <c r="AN46" i="20"/>
  <c r="AA46" i="20"/>
  <c r="AG46" i="20"/>
  <c r="Z46" i="20"/>
  <c r="AE46" i="20"/>
  <c r="AB46" i="20"/>
  <c r="AC46" i="20"/>
  <c r="AL46" i="20"/>
  <c r="AH59" i="20"/>
  <c r="AN59" i="20"/>
  <c r="AE59" i="20"/>
  <c r="AI59" i="20"/>
  <c r="Y59" i="20"/>
  <c r="AF59" i="20"/>
  <c r="AA59" i="20"/>
  <c r="AR406" i="20"/>
  <c r="AR436" i="20"/>
  <c r="AJ1039" i="20"/>
  <c r="AI943" i="20"/>
  <c r="AI589" i="20"/>
  <c r="AI528" i="20"/>
  <c r="AJ557" i="20"/>
  <c r="AL466" i="20"/>
  <c r="AH1014" i="20"/>
  <c r="AH589" i="20"/>
  <c r="AH135" i="20"/>
  <c r="AL741" i="20"/>
  <c r="AL636" i="20"/>
  <c r="AH783" i="20"/>
  <c r="AH792" i="20"/>
  <c r="AH309" i="20"/>
  <c r="AH572" i="20"/>
  <c r="AH593" i="20"/>
  <c r="Y651" i="20"/>
  <c r="AB841" i="20"/>
  <c r="AK754" i="20"/>
  <c r="AK212" i="20"/>
  <c r="AF550" i="20"/>
  <c r="AG469" i="20"/>
  <c r="AG1055" i="20"/>
  <c r="AB837" i="20"/>
  <c r="AA557" i="20"/>
  <c r="AD530" i="20"/>
  <c r="AD1022" i="20"/>
  <c r="Z478" i="20"/>
  <c r="AE729" i="20"/>
  <c r="Z589" i="20"/>
  <c r="AD741" i="20"/>
  <c r="AE911" i="20"/>
  <c r="AF349" i="20"/>
  <c r="AR458" i="20"/>
  <c r="AR502" i="20"/>
  <c r="AR461" i="20"/>
  <c r="AR924" i="20"/>
  <c r="AR130" i="20"/>
  <c r="AI305" i="20"/>
  <c r="AI792" i="20"/>
  <c r="AI410" i="20"/>
  <c r="AI292" i="20"/>
  <c r="AL907" i="20"/>
  <c r="AL135" i="20"/>
  <c r="AL633" i="20"/>
  <c r="AL1055" i="20"/>
  <c r="AI413" i="20"/>
  <c r="AI288" i="20"/>
  <c r="AI651" i="20"/>
  <c r="AI309" i="20"/>
  <c r="AI762" i="20"/>
  <c r="AJ698" i="20"/>
  <c r="AL573" i="20"/>
  <c r="AL889" i="20"/>
  <c r="AL500" i="20"/>
  <c r="AI436" i="20"/>
  <c r="AJ895" i="20"/>
  <c r="AJ155" i="20"/>
  <c r="AL870" i="20"/>
  <c r="AL21" i="20"/>
  <c r="AJ812" i="20"/>
  <c r="AJ558" i="20"/>
  <c r="AJ279" i="20"/>
  <c r="AJ309" i="20"/>
  <c r="AJ736" i="20"/>
  <c r="AJ186" i="20"/>
  <c r="AL217" i="20"/>
  <c r="AL902" i="20"/>
  <c r="AL427" i="20"/>
  <c r="AH870" i="20"/>
  <c r="AH558" i="20"/>
  <c r="AL1058" i="20"/>
  <c r="AL650" i="20"/>
  <c r="AL78" i="20"/>
  <c r="AL1014" i="20"/>
  <c r="AH932" i="20"/>
  <c r="AH416" i="20"/>
  <c r="AH823" i="20"/>
  <c r="AH637" i="20"/>
  <c r="AH504" i="20"/>
  <c r="Y151" i="20"/>
  <c r="AH1055" i="20"/>
  <c r="AL151" i="20"/>
  <c r="AI151" i="20"/>
  <c r="AK538" i="20"/>
  <c r="AF694" i="20"/>
  <c r="AD304" i="20"/>
  <c r="Z812" i="20"/>
  <c r="AD466" i="20"/>
  <c r="AA911" i="20"/>
  <c r="AD619" i="20"/>
  <c r="AC619" i="20"/>
  <c r="AF1002" i="20"/>
  <c r="AA1042" i="20"/>
  <c r="AA821" i="20"/>
  <c r="AB1042" i="20"/>
  <c r="AK637" i="20"/>
  <c r="AK680" i="20"/>
  <c r="AD250" i="20"/>
  <c r="AC385" i="20"/>
  <c r="AF740" i="20"/>
  <c r="AA907" i="20"/>
  <c r="AD694" i="20"/>
  <c r="AA625" i="20"/>
  <c r="AC615" i="20"/>
  <c r="AC572" i="20"/>
  <c r="AC970" i="20"/>
  <c r="Z698" i="20"/>
  <c r="AK160" i="20"/>
  <c r="AK763" i="20"/>
  <c r="AA507" i="20"/>
  <c r="AB615" i="20"/>
  <c r="AF518" i="20"/>
  <c r="AE270" i="20"/>
  <c r="AD1059" i="20"/>
  <c r="AD459" i="20"/>
  <c r="AA367" i="20"/>
  <c r="AC741" i="20"/>
  <c r="Y429" i="20"/>
  <c r="Z89" i="20"/>
  <c r="AF266" i="20"/>
  <c r="AB763" i="20"/>
  <c r="AK1005" i="20"/>
  <c r="AC262" i="20"/>
  <c r="AC279" i="20"/>
  <c r="AG345" i="20"/>
  <c r="AI921" i="20"/>
  <c r="AI729" i="20"/>
  <c r="AJ1022" i="20"/>
  <c r="Z654" i="20"/>
  <c r="AD1042" i="20"/>
  <c r="AN459" i="20"/>
  <c r="AN562" i="20"/>
  <c r="Y1133" i="20"/>
  <c r="AC1170" i="20"/>
  <c r="AE1170" i="20"/>
  <c r="AI1170" i="20"/>
  <c r="Z1170" i="20"/>
  <c r="AG1170" i="20"/>
  <c r="AA1190" i="20"/>
  <c r="Y1190" i="20"/>
  <c r="AG1190" i="20"/>
  <c r="AC1190" i="20"/>
  <c r="AB1254" i="20"/>
  <c r="Z1254" i="20"/>
  <c r="AD1254" i="20"/>
  <c r="AK1254" i="20"/>
  <c r="AG1254" i="20"/>
  <c r="Z1274" i="20"/>
  <c r="AC1274" i="20"/>
  <c r="AA1274" i="20"/>
  <c r="AF1274" i="20"/>
  <c r="AL1318" i="20"/>
  <c r="Z1318" i="20"/>
  <c r="AN1318" i="20"/>
  <c r="AB1330" i="20"/>
  <c r="AE1330" i="20"/>
  <c r="AN1330" i="20"/>
  <c r="AF1330" i="20"/>
  <c r="AA14" i="20"/>
  <c r="AH14" i="20"/>
  <c r="AE14" i="20"/>
  <c r="AG14" i="20"/>
  <c r="AF14" i="20"/>
  <c r="AD14" i="20"/>
  <c r="AJ14" i="20"/>
  <c r="AC14" i="20"/>
  <c r="AL14" i="20"/>
  <c r="AK14" i="20"/>
  <c r="AB14" i="20"/>
  <c r="Y14" i="20"/>
  <c r="AN7" i="20"/>
  <c r="AC7" i="20"/>
  <c r="AI7" i="20"/>
  <c r="AD7" i="20"/>
  <c r="Y7" i="20"/>
  <c r="AD8" i="20"/>
  <c r="AL8" i="20"/>
  <c r="AE8" i="20"/>
  <c r="AF8" i="20"/>
  <c r="AN8" i="20"/>
  <c r="Y8" i="20"/>
  <c r="AG8" i="20"/>
  <c r="AH8" i="20"/>
  <c r="AK8" i="20"/>
  <c r="AJ8" i="20"/>
  <c r="AA8" i="20"/>
  <c r="AB366" i="20"/>
  <c r="Z366" i="20"/>
  <c r="Y366" i="20"/>
  <c r="AA366" i="20"/>
  <c r="AD366" i="20"/>
  <c r="AG366" i="20"/>
  <c r="AH366" i="20"/>
  <c r="AK366" i="20"/>
  <c r="AF366" i="20"/>
  <c r="AN366" i="20"/>
  <c r="AI366" i="20"/>
  <c r="AL366" i="20"/>
  <c r="AB40" i="20"/>
  <c r="Y40" i="20"/>
  <c r="Z40" i="20"/>
  <c r="AA40" i="20"/>
  <c r="AF40" i="20"/>
  <c r="AG40" i="20"/>
  <c r="AL40" i="20"/>
  <c r="AJ40" i="20"/>
  <c r="AK40" i="20"/>
  <c r="AE40" i="20"/>
  <c r="AD40" i="20"/>
  <c r="AH40" i="20"/>
  <c r="AD342" i="20"/>
  <c r="AL342" i="20"/>
  <c r="Y342" i="20"/>
  <c r="AG342" i="20"/>
  <c r="AF342" i="20"/>
  <c r="AE342" i="20"/>
  <c r="AH342" i="20"/>
  <c r="AI342" i="20"/>
  <c r="Z342" i="20"/>
  <c r="AK342" i="20"/>
  <c r="AB342" i="20"/>
  <c r="AA24" i="20"/>
  <c r="AC24" i="20"/>
  <c r="AA1160" i="20"/>
  <c r="AJ1160" i="20"/>
  <c r="Z1174" i="20"/>
  <c r="AL1174" i="20"/>
  <c r="AA1174" i="20"/>
  <c r="AI1174" i="20"/>
  <c r="Y1182" i="20"/>
  <c r="AB1182" i="20"/>
  <c r="AI1182" i="20"/>
  <c r="AB1194" i="20"/>
  <c r="Y1194" i="20"/>
  <c r="AF1194" i="20"/>
  <c r="AB1206" i="20"/>
  <c r="AF1206" i="20"/>
  <c r="AD1214" i="20"/>
  <c r="AJ1214" i="20"/>
  <c r="AG1214" i="20"/>
  <c r="AF1214" i="20"/>
  <c r="AA1214" i="20"/>
  <c r="AL1214" i="20"/>
  <c r="AD1222" i="20"/>
  <c r="AE1222" i="20"/>
  <c r="AF1222" i="20"/>
  <c r="Y1222" i="20"/>
  <c r="AC1230" i="20"/>
  <c r="AD1230" i="20"/>
  <c r="Z1230" i="20"/>
  <c r="AH1230" i="20"/>
  <c r="AL1238" i="20"/>
  <c r="AG1238" i="20"/>
  <c r="AF1246" i="20"/>
  <c r="AD1246" i="20"/>
  <c r="AA1246" i="20"/>
  <c r="AD1258" i="20"/>
  <c r="AE1258" i="20"/>
  <c r="Y1258" i="20"/>
  <c r="AB1258" i="20"/>
  <c r="AG1266" i="20"/>
  <c r="AD1266" i="20"/>
  <c r="Z1266" i="20"/>
  <c r="AG1278" i="20"/>
  <c r="AF1278" i="20"/>
  <c r="AN1278" i="20"/>
  <c r="AG1282" i="20"/>
  <c r="Y1282" i="20"/>
  <c r="AJ1286" i="20"/>
  <c r="AA1286" i="20"/>
  <c r="AD1290" i="20"/>
  <c r="Z1290" i="20"/>
  <c r="AF1294" i="20"/>
  <c r="AI1294" i="20"/>
  <c r="AA1298" i="20"/>
  <c r="AF1298" i="20"/>
  <c r="AG1298" i="20"/>
  <c r="AI1298" i="20"/>
  <c r="AN1298" i="20"/>
  <c r="AH1298" i="20"/>
  <c r="AH1302" i="20"/>
  <c r="AK1302" i="20"/>
  <c r="AA1302" i="20"/>
  <c r="AG1302" i="20"/>
  <c r="AC1302" i="20"/>
  <c r="AF1310" i="20"/>
  <c r="AG1310" i="20"/>
  <c r="AD1310" i="20"/>
  <c r="Z1310" i="20"/>
  <c r="AF1326" i="20"/>
  <c r="AN1326" i="20"/>
  <c r="AI1326" i="20"/>
  <c r="AB1326" i="20"/>
  <c r="AA1326" i="20"/>
  <c r="AL1334" i="20"/>
  <c r="Z1334" i="20"/>
  <c r="AF248" i="20"/>
  <c r="AN248" i="20"/>
  <c r="AE248" i="20"/>
  <c r="AD248" i="20"/>
  <c r="Y248" i="20"/>
  <c r="AI248" i="20"/>
  <c r="AH248" i="20"/>
  <c r="AK248" i="20"/>
  <c r="AA248" i="20"/>
  <c r="AB248" i="20"/>
  <c r="AG248" i="20"/>
  <c r="AJ248" i="20"/>
  <c r="AF584" i="20"/>
  <c r="AN584" i="20"/>
  <c r="AG584" i="20"/>
  <c r="AH584" i="20"/>
  <c r="AI584" i="20"/>
  <c r="AC584" i="20"/>
  <c r="Z584" i="20"/>
  <c r="AJ584" i="20"/>
  <c r="AE584" i="20"/>
  <c r="AA584" i="20"/>
  <c r="AK584" i="20"/>
  <c r="AB584" i="20"/>
  <c r="AJ657" i="20"/>
  <c r="AG657" i="20"/>
  <c r="AH657" i="20"/>
  <c r="AI657" i="20"/>
  <c r="AN657" i="20"/>
  <c r="Z657" i="20"/>
  <c r="AE657" i="20"/>
  <c r="AD657" i="20"/>
  <c r="Y657" i="20"/>
  <c r="AF657" i="20"/>
  <c r="AA657" i="20"/>
  <c r="AC657" i="20"/>
  <c r="AF948" i="20"/>
  <c r="AC948" i="20"/>
  <c r="AD948" i="20"/>
  <c r="AE948" i="20"/>
  <c r="AJ948" i="20"/>
  <c r="AK948" i="20"/>
  <c r="AA948" i="20"/>
  <c r="AN948" i="20"/>
  <c r="Z948" i="20"/>
  <c r="AI948" i="20"/>
  <c r="Y948" i="20"/>
  <c r="AG948" i="20"/>
  <c r="AI351" i="20"/>
  <c r="Z351" i="20"/>
  <c r="AL351" i="20"/>
  <c r="AC351" i="20"/>
  <c r="AN351" i="20"/>
  <c r="AE351" i="20"/>
  <c r="AB351" i="20"/>
  <c r="AD351" i="20"/>
  <c r="AA351" i="20"/>
  <c r="AJ351" i="20"/>
  <c r="AF724" i="20"/>
  <c r="AC724" i="20"/>
  <c r="AD724" i="20"/>
  <c r="AE724" i="20"/>
  <c r="AJ724" i="20"/>
  <c r="AK724" i="20"/>
  <c r="AA724" i="20"/>
  <c r="AN724" i="20"/>
  <c r="Z724" i="20"/>
  <c r="AI724" i="20"/>
  <c r="AH724" i="20"/>
  <c r="AB724" i="20"/>
  <c r="AL724" i="20"/>
  <c r="AF356" i="20"/>
  <c r="AN356" i="20"/>
  <c r="AE356" i="20"/>
  <c r="Z356" i="20"/>
  <c r="AJ356" i="20"/>
  <c r="AC356" i="20"/>
  <c r="AB356" i="20"/>
  <c r="AL356" i="20"/>
  <c r="AG356" i="20"/>
  <c r="AD356" i="20"/>
  <c r="AI356" i="20"/>
  <c r="AH356" i="20"/>
  <c r="AK356" i="20"/>
  <c r="AF709" i="20"/>
  <c r="AC709" i="20"/>
  <c r="AD709" i="20"/>
  <c r="AE709" i="20"/>
  <c r="AN709" i="20"/>
  <c r="Z709" i="20"/>
  <c r="AI709" i="20"/>
  <c r="Y709" i="20"/>
  <c r="AH709" i="20"/>
  <c r="AJ709" i="20"/>
  <c r="AA709" i="20"/>
  <c r="AG709" i="20"/>
  <c r="AL359" i="20"/>
  <c r="AA359" i="20"/>
  <c r="AH359" i="20"/>
  <c r="Y359" i="20"/>
  <c r="AK359" i="20"/>
  <c r="AK704" i="20"/>
  <c r="Z704" i="20"/>
  <c r="AD704" i="20"/>
  <c r="AE704" i="20"/>
  <c r="Y772" i="20"/>
  <c r="AD772" i="20"/>
  <c r="AG772" i="20"/>
  <c r="AL772" i="20"/>
  <c r="AE855" i="20"/>
  <c r="AF855" i="20"/>
  <c r="AF962" i="20"/>
  <c r="AI962" i="20"/>
  <c r="AN1302" i="20"/>
  <c r="AA1330" i="20"/>
  <c r="AF1306" i="20"/>
  <c r="AE1282" i="20"/>
  <c r="AH1246" i="20"/>
  <c r="AE1314" i="20"/>
  <c r="AI14" i="20"/>
  <c r="AI8" i="20"/>
  <c r="AC248" i="20"/>
  <c r="AK657" i="20"/>
  <c r="AB948" i="20"/>
  <c r="AF351" i="20"/>
  <c r="AK709" i="20"/>
  <c r="AD775" i="20"/>
  <c r="AL775" i="20"/>
  <c r="AC775" i="20"/>
  <c r="AK775" i="20"/>
  <c r="AF775" i="20"/>
  <c r="Y775" i="20"/>
  <c r="AI775" i="20"/>
  <c r="AH775" i="20"/>
  <c r="AA775" i="20"/>
  <c r="AN775" i="20"/>
  <c r="Z775" i="20"/>
  <c r="AE775" i="20"/>
  <c r="AF766" i="20"/>
  <c r="AC766" i="20"/>
  <c r="AD766" i="20"/>
  <c r="AE766" i="20"/>
  <c r="AN766" i="20"/>
  <c r="Z766" i="20"/>
  <c r="AI766" i="20"/>
  <c r="AH766" i="20"/>
  <c r="Y766" i="20"/>
  <c r="AB766" i="20"/>
  <c r="AL766" i="20"/>
  <c r="AJ766" i="20"/>
  <c r="AA766" i="20"/>
  <c r="Z856" i="20"/>
  <c r="AD856" i="20"/>
  <c r="AH856" i="20"/>
  <c r="AL856" i="20"/>
  <c r="AB856" i="20"/>
  <c r="AG856" i="20"/>
  <c r="AN856" i="20"/>
  <c r="AC856" i="20"/>
  <c r="AI856" i="20"/>
  <c r="AF856" i="20"/>
  <c r="AK856" i="20"/>
  <c r="Y856" i="20"/>
  <c r="AJ856" i="20"/>
  <c r="AA856" i="20"/>
  <c r="AJ32" i="20"/>
  <c r="AH32" i="20"/>
  <c r="AL32" i="20"/>
  <c r="AI851" i="20"/>
  <c r="AD851" i="20"/>
  <c r="AN851" i="20"/>
  <c r="AB1166" i="20"/>
  <c r="AK1166" i="20"/>
  <c r="AI1166" i="20"/>
  <c r="AJ1166" i="20"/>
  <c r="Z1166" i="20"/>
  <c r="AA1166" i="20"/>
  <c r="AC1178" i="20"/>
  <c r="AJ1178" i="20"/>
  <c r="AN1186" i="20"/>
  <c r="AK1186" i="20"/>
  <c r="AJ1186" i="20"/>
  <c r="AB1186" i="20"/>
  <c r="AI1186" i="20"/>
  <c r="AH1186" i="20"/>
  <c r="AC1186" i="20"/>
  <c r="AA1198" i="20"/>
  <c r="AD1198" i="20"/>
  <c r="AF1198" i="20"/>
  <c r="AB1198" i="20"/>
  <c r="AK1198" i="20"/>
  <c r="Y1198" i="20"/>
  <c r="AK1202" i="20"/>
  <c r="AG1202" i="20"/>
  <c r="AN1210" i="20"/>
  <c r="Z1210" i="20"/>
  <c r="AD1210" i="20"/>
  <c r="AI1218" i="20"/>
  <c r="AK1218" i="20"/>
  <c r="AA1218" i="20"/>
  <c r="AI1226" i="20"/>
  <c r="AH1226" i="20"/>
  <c r="AL1234" i="20"/>
  <c r="AG1234" i="20"/>
  <c r="AB1234" i="20"/>
  <c r="AK1234" i="20"/>
  <c r="AH1234" i="20"/>
  <c r="AG1250" i="20"/>
  <c r="AC1250" i="20"/>
  <c r="AD1250" i="20"/>
  <c r="Z1250" i="20"/>
  <c r="AJ1262" i="20"/>
  <c r="AA1262" i="20"/>
  <c r="AE1262" i="20"/>
  <c r="AG1270" i="20"/>
  <c r="Y1270" i="20"/>
  <c r="AL1270" i="20"/>
  <c r="AI1270" i="20"/>
  <c r="AE1270" i="20"/>
  <c r="AJ1322" i="20"/>
  <c r="AN1322" i="20"/>
  <c r="AA1322" i="20"/>
  <c r="AL1338" i="20"/>
  <c r="AE1338" i="20"/>
  <c r="AI1338" i="20"/>
  <c r="Y43" i="20"/>
  <c r="Z43" i="20"/>
  <c r="AH43" i="20"/>
  <c r="AK43" i="20"/>
  <c r="AJ43" i="20"/>
  <c r="AA43" i="20"/>
  <c r="AB43" i="20"/>
  <c r="AL43" i="20"/>
  <c r="AG43" i="20"/>
  <c r="AE43" i="20"/>
  <c r="AN43" i="20"/>
  <c r="AI43" i="20"/>
  <c r="AC43" i="20"/>
  <c r="AF188" i="20"/>
  <c r="AC188" i="20"/>
  <c r="AD188" i="20"/>
  <c r="AE188" i="20"/>
  <c r="Y188" i="20"/>
  <c r="AH188" i="20"/>
  <c r="AB188" i="20"/>
  <c r="AG188" i="20"/>
  <c r="AL188" i="20"/>
  <c r="AJ188" i="20"/>
  <c r="AA188" i="20"/>
  <c r="AN188" i="20"/>
  <c r="AI188" i="20"/>
  <c r="AD917" i="20"/>
  <c r="AL917" i="20"/>
  <c r="AA917" i="20"/>
  <c r="AI917" i="20"/>
  <c r="AF917" i="20"/>
  <c r="AG917" i="20"/>
  <c r="AH917" i="20"/>
  <c r="Y917" i="20"/>
  <c r="AK917" i="20"/>
  <c r="Z917" i="20"/>
  <c r="AB917" i="20"/>
  <c r="AC917" i="20"/>
  <c r="AB375" i="20"/>
  <c r="AJ375" i="20"/>
  <c r="AA375" i="20"/>
  <c r="AI375" i="20"/>
  <c r="AD375" i="20"/>
  <c r="AN375" i="20"/>
  <c r="AG375" i="20"/>
  <c r="AF375" i="20"/>
  <c r="AK375" i="20"/>
  <c r="Y375" i="20"/>
  <c r="AH375" i="20"/>
  <c r="AL375" i="20"/>
  <c r="AF859" i="20"/>
  <c r="AC859" i="20"/>
  <c r="AD859" i="20"/>
  <c r="AE859" i="20"/>
  <c r="AJ859" i="20"/>
  <c r="AK859" i="20"/>
  <c r="AA859" i="20"/>
  <c r="Z859" i="20"/>
  <c r="AN859" i="20"/>
  <c r="AI859" i="20"/>
  <c r="AB859" i="20"/>
  <c r="AL859" i="20"/>
  <c r="Y859" i="20"/>
  <c r="AB964" i="20"/>
  <c r="AJ964" i="20"/>
  <c r="Y964" i="20"/>
  <c r="AG964" i="20"/>
  <c r="AD964" i="20"/>
  <c r="AN964" i="20"/>
  <c r="AE964" i="20"/>
  <c r="AI964" i="20"/>
  <c r="AF964" i="20"/>
  <c r="Z964" i="20"/>
  <c r="AA964" i="20"/>
  <c r="AL340" i="20"/>
  <c r="Z340" i="20"/>
  <c r="AH340" i="20"/>
  <c r="AE340" i="20"/>
  <c r="AN340" i="20"/>
  <c r="AK381" i="20"/>
  <c r="AJ381" i="20"/>
  <c r="AC381" i="20"/>
  <c r="AC1198" i="20"/>
  <c r="Z1190" i="20"/>
  <c r="AK24" i="20"/>
  <c r="AG1174" i="20"/>
  <c r="AN1270" i="20"/>
  <c r="AI1318" i="20"/>
  <c r="AE1298" i="20"/>
  <c r="AC1166" i="20"/>
  <c r="AI1238" i="20"/>
  <c r="AE1206" i="20"/>
  <c r="AJ1326" i="20"/>
  <c r="AN1274" i="20"/>
  <c r="AC1214" i="20"/>
  <c r="Y1234" i="20"/>
  <c r="AB1202" i="20"/>
  <c r="AL1246" i="20"/>
  <c r="Z1222" i="20"/>
  <c r="Z1156" i="20"/>
  <c r="AH1294" i="20"/>
  <c r="AH1254" i="20"/>
  <c r="AG1274" i="20"/>
  <c r="AG7" i="20"/>
  <c r="AH7" i="20"/>
  <c r="AF7" i="20"/>
  <c r="Z7" i="20"/>
  <c r="AC8" i="20"/>
  <c r="AB8" i="20"/>
  <c r="AL248" i="20"/>
  <c r="AE366" i="20"/>
  <c r="AL584" i="20"/>
  <c r="AB657" i="20"/>
  <c r="AJ917" i="20"/>
  <c r="AI40" i="20"/>
  <c r="AC342" i="20"/>
  <c r="AN342" i="20"/>
  <c r="Z375" i="20"/>
  <c r="AG351" i="20"/>
  <c r="Y351" i="20"/>
  <c r="AH351" i="20"/>
  <c r="AG724" i="20"/>
  <c r="AG775" i="20"/>
  <c r="AG859" i="20"/>
  <c r="AL964" i="20"/>
  <c r="AB709" i="20"/>
  <c r="AB1246" i="20"/>
  <c r="AK1246" i="20"/>
  <c r="AN1214" i="20"/>
  <c r="AE1246" i="20"/>
  <c r="AG1166" i="20"/>
  <c r="AH1286" i="20"/>
  <c r="Y1294" i="20"/>
  <c r="AI1214" i="20"/>
  <c r="Z1270" i="20"/>
  <c r="AE1234" i="20"/>
  <c r="Z1326" i="20"/>
  <c r="AI1278" i="20"/>
  <c r="AA1334" i="20"/>
  <c r="AB1274" i="20"/>
  <c r="Y1290" i="20"/>
  <c r="AB1318" i="20"/>
  <c r="AI1290" i="20"/>
  <c r="AE1182" i="20"/>
  <c r="AK1190" i="20"/>
  <c r="AK1334" i="20"/>
  <c r="AL1170" i="20"/>
  <c r="AK7" i="20"/>
  <c r="AA7" i="20"/>
  <c r="AL7" i="20"/>
  <c r="AB7" i="20"/>
  <c r="AJ7" i="20"/>
  <c r="AE7" i="20"/>
  <c r="Z8" i="20"/>
  <c r="Z248" i="20"/>
  <c r="AC366" i="20"/>
  <c r="Y584" i="20"/>
  <c r="AD584" i="20"/>
  <c r="AE917" i="20"/>
  <c r="AL948" i="20"/>
  <c r="AC40" i="20"/>
  <c r="AA342" i="20"/>
  <c r="AJ342" i="20"/>
  <c r="AK351" i="20"/>
  <c r="Y724" i="20"/>
  <c r="AJ775" i="20"/>
  <c r="AK964" i="20"/>
  <c r="AH964" i="20"/>
  <c r="AA356" i="20"/>
  <c r="AE856" i="20"/>
  <c r="AR1316" i="20"/>
  <c r="AD24" i="20"/>
  <c r="AH24" i="20"/>
  <c r="Z24" i="20"/>
  <c r="AB24" i="20"/>
  <c r="AF24" i="20"/>
  <c r="AF1160" i="20"/>
  <c r="AG1160" i="20"/>
  <c r="AE1160" i="20"/>
  <c r="AH1160" i="20"/>
  <c r="AC1156" i="20"/>
  <c r="AF1156" i="20"/>
  <c r="AJ1156" i="20"/>
  <c r="AE1156" i="20"/>
  <c r="AI1156" i="20"/>
  <c r="AG1156" i="20"/>
  <c r="AD1156" i="20"/>
  <c r="AB1152" i="20"/>
  <c r="AH1152" i="20"/>
  <c r="Z1152" i="20"/>
  <c r="AK1152" i="20"/>
  <c r="AL1152" i="20"/>
  <c r="AD1152" i="20"/>
  <c r="AC1152" i="20"/>
  <c r="AA1152" i="20"/>
  <c r="AI1152" i="20"/>
  <c r="AA1148" i="20"/>
  <c r="AB1148" i="20"/>
  <c r="AN1148" i="20"/>
  <c r="AI1148" i="20"/>
  <c r="Y1148" i="20"/>
  <c r="AD1148" i="20"/>
  <c r="AC1148" i="20"/>
  <c r="AH1148" i="20"/>
  <c r="AF1166" i="20"/>
  <c r="AN1166" i="20"/>
  <c r="AL1166" i="20"/>
  <c r="AK1170" i="20"/>
  <c r="AA1170" i="20"/>
  <c r="AF1170" i="20"/>
  <c r="AJ1170" i="20"/>
  <c r="AD1170" i="20"/>
  <c r="AH1170" i="20"/>
  <c r="AH1174" i="20"/>
  <c r="AF1174" i="20"/>
  <c r="AD1174" i="20"/>
  <c r="AJ1174" i="20"/>
  <c r="AE1178" i="20"/>
  <c r="AI1178" i="20"/>
  <c r="AD1178" i="20"/>
  <c r="AF1178" i="20"/>
  <c r="AL1178" i="20"/>
  <c r="AA1178" i="20"/>
  <c r="AH1182" i="20"/>
  <c r="AC1182" i="20"/>
  <c r="AG1186" i="20"/>
  <c r="AD1186" i="20"/>
  <c r="AF1186" i="20"/>
  <c r="AF1190" i="20"/>
  <c r="AE1190" i="20"/>
  <c r="AK1194" i="20"/>
  <c r="AJ1194" i="20"/>
  <c r="AD1194" i="20"/>
  <c r="AC1194" i="20"/>
  <c r="AH1198" i="20"/>
  <c r="AI1198" i="20"/>
  <c r="Z1198" i="20"/>
  <c r="AE1198" i="20"/>
  <c r="AJ1202" i="20"/>
  <c r="AF1202" i="20"/>
  <c r="AH1202" i="20"/>
  <c r="AL1202" i="20"/>
  <c r="Y1202" i="20"/>
  <c r="AC1202" i="20"/>
  <c r="AI1206" i="20"/>
  <c r="AG1206" i="20"/>
  <c r="AJ1206" i="20"/>
  <c r="AC1206" i="20"/>
  <c r="AN1206" i="20"/>
  <c r="AL1206" i="20"/>
  <c r="Y1210" i="20"/>
  <c r="AG1210" i="20"/>
  <c r="AJ1210" i="20"/>
  <c r="AA1210" i="20"/>
  <c r="AE1210" i="20"/>
  <c r="AL1218" i="20"/>
  <c r="AC1218" i="20"/>
  <c r="AG1218" i="20"/>
  <c r="AF1226" i="20"/>
  <c r="AB1226" i="20"/>
  <c r="AL1226" i="20"/>
  <c r="AN1226" i="20"/>
  <c r="Z1226" i="20"/>
  <c r="AD1226" i="20"/>
  <c r="AE1230" i="20"/>
  <c r="AJ1230" i="20"/>
  <c r="AI1230" i="20"/>
  <c r="AB1230" i="20"/>
  <c r="AJ1234" i="20"/>
  <c r="AI1234" i="20"/>
  <c r="Z1234" i="20"/>
  <c r="AN1234" i="20"/>
  <c r="AA1234" i="20"/>
  <c r="AD1234" i="20"/>
  <c r="AC1238" i="20"/>
  <c r="AF1238" i="20"/>
  <c r="AK1238" i="20"/>
  <c r="AL1242" i="20"/>
  <c r="AN1242" i="20"/>
  <c r="AH1242" i="20"/>
  <c r="Y1242" i="20"/>
  <c r="Z1242" i="20"/>
  <c r="AE1242" i="20"/>
  <c r="AI1246" i="20"/>
  <c r="AJ1246" i="20"/>
  <c r="AK1250" i="20"/>
  <c r="AL1250" i="20"/>
  <c r="AB1250" i="20"/>
  <c r="AE1250" i="20"/>
  <c r="AH1250" i="20"/>
  <c r="AA1254" i="20"/>
  <c r="AJ1254" i="20"/>
  <c r="AF1254" i="20"/>
  <c r="AE1254" i="20"/>
  <c r="AC1254" i="20"/>
  <c r="AN1254" i="20"/>
  <c r="AK1258" i="20"/>
  <c r="AG1258" i="20"/>
  <c r="AN1258" i="20"/>
  <c r="AJ1258" i="20"/>
  <c r="AL1262" i="20"/>
  <c r="AG1262" i="20"/>
  <c r="Y1266" i="20"/>
  <c r="AB1266" i="20"/>
  <c r="AI1266" i="20"/>
  <c r="AL1274" i="20"/>
  <c r="AK1274" i="20"/>
  <c r="AI1274" i="20"/>
  <c r="AE1274" i="20"/>
  <c r="AK1278" i="20"/>
  <c r="AH1278" i="20"/>
  <c r="AA1278" i="20"/>
  <c r="AK1282" i="20"/>
  <c r="AC1282" i="20"/>
  <c r="AH1282" i="20"/>
  <c r="AF1282" i="20"/>
  <c r="AA1282" i="20"/>
  <c r="AB1286" i="20"/>
  <c r="AD1286" i="20"/>
  <c r="AG1290" i="20"/>
  <c r="AJ1290" i="20"/>
  <c r="AL1290" i="20"/>
  <c r="AK1290" i="20"/>
  <c r="AL1294" i="20"/>
  <c r="AG1294" i="20"/>
  <c r="AK1294" i="20"/>
  <c r="AD1294" i="20"/>
  <c r="AN1294" i="20"/>
  <c r="AJ1294" i="20"/>
  <c r="AD1298" i="20"/>
  <c r="AL1298" i="20"/>
  <c r="Z1298" i="20"/>
  <c r="Z1302" i="20"/>
  <c r="AE1302" i="20"/>
  <c r="AL1306" i="20"/>
  <c r="AA1306" i="20"/>
  <c r="AC1306" i="20"/>
  <c r="AI1306" i="20"/>
  <c r="Y1306" i="20"/>
  <c r="Z1306" i="20"/>
  <c r="AA1314" i="20"/>
  <c r="AK1314" i="20"/>
  <c r="AN1314" i="20"/>
  <c r="Z1314" i="20"/>
  <c r="AC1314" i="20"/>
  <c r="AG1314" i="20"/>
  <c r="AH1318" i="20"/>
  <c r="AK1318" i="20"/>
  <c r="AJ1318" i="20"/>
  <c r="AC1318" i="20"/>
  <c r="AD1322" i="20"/>
  <c r="AK1322" i="20"/>
  <c r="AE1322" i="20"/>
  <c r="AC1326" i="20"/>
  <c r="AL1326" i="20"/>
  <c r="AK1326" i="20"/>
  <c r="AG1330" i="20"/>
  <c r="AH1330" i="20"/>
  <c r="AL1330" i="20"/>
  <c r="AI1330" i="20"/>
  <c r="AD1330" i="20"/>
  <c r="AN1334" i="20"/>
  <c r="AD1334" i="20"/>
  <c r="AI1334" i="20"/>
  <c r="AH1338" i="20"/>
  <c r="AK1338" i="20"/>
  <c r="AC1338" i="20"/>
  <c r="Y1230" i="20"/>
  <c r="AE1186" i="20"/>
  <c r="AN1190" i="20"/>
  <c r="AA1294" i="20"/>
  <c r="AD1270" i="20"/>
  <c r="AK1206" i="20"/>
  <c r="AB1270" i="20"/>
  <c r="AF1258" i="20"/>
  <c r="AA1182" i="20"/>
  <c r="AE1218" i="20"/>
  <c r="Y1170" i="20"/>
  <c r="AJ1310" i="20"/>
  <c r="AK1222" i="20"/>
  <c r="AG1226" i="20"/>
  <c r="AL1148" i="20"/>
  <c r="AB1282" i="20"/>
  <c r="AJ1278" i="20"/>
  <c r="AH1270" i="20"/>
  <c r="AC1294" i="20"/>
  <c r="Z1214" i="20"/>
  <c r="Y1186" i="20"/>
  <c r="AK1230" i="20"/>
  <c r="AC1222" i="20"/>
  <c r="AF1322" i="20"/>
  <c r="AH1334" i="20"/>
  <c r="AF1250" i="20"/>
  <c r="AB1278" i="20"/>
  <c r="Z1262" i="20"/>
  <c r="AF1234" i="20"/>
  <c r="Y1314" i="20"/>
  <c r="AN1310" i="20"/>
  <c r="AH1214" i="20"/>
  <c r="AB1334" i="20"/>
  <c r="AF1290" i="20"/>
  <c r="AF1302" i="20"/>
  <c r="AN1250" i="20"/>
  <c r="AE1334" i="20"/>
  <c r="Z1294" i="20"/>
  <c r="Y1214" i="20"/>
  <c r="AE1318" i="20"/>
  <c r="Z1330" i="20"/>
  <c r="Y1322" i="20"/>
  <c r="AI1302" i="20"/>
  <c r="AJ1238" i="20"/>
  <c r="AJ1182" i="20"/>
  <c r="AE1266" i="20"/>
  <c r="AC1310" i="20"/>
  <c r="AI1282" i="20"/>
  <c r="Y1178" i="20"/>
  <c r="AG1230" i="20"/>
  <c r="AC1330" i="20"/>
  <c r="AB1294" i="20"/>
  <c r="AA1310" i="20"/>
  <c r="Y1326" i="20"/>
  <c r="AE1310" i="20"/>
  <c r="AA1266" i="20"/>
  <c r="Z1322" i="20"/>
  <c r="AI1310" i="20"/>
  <c r="AN1262" i="20"/>
  <c r="AL1190" i="20"/>
  <c r="AE1238" i="20"/>
  <c r="AB1302" i="20"/>
  <c r="AA1206" i="20"/>
  <c r="Y1302" i="20"/>
  <c r="AE1306" i="20"/>
  <c r="AH1222" i="20"/>
  <c r="AD1202" i="20"/>
  <c r="AA1250" i="20"/>
  <c r="Y1218" i="20"/>
  <c r="AG1338" i="20"/>
  <c r="AK1310" i="20"/>
  <c r="AJ1270" i="20"/>
  <c r="AN1230" i="20"/>
  <c r="AJ1190" i="20"/>
  <c r="AH1218" i="20"/>
  <c r="AE1202" i="20"/>
  <c r="AF1230" i="20"/>
  <c r="AI1322" i="20"/>
  <c r="AL1266" i="20"/>
  <c r="AF1334" i="20"/>
  <c r="AC1278" i="20"/>
  <c r="Z1282" i="20"/>
  <c r="AD1326" i="20"/>
  <c r="AK1330" i="20"/>
  <c r="AL1278" i="20"/>
  <c r="AI1222" i="20"/>
  <c r="AL1182" i="20"/>
  <c r="AA1338" i="20"/>
  <c r="AN1282" i="20"/>
  <c r="AG1182" i="20"/>
  <c r="Z1194" i="20"/>
  <c r="AK1306" i="20"/>
  <c r="AC1258" i="20"/>
  <c r="AL1186" i="20"/>
  <c r="AC1226" i="20"/>
  <c r="AL1322" i="20"/>
  <c r="AD1274" i="20"/>
  <c r="AL1210" i="20"/>
  <c r="AI1202" i="20"/>
  <c r="AN24" i="20"/>
  <c r="AG1198" i="20"/>
  <c r="AN1218" i="20"/>
  <c r="AC1262" i="20"/>
  <c r="AJ1148" i="20"/>
  <c r="AD1318" i="20"/>
  <c r="AH1266" i="20"/>
  <c r="AJ1338" i="20"/>
  <c r="Z1206" i="20"/>
  <c r="AG1318" i="20"/>
  <c r="AD1218" i="20"/>
  <c r="AG1222" i="20"/>
  <c r="AN1338" i="20"/>
  <c r="AA1270" i="20"/>
  <c r="AD1190" i="20"/>
  <c r="Z1182" i="20"/>
  <c r="AC1234" i="20"/>
  <c r="AB1322" i="20"/>
  <c r="AI1286" i="20"/>
  <c r="AJ1198" i="20"/>
  <c r="AB1238" i="20"/>
  <c r="Y1254" i="20"/>
  <c r="Y1298" i="20"/>
  <c r="AI1254" i="20"/>
  <c r="AB1310" i="20"/>
  <c r="Y1310" i="20"/>
  <c r="Z1178" i="20"/>
  <c r="AN1182" i="20"/>
  <c r="AH1206" i="20"/>
  <c r="AD1182" i="20"/>
  <c r="AB1214" i="20"/>
  <c r="Y1262" i="20"/>
  <c r="AD1238" i="20"/>
  <c r="AB1178" i="20"/>
  <c r="AL1286" i="20"/>
  <c r="AN1198" i="20"/>
  <c r="AF1218" i="20"/>
  <c r="AB1222" i="20"/>
  <c r="Y1238" i="20"/>
  <c r="AI1194" i="20"/>
  <c r="AA1290" i="20"/>
  <c r="AG1178" i="20"/>
  <c r="AF1286" i="20"/>
  <c r="AC1266" i="20"/>
  <c r="Z1246" i="20"/>
  <c r="Y1166" i="20"/>
  <c r="AD1166" i="20"/>
  <c r="Z1202" i="20"/>
  <c r="AF1338" i="20"/>
  <c r="AN1286" i="20"/>
  <c r="AL1230" i="20"/>
  <c r="AH1166" i="20"/>
  <c r="AE1174" i="20"/>
  <c r="AA1222" i="20"/>
  <c r="Y1318" i="20"/>
  <c r="AA1258" i="20"/>
  <c r="AF1242" i="20"/>
  <c r="AN1306" i="20"/>
  <c r="Y1152" i="20"/>
  <c r="AG24" i="20"/>
  <c r="AH1314" i="20"/>
  <c r="AE1326" i="20"/>
  <c r="AD1282" i="20"/>
  <c r="AC1246" i="20"/>
  <c r="AB1262" i="20"/>
  <c r="AA1230" i="20"/>
  <c r="Y1246" i="20"/>
  <c r="AD1302" i="20"/>
  <c r="Z1186" i="20"/>
  <c r="Y1226" i="20"/>
  <c r="AL1302" i="20"/>
  <c r="AN1238" i="20"/>
  <c r="AN1174" i="20"/>
  <c r="AE1286" i="20"/>
  <c r="AE1290" i="20"/>
  <c r="AF1270" i="20"/>
  <c r="AC1286" i="20"/>
  <c r="AA1186" i="20"/>
  <c r="AB1290" i="20"/>
  <c r="AJ1330" i="20"/>
  <c r="AJ1302" i="20"/>
  <c r="AK1262" i="20"/>
  <c r="AL1222" i="20"/>
  <c r="AK1182" i="20"/>
  <c r="AC1174" i="20"/>
  <c r="AB1190" i="20"/>
  <c r="AA1238" i="20"/>
  <c r="Z1286" i="20"/>
  <c r="Y1334" i="20"/>
  <c r="Y1206" i="20"/>
  <c r="AC1210" i="20"/>
  <c r="AL1314" i="20"/>
  <c r="AK1242" i="20"/>
  <c r="AA1156" i="20"/>
  <c r="AF1262" i="20"/>
  <c r="AB1314" i="20"/>
  <c r="Z1218" i="20"/>
  <c r="AA1194" i="20"/>
  <c r="AH1310" i="20"/>
  <c r="AK1270" i="20"/>
  <c r="AK1214" i="20"/>
  <c r="AD1314" i="20"/>
  <c r="Y1286" i="20"/>
  <c r="Z1338" i="20"/>
  <c r="AN1266" i="20"/>
  <c r="AD1206" i="20"/>
  <c r="AC1322" i="20"/>
  <c r="AC1290" i="20"/>
  <c r="AI1250" i="20"/>
  <c r="AG1148" i="20"/>
  <c r="AI24" i="20"/>
  <c r="AH1190" i="20"/>
  <c r="AB1306" i="20"/>
  <c r="AD1306" i="20"/>
  <c r="AK1266" i="20"/>
  <c r="AN1170" i="20"/>
  <c r="AJ1250" i="20"/>
  <c r="AN1202" i="20"/>
  <c r="AL1160" i="20"/>
  <c r="AL1258" i="20"/>
  <c r="AH1194" i="20"/>
  <c r="AK1156" i="20"/>
  <c r="AJ24" i="20"/>
  <c r="AE1166" i="20"/>
  <c r="AE1148" i="20"/>
  <c r="AB1160" i="20"/>
  <c r="AP1328" i="20"/>
  <c r="AP524" i="20"/>
  <c r="AR524" i="20"/>
  <c r="AC389" i="20"/>
  <c r="AB389" i="20"/>
  <c r="AD295" i="20"/>
  <c r="AJ295" i="20"/>
  <c r="AJ571" i="20"/>
  <c r="AP393" i="20"/>
  <c r="AR994" i="20"/>
  <c r="AI556" i="20"/>
  <c r="AI171" i="20"/>
  <c r="AL885" i="20"/>
  <c r="AL807" i="20"/>
  <c r="AH560" i="20"/>
  <c r="AD175" i="20"/>
  <c r="AR1016" i="20"/>
  <c r="AP1016" i="20"/>
  <c r="AP755" i="20"/>
  <c r="AR755" i="20"/>
  <c r="AE1029" i="20"/>
  <c r="AH1029" i="20"/>
  <c r="AG1024" i="20"/>
  <c r="AL1024" i="20"/>
  <c r="AI868" i="20"/>
  <c r="AA868" i="20"/>
  <c r="AI72" i="20"/>
  <c r="AD72" i="20"/>
  <c r="AJ817" i="20"/>
  <c r="AI817" i="20"/>
  <c r="AI614" i="20"/>
  <c r="AJ614" i="20"/>
  <c r="AC454" i="20"/>
  <c r="AH454" i="20"/>
  <c r="AC491" i="20"/>
  <c r="Y491" i="20"/>
  <c r="AH491" i="20"/>
  <c r="AD434" i="20"/>
  <c r="AH434" i="20"/>
  <c r="AL431" i="20"/>
  <c r="AH431" i="20"/>
  <c r="AA303" i="20"/>
  <c r="AG303" i="20"/>
  <c r="AJ441" i="20"/>
  <c r="AL441" i="20"/>
  <c r="AI291" i="20"/>
  <c r="AH291" i="20"/>
  <c r="AJ291" i="20"/>
  <c r="AI268" i="20"/>
  <c r="AL268" i="20"/>
  <c r="AI685" i="20"/>
  <c r="AJ713" i="20"/>
  <c r="AH325" i="20"/>
  <c r="AK667" i="20"/>
  <c r="AC439" i="20"/>
  <c r="AR701" i="20"/>
  <c r="AL692" i="20"/>
  <c r="AI677" i="20"/>
  <c r="AI693" i="20"/>
  <c r="AI325" i="20"/>
  <c r="AI454" i="20"/>
  <c r="AJ236" i="20"/>
  <c r="AJ693" i="20"/>
  <c r="AC1001" i="20"/>
  <c r="AH901" i="20"/>
  <c r="AJ901" i="20"/>
  <c r="AL803" i="20"/>
  <c r="AI803" i="20"/>
  <c r="Y272" i="20"/>
  <c r="AG272" i="20"/>
  <c r="AL272" i="20"/>
  <c r="AI1038" i="20"/>
  <c r="AJ1038" i="20"/>
  <c r="AJ348" i="20"/>
  <c r="AI348" i="20"/>
  <c r="AE211" i="20"/>
  <c r="AL211" i="20"/>
  <c r="AJ101" i="20"/>
  <c r="AA101" i="20"/>
  <c r="AL101" i="20"/>
  <c r="AA418" i="20"/>
  <c r="AI418" i="20"/>
  <c r="AP1252" i="20"/>
  <c r="AR1320" i="20"/>
  <c r="AR1188" i="20"/>
  <c r="AR1304" i="20"/>
  <c r="AR14" i="20"/>
  <c r="AR917" i="20"/>
  <c r="AP1332" i="20"/>
  <c r="AR1308" i="20"/>
  <c r="AR1256" i="20"/>
  <c r="AR964" i="20"/>
  <c r="AH1143" i="20"/>
  <c r="AI1143" i="20"/>
  <c r="AK1143" i="20"/>
  <c r="AG1143" i="20"/>
  <c r="AE1143" i="20"/>
  <c r="Y1143" i="20"/>
  <c r="Z1143" i="20"/>
  <c r="AN1143" i="20"/>
  <c r="AJ1143" i="20"/>
  <c r="AL1143" i="20"/>
  <c r="AF1143" i="20"/>
  <c r="AL1139" i="20"/>
  <c r="AI1139" i="20"/>
  <c r="Y1139" i="20"/>
  <c r="AD1139" i="20"/>
  <c r="AJ1139" i="20"/>
  <c r="AE1139" i="20"/>
  <c r="AF1139" i="20"/>
  <c r="AK1139" i="20"/>
  <c r="AH1139" i="20"/>
  <c r="AJ1135" i="20"/>
  <c r="AI1135" i="20"/>
  <c r="AN1135" i="20"/>
  <c r="AG1135" i="20"/>
  <c r="Z1135" i="20"/>
  <c r="AE1135" i="20"/>
  <c r="AF1135" i="20"/>
  <c r="AD1135" i="20"/>
  <c r="AA1135" i="20"/>
  <c r="AB1135" i="20"/>
  <c r="AH1135" i="20"/>
  <c r="AC1135" i="20"/>
  <c r="AL1135" i="20"/>
  <c r="Y1135" i="20"/>
  <c r="AK1135" i="20"/>
  <c r="Z1131" i="20"/>
  <c r="AA1131" i="20"/>
  <c r="AF1131" i="20"/>
  <c r="AL1131" i="20"/>
  <c r="AB1131" i="20"/>
  <c r="Y1131" i="20"/>
  <c r="AH1131" i="20"/>
  <c r="AI1131" i="20"/>
  <c r="AG1131" i="20"/>
  <c r="AD1131" i="20"/>
  <c r="AE1131" i="20"/>
  <c r="AN1131" i="20"/>
  <c r="AC1131" i="20"/>
  <c r="AK1131" i="20"/>
  <c r="AJ1131" i="20"/>
  <c r="AH1127" i="20"/>
  <c r="AI1127" i="20"/>
  <c r="AB1127" i="20"/>
  <c r="AN1127" i="20"/>
  <c r="AL1127" i="20"/>
  <c r="AD1127" i="20"/>
  <c r="AE1127" i="20"/>
  <c r="AG1127" i="20"/>
  <c r="AJ1127" i="20"/>
  <c r="Y1127" i="20"/>
  <c r="AA1127" i="20"/>
  <c r="AF1127" i="20"/>
  <c r="Z1127" i="20"/>
  <c r="AK1127" i="20"/>
  <c r="Z1123" i="20"/>
  <c r="AN1123" i="20"/>
  <c r="AC1123" i="20"/>
  <c r="AD1123" i="20"/>
  <c r="AA1123" i="20"/>
  <c r="AB1123" i="20"/>
  <c r="AF1123" i="20"/>
  <c r="Y1123" i="20"/>
  <c r="AL1123" i="20"/>
  <c r="AI1123" i="20"/>
  <c r="AK1123" i="20"/>
  <c r="AE1123" i="20"/>
  <c r="AG1123" i="20"/>
  <c r="AJ1123" i="20"/>
  <c r="AH1123" i="20"/>
  <c r="AH1119" i="20"/>
  <c r="AA1119" i="20"/>
  <c r="AJ1119" i="20"/>
  <c r="AD1119" i="20"/>
  <c r="AE1119" i="20"/>
  <c r="AN1119" i="20"/>
  <c r="AF1119" i="20"/>
  <c r="AL1119" i="20"/>
  <c r="AI1119" i="20"/>
  <c r="AB1119" i="20"/>
  <c r="AC1119" i="20"/>
  <c r="AG1119" i="20"/>
  <c r="AK1119" i="20"/>
  <c r="Z1119" i="20"/>
  <c r="Y1119" i="20"/>
  <c r="AL1115" i="20"/>
  <c r="AN1115" i="20"/>
  <c r="AE1115" i="20"/>
  <c r="AA1115" i="20"/>
  <c r="AB1115" i="20"/>
  <c r="Z1115" i="20"/>
  <c r="AC1115" i="20"/>
  <c r="Y1115" i="20"/>
  <c r="AG1115" i="20"/>
  <c r="AD1115" i="20"/>
  <c r="AI1115" i="20"/>
  <c r="AJ1115" i="20"/>
  <c r="AK1115" i="20"/>
  <c r="AF1115" i="20"/>
  <c r="AJ1111" i="20"/>
  <c r="AH1111" i="20"/>
  <c r="AE1111" i="20"/>
  <c r="AG1111" i="20"/>
  <c r="AL1111" i="20"/>
  <c r="AN1111" i="20"/>
  <c r="AD1111" i="20"/>
  <c r="AI1111" i="20"/>
  <c r="AF1111" i="20"/>
  <c r="Z1111" i="20"/>
  <c r="AA1111" i="20"/>
  <c r="AB1111" i="20"/>
  <c r="AC1111" i="20"/>
  <c r="AK1111" i="20"/>
  <c r="AB1107" i="20"/>
  <c r="Z1107" i="20"/>
  <c r="AG1107" i="20"/>
  <c r="AF1107" i="20"/>
  <c r="AI1107" i="20"/>
  <c r="AL1107" i="20"/>
  <c r="AC1107" i="20"/>
  <c r="AN1107" i="20"/>
  <c r="AH1107" i="20"/>
  <c r="AJ1107" i="20"/>
  <c r="AD1107" i="20"/>
  <c r="AE1107" i="20"/>
  <c r="Y1107" i="20"/>
  <c r="AA1107" i="20"/>
  <c r="AJ1103" i="20"/>
  <c r="AB1103" i="20"/>
  <c r="AH1103" i="20"/>
  <c r="AG1103" i="20"/>
  <c r="AF1103" i="20"/>
  <c r="Z1103" i="20"/>
  <c r="AE1103" i="20"/>
  <c r="AI1103" i="20"/>
  <c r="AK1103" i="20"/>
  <c r="AN1103" i="20"/>
  <c r="AL1103" i="20"/>
  <c r="Y1103" i="20"/>
  <c r="AC1103" i="20"/>
  <c r="AA1103" i="20"/>
  <c r="AA1099" i="20"/>
  <c r="AB1099" i="20"/>
  <c r="AJ1099" i="20"/>
  <c r="Z1099" i="20"/>
  <c r="AK1099" i="20"/>
  <c r="AC1099" i="20"/>
  <c r="AF1099" i="20"/>
  <c r="AH1099" i="20"/>
  <c r="AE1099" i="20"/>
  <c r="AN1099" i="20"/>
  <c r="AL1099" i="20"/>
  <c r="AI1099" i="20"/>
  <c r="AD1099" i="20"/>
  <c r="Y1099" i="20"/>
  <c r="AE1095" i="20"/>
  <c r="AN1095" i="20"/>
  <c r="AH1095" i="20"/>
  <c r="AJ1095" i="20"/>
  <c r="AL1095" i="20"/>
  <c r="AC1095" i="20"/>
  <c r="AA1095" i="20"/>
  <c r="AF1095" i="20"/>
  <c r="AK1095" i="20"/>
  <c r="AB1095" i="20"/>
  <c r="AD1095" i="20"/>
  <c r="Y1095" i="20"/>
  <c r="AG1095" i="20"/>
  <c r="Z1095" i="20"/>
  <c r="AI1095" i="20"/>
  <c r="AI1091" i="20"/>
  <c r="AJ1091" i="20"/>
  <c r="AF1091" i="20"/>
  <c r="Z1091" i="20"/>
  <c r="AC1091" i="20"/>
  <c r="AA1091" i="20"/>
  <c r="AN1091" i="20"/>
  <c r="AL1091" i="20"/>
  <c r="AK1091" i="20"/>
  <c r="AH1091" i="20"/>
  <c r="AD1091" i="20"/>
  <c r="Y1091" i="20"/>
  <c r="AE1091" i="20"/>
  <c r="AG1091" i="20"/>
  <c r="AL1087" i="20"/>
  <c r="AG1087" i="20"/>
  <c r="AN1087" i="20"/>
  <c r="AF1087" i="20"/>
  <c r="AJ1087" i="20"/>
  <c r="AB1087" i="20"/>
  <c r="AD1087" i="20"/>
  <c r="AI1087" i="20"/>
  <c r="AE1087" i="20"/>
  <c r="AK1087" i="20"/>
  <c r="AA1087" i="20"/>
  <c r="AC1087" i="20"/>
  <c r="Y1087" i="20"/>
  <c r="AH1087" i="20"/>
  <c r="AH1083" i="20"/>
  <c r="AB1083" i="20"/>
  <c r="AD1083" i="20"/>
  <c r="AN1083" i="20"/>
  <c r="AK1083" i="20"/>
  <c r="Y1083" i="20"/>
  <c r="AJ1083" i="20"/>
  <c r="AI1083" i="20"/>
  <c r="AC1083" i="20"/>
  <c r="Z1083" i="20"/>
  <c r="AF1083" i="20"/>
  <c r="AG1083" i="20"/>
  <c r="AA1083" i="20"/>
  <c r="AE1083" i="20"/>
  <c r="AN1079" i="20"/>
  <c r="AE1079" i="20"/>
  <c r="AL1079" i="20"/>
  <c r="AG1079" i="20"/>
  <c r="AD1079" i="20"/>
  <c r="AJ1079" i="20"/>
  <c r="AK1079" i="20"/>
  <c r="AB1079" i="20"/>
  <c r="Y1079" i="20"/>
  <c r="Z1079" i="20"/>
  <c r="AC1079" i="20"/>
  <c r="AI1079" i="20"/>
  <c r="AA1079" i="20"/>
  <c r="AF1079" i="20"/>
  <c r="AB1075" i="20"/>
  <c r="Y1075" i="20"/>
  <c r="AA1075" i="20"/>
  <c r="AH1075" i="20"/>
  <c r="AD1075" i="20"/>
  <c r="AN1075" i="20"/>
  <c r="AK1075" i="20"/>
  <c r="AI1075" i="20"/>
  <c r="AJ1075" i="20"/>
  <c r="AC1075" i="20"/>
  <c r="AF1075" i="20"/>
  <c r="AG1075" i="20"/>
  <c r="AL1075" i="20"/>
  <c r="Z1075" i="20"/>
  <c r="AE1075" i="20"/>
  <c r="AN1069" i="20"/>
  <c r="AK1069" i="20"/>
  <c r="AE1069" i="20"/>
  <c r="AF1069" i="20"/>
  <c r="AC1069" i="20"/>
  <c r="AD1069" i="20"/>
  <c r="AB1069" i="20"/>
  <c r="Y1069" i="20"/>
  <c r="AI1069" i="20"/>
  <c r="Z1069" i="20"/>
  <c r="AG1069" i="20"/>
  <c r="AL1069" i="20"/>
  <c r="AJ1069" i="20"/>
  <c r="AA1069" i="20"/>
  <c r="AH1069" i="20"/>
  <c r="AF1067" i="20"/>
  <c r="AJ1067" i="20"/>
  <c r="AG1067" i="20"/>
  <c r="AI1067" i="20"/>
  <c r="AD1067" i="20"/>
  <c r="Z1067" i="20"/>
  <c r="AH1067" i="20"/>
  <c r="AN1067" i="20"/>
  <c r="AK1067" i="20"/>
  <c r="AE1067" i="20"/>
  <c r="AL1067" i="20"/>
  <c r="AC1067" i="20"/>
  <c r="AA1067" i="20"/>
  <c r="AB1067" i="20"/>
  <c r="Y1067" i="20"/>
  <c r="AB1063" i="20"/>
  <c r="AC1063" i="20"/>
  <c r="AD1063" i="20"/>
  <c r="AF1063" i="20"/>
  <c r="AG1063" i="20"/>
  <c r="Y1063" i="20"/>
  <c r="AI1063" i="20"/>
  <c r="AA1063" i="20"/>
  <c r="AH1063" i="20"/>
  <c r="AN1063" i="20"/>
  <c r="AK1063" i="20"/>
  <c r="Z1063" i="20"/>
  <c r="AE1063" i="20"/>
  <c r="AL1063" i="20"/>
  <c r="AJ1063" i="20"/>
  <c r="AB1056" i="20"/>
  <c r="AK1056" i="20"/>
  <c r="AN1056" i="20"/>
  <c r="Z1056" i="20"/>
  <c r="AC1056" i="20"/>
  <c r="AD1056" i="20"/>
  <c r="AE1056" i="20"/>
  <c r="AH1056" i="20"/>
  <c r="Y1056" i="20"/>
  <c r="AL1056" i="20"/>
  <c r="AJ1056" i="20"/>
  <c r="AI1056" i="20"/>
  <c r="AF1056" i="20"/>
  <c r="AG1056" i="20"/>
  <c r="AA1056" i="20"/>
  <c r="AN1044" i="20"/>
  <c r="AB1044" i="20"/>
  <c r="AE1044" i="20"/>
  <c r="AA1044" i="20"/>
  <c r="AC1044" i="20"/>
  <c r="AI1044" i="20"/>
  <c r="AF1044" i="20"/>
  <c r="Z1044" i="20"/>
  <c r="Y1044" i="20"/>
  <c r="AH1044" i="20"/>
  <c r="AK1044" i="20"/>
  <c r="AJ1044" i="20"/>
  <c r="AL1044" i="20"/>
  <c r="AD1044" i="20"/>
  <c r="AG1044" i="20"/>
  <c r="AN1040" i="20"/>
  <c r="AJ1040" i="20"/>
  <c r="AI1040" i="20"/>
  <c r="Z1040" i="20"/>
  <c r="AC1040" i="20"/>
  <c r="AK1040" i="20"/>
  <c r="AB1040" i="20"/>
  <c r="AF1040" i="20"/>
  <c r="AD1040" i="20"/>
  <c r="AN1033" i="20"/>
  <c r="AI1033" i="20"/>
  <c r="Y1033" i="20"/>
  <c r="AA1033" i="20"/>
  <c r="AE1033" i="20"/>
  <c r="AL1033" i="20"/>
  <c r="AJ1033" i="20"/>
  <c r="AK1033" i="20"/>
  <c r="AN1027" i="20"/>
  <c r="AG1027" i="20"/>
  <c r="AI1027" i="20"/>
  <c r="AJ1027" i="20"/>
  <c r="AF1027" i="20"/>
  <c r="AK1027" i="20"/>
  <c r="AC1027" i="20"/>
  <c r="AD1027" i="20"/>
  <c r="AE1027" i="20"/>
  <c r="AN1021" i="20"/>
  <c r="AJ1021" i="20"/>
  <c r="AE1021" i="20"/>
  <c r="AA1021" i="20"/>
  <c r="AD1021" i="20"/>
  <c r="AC1021" i="20"/>
  <c r="AF1021" i="20"/>
  <c r="Z1021" i="20"/>
  <c r="AL1021" i="20"/>
  <c r="AK1021" i="20"/>
  <c r="AL1016" i="20"/>
  <c r="AI1016" i="20"/>
  <c r="AN1016" i="20"/>
  <c r="AK1016" i="20"/>
  <c r="AC1016" i="20"/>
  <c r="AA1016" i="20"/>
  <c r="AF1016" i="20"/>
  <c r="Y1016" i="20"/>
  <c r="Z1016" i="20"/>
  <c r="AB1016" i="20"/>
  <c r="AN1010" i="20"/>
  <c r="AJ1010" i="20"/>
  <c r="AF1010" i="20"/>
  <c r="AB1010" i="20"/>
  <c r="AL1010" i="20"/>
  <c r="AI1010" i="20"/>
  <c r="Z1010" i="20"/>
  <c r="AC1010" i="20"/>
  <c r="AD1010" i="20"/>
  <c r="Y1010" i="20"/>
  <c r="AK1010" i="20"/>
  <c r="AG1010" i="20"/>
  <c r="AN1000" i="20"/>
  <c r="AJ1000" i="20"/>
  <c r="AB1000" i="20"/>
  <c r="AA1000" i="20"/>
  <c r="AD1000" i="20"/>
  <c r="AG1000" i="20"/>
  <c r="AC1000" i="20"/>
  <c r="AK1000" i="20"/>
  <c r="Z1000" i="20"/>
  <c r="AH1000" i="20"/>
  <c r="AE1000" i="20"/>
  <c r="AK988" i="20"/>
  <c r="AI988" i="20"/>
  <c r="AE988" i="20"/>
  <c r="AA988" i="20"/>
  <c r="Z988" i="20"/>
  <c r="AG988" i="20"/>
  <c r="AB988" i="20"/>
  <c r="AH988" i="20"/>
  <c r="Y988" i="20"/>
  <c r="AE998" i="20"/>
  <c r="AN998" i="20"/>
  <c r="AG998" i="20"/>
  <c r="AF998" i="20"/>
  <c r="Y998" i="20"/>
  <c r="AC998" i="20"/>
  <c r="Z998" i="20"/>
  <c r="AA998" i="20"/>
  <c r="AB998" i="20"/>
  <c r="AN979" i="20"/>
  <c r="AA979" i="20"/>
  <c r="Y979" i="20"/>
  <c r="AC979" i="20"/>
  <c r="AG979" i="20"/>
  <c r="Z979" i="20"/>
  <c r="AH979" i="20"/>
  <c r="AJ979" i="20"/>
  <c r="AD979" i="20"/>
  <c r="AE979" i="20"/>
  <c r="AN973" i="20"/>
  <c r="AA973" i="20"/>
  <c r="AB973" i="20"/>
  <c r="AK973" i="20"/>
  <c r="AC973" i="20"/>
  <c r="AG973" i="20"/>
  <c r="AL973" i="20"/>
  <c r="Y973" i="20"/>
  <c r="AH973" i="20"/>
  <c r="AJ973" i="20"/>
  <c r="AN967" i="20"/>
  <c r="AA967" i="20"/>
  <c r="AI967" i="20"/>
  <c r="AD967" i="20"/>
  <c r="Z967" i="20"/>
  <c r="AF967" i="20"/>
  <c r="AG967" i="20"/>
  <c r="AJ967" i="20"/>
  <c r="AE967" i="20"/>
  <c r="Y967" i="20"/>
  <c r="AN937" i="20"/>
  <c r="AF937" i="20"/>
  <c r="AI937" i="20"/>
  <c r="AB937" i="20"/>
  <c r="AC937" i="20"/>
  <c r="AD937" i="20"/>
  <c r="Y937" i="20"/>
  <c r="Y934" i="20"/>
  <c r="AD934" i="20"/>
  <c r="AE934" i="20"/>
  <c r="AI934" i="20"/>
  <c r="Z934" i="20"/>
  <c r="AB934" i="20"/>
  <c r="AG934" i="20"/>
  <c r="AF934" i="20"/>
  <c r="AN929" i="20"/>
  <c r="AI929" i="20"/>
  <c r="Y929" i="20"/>
  <c r="AD929" i="20"/>
  <c r="AF929" i="20"/>
  <c r="AB929" i="20"/>
  <c r="Z929" i="20"/>
  <c r="AA929" i="20"/>
  <c r="AE929" i="20"/>
  <c r="AK929" i="20"/>
  <c r="AC929" i="20"/>
  <c r="AN919" i="20"/>
  <c r="AD919" i="20"/>
  <c r="AL919" i="20"/>
  <c r="AF919" i="20"/>
  <c r="Z919" i="20"/>
  <c r="AI919" i="20"/>
  <c r="Y919" i="20"/>
  <c r="AC919" i="20"/>
  <c r="AA919" i="20"/>
  <c r="AN904" i="20"/>
  <c r="AB904" i="20"/>
  <c r="Y904" i="20"/>
  <c r="AD904" i="20"/>
  <c r="AC904" i="20"/>
  <c r="AH904" i="20"/>
  <c r="AA904" i="20"/>
  <c r="AN900" i="20"/>
  <c r="AD900" i="20"/>
  <c r="AL900" i="20"/>
  <c r="AA900" i="20"/>
  <c r="AG900" i="20"/>
  <c r="AE900" i="20"/>
  <c r="AC900" i="20"/>
  <c r="AK900" i="20"/>
  <c r="AN896" i="20"/>
  <c r="AK896" i="20"/>
  <c r="AA896" i="20"/>
  <c r="AG896" i="20"/>
  <c r="AE896" i="20"/>
  <c r="Z896" i="20"/>
  <c r="AC896" i="20"/>
  <c r="AJ896" i="20"/>
  <c r="Y896" i="20"/>
  <c r="AN887" i="20"/>
  <c r="AF887" i="20"/>
  <c r="AI887" i="20"/>
  <c r="AC887" i="20"/>
  <c r="AE887" i="20"/>
  <c r="AD887" i="20"/>
  <c r="AG887" i="20"/>
  <c r="AB887" i="20"/>
  <c r="AL887" i="20"/>
  <c r="Y887" i="20"/>
  <c r="AN867" i="20"/>
  <c r="Z867" i="20"/>
  <c r="AK867" i="20"/>
  <c r="AC867" i="20"/>
  <c r="AE867" i="20"/>
  <c r="AH867" i="20"/>
  <c r="AI867" i="20"/>
  <c r="AF867" i="20"/>
  <c r="AA867" i="20"/>
  <c r="AN849" i="20"/>
  <c r="AI849" i="20"/>
  <c r="AE849" i="20"/>
  <c r="AD849" i="20"/>
  <c r="AF849" i="20"/>
  <c r="Z849" i="20"/>
  <c r="AA849" i="20"/>
  <c r="AE843" i="20"/>
  <c r="AN843" i="20"/>
  <c r="AB843" i="20"/>
  <c r="Y843" i="20"/>
  <c r="AH843" i="20"/>
  <c r="AK843" i="20"/>
  <c r="Z843" i="20"/>
  <c r="AA843" i="20"/>
  <c r="AN839" i="20"/>
  <c r="AF839" i="20"/>
  <c r="AE839" i="20"/>
  <c r="AI839" i="20"/>
  <c r="AD839" i="20"/>
  <c r="AB839" i="20"/>
  <c r="Y839" i="20"/>
  <c r="AG839" i="20"/>
  <c r="AK839" i="20"/>
  <c r="Z839" i="20"/>
  <c r="AA839" i="20"/>
  <c r="AN834" i="20"/>
  <c r="Y834" i="20"/>
  <c r="AC834" i="20"/>
  <c r="AB834" i="20"/>
  <c r="AK834" i="20"/>
  <c r="AD834" i="20"/>
  <c r="AG834" i="20"/>
  <c r="AF834" i="20"/>
  <c r="AA834" i="20"/>
  <c r="Z826" i="20"/>
  <c r="AC826" i="20"/>
  <c r="AJ826" i="20"/>
  <c r="AF826" i="20"/>
  <c r="AN826" i="20"/>
  <c r="Y826" i="20"/>
  <c r="AA826" i="20"/>
  <c r="AB826" i="20"/>
  <c r="AK826" i="20"/>
  <c r="AH826" i="20"/>
  <c r="AI826" i="20"/>
  <c r="AD826" i="20"/>
  <c r="AG826" i="20"/>
  <c r="AN819" i="20"/>
  <c r="Y819" i="20"/>
  <c r="Z819" i="20"/>
  <c r="AB819" i="20"/>
  <c r="AG819" i="20"/>
  <c r="AE819" i="20"/>
  <c r="AH819" i="20"/>
  <c r="AC819" i="20"/>
  <c r="AF819" i="20"/>
  <c r="AA819" i="20"/>
  <c r="AF806" i="20"/>
  <c r="AA806" i="20"/>
  <c r="AE806" i="20"/>
  <c r="AG806" i="20"/>
  <c r="AK806" i="20"/>
  <c r="AC806" i="20"/>
  <c r="AD806" i="20"/>
  <c r="AN806" i="20"/>
  <c r="Z806" i="20"/>
  <c r="AD802" i="20"/>
  <c r="AN802" i="20"/>
  <c r="AE802" i="20"/>
  <c r="AI802" i="20"/>
  <c r="Y802" i="20"/>
  <c r="AC802" i="20"/>
  <c r="Z802" i="20"/>
  <c r="AK802" i="20"/>
  <c r="AG802" i="20"/>
  <c r="AF802" i="20"/>
  <c r="AA802" i="20"/>
  <c r="AN794" i="20"/>
  <c r="AG794" i="20"/>
  <c r="AL794" i="20"/>
  <c r="AE794" i="20"/>
  <c r="AB794" i="20"/>
  <c r="AJ794" i="20"/>
  <c r="AA794" i="20"/>
  <c r="AD794" i="20"/>
  <c r="AI794" i="20"/>
  <c r="AK794" i="20"/>
  <c r="AF794" i="20"/>
  <c r="AN790" i="20"/>
  <c r="AA790" i="20"/>
  <c r="Z790" i="20"/>
  <c r="AB790" i="20"/>
  <c r="AF790" i="20"/>
  <c r="AJ790" i="20"/>
  <c r="AE790" i="20"/>
  <c r="AG790" i="20"/>
  <c r="AD790" i="20"/>
  <c r="Y790" i="20"/>
  <c r="AC779" i="20"/>
  <c r="Z779" i="20"/>
  <c r="AK779" i="20"/>
  <c r="AF779" i="20"/>
  <c r="AE779" i="20"/>
  <c r="AH779" i="20"/>
  <c r="AJ779" i="20"/>
  <c r="AI779" i="20"/>
  <c r="AD779" i="20"/>
  <c r="AA779" i="20"/>
  <c r="AN779" i="20"/>
  <c r="AC757" i="20"/>
  <c r="AN757" i="20"/>
  <c r="AJ757" i="20"/>
  <c r="AK757" i="20"/>
  <c r="Y757" i="20"/>
  <c r="AB757" i="20"/>
  <c r="AE757" i="20"/>
  <c r="AG757" i="20"/>
  <c r="AF757" i="20"/>
  <c r="AN749" i="20"/>
  <c r="AE749" i="20"/>
  <c r="AF749" i="20"/>
  <c r="AC749" i="20"/>
  <c r="Y749" i="20"/>
  <c r="Z749" i="20"/>
  <c r="AK749" i="20"/>
  <c r="AG749" i="20"/>
  <c r="AI749" i="20"/>
  <c r="AA749" i="20"/>
  <c r="AN745" i="20"/>
  <c r="AB745" i="20"/>
  <c r="AD745" i="20"/>
  <c r="AC745" i="20"/>
  <c r="Z745" i="20"/>
  <c r="AI745" i="20"/>
  <c r="AJ745" i="20"/>
  <c r="AG745" i="20"/>
  <c r="Y745" i="20"/>
  <c r="AF745" i="20"/>
  <c r="AN738" i="20"/>
  <c r="AC738" i="20"/>
  <c r="AE738" i="20"/>
  <c r="Y738" i="20"/>
  <c r="AK738" i="20"/>
  <c r="AA738" i="20"/>
  <c r="Z738" i="20"/>
  <c r="AB738" i="20"/>
  <c r="AH738" i="20"/>
  <c r="AI738" i="20"/>
  <c r="AD738" i="20"/>
  <c r="AB732" i="20"/>
  <c r="Z732" i="20"/>
  <c r="AJ732" i="20"/>
  <c r="AG732" i="20"/>
  <c r="AI732" i="20"/>
  <c r="AN732" i="20"/>
  <c r="AN727" i="20"/>
  <c r="AE727" i="20"/>
  <c r="Z727" i="20"/>
  <c r="AI727" i="20"/>
  <c r="AB727" i="20"/>
  <c r="Y727" i="20"/>
  <c r="AG727" i="20"/>
  <c r="AH727" i="20"/>
  <c r="AC727" i="20"/>
  <c r="AA727" i="20"/>
  <c r="Z700" i="20"/>
  <c r="AB700" i="20"/>
  <c r="AD700" i="20"/>
  <c r="Y700" i="20"/>
  <c r="AI700" i="20"/>
  <c r="AN700" i="20"/>
  <c r="AG700" i="20"/>
  <c r="AF700" i="20"/>
  <c r="AA700" i="20"/>
  <c r="AE700" i="20"/>
  <c r="AN696" i="20"/>
  <c r="AI696" i="20"/>
  <c r="AF696" i="20"/>
  <c r="AD696" i="20"/>
  <c r="AG696" i="20"/>
  <c r="AJ696" i="20"/>
  <c r="AE696" i="20"/>
  <c r="AC696" i="20"/>
  <c r="AA696" i="20"/>
  <c r="AN689" i="20"/>
  <c r="AI689" i="20"/>
  <c r="AE689" i="20"/>
  <c r="Y689" i="20"/>
  <c r="AA689" i="20"/>
  <c r="AD689" i="20"/>
  <c r="AB689" i="20"/>
  <c r="AG689" i="20"/>
  <c r="AK689" i="20"/>
  <c r="AN684" i="20"/>
  <c r="AL684" i="20"/>
  <c r="AI684" i="20"/>
  <c r="AK684" i="20"/>
  <c r="AA684" i="20"/>
  <c r="Y684" i="20"/>
  <c r="AG684" i="20"/>
  <c r="AE684" i="20"/>
  <c r="AD684" i="20"/>
  <c r="AH684" i="20"/>
  <c r="AC684" i="20"/>
  <c r="Z684" i="20"/>
  <c r="AN676" i="20"/>
  <c r="AI676" i="20"/>
  <c r="Z676" i="20"/>
  <c r="AA676" i="20"/>
  <c r="AD676" i="20"/>
  <c r="AF676" i="20"/>
  <c r="AE676" i="20"/>
  <c r="AN666" i="20"/>
  <c r="Z666" i="20"/>
  <c r="AD666" i="20"/>
  <c r="AE666" i="20"/>
  <c r="AB666" i="20"/>
  <c r="AG666" i="20"/>
  <c r="AF666" i="20"/>
  <c r="AL666" i="20"/>
  <c r="AJ666" i="20"/>
  <c r="AK666" i="20"/>
  <c r="AA666" i="20"/>
  <c r="AC666" i="20"/>
  <c r="Y666" i="20"/>
  <c r="AN660" i="20"/>
  <c r="Z660" i="20"/>
  <c r="AD660" i="20"/>
  <c r="AF660" i="20"/>
  <c r="AB660" i="20"/>
  <c r="Y660" i="20"/>
  <c r="AK660" i="20"/>
  <c r="AE660" i="20"/>
  <c r="AC660" i="20"/>
  <c r="AN1030" i="20"/>
  <c r="Z1030" i="20"/>
  <c r="AL1030" i="20"/>
  <c r="AI1030" i="20"/>
  <c r="AF1030" i="20"/>
  <c r="AE1030" i="20"/>
  <c r="AA1030" i="20"/>
  <c r="AK1030" i="20"/>
  <c r="AC1030" i="20"/>
  <c r="AG1030" i="20"/>
  <c r="AB1030" i="20"/>
  <c r="Y1030" i="20"/>
  <c r="AN105" i="20"/>
  <c r="AD105" i="20"/>
  <c r="AJ105" i="20"/>
  <c r="Z105" i="20"/>
  <c r="AE105" i="20"/>
  <c r="AB105" i="20"/>
  <c r="AF105" i="20"/>
  <c r="Y105" i="20"/>
  <c r="AI105" i="20"/>
  <c r="AN647" i="20"/>
  <c r="Y647" i="20"/>
  <c r="AC647" i="20"/>
  <c r="AJ647" i="20"/>
  <c r="AB647" i="20"/>
  <c r="AI647" i="20"/>
  <c r="AF647" i="20"/>
  <c r="AH647" i="20"/>
  <c r="AA647" i="20"/>
  <c r="AK647" i="20"/>
  <c r="AN641" i="20"/>
  <c r="AD641" i="20"/>
  <c r="AE641" i="20"/>
  <c r="AF641" i="20"/>
  <c r="AC641" i="20"/>
  <c r="AB641" i="20"/>
  <c r="AL641" i="20"/>
  <c r="AG641" i="20"/>
  <c r="AF1035" i="20"/>
  <c r="AN1035" i="20"/>
  <c r="AL1035" i="20"/>
  <c r="AI1035" i="20"/>
  <c r="AK1035" i="20"/>
  <c r="AC1035" i="20"/>
  <c r="AE1035" i="20"/>
  <c r="AB1035" i="20"/>
  <c r="AD1035" i="20"/>
  <c r="AN975" i="20"/>
  <c r="AC975" i="20"/>
  <c r="AB975" i="20"/>
  <c r="AF975" i="20"/>
  <c r="AG975" i="20"/>
  <c r="Y975" i="20"/>
  <c r="AI975" i="20"/>
  <c r="Z975" i="20"/>
  <c r="AN801" i="20"/>
  <c r="Z801" i="20"/>
  <c r="AA801" i="20"/>
  <c r="AD801" i="20"/>
  <c r="Y801" i="20"/>
  <c r="AF801" i="20"/>
  <c r="AJ801" i="20"/>
  <c r="AI801" i="20"/>
  <c r="AG801" i="20"/>
  <c r="AE801" i="20"/>
  <c r="AA621" i="20"/>
  <c r="AI621" i="20"/>
  <c r="AN621" i="20"/>
  <c r="Z621" i="20"/>
  <c r="AK621" i="20"/>
  <c r="AD621" i="20"/>
  <c r="AB621" i="20"/>
  <c r="AJ621" i="20"/>
  <c r="AF621" i="20"/>
  <c r="AE621" i="20"/>
  <c r="AN565" i="20"/>
  <c r="Y565" i="20"/>
  <c r="AA565" i="20"/>
  <c r="AI565" i="20"/>
  <c r="AF565" i="20"/>
  <c r="AL565" i="20"/>
  <c r="AE565" i="20"/>
  <c r="AC565" i="20"/>
  <c r="AK543" i="20"/>
  <c r="Y543" i="20"/>
  <c r="AC543" i="20"/>
  <c r="Z543" i="20"/>
  <c r="AL543" i="20"/>
  <c r="AI543" i="20"/>
  <c r="AF543" i="20"/>
  <c r="AB543" i="20"/>
  <c r="AA543" i="20"/>
  <c r="AN318" i="20"/>
  <c r="AD318" i="20"/>
  <c r="AK318" i="20"/>
  <c r="Y318" i="20"/>
  <c r="AH318" i="20"/>
  <c r="AJ318" i="20"/>
  <c r="AI318" i="20"/>
  <c r="AF318" i="20"/>
  <c r="AN131" i="20"/>
  <c r="AI131" i="20"/>
  <c r="AE131" i="20"/>
  <c r="AF131" i="20"/>
  <c r="AB131" i="20"/>
  <c r="Z131" i="20"/>
  <c r="AK131" i="20"/>
  <c r="AD131" i="20"/>
  <c r="AC131" i="20"/>
  <c r="AJ131" i="20"/>
  <c r="AA131" i="20"/>
  <c r="AE58" i="20"/>
  <c r="AA58" i="20"/>
  <c r="AC58" i="20"/>
  <c r="AD58" i="20"/>
  <c r="Y58" i="20"/>
  <c r="AI58" i="20"/>
  <c r="AK58" i="20"/>
  <c r="AN537" i="20"/>
  <c r="AJ537" i="20"/>
  <c r="AI537" i="20"/>
  <c r="AF537" i="20"/>
  <c r="AA537" i="20"/>
  <c r="AB537" i="20"/>
  <c r="AE537" i="20"/>
  <c r="AG537" i="20"/>
  <c r="Z537" i="20"/>
  <c r="AN216" i="20"/>
  <c r="AC216" i="20"/>
  <c r="AK216" i="20"/>
  <c r="AI216" i="20"/>
  <c r="Z216" i="20"/>
  <c r="AD216" i="20"/>
  <c r="AF216" i="20"/>
  <c r="AE216" i="20"/>
  <c r="Y216" i="20"/>
  <c r="AG216" i="20"/>
  <c r="AA216" i="20"/>
  <c r="AB216" i="20"/>
  <c r="AE863" i="20"/>
  <c r="AN863" i="20"/>
  <c r="AI863" i="20"/>
  <c r="AK863" i="20"/>
  <c r="Y863" i="20"/>
  <c r="AF863" i="20"/>
  <c r="AB928" i="20"/>
  <c r="AN928" i="20"/>
  <c r="AK928" i="20"/>
  <c r="AJ928" i="20"/>
  <c r="AC928" i="20"/>
  <c r="AG928" i="20"/>
  <c r="AL928" i="20"/>
  <c r="AD928" i="20"/>
  <c r="AN996" i="20"/>
  <c r="Y996" i="20"/>
  <c r="AB996" i="20"/>
  <c r="AI996" i="20"/>
  <c r="Z996" i="20"/>
  <c r="AK996" i="20"/>
  <c r="AD996" i="20"/>
  <c r="AF996" i="20"/>
  <c r="AA996" i="20"/>
  <c r="AN811" i="20"/>
  <c r="AB811" i="20"/>
  <c r="AI811" i="20"/>
  <c r="AC811" i="20"/>
  <c r="AA811" i="20"/>
  <c r="Y811" i="20"/>
  <c r="AF811" i="20"/>
  <c r="AD811" i="20"/>
  <c r="Z811" i="20"/>
  <c r="AG811" i="20"/>
  <c r="AN445" i="20"/>
  <c r="AI445" i="20"/>
  <c r="AE445" i="20"/>
  <c r="AG445" i="20"/>
  <c r="AK445" i="20"/>
  <c r="AJ445" i="20"/>
  <c r="AA445" i="20"/>
  <c r="Y445" i="20"/>
  <c r="Z445" i="20"/>
  <c r="AD445" i="20"/>
  <c r="AN84" i="20"/>
  <c r="AJ84" i="20"/>
  <c r="Y84" i="20"/>
  <c r="AK84" i="20"/>
  <c r="AI84" i="20"/>
  <c r="AE84" i="20"/>
  <c r="AD84" i="20"/>
  <c r="AF84" i="20"/>
  <c r="Z84" i="20"/>
  <c r="AA84" i="20"/>
  <c r="AC84" i="20"/>
  <c r="AB84" i="20"/>
  <c r="AN20" i="20"/>
  <c r="AF20" i="20"/>
  <c r="AB20" i="20"/>
  <c r="AI20" i="20"/>
  <c r="AA20" i="20"/>
  <c r="AD20" i="20"/>
  <c r="AK20" i="20"/>
  <c r="AC20" i="20"/>
  <c r="AN638" i="20"/>
  <c r="AE638" i="20"/>
  <c r="AI638" i="20"/>
  <c r="AC638" i="20"/>
  <c r="AK638" i="20"/>
  <c r="AG638" i="20"/>
  <c r="AH638" i="20"/>
  <c r="AB638" i="20"/>
  <c r="Y638" i="20"/>
  <c r="AN635" i="20"/>
  <c r="AG635" i="20"/>
  <c r="AJ635" i="20"/>
  <c r="Z635" i="20"/>
  <c r="AC635" i="20"/>
  <c r="AE635" i="20"/>
  <c r="AA635" i="20"/>
  <c r="AI635" i="20"/>
  <c r="AD635" i="20"/>
  <c r="AF635" i="20"/>
  <c r="AK635" i="20"/>
  <c r="AN670" i="20"/>
  <c r="AJ670" i="20"/>
  <c r="AL670" i="20"/>
  <c r="AI670" i="20"/>
  <c r="AA670" i="20"/>
  <c r="AF670" i="20"/>
  <c r="AD670" i="20"/>
  <c r="AB670" i="20"/>
  <c r="Z670" i="20"/>
  <c r="AK670" i="20"/>
  <c r="I129" i="86" s="1"/>
  <c r="L129" i="86" s="1"/>
  <c r="AG670" i="20"/>
  <c r="AN631" i="20"/>
  <c r="Y631" i="20"/>
  <c r="AI631" i="20"/>
  <c r="AK631" i="20"/>
  <c r="Z631" i="20"/>
  <c r="AD631" i="20"/>
  <c r="AG631" i="20"/>
  <c r="AC631" i="20"/>
  <c r="AE631" i="20"/>
  <c r="AN627" i="20"/>
  <c r="AD627" i="20"/>
  <c r="AF627" i="20"/>
  <c r="AC627" i="20"/>
  <c r="AA627" i="20"/>
  <c r="AE627" i="20"/>
  <c r="AL627" i="20"/>
  <c r="AI627" i="20"/>
  <c r="Z627" i="20"/>
  <c r="AN623" i="20"/>
  <c r="AJ623" i="20"/>
  <c r="AG623" i="20"/>
  <c r="AB623" i="20"/>
  <c r="AC623" i="20"/>
  <c r="AE623" i="20"/>
  <c r="AH623" i="20"/>
  <c r="AL623" i="20"/>
  <c r="Y623" i="20"/>
  <c r="AF623" i="20"/>
  <c r="Z623" i="20"/>
  <c r="AD623" i="20"/>
  <c r="AN617" i="20"/>
  <c r="AJ617" i="20"/>
  <c r="AB617" i="20"/>
  <c r="AG617" i="20"/>
  <c r="AA617" i="20"/>
  <c r="AC617" i="20"/>
  <c r="Y617" i="20"/>
  <c r="AE617" i="20"/>
  <c r="AD617" i="20"/>
  <c r="AK617" i="20"/>
  <c r="AN613" i="20"/>
  <c r="Y613" i="20"/>
  <c r="AF613" i="20"/>
  <c r="AA613" i="20"/>
  <c r="Z613" i="20"/>
  <c r="AE613" i="20"/>
  <c r="AH613" i="20"/>
  <c r="AG613" i="20"/>
  <c r="AJ613" i="20"/>
  <c r="AC613" i="20"/>
  <c r="AK613" i="20"/>
  <c r="AN608" i="20"/>
  <c r="AC608" i="20"/>
  <c r="AG608" i="20"/>
  <c r="AI608" i="20"/>
  <c r="AK608" i="20"/>
  <c r="AD608" i="20"/>
  <c r="AF608" i="20"/>
  <c r="Y608" i="20"/>
  <c r="AB608" i="20"/>
  <c r="AN604" i="20"/>
  <c r="AG604" i="20"/>
  <c r="AC604" i="20"/>
  <c r="AL604" i="20"/>
  <c r="AE604" i="20"/>
  <c r="AI604" i="20"/>
  <c r="AD604" i="20"/>
  <c r="AB604" i="20"/>
  <c r="AN599" i="20"/>
  <c r="Y599" i="20"/>
  <c r="AJ599" i="20"/>
  <c r="AK599" i="20"/>
  <c r="AA599" i="20"/>
  <c r="AF599" i="20"/>
  <c r="AB599" i="20"/>
  <c r="AE599" i="20"/>
  <c r="AG599" i="20"/>
  <c r="AN591" i="20"/>
  <c r="AL591" i="20"/>
  <c r="Y591" i="20"/>
  <c r="AA591" i="20"/>
  <c r="AE591" i="20"/>
  <c r="Z591" i="20"/>
  <c r="AF591" i="20"/>
  <c r="AJ591" i="20"/>
  <c r="AI591" i="20"/>
  <c r="AG591" i="20"/>
  <c r="AB591" i="20"/>
  <c r="AB588" i="20"/>
  <c r="AN588" i="20"/>
  <c r="AK588" i="20"/>
  <c r="AA588" i="20"/>
  <c r="Y588" i="20"/>
  <c r="AF588" i="20"/>
  <c r="AI588" i="20"/>
  <c r="Z588" i="20"/>
  <c r="AG588" i="20"/>
  <c r="AC588" i="20"/>
  <c r="AI508" i="20"/>
  <c r="AN508" i="20"/>
  <c r="Y508" i="20"/>
  <c r="AE508" i="20"/>
  <c r="AJ508" i="20"/>
  <c r="AF508" i="20"/>
  <c r="AA508" i="20"/>
  <c r="AC508" i="20"/>
  <c r="AG508" i="20"/>
  <c r="AD508" i="20"/>
  <c r="AN344" i="20"/>
  <c r="AC344" i="20"/>
  <c r="Z344" i="20"/>
  <c r="AK344" i="20"/>
  <c r="AF344" i="20"/>
  <c r="Y344" i="20"/>
  <c r="AJ344" i="20"/>
  <c r="AI344" i="20"/>
  <c r="AG344" i="20"/>
  <c r="AN580" i="20"/>
  <c r="AK580" i="20"/>
  <c r="AA580" i="20"/>
  <c r="AJ580" i="20"/>
  <c r="AD580" i="20"/>
  <c r="AE580" i="20"/>
  <c r="AF580" i="20"/>
  <c r="AG580" i="20"/>
  <c r="AL580" i="20"/>
  <c r="AB580" i="20"/>
  <c r="Y580" i="20"/>
  <c r="AN576" i="20"/>
  <c r="AJ576" i="20"/>
  <c r="Z576" i="20"/>
  <c r="AF576" i="20"/>
  <c r="AB576" i="20"/>
  <c r="AI576" i="20"/>
  <c r="AL576" i="20"/>
  <c r="AC576" i="20"/>
  <c r="Y576" i="20"/>
  <c r="AA576" i="20"/>
  <c r="AE576" i="20"/>
  <c r="AK576" i="20"/>
  <c r="AN569" i="20"/>
  <c r="AI569" i="20"/>
  <c r="AE569" i="20"/>
  <c r="AK569" i="20"/>
  <c r="AD569" i="20"/>
  <c r="AF569" i="20"/>
  <c r="AA569" i="20"/>
  <c r="Y569" i="20"/>
  <c r="AG569" i="20"/>
  <c r="AB569" i="20"/>
  <c r="AN563" i="20"/>
  <c r="AL563" i="20"/>
  <c r="AA563" i="20"/>
  <c r="AB563" i="20"/>
  <c r="AG563" i="20"/>
  <c r="AE563" i="20"/>
  <c r="AJ563" i="20"/>
  <c r="AI563" i="20"/>
  <c r="Y563" i="20"/>
  <c r="AK563" i="20"/>
  <c r="AD563" i="20"/>
  <c r="AN735" i="20"/>
  <c r="AB735" i="20"/>
  <c r="Z735" i="20"/>
  <c r="AI735" i="20"/>
  <c r="AD735" i="20"/>
  <c r="AE735" i="20"/>
  <c r="Y735" i="20"/>
  <c r="AC735" i="20"/>
  <c r="AH735" i="20"/>
  <c r="AL735" i="20"/>
  <c r="AE789" i="20"/>
  <c r="AK789" i="20"/>
  <c r="AI789" i="20"/>
  <c r="AL789" i="20"/>
  <c r="AJ789" i="20"/>
  <c r="AN789" i="20"/>
  <c r="AF789" i="20"/>
  <c r="AB789" i="20"/>
  <c r="Z789" i="20"/>
  <c r="AA789" i="20"/>
  <c r="AC286" i="20"/>
  <c r="AN286" i="20"/>
  <c r="Z286" i="20"/>
  <c r="AB286" i="20"/>
  <c r="AD286" i="20"/>
  <c r="Y286" i="20"/>
  <c r="AE286" i="20"/>
  <c r="AA286" i="20"/>
  <c r="AN554" i="20"/>
  <c r="Z554" i="20"/>
  <c r="AJ554" i="20"/>
  <c r="AD554" i="20"/>
  <c r="AI554" i="20"/>
  <c r="AG554" i="20"/>
  <c r="AE554" i="20"/>
  <c r="AL554" i="20"/>
  <c r="AA554" i="20"/>
  <c r="AN122" i="20"/>
  <c r="AE122" i="20"/>
  <c r="AK122" i="20"/>
  <c r="AG122" i="20"/>
  <c r="Y122" i="20"/>
  <c r="AA122" i="20"/>
  <c r="AC122" i="20"/>
  <c r="AF122" i="20"/>
  <c r="AD122" i="20"/>
  <c r="AN548" i="20"/>
  <c r="AL548" i="20"/>
  <c r="AJ548" i="20"/>
  <c r="AC548" i="20"/>
  <c r="AK548" i="20"/>
  <c r="AH548" i="20"/>
  <c r="AE548" i="20"/>
  <c r="AD548" i="20"/>
  <c r="AA548" i="20"/>
  <c r="Y548" i="20"/>
  <c r="AB548" i="20"/>
  <c r="AN540" i="20"/>
  <c r="AF540" i="20"/>
  <c r="Y540" i="20"/>
  <c r="AE540" i="20"/>
  <c r="AK540" i="20"/>
  <c r="AA540" i="20"/>
  <c r="AC540" i="20"/>
  <c r="AG540" i="20"/>
  <c r="Z540" i="20"/>
  <c r="AH540" i="20"/>
  <c r="AI540" i="20"/>
  <c r="AD540" i="20"/>
  <c r="AN533" i="20"/>
  <c r="AE533" i="20"/>
  <c r="AC533" i="20"/>
  <c r="AI533" i="20"/>
  <c r="AL533" i="20"/>
  <c r="AK533" i="20"/>
  <c r="AB533" i="20"/>
  <c r="AN526" i="20"/>
  <c r="AK526" i="20"/>
  <c r="AB526" i="20"/>
  <c r="AD526" i="20"/>
  <c r="AA526" i="20"/>
  <c r="AG526" i="20"/>
  <c r="AH526" i="20"/>
  <c r="AL526" i="20"/>
  <c r="AA519" i="20"/>
  <c r="AG519" i="20"/>
  <c r="AN519" i="20"/>
  <c r="AL519" i="20"/>
  <c r="AJ519" i="20"/>
  <c r="AE519" i="20"/>
  <c r="AK519" i="20"/>
  <c r="AD519" i="20"/>
  <c r="Y519" i="20"/>
  <c r="AN509" i="20"/>
  <c r="AL509" i="20"/>
  <c r="AK509" i="20"/>
  <c r="AA509" i="20"/>
  <c r="AJ509" i="20"/>
  <c r="AB509" i="20"/>
  <c r="AD509" i="20"/>
  <c r="AE509" i="20"/>
  <c r="Z509" i="20"/>
  <c r="AB498" i="20"/>
  <c r="AA498" i="20"/>
  <c r="AK498" i="20"/>
  <c r="Y498" i="20"/>
  <c r="AF498" i="20"/>
  <c r="AE498" i="20"/>
  <c r="AD498" i="20"/>
  <c r="AN498" i="20"/>
  <c r="AI498" i="20"/>
  <c r="AC498" i="20"/>
  <c r="AJ498" i="20"/>
  <c r="AE489" i="20"/>
  <c r="AI489" i="20"/>
  <c r="Z489" i="20"/>
  <c r="AN489" i="20"/>
  <c r="Y489" i="20"/>
  <c r="AL489" i="20"/>
  <c r="AB489" i="20"/>
  <c r="AK489" i="20"/>
  <c r="AF489" i="20"/>
  <c r="AA489" i="20"/>
  <c r="AG489" i="20"/>
  <c r="AC489" i="20"/>
  <c r="AN485" i="20"/>
  <c r="AL485" i="20"/>
  <c r="AA485" i="20"/>
  <c r="AJ485" i="20"/>
  <c r="H43" i="86" s="1"/>
  <c r="K43" i="86" s="1"/>
  <c r="AG485" i="20"/>
  <c r="Z485" i="20"/>
  <c r="AE485" i="20"/>
  <c r="AH485" i="20"/>
  <c r="AK485" i="20"/>
  <c r="I43" i="86" s="1"/>
  <c r="L43" i="86" s="1"/>
  <c r="Y485" i="20"/>
  <c r="AI485" i="20"/>
  <c r="G43" i="86" s="1"/>
  <c r="AD480" i="20"/>
  <c r="AJ480" i="20"/>
  <c r="AG480" i="20"/>
  <c r="AN480" i="20"/>
  <c r="AB480" i="20"/>
  <c r="AL480" i="20"/>
  <c r="AI480" i="20"/>
  <c r="Y480" i="20"/>
  <c r="AN476" i="20"/>
  <c r="AI476" i="20"/>
  <c r="AD476" i="20"/>
  <c r="AK476" i="20"/>
  <c r="Z476" i="20"/>
  <c r="Y476" i="20"/>
  <c r="AL476" i="20"/>
  <c r="AJ476" i="20"/>
  <c r="AB476" i="20"/>
  <c r="AE476" i="20"/>
  <c r="AC476" i="20"/>
  <c r="AG476" i="20"/>
  <c r="AN471" i="20"/>
  <c r="AD471" i="20"/>
  <c r="AL471" i="20"/>
  <c r="Z471" i="20"/>
  <c r="AE471" i="20"/>
  <c r="AB471" i="20"/>
  <c r="Y471" i="20"/>
  <c r="AK471" i="20"/>
  <c r="AG471" i="20"/>
  <c r="AF471" i="20"/>
  <c r="AA471" i="20"/>
  <c r="AI471" i="20"/>
  <c r="AN535" i="20"/>
  <c r="AG535" i="20"/>
  <c r="Y535" i="20"/>
  <c r="Z535" i="20"/>
  <c r="AA535" i="20"/>
  <c r="AC535" i="20"/>
  <c r="AH535" i="20"/>
  <c r="AJ535" i="20"/>
  <c r="AI535" i="20"/>
  <c r="AD535" i="20"/>
  <c r="AK535" i="20"/>
  <c r="AN465" i="20"/>
  <c r="AG465" i="20"/>
  <c r="Z465" i="20"/>
  <c r="AC465" i="20"/>
  <c r="AE465" i="20"/>
  <c r="AD465" i="20"/>
  <c r="Y465" i="20"/>
  <c r="AB465" i="20"/>
  <c r="AA465" i="20"/>
  <c r="AD463" i="20"/>
  <c r="AC463" i="20"/>
  <c r="AA463" i="20"/>
  <c r="AB463" i="20"/>
  <c r="AE463" i="20"/>
  <c r="AG463" i="20"/>
  <c r="AF463" i="20"/>
  <c r="AN463" i="20"/>
  <c r="AI463" i="20"/>
  <c r="AN457" i="20"/>
  <c r="AK457" i="20"/>
  <c r="AE457" i="20"/>
  <c r="AA457" i="20"/>
  <c r="AB457" i="20"/>
  <c r="AC457" i="20"/>
  <c r="AG457" i="20"/>
  <c r="Y457" i="20"/>
  <c r="AK456" i="20"/>
  <c r="Y456" i="20"/>
  <c r="AN456" i="20"/>
  <c r="AE456" i="20"/>
  <c r="AI456" i="20"/>
  <c r="Z456" i="20"/>
  <c r="AA456" i="20"/>
  <c r="AD456" i="20"/>
  <c r="AF456" i="20"/>
  <c r="AH456" i="20"/>
  <c r="AJ456" i="20"/>
  <c r="AG456" i="20"/>
  <c r="AC456" i="20"/>
  <c r="AB456" i="20"/>
  <c r="AN280" i="20"/>
  <c r="AF280" i="20"/>
  <c r="AJ280" i="20"/>
  <c r="Z280" i="20"/>
  <c r="AA280" i="20"/>
  <c r="AE280" i="20"/>
  <c r="AI280" i="20"/>
  <c r="AB280" i="20"/>
  <c r="AG280" i="20"/>
  <c r="AH280" i="20"/>
  <c r="AL280" i="20"/>
  <c r="AK280" i="20"/>
  <c r="Y280" i="20"/>
  <c r="AC280" i="20"/>
  <c r="AD280" i="20"/>
  <c r="AN397" i="20"/>
  <c r="AC397" i="20"/>
  <c r="AG397" i="20"/>
  <c r="AF397" i="20"/>
  <c r="AK397" i="20"/>
  <c r="Z397" i="20"/>
  <c r="AJ397" i="20"/>
  <c r="Y397" i="20"/>
  <c r="AI397" i="20"/>
  <c r="AA397" i="20"/>
  <c r="AD397" i="20"/>
  <c r="AE397" i="20"/>
  <c r="AB397" i="20"/>
  <c r="AC726" i="20"/>
  <c r="AG726" i="20"/>
  <c r="AI726" i="20"/>
  <c r="AK726" i="20"/>
  <c r="AD726" i="20"/>
  <c r="Z726" i="20"/>
  <c r="AA726" i="20"/>
  <c r="AF726" i="20"/>
  <c r="AB726" i="20"/>
  <c r="Y726" i="20"/>
  <c r="AN726" i="20"/>
  <c r="AE726" i="20"/>
  <c r="AN442" i="20"/>
  <c r="AE442" i="20"/>
  <c r="AC442" i="20"/>
  <c r="Z442" i="20"/>
  <c r="AL442" i="20"/>
  <c r="AB442" i="20"/>
  <c r="AI442" i="20"/>
  <c r="AK442" i="20"/>
  <c r="AG442" i="20"/>
  <c r="AN846" i="20"/>
  <c r="AB846" i="20"/>
  <c r="AI846" i="20"/>
  <c r="AG846" i="20"/>
  <c r="AE846" i="20"/>
  <c r="AD846" i="20"/>
  <c r="AK846" i="20"/>
  <c r="AC846" i="20"/>
  <c r="AA846" i="20"/>
  <c r="AF846" i="20"/>
  <c r="Z846" i="20"/>
  <c r="Y846" i="20"/>
  <c r="AN92" i="20"/>
  <c r="AC92" i="20"/>
  <c r="AD92" i="20"/>
  <c r="AB92" i="20"/>
  <c r="AA92" i="20"/>
  <c r="AK92" i="20"/>
  <c r="AF92" i="20"/>
  <c r="Z92" i="20"/>
  <c r="AH92" i="20"/>
  <c r="Y92" i="20"/>
  <c r="AL92" i="20"/>
  <c r="AE92" i="20"/>
  <c r="AG92" i="20"/>
  <c r="Z515" i="20"/>
  <c r="AK515" i="20"/>
  <c r="AN515" i="20"/>
  <c r="Y515" i="20"/>
  <c r="AG515" i="20"/>
  <c r="AD515" i="20"/>
  <c r="AF515" i="20"/>
  <c r="AL515" i="20"/>
  <c r="AE515" i="20"/>
  <c r="AC515" i="20"/>
  <c r="AA515" i="20"/>
  <c r="AB515" i="20"/>
  <c r="AN433" i="20"/>
  <c r="AK433" i="20"/>
  <c r="Z433" i="20"/>
  <c r="AF433" i="20"/>
  <c r="AJ433" i="20"/>
  <c r="AB433" i="20"/>
  <c r="Y433" i="20"/>
  <c r="AA433" i="20"/>
  <c r="AN430" i="20"/>
  <c r="AG430" i="20"/>
  <c r="AA430" i="20"/>
  <c r="AC430" i="20"/>
  <c r="AF430" i="20"/>
  <c r="AE430" i="20"/>
  <c r="AJ430" i="20"/>
  <c r="AK430" i="20"/>
  <c r="AN965" i="20"/>
  <c r="AF965" i="20"/>
  <c r="AI965" i="20"/>
  <c r="AE965" i="20"/>
  <c r="AG965" i="20"/>
  <c r="AK965" i="20"/>
  <c r="AL965" i="20"/>
  <c r="AD965" i="20"/>
  <c r="Z965" i="20"/>
  <c r="AA965" i="20"/>
  <c r="AC965" i="20"/>
  <c r="AN1046" i="20"/>
  <c r="AK1046" i="20"/>
  <c r="AF1046" i="20"/>
  <c r="AI1046" i="20"/>
  <c r="Z1046" i="20"/>
  <c r="AB1046" i="20"/>
  <c r="AG1046" i="20"/>
  <c r="Y1046" i="20"/>
  <c r="AN908" i="20"/>
  <c r="AJ908" i="20"/>
  <c r="AG908" i="20"/>
  <c r="AC908" i="20"/>
  <c r="AK908" i="20"/>
  <c r="Z908" i="20"/>
  <c r="AA908" i="20"/>
  <c r="AF908" i="20"/>
  <c r="AB908" i="20"/>
  <c r="AL908" i="20"/>
  <c r="Y908" i="20"/>
  <c r="AD908" i="20"/>
  <c r="AE908" i="20"/>
  <c r="AJ825" i="20"/>
  <c r="AC825" i="20"/>
  <c r="AB825" i="20"/>
  <c r="Z825" i="20"/>
  <c r="AA825" i="20"/>
  <c r="AF825" i="20"/>
  <c r="AE825" i="20"/>
  <c r="AD825" i="20"/>
  <c r="AG825" i="20"/>
  <c r="AN777" i="20"/>
  <c r="AE777" i="20"/>
  <c r="AJ777" i="20"/>
  <c r="Y777" i="20"/>
  <c r="AC777" i="20"/>
  <c r="AN742" i="20"/>
  <c r="AC742" i="20"/>
  <c r="Z742" i="20"/>
  <c r="AF742" i="20"/>
  <c r="Y742" i="20"/>
  <c r="AI742" i="20"/>
  <c r="AE742" i="20"/>
  <c r="AK742" i="20"/>
  <c r="AN672" i="20"/>
  <c r="AI672" i="20"/>
  <c r="AG672" i="20"/>
  <c r="AF672" i="20"/>
  <c r="AK672" i="20"/>
  <c r="AA672" i="20"/>
  <c r="AD672" i="20"/>
  <c r="AE672" i="20"/>
  <c r="Z672" i="20"/>
  <c r="AN592" i="20"/>
  <c r="Z592" i="20"/>
  <c r="AG592" i="20"/>
  <c r="AJ592" i="20"/>
  <c r="AK592" i="20"/>
  <c r="AD592" i="20"/>
  <c r="Y592" i="20"/>
  <c r="AE592" i="20"/>
  <c r="AC592" i="20"/>
  <c r="AB592" i="20"/>
  <c r="AN513" i="20"/>
  <c r="AI513" i="20"/>
  <c r="Z513" i="20"/>
  <c r="AC513" i="20"/>
  <c r="AL513" i="20"/>
  <c r="AA513" i="20"/>
  <c r="AB513" i="20"/>
  <c r="Y513" i="20"/>
  <c r="AD513" i="20"/>
  <c r="AK513" i="20"/>
  <c r="AE513" i="20"/>
  <c r="AN460" i="20"/>
  <c r="AI460" i="20"/>
  <c r="Y460" i="20"/>
  <c r="AB460" i="20"/>
  <c r="AC460" i="20"/>
  <c r="AG460" i="20"/>
  <c r="AE460" i="20"/>
  <c r="AF460" i="20"/>
  <c r="AK460" i="20"/>
  <c r="AA404" i="20"/>
  <c r="AE404" i="20"/>
  <c r="AH404" i="20"/>
  <c r="AK404" i="20"/>
  <c r="AN404" i="20"/>
  <c r="AC404" i="20"/>
  <c r="AN330" i="20"/>
  <c r="AD330" i="20"/>
  <c r="AI330" i="20"/>
  <c r="AC330" i="20"/>
  <c r="AE330" i="20"/>
  <c r="AG330" i="20"/>
  <c r="AK330" i="20"/>
  <c r="Y330" i="20"/>
  <c r="AJ330" i="20"/>
  <c r="AN423" i="20"/>
  <c r="AF423" i="20"/>
  <c r="Y423" i="20"/>
  <c r="AD423" i="20"/>
  <c r="AB423" i="20"/>
  <c r="AC423" i="20"/>
  <c r="AE423" i="20"/>
  <c r="AA423" i="20"/>
  <c r="AJ423" i="20"/>
  <c r="AL423" i="20"/>
  <c r="Z423" i="20"/>
  <c r="AI423" i="20"/>
  <c r="AN264" i="20"/>
  <c r="AB264" i="20"/>
  <c r="AI264" i="20"/>
  <c r="AC264" i="20"/>
  <c r="Y264" i="20"/>
  <c r="AD264" i="20"/>
  <c r="Z264" i="20"/>
  <c r="AN202" i="20"/>
  <c r="AF202" i="20"/>
  <c r="AG202" i="20"/>
  <c r="AD202" i="20"/>
  <c r="AI202" i="20"/>
  <c r="AE202" i="20"/>
  <c r="Z202" i="20"/>
  <c r="AA202" i="20"/>
  <c r="AN147" i="20"/>
  <c r="AI147" i="20"/>
  <c r="AB147" i="20"/>
  <c r="AK147" i="20"/>
  <c r="AD147" i="20"/>
  <c r="AC147" i="20"/>
  <c r="AA147" i="20"/>
  <c r="AG147" i="20"/>
  <c r="AN91" i="20"/>
  <c r="AE91" i="20"/>
  <c r="AA91" i="20"/>
  <c r="Z91" i="20"/>
  <c r="Y91" i="20"/>
  <c r="AC91" i="20"/>
  <c r="AL91" i="20"/>
  <c r="AK91" i="20"/>
  <c r="AN26" i="20"/>
  <c r="AA26" i="20"/>
  <c r="Z26" i="20"/>
  <c r="AE26" i="20"/>
  <c r="AL26" i="20"/>
  <c r="AF26" i="20"/>
  <c r="AC26" i="20"/>
  <c r="AB26" i="20"/>
  <c r="AD26" i="20"/>
  <c r="AN914" i="20"/>
  <c r="AK914" i="20"/>
  <c r="AD914" i="20"/>
  <c r="Z914" i="20"/>
  <c r="Y914" i="20"/>
  <c r="AB914" i="20"/>
  <c r="AC914" i="20"/>
  <c r="AA914" i="20"/>
  <c r="AF914" i="20"/>
  <c r="AI914" i="20"/>
  <c r="AE914" i="20"/>
  <c r="Y90" i="20"/>
  <c r="AK90" i="20"/>
  <c r="AB90" i="20"/>
  <c r="AI90" i="20"/>
  <c r="AF90" i="20"/>
  <c r="AD90" i="20"/>
  <c r="AE90" i="20"/>
  <c r="AC90" i="20"/>
  <c r="AN90" i="20"/>
  <c r="Z90" i="20"/>
  <c r="AJ90" i="20"/>
  <c r="AG90" i="20"/>
  <c r="AF145" i="20"/>
  <c r="AC145" i="20"/>
  <c r="Y145" i="20"/>
  <c r="Z145" i="20"/>
  <c r="AK145" i="20"/>
  <c r="AE145" i="20"/>
  <c r="AL145" i="20"/>
  <c r="AB145" i="20"/>
  <c r="AA145" i="20"/>
  <c r="AD145" i="20"/>
  <c r="AG145" i="20"/>
  <c r="Y395" i="20"/>
  <c r="AF395" i="20"/>
  <c r="AA395" i="20"/>
  <c r="AL395" i="20"/>
  <c r="AG395" i="20"/>
  <c r="AK395" i="20"/>
  <c r="AH395" i="20"/>
  <c r="AI395" i="20"/>
  <c r="AN395" i="20"/>
  <c r="AD395" i="20"/>
  <c r="AB395" i="20"/>
  <c r="Z395" i="20"/>
  <c r="AN529" i="20"/>
  <c r="AF529" i="20"/>
  <c r="AA529" i="20"/>
  <c r="AE529" i="20"/>
  <c r="AB529" i="20"/>
  <c r="Y529" i="20"/>
  <c r="AK529" i="20"/>
  <c r="AG529" i="20"/>
  <c r="AC529" i="20"/>
  <c r="Z529" i="20"/>
  <c r="AL529" i="20"/>
  <c r="AJ529" i="20"/>
  <c r="AN994" i="20"/>
  <c r="AJ994" i="20"/>
  <c r="AG994" i="20"/>
  <c r="AB994" i="20"/>
  <c r="AC994" i="20"/>
  <c r="AL994" i="20"/>
  <c r="AD994" i="20"/>
  <c r="AA994" i="20"/>
  <c r="AI994" i="20"/>
  <c r="AK994" i="20"/>
  <c r="Y994" i="20"/>
  <c r="AF994" i="20"/>
  <c r="AE994" i="20"/>
  <c r="AN761" i="20"/>
  <c r="AK761" i="20"/>
  <c r="AF761" i="20"/>
  <c r="Z761" i="20"/>
  <c r="AG761" i="20"/>
  <c r="AA761" i="20"/>
  <c r="AD761" i="20"/>
  <c r="AB761" i="20"/>
  <c r="AE761" i="20"/>
  <c r="AN405" i="20"/>
  <c r="AF405" i="20"/>
  <c r="AK405" i="20"/>
  <c r="AB405" i="20"/>
  <c r="AD405" i="20"/>
  <c r="AC405" i="20"/>
  <c r="AJ405" i="20"/>
  <c r="AN143" i="20"/>
  <c r="AD143" i="20"/>
  <c r="AG143" i="20"/>
  <c r="AK143" i="20"/>
  <c r="AB143" i="20"/>
  <c r="AF143" i="20"/>
  <c r="AE143" i="20"/>
  <c r="AC143" i="20"/>
  <c r="AN411" i="20"/>
  <c r="AJ411" i="20"/>
  <c r="AG411" i="20"/>
  <c r="AF411" i="20"/>
  <c r="AD411" i="20"/>
  <c r="AH411" i="20"/>
  <c r="AC411" i="20"/>
  <c r="AE411" i="20"/>
  <c r="AK411" i="20"/>
  <c r="AN785" i="20"/>
  <c r="AJ785" i="20"/>
  <c r="AB785" i="20"/>
  <c r="Y785" i="20"/>
  <c r="AD785" i="20"/>
  <c r="Z785" i="20"/>
  <c r="AE785" i="20"/>
  <c r="AG785" i="20"/>
  <c r="AC785" i="20"/>
  <c r="AK785" i="20"/>
  <c r="AA785" i="20"/>
  <c r="AH785" i="20"/>
  <c r="AI785" i="20"/>
  <c r="AN393" i="20"/>
  <c r="Y393" i="20"/>
  <c r="AD393" i="20"/>
  <c r="AG393" i="20"/>
  <c r="Z393" i="20"/>
  <c r="AK393" i="20"/>
  <c r="AA393" i="20"/>
  <c r="AH393" i="20"/>
  <c r="AC393" i="20"/>
  <c r="AE393" i="20"/>
  <c r="AB393" i="20"/>
  <c r="AN753" i="20"/>
  <c r="AD753" i="20"/>
  <c r="AA753" i="20"/>
  <c r="AF753" i="20"/>
  <c r="AC753" i="20"/>
  <c r="Z753" i="20"/>
  <c r="AB753" i="20"/>
  <c r="AI753" i="20"/>
  <c r="AJ753" i="20"/>
  <c r="AL753" i="20"/>
  <c r="AE753" i="20"/>
  <c r="AK753" i="20"/>
  <c r="Y753" i="20"/>
  <c r="AG753" i="20"/>
  <c r="Y391" i="20"/>
  <c r="AJ391" i="20"/>
  <c r="AK391" i="20"/>
  <c r="AC391" i="20"/>
  <c r="AA391" i="20"/>
  <c r="AG391" i="20"/>
  <c r="AL391" i="20"/>
  <c r="AB391" i="20"/>
  <c r="AH391" i="20"/>
  <c r="AD391" i="20"/>
  <c r="AI391" i="20"/>
  <c r="AF391" i="20"/>
  <c r="Z391" i="20"/>
  <c r="AN391" i="20"/>
  <c r="AE391" i="20"/>
  <c r="AG760" i="20"/>
  <c r="Y760" i="20"/>
  <c r="AK760" i="20"/>
  <c r="AE760" i="20"/>
  <c r="AC760" i="20"/>
  <c r="AB760" i="20"/>
  <c r="AD760" i="20"/>
  <c r="AH760" i="20"/>
  <c r="AJ760" i="20"/>
  <c r="Z760" i="20"/>
  <c r="AI760" i="20"/>
  <c r="AN674" i="20"/>
  <c r="AB674" i="20"/>
  <c r="AG674" i="20"/>
  <c r="AF674" i="20"/>
  <c r="Y674" i="20"/>
  <c r="AA674" i="20"/>
  <c r="AD674" i="20"/>
  <c r="AK674" i="20"/>
  <c r="AN174" i="20"/>
  <c r="AI174" i="20"/>
  <c r="AA174" i="20"/>
  <c r="AG174" i="20"/>
  <c r="AE174" i="20"/>
  <c r="AK174" i="20"/>
  <c r="AC174" i="20"/>
  <c r="AF174" i="20"/>
  <c r="Z174" i="20"/>
  <c r="Y174" i="20"/>
  <c r="AD174" i="20"/>
  <c r="AB174" i="20"/>
  <c r="AH174" i="20"/>
  <c r="AL174" i="20"/>
  <c r="AN481" i="20"/>
  <c r="AC481" i="20"/>
  <c r="AD481" i="20"/>
  <c r="AL481" i="20"/>
  <c r="AJ481" i="20"/>
  <c r="Z481" i="20"/>
  <c r="AK481" i="20"/>
  <c r="AF481" i="20"/>
  <c r="AH481" i="20"/>
  <c r="AG481" i="20"/>
  <c r="AB481" i="20"/>
  <c r="AF520" i="20"/>
  <c r="Y520" i="20"/>
  <c r="Z520" i="20"/>
  <c r="AD520" i="20"/>
  <c r="AA520" i="20"/>
  <c r="AN520" i="20"/>
  <c r="AE520" i="20"/>
  <c r="AK520" i="20"/>
  <c r="AI520" i="20"/>
  <c r="AC520" i="20"/>
  <c r="AB520" i="20"/>
  <c r="Y387" i="20"/>
  <c r="AA387" i="20"/>
  <c r="AK387" i="20"/>
  <c r="AD387" i="20"/>
  <c r="AN387" i="20"/>
  <c r="AL387" i="20"/>
  <c r="AG387" i="20"/>
  <c r="AF387" i="20"/>
  <c r="AB387" i="20"/>
  <c r="Z387" i="20"/>
  <c r="AE387" i="20"/>
  <c r="AK350" i="20"/>
  <c r="AJ350" i="20"/>
  <c r="AC350" i="20"/>
  <c r="Z350" i="20"/>
  <c r="AD350" i="20"/>
  <c r="AB350" i="20"/>
  <c r="AG350" i="20"/>
  <c r="AE350" i="20"/>
  <c r="Y350" i="20"/>
  <c r="AL350" i="20"/>
  <c r="AF350" i="20"/>
  <c r="AN369" i="20"/>
  <c r="AI369" i="20"/>
  <c r="AK369" i="20"/>
  <c r="Z369" i="20"/>
  <c r="AE369" i="20"/>
  <c r="AF369" i="20"/>
  <c r="Y369" i="20"/>
  <c r="AN329" i="20"/>
  <c r="AK329" i="20"/>
  <c r="AA329" i="20"/>
  <c r="Y329" i="20"/>
  <c r="AB329" i="20"/>
  <c r="Z329" i="20"/>
  <c r="AN321" i="20"/>
  <c r="AB321" i="20"/>
  <c r="AL321" i="20"/>
  <c r="AK321" i="20"/>
  <c r="AJ321" i="20"/>
  <c r="AA321" i="20"/>
  <c r="AG321" i="20"/>
  <c r="AE321" i="20"/>
  <c r="Z321" i="20"/>
  <c r="AF321" i="20"/>
  <c r="AC321" i="20"/>
  <c r="Y321" i="20"/>
  <c r="AI321" i="20"/>
  <c r="AH321" i="20"/>
  <c r="AD321" i="20"/>
  <c r="AB319" i="20"/>
  <c r="AE319" i="20"/>
  <c r="AG319" i="20"/>
  <c r="AK319" i="20"/>
  <c r="AA319" i="20"/>
  <c r="AF319" i="20"/>
  <c r="Y319" i="20"/>
  <c r="AI319" i="20"/>
  <c r="AL319" i="20"/>
  <c r="AN319" i="20"/>
  <c r="AC319" i="20"/>
  <c r="AN313" i="20"/>
  <c r="AL313" i="20"/>
  <c r="Y313" i="20"/>
  <c r="Z313" i="20"/>
  <c r="AD313" i="20"/>
  <c r="AF313" i="20"/>
  <c r="AC313" i="20"/>
  <c r="AB313" i="20"/>
  <c r="AG313" i="20"/>
  <c r="AI313" i="20"/>
  <c r="AK313" i="20"/>
  <c r="AE313" i="20"/>
  <c r="AJ814" i="20"/>
  <c r="AF814" i="20"/>
  <c r="AC814" i="20"/>
  <c r="AK814" i="20"/>
  <c r="AI814" i="20"/>
  <c r="AA814" i="20"/>
  <c r="Z814" i="20"/>
  <c r="Y814" i="20"/>
  <c r="AL814" i="20"/>
  <c r="AN814" i="20"/>
  <c r="AB814" i="20"/>
  <c r="AE814" i="20"/>
  <c r="AN450" i="20"/>
  <c r="AA450" i="20"/>
  <c r="AC450" i="20"/>
  <c r="AK450" i="20"/>
  <c r="AB450" i="20"/>
  <c r="AE450" i="20"/>
  <c r="Y450" i="20"/>
  <c r="AL450" i="20"/>
  <c r="AJ450" i="20"/>
  <c r="AG450" i="20"/>
  <c r="AF450" i="20"/>
  <c r="Z993" i="20"/>
  <c r="AJ993" i="20"/>
  <c r="AK993" i="20"/>
  <c r="AA993" i="20"/>
  <c r="AE993" i="20"/>
  <c r="AD993" i="20"/>
  <c r="AB993" i="20"/>
  <c r="AF993" i="20"/>
  <c r="AN993" i="20"/>
  <c r="AC993" i="20"/>
  <c r="AI993" i="20"/>
  <c r="Y993" i="20"/>
  <c r="AL993" i="20"/>
  <c r="AN795" i="20"/>
  <c r="AI795" i="20"/>
  <c r="Z795" i="20"/>
  <c r="AK795" i="20"/>
  <c r="AE795" i="20"/>
  <c r="AC795" i="20"/>
  <c r="AF795" i="20"/>
  <c r="AB795" i="20"/>
  <c r="AG795" i="20"/>
  <c r="AA795" i="20"/>
  <c r="Y795" i="20"/>
  <c r="AD795" i="20"/>
  <c r="AJ795" i="20"/>
  <c r="AN681" i="20"/>
  <c r="AA681" i="20"/>
  <c r="AF681" i="20"/>
  <c r="AG681" i="20"/>
  <c r="AB681" i="20"/>
  <c r="AE681" i="20"/>
  <c r="Y681" i="20"/>
  <c r="Z681" i="20"/>
  <c r="AD681" i="20"/>
  <c r="AC681" i="20"/>
  <c r="AN307" i="20"/>
  <c r="AB307" i="20"/>
  <c r="AD307" i="20"/>
  <c r="AK307" i="20"/>
  <c r="AG307" i="20"/>
  <c r="AI307" i="20"/>
  <c r="AC307" i="20"/>
  <c r="Z307" i="20"/>
  <c r="Y307" i="20"/>
  <c r="AA307" i="20"/>
  <c r="AJ307" i="20"/>
  <c r="AF307" i="20"/>
  <c r="AH307" i="20"/>
  <c r="Z972" i="20"/>
  <c r="AA972" i="20"/>
  <c r="Y972" i="20"/>
  <c r="AD972" i="20"/>
  <c r="AC972" i="20"/>
  <c r="AF972" i="20"/>
  <c r="AB972" i="20"/>
  <c r="AE972" i="20"/>
  <c r="AG972" i="20"/>
  <c r="AK972" i="20"/>
  <c r="AN972" i="20"/>
  <c r="AJ938" i="20"/>
  <c r="AD938" i="20"/>
  <c r="AF938" i="20"/>
  <c r="AC938" i="20"/>
  <c r="AA938" i="20"/>
  <c r="AB938" i="20"/>
  <c r="AN938" i="20"/>
  <c r="AE938" i="20"/>
  <c r="AG938" i="20"/>
  <c r="AK938" i="20"/>
  <c r="AL938" i="20"/>
  <c r="AI938" i="20"/>
  <c r="Y938" i="20"/>
  <c r="AN220" i="20"/>
  <c r="Y220" i="20"/>
  <c r="AG220" i="20"/>
  <c r="AA220" i="20"/>
  <c r="Z220" i="20"/>
  <c r="AF220" i="20"/>
  <c r="AK220" i="20"/>
  <c r="AD220" i="20"/>
  <c r="AL220" i="20"/>
  <c r="AC220" i="20"/>
  <c r="AN980" i="20"/>
  <c r="AG980" i="20"/>
  <c r="AB980" i="20"/>
  <c r="AA980" i="20"/>
  <c r="AL980" i="20"/>
  <c r="AD980" i="20"/>
  <c r="AE980" i="20"/>
  <c r="AC980" i="20"/>
  <c r="AH980" i="20"/>
  <c r="AJ980" i="20"/>
  <c r="AF980" i="20"/>
  <c r="Z980" i="20"/>
  <c r="AN595" i="20"/>
  <c r="AG595" i="20"/>
  <c r="AB595" i="20"/>
  <c r="AI595" i="20"/>
  <c r="AC595" i="20"/>
  <c r="AF595" i="20"/>
  <c r="AE595" i="20"/>
  <c r="AA595" i="20"/>
  <c r="Z595" i="20"/>
  <c r="Y595" i="20"/>
  <c r="AJ595" i="20"/>
  <c r="AD595" i="20"/>
  <c r="AN585" i="20"/>
  <c r="AK585" i="20"/>
  <c r="Z585" i="20"/>
  <c r="Y585" i="20"/>
  <c r="AC585" i="20"/>
  <c r="AB585" i="20"/>
  <c r="AA585" i="20"/>
  <c r="AD585" i="20"/>
  <c r="AH585" i="20"/>
  <c r="AF585" i="20"/>
  <c r="AE585" i="20"/>
  <c r="AN1007" i="20"/>
  <c r="AB1007" i="20"/>
  <c r="Y1007" i="20"/>
  <c r="AF1007" i="20"/>
  <c r="AC1007" i="20"/>
  <c r="AD1007" i="20"/>
  <c r="AH1007" i="20"/>
  <c r="AL1007" i="20"/>
  <c r="AE1007" i="20"/>
  <c r="AG1007" i="20"/>
  <c r="AA1007" i="20"/>
  <c r="Z1007" i="20"/>
  <c r="AK1007" i="20"/>
  <c r="AN290" i="20"/>
  <c r="Y290" i="20"/>
  <c r="AD290" i="20"/>
  <c r="AI290" i="20"/>
  <c r="AE290" i="20"/>
  <c r="AA290" i="20"/>
  <c r="AJ290" i="20"/>
  <c r="AC290" i="20"/>
  <c r="AB290" i="20"/>
  <c r="AF290" i="20"/>
  <c r="AK290" i="20"/>
  <c r="Z290" i="20"/>
  <c r="AN282" i="20"/>
  <c r="AK282" i="20"/>
  <c r="Z282" i="20"/>
  <c r="AF282" i="20"/>
  <c r="AA282" i="20"/>
  <c r="AD282" i="20"/>
  <c r="AB282" i="20"/>
  <c r="AH282" i="20"/>
  <c r="AJ282" i="20"/>
  <c r="AC282" i="20"/>
  <c r="AE276" i="20"/>
  <c r="AG276" i="20"/>
  <c r="AA276" i="20"/>
  <c r="AK276" i="20"/>
  <c r="AI276" i="20"/>
  <c r="AN276" i="20"/>
  <c r="Y276" i="20"/>
  <c r="Y1057" i="20"/>
  <c r="AG1057" i="20"/>
  <c r="AE1057" i="20"/>
  <c r="AB1057" i="20"/>
  <c r="AF1057" i="20"/>
  <c r="AA1057" i="20"/>
  <c r="AK1057" i="20"/>
  <c r="AL1057" i="20"/>
  <c r="Z1057" i="20"/>
  <c r="AI1057" i="20"/>
  <c r="AC1057" i="20"/>
  <c r="AN1057" i="20"/>
  <c r="AJ1057" i="20"/>
  <c r="AD1057" i="20"/>
  <c r="AJ197" i="20"/>
  <c r="AN197" i="20"/>
  <c r="Y197" i="20"/>
  <c r="Z197" i="20"/>
  <c r="AL197" i="20"/>
  <c r="AG197" i="20"/>
  <c r="AB197" i="20"/>
  <c r="AF197" i="20"/>
  <c r="AE197" i="20"/>
  <c r="AK197" i="20"/>
  <c r="AH197" i="20"/>
  <c r="AD197" i="20"/>
  <c r="AI197" i="20"/>
  <c r="AA197" i="20"/>
  <c r="AC197" i="20"/>
  <c r="AN263" i="20"/>
  <c r="AD263" i="20"/>
  <c r="AE263" i="20"/>
  <c r="AG263" i="20"/>
  <c r="AK263" i="20"/>
  <c r="Z263" i="20"/>
  <c r="AC263" i="20"/>
  <c r="AB263" i="20"/>
  <c r="AF263" i="20"/>
  <c r="AI263" i="20"/>
  <c r="Y263" i="20"/>
  <c r="AA263" i="20"/>
  <c r="AL263" i="20"/>
  <c r="AH263" i="20"/>
  <c r="AJ263" i="20"/>
  <c r="AE258" i="20"/>
  <c r="AF258" i="20"/>
  <c r="AD258" i="20"/>
  <c r="AA258" i="20"/>
  <c r="AG258" i="20"/>
  <c r="Y258" i="20"/>
  <c r="AH258" i="20"/>
  <c r="AB258" i="20"/>
  <c r="AN258" i="20"/>
  <c r="Z258" i="20"/>
  <c r="AC258" i="20"/>
  <c r="AK258" i="20"/>
  <c r="AJ258" i="20"/>
  <c r="AI253" i="20"/>
  <c r="AJ253" i="20"/>
  <c r="AH253" i="20"/>
  <c r="AE253" i="20"/>
  <c r="AB253" i="20"/>
  <c r="AK253" i="20"/>
  <c r="AF253" i="20"/>
  <c r="AC253" i="20"/>
  <c r="Y253" i="20"/>
  <c r="AG253" i="20"/>
  <c r="AL253" i="20"/>
  <c r="Z253" i="20"/>
  <c r="AN253" i="20"/>
  <c r="AD253" i="20"/>
  <c r="AA253" i="20"/>
  <c r="AN242" i="20"/>
  <c r="AJ242" i="20"/>
  <c r="AK242" i="20"/>
  <c r="AA242" i="20"/>
  <c r="AH242" i="20"/>
  <c r="AI242" i="20"/>
  <c r="AB242" i="20"/>
  <c r="AC242" i="20"/>
  <c r="AL242" i="20"/>
  <c r="AG242" i="20"/>
  <c r="AE242" i="20"/>
  <c r="AF242" i="20"/>
  <c r="AD242" i="20"/>
  <c r="Y242" i="20"/>
  <c r="Z242" i="20"/>
  <c r="AI238" i="20"/>
  <c r="AG238" i="20"/>
  <c r="AL238" i="20"/>
  <c r="Y238" i="20"/>
  <c r="AA238" i="20"/>
  <c r="AD238" i="20"/>
  <c r="AF238" i="20"/>
  <c r="AK238" i="20"/>
  <c r="AJ238" i="20"/>
  <c r="AB238" i="20"/>
  <c r="AH238" i="20"/>
  <c r="AE238" i="20"/>
  <c r="AN238" i="20"/>
  <c r="AC238" i="20"/>
  <c r="AJ231" i="20"/>
  <c r="AA231" i="20"/>
  <c r="Y231" i="20"/>
  <c r="AH231" i="20"/>
  <c r="AE231" i="20"/>
  <c r="AN231" i="20"/>
  <c r="AK231" i="20"/>
  <c r="AF231" i="20"/>
  <c r="AB231" i="20"/>
  <c r="AC231" i="20"/>
  <c r="AD231" i="20"/>
  <c r="AL231" i="20"/>
  <c r="AI231" i="20"/>
  <c r="Z231" i="20"/>
  <c r="AH227" i="20"/>
  <c r="Y227" i="20"/>
  <c r="AJ227" i="20"/>
  <c r="AD227" i="20"/>
  <c r="AF227" i="20"/>
  <c r="AK227" i="20"/>
  <c r="AE227" i="20"/>
  <c r="AC227" i="20"/>
  <c r="AG227" i="20"/>
  <c r="AI227" i="20"/>
  <c r="AL227" i="20"/>
  <c r="AN227" i="20"/>
  <c r="Z227" i="20"/>
  <c r="AB227" i="20"/>
  <c r="AN223" i="20"/>
  <c r="AB223" i="20"/>
  <c r="AD223" i="20"/>
  <c r="AI223" i="20"/>
  <c r="AG223" i="20"/>
  <c r="AF223" i="20"/>
  <c r="AK223" i="20"/>
  <c r="AA223" i="20"/>
  <c r="AE223" i="20"/>
  <c r="AC223" i="20"/>
  <c r="AJ223" i="20"/>
  <c r="Z223" i="20"/>
  <c r="Y223" i="20"/>
  <c r="AH223" i="20"/>
  <c r="AL223" i="20"/>
  <c r="AN207" i="20"/>
  <c r="AI207" i="20"/>
  <c r="AJ207" i="20"/>
  <c r="AL207" i="20"/>
  <c r="AA207" i="20"/>
  <c r="AB207" i="20"/>
  <c r="AC207" i="20"/>
  <c r="AD207" i="20"/>
  <c r="Y207" i="20"/>
  <c r="AE207" i="20"/>
  <c r="AG207" i="20"/>
  <c r="Z207" i="20"/>
  <c r="AK207" i="20"/>
  <c r="AF207" i="20"/>
  <c r="AH207" i="20"/>
  <c r="AB201" i="20"/>
  <c r="AL201" i="20"/>
  <c r="AF201" i="20"/>
  <c r="AK201" i="20"/>
  <c r="AG201" i="20"/>
  <c r="AD201" i="20"/>
  <c r="Z201" i="20"/>
  <c r="AN201" i="20"/>
  <c r="AJ201" i="20"/>
  <c r="Y201" i="20"/>
  <c r="AI201" i="20"/>
  <c r="AE201" i="20"/>
  <c r="AH201" i="20"/>
  <c r="AA201" i="20"/>
  <c r="AC201" i="20"/>
  <c r="AN195" i="20"/>
  <c r="Z195" i="20"/>
  <c r="AG195" i="20"/>
  <c r="AC195" i="20"/>
  <c r="AA195" i="20"/>
  <c r="AD195" i="20"/>
  <c r="AF195" i="20"/>
  <c r="AE195" i="20"/>
  <c r="AI195" i="20"/>
  <c r="Y195" i="20"/>
  <c r="AB195" i="20"/>
  <c r="AN328" i="20"/>
  <c r="AD328" i="20"/>
  <c r="AK328" i="20"/>
  <c r="AC328" i="20"/>
  <c r="AA328" i="20"/>
  <c r="AL328" i="20"/>
  <c r="AG328" i="20"/>
  <c r="AF328" i="20"/>
  <c r="Z328" i="20"/>
  <c r="Y328" i="20"/>
  <c r="AJ328" i="20"/>
  <c r="AE328" i="20"/>
  <c r="AI328" i="20"/>
  <c r="AB328" i="20"/>
  <c r="AN182" i="20"/>
  <c r="AD182" i="20"/>
  <c r="AC182" i="20"/>
  <c r="AL182" i="20"/>
  <c r="AB182" i="20"/>
  <c r="AI182" i="20"/>
  <c r="AA182" i="20"/>
  <c r="Z182" i="20"/>
  <c r="Y182" i="20"/>
  <c r="AF182" i="20"/>
  <c r="AJ182" i="20"/>
  <c r="AK182" i="20"/>
  <c r="AG182" i="20"/>
  <c r="AH182" i="20"/>
  <c r="AL80" i="20"/>
  <c r="AD80" i="20"/>
  <c r="AE80" i="20"/>
  <c r="Y80" i="20"/>
  <c r="AN80" i="20"/>
  <c r="Z80" i="20"/>
  <c r="AK80" i="20"/>
  <c r="AH80" i="20"/>
  <c r="AC80" i="20"/>
  <c r="AJ80" i="20"/>
  <c r="AF80" i="20"/>
  <c r="AB80" i="20"/>
  <c r="AA80" i="20"/>
  <c r="AN18" i="20"/>
  <c r="AJ18" i="20"/>
  <c r="Y18" i="20"/>
  <c r="Z18" i="20"/>
  <c r="AG18" i="20"/>
  <c r="AK18" i="20"/>
  <c r="AA18" i="20"/>
  <c r="AD18" i="20"/>
  <c r="AI18" i="20"/>
  <c r="AH18" i="20"/>
  <c r="AL18" i="20"/>
  <c r="AE18" i="20"/>
  <c r="AF18" i="20"/>
  <c r="AC18" i="20"/>
  <c r="AB18" i="20"/>
  <c r="AN190" i="20"/>
  <c r="AD190" i="20"/>
  <c r="Z190" i="20"/>
  <c r="AA190" i="20"/>
  <c r="AI190" i="20"/>
  <c r="AE190" i="20"/>
  <c r="AJ190" i="20"/>
  <c r="AC190" i="20"/>
  <c r="AF190" i="20"/>
  <c r="AB190" i="20"/>
  <c r="AH190" i="20"/>
  <c r="Y190" i="20"/>
  <c r="AG190" i="20"/>
  <c r="AC181" i="20"/>
  <c r="Z181" i="20"/>
  <c r="AF181" i="20"/>
  <c r="AN181" i="20"/>
  <c r="AG181" i="20"/>
  <c r="Y181" i="20"/>
  <c r="AE181" i="20"/>
  <c r="AK181" i="20"/>
  <c r="AB181" i="20"/>
  <c r="AL181" i="20"/>
  <c r="AA181" i="20"/>
  <c r="AI181" i="20"/>
  <c r="AN179" i="20"/>
  <c r="AF179" i="20"/>
  <c r="AC179" i="20"/>
  <c r="AK179" i="20"/>
  <c r="AG179" i="20"/>
  <c r="AB179" i="20"/>
  <c r="AE179" i="20"/>
  <c r="AI179" i="20"/>
  <c r="Y179" i="20"/>
  <c r="AD179" i="20"/>
  <c r="AL179" i="20"/>
  <c r="Z179" i="20"/>
  <c r="AN172" i="20"/>
  <c r="AB172" i="20"/>
  <c r="AI172" i="20"/>
  <c r="AF172" i="20"/>
  <c r="AD172" i="20"/>
  <c r="Z172" i="20"/>
  <c r="AE172" i="20"/>
  <c r="AK172" i="20"/>
  <c r="AG172" i="20"/>
  <c r="Y172" i="20"/>
  <c r="AA172" i="20"/>
  <c r="AI157" i="20"/>
  <c r="AJ157" i="20"/>
  <c r="Y157" i="20"/>
  <c r="Z157" i="20"/>
  <c r="AG157" i="20"/>
  <c r="AK157" i="20"/>
  <c r="AF157" i="20"/>
  <c r="AC157" i="20"/>
  <c r="AA157" i="20"/>
  <c r="AD157" i="20"/>
  <c r="AB157" i="20"/>
  <c r="AE157" i="20"/>
  <c r="AN157" i="20"/>
  <c r="AN1004" i="20"/>
  <c r="AF1004" i="20"/>
  <c r="AC1004" i="20"/>
  <c r="AI1004" i="20"/>
  <c r="AL1004" i="20"/>
  <c r="AH1004" i="20"/>
  <c r="AK1004" i="20"/>
  <c r="AE1004" i="20"/>
  <c r="Z1004" i="20"/>
  <c r="AB1004" i="20"/>
  <c r="AJ1004" i="20"/>
  <c r="AA1004" i="20"/>
  <c r="AG1004" i="20"/>
  <c r="Y1004" i="20"/>
  <c r="AN153" i="20"/>
  <c r="AB153" i="20"/>
  <c r="AD153" i="20"/>
  <c r="AF153" i="20"/>
  <c r="Y153" i="20"/>
  <c r="AC153" i="20"/>
  <c r="AA153" i="20"/>
  <c r="AE153" i="20"/>
  <c r="AG153" i="20"/>
  <c r="AH153" i="20"/>
  <c r="AK153" i="20"/>
  <c r="AN149" i="20"/>
  <c r="AF149" i="20"/>
  <c r="AC149" i="20"/>
  <c r="Y149" i="20"/>
  <c r="AB149" i="20"/>
  <c r="AG149" i="20"/>
  <c r="AI149" i="20"/>
  <c r="AA149" i="20"/>
  <c r="AE149" i="20"/>
  <c r="AN140" i="20"/>
  <c r="AC140" i="20"/>
  <c r="AB140" i="20"/>
  <c r="AA140" i="20"/>
  <c r="AD140" i="20"/>
  <c r="AJ140" i="20"/>
  <c r="Y140" i="20"/>
  <c r="AF140" i="20"/>
  <c r="AE140" i="20"/>
  <c r="AK140" i="20"/>
  <c r="Z140" i="20"/>
  <c r="AG140" i="20"/>
  <c r="AB1051" i="20"/>
  <c r="AA1051" i="20"/>
  <c r="Y1051" i="20"/>
  <c r="Z1051" i="20"/>
  <c r="AK1051" i="20"/>
  <c r="AI1051" i="20"/>
  <c r="AJ1051" i="20"/>
  <c r="AH1051" i="20"/>
  <c r="AF1051" i="20"/>
  <c r="AG1051" i="20"/>
  <c r="AE1051" i="20"/>
  <c r="AN1051" i="20"/>
  <c r="AD1051" i="20"/>
  <c r="AC1051" i="20"/>
  <c r="AD871" i="20"/>
  <c r="AN871" i="20"/>
  <c r="AC871" i="20"/>
  <c r="AH871" i="20"/>
  <c r="AJ871" i="20"/>
  <c r="AI871" i="20"/>
  <c r="AL871" i="20"/>
  <c r="AK871" i="20"/>
  <c r="AA871" i="20"/>
  <c r="AE871" i="20"/>
  <c r="Y871" i="20"/>
  <c r="AF871" i="20"/>
  <c r="AG871" i="20"/>
  <c r="Z871" i="20"/>
  <c r="AB871" i="20"/>
  <c r="AL731" i="20"/>
  <c r="AI731" i="20"/>
  <c r="AG731" i="20"/>
  <c r="Z731" i="20"/>
  <c r="AJ731" i="20"/>
  <c r="AH731" i="20"/>
  <c r="AD731" i="20"/>
  <c r="AC731" i="20"/>
  <c r="AE731" i="20"/>
  <c r="AK731" i="20"/>
  <c r="AF731" i="20"/>
  <c r="AN731" i="20"/>
  <c r="Y731" i="20"/>
  <c r="AB731" i="20"/>
  <c r="AA731" i="20"/>
  <c r="AG133" i="20"/>
  <c r="AD133" i="20"/>
  <c r="AK133" i="20"/>
  <c r="AE133" i="20"/>
  <c r="AC133" i="20"/>
  <c r="Z133" i="20"/>
  <c r="AJ133" i="20"/>
  <c r="AB133" i="20"/>
  <c r="AF133" i="20"/>
  <c r="AI133" i="20"/>
  <c r="AA133" i="20"/>
  <c r="AH133" i="20"/>
  <c r="Y125" i="20"/>
  <c r="AJ125" i="20"/>
  <c r="AA125" i="20"/>
  <c r="AF125" i="20"/>
  <c r="AG125" i="20"/>
  <c r="AE125" i="20"/>
  <c r="AH125" i="20"/>
  <c r="AN125" i="20"/>
  <c r="AC125" i="20"/>
  <c r="Y123" i="20"/>
  <c r="Z123" i="20"/>
  <c r="AI123" i="20"/>
  <c r="AN123" i="20"/>
  <c r="AE123" i="20"/>
  <c r="AK123" i="20"/>
  <c r="AG123" i="20"/>
  <c r="AL123" i="20"/>
  <c r="AA123" i="20"/>
  <c r="AH123" i="20"/>
  <c r="AA115" i="20"/>
  <c r="AK115" i="20"/>
  <c r="AJ115" i="20"/>
  <c r="AF115" i="20"/>
  <c r="AD115" i="20"/>
  <c r="AG115" i="20"/>
  <c r="AB115" i="20"/>
  <c r="AI115" i="20"/>
  <c r="AL115" i="20"/>
  <c r="AH115" i="20"/>
  <c r="AN115" i="20"/>
  <c r="Y115" i="20"/>
  <c r="Z115" i="20"/>
  <c r="AK110" i="20"/>
  <c r="AJ110" i="20"/>
  <c r="AH110" i="20"/>
  <c r="AN110" i="20"/>
  <c r="Y110" i="20"/>
  <c r="AE110" i="20"/>
  <c r="AD110" i="20"/>
  <c r="AF110" i="20"/>
  <c r="AA110" i="20"/>
  <c r="AG110" i="20"/>
  <c r="AI110" i="20"/>
  <c r="AL110" i="20"/>
  <c r="AL107" i="20"/>
  <c r="AB107" i="20"/>
  <c r="AI107" i="20"/>
  <c r="AF107" i="20"/>
  <c r="AA107" i="20"/>
  <c r="AJ107" i="20"/>
  <c r="AC107" i="20"/>
  <c r="AH107" i="20"/>
  <c r="AD107" i="20"/>
  <c r="AK107" i="20"/>
  <c r="AG107" i="20"/>
  <c r="AF95" i="20"/>
  <c r="AG95" i="20"/>
  <c r="AD95" i="20"/>
  <c r="AI95" i="20"/>
  <c r="Z95" i="20"/>
  <c r="AA95" i="20"/>
  <c r="AH95" i="20"/>
  <c r="AN95" i="20"/>
  <c r="AK95" i="20"/>
  <c r="AB95" i="20"/>
  <c r="AC95" i="20"/>
  <c r="AE95" i="20"/>
  <c r="AD86" i="20"/>
  <c r="AC86" i="20"/>
  <c r="AE86" i="20"/>
  <c r="Z86" i="20"/>
  <c r="AK86" i="20"/>
  <c r="AG86" i="20"/>
  <c r="AH86" i="20"/>
  <c r="AA86" i="20"/>
  <c r="AN86" i="20"/>
  <c r="AF86" i="20"/>
  <c r="AB86" i="20"/>
  <c r="AD75" i="20"/>
  <c r="AJ75" i="20"/>
  <c r="AL75" i="20"/>
  <c r="AB75" i="20"/>
  <c r="AK75" i="20"/>
  <c r="AA75" i="20"/>
  <c r="AF75" i="20"/>
  <c r="AC75" i="20"/>
  <c r="AE75" i="20"/>
  <c r="AI75" i="20"/>
  <c r="AG75" i="20"/>
  <c r="AH75" i="20"/>
  <c r="AF70" i="20"/>
  <c r="AC70" i="20"/>
  <c r="Y70" i="20"/>
  <c r="AD70" i="20"/>
  <c r="AL70" i="20"/>
  <c r="AG70" i="20"/>
  <c r="AI70" i="20"/>
  <c r="AJ70" i="20"/>
  <c r="AE70" i="20"/>
  <c r="AB70" i="20"/>
  <c r="AE62" i="20"/>
  <c r="Y62" i="20"/>
  <c r="Z62" i="20"/>
  <c r="AN62" i="20"/>
  <c r="AJ62" i="20"/>
  <c r="AI62" i="20"/>
  <c r="AG62" i="20"/>
  <c r="AA62" i="20"/>
  <c r="AL62" i="20"/>
  <c r="AB62" i="20"/>
  <c r="AD62" i="20"/>
  <c r="AC55" i="20"/>
  <c r="AD55" i="20"/>
  <c r="AE55" i="20"/>
  <c r="AI55" i="20"/>
  <c r="Y55" i="20"/>
  <c r="AG55" i="20"/>
  <c r="AL55" i="20"/>
  <c r="AA55" i="20"/>
  <c r="Z55" i="20"/>
  <c r="AJ55" i="20"/>
  <c r="AC48" i="20"/>
  <c r="AD48" i="20"/>
  <c r="AA48" i="20"/>
  <c r="AG48" i="20"/>
  <c r="AL48" i="20"/>
  <c r="AE48" i="20"/>
  <c r="AI48" i="20"/>
  <c r="Y48" i="20"/>
  <c r="AJ48" i="20"/>
  <c r="AD28" i="20"/>
  <c r="AJ28" i="20"/>
  <c r="AK28" i="20"/>
  <c r="AF28" i="20"/>
  <c r="AE28" i="20"/>
  <c r="AI28" i="20"/>
  <c r="AG28" i="20"/>
  <c r="AL28" i="20"/>
  <c r="AH28" i="20"/>
  <c r="AN28" i="20"/>
  <c r="AB28" i="20"/>
  <c r="AA28" i="20"/>
  <c r="AC28" i="20"/>
  <c r="Y28" i="20"/>
  <c r="AP764" i="20"/>
  <c r="AR764" i="20"/>
  <c r="AN815" i="20"/>
  <c r="AK815" i="20"/>
  <c r="AI815" i="20"/>
  <c r="AC815" i="20"/>
  <c r="Z815" i="20"/>
  <c r="AF815" i="20"/>
  <c r="AE815" i="20"/>
  <c r="AG815" i="20"/>
  <c r="Y815" i="20"/>
  <c r="AD815" i="20"/>
  <c r="AA815" i="20"/>
  <c r="AL979" i="20"/>
  <c r="AL84" i="20"/>
  <c r="AJ1007" i="20"/>
  <c r="AJ638" i="20"/>
  <c r="AJ276" i="20"/>
  <c r="AI286" i="20"/>
  <c r="AI519" i="20"/>
  <c r="AI433" i="20"/>
  <c r="AI972" i="20"/>
  <c r="AI515" i="20"/>
  <c r="AI980" i="20"/>
  <c r="AI220" i="20"/>
  <c r="AI908" i="20"/>
  <c r="AL157" i="20"/>
  <c r="AG369" i="20"/>
  <c r="AI623" i="20"/>
  <c r="AI282" i="20"/>
  <c r="AI806" i="20"/>
  <c r="AI585" i="20"/>
  <c r="AI26" i="20"/>
  <c r="AI674" i="20"/>
  <c r="AJ565" i="20"/>
  <c r="AJ588" i="20"/>
  <c r="AJ937" i="20"/>
  <c r="AJ91" i="20"/>
  <c r="AJ934" i="20"/>
  <c r="AJ998" i="20"/>
  <c r="AL330" i="20"/>
  <c r="AL700" i="20"/>
  <c r="AL405" i="20"/>
  <c r="AL1000" i="20"/>
  <c r="AL934" i="20"/>
  <c r="AL647" i="20"/>
  <c r="AI660" i="20"/>
  <c r="AI529" i="20"/>
  <c r="AJ195" i="20"/>
  <c r="AJ811" i="20"/>
  <c r="AJ684" i="20"/>
  <c r="AJ742" i="20"/>
  <c r="AJ676" i="20"/>
  <c r="AJ569" i="20"/>
  <c r="AJ122" i="20"/>
  <c r="AL195" i="20"/>
  <c r="AL914" i="20"/>
  <c r="AL149" i="20"/>
  <c r="AL726" i="20"/>
  <c r="AL777" i="20"/>
  <c r="AL329" i="20"/>
  <c r="AH1016" i="20"/>
  <c r="AH1021" i="20"/>
  <c r="AJ839" i="20"/>
  <c r="AJ513" i="20"/>
  <c r="AJ631" i="20"/>
  <c r="H51" i="86" s="1"/>
  <c r="K51" i="86" s="1"/>
  <c r="AJ608" i="20"/>
  <c r="AJ174" i="20"/>
  <c r="AJ172" i="20"/>
  <c r="AJ369" i="20"/>
  <c r="AL996" i="20"/>
  <c r="AL282" i="20"/>
  <c r="AL806" i="20"/>
  <c r="AL143" i="20"/>
  <c r="AL465" i="20"/>
  <c r="AL216" i="20"/>
  <c r="AL904" i="20"/>
  <c r="AL972" i="20"/>
  <c r="AL131" i="20"/>
  <c r="AH498" i="20"/>
  <c r="AH806" i="20"/>
  <c r="AH994" i="20"/>
  <c r="AH777" i="20"/>
  <c r="AH599" i="20"/>
  <c r="AH1033" i="20"/>
  <c r="AH896" i="20"/>
  <c r="AH460" i="20"/>
  <c r="AL790" i="20"/>
  <c r="AL660" i="20"/>
  <c r="AE329" i="20"/>
  <c r="AH825" i="20"/>
  <c r="AH369" i="20"/>
  <c r="AL122" i="20"/>
  <c r="AL172" i="20"/>
  <c r="AL286" i="20"/>
  <c r="AH140" i="20"/>
  <c r="AH1027" i="20"/>
  <c r="AH179" i="20"/>
  <c r="AH846" i="20"/>
  <c r="AH670" i="20"/>
  <c r="AH802" i="20"/>
  <c r="AH276" i="20"/>
  <c r="AH430" i="20"/>
  <c r="AH465" i="20"/>
  <c r="AH887" i="20"/>
  <c r="AH463" i="20"/>
  <c r="AH529" i="20"/>
  <c r="AH533" i="20"/>
  <c r="AH834" i="20"/>
  <c r="AH676" i="20"/>
  <c r="AH344" i="20"/>
  <c r="AH863" i="20"/>
  <c r="AH216" i="20"/>
  <c r="AH58" i="20"/>
  <c r="AH789" i="20"/>
  <c r="AH595" i="20"/>
  <c r="AH674" i="20"/>
  <c r="AK537" i="20"/>
  <c r="AK967" i="20"/>
  <c r="Y463" i="20"/>
  <c r="AA105" i="20"/>
  <c r="AC480" i="20"/>
  <c r="AG1035" i="20"/>
  <c r="AD777" i="20"/>
  <c r="AB1027" i="20"/>
  <c r="Y779" i="20"/>
  <c r="AG405" i="20"/>
  <c r="AG543" i="20"/>
  <c r="AF404" i="20"/>
  <c r="AK26" i="20"/>
  <c r="AC670" i="20"/>
  <c r="AD485" i="20"/>
  <c r="AC621" i="20"/>
  <c r="AK777" i="20"/>
  <c r="AB1033" i="20"/>
  <c r="Y1021" i="20"/>
  <c r="Y509" i="20"/>
  <c r="AD789" i="20"/>
  <c r="AC988" i="20"/>
  <c r="AB801" i="20"/>
  <c r="AG647" i="20"/>
  <c r="AC801" i="20"/>
  <c r="Z973" i="20"/>
  <c r="AD998" i="20"/>
  <c r="Z608" i="20"/>
  <c r="Z20" i="20"/>
  <c r="AF58" i="20"/>
  <c r="AC202" i="20"/>
  <c r="AG867" i="20"/>
  <c r="Z1035" i="20"/>
  <c r="AB777" i="20"/>
  <c r="AD344" i="20"/>
  <c r="Z604" i="20"/>
  <c r="AB404" i="20"/>
  <c r="AK565" i="20"/>
  <c r="AD91" i="20"/>
  <c r="AB896" i="20"/>
  <c r="AG20" i="20"/>
  <c r="AD988" i="20"/>
  <c r="AE745" i="20"/>
  <c r="AC563" i="20"/>
  <c r="Z463" i="20"/>
  <c r="AE919" i="20"/>
  <c r="AC1046" i="20"/>
  <c r="AC967" i="20"/>
  <c r="AF533" i="20"/>
  <c r="AB445" i="20"/>
  <c r="AD489" i="20"/>
  <c r="AK264" i="20"/>
  <c r="AF509" i="20"/>
  <c r="AG548" i="20"/>
  <c r="AG742" i="20"/>
  <c r="Y849" i="20"/>
  <c r="AE147" i="20"/>
  <c r="AF904" i="20"/>
  <c r="AC676" i="20"/>
  <c r="AA934" i="20"/>
  <c r="AB508" i="20"/>
  <c r="Y761" i="20"/>
  <c r="AG286" i="20"/>
  <c r="AG863" i="20"/>
  <c r="Z794" i="20"/>
  <c r="AA887" i="20"/>
  <c r="AF604" i="20"/>
  <c r="AF526" i="20"/>
  <c r="AF445" i="20"/>
  <c r="AA411" i="20"/>
  <c r="Z887" i="20"/>
  <c r="AD973" i="20"/>
  <c r="AB749" i="20"/>
  <c r="AA928" i="20"/>
  <c r="Z457" i="20"/>
  <c r="AB742" i="20"/>
  <c r="Y1027" i="20"/>
  <c r="AC433" i="20"/>
  <c r="AC700" i="20"/>
  <c r="AD1046" i="20"/>
  <c r="AF442" i="20"/>
  <c r="AC591" i="20"/>
  <c r="AF519" i="20"/>
  <c r="AA638" i="20"/>
  <c r="Y672" i="20"/>
  <c r="AF631" i="20"/>
  <c r="AE996" i="20"/>
  <c r="AK849" i="20"/>
  <c r="AE811" i="20"/>
  <c r="AC1033" i="20"/>
  <c r="AF513" i="20"/>
  <c r="Z674" i="20"/>
  <c r="AC580" i="20"/>
  <c r="Z122" i="20"/>
  <c r="AE1040" i="20"/>
  <c r="AD430" i="20"/>
  <c r="Z143" i="20"/>
  <c r="AG520" i="20"/>
  <c r="Z149" i="20"/>
  <c r="AG914" i="20"/>
  <c r="AK465" i="20"/>
  <c r="Z411" i="20"/>
  <c r="AD529" i="20"/>
  <c r="AC276" i="20"/>
  <c r="Z319" i="20"/>
  <c r="AD181" i="20"/>
  <c r="AK195" i="20"/>
  <c r="AE674" i="20"/>
  <c r="Z450" i="20"/>
  <c r="AA369" i="20"/>
  <c r="AD149" i="20"/>
  <c r="AJ395" i="20"/>
  <c r="AC105" i="20"/>
  <c r="AC996" i="20"/>
  <c r="AF457" i="20"/>
  <c r="AI80" i="20"/>
  <c r="AA227" i="20"/>
  <c r="Y1111" i="20"/>
  <c r="AH1115" i="20"/>
  <c r="AD1103" i="20"/>
  <c r="AF62" i="20"/>
  <c r="AP811" i="20"/>
  <c r="AR811" i="20"/>
  <c r="AR288" i="20"/>
  <c r="AP288" i="20"/>
  <c r="AK451" i="20"/>
  <c r="Z451" i="20"/>
  <c r="AB451" i="20"/>
  <c r="Y451" i="20"/>
  <c r="AJ451" i="20"/>
  <c r="AN451" i="20"/>
  <c r="AG451" i="20"/>
  <c r="AC451" i="20"/>
  <c r="AF451" i="20"/>
  <c r="AL430" i="20"/>
  <c r="AJ965" i="20"/>
  <c r="AR185" i="20"/>
  <c r="AR863" i="20"/>
  <c r="AL819" i="20"/>
  <c r="AL1040" i="20"/>
  <c r="AJ264" i="20"/>
  <c r="AJ319" i="20"/>
  <c r="AJ681" i="20"/>
  <c r="AJ540" i="20"/>
  <c r="AI329" i="20"/>
  <c r="AI790" i="20"/>
  <c r="AI819" i="20"/>
  <c r="AI592" i="20"/>
  <c r="AL1027" i="20"/>
  <c r="AL202" i="20"/>
  <c r="AL621" i="20"/>
  <c r="AL393" i="20"/>
  <c r="AI617" i="20"/>
  <c r="AI681" i="20"/>
  <c r="AI140" i="20"/>
  <c r="AI757" i="20"/>
  <c r="AI145" i="20"/>
  <c r="AI430" i="20"/>
  <c r="AI548" i="20"/>
  <c r="AJ996" i="20"/>
  <c r="AJ442" i="20"/>
  <c r="AJ738" i="20"/>
  <c r="AJ26" i="20"/>
  <c r="AJ887" i="20"/>
  <c r="AJ975" i="20"/>
  <c r="AJ404" i="20"/>
  <c r="AL761" i="20"/>
  <c r="AL689" i="20"/>
  <c r="AH588" i="20"/>
  <c r="AI998" i="20"/>
  <c r="AJ761" i="20"/>
  <c r="AJ914" i="20"/>
  <c r="AJ147" i="20"/>
  <c r="AJ465" i="20"/>
  <c r="AJ526" i="20"/>
  <c r="AJ20" i="20"/>
  <c r="AJ179" i="20"/>
  <c r="AL867" i="20"/>
  <c r="AL815" i="20"/>
  <c r="AL802" i="20"/>
  <c r="AL795" i="20"/>
  <c r="AL147" i="20"/>
  <c r="AL631" i="20"/>
  <c r="AL732" i="20"/>
  <c r="AL988" i="20"/>
  <c r="AJ641" i="20"/>
  <c r="AJ220" i="20"/>
  <c r="AJ689" i="20"/>
  <c r="AJ972" i="20"/>
  <c r="AJ1046" i="20"/>
  <c r="AJ463" i="20"/>
  <c r="AJ672" i="20"/>
  <c r="AJ286" i="20"/>
  <c r="AL617" i="20"/>
  <c r="AL681" i="20"/>
  <c r="AL140" i="20"/>
  <c r="AL757" i="20"/>
  <c r="AL896" i="20"/>
  <c r="AL20" i="20"/>
  <c r="AL445" i="20"/>
  <c r="AH330" i="20"/>
  <c r="AH84" i="20"/>
  <c r="AH350" i="20"/>
  <c r="AH405" i="20"/>
  <c r="AH641" i="20"/>
  <c r="AH900" i="20"/>
  <c r="AH608" i="20"/>
  <c r="AL849" i="20"/>
  <c r="AL967" i="20"/>
  <c r="AL460" i="20"/>
  <c r="AL975" i="20"/>
  <c r="AL451" i="20"/>
  <c r="AH757" i="20"/>
  <c r="AH329" i="20"/>
  <c r="AH513" i="20"/>
  <c r="AL433" i="20"/>
  <c r="AL672" i="20"/>
  <c r="AL535" i="20"/>
  <c r="AC329" i="20"/>
  <c r="AH604" i="20"/>
  <c r="AH442" i="20"/>
  <c r="AH519" i="20"/>
  <c r="AH914" i="20"/>
  <c r="AH1040" i="20"/>
  <c r="AH672" i="20"/>
  <c r="AH143" i="20"/>
  <c r="AH423" i="20"/>
  <c r="AH480" i="20"/>
  <c r="AH732" i="20"/>
  <c r="AH660" i="20"/>
  <c r="AH563" i="20"/>
  <c r="AH509" i="20"/>
  <c r="AH998" i="20"/>
  <c r="AH592" i="20"/>
  <c r="AH105" i="20"/>
  <c r="AH397" i="20"/>
  <c r="AH515" i="20"/>
  <c r="AH26" i="20"/>
  <c r="AH264" i="20"/>
  <c r="AH122" i="20"/>
  <c r="AH795" i="20"/>
  <c r="AH801" i="20"/>
  <c r="AH131" i="20"/>
  <c r="AH681" i="20"/>
  <c r="AH520" i="20"/>
  <c r="AK819" i="20"/>
  <c r="AD1033" i="20"/>
  <c r="AB676" i="20"/>
  <c r="AD591" i="20"/>
  <c r="AE318" i="20"/>
  <c r="AF91" i="20"/>
  <c r="AF563" i="20"/>
  <c r="AD565" i="20"/>
  <c r="Y404" i="20"/>
  <c r="AD537" i="20"/>
  <c r="AE480" i="20"/>
  <c r="Z647" i="20"/>
  <c r="Y131" i="20"/>
  <c r="Y202" i="20"/>
  <c r="AD599" i="20"/>
  <c r="AB344" i="20"/>
  <c r="AG565" i="20"/>
  <c r="AA330" i="20"/>
  <c r="AF393" i="20"/>
  <c r="AE973" i="20"/>
  <c r="AF548" i="20"/>
  <c r="AA631" i="20"/>
  <c r="AD863" i="20"/>
  <c r="Y806" i="20"/>
  <c r="AE904" i="20"/>
  <c r="AE543" i="20"/>
  <c r="AE928" i="20"/>
  <c r="Y621" i="20"/>
  <c r="AK286" i="20"/>
  <c r="AD742" i="20"/>
  <c r="Y732" i="20"/>
  <c r="AG1016" i="20"/>
  <c r="AA608" i="20"/>
  <c r="AD975" i="20"/>
  <c r="AF330" i="20"/>
  <c r="AK480" i="20"/>
  <c r="AB535" i="20"/>
  <c r="Z330" i="20"/>
  <c r="AE20" i="20"/>
  <c r="AB1021" i="20"/>
  <c r="AG131" i="20"/>
  <c r="AK105" i="20"/>
  <c r="Z863" i="20"/>
  <c r="AG919" i="20"/>
  <c r="Y670" i="20"/>
  <c r="AC790" i="20"/>
  <c r="AD460" i="20"/>
  <c r="AA604" i="20"/>
  <c r="Z757" i="20"/>
  <c r="AE588" i="20"/>
  <c r="AF535" i="20"/>
  <c r="AB318" i="20"/>
  <c r="AA1040" i="20"/>
  <c r="AF480" i="20"/>
  <c r="AB91" i="20"/>
  <c r="Z498" i="20"/>
  <c r="AG738" i="20"/>
  <c r="Z580" i="20"/>
  <c r="AC554" i="20"/>
  <c r="Z526" i="20"/>
  <c r="AB613" i="20"/>
  <c r="Y867" i="20"/>
  <c r="AF1000" i="20"/>
  <c r="AD576" i="20"/>
  <c r="AA732" i="20"/>
  <c r="Z928" i="20"/>
  <c r="AF843" i="20"/>
  <c r="AG996" i="20"/>
  <c r="Y794" i="20"/>
  <c r="AK937" i="20"/>
  <c r="AF147" i="20"/>
  <c r="Z533" i="20"/>
  <c r="AC445" i="20"/>
  <c r="AG676" i="20"/>
  <c r="AA442" i="20"/>
  <c r="AF1033" i="20"/>
  <c r="AE395" i="20"/>
  <c r="AA143" i="20"/>
  <c r="AE433" i="20"/>
  <c r="AB849" i="20"/>
  <c r="AK700" i="20"/>
  <c r="Y554" i="20"/>
  <c r="Z430" i="20"/>
  <c r="AG1040" i="20"/>
  <c r="AB806" i="20"/>
  <c r="AG290" i="20"/>
  <c r="AF896" i="20"/>
  <c r="AK623" i="20"/>
  <c r="AE937" i="20"/>
  <c r="AK727" i="20"/>
  <c r="AF738" i="20"/>
  <c r="Z937" i="20"/>
  <c r="AF727" i="20"/>
  <c r="Y411" i="20"/>
  <c r="AC387" i="20"/>
  <c r="AA760" i="20"/>
  <c r="AD450" i="20"/>
  <c r="AC395" i="20"/>
  <c r="AB411" i="20"/>
  <c r="AA350" i="20"/>
  <c r="AF760" i="20"/>
  <c r="Y980" i="20"/>
  <c r="Y282" i="20"/>
  <c r="AC674" i="20"/>
  <c r="AE481" i="20"/>
  <c r="AB540" i="20"/>
  <c r="Y481" i="20"/>
  <c r="AG993" i="20"/>
  <c r="AF276" i="20"/>
  <c r="AA179" i="20"/>
  <c r="AE282" i="20"/>
  <c r="AI481" i="20"/>
  <c r="AC172" i="20"/>
  <c r="AJ1016" i="20"/>
  <c r="AC599" i="20"/>
  <c r="AG576" i="20"/>
  <c r="AK975" i="20"/>
  <c r="AC672" i="20"/>
  <c r="AC789" i="20"/>
  <c r="Z147" i="20"/>
  <c r="AI258" i="20"/>
  <c r="Z238" i="20"/>
  <c r="AL258" i="20"/>
  <c r="AG231" i="20"/>
  <c r="AN988" i="20"/>
  <c r="AL1051" i="20"/>
  <c r="AC1127" i="20"/>
  <c r="AG1099" i="20"/>
  <c r="AN55" i="20"/>
  <c r="AN48" i="20"/>
  <c r="Z48" i="20"/>
  <c r="AJ883" i="20"/>
  <c r="AC950" i="20"/>
  <c r="AL773" i="20"/>
  <c r="AB765" i="20"/>
  <c r="AJ850" i="20"/>
  <c r="AC340" i="20"/>
  <c r="AI381" i="20"/>
  <c r="AC359" i="20"/>
  <c r="AL15" i="20"/>
  <c r="AK15" i="20"/>
  <c r="AI15" i="20"/>
  <c r="Y583" i="20"/>
  <c r="AC977" i="20"/>
  <c r="AI883" i="20"/>
  <c r="AC355" i="20"/>
  <c r="AP359" i="20"/>
  <c r="E34" i="40"/>
  <c r="M11" i="36"/>
  <c r="M26" i="36"/>
  <c r="O39" i="37"/>
  <c r="P15" i="36"/>
  <c r="B29" i="37"/>
  <c r="C29" i="37"/>
  <c r="N8" i="36"/>
  <c r="AA4" i="66" s="1"/>
  <c r="AM28" i="40"/>
  <c r="J28" i="40" s="1"/>
  <c r="AN58" i="40"/>
  <c r="K27" i="40" s="1"/>
  <c r="AO58" i="40"/>
  <c r="L27" i="40" s="1"/>
  <c r="AM58" i="40"/>
  <c r="J27" i="40" s="1"/>
  <c r="AL58" i="40"/>
  <c r="I27" i="40" s="1"/>
  <c r="P8" i="36"/>
  <c r="L8" i="36" s="1"/>
  <c r="O8" i="36" s="1"/>
  <c r="P23" i="36"/>
  <c r="K39" i="37"/>
  <c r="P26" i="36"/>
  <c r="L26" i="36" s="1"/>
  <c r="O26" i="36" s="1"/>
  <c r="P17" i="36"/>
  <c r="X24" i="66"/>
  <c r="AQ37" i="40"/>
  <c r="AQ51" i="40"/>
  <c r="C28" i="36"/>
  <c r="P11" i="36"/>
  <c r="L11" i="36" s="1"/>
  <c r="O11" i="36" s="1"/>
  <c r="P24" i="36"/>
  <c r="L24" i="36" s="1"/>
  <c r="O24" i="36" s="1"/>
  <c r="AQ50" i="40"/>
  <c r="AQ58" i="40"/>
  <c r="AQ54" i="40"/>
  <c r="AQ56" i="40"/>
  <c r="AQ47" i="40"/>
  <c r="AQ42" i="40"/>
  <c r="AQ55" i="40"/>
  <c r="AQ45" i="40"/>
  <c r="AQ40" i="40"/>
  <c r="AQ53" i="40"/>
  <c r="AQ48" i="40"/>
  <c r="AQ44" i="40"/>
  <c r="AQ39" i="40"/>
  <c r="AR1041" i="20"/>
  <c r="AP1041" i="20"/>
  <c r="AP235" i="20"/>
  <c r="AR235" i="20"/>
  <c r="AP144" i="20"/>
  <c r="AR144" i="20"/>
  <c r="AP64" i="20"/>
  <c r="AR64" i="20"/>
  <c r="AP1060" i="20"/>
  <c r="AR1060" i="20"/>
  <c r="AP785" i="20"/>
  <c r="AR785" i="20"/>
  <c r="AP508" i="20"/>
  <c r="AR508" i="20"/>
  <c r="AP1048" i="20"/>
  <c r="AR1048" i="20"/>
  <c r="AP725" i="20"/>
  <c r="AR725" i="20"/>
  <c r="AR153" i="20"/>
  <c r="AP153" i="20"/>
  <c r="AP733" i="20"/>
  <c r="AR733" i="20"/>
  <c r="AP12" i="20"/>
  <c r="AR12" i="20"/>
  <c r="AP572" i="20"/>
  <c r="AR572" i="20"/>
  <c r="AP530" i="20"/>
  <c r="AR530" i="20"/>
  <c r="AR600" i="20"/>
  <c r="AP600" i="20"/>
  <c r="AP944" i="20"/>
  <c r="AR944" i="20"/>
  <c r="AP73" i="20"/>
  <c r="AR73" i="20"/>
  <c r="AP907" i="20"/>
  <c r="AR907" i="20"/>
  <c r="AP812" i="20"/>
  <c r="AR812" i="20"/>
  <c r="AP781" i="20"/>
  <c r="AR781" i="20"/>
  <c r="AP286" i="20"/>
  <c r="AR286" i="20"/>
  <c r="Z1146" i="20"/>
  <c r="Y1146" i="20"/>
  <c r="AJ1146" i="20"/>
  <c r="AK1146" i="20"/>
  <c r="AB1138" i="20"/>
  <c r="AC1138" i="20"/>
  <c r="AI1138" i="20"/>
  <c r="AF1138" i="20"/>
  <c r="Z1138" i="20"/>
  <c r="AH1138" i="20"/>
  <c r="AA1138" i="20"/>
  <c r="AK1138" i="20"/>
  <c r="AG1138" i="20"/>
  <c r="AN1138" i="20"/>
  <c r="AL1138" i="20"/>
  <c r="Y1138" i="20"/>
  <c r="AD1138" i="20"/>
  <c r="AJ1138" i="20"/>
  <c r="AE1138" i="20"/>
  <c r="AI1130" i="20"/>
  <c r="AJ1130" i="20"/>
  <c r="AN1130" i="20"/>
  <c r="AG1130" i="20"/>
  <c r="AK1130" i="20"/>
  <c r="AB1130" i="20"/>
  <c r="AD1130" i="20"/>
  <c r="AF1130" i="20"/>
  <c r="AC1130" i="20"/>
  <c r="Y1130" i="20"/>
  <c r="AD1122" i="20"/>
  <c r="AN1122" i="20"/>
  <c r="AG1122" i="20"/>
  <c r="AK1122" i="20"/>
  <c r="Y1122" i="20"/>
  <c r="AC1122" i="20"/>
  <c r="AF1122" i="20"/>
  <c r="AB1122" i="20"/>
  <c r="AI1122" i="20"/>
  <c r="AJ1114" i="20"/>
  <c r="AD1114" i="20"/>
  <c r="AA1114" i="20"/>
  <c r="AG1114" i="20"/>
  <c r="AI1114" i="20"/>
  <c r="AB1114" i="20"/>
  <c r="AD1106" i="20"/>
  <c r="AC1106" i="20"/>
  <c r="AN1106" i="20"/>
  <c r="AA1106" i="20"/>
  <c r="AK1106" i="20"/>
  <c r="Z1098" i="20"/>
  <c r="AN1098" i="20"/>
  <c r="AK1098" i="20"/>
  <c r="AC1098" i="20"/>
  <c r="AB1098" i="20"/>
  <c r="AE1090" i="20"/>
  <c r="AD1090" i="20"/>
  <c r="AB1090" i="20"/>
  <c r="AK1090" i="20"/>
  <c r="AC1090" i="20"/>
  <c r="AF1078" i="20"/>
  <c r="Y1078" i="20"/>
  <c r="AD1078" i="20"/>
  <c r="AA1078" i="20"/>
  <c r="AG1078" i="20"/>
  <c r="AB1071" i="20"/>
  <c r="Y1071" i="20"/>
  <c r="AE1071" i="20"/>
  <c r="AD1071" i="20"/>
  <c r="AF1071" i="20"/>
  <c r="AC1071" i="20"/>
  <c r="AI1071" i="20"/>
  <c r="AH1071" i="20"/>
  <c r="AJ1071" i="20"/>
  <c r="AN1071" i="20"/>
  <c r="AA1071" i="20"/>
  <c r="Z1071" i="20"/>
  <c r="AK1071" i="20"/>
  <c r="AL1071" i="20"/>
  <c r="AG1071" i="20"/>
  <c r="AJ1062" i="20"/>
  <c r="AG1062" i="20"/>
  <c r="AE1062" i="20"/>
  <c r="AL1062" i="20"/>
  <c r="AN1062" i="20"/>
  <c r="Z1062" i="20"/>
  <c r="AK1062" i="20"/>
  <c r="AI1062" i="20"/>
  <c r="Y1062" i="20"/>
  <c r="AC1062" i="20"/>
  <c r="AA1062" i="20"/>
  <c r="AH1062" i="20"/>
  <c r="AD1062" i="20"/>
  <c r="AB1062" i="20"/>
  <c r="AF1062" i="20"/>
  <c r="AN1043" i="20"/>
  <c r="AF1043" i="20"/>
  <c r="AB1043" i="20"/>
  <c r="Z1043" i="20"/>
  <c r="AE1043" i="20"/>
  <c r="AK1043" i="20"/>
  <c r="AC1043" i="20"/>
  <c r="Y1043" i="20"/>
  <c r="AJ1043" i="20"/>
  <c r="AD1043" i="20"/>
  <c r="AA1043" i="20"/>
  <c r="AI1043" i="20"/>
  <c r="AG1043" i="20"/>
  <c r="AL1043" i="20"/>
  <c r="AN1032" i="20"/>
  <c r="AG1032" i="20"/>
  <c r="AK1032" i="20"/>
  <c r="AD1032" i="20"/>
  <c r="AJ1032" i="20"/>
  <c r="AC1032" i="20"/>
  <c r="AF1032" i="20"/>
  <c r="AB1032" i="20"/>
  <c r="AA1032" i="20"/>
  <c r="AH1032" i="20"/>
  <c r="AL1032" i="20"/>
  <c r="Z1032" i="20"/>
  <c r="AI1032" i="20"/>
  <c r="AJ1020" i="20"/>
  <c r="AI1020" i="20"/>
  <c r="AF1020" i="20"/>
  <c r="Z1020" i="20"/>
  <c r="AD1020" i="20"/>
  <c r="AK1020" i="20"/>
  <c r="AB1020" i="20"/>
  <c r="AE1020" i="20"/>
  <c r="AA1020" i="20"/>
  <c r="AG1020" i="20"/>
  <c r="AC1020" i="20"/>
  <c r="AH1020" i="20"/>
  <c r="Y1020" i="20"/>
  <c r="AN1020" i="20"/>
  <c r="AN1006" i="20"/>
  <c r="AA1006" i="20"/>
  <c r="AF1006" i="20"/>
  <c r="AG1006" i="20"/>
  <c r="AE1006" i="20"/>
  <c r="AC1006" i="20"/>
  <c r="AB1006" i="20"/>
  <c r="AI1006" i="20"/>
  <c r="AD1006" i="20"/>
  <c r="AH1006" i="20"/>
  <c r="Z1006" i="20"/>
  <c r="AJ1006" i="20"/>
  <c r="Y1006" i="20"/>
  <c r="AK1006" i="20"/>
  <c r="AL1006" i="20"/>
  <c r="AN986" i="20"/>
  <c r="AE986" i="20"/>
  <c r="AI986" i="20"/>
  <c r="Y986" i="20"/>
  <c r="AC986" i="20"/>
  <c r="AG986" i="20"/>
  <c r="AD986" i="20"/>
  <c r="AJ986" i="20"/>
  <c r="AF986" i="20"/>
  <c r="Z986" i="20"/>
  <c r="AH986" i="20"/>
  <c r="AL986" i="20"/>
  <c r="AB986" i="20"/>
  <c r="AK986" i="20"/>
  <c r="AA986" i="20"/>
  <c r="AN978" i="20"/>
  <c r="AK978" i="20"/>
  <c r="Y978" i="20"/>
  <c r="AB978" i="20"/>
  <c r="AA978" i="20"/>
  <c r="AE978" i="20"/>
  <c r="Z978" i="20"/>
  <c r="AI978" i="20"/>
  <c r="AC978" i="20"/>
  <c r="AG978" i="20"/>
  <c r="AF978" i="20"/>
  <c r="AH978" i="20"/>
  <c r="AL978" i="20"/>
  <c r="AD978" i="20"/>
  <c r="AC946" i="20"/>
  <c r="AD946" i="20"/>
  <c r="AF946" i="20"/>
  <c r="AN946" i="20"/>
  <c r="AE946" i="20"/>
  <c r="AG946" i="20"/>
  <c r="Y946" i="20"/>
  <c r="Z946" i="20"/>
  <c r="AA946" i="20"/>
  <c r="AK946" i="20"/>
  <c r="AL946" i="20"/>
  <c r="AB946" i="20"/>
  <c r="AJ946" i="20"/>
  <c r="AL933" i="20"/>
  <c r="AI933" i="20"/>
  <c r="AN933" i="20"/>
  <c r="AC933" i="20"/>
  <c r="AG933" i="20"/>
  <c r="Z933" i="20"/>
  <c r="AH933" i="20"/>
  <c r="AB933" i="20"/>
  <c r="AD933" i="20"/>
  <c r="AE933" i="20"/>
  <c r="AK933" i="20"/>
  <c r="Y933" i="20"/>
  <c r="AA933" i="20"/>
  <c r="AF933" i="20"/>
  <c r="AN912" i="20"/>
  <c r="Z912" i="20"/>
  <c r="AJ912" i="20"/>
  <c r="AB912" i="20"/>
  <c r="AI912" i="20"/>
  <c r="AC912" i="20"/>
  <c r="AE912" i="20"/>
  <c r="AL912" i="20"/>
  <c r="AD912" i="20"/>
  <c r="AA912" i="20"/>
  <c r="AH912" i="20"/>
  <c r="AG912" i="20"/>
  <c r="AF912" i="20"/>
  <c r="Y912" i="20"/>
  <c r="AN897" i="20"/>
  <c r="AE897" i="20"/>
  <c r="AG897" i="20"/>
  <c r="AK897" i="20"/>
  <c r="AB897" i="20"/>
  <c r="Y897" i="20"/>
  <c r="AD897" i="20"/>
  <c r="AC897" i="20"/>
  <c r="AI897" i="20"/>
  <c r="AJ897" i="20"/>
  <c r="AF897" i="20"/>
  <c r="Z897" i="20"/>
  <c r="AA897" i="20"/>
  <c r="AH897" i="20"/>
  <c r="AL872" i="20"/>
  <c r="AI872" i="20"/>
  <c r="AN872" i="20"/>
  <c r="Z872" i="20"/>
  <c r="AA872" i="20"/>
  <c r="AF872" i="20"/>
  <c r="AB872" i="20"/>
  <c r="AC872" i="20"/>
  <c r="AJ872" i="20"/>
  <c r="AD872" i="20"/>
  <c r="AE872" i="20"/>
  <c r="Y872" i="20"/>
  <c r="AK872" i="20"/>
  <c r="AH872" i="20"/>
  <c r="AG872" i="20"/>
  <c r="AN848" i="20"/>
  <c r="AC848" i="20"/>
  <c r="AB848" i="20"/>
  <c r="AA848" i="20"/>
  <c r="AK848" i="20"/>
  <c r="AI848" i="20"/>
  <c r="AE848" i="20"/>
  <c r="AF848" i="20"/>
  <c r="AD848" i="20"/>
  <c r="AH848" i="20"/>
  <c r="AL848" i="20"/>
  <c r="AJ848" i="20"/>
  <c r="Y848" i="20"/>
  <c r="AG848" i="20"/>
  <c r="Z848" i="20"/>
  <c r="AN838" i="20"/>
  <c r="AI838" i="20"/>
  <c r="Z838" i="20"/>
  <c r="AB838" i="20"/>
  <c r="AH838" i="20"/>
  <c r="AL838" i="20"/>
  <c r="AA838" i="20"/>
  <c r="AG838" i="20"/>
  <c r="AF838" i="20"/>
  <c r="AE838" i="20"/>
  <c r="AJ838" i="20"/>
  <c r="AC838" i="20"/>
  <c r="Y838" i="20"/>
  <c r="AN822" i="20"/>
  <c r="AF822" i="20"/>
  <c r="AB822" i="20"/>
  <c r="AG822" i="20"/>
  <c r="AJ822" i="20"/>
  <c r="Y822" i="20"/>
  <c r="AK822" i="20"/>
  <c r="Z822" i="20"/>
  <c r="AD822" i="20"/>
  <c r="AC822" i="20"/>
  <c r="AA822" i="20"/>
  <c r="AE822" i="20"/>
  <c r="AN805" i="20"/>
  <c r="AI805" i="20"/>
  <c r="AA805" i="20"/>
  <c r="AF805" i="20"/>
  <c r="Y805" i="20"/>
  <c r="AK805" i="20"/>
  <c r="AD805" i="20"/>
  <c r="AC805" i="20"/>
  <c r="Z805" i="20"/>
  <c r="AE805" i="20"/>
  <c r="AG805" i="20"/>
  <c r="AH805" i="20"/>
  <c r="AL805" i="20"/>
  <c r="AB805" i="20"/>
  <c r="AF793" i="20"/>
  <c r="AI793" i="20"/>
  <c r="AN793" i="20"/>
  <c r="AA793" i="20"/>
  <c r="AB793" i="20"/>
  <c r="AD793" i="20"/>
  <c r="AC793" i="20"/>
  <c r="AK793" i="20"/>
  <c r="AG793" i="20"/>
  <c r="AH793" i="20"/>
  <c r="Z793" i="20"/>
  <c r="AJ793" i="20"/>
  <c r="AN778" i="20"/>
  <c r="AB778" i="20"/>
  <c r="AI778" i="20"/>
  <c r="AG778" i="20"/>
  <c r="Z778" i="20"/>
  <c r="AJ778" i="20"/>
  <c r="AC778" i="20"/>
  <c r="AF778" i="20"/>
  <c r="AK778" i="20"/>
  <c r="Y778" i="20"/>
  <c r="AD778" i="20"/>
  <c r="AE778" i="20"/>
  <c r="AA778" i="20"/>
  <c r="AH778" i="20"/>
  <c r="AK748" i="20"/>
  <c r="AA748" i="20"/>
  <c r="AN748" i="20"/>
  <c r="AF748" i="20"/>
  <c r="AI748" i="20"/>
  <c r="AD748" i="20"/>
  <c r="AB748" i="20"/>
  <c r="AC748" i="20"/>
  <c r="AE748" i="20"/>
  <c r="AH748" i="20"/>
  <c r="Z748" i="20"/>
  <c r="AJ748" i="20"/>
  <c r="AL748" i="20"/>
  <c r="AG737" i="20"/>
  <c r="AD737" i="20"/>
  <c r="AN737" i="20"/>
  <c r="AB737" i="20"/>
  <c r="AF737" i="20"/>
  <c r="AI737" i="20"/>
  <c r="Y737" i="20"/>
  <c r="AE737" i="20"/>
  <c r="AJ737" i="20"/>
  <c r="Z737" i="20"/>
  <c r="AC737" i="20"/>
  <c r="AL737" i="20"/>
  <c r="AA737" i="20"/>
  <c r="AK737" i="20"/>
  <c r="AN718" i="20"/>
  <c r="AI718" i="20"/>
  <c r="AL718" i="20"/>
  <c r="AK718" i="20"/>
  <c r="Z718" i="20"/>
  <c r="Y718" i="20"/>
  <c r="AH718" i="20"/>
  <c r="AC718" i="20"/>
  <c r="AA718" i="20"/>
  <c r="AG718" i="20"/>
  <c r="AE718" i="20"/>
  <c r="AD718" i="20"/>
  <c r="AJ718" i="20"/>
  <c r="AN688" i="20"/>
  <c r="AB688" i="20"/>
  <c r="Z688" i="20"/>
  <c r="AE688" i="20"/>
  <c r="AD688" i="20"/>
  <c r="Y688" i="20"/>
  <c r="AG688" i="20"/>
  <c r="AK688" i="20"/>
  <c r="AI688" i="20"/>
  <c r="AF688" i="20"/>
  <c r="AA688" i="20"/>
  <c r="AH688" i="20"/>
  <c r="AC688" i="20"/>
  <c r="AN673" i="20"/>
  <c r="AI673" i="20"/>
  <c r="AE673" i="20"/>
  <c r="AD673" i="20"/>
  <c r="AK673" i="20"/>
  <c r="AF673" i="20"/>
  <c r="AG673" i="20"/>
  <c r="AB673" i="20"/>
  <c r="AC673" i="20"/>
  <c r="Z673" i="20"/>
  <c r="AA673" i="20"/>
  <c r="AJ673" i="20"/>
  <c r="Y673" i="20"/>
  <c r="AN655" i="20"/>
  <c r="AI655" i="20"/>
  <c r="AC655" i="20"/>
  <c r="AF655" i="20"/>
  <c r="AB655" i="20"/>
  <c r="AG655" i="20"/>
  <c r="Y655" i="20"/>
  <c r="AJ655" i="20"/>
  <c r="AE655" i="20"/>
  <c r="AA655" i="20"/>
  <c r="Z655" i="20"/>
  <c r="AH655" i="20"/>
  <c r="AD655" i="20"/>
  <c r="AK655" i="20"/>
  <c r="AN652" i="20"/>
  <c r="AI652" i="20"/>
  <c r="AK652" i="20"/>
  <c r="Z652" i="20"/>
  <c r="AC652" i="20"/>
  <c r="AG652" i="20"/>
  <c r="AE652" i="20"/>
  <c r="AA652" i="20"/>
  <c r="AL652" i="20"/>
  <c r="AB652" i="20"/>
  <c r="AH652" i="20"/>
  <c r="AN645" i="20"/>
  <c r="AK645" i="20"/>
  <c r="AA645" i="20"/>
  <c r="AG645" i="20"/>
  <c r="AL645" i="20"/>
  <c r="AD645" i="20"/>
  <c r="AF645" i="20"/>
  <c r="Y645" i="20"/>
  <c r="AI645" i="20"/>
  <c r="AC645" i="20"/>
  <c r="AB645" i="20"/>
  <c r="AE645" i="20"/>
  <c r="AH645" i="20"/>
  <c r="Z645" i="20"/>
  <c r="AN899" i="20"/>
  <c r="AI899" i="20"/>
  <c r="Z899" i="20"/>
  <c r="AB899" i="20"/>
  <c r="AD899" i="20"/>
  <c r="AJ899" i="20"/>
  <c r="AE899" i="20"/>
  <c r="Y899" i="20"/>
  <c r="AK899" i="20"/>
  <c r="AF899" i="20"/>
  <c r="AA899" i="20"/>
  <c r="AC899" i="20"/>
  <c r="AG899" i="20"/>
  <c r="AH899" i="20"/>
  <c r="AL899" i="20"/>
  <c r="AN609" i="20"/>
  <c r="AB609" i="20"/>
  <c r="Z609" i="20"/>
  <c r="AF609" i="20"/>
  <c r="AA609" i="20"/>
  <c r="AK609" i="20"/>
  <c r="AE609" i="20"/>
  <c r="AD609" i="20"/>
  <c r="AJ609" i="20"/>
  <c r="AI609" i="20"/>
  <c r="Y609" i="20"/>
  <c r="AL609" i="20"/>
  <c r="AH609" i="20"/>
  <c r="AC609" i="20"/>
  <c r="AN541" i="20"/>
  <c r="Y541" i="20"/>
  <c r="AJ541" i="20"/>
  <c r="Z541" i="20"/>
  <c r="AF541" i="20"/>
  <c r="AB541" i="20"/>
  <c r="AA541" i="20"/>
  <c r="AG541" i="20"/>
  <c r="AE541" i="20"/>
  <c r="AI541" i="20"/>
  <c r="AD541" i="20"/>
  <c r="AK541" i="20"/>
  <c r="AL541" i="20"/>
  <c r="AH541" i="20"/>
  <c r="AN85" i="20"/>
  <c r="AK85" i="20"/>
  <c r="AG85" i="20"/>
  <c r="AF85" i="20"/>
  <c r="AA85" i="20"/>
  <c r="Y85" i="20"/>
  <c r="AB85" i="20"/>
  <c r="AC85" i="20"/>
  <c r="AH85" i="20"/>
  <c r="AJ85" i="20"/>
  <c r="AE85" i="20"/>
  <c r="AD85" i="20"/>
  <c r="Z85" i="20"/>
  <c r="AL85" i="20"/>
  <c r="AN1048" i="20"/>
  <c r="AE1048" i="20"/>
  <c r="AC1048" i="20"/>
  <c r="AF1048" i="20"/>
  <c r="Z1048" i="20"/>
  <c r="AG1048" i="20"/>
  <c r="AK1048" i="20"/>
  <c r="AA1048" i="20"/>
  <c r="AL1048" i="20"/>
  <c r="AB1048" i="20"/>
  <c r="Y1048" i="20"/>
  <c r="AH1048" i="20"/>
  <c r="AN597" i="20"/>
  <c r="Z597" i="20"/>
  <c r="AG597" i="20"/>
  <c r="AE597" i="20"/>
  <c r="AK597" i="20"/>
  <c r="AA597" i="20"/>
  <c r="AC597" i="20"/>
  <c r="Y597" i="20"/>
  <c r="AD597" i="20"/>
  <c r="AL597" i="20"/>
  <c r="AF597" i="20"/>
  <c r="AH597" i="20"/>
  <c r="AB597" i="20"/>
  <c r="AJ597" i="20"/>
  <c r="AN909" i="20"/>
  <c r="AE909" i="20"/>
  <c r="AB909" i="20"/>
  <c r="AF909" i="20"/>
  <c r="AA909" i="20"/>
  <c r="AJ909" i="20"/>
  <c r="AD909" i="20"/>
  <c r="Z909" i="20"/>
  <c r="AG909" i="20"/>
  <c r="AK909" i="20"/>
  <c r="AH909" i="20"/>
  <c r="Y909" i="20"/>
  <c r="AN435" i="20"/>
  <c r="AC435" i="20"/>
  <c r="AJ435" i="20"/>
  <c r="AA435" i="20"/>
  <c r="AI435" i="20"/>
  <c r="AB435" i="20"/>
  <c r="Y435" i="20"/>
  <c r="AL435" i="20"/>
  <c r="AG435" i="20"/>
  <c r="AF435" i="20"/>
  <c r="AD435" i="20"/>
  <c r="AH435" i="20"/>
  <c r="Z435" i="20"/>
  <c r="AK435" i="20"/>
  <c r="AE435" i="20"/>
  <c r="AN11" i="20"/>
  <c r="AF11" i="20"/>
  <c r="AI11" i="20"/>
  <c r="AB11" i="20"/>
  <c r="AD11" i="20"/>
  <c r="AE11" i="20"/>
  <c r="AL11" i="20"/>
  <c r="Y11" i="20"/>
  <c r="AG11" i="20"/>
  <c r="Z11" i="20"/>
  <c r="AC11" i="20"/>
  <c r="AK11" i="20"/>
  <c r="AH11" i="20"/>
  <c r="Z893" i="20"/>
  <c r="AB893" i="20"/>
  <c r="AN893" i="20"/>
  <c r="AJ893" i="20"/>
  <c r="AK893" i="20"/>
  <c r="AF893" i="20"/>
  <c r="Y893" i="20"/>
  <c r="AE893" i="20"/>
  <c r="AL893" i="20"/>
  <c r="AC893" i="20"/>
  <c r="AG893" i="20"/>
  <c r="AI893" i="20"/>
  <c r="AD893" i="20"/>
  <c r="AH893" i="20"/>
  <c r="AN630" i="20"/>
  <c r="AE630" i="20"/>
  <c r="AI630" i="20"/>
  <c r="AA630" i="20"/>
  <c r="AB630" i="20"/>
  <c r="AG630" i="20"/>
  <c r="Y630" i="20"/>
  <c r="AH630" i="20"/>
  <c r="AF630" i="20"/>
  <c r="AD630" i="20"/>
  <c r="AJ630" i="20"/>
  <c r="AC630" i="20"/>
  <c r="AN622" i="20"/>
  <c r="AB622" i="20"/>
  <c r="AG622" i="20"/>
  <c r="AI622" i="20"/>
  <c r="Z622" i="20"/>
  <c r="AF622" i="20"/>
  <c r="AC622" i="20"/>
  <c r="AH622" i="20"/>
  <c r="Y622" i="20"/>
  <c r="AE622" i="20"/>
  <c r="AK622" i="20"/>
  <c r="AA622" i="20"/>
  <c r="AD622" i="20"/>
  <c r="AN612" i="20"/>
  <c r="AL612" i="20"/>
  <c r="AI612" i="20"/>
  <c r="AB612" i="20"/>
  <c r="Z612" i="20"/>
  <c r="AD612" i="20"/>
  <c r="Y612" i="20"/>
  <c r="AC612" i="20"/>
  <c r="AF612" i="20"/>
  <c r="AA612" i="20"/>
  <c r="AG612" i="20"/>
  <c r="AE612" i="20"/>
  <c r="AJ612" i="20"/>
  <c r="AK612" i="20"/>
  <c r="AN603" i="20"/>
  <c r="Z603" i="20"/>
  <c r="AF603" i="20"/>
  <c r="AB603" i="20"/>
  <c r="AG603" i="20"/>
  <c r="AA603" i="20"/>
  <c r="AE603" i="20"/>
  <c r="AC603" i="20"/>
  <c r="Y603" i="20"/>
  <c r="AI603" i="20"/>
  <c r="AL603" i="20"/>
  <c r="AD603" i="20"/>
  <c r="AH603" i="20"/>
  <c r="AD590" i="20"/>
  <c r="AN590" i="20"/>
  <c r="AI590" i="20"/>
  <c r="AA590" i="20"/>
  <c r="AF590" i="20"/>
  <c r="AH590" i="20"/>
  <c r="AJ590" i="20"/>
  <c r="AL590" i="20"/>
  <c r="Y590" i="20"/>
  <c r="AC590" i="20"/>
  <c r="AK590" i="20"/>
  <c r="AE590" i="20"/>
  <c r="AG590" i="20"/>
  <c r="Z590" i="20"/>
  <c r="AB590" i="20"/>
  <c r="AN586" i="20"/>
  <c r="Z586" i="20"/>
  <c r="AE586" i="20"/>
  <c r="AA586" i="20"/>
  <c r="AC586" i="20"/>
  <c r="AI586" i="20"/>
  <c r="AB586" i="20"/>
  <c r="AG586" i="20"/>
  <c r="AF586" i="20"/>
  <c r="AL586" i="20"/>
  <c r="AK586" i="20"/>
  <c r="AJ586" i="20"/>
  <c r="AN579" i="20"/>
  <c r="AB579" i="20"/>
  <c r="AK579" i="20"/>
  <c r="AF579" i="20"/>
  <c r="AD579" i="20"/>
  <c r="AG579" i="20"/>
  <c r="AH579" i="20"/>
  <c r="AL579" i="20"/>
  <c r="Z579" i="20"/>
  <c r="AC579" i="20"/>
  <c r="AI579" i="20"/>
  <c r="Y579" i="20"/>
  <c r="AE579" i="20"/>
  <c r="AA579" i="20"/>
  <c r="AN568" i="20"/>
  <c r="AA568" i="20"/>
  <c r="AI568" i="20"/>
  <c r="AL568" i="20"/>
  <c r="AF568" i="20"/>
  <c r="AE568" i="20"/>
  <c r="AJ568" i="20"/>
  <c r="Z568" i="20"/>
  <c r="Y568" i="20"/>
  <c r="AG568" i="20"/>
  <c r="AB568" i="20"/>
  <c r="AK568" i="20"/>
  <c r="AC568" i="20"/>
  <c r="AD568" i="20"/>
  <c r="AH568" i="20"/>
  <c r="AN443" i="20"/>
  <c r="AJ443" i="20"/>
  <c r="AE443" i="20"/>
  <c r="AD443" i="20"/>
  <c r="Y443" i="20"/>
  <c r="AA443" i="20"/>
  <c r="AF443" i="20"/>
  <c r="AK443" i="20"/>
  <c r="AB443" i="20"/>
  <c r="AC443" i="20"/>
  <c r="AL443" i="20"/>
  <c r="AH443" i="20"/>
  <c r="Z443" i="20"/>
  <c r="AG443" i="20"/>
  <c r="AN93" i="20"/>
  <c r="Z93" i="20"/>
  <c r="AK93" i="20"/>
  <c r="AG93" i="20"/>
  <c r="AC93" i="20"/>
  <c r="AD93" i="20"/>
  <c r="AJ93" i="20"/>
  <c r="AF93" i="20"/>
  <c r="AB93" i="20"/>
  <c r="AI93" i="20"/>
  <c r="AA93" i="20"/>
  <c r="AE93" i="20"/>
  <c r="AH93" i="20"/>
  <c r="AL93" i="20"/>
  <c r="AN553" i="20"/>
  <c r="AD553" i="20"/>
  <c r="Z553" i="20"/>
  <c r="AF553" i="20"/>
  <c r="AC553" i="20"/>
  <c r="AG553" i="20"/>
  <c r="Y553" i="20"/>
  <c r="AK553" i="20"/>
  <c r="AH553" i="20"/>
  <c r="AA553" i="20"/>
  <c r="AL553" i="20"/>
  <c r="AJ553" i="20"/>
  <c r="AE553" i="20"/>
  <c r="AB553" i="20"/>
  <c r="AF546" i="20"/>
  <c r="AN546" i="20"/>
  <c r="AE546" i="20"/>
  <c r="AJ546" i="20"/>
  <c r="Y546" i="20"/>
  <c r="Z546" i="20"/>
  <c r="AK546" i="20"/>
  <c r="AD546" i="20"/>
  <c r="AA546" i="20"/>
  <c r="AL546" i="20"/>
  <c r="AB546" i="20"/>
  <c r="AG546" i="20"/>
  <c r="AH546" i="20"/>
  <c r="AC546" i="20"/>
  <c r="AI546" i="20"/>
  <c r="AN532" i="20"/>
  <c r="Z532" i="20"/>
  <c r="Y532" i="20"/>
  <c r="AK532" i="20"/>
  <c r="AB532" i="20"/>
  <c r="AC532" i="20"/>
  <c r="AD532" i="20"/>
  <c r="AL532" i="20"/>
  <c r="AJ532" i="20"/>
  <c r="AG532" i="20"/>
  <c r="AE532" i="20"/>
  <c r="AA532" i="20"/>
  <c r="AH532" i="20"/>
  <c r="AN516" i="20"/>
  <c r="AA516" i="20"/>
  <c r="AB516" i="20"/>
  <c r="AF516" i="20"/>
  <c r="AI516" i="20"/>
  <c r="AK516" i="20"/>
  <c r="AD516" i="20"/>
  <c r="Y516" i="20"/>
  <c r="AL516" i="20"/>
  <c r="Z516" i="20"/>
  <c r="AG516" i="20"/>
  <c r="AC516" i="20"/>
  <c r="AE516" i="20"/>
  <c r="AH516" i="20"/>
  <c r="AN501" i="20"/>
  <c r="AI501" i="20"/>
  <c r="AA501" i="20"/>
  <c r="AG501" i="20"/>
  <c r="AF501" i="20"/>
  <c r="AL501" i="20"/>
  <c r="AD501" i="20"/>
  <c r="AB501" i="20"/>
  <c r="Z501" i="20"/>
  <c r="AK501" i="20"/>
  <c r="AC501" i="20"/>
  <c r="Y501" i="20"/>
  <c r="AH501" i="20"/>
  <c r="AC488" i="20"/>
  <c r="Z488" i="20"/>
  <c r="AB488" i="20"/>
  <c r="AD488" i="20"/>
  <c r="AK488" i="20"/>
  <c r="AN488" i="20"/>
  <c r="AE488" i="20"/>
  <c r="AI488" i="20"/>
  <c r="AL488" i="20"/>
  <c r="AJ488" i="20"/>
  <c r="AA488" i="20"/>
  <c r="AF488" i="20"/>
  <c r="Y488" i="20"/>
  <c r="AG488" i="20"/>
  <c r="AH488" i="20"/>
  <c r="AN479" i="20"/>
  <c r="AE479" i="20"/>
  <c r="AI479" i="20"/>
  <c r="AL479" i="20"/>
  <c r="AG479" i="20"/>
  <c r="Z479" i="20"/>
  <c r="AA479" i="20"/>
  <c r="AF479" i="20"/>
  <c r="AC479" i="20"/>
  <c r="AD479" i="20"/>
  <c r="Y479" i="20"/>
  <c r="AK479" i="20"/>
  <c r="AH479" i="20"/>
  <c r="AJ479" i="20"/>
  <c r="AB479" i="20"/>
  <c r="AN470" i="20"/>
  <c r="AA470" i="20"/>
  <c r="AE470" i="20"/>
  <c r="AB470" i="20"/>
  <c r="AI470" i="20"/>
  <c r="AK470" i="20"/>
  <c r="AC470" i="20"/>
  <c r="AF470" i="20"/>
  <c r="AH470" i="20"/>
  <c r="AL470" i="20"/>
  <c r="AG470" i="20"/>
  <c r="AD470" i="20"/>
  <c r="AJ470" i="20"/>
  <c r="Y470" i="20"/>
  <c r="Z470" i="20"/>
  <c r="AD29" i="20"/>
  <c r="AJ29" i="20"/>
  <c r="AN29" i="20"/>
  <c r="AA29" i="20"/>
  <c r="AB29" i="20"/>
  <c r="AF29" i="20"/>
  <c r="AE29" i="20"/>
  <c r="Z29" i="20"/>
  <c r="AH29" i="20"/>
  <c r="AI29" i="20"/>
  <c r="AG29" i="20"/>
  <c r="AC29" i="20"/>
  <c r="AL29" i="20"/>
  <c r="AK29" i="20"/>
  <c r="AK744" i="20"/>
  <c r="AC744" i="20"/>
  <c r="AE744" i="20"/>
  <c r="AI744" i="20"/>
  <c r="AA744" i="20"/>
  <c r="AF744" i="20"/>
  <c r="AD744" i="20"/>
  <c r="AB744" i="20"/>
  <c r="AN744" i="20"/>
  <c r="AH744" i="20"/>
  <c r="AL744" i="20"/>
  <c r="AJ744" i="20"/>
  <c r="Z744" i="20"/>
  <c r="Y744" i="20"/>
  <c r="AG744" i="20"/>
  <c r="AN267" i="20"/>
  <c r="AJ267" i="20"/>
  <c r="Z267" i="20"/>
  <c r="AI267" i="20"/>
  <c r="AG267" i="20"/>
  <c r="AD267" i="20"/>
  <c r="AB267" i="20"/>
  <c r="AF267" i="20"/>
  <c r="AK267" i="20"/>
  <c r="AA267" i="20"/>
  <c r="Y267" i="20"/>
  <c r="AC267" i="20"/>
  <c r="AL267" i="20"/>
  <c r="AE267" i="20"/>
  <c r="AH267" i="20"/>
  <c r="AN446" i="20"/>
  <c r="AI446" i="20"/>
  <c r="AK446" i="20"/>
  <c r="AB446" i="20"/>
  <c r="AC446" i="20"/>
  <c r="AA446" i="20"/>
  <c r="AD446" i="20"/>
  <c r="Z446" i="20"/>
  <c r="AE446" i="20"/>
  <c r="AG446" i="20"/>
  <c r="AH446" i="20"/>
  <c r="AF446" i="20"/>
  <c r="AN438" i="20"/>
  <c r="AI438" i="20"/>
  <c r="AE438" i="20"/>
  <c r="AA438" i="20"/>
  <c r="AG438" i="20"/>
  <c r="AK438" i="20"/>
  <c r="AL438" i="20"/>
  <c r="AB438" i="20"/>
  <c r="Z438" i="20"/>
  <c r="AD438" i="20"/>
  <c r="AC438" i="20"/>
  <c r="Y438" i="20"/>
  <c r="AH438" i="20"/>
  <c r="AJ438" i="20"/>
  <c r="AF438" i="20"/>
  <c r="AN505" i="20"/>
  <c r="AC505" i="20"/>
  <c r="AG505" i="20"/>
  <c r="AA505" i="20"/>
  <c r="Z505" i="20"/>
  <c r="AK505" i="20"/>
  <c r="Y505" i="20"/>
  <c r="AE505" i="20"/>
  <c r="AL505" i="20"/>
  <c r="AB505" i="20"/>
  <c r="AJ505" i="20"/>
  <c r="AF505" i="20"/>
  <c r="AD505" i="20"/>
  <c r="AI505" i="20"/>
  <c r="AH505" i="20"/>
  <c r="AK1060" i="20"/>
  <c r="AN1060" i="20"/>
  <c r="AI1060" i="20"/>
  <c r="AJ1060" i="20"/>
  <c r="AG1060" i="20"/>
  <c r="AC1060" i="20"/>
  <c r="Y1060" i="20"/>
  <c r="AE1060" i="20"/>
  <c r="AA1060" i="20"/>
  <c r="Z1060" i="20"/>
  <c r="AB1060" i="20"/>
  <c r="AL1060" i="20"/>
  <c r="AF1060" i="20"/>
  <c r="AD1060" i="20"/>
  <c r="AH1060" i="20"/>
  <c r="AN1028" i="20"/>
  <c r="AC1028" i="20"/>
  <c r="AL1028" i="20"/>
  <c r="AI1028" i="20"/>
  <c r="AK1028" i="20"/>
  <c r="AB1028" i="20"/>
  <c r="AF1028" i="20"/>
  <c r="AE1028" i="20"/>
  <c r="AG1028" i="20"/>
  <c r="Y1028" i="20"/>
  <c r="AD1028" i="20"/>
  <c r="Z1028" i="20"/>
  <c r="AJ1028" i="20"/>
  <c r="AA1028" i="20"/>
  <c r="AN816" i="20"/>
  <c r="AI816" i="20"/>
  <c r="AG816" i="20"/>
  <c r="AK816" i="20"/>
  <c r="Z816" i="20"/>
  <c r="AH816" i="20"/>
  <c r="AB816" i="20"/>
  <c r="AD816" i="20"/>
  <c r="AA816" i="20"/>
  <c r="AC816" i="20"/>
  <c r="AF816" i="20"/>
  <c r="Y816" i="20"/>
  <c r="AL816" i="20"/>
  <c r="AN725" i="20"/>
  <c r="AI725" i="20"/>
  <c r="AA725" i="20"/>
  <c r="AK725" i="20"/>
  <c r="AH725" i="20"/>
  <c r="AG725" i="20"/>
  <c r="Z725" i="20"/>
  <c r="AD725" i="20"/>
  <c r="AE725" i="20"/>
  <c r="AB725" i="20"/>
  <c r="AL725" i="20"/>
  <c r="AJ725" i="20"/>
  <c r="AF725" i="20"/>
  <c r="AC725" i="20"/>
  <c r="Y725" i="20"/>
  <c r="AN574" i="20"/>
  <c r="AI574" i="20"/>
  <c r="AF574" i="20"/>
  <c r="Z574" i="20"/>
  <c r="AK574" i="20"/>
  <c r="AC574" i="20"/>
  <c r="AJ574" i="20"/>
  <c r="AB574" i="20"/>
  <c r="AD574" i="20"/>
  <c r="AE574" i="20"/>
  <c r="AL574" i="20"/>
  <c r="AH574" i="20"/>
  <c r="AN452" i="20"/>
  <c r="AJ452" i="20"/>
  <c r="AD452" i="20"/>
  <c r="Y452" i="20"/>
  <c r="AC452" i="20"/>
  <c r="AH452" i="20"/>
  <c r="AB452" i="20"/>
  <c r="AF452" i="20"/>
  <c r="AE452" i="20"/>
  <c r="AL452" i="20"/>
  <c r="AG452" i="20"/>
  <c r="AK452" i="20"/>
  <c r="Z452" i="20"/>
  <c r="AA452" i="20"/>
  <c r="AI452" i="20"/>
  <c r="AC323" i="20"/>
  <c r="AJ323" i="20"/>
  <c r="AN323" i="20"/>
  <c r="AI323" i="20"/>
  <c r="AA323" i="20"/>
  <c r="AB323" i="20"/>
  <c r="AG323" i="20"/>
  <c r="AE323" i="20"/>
  <c r="AD323" i="20"/>
  <c r="AF323" i="20"/>
  <c r="Z323" i="20"/>
  <c r="AK323" i="20"/>
  <c r="AH323" i="20"/>
  <c r="Y323" i="20"/>
  <c r="AN246" i="20"/>
  <c r="AB246" i="20"/>
  <c r="AE246" i="20"/>
  <c r="AI246" i="20"/>
  <c r="AL246" i="20"/>
  <c r="Z246" i="20"/>
  <c r="AK246" i="20"/>
  <c r="Y246" i="20"/>
  <c r="AH246" i="20"/>
  <c r="AC246" i="20"/>
  <c r="AA246" i="20"/>
  <c r="AF246" i="20"/>
  <c r="AG246" i="20"/>
  <c r="AD246" i="20"/>
  <c r="AK421" i="20"/>
  <c r="AD421" i="20"/>
  <c r="AE421" i="20"/>
  <c r="AJ421" i="20"/>
  <c r="AA421" i="20"/>
  <c r="AC421" i="20"/>
  <c r="AL421" i="20"/>
  <c r="Y421" i="20"/>
  <c r="AF421" i="20"/>
  <c r="AG421" i="20"/>
  <c r="AI421" i="20"/>
  <c r="AB421" i="20"/>
  <c r="Z421" i="20"/>
  <c r="AN421" i="20"/>
  <c r="AH421" i="20"/>
  <c r="AN925" i="20"/>
  <c r="Z925" i="20"/>
  <c r="Y925" i="20"/>
  <c r="AG925" i="20"/>
  <c r="AJ925" i="20"/>
  <c r="AC925" i="20"/>
  <c r="AD925" i="20"/>
  <c r="AK925" i="20"/>
  <c r="AF925" i="20"/>
  <c r="AH925" i="20"/>
  <c r="AB925" i="20"/>
  <c r="AE925" i="20"/>
  <c r="AI925" i="20"/>
  <c r="AN417" i="20"/>
  <c r="AB417" i="20"/>
  <c r="AI417" i="20"/>
  <c r="AL417" i="20"/>
  <c r="AD417" i="20"/>
  <c r="AK417" i="20"/>
  <c r="AA417" i="20"/>
  <c r="AC417" i="20"/>
  <c r="Y417" i="20"/>
  <c r="AH417" i="20"/>
  <c r="AF417" i="20"/>
  <c r="Z417" i="20"/>
  <c r="AG417" i="20"/>
  <c r="AE417" i="20"/>
  <c r="AJ417" i="20"/>
  <c r="AB277" i="20"/>
  <c r="AN277" i="20"/>
  <c r="AC277" i="20"/>
  <c r="AD277" i="20"/>
  <c r="AF277" i="20"/>
  <c r="Y277" i="20"/>
  <c r="AK277" i="20"/>
  <c r="AG277" i="20"/>
  <c r="Z277" i="20"/>
  <c r="AE277" i="20"/>
  <c r="AA277" i="20"/>
  <c r="AI277" i="20"/>
  <c r="AH277" i="20"/>
  <c r="AJ277" i="20"/>
  <c r="AN403" i="20"/>
  <c r="Y403" i="20"/>
  <c r="AE403" i="20"/>
  <c r="AK403" i="20"/>
  <c r="Z403" i="20"/>
  <c r="AG403" i="20"/>
  <c r="AF403" i="20"/>
  <c r="AB403" i="20"/>
  <c r="AD403" i="20"/>
  <c r="AJ403" i="20"/>
  <c r="AA403" i="20"/>
  <c r="AH403" i="20"/>
  <c r="AC403" i="20"/>
  <c r="AL403" i="20"/>
  <c r="AN796" i="20"/>
  <c r="Z796" i="20"/>
  <c r="AF796" i="20"/>
  <c r="AK796" i="20"/>
  <c r="AB796" i="20"/>
  <c r="AD796" i="20"/>
  <c r="AE796" i="20"/>
  <c r="Y796" i="20"/>
  <c r="AG796" i="20"/>
  <c r="AC796" i="20"/>
  <c r="AI796" i="20"/>
  <c r="AA796" i="20"/>
  <c r="AH796" i="20"/>
  <c r="AJ796" i="20"/>
  <c r="AL796" i="20"/>
  <c r="AI218" i="20"/>
  <c r="AE218" i="20"/>
  <c r="AG218" i="20"/>
  <c r="AK218" i="20"/>
  <c r="Z218" i="20"/>
  <c r="AB218" i="20"/>
  <c r="AC218" i="20"/>
  <c r="AF218" i="20"/>
  <c r="AD218" i="20"/>
  <c r="AA218" i="20"/>
  <c r="AJ218" i="20"/>
  <c r="Y218" i="20"/>
  <c r="AN218" i="20"/>
  <c r="AH218" i="20"/>
  <c r="AC394" i="20"/>
  <c r="AI394" i="20"/>
  <c r="AN394" i="20"/>
  <c r="AF394" i="20"/>
  <c r="AA394" i="20"/>
  <c r="AG394" i="20"/>
  <c r="AH394" i="20"/>
  <c r="Z394" i="20"/>
  <c r="Y394" i="20"/>
  <c r="AD394" i="20"/>
  <c r="AK394" i="20"/>
  <c r="AN97" i="20"/>
  <c r="AC97" i="20"/>
  <c r="AJ97" i="20"/>
  <c r="AA97" i="20"/>
  <c r="AB97" i="20"/>
  <c r="Z97" i="20"/>
  <c r="AE97" i="20"/>
  <c r="Y97" i="20"/>
  <c r="AD97" i="20"/>
  <c r="AH97" i="20"/>
  <c r="AK97" i="20"/>
  <c r="AG97" i="20"/>
  <c r="AF97" i="20"/>
  <c r="AL97" i="20"/>
  <c r="AI97" i="20"/>
  <c r="AI390" i="20"/>
  <c r="AN390" i="20"/>
  <c r="AC390" i="20"/>
  <c r="AD390" i="20"/>
  <c r="Y390" i="20"/>
  <c r="AG390" i="20"/>
  <c r="AK390" i="20"/>
  <c r="Z390" i="20"/>
  <c r="AJ390" i="20"/>
  <c r="AL390" i="20"/>
  <c r="AE390" i="20"/>
  <c r="AB390" i="20"/>
  <c r="AA390" i="20"/>
  <c r="AF390" i="20"/>
  <c r="AF523" i="20"/>
  <c r="AG523" i="20"/>
  <c r="AK523" i="20"/>
  <c r="AD523" i="20"/>
  <c r="AA523" i="20"/>
  <c r="AN523" i="20"/>
  <c r="AB523" i="20"/>
  <c r="AE523" i="20"/>
  <c r="Z523" i="20"/>
  <c r="AJ523" i="20"/>
  <c r="AC523" i="20"/>
  <c r="AN472" i="20"/>
  <c r="AD472" i="20"/>
  <c r="AA472" i="20"/>
  <c r="AK472" i="20"/>
  <c r="AJ472" i="20"/>
  <c r="AC472" i="20"/>
  <c r="AE472" i="20"/>
  <c r="Z472" i="20"/>
  <c r="Y472" i="20"/>
  <c r="AB472" i="20"/>
  <c r="AF472" i="20"/>
  <c r="AG472" i="20"/>
  <c r="AI472" i="20"/>
  <c r="AD373" i="20"/>
  <c r="AK373" i="20"/>
  <c r="AN373" i="20"/>
  <c r="AF373" i="20"/>
  <c r="AB373" i="20"/>
  <c r="AG373" i="20"/>
  <c r="Z373" i="20"/>
  <c r="Y373" i="20"/>
  <c r="AI373" i="20"/>
  <c r="AC373" i="20"/>
  <c r="AL373" i="20"/>
  <c r="AE373" i="20"/>
  <c r="AA373" i="20"/>
  <c r="AH373" i="20"/>
  <c r="AH368" i="20"/>
  <c r="AI368" i="20"/>
  <c r="AB368" i="20"/>
  <c r="AN368" i="20"/>
  <c r="AJ368" i="20"/>
  <c r="AK368" i="20"/>
  <c r="AL368" i="20"/>
  <c r="AE368" i="20"/>
  <c r="AG368" i="20"/>
  <c r="AF368" i="20"/>
  <c r="AD368" i="20"/>
  <c r="Y368" i="20"/>
  <c r="Z368" i="20"/>
  <c r="AC368" i="20"/>
  <c r="AA368" i="20"/>
  <c r="AN931" i="20"/>
  <c r="AF931" i="20"/>
  <c r="AJ931" i="20"/>
  <c r="AD931" i="20"/>
  <c r="AE931" i="20"/>
  <c r="AK931" i="20"/>
  <c r="Y931" i="20"/>
  <c r="AC931" i="20"/>
  <c r="AG931" i="20"/>
  <c r="AB931" i="20"/>
  <c r="Z931" i="20"/>
  <c r="AL931" i="20"/>
  <c r="AH931" i="20"/>
  <c r="AA931" i="20"/>
  <c r="AN649" i="20"/>
  <c r="AI649" i="20"/>
  <c r="AA649" i="20"/>
  <c r="AC649" i="20"/>
  <c r="AF649" i="20"/>
  <c r="AK649" i="20"/>
  <c r="AG649" i="20"/>
  <c r="AE649" i="20"/>
  <c r="AB649" i="20"/>
  <c r="AD649" i="20"/>
  <c r="Y649" i="20"/>
  <c r="AH649" i="20"/>
  <c r="Z649" i="20"/>
  <c r="AL649" i="20"/>
  <c r="AN898" i="20"/>
  <c r="AL898" i="20"/>
  <c r="AF898" i="20"/>
  <c r="AE898" i="20"/>
  <c r="AJ898" i="20"/>
  <c r="AB898" i="20"/>
  <c r="AG898" i="20"/>
  <c r="AK898" i="20"/>
  <c r="Y898" i="20"/>
  <c r="AC898" i="20"/>
  <c r="AA898" i="20"/>
  <c r="AD898" i="20"/>
  <c r="Z898" i="20"/>
  <c r="AI898" i="20"/>
  <c r="AH898" i="20"/>
  <c r="AA311" i="20"/>
  <c r="AG311" i="20"/>
  <c r="AB311" i="20"/>
  <c r="AF311" i="20"/>
  <c r="Y311" i="20"/>
  <c r="AN311" i="20"/>
  <c r="AK311" i="20"/>
  <c r="AE311" i="20"/>
  <c r="AC311" i="20"/>
  <c r="AI311" i="20"/>
  <c r="AH311" i="20"/>
  <c r="AD311" i="20"/>
  <c r="Z311" i="20"/>
  <c r="AJ311" i="20"/>
  <c r="AN968" i="20"/>
  <c r="AE968" i="20"/>
  <c r="AA968" i="20"/>
  <c r="AF968" i="20"/>
  <c r="Z968" i="20"/>
  <c r="AD968" i="20"/>
  <c r="AB968" i="20"/>
  <c r="AK968" i="20"/>
  <c r="AI968" i="20"/>
  <c r="Y968" i="20"/>
  <c r="AJ968" i="20"/>
  <c r="AC968" i="20"/>
  <c r="AG968" i="20"/>
  <c r="AH968" i="20"/>
  <c r="AL968" i="20"/>
  <c r="AN923" i="20"/>
  <c r="AL923" i="20"/>
  <c r="AE923" i="20"/>
  <c r="AC923" i="20"/>
  <c r="Z923" i="20"/>
  <c r="AF923" i="20"/>
  <c r="AD923" i="20"/>
  <c r="AI923" i="20"/>
  <c r="AJ923" i="20"/>
  <c r="AK923" i="20"/>
  <c r="AB923" i="20"/>
  <c r="AG923" i="20"/>
  <c r="AN987" i="20"/>
  <c r="AA987" i="20"/>
  <c r="Y987" i="20"/>
  <c r="AE987" i="20"/>
  <c r="Z987" i="20"/>
  <c r="AD987" i="20"/>
  <c r="AJ987" i="20"/>
  <c r="AK987" i="20"/>
  <c r="AC987" i="20"/>
  <c r="AB987" i="20"/>
  <c r="AG987" i="20"/>
  <c r="AL987" i="20"/>
  <c r="AF987" i="20"/>
  <c r="AI987" i="20"/>
  <c r="AH987" i="20"/>
  <c r="AN294" i="20"/>
  <c r="AE294" i="20"/>
  <c r="AD294" i="20"/>
  <c r="AI294" i="20"/>
  <c r="AA294" i="20"/>
  <c r="AK294" i="20"/>
  <c r="AC294" i="20"/>
  <c r="Z294" i="20"/>
  <c r="AG294" i="20"/>
  <c r="AB294" i="20"/>
  <c r="AL294" i="20"/>
  <c r="Y294" i="20"/>
  <c r="AF294" i="20"/>
  <c r="Z281" i="20"/>
  <c r="Y281" i="20"/>
  <c r="AA281" i="20"/>
  <c r="AI281" i="20"/>
  <c r="AB281" i="20"/>
  <c r="AF281" i="20"/>
  <c r="AK281" i="20"/>
  <c r="AN281" i="20"/>
  <c r="AC281" i="20"/>
  <c r="AG281" i="20"/>
  <c r="AH281" i="20"/>
  <c r="AE281" i="20"/>
  <c r="AD281" i="20"/>
  <c r="AD905" i="20"/>
  <c r="AA905" i="20"/>
  <c r="AJ905" i="20"/>
  <c r="AL905" i="20"/>
  <c r="AN905" i="20"/>
  <c r="AH905" i="20"/>
  <c r="AK905" i="20"/>
  <c r="AG905" i="20"/>
  <c r="Z905" i="20"/>
  <c r="Y905" i="20"/>
  <c r="AB905" i="20"/>
  <c r="AE905" i="20"/>
  <c r="AC905" i="20"/>
  <c r="AF905" i="20"/>
  <c r="AI905" i="20"/>
  <c r="Y261" i="20"/>
  <c r="AD261" i="20"/>
  <c r="AL261" i="20"/>
  <c r="AN261" i="20"/>
  <c r="AI261" i="20"/>
  <c r="AK261" i="20"/>
  <c r="AA261" i="20"/>
  <c r="AJ261" i="20"/>
  <c r="AH261" i="20"/>
  <c r="Z261" i="20"/>
  <c r="AC261" i="20"/>
  <c r="AE261" i="20"/>
  <c r="AF261" i="20"/>
  <c r="AG261" i="20"/>
  <c r="AB261" i="20"/>
  <c r="AN252" i="20"/>
  <c r="AF252" i="20"/>
  <c r="AL252" i="20"/>
  <c r="AK252" i="20"/>
  <c r="Y252" i="20"/>
  <c r="AA252" i="20"/>
  <c r="Z252" i="20"/>
  <c r="AJ252" i="20"/>
  <c r="AC252" i="20"/>
  <c r="AI252" i="20"/>
  <c r="AD252" i="20"/>
  <c r="AB252" i="20"/>
  <c r="AE252" i="20"/>
  <c r="AG252" i="20"/>
  <c r="AH252" i="20"/>
  <c r="AN234" i="20"/>
  <c r="AG234" i="20"/>
  <c r="AC234" i="20"/>
  <c r="AL234" i="20"/>
  <c r="AK234" i="20"/>
  <c r="AH234" i="20"/>
  <c r="AA234" i="20"/>
  <c r="AJ234" i="20"/>
  <c r="Z234" i="20"/>
  <c r="AF234" i="20"/>
  <c r="AB234" i="20"/>
  <c r="AD234" i="20"/>
  <c r="AI234" i="20"/>
  <c r="AF226" i="20"/>
  <c r="Z226" i="20"/>
  <c r="AJ226" i="20"/>
  <c r="AA226" i="20"/>
  <c r="AN226" i="20"/>
  <c r="AC226" i="20"/>
  <c r="Y226" i="20"/>
  <c r="AL226" i="20"/>
  <c r="AE226" i="20"/>
  <c r="AB226" i="20"/>
  <c r="AG226" i="20"/>
  <c r="AI226" i="20"/>
  <c r="AD226" i="20"/>
  <c r="AK226" i="20"/>
  <c r="AH226" i="20"/>
  <c r="Z206" i="20"/>
  <c r="AG206" i="20"/>
  <c r="AH206" i="20"/>
  <c r="Y206" i="20"/>
  <c r="AN206" i="20"/>
  <c r="AA206" i="20"/>
  <c r="AB206" i="20"/>
  <c r="AE206" i="20"/>
  <c r="AK206" i="20"/>
  <c r="AL206" i="20"/>
  <c r="AC206" i="20"/>
  <c r="AI206" i="20"/>
  <c r="AD206" i="20"/>
  <c r="AJ206" i="20"/>
  <c r="AF206" i="20"/>
  <c r="AN200" i="20"/>
  <c r="AL200" i="20"/>
  <c r="AF200" i="20"/>
  <c r="AH200" i="20"/>
  <c r="Y200" i="20"/>
  <c r="Z200" i="20"/>
  <c r="AI200" i="20"/>
  <c r="AG200" i="20"/>
  <c r="AD200" i="20"/>
  <c r="AB200" i="20"/>
  <c r="AE200" i="20"/>
  <c r="AC200" i="20"/>
  <c r="AJ200" i="20"/>
  <c r="AK200" i="20"/>
  <c r="AA200" i="20"/>
  <c r="AN314" i="20"/>
  <c r="AH314" i="20"/>
  <c r="AE314" i="20"/>
  <c r="Y314" i="20"/>
  <c r="AD314" i="20"/>
  <c r="AK314" i="20"/>
  <c r="AL314" i="20"/>
  <c r="AC314" i="20"/>
  <c r="AJ314" i="20"/>
  <c r="AB314" i="20"/>
  <c r="Z314" i="20"/>
  <c r="AG314" i="20"/>
  <c r="AA314" i="20"/>
  <c r="AF314" i="20"/>
  <c r="AI314" i="20"/>
  <c r="AN76" i="20"/>
  <c r="AA76" i="20"/>
  <c r="AH76" i="20"/>
  <c r="AB76" i="20"/>
  <c r="Y76" i="20"/>
  <c r="AE76" i="20"/>
  <c r="AD76" i="20"/>
  <c r="AJ76" i="20"/>
  <c r="Z76" i="20"/>
  <c r="AG76" i="20"/>
  <c r="AL76" i="20"/>
  <c r="AC76" i="20"/>
  <c r="AF76" i="20"/>
  <c r="AI76" i="20"/>
  <c r="AK76" i="20"/>
  <c r="AI187" i="20"/>
  <c r="AN187" i="20"/>
  <c r="AL187" i="20"/>
  <c r="AD187" i="20"/>
  <c r="Y187" i="20"/>
  <c r="AJ187" i="20"/>
  <c r="AG187" i="20"/>
  <c r="AE187" i="20"/>
  <c r="Z187" i="20"/>
  <c r="AK187" i="20"/>
  <c r="AA187" i="20"/>
  <c r="AB187" i="20"/>
  <c r="AF187" i="20"/>
  <c r="AH187" i="20"/>
  <c r="AC187" i="20"/>
  <c r="AN178" i="20"/>
  <c r="Y178" i="20"/>
  <c r="Z178" i="20"/>
  <c r="AF178" i="20"/>
  <c r="AG178" i="20"/>
  <c r="AK178" i="20"/>
  <c r="AB178" i="20"/>
  <c r="AJ178" i="20"/>
  <c r="AE178" i="20"/>
  <c r="AC178" i="20"/>
  <c r="AH178" i="20"/>
  <c r="AL178" i="20"/>
  <c r="AI178" i="20"/>
  <c r="AD178" i="20"/>
  <c r="AA178" i="20"/>
  <c r="Z167" i="20"/>
  <c r="AN167" i="20"/>
  <c r="AC167" i="20"/>
  <c r="AE167" i="20"/>
  <c r="AK167" i="20"/>
  <c r="AF167" i="20"/>
  <c r="AG167" i="20"/>
  <c r="AL167" i="20"/>
  <c r="Y167" i="20"/>
  <c r="AB167" i="20"/>
  <c r="AA167" i="20"/>
  <c r="AD167" i="20"/>
  <c r="AI167" i="20"/>
  <c r="AA678" i="20"/>
  <c r="AI678" i="20"/>
  <c r="AF678" i="20"/>
  <c r="AL678" i="20"/>
  <c r="AB678" i="20"/>
  <c r="AJ678" i="20"/>
  <c r="AN678" i="20"/>
  <c r="Y678" i="20"/>
  <c r="AG678" i="20"/>
  <c r="AK678" i="20"/>
  <c r="AH678" i="20"/>
  <c r="AE678" i="20"/>
  <c r="AD678" i="20"/>
  <c r="AC678" i="20"/>
  <c r="Z678" i="20"/>
  <c r="AN148" i="20"/>
  <c r="AK148" i="20"/>
  <c r="AA148" i="20"/>
  <c r="Y148" i="20"/>
  <c r="AH148" i="20"/>
  <c r="AF148" i="20"/>
  <c r="AJ148" i="20"/>
  <c r="Z148" i="20"/>
  <c r="AE148" i="20"/>
  <c r="AG148" i="20"/>
  <c r="AD148" i="20"/>
  <c r="AD139" i="20"/>
  <c r="AK139" i="20"/>
  <c r="Y139" i="20"/>
  <c r="AG139" i="20"/>
  <c r="AF139" i="20"/>
  <c r="AK1023" i="20"/>
  <c r="AE1023" i="20"/>
  <c r="AI1023" i="20"/>
  <c r="AH1023" i="20"/>
  <c r="AN1023" i="20"/>
  <c r="Y1023" i="20"/>
  <c r="AD1023" i="20"/>
  <c r="Z1023" i="20"/>
  <c r="AF1023" i="20"/>
  <c r="AG1023" i="20"/>
  <c r="AA1023" i="20"/>
  <c r="AC1023" i="20"/>
  <c r="AB1023" i="20"/>
  <c r="AL1023" i="20"/>
  <c r="AJ1023" i="20"/>
  <c r="AK869" i="20"/>
  <c r="AF869" i="20"/>
  <c r="AD869" i="20"/>
  <c r="AJ869" i="20"/>
  <c r="Z869" i="20"/>
  <c r="AL869" i="20"/>
  <c r="AI869" i="20"/>
  <c r="AH869" i="20"/>
  <c r="AC869" i="20"/>
  <c r="AB869" i="20"/>
  <c r="Y869" i="20"/>
  <c r="AN869" i="20"/>
  <c r="AG869" i="20"/>
  <c r="AA869" i="20"/>
  <c r="AE869" i="20"/>
  <c r="AI134" i="20"/>
  <c r="AC134" i="20"/>
  <c r="AJ134" i="20"/>
  <c r="AA134" i="20"/>
  <c r="AB124" i="20"/>
  <c r="AN124" i="20"/>
  <c r="AC124" i="20"/>
  <c r="AD124" i="20"/>
  <c r="AL124" i="20"/>
  <c r="AE124" i="20"/>
  <c r="AL119" i="20"/>
  <c r="Y119" i="20"/>
  <c r="AA119" i="20"/>
  <c r="AF119" i="20"/>
  <c r="AD119" i="20"/>
  <c r="AC112" i="20"/>
  <c r="AN112" i="20"/>
  <c r="AH112" i="20"/>
  <c r="AF112" i="20"/>
  <c r="AF109" i="20"/>
  <c r="AC109" i="20"/>
  <c r="AL109" i="20"/>
  <c r="AH109" i="20"/>
  <c r="Z104" i="20"/>
  <c r="AI104" i="20"/>
  <c r="Y104" i="20"/>
  <c r="AF104" i="20"/>
  <c r="Z98" i="20"/>
  <c r="AC98" i="20"/>
  <c r="AF98" i="20"/>
  <c r="AH98" i="20"/>
  <c r="AG83" i="20"/>
  <c r="AA83" i="20"/>
  <c r="AE83" i="20"/>
  <c r="AD83" i="20"/>
  <c r="AB83" i="20"/>
  <c r="AN83" i="20"/>
  <c r="AA71" i="20"/>
  <c r="AL71" i="20"/>
  <c r="AJ71" i="20"/>
  <c r="AE67" i="20"/>
  <c r="Z67" i="20"/>
  <c r="AF67" i="20"/>
  <c r="AG67" i="20"/>
  <c r="AA67" i="20"/>
  <c r="AD61" i="20"/>
  <c r="AB61" i="20"/>
  <c r="AC61" i="20"/>
  <c r="AA61" i="20"/>
  <c r="AI61" i="20"/>
  <c r="AE56" i="20"/>
  <c r="AD56" i="20"/>
  <c r="AB56" i="20"/>
  <c r="AC56" i="20"/>
  <c r="AA56" i="20"/>
  <c r="AN56" i="20"/>
  <c r="AL47" i="20"/>
  <c r="AF47" i="20"/>
  <c r="AA47" i="20"/>
  <c r="Z47" i="20"/>
  <c r="Y25" i="20"/>
  <c r="AE25" i="20"/>
  <c r="AF25" i="20"/>
  <c r="AD25" i="20"/>
  <c r="AG1157" i="20"/>
  <c r="AN1157" i="20"/>
  <c r="AB1157" i="20"/>
  <c r="AK1157" i="20"/>
  <c r="AE1157" i="20"/>
  <c r="AL1157" i="20"/>
  <c r="Y1157" i="20"/>
  <c r="AJ1157" i="20"/>
  <c r="AA1157" i="20"/>
  <c r="AD1157" i="20"/>
  <c r="AI1157" i="20"/>
  <c r="Z1157" i="20"/>
  <c r="AF1157" i="20"/>
  <c r="AH1157" i="20"/>
  <c r="AC1157" i="20"/>
  <c r="AK1149" i="20"/>
  <c r="AC1149" i="20"/>
  <c r="Z1149" i="20"/>
  <c r="AN1149" i="20"/>
  <c r="AL1149" i="20"/>
  <c r="AJ1149" i="20"/>
  <c r="AI1149" i="20"/>
  <c r="AA1149" i="20"/>
  <c r="AH1149" i="20"/>
  <c r="AD1149" i="20"/>
  <c r="AE1149" i="20"/>
  <c r="AL1169" i="20"/>
  <c r="AB1169" i="20"/>
  <c r="AK1169" i="20"/>
  <c r="AI1169" i="20"/>
  <c r="AC1169" i="20"/>
  <c r="Z1169" i="20"/>
  <c r="AN1169" i="20"/>
  <c r="Y1169" i="20"/>
  <c r="AA1169" i="20"/>
  <c r="AG1169" i="20"/>
  <c r="AH1169" i="20"/>
  <c r="AJ1169" i="20"/>
  <c r="AF1169" i="20"/>
  <c r="AD1169" i="20"/>
  <c r="AE1169" i="20"/>
  <c r="AN1177" i="20"/>
  <c r="AK1177" i="20"/>
  <c r="Y1177" i="20"/>
  <c r="AA1177" i="20"/>
  <c r="AL1177" i="20"/>
  <c r="AJ1177" i="20"/>
  <c r="AH1177" i="20"/>
  <c r="AB1177" i="20"/>
  <c r="AC1177" i="20"/>
  <c r="AF1177" i="20"/>
  <c r="AE1177" i="20"/>
  <c r="AI1177" i="20"/>
  <c r="AG1177" i="20"/>
  <c r="Z1177" i="20"/>
  <c r="AD1177" i="20"/>
  <c r="AI1185" i="20"/>
  <c r="AC1185" i="20"/>
  <c r="AF1185" i="20"/>
  <c r="AJ1185" i="20"/>
  <c r="AK1185" i="20"/>
  <c r="AL1185" i="20"/>
  <c r="Y1185" i="20"/>
  <c r="AB1185" i="20"/>
  <c r="AN1185" i="20"/>
  <c r="Z1185" i="20"/>
  <c r="AE1185" i="20"/>
  <c r="AH1185" i="20"/>
  <c r="AA1185" i="20"/>
  <c r="AD1185" i="20"/>
  <c r="AG1185" i="20"/>
  <c r="AH1193" i="20"/>
  <c r="AL1193" i="20"/>
  <c r="AI1193" i="20"/>
  <c r="AJ1193" i="20"/>
  <c r="AN1193" i="20"/>
  <c r="AG1193" i="20"/>
  <c r="AA1193" i="20"/>
  <c r="AK1193" i="20"/>
  <c r="AC1193" i="20"/>
  <c r="Y1193" i="20"/>
  <c r="AB1193" i="20"/>
  <c r="AF1193" i="20"/>
  <c r="Y1201" i="20"/>
  <c r="AN1201" i="20"/>
  <c r="AG1201" i="20"/>
  <c r="AA1201" i="20"/>
  <c r="AB1201" i="20"/>
  <c r="AK1201" i="20"/>
  <c r="AI1201" i="20"/>
  <c r="AJ1201" i="20"/>
  <c r="AH1201" i="20"/>
  <c r="AL1201" i="20"/>
  <c r="AD1201" i="20"/>
  <c r="AC1201" i="20"/>
  <c r="AE1209" i="20"/>
  <c r="Y1209" i="20"/>
  <c r="Z1209" i="20"/>
  <c r="AI1209" i="20"/>
  <c r="AD1209" i="20"/>
  <c r="AJ1209" i="20"/>
  <c r="AF1209" i="20"/>
  <c r="AA1209" i="20"/>
  <c r="AC1209" i="20"/>
  <c r="AK1209" i="20"/>
  <c r="AB1209" i="20"/>
  <c r="AL1209" i="20"/>
  <c r="AG1209" i="20"/>
  <c r="AD1217" i="20"/>
  <c r="AJ1217" i="20"/>
  <c r="AI1217" i="20"/>
  <c r="AG1217" i="20"/>
  <c r="AF1217" i="20"/>
  <c r="Y1217" i="20"/>
  <c r="AB1217" i="20"/>
  <c r="AK1217" i="20"/>
  <c r="AH1217" i="20"/>
  <c r="AA1217" i="20"/>
  <c r="AE1217" i="20"/>
  <c r="AF1221" i="20"/>
  <c r="AG1221" i="20"/>
  <c r="AD1221" i="20"/>
  <c r="AI1221" i="20"/>
  <c r="AL1221" i="20"/>
  <c r="AE1221" i="20"/>
  <c r="AB1221" i="20"/>
  <c r="AC1221" i="20"/>
  <c r="Y1221" i="20"/>
  <c r="AJ1221" i="20"/>
  <c r="AH1221" i="20"/>
  <c r="AA1221" i="20"/>
  <c r="AN1221" i="20"/>
  <c r="Y1229" i="20"/>
  <c r="AB1229" i="20"/>
  <c r="AN1229" i="20"/>
  <c r="AH1229" i="20"/>
  <c r="Z1229" i="20"/>
  <c r="AG1229" i="20"/>
  <c r="AF1229" i="20"/>
  <c r="AD1229" i="20"/>
  <c r="AA1229" i="20"/>
  <c r="AK1229" i="20"/>
  <c r="AL1229" i="20"/>
  <c r="AE1229" i="20"/>
  <c r="Y1237" i="20"/>
  <c r="AB1237" i="20"/>
  <c r="AH1237" i="20"/>
  <c r="AE1237" i="20"/>
  <c r="AN1237" i="20"/>
  <c r="AJ1237" i="20"/>
  <c r="AF1237" i="20"/>
  <c r="AG1237" i="20"/>
  <c r="AI1237" i="20"/>
  <c r="AN1245" i="20"/>
  <c r="Z1245" i="20"/>
  <c r="Y1245" i="20"/>
  <c r="AC1245" i="20"/>
  <c r="AB1245" i="20"/>
  <c r="AL1245" i="20"/>
  <c r="AG1245" i="20"/>
  <c r="AH1245" i="20"/>
  <c r="AD1245" i="20"/>
  <c r="AA1253" i="20"/>
  <c r="AD1253" i="20"/>
  <c r="AK1253" i="20"/>
  <c r="Y1253" i="20"/>
  <c r="AG1253" i="20"/>
  <c r="AI1253" i="20"/>
  <c r="AE1253" i="20"/>
  <c r="AL1253" i="20"/>
  <c r="AF1253" i="20"/>
  <c r="Z1253" i="20"/>
  <c r="AC1253" i="20"/>
  <c r="AN1253" i="20"/>
  <c r="AA1261" i="20"/>
  <c r="AK1261" i="20"/>
  <c r="AF1261" i="20"/>
  <c r="AE1261" i="20"/>
  <c r="AI1261" i="20"/>
  <c r="Z1261" i="20"/>
  <c r="AB1261" i="20"/>
  <c r="AL1261" i="20"/>
  <c r="Y1261" i="20"/>
  <c r="AG1261" i="20"/>
  <c r="AH1261" i="20"/>
  <c r="AD1261" i="20"/>
  <c r="AC1261" i="20"/>
  <c r="AL1269" i="20"/>
  <c r="AD1269" i="20"/>
  <c r="AJ1269" i="20"/>
  <c r="AA1269" i="20"/>
  <c r="AF1269" i="20"/>
  <c r="AC1269" i="20"/>
  <c r="Z1269" i="20"/>
  <c r="Y1269" i="20"/>
  <c r="AI1269" i="20"/>
  <c r="AK1269" i="20"/>
  <c r="AG1269" i="20"/>
  <c r="AB1269" i="20"/>
  <c r="AE1269" i="20"/>
  <c r="AH1269" i="20"/>
  <c r="AN1269" i="20"/>
  <c r="AE1277" i="20"/>
  <c r="Z1277" i="20"/>
  <c r="AC1277" i="20"/>
  <c r="AH1277" i="20"/>
  <c r="AG1277" i="20"/>
  <c r="AF1277" i="20"/>
  <c r="AL1277" i="20"/>
  <c r="AJ1277" i="20"/>
  <c r="AK1277" i="20"/>
  <c r="AD1277" i="20"/>
  <c r="AN1277" i="20"/>
  <c r="AH1285" i="20"/>
  <c r="AI1285" i="20"/>
  <c r="AG1285" i="20"/>
  <c r="AB1285" i="20"/>
  <c r="AF1285" i="20"/>
  <c r="AC1285" i="20"/>
  <c r="AL1285" i="20"/>
  <c r="AA1285" i="20"/>
  <c r="AD1285" i="20"/>
  <c r="AJ1285" i="20"/>
  <c r="AN1285" i="20"/>
  <c r="Z1285" i="20"/>
  <c r="Z1293" i="20"/>
  <c r="AN1293" i="20"/>
  <c r="AB1293" i="20"/>
  <c r="AH1293" i="20"/>
  <c r="AC1293" i="20"/>
  <c r="AK1293" i="20"/>
  <c r="AA1293" i="20"/>
  <c r="AE1293" i="20"/>
  <c r="AD1293" i="20"/>
  <c r="AF1293" i="20"/>
  <c r="AL1293" i="20"/>
  <c r="Y1293" i="20"/>
  <c r="AI1293" i="20"/>
  <c r="AA1301" i="20"/>
  <c r="AI1301" i="20"/>
  <c r="AD1301" i="20"/>
  <c r="AB1301" i="20"/>
  <c r="AG1301" i="20"/>
  <c r="AF1301" i="20"/>
  <c r="AE1301" i="20"/>
  <c r="AC1301" i="20"/>
  <c r="AL1301" i="20"/>
  <c r="AN1301" i="20"/>
  <c r="AH1301" i="20"/>
  <c r="AK1301" i="20"/>
  <c r="Y1301" i="20"/>
  <c r="AA1309" i="20"/>
  <c r="AC1309" i="20"/>
  <c r="AL1309" i="20"/>
  <c r="Z1309" i="20"/>
  <c r="AH1309" i="20"/>
  <c r="AN1309" i="20"/>
  <c r="AB1309" i="20"/>
  <c r="Y1309" i="20"/>
  <c r="AD1309" i="20"/>
  <c r="AG1309" i="20"/>
  <c r="AK1309" i="20"/>
  <c r="AF1309" i="20"/>
  <c r="AE1309" i="20"/>
  <c r="AI1309" i="20"/>
  <c r="AJ1309" i="20"/>
  <c r="AF1317" i="20"/>
  <c r="AD1317" i="20"/>
  <c r="AN1317" i="20"/>
  <c r="AI1317" i="20"/>
  <c r="AH1317" i="20"/>
  <c r="AE1317" i="20"/>
  <c r="AL1317" i="20"/>
  <c r="AK1317" i="20"/>
  <c r="AA1317" i="20"/>
  <c r="Y1317" i="20"/>
  <c r="AB1317" i="20"/>
  <c r="AG1317" i="20"/>
  <c r="AJ1317" i="20"/>
  <c r="Y1325" i="20"/>
  <c r="AC1325" i="20"/>
  <c r="AG1325" i="20"/>
  <c r="Z1325" i="20"/>
  <c r="AE1325" i="20"/>
  <c r="AK1325" i="20"/>
  <c r="AN1325" i="20"/>
  <c r="AB1325" i="20"/>
  <c r="AJ1325" i="20"/>
  <c r="AH1325" i="20"/>
  <c r="AD1325" i="20"/>
  <c r="AL1325" i="20"/>
  <c r="AF1325" i="20"/>
  <c r="AN1337" i="20"/>
  <c r="Y1337" i="20"/>
  <c r="AE1337" i="20"/>
  <c r="AK1337" i="20"/>
  <c r="AD1337" i="20"/>
  <c r="AC1337" i="20"/>
  <c r="AJ1337" i="20"/>
  <c r="AA1337" i="20"/>
  <c r="Z1337" i="20"/>
  <c r="AI1337" i="20"/>
  <c r="AB1337" i="20"/>
  <c r="AL1337" i="20"/>
  <c r="AH1337" i="20"/>
  <c r="AG1337" i="20"/>
  <c r="AF1337" i="20"/>
  <c r="AL311" i="20"/>
  <c r="AL822" i="20"/>
  <c r="AJ679" i="20"/>
  <c r="AI443" i="20"/>
  <c r="AJ246" i="20"/>
  <c r="AH472" i="20"/>
  <c r="AL523" i="20"/>
  <c r="AH673" i="20"/>
  <c r="AH612" i="20"/>
  <c r="AH1028" i="20"/>
  <c r="AB756" i="20"/>
  <c r="AK912" i="20"/>
  <c r="AK838" i="20"/>
  <c r="AD652" i="20"/>
  <c r="AE816" i="20"/>
  <c r="Y652" i="20"/>
  <c r="Y523" i="20"/>
  <c r="AD586" i="20"/>
  <c r="AR894" i="20"/>
  <c r="AR672" i="20"/>
  <c r="AR675" i="20"/>
  <c r="AR216" i="20"/>
  <c r="AL218" i="20"/>
  <c r="AL446" i="20"/>
  <c r="AI204" i="20"/>
  <c r="AI170" i="20"/>
  <c r="AJ579" i="20"/>
  <c r="AH946" i="20"/>
  <c r="AL655" i="20"/>
  <c r="AH167" i="20"/>
  <c r="AH923" i="20"/>
  <c r="AB148" i="20"/>
  <c r="AK603" i="20"/>
  <c r="AA925" i="20"/>
  <c r="AG574" i="20"/>
  <c r="Y586" i="20"/>
  <c r="AE1032" i="20"/>
  <c r="AG748" i="20"/>
  <c r="Z170" i="20"/>
  <c r="AF718" i="20"/>
  <c r="Y93" i="20"/>
  <c r="AE501" i="20"/>
  <c r="AD838" i="20"/>
  <c r="AR273" i="20"/>
  <c r="AP273" i="20"/>
  <c r="AP236" i="20"/>
  <c r="AR236" i="20"/>
  <c r="AR394" i="20"/>
  <c r="AP394" i="20"/>
  <c r="AP649" i="20"/>
  <c r="AR649" i="20"/>
  <c r="AP389" i="20"/>
  <c r="AR389" i="20"/>
  <c r="AP1037" i="20"/>
  <c r="AR1037" i="20"/>
  <c r="AP452" i="20"/>
  <c r="AR452" i="20"/>
  <c r="AP397" i="20"/>
  <c r="AR397" i="20"/>
  <c r="AP762" i="20"/>
  <c r="AR762" i="20"/>
  <c r="AP1014" i="20"/>
  <c r="AR1014" i="20"/>
  <c r="AP535" i="20"/>
  <c r="AR535" i="20"/>
  <c r="AP369" i="20"/>
  <c r="AR369" i="20"/>
  <c r="AL1142" i="20"/>
  <c r="AG1142" i="20"/>
  <c r="AA1142" i="20"/>
  <c r="Y1142" i="20"/>
  <c r="AK1142" i="20"/>
  <c r="AF1142" i="20"/>
  <c r="AD1134" i="20"/>
  <c r="Z1134" i="20"/>
  <c r="AN1134" i="20"/>
  <c r="AG1134" i="20"/>
  <c r="AK1134" i="20"/>
  <c r="AB1134" i="20"/>
  <c r="AC1134" i="20"/>
  <c r="AE1134" i="20"/>
  <c r="AI1134" i="20"/>
  <c r="AF1134" i="20"/>
  <c r="Y1134" i="20"/>
  <c r="AL1134" i="20"/>
  <c r="AJ1134" i="20"/>
  <c r="AL1126" i="20"/>
  <c r="AB1126" i="20"/>
  <c r="Y1126" i="20"/>
  <c r="AC1126" i="20"/>
  <c r="AE1126" i="20"/>
  <c r="AF1126" i="20"/>
  <c r="AN1126" i="20"/>
  <c r="AK1126" i="20"/>
  <c r="Z1126" i="20"/>
  <c r="AG1126" i="20"/>
  <c r="Z1118" i="20"/>
  <c r="AL1118" i="20"/>
  <c r="AE1118" i="20"/>
  <c r="AF1118" i="20"/>
  <c r="AG1118" i="20"/>
  <c r="AK1118" i="20"/>
  <c r="AC1118" i="20"/>
  <c r="AN1118" i="20"/>
  <c r="Y1118" i="20"/>
  <c r="AF1110" i="20"/>
  <c r="Z1110" i="20"/>
  <c r="AL1110" i="20"/>
  <c r="AC1110" i="20"/>
  <c r="AK1110" i="20"/>
  <c r="AG1110" i="20"/>
  <c r="AL1102" i="20"/>
  <c r="AK1102" i="20"/>
  <c r="Z1102" i="20"/>
  <c r="AI1102" i="20"/>
  <c r="AC1102" i="20"/>
  <c r="AN1102" i="20"/>
  <c r="AC1094" i="20"/>
  <c r="AD1094" i="20"/>
  <c r="AB1094" i="20"/>
  <c r="AK1094" i="20"/>
  <c r="AD1086" i="20"/>
  <c r="AN1086" i="20"/>
  <c r="AE1086" i="20"/>
  <c r="AE1082" i="20"/>
  <c r="AB1082" i="20"/>
  <c r="AF1082" i="20"/>
  <c r="AL1082" i="20"/>
  <c r="AF1074" i="20"/>
  <c r="AC1074" i="20"/>
  <c r="AE1074" i="20"/>
  <c r="AJ1074" i="20"/>
  <c r="AG1074" i="20"/>
  <c r="AI1074" i="20"/>
  <c r="AL1074" i="20"/>
  <c r="Z1074" i="20"/>
  <c r="AK1074" i="20"/>
  <c r="AB1074" i="20"/>
  <c r="Y1074" i="20"/>
  <c r="AN1074" i="20"/>
  <c r="AA1074" i="20"/>
  <c r="AD1074" i="20"/>
  <c r="AH1074" i="20"/>
  <c r="AN1066" i="20"/>
  <c r="AK1066" i="20"/>
  <c r="AE1066" i="20"/>
  <c r="Z1066" i="20"/>
  <c r="AB1066" i="20"/>
  <c r="Y1066" i="20"/>
  <c r="AI1066" i="20"/>
  <c r="AH1066" i="20"/>
  <c r="AJ1066" i="20"/>
  <c r="AL1066" i="20"/>
  <c r="AC1066" i="20"/>
  <c r="AG1066" i="20"/>
  <c r="AA1066" i="20"/>
  <c r="AD1066" i="20"/>
  <c r="AF1066" i="20"/>
  <c r="AF1053" i="20"/>
  <c r="AI1053" i="20"/>
  <c r="AJ1053" i="20"/>
  <c r="Z1053" i="20"/>
  <c r="AA1053" i="20"/>
  <c r="AN1053" i="20"/>
  <c r="AC1053" i="20"/>
  <c r="AG1053" i="20"/>
  <c r="AH1053" i="20"/>
  <c r="AL1053" i="20"/>
  <c r="Y1053" i="20"/>
  <c r="AB1053" i="20"/>
  <c r="AE1053" i="20"/>
  <c r="AK1053" i="20"/>
  <c r="AD1053" i="20"/>
  <c r="AN1036" i="20"/>
  <c r="AG1036" i="20"/>
  <c r="Z1036" i="20"/>
  <c r="AA1036" i="20"/>
  <c r="AK1036" i="20"/>
  <c r="AF1036" i="20"/>
  <c r="AE1036" i="20"/>
  <c r="AL1036" i="20"/>
  <c r="Y1036" i="20"/>
  <c r="AB1036" i="20"/>
  <c r="AD1036" i="20"/>
  <c r="AN1026" i="20"/>
  <c r="AB1026" i="20"/>
  <c r="AK1026" i="20"/>
  <c r="Y1026" i="20"/>
  <c r="AA1026" i="20"/>
  <c r="AH1026" i="20"/>
  <c r="AE1026" i="20"/>
  <c r="AF1026" i="20"/>
  <c r="AC1026" i="20"/>
  <c r="Z1026" i="20"/>
  <c r="AD1026" i="20"/>
  <c r="AL1026" i="20"/>
  <c r="AG1026" i="20"/>
  <c r="AN1015" i="20"/>
  <c r="AC1015" i="20"/>
  <c r="AB1015" i="20"/>
  <c r="AE1015" i="20"/>
  <c r="AH1015" i="20"/>
  <c r="AI1015" i="20"/>
  <c r="AF1015" i="20"/>
  <c r="AJ1015" i="20"/>
  <c r="Z1015" i="20"/>
  <c r="AD1015" i="20"/>
  <c r="AA1015" i="20"/>
  <c r="AK1015" i="20"/>
  <c r="AL1015" i="20"/>
  <c r="AI991" i="20"/>
  <c r="AN991" i="20"/>
  <c r="AL991" i="20"/>
  <c r="AB991" i="20"/>
  <c r="AC991" i="20"/>
  <c r="AK991" i="20"/>
  <c r="AG991" i="20"/>
  <c r="AA991" i="20"/>
  <c r="AE991" i="20"/>
  <c r="AD991" i="20"/>
  <c r="Z991" i="20"/>
  <c r="AF991" i="20"/>
  <c r="AJ991" i="20"/>
  <c r="Y991" i="20"/>
  <c r="AN992" i="20"/>
  <c r="AD992" i="20"/>
  <c r="AE992" i="20"/>
  <c r="AF992" i="20"/>
  <c r="Z992" i="20"/>
  <c r="AH992" i="20"/>
  <c r="AK992" i="20"/>
  <c r="AC992" i="20"/>
  <c r="Y992" i="20"/>
  <c r="AB992" i="20"/>
  <c r="AN971" i="20"/>
  <c r="AD971" i="20"/>
  <c r="AI971" i="20"/>
  <c r="AE971" i="20"/>
  <c r="Y971" i="20"/>
  <c r="AB971" i="20"/>
  <c r="AH971" i="20"/>
  <c r="AL971" i="20"/>
  <c r="AJ971" i="20"/>
  <c r="AC971" i="20"/>
  <c r="Z971" i="20"/>
  <c r="AF971" i="20"/>
  <c r="AN941" i="20"/>
  <c r="AB941" i="20"/>
  <c r="AE941" i="20"/>
  <c r="AJ941" i="20"/>
  <c r="AF941" i="20"/>
  <c r="AG941" i="20"/>
  <c r="Z941" i="20"/>
  <c r="AA941" i="20"/>
  <c r="AH941" i="20"/>
  <c r="AI941" i="20"/>
  <c r="AD941" i="20"/>
  <c r="Y941" i="20"/>
  <c r="AL941" i="20"/>
  <c r="AF922" i="20"/>
  <c r="AB922" i="20"/>
  <c r="AN922" i="20"/>
  <c r="AI922" i="20"/>
  <c r="AK922" i="20"/>
  <c r="AG922" i="20"/>
  <c r="AA922" i="20"/>
  <c r="AL922" i="20"/>
  <c r="AE922" i="20"/>
  <c r="AD922" i="20"/>
  <c r="Z922" i="20"/>
  <c r="AJ922" i="20"/>
  <c r="Y922" i="20"/>
  <c r="Z903" i="20"/>
  <c r="AN903" i="20"/>
  <c r="AC903" i="20"/>
  <c r="AA903" i="20"/>
  <c r="Y903" i="20"/>
  <c r="AL903" i="20"/>
  <c r="AG903" i="20"/>
  <c r="AE903" i="20"/>
  <c r="AI903" i="20"/>
  <c r="AD903" i="20"/>
  <c r="AK903" i="20"/>
  <c r="AF903" i="20"/>
  <c r="AJ903" i="20"/>
  <c r="AN890" i="20"/>
  <c r="AI890" i="20"/>
  <c r="AG890" i="20"/>
  <c r="AD890" i="20"/>
  <c r="AE890" i="20"/>
  <c r="AF890" i="20"/>
  <c r="AB890" i="20"/>
  <c r="AK890" i="20"/>
  <c r="AJ890" i="20"/>
  <c r="AC890" i="20"/>
  <c r="AL890" i="20"/>
  <c r="Y890" i="20"/>
  <c r="AA890" i="20"/>
  <c r="Z890" i="20"/>
  <c r="AN866" i="20"/>
  <c r="AJ866" i="20"/>
  <c r="AI866" i="20"/>
  <c r="AC866" i="20"/>
  <c r="AD866" i="20"/>
  <c r="AH866" i="20"/>
  <c r="AB866" i="20"/>
  <c r="AE866" i="20"/>
  <c r="AG866" i="20"/>
  <c r="Z866" i="20"/>
  <c r="AA866" i="20"/>
  <c r="AF866" i="20"/>
  <c r="AK866" i="20"/>
  <c r="Y866" i="20"/>
  <c r="AK842" i="20"/>
  <c r="AN842" i="20"/>
  <c r="Z842" i="20"/>
  <c r="Y842" i="20"/>
  <c r="AE842" i="20"/>
  <c r="AF842" i="20"/>
  <c r="AH842" i="20"/>
  <c r="AL842" i="20"/>
  <c r="AI842" i="20"/>
  <c r="AA842" i="20"/>
  <c r="AG842" i="20"/>
  <c r="AB842" i="20"/>
  <c r="AC842" i="20"/>
  <c r="AD842" i="20"/>
  <c r="AI833" i="20"/>
  <c r="AD833" i="20"/>
  <c r="AA833" i="20"/>
  <c r="AC833" i="20"/>
  <c r="AG833" i="20"/>
  <c r="AE833" i="20"/>
  <c r="Y833" i="20"/>
  <c r="AK833" i="20"/>
  <c r="AF833" i="20"/>
  <c r="AL833" i="20"/>
  <c r="Z833" i="20"/>
  <c r="AN833" i="20"/>
  <c r="AB833" i="20"/>
  <c r="AH833" i="20"/>
  <c r="AN813" i="20"/>
  <c r="AC813" i="20"/>
  <c r="AL813" i="20"/>
  <c r="AG813" i="20"/>
  <c r="Z813" i="20"/>
  <c r="AE813" i="20"/>
  <c r="AI813" i="20"/>
  <c r="Y813" i="20"/>
  <c r="AK813" i="20"/>
  <c r="AB813" i="20"/>
  <c r="AF813" i="20"/>
  <c r="AH813" i="20"/>
  <c r="AA813" i="20"/>
  <c r="AD813" i="20"/>
  <c r="AN799" i="20"/>
  <c r="AA799" i="20"/>
  <c r="AI799" i="20"/>
  <c r="AG799" i="20"/>
  <c r="AF799" i="20"/>
  <c r="AL799" i="20"/>
  <c r="AD799" i="20"/>
  <c r="AC799" i="20"/>
  <c r="AB799" i="20"/>
  <c r="AE799" i="20"/>
  <c r="Z799" i="20"/>
  <c r="Y799" i="20"/>
  <c r="AH799" i="20"/>
  <c r="AN784" i="20"/>
  <c r="AI784" i="20"/>
  <c r="AL784" i="20"/>
  <c r="AC784" i="20"/>
  <c r="AG784" i="20"/>
  <c r="AK784" i="20"/>
  <c r="AA784" i="20"/>
  <c r="AE784" i="20"/>
  <c r="AF784" i="20"/>
  <c r="Y784" i="20"/>
  <c r="AH784" i="20"/>
  <c r="Z784" i="20"/>
  <c r="AB784" i="20"/>
  <c r="AJ784" i="20"/>
  <c r="AN756" i="20"/>
  <c r="AI756" i="20"/>
  <c r="AA756" i="20"/>
  <c r="AJ756" i="20"/>
  <c r="Z756" i="20"/>
  <c r="AF756" i="20"/>
  <c r="AD756" i="20"/>
  <c r="Y756" i="20"/>
  <c r="AC756" i="20"/>
  <c r="AK756" i="20"/>
  <c r="AG756" i="20"/>
  <c r="AJ743" i="20"/>
  <c r="AN743" i="20"/>
  <c r="AL743" i="20"/>
  <c r="AK743" i="20"/>
  <c r="AD743" i="20"/>
  <c r="AF743" i="20"/>
  <c r="Z743" i="20"/>
  <c r="AB743" i="20"/>
  <c r="AG743" i="20"/>
  <c r="AE743" i="20"/>
  <c r="AA743" i="20"/>
  <c r="AI743" i="20"/>
  <c r="AC743" i="20"/>
  <c r="AH743" i="20"/>
  <c r="Y743" i="20"/>
  <c r="AN730" i="20"/>
  <c r="AJ730" i="20"/>
  <c r="AI730" i="20"/>
  <c r="Z730" i="20"/>
  <c r="AA730" i="20"/>
  <c r="AC730" i="20"/>
  <c r="AD730" i="20"/>
  <c r="AF730" i="20"/>
  <c r="AE730" i="20"/>
  <c r="AG730" i="20"/>
  <c r="AH730" i="20"/>
  <c r="Y730" i="20"/>
  <c r="AB730" i="20"/>
  <c r="AK730" i="20"/>
  <c r="AI699" i="20"/>
  <c r="AN699" i="20"/>
  <c r="AK699" i="20"/>
  <c r="AF699" i="20"/>
  <c r="Y699" i="20"/>
  <c r="AJ699" i="20"/>
  <c r="AB699" i="20"/>
  <c r="AL699" i="20"/>
  <c r="AC699" i="20"/>
  <c r="AH699" i="20"/>
  <c r="Z699" i="20"/>
  <c r="AE699" i="20"/>
  <c r="AD699" i="20"/>
  <c r="AA699" i="20"/>
  <c r="AG699" i="20"/>
  <c r="AN695" i="20"/>
  <c r="AJ695" i="20"/>
  <c r="AI695" i="20"/>
  <c r="AF695" i="20"/>
  <c r="AE695" i="20"/>
  <c r="AA695" i="20"/>
  <c r="AK695" i="20"/>
  <c r="Y695" i="20"/>
  <c r="Z695" i="20"/>
  <c r="AB695" i="20"/>
  <c r="AD695" i="20"/>
  <c r="AG695" i="20"/>
  <c r="AL695" i="20"/>
  <c r="AC695" i="20"/>
  <c r="AH695" i="20"/>
  <c r="AI683" i="20"/>
  <c r="AL683" i="20"/>
  <c r="AN683" i="20"/>
  <c r="AF683" i="20"/>
  <c r="AB683" i="20"/>
  <c r="Z683" i="20"/>
  <c r="AC683" i="20"/>
  <c r="AK683" i="20"/>
  <c r="Y683" i="20"/>
  <c r="AA683" i="20"/>
  <c r="AG683" i="20"/>
  <c r="AE683" i="20"/>
  <c r="AD683" i="20"/>
  <c r="AJ683" i="20"/>
  <c r="AL664" i="20"/>
  <c r="Z664" i="20"/>
  <c r="AF664" i="20"/>
  <c r="Y664" i="20"/>
  <c r="AE664" i="20"/>
  <c r="AA664" i="20"/>
  <c r="AC664" i="20"/>
  <c r="AB664" i="20"/>
  <c r="AK664" i="20"/>
  <c r="AN664" i="20"/>
  <c r="AD664" i="20"/>
  <c r="AG664" i="20"/>
  <c r="AH664" i="20"/>
  <c r="AI664" i="20"/>
  <c r="AN204" i="20"/>
  <c r="AB204" i="20"/>
  <c r="AK204" i="20"/>
  <c r="AG204" i="20"/>
  <c r="AC204" i="20"/>
  <c r="AH204" i="20"/>
  <c r="AJ204" i="20"/>
  <c r="Z204" i="20"/>
  <c r="Y204" i="20"/>
  <c r="AL204" i="20"/>
  <c r="AA204" i="20"/>
  <c r="AN646" i="20"/>
  <c r="AF646" i="20"/>
  <c r="AK646" i="20"/>
  <c r="AD646" i="20"/>
  <c r="AI646" i="20"/>
  <c r="AH646" i="20"/>
  <c r="AJ646" i="20"/>
  <c r="Z646" i="20"/>
  <c r="AA646" i="20"/>
  <c r="AE646" i="20"/>
  <c r="AB646" i="20"/>
  <c r="AL646" i="20"/>
  <c r="Y646" i="20"/>
  <c r="AN1013" i="20"/>
  <c r="AJ1013" i="20"/>
  <c r="Z1013" i="20"/>
  <c r="AE1013" i="20"/>
  <c r="AA1013" i="20"/>
  <c r="AK1013" i="20"/>
  <c r="Y1013" i="20"/>
  <c r="AB1013" i="20"/>
  <c r="AF1013" i="20"/>
  <c r="AC1013" i="20"/>
  <c r="AI1013" i="20"/>
  <c r="AH1013" i="20"/>
  <c r="AD1013" i="20"/>
  <c r="AG1013" i="20"/>
  <c r="AN687" i="20"/>
  <c r="AE687" i="20"/>
  <c r="AK687" i="20"/>
  <c r="AG687" i="20"/>
  <c r="AC687" i="20"/>
  <c r="AB687" i="20"/>
  <c r="Z687" i="20"/>
  <c r="AF687" i="20"/>
  <c r="AA687" i="20"/>
  <c r="AH687" i="20"/>
  <c r="AL687" i="20"/>
  <c r="AJ687" i="20"/>
  <c r="AD687" i="20"/>
  <c r="Y687" i="20"/>
  <c r="AN561" i="20"/>
  <c r="AJ561" i="20"/>
  <c r="AI561" i="20"/>
  <c r="AK561" i="20"/>
  <c r="AA561" i="20"/>
  <c r="Z561" i="20"/>
  <c r="AB561" i="20"/>
  <c r="Y561" i="20"/>
  <c r="AG561" i="20"/>
  <c r="AL561" i="20"/>
  <c r="AE561" i="20"/>
  <c r="AD561" i="20"/>
  <c r="AC561" i="20"/>
  <c r="AF561" i="20"/>
  <c r="AL184" i="20"/>
  <c r="AJ184" i="20"/>
  <c r="AD184" i="20"/>
  <c r="AI184" i="20"/>
  <c r="Z184" i="20"/>
  <c r="AB184" i="20"/>
  <c r="AK184" i="20"/>
  <c r="AF184" i="20"/>
  <c r="AN184" i="20"/>
  <c r="AA184" i="20"/>
  <c r="Y184" i="20"/>
  <c r="AC184" i="20"/>
  <c r="AG184" i="20"/>
  <c r="AH184" i="20"/>
  <c r="AN52" i="20"/>
  <c r="AF52" i="20"/>
  <c r="AK52" i="20"/>
  <c r="AE52" i="20"/>
  <c r="AJ52" i="20"/>
  <c r="AB52" i="20"/>
  <c r="AD52" i="20"/>
  <c r="AL52" i="20"/>
  <c r="AA52" i="20"/>
  <c r="AI52" i="20"/>
  <c r="AG52" i="20"/>
  <c r="Z52" i="20"/>
  <c r="AH52" i="20"/>
  <c r="AC52" i="20"/>
  <c r="Y52" i="20"/>
  <c r="AE918" i="20"/>
  <c r="Y918" i="20"/>
  <c r="AB918" i="20"/>
  <c r="AH918" i="20"/>
  <c r="AL918" i="20"/>
  <c r="Z918" i="20"/>
  <c r="AN918" i="20"/>
  <c r="AF918" i="20"/>
  <c r="AI918" i="20"/>
  <c r="AD918" i="20"/>
  <c r="AG918" i="20"/>
  <c r="AK918" i="20"/>
  <c r="AJ918" i="20"/>
  <c r="AN800" i="20"/>
  <c r="AC800" i="20"/>
  <c r="AL800" i="20"/>
  <c r="AI800" i="20"/>
  <c r="AD800" i="20"/>
  <c r="AF800" i="20"/>
  <c r="Y800" i="20"/>
  <c r="Z800" i="20"/>
  <c r="AB800" i="20"/>
  <c r="AA800" i="20"/>
  <c r="AG800" i="20"/>
  <c r="AE800" i="20"/>
  <c r="AH800" i="20"/>
  <c r="AN640" i="20"/>
  <c r="AE640" i="20"/>
  <c r="AL640" i="20"/>
  <c r="AG640" i="20"/>
  <c r="Y640" i="20"/>
  <c r="AD640" i="20"/>
  <c r="AK640" i="20"/>
  <c r="AI640" i="20"/>
  <c r="AC640" i="20"/>
  <c r="AA640" i="20"/>
  <c r="Z640" i="20"/>
  <c r="AF640" i="20"/>
  <c r="AB640" i="20"/>
  <c r="AH640" i="20"/>
  <c r="AJ640" i="20"/>
  <c r="AN444" i="20"/>
  <c r="Z444" i="20"/>
  <c r="AE444" i="20"/>
  <c r="AA444" i="20"/>
  <c r="AD444" i="20"/>
  <c r="AC444" i="20"/>
  <c r="AF444" i="20"/>
  <c r="AH444" i="20"/>
  <c r="AB444" i="20"/>
  <c r="AL444" i="20"/>
  <c r="AI444" i="20"/>
  <c r="AG444" i="20"/>
  <c r="AK444" i="20"/>
  <c r="AN634" i="20"/>
  <c r="AJ634" i="20"/>
  <c r="AI634" i="20"/>
  <c r="AA634" i="20"/>
  <c r="AC634" i="20"/>
  <c r="AE634" i="20"/>
  <c r="Y634" i="20"/>
  <c r="Z634" i="20"/>
  <c r="AH634" i="20"/>
  <c r="AB634" i="20"/>
  <c r="AK634" i="20"/>
  <c r="AF634" i="20"/>
  <c r="AL634" i="20"/>
  <c r="AG634" i="20"/>
  <c r="Z626" i="20"/>
  <c r="AF626" i="20"/>
  <c r="AC626" i="20"/>
  <c r="AJ626" i="20"/>
  <c r="AE626" i="20"/>
  <c r="AN626" i="20"/>
  <c r="AG626" i="20"/>
  <c r="Y626" i="20"/>
  <c r="AA626" i="20"/>
  <c r="AB626" i="20"/>
  <c r="AK626" i="20"/>
  <c r="AL626" i="20"/>
  <c r="AD626" i="20"/>
  <c r="AH626" i="20"/>
  <c r="AN616" i="20"/>
  <c r="AD616" i="20"/>
  <c r="AE616" i="20"/>
  <c r="AL616" i="20"/>
  <c r="AC616" i="20"/>
  <c r="AA616" i="20"/>
  <c r="Z616" i="20"/>
  <c r="AH616" i="20"/>
  <c r="AB616" i="20"/>
  <c r="AG616" i="20"/>
  <c r="Y616" i="20"/>
  <c r="AK616" i="20"/>
  <c r="AF616" i="20"/>
  <c r="AN607" i="20"/>
  <c r="Y607" i="20"/>
  <c r="Z607" i="20"/>
  <c r="AA607" i="20"/>
  <c r="AD607" i="20"/>
  <c r="AK607" i="20"/>
  <c r="AG607" i="20"/>
  <c r="AF607" i="20"/>
  <c r="AE607" i="20"/>
  <c r="AC607" i="20"/>
  <c r="AH607" i="20"/>
  <c r="AI607" i="20"/>
  <c r="AJ607" i="20"/>
  <c r="AB607" i="20"/>
  <c r="AN598" i="20"/>
  <c r="AJ598" i="20"/>
  <c r="AK598" i="20"/>
  <c r="AB598" i="20"/>
  <c r="Z598" i="20"/>
  <c r="AA598" i="20"/>
  <c r="AD598" i="20"/>
  <c r="AH598" i="20"/>
  <c r="AI598" i="20"/>
  <c r="AF598" i="20"/>
  <c r="AE598" i="20"/>
  <c r="AC598" i="20"/>
  <c r="AL598" i="20"/>
  <c r="Y598" i="20"/>
  <c r="AG598" i="20"/>
  <c r="AB587" i="20"/>
  <c r="AN587" i="20"/>
  <c r="AG587" i="20"/>
  <c r="AH587" i="20"/>
  <c r="AI587" i="20"/>
  <c r="AJ587" i="20"/>
  <c r="AK587" i="20"/>
  <c r="Z587" i="20"/>
  <c r="AE587" i="20"/>
  <c r="AC587" i="20"/>
  <c r="AF587" i="20"/>
  <c r="AD587" i="20"/>
  <c r="AL587" i="20"/>
  <c r="AA587" i="20"/>
  <c r="AN886" i="20"/>
  <c r="AE886" i="20"/>
  <c r="AA886" i="20"/>
  <c r="AK886" i="20"/>
  <c r="AJ886" i="20"/>
  <c r="AD886" i="20"/>
  <c r="AB886" i="20"/>
  <c r="AG886" i="20"/>
  <c r="Z886" i="20"/>
  <c r="AI886" i="20"/>
  <c r="Y886" i="20"/>
  <c r="AF886" i="20"/>
  <c r="AC886" i="20"/>
  <c r="Z575" i="20"/>
  <c r="AE575" i="20"/>
  <c r="Y575" i="20"/>
  <c r="AN575" i="20"/>
  <c r="AG575" i="20"/>
  <c r="AI575" i="20"/>
  <c r="AJ575" i="20"/>
  <c r="AD575" i="20"/>
  <c r="AF575" i="20"/>
  <c r="AK575" i="20"/>
  <c r="AH575" i="20"/>
  <c r="AL575" i="20"/>
  <c r="AA575" i="20"/>
  <c r="AB575" i="20"/>
  <c r="AN944" i="20"/>
  <c r="Y944" i="20"/>
  <c r="AG944" i="20"/>
  <c r="AA944" i="20"/>
  <c r="AE944" i="20"/>
  <c r="AI944" i="20"/>
  <c r="AB944" i="20"/>
  <c r="Z944" i="20"/>
  <c r="AD944" i="20"/>
  <c r="AF944" i="20"/>
  <c r="AK944" i="20"/>
  <c r="AH944" i="20"/>
  <c r="AJ944" i="20"/>
  <c r="AE559" i="20"/>
  <c r="AK559" i="20"/>
  <c r="AN559" i="20"/>
  <c r="AC559" i="20"/>
  <c r="AA559" i="20"/>
  <c r="Z559" i="20"/>
  <c r="AG559" i="20"/>
  <c r="AN551" i="20"/>
  <c r="AB551" i="20"/>
  <c r="AE551" i="20"/>
  <c r="AI551" i="20"/>
  <c r="Y551" i="20"/>
  <c r="Z551" i="20"/>
  <c r="AF551" i="20"/>
  <c r="AA551" i="20"/>
  <c r="AH551" i="20"/>
  <c r="AD551" i="20"/>
  <c r="AL551" i="20"/>
  <c r="AJ551" i="20"/>
  <c r="AC551" i="20"/>
  <c r="AK551" i="20"/>
  <c r="AG551" i="20"/>
  <c r="Z539" i="20"/>
  <c r="AK539" i="20"/>
  <c r="AN539" i="20"/>
  <c r="AE539" i="20"/>
  <c r="AC539" i="20"/>
  <c r="AG539" i="20"/>
  <c r="AH539" i="20"/>
  <c r="AD539" i="20"/>
  <c r="AF539" i="20"/>
  <c r="AB539" i="20"/>
  <c r="AA539" i="20"/>
  <c r="AL539" i="20"/>
  <c r="Y539" i="20"/>
  <c r="AN525" i="20"/>
  <c r="Z525" i="20"/>
  <c r="AJ525" i="20"/>
  <c r="AB525" i="20"/>
  <c r="AA525" i="20"/>
  <c r="AF525" i="20"/>
  <c r="AD525" i="20"/>
  <c r="Y525" i="20"/>
  <c r="AK525" i="20"/>
  <c r="AE525" i="20"/>
  <c r="AG525" i="20"/>
  <c r="AL525" i="20"/>
  <c r="AI525" i="20"/>
  <c r="AH525" i="20"/>
  <c r="AN496" i="20"/>
  <c r="AL496" i="20"/>
  <c r="AC496" i="20"/>
  <c r="AK496" i="20"/>
  <c r="I52" i="86" s="1"/>
  <c r="L52" i="86" s="1"/>
  <c r="AG496" i="20"/>
  <c r="AH496" i="20"/>
  <c r="AJ496" i="20"/>
  <c r="Y496" i="20"/>
  <c r="AF496" i="20"/>
  <c r="AA496" i="20"/>
  <c r="AE496" i="20"/>
  <c r="AD496" i="20"/>
  <c r="AB496" i="20"/>
  <c r="Z496" i="20"/>
  <c r="AN483" i="20"/>
  <c r="Z483" i="20"/>
  <c r="AD483" i="20"/>
  <c r="AE483" i="20"/>
  <c r="AC483" i="20"/>
  <c r="AB483" i="20"/>
  <c r="AK483" i="20"/>
  <c r="I41" i="86" s="1"/>
  <c r="L41" i="86" s="1"/>
  <c r="AG483" i="20"/>
  <c r="AA483" i="20"/>
  <c r="AI483" i="20"/>
  <c r="G41" i="86" s="1"/>
  <c r="AJ483" i="20"/>
  <c r="H41" i="86" s="1"/>
  <c r="K41" i="86" s="1"/>
  <c r="AF483" i="20"/>
  <c r="AH483" i="20"/>
  <c r="AN475" i="20"/>
  <c r="AC475" i="20"/>
  <c r="Y475" i="20"/>
  <c r="AI475" i="20"/>
  <c r="AF475" i="20"/>
  <c r="AE475" i="20"/>
  <c r="AK475" i="20"/>
  <c r="AG475" i="20"/>
  <c r="Z475" i="20"/>
  <c r="AA475" i="20"/>
  <c r="AD475" i="20"/>
  <c r="AB475" i="20"/>
  <c r="AH475" i="20"/>
  <c r="AN468" i="20"/>
  <c r="AB468" i="20"/>
  <c r="AC468" i="20"/>
  <c r="AG468" i="20"/>
  <c r="Z468" i="20"/>
  <c r="AA468" i="20"/>
  <c r="AJ468" i="20"/>
  <c r="Y468" i="20"/>
  <c r="AK468" i="20"/>
  <c r="AF468" i="20"/>
  <c r="AH468" i="20"/>
  <c r="AI468" i="20"/>
  <c r="AD468" i="20"/>
  <c r="AL468" i="20"/>
  <c r="AN780" i="20"/>
  <c r="AJ780" i="20"/>
  <c r="Z780" i="20"/>
  <c r="AB780" i="20"/>
  <c r="AK780" i="20"/>
  <c r="AF780" i="20"/>
  <c r="AC780" i="20"/>
  <c r="AG780" i="20"/>
  <c r="Y780" i="20"/>
  <c r="AL780" i="20"/>
  <c r="AA780" i="20"/>
  <c r="AD780" i="20"/>
  <c r="AE780" i="20"/>
  <c r="AH780" i="20"/>
  <c r="AN517" i="20"/>
  <c r="AE517" i="20"/>
  <c r="AA517" i="20"/>
  <c r="AK517" i="20"/>
  <c r="Z517" i="20"/>
  <c r="AF517" i="20"/>
  <c r="Y517" i="20"/>
  <c r="AD517" i="20"/>
  <c r="AG517" i="20"/>
  <c r="AC517" i="20"/>
  <c r="AI517" i="20"/>
  <c r="AL517" i="20"/>
  <c r="AJ517" i="20"/>
  <c r="AB517" i="20"/>
  <c r="AH517" i="20"/>
  <c r="AL449" i="20"/>
  <c r="AF449" i="20"/>
  <c r="AG449" i="20"/>
  <c r="AJ449" i="20"/>
  <c r="AI449" i="20"/>
  <c r="AB449" i="20"/>
  <c r="AN449" i="20"/>
  <c r="AK449" i="20"/>
  <c r="Y449" i="20"/>
  <c r="AH449" i="20"/>
  <c r="AD449" i="20"/>
  <c r="AC449" i="20"/>
  <c r="AE449" i="20"/>
  <c r="Z449" i="20"/>
  <c r="AA449" i="20"/>
  <c r="AN440" i="20"/>
  <c r="AJ440" i="20"/>
  <c r="AB440" i="20"/>
  <c r="Z440" i="20"/>
  <c r="AE440" i="20"/>
  <c r="AL440" i="20"/>
  <c r="AA440" i="20"/>
  <c r="AD440" i="20"/>
  <c r="AG440" i="20"/>
  <c r="AF440" i="20"/>
  <c r="AC440" i="20"/>
  <c r="AK440" i="20"/>
  <c r="Y440" i="20"/>
  <c r="AH440" i="20"/>
  <c r="AK284" i="20"/>
  <c r="AN284" i="20"/>
  <c r="AL284" i="20"/>
  <c r="AI284" i="20"/>
  <c r="AC284" i="20"/>
  <c r="Z284" i="20"/>
  <c r="AE284" i="20"/>
  <c r="AA284" i="20"/>
  <c r="AF284" i="20"/>
  <c r="AD284" i="20"/>
  <c r="AG284" i="20"/>
  <c r="Y284" i="20"/>
  <c r="AH284" i="20"/>
  <c r="AJ284" i="20"/>
  <c r="AB284" i="20"/>
  <c r="AN432" i="20"/>
  <c r="AL432" i="20"/>
  <c r="Z432" i="20"/>
  <c r="AG432" i="20"/>
  <c r="AC432" i="20"/>
  <c r="AD432" i="20"/>
  <c r="AJ432" i="20"/>
  <c r="AI432" i="20"/>
  <c r="AE432" i="20"/>
  <c r="AK432" i="20"/>
  <c r="AB432" i="20"/>
  <c r="AA432" i="20"/>
  <c r="AF432" i="20"/>
  <c r="AH432" i="20"/>
  <c r="AL949" i="20"/>
  <c r="AA949" i="20"/>
  <c r="Y949" i="20"/>
  <c r="AK949" i="20"/>
  <c r="AB949" i="20"/>
  <c r="AH949" i="20"/>
  <c r="AI949" i="20"/>
  <c r="AN949" i="20"/>
  <c r="AD949" i="20"/>
  <c r="AE949" i="20"/>
  <c r="AG949" i="20"/>
  <c r="AC949" i="20"/>
  <c r="AF949" i="20"/>
  <c r="Z949" i="20"/>
  <c r="AJ949" i="20"/>
  <c r="AN884" i="20"/>
  <c r="AJ884" i="20"/>
  <c r="AD884" i="20"/>
  <c r="AK884" i="20"/>
  <c r="Z884" i="20"/>
  <c r="AF884" i="20"/>
  <c r="AI884" i="20"/>
  <c r="AC884" i="20"/>
  <c r="Y884" i="20"/>
  <c r="AG884" i="20"/>
  <c r="AE884" i="20"/>
  <c r="AH884" i="20"/>
  <c r="AL884" i="20"/>
  <c r="AB884" i="20"/>
  <c r="AA884" i="20"/>
  <c r="AE764" i="20"/>
  <c r="AL764" i="20"/>
  <c r="Z764" i="20"/>
  <c r="AB764" i="20"/>
  <c r="AA764" i="20"/>
  <c r="Y764" i="20"/>
  <c r="AC764" i="20"/>
  <c r="AI764" i="20"/>
  <c r="AF764" i="20"/>
  <c r="AD764" i="20"/>
  <c r="AJ764" i="20"/>
  <c r="AG764" i="20"/>
  <c r="AN764" i="20"/>
  <c r="AN656" i="20"/>
  <c r="AI656" i="20"/>
  <c r="AA656" i="20"/>
  <c r="AE656" i="20"/>
  <c r="AB656" i="20"/>
  <c r="Z656" i="20"/>
  <c r="AC656" i="20"/>
  <c r="AH656" i="20"/>
  <c r="AK656" i="20"/>
  <c r="AG656" i="20"/>
  <c r="Y656" i="20"/>
  <c r="AF656" i="20"/>
  <c r="AD656" i="20"/>
  <c r="AJ656" i="20"/>
  <c r="AL656" i="20"/>
  <c r="AN503" i="20"/>
  <c r="Z503" i="20"/>
  <c r="AA503" i="20"/>
  <c r="AD503" i="20"/>
  <c r="AI503" i="20"/>
  <c r="AF503" i="20"/>
  <c r="AG503" i="20"/>
  <c r="AK503" i="20"/>
  <c r="AB503" i="20"/>
  <c r="AC503" i="20"/>
  <c r="Y503" i="20"/>
  <c r="AE503" i="20"/>
  <c r="AL503" i="20"/>
  <c r="AB396" i="20"/>
  <c r="AF396" i="20"/>
  <c r="AL396" i="20"/>
  <c r="AG396" i="20"/>
  <c r="AA396" i="20"/>
  <c r="AE396" i="20"/>
  <c r="Z396" i="20"/>
  <c r="Y396" i="20"/>
  <c r="AN396" i="20"/>
  <c r="AC396" i="20"/>
  <c r="AH396" i="20"/>
  <c r="AJ396" i="20"/>
  <c r="AI396" i="20"/>
  <c r="AD396" i="20"/>
  <c r="AK396" i="20"/>
  <c r="AN278" i="20"/>
  <c r="AI278" i="20"/>
  <c r="AF278" i="20"/>
  <c r="AD278" i="20"/>
  <c r="AE278" i="20"/>
  <c r="AC278" i="20"/>
  <c r="Z278" i="20"/>
  <c r="AJ278" i="20"/>
  <c r="AK278" i="20"/>
  <c r="Y278" i="20"/>
  <c r="AB278" i="20"/>
  <c r="AA278" i="20"/>
  <c r="AG278" i="20"/>
  <c r="AH278" i="20"/>
  <c r="AL278" i="20"/>
  <c r="AK170" i="20"/>
  <c r="AN170" i="20"/>
  <c r="AJ170" i="20"/>
  <c r="AD170" i="20"/>
  <c r="AB170" i="20"/>
  <c r="AA170" i="20"/>
  <c r="Y170" i="20"/>
  <c r="AF170" i="20"/>
  <c r="AH170" i="20"/>
  <c r="AG170" i="20"/>
  <c r="AL170" i="20"/>
  <c r="AC170" i="20"/>
  <c r="AN64" i="20"/>
  <c r="Z64" i="20"/>
  <c r="AC64" i="20"/>
  <c r="Y64" i="20"/>
  <c r="AG64" i="20"/>
  <c r="AF64" i="20"/>
  <c r="AD64" i="20"/>
  <c r="AK64" i="20"/>
  <c r="AI64" i="20"/>
  <c r="AH64" i="20"/>
  <c r="AB64" i="20"/>
  <c r="AE64" i="20"/>
  <c r="AA64" i="20"/>
  <c r="AL64" i="20"/>
  <c r="AG419" i="20"/>
  <c r="AJ419" i="20"/>
  <c r="AF419" i="20"/>
  <c r="AK419" i="20"/>
  <c r="AE419" i="20"/>
  <c r="AN419" i="20"/>
  <c r="AD419" i="20"/>
  <c r="Z419" i="20"/>
  <c r="AA419" i="20"/>
  <c r="AC419" i="20"/>
  <c r="Y419" i="20"/>
  <c r="AH419" i="20"/>
  <c r="AL419" i="20"/>
  <c r="AI419" i="20"/>
  <c r="AB419" i="20"/>
  <c r="AN512" i="20"/>
  <c r="AJ512" i="20"/>
  <c r="AC512" i="20"/>
  <c r="AA512" i="20"/>
  <c r="AB512" i="20"/>
  <c r="Y512" i="20"/>
  <c r="AE512" i="20"/>
  <c r="AF512" i="20"/>
  <c r="AD512" i="20"/>
  <c r="AI512" i="20"/>
  <c r="AK512" i="20"/>
  <c r="AL512" i="20"/>
  <c r="AG512" i="20"/>
  <c r="Z512" i="20"/>
  <c r="AH512" i="20"/>
  <c r="AN1008" i="20"/>
  <c r="AC1008" i="20"/>
  <c r="AA1008" i="20"/>
  <c r="AK1008" i="20"/>
  <c r="AD1008" i="20"/>
  <c r="AG1008" i="20"/>
  <c r="AE1008" i="20"/>
  <c r="Y1008" i="20"/>
  <c r="AB1008" i="20"/>
  <c r="AF1008" i="20"/>
  <c r="AJ1008" i="20"/>
  <c r="AL1008" i="20"/>
  <c r="AH1008" i="20"/>
  <c r="Z1008" i="20"/>
  <c r="AE824" i="20"/>
  <c r="Z824" i="20"/>
  <c r="AD824" i="20"/>
  <c r="AK824" i="20"/>
  <c r="AC824" i="20"/>
  <c r="AB824" i="20"/>
  <c r="AF824" i="20"/>
  <c r="Y824" i="20"/>
  <c r="AA824" i="20"/>
  <c r="AG824" i="20"/>
  <c r="AI824" i="20"/>
  <c r="AH824" i="20"/>
  <c r="AJ824" i="20"/>
  <c r="AL824" i="20"/>
  <c r="AN824" i="20"/>
  <c r="AN675" i="20"/>
  <c r="AJ675" i="20"/>
  <c r="AC675" i="20"/>
  <c r="AK675" i="20"/>
  <c r="AG675" i="20"/>
  <c r="AD675" i="20"/>
  <c r="AE675" i="20"/>
  <c r="AF675" i="20"/>
  <c r="AA675" i="20"/>
  <c r="AH675" i="20"/>
  <c r="AL675" i="20"/>
  <c r="Z675" i="20"/>
  <c r="Y675" i="20"/>
  <c r="AB675" i="20"/>
  <c r="AI675" i="20"/>
  <c r="AN398" i="20"/>
  <c r="AB398" i="20"/>
  <c r="AK398" i="20"/>
  <c r="AD398" i="20"/>
  <c r="AF398" i="20"/>
  <c r="AI398" i="20"/>
  <c r="AE398" i="20"/>
  <c r="Z398" i="20"/>
  <c r="AH398" i="20"/>
  <c r="AJ398" i="20"/>
  <c r="AG398" i="20"/>
  <c r="AA398" i="20"/>
  <c r="AL398" i="20"/>
  <c r="AN679" i="20"/>
  <c r="AB679" i="20"/>
  <c r="AD679" i="20"/>
  <c r="AK679" i="20"/>
  <c r="AA679" i="20"/>
  <c r="AG679" i="20"/>
  <c r="AF679" i="20"/>
  <c r="AI679" i="20"/>
  <c r="AC679" i="20"/>
  <c r="AE679" i="20"/>
  <c r="AH679" i="20"/>
  <c r="AL679" i="20"/>
  <c r="Y679" i="20"/>
  <c r="AN392" i="20"/>
  <c r="AE392" i="20"/>
  <c r="AI392" i="20"/>
  <c r="AA392" i="20"/>
  <c r="AC392" i="20"/>
  <c r="AG392" i="20"/>
  <c r="AF392" i="20"/>
  <c r="AD392" i="20"/>
  <c r="AH392" i="20"/>
  <c r="AJ392" i="20"/>
  <c r="Y392" i="20"/>
  <c r="Z392" i="20"/>
  <c r="AN875" i="20"/>
  <c r="AA875" i="20"/>
  <c r="AF875" i="20"/>
  <c r="AJ875" i="20"/>
  <c r="AB875" i="20"/>
  <c r="Z875" i="20"/>
  <c r="AG875" i="20"/>
  <c r="Y875" i="20"/>
  <c r="AK875" i="20"/>
  <c r="AE875" i="20"/>
  <c r="AD875" i="20"/>
  <c r="AL875" i="20"/>
  <c r="AI875" i="20"/>
  <c r="AH875" i="20"/>
  <c r="AN82" i="20"/>
  <c r="AC82" i="20"/>
  <c r="AK82" i="20"/>
  <c r="AI82" i="20"/>
  <c r="AG82" i="20"/>
  <c r="AB82" i="20"/>
  <c r="AD82" i="20"/>
  <c r="Y82" i="20"/>
  <c r="AH82" i="20"/>
  <c r="AF82" i="20"/>
  <c r="AE82" i="20"/>
  <c r="Z82" i="20"/>
  <c r="AA82" i="20"/>
  <c r="AG210" i="20"/>
  <c r="AC210" i="20"/>
  <c r="AI210" i="20"/>
  <c r="AK210" i="20"/>
  <c r="AF210" i="20"/>
  <c r="AD210" i="20"/>
  <c r="AJ210" i="20"/>
  <c r="Y210" i="20"/>
  <c r="AA210" i="20"/>
  <c r="AN210" i="20"/>
  <c r="AE210" i="20"/>
  <c r="AB210" i="20"/>
  <c r="AH210" i="20"/>
  <c r="AL210" i="20"/>
  <c r="AN347" i="20"/>
  <c r="AE347" i="20"/>
  <c r="AI347" i="20"/>
  <c r="AB347" i="20"/>
  <c r="AG347" i="20"/>
  <c r="AK347" i="20"/>
  <c r="AF347" i="20"/>
  <c r="Z347" i="20"/>
  <c r="AC347" i="20"/>
  <c r="AL347" i="20"/>
  <c r="AJ347" i="20"/>
  <c r="Y347" i="20"/>
  <c r="AH347" i="20"/>
  <c r="AG327" i="20"/>
  <c r="AB327" i="20"/>
  <c r="AI327" i="20"/>
  <c r="Z327" i="20"/>
  <c r="Y327" i="20"/>
  <c r="AA327" i="20"/>
  <c r="AD327" i="20"/>
  <c r="AE327" i="20"/>
  <c r="AK327" i="20"/>
  <c r="AL327" i="20"/>
  <c r="AN327" i="20"/>
  <c r="AC327" i="20"/>
  <c r="AH327" i="20"/>
  <c r="AJ327" i="20"/>
  <c r="Y317" i="20"/>
  <c r="AE317" i="20"/>
  <c r="AC317" i="20"/>
  <c r="AK317" i="20"/>
  <c r="AJ317" i="20"/>
  <c r="AI317" i="20"/>
  <c r="AN317" i="20"/>
  <c r="AG317" i="20"/>
  <c r="AA317" i="20"/>
  <c r="Z317" i="20"/>
  <c r="AL317" i="20"/>
  <c r="AD317" i="20"/>
  <c r="AB317" i="20"/>
  <c r="AH317" i="20"/>
  <c r="AN458" i="20"/>
  <c r="Z458" i="20"/>
  <c r="Y458" i="20"/>
  <c r="AD458" i="20"/>
  <c r="AF458" i="20"/>
  <c r="AI458" i="20"/>
  <c r="AC458" i="20"/>
  <c r="AK458" i="20"/>
  <c r="AG458" i="20"/>
  <c r="AE458" i="20"/>
  <c r="AB458" i="20"/>
  <c r="AN293" i="20"/>
  <c r="AK293" i="20"/>
  <c r="Z293" i="20"/>
  <c r="AD293" i="20"/>
  <c r="AG293" i="20"/>
  <c r="AE293" i="20"/>
  <c r="AC293" i="20"/>
  <c r="AF293" i="20"/>
  <c r="AI293" i="20"/>
  <c r="AB293" i="20"/>
  <c r="Y293" i="20"/>
  <c r="AA293" i="20"/>
  <c r="AL293" i="20"/>
  <c r="AN402" i="20"/>
  <c r="AA402" i="20"/>
  <c r="AF402" i="20"/>
  <c r="AI402" i="20"/>
  <c r="AG402" i="20"/>
  <c r="AD402" i="20"/>
  <c r="AC402" i="20"/>
  <c r="AE402" i="20"/>
  <c r="AB402" i="20"/>
  <c r="Y402" i="20"/>
  <c r="AK402" i="20"/>
  <c r="Z402" i="20"/>
  <c r="AL402" i="20"/>
  <c r="AJ402" i="20"/>
  <c r="AH402" i="20"/>
  <c r="AC306" i="20"/>
  <c r="AA306" i="20"/>
  <c r="AB306" i="20"/>
  <c r="Y306" i="20"/>
  <c r="Z306" i="20"/>
  <c r="AE306" i="20"/>
  <c r="AF306" i="20"/>
  <c r="AD306" i="20"/>
  <c r="AH306" i="20"/>
  <c r="AK306" i="20"/>
  <c r="AI306" i="20"/>
  <c r="AJ306" i="20"/>
  <c r="AG306" i="20"/>
  <c r="AN306" i="20"/>
  <c r="AC682" i="20"/>
  <c r="AB682" i="20"/>
  <c r="Z682" i="20"/>
  <c r="AA682" i="20"/>
  <c r="AD682" i="20"/>
  <c r="AK682" i="20"/>
  <c r="AG682" i="20"/>
  <c r="AN682" i="20"/>
  <c r="AI682" i="20"/>
  <c r="G133" i="86" s="1"/>
  <c r="AF682" i="20"/>
  <c r="AE682" i="20"/>
  <c r="Y682" i="20"/>
  <c r="AL682" i="20"/>
  <c r="AH682" i="20"/>
  <c r="AN138" i="20"/>
  <c r="AC138" i="20"/>
  <c r="AG138" i="20"/>
  <c r="AB138" i="20"/>
  <c r="AD138" i="20"/>
  <c r="Y138" i="20"/>
  <c r="Z138" i="20"/>
  <c r="AE138" i="20"/>
  <c r="AI138" i="20"/>
  <c r="AK138" i="20"/>
  <c r="AH138" i="20"/>
  <c r="AJ138" i="20"/>
  <c r="AA138" i="20"/>
  <c r="AN297" i="20"/>
  <c r="AC297" i="20"/>
  <c r="AE297" i="20"/>
  <c r="AF297" i="20"/>
  <c r="AD297" i="20"/>
  <c r="AI297" i="20"/>
  <c r="AB297" i="20"/>
  <c r="AJ297" i="20"/>
  <c r="AK297" i="20"/>
  <c r="AG297" i="20"/>
  <c r="Z297" i="20"/>
  <c r="Y297" i="20"/>
  <c r="AL297" i="20"/>
  <c r="AA297" i="20"/>
  <c r="AH297" i="20"/>
  <c r="AF289" i="20"/>
  <c r="AE289" i="20"/>
  <c r="AN289" i="20"/>
  <c r="Z289" i="20"/>
  <c r="AK289" i="20"/>
  <c r="AI289" i="20"/>
  <c r="AA289" i="20"/>
  <c r="AD289" i="20"/>
  <c r="Y289" i="20"/>
  <c r="AC289" i="20"/>
  <c r="AH289" i="20"/>
  <c r="AJ289" i="20"/>
  <c r="AG289" i="20"/>
  <c r="AB289" i="20"/>
  <c r="AL289" i="20"/>
  <c r="AD275" i="20"/>
  <c r="Y275" i="20"/>
  <c r="AN275" i="20"/>
  <c r="AF275" i="20"/>
  <c r="AC275" i="20"/>
  <c r="AK275" i="20"/>
  <c r="AA275" i="20"/>
  <c r="AG275" i="20"/>
  <c r="AB275" i="20"/>
  <c r="AI275" i="20"/>
  <c r="AL275" i="20"/>
  <c r="AE275" i="20"/>
  <c r="Z275" i="20"/>
  <c r="AH275" i="20"/>
  <c r="AN168" i="20"/>
  <c r="AH168" i="20"/>
  <c r="AJ168" i="20"/>
  <c r="AA168" i="20"/>
  <c r="AC168" i="20"/>
  <c r="AI168" i="20"/>
  <c r="AL168" i="20"/>
  <c r="AK168" i="20"/>
  <c r="AB168" i="20"/>
  <c r="Z168" i="20"/>
  <c r="AF168" i="20"/>
  <c r="Y168" i="20"/>
  <c r="AE168" i="20"/>
  <c r="AG168" i="20"/>
  <c r="AD168" i="20"/>
  <c r="AH256" i="20"/>
  <c r="AA256" i="20"/>
  <c r="AB256" i="20"/>
  <c r="Y256" i="20"/>
  <c r="AI256" i="20"/>
  <c r="AJ256" i="20"/>
  <c r="AL256" i="20"/>
  <c r="AN256" i="20"/>
  <c r="AK256" i="20"/>
  <c r="AF256" i="20"/>
  <c r="Z256" i="20"/>
  <c r="AC256" i="20"/>
  <c r="AG256" i="20"/>
  <c r="AE256" i="20"/>
  <c r="AD256" i="20"/>
  <c r="AN241" i="20"/>
  <c r="AD241" i="20"/>
  <c r="AF241" i="20"/>
  <c r="AH241" i="20"/>
  <c r="AK241" i="20"/>
  <c r="AJ241" i="20"/>
  <c r="AG241" i="20"/>
  <c r="AI241" i="20"/>
  <c r="Z241" i="20"/>
  <c r="AB241" i="20"/>
  <c r="AE241" i="20"/>
  <c r="AA241" i="20"/>
  <c r="AC241" i="20"/>
  <c r="AA230" i="20"/>
  <c r="AN230" i="20"/>
  <c r="AJ230" i="20"/>
  <c r="Y230" i="20"/>
  <c r="AE230" i="20"/>
  <c r="AC230" i="20"/>
  <c r="Z230" i="20"/>
  <c r="AH230" i="20"/>
  <c r="AD230" i="20"/>
  <c r="AL230" i="20"/>
  <c r="AG230" i="20"/>
  <c r="AB230" i="20"/>
  <c r="AK230" i="20"/>
  <c r="AF230" i="20"/>
  <c r="AI230" i="20"/>
  <c r="AE219" i="20"/>
  <c r="AL219" i="20"/>
  <c r="AB219" i="20"/>
  <c r="AN219" i="20"/>
  <c r="Z219" i="20"/>
  <c r="AC219" i="20"/>
  <c r="AJ219" i="20"/>
  <c r="AI219" i="20"/>
  <c r="AK219" i="20"/>
  <c r="AD219" i="20"/>
  <c r="AH219" i="20"/>
  <c r="AG219" i="20"/>
  <c r="AF219" i="20"/>
  <c r="AA219" i="20"/>
  <c r="Y219" i="20"/>
  <c r="AF194" i="20"/>
  <c r="Y194" i="20"/>
  <c r="AE194" i="20"/>
  <c r="Z194" i="20"/>
  <c r="AN194" i="20"/>
  <c r="AJ194" i="20"/>
  <c r="AK194" i="20"/>
  <c r="AD194" i="20"/>
  <c r="AB194" i="20"/>
  <c r="AG194" i="20"/>
  <c r="AA194" i="20"/>
  <c r="AC194" i="20"/>
  <c r="AN173" i="20"/>
  <c r="AF173" i="20"/>
  <c r="AK173" i="20"/>
  <c r="AD173" i="20"/>
  <c r="Z173" i="20"/>
  <c r="AG173" i="20"/>
  <c r="AC173" i="20"/>
  <c r="AI173" i="20"/>
  <c r="AJ173" i="20"/>
  <c r="AL173" i="20"/>
  <c r="Y173" i="20"/>
  <c r="AB173" i="20"/>
  <c r="AH173" i="20"/>
  <c r="AA173" i="20"/>
  <c r="AE173" i="20"/>
  <c r="AN9" i="20"/>
  <c r="AB9" i="20"/>
  <c r="AK9" i="20"/>
  <c r="AF9" i="20"/>
  <c r="AJ9" i="20"/>
  <c r="AA9" i="20"/>
  <c r="AC9" i="20"/>
  <c r="AE9" i="20"/>
  <c r="AD9" i="20"/>
  <c r="AG9" i="20"/>
  <c r="AH9" i="20"/>
  <c r="Z9" i="20"/>
  <c r="AI9" i="20"/>
  <c r="AL9" i="20"/>
  <c r="Y9" i="20"/>
  <c r="AJ180" i="20"/>
  <c r="AC180" i="20"/>
  <c r="AD180" i="20"/>
  <c r="AF180" i="20"/>
  <c r="Z180" i="20"/>
  <c r="AB180" i="20"/>
  <c r="AK180" i="20"/>
  <c r="AN180" i="20"/>
  <c r="AG180" i="20"/>
  <c r="AA180" i="20"/>
  <c r="AE180" i="20"/>
  <c r="Y180" i="20"/>
  <c r="AH180" i="20"/>
  <c r="AL180" i="20"/>
  <c r="AN156" i="20"/>
  <c r="Y156" i="20"/>
  <c r="AF156" i="20"/>
  <c r="AC156" i="20"/>
  <c r="AA156" i="20"/>
  <c r="Z156" i="20"/>
  <c r="AE156" i="20"/>
  <c r="AB156" i="20"/>
  <c r="AH156" i="20"/>
  <c r="AL156" i="20"/>
  <c r="AJ156" i="20"/>
  <c r="AD156" i="20"/>
  <c r="AG156" i="20"/>
  <c r="AK156" i="20"/>
  <c r="AN152" i="20"/>
  <c r="Z152" i="20"/>
  <c r="AF152" i="20"/>
  <c r="AD152" i="20"/>
  <c r="AC152" i="20"/>
  <c r="AI152" i="20"/>
  <c r="AA152" i="20"/>
  <c r="AK152" i="20"/>
  <c r="AB152" i="20"/>
  <c r="AE152" i="20"/>
  <c r="AG152" i="20"/>
  <c r="Y152" i="20"/>
  <c r="AL152" i="20"/>
  <c r="AJ717" i="20"/>
  <c r="AL717" i="20"/>
  <c r="AC717" i="20"/>
  <c r="Y717" i="20"/>
  <c r="AG717" i="20"/>
  <c r="AE717" i="20"/>
  <c r="AA717" i="20"/>
  <c r="AF717" i="20"/>
  <c r="Z717" i="20"/>
  <c r="AB717" i="20"/>
  <c r="AH717" i="20"/>
  <c r="AD717" i="20"/>
  <c r="AK717" i="20"/>
  <c r="AN717" i="20"/>
  <c r="AI717" i="20"/>
  <c r="Y1161" i="20"/>
  <c r="Z1161" i="20"/>
  <c r="AN1161" i="20"/>
  <c r="AK1161" i="20"/>
  <c r="AF1161" i="20"/>
  <c r="AH1161" i="20"/>
  <c r="AB1161" i="20"/>
  <c r="AJ1161" i="20"/>
  <c r="AI1161" i="20"/>
  <c r="AA1161" i="20"/>
  <c r="AE1161" i="20"/>
  <c r="AG1161" i="20"/>
  <c r="AL1161" i="20"/>
  <c r="AD1161" i="20"/>
  <c r="AC1161" i="20"/>
  <c r="AJ1153" i="20"/>
  <c r="Y1153" i="20"/>
  <c r="AN1153" i="20"/>
  <c r="Z1153" i="20"/>
  <c r="AE1153" i="20"/>
  <c r="AI1153" i="20"/>
  <c r="AC1153" i="20"/>
  <c r="AF1153" i="20"/>
  <c r="AL1153" i="20"/>
  <c r="AD1153" i="20"/>
  <c r="AA1153" i="20"/>
  <c r="AB1153" i="20"/>
  <c r="AH1153" i="20"/>
  <c r="AI1165" i="20"/>
  <c r="AG1165" i="20"/>
  <c r="AN1165" i="20"/>
  <c r="AJ1165" i="20"/>
  <c r="AL1165" i="20"/>
  <c r="AH1165" i="20"/>
  <c r="Z1165" i="20"/>
  <c r="Y1165" i="20"/>
  <c r="AC1165" i="20"/>
  <c r="AK1165" i="20"/>
  <c r="AA1165" i="20"/>
  <c r="AD1165" i="20"/>
  <c r="AC1173" i="20"/>
  <c r="Y1173" i="20"/>
  <c r="AB1173" i="20"/>
  <c r="AL1173" i="20"/>
  <c r="Z1173" i="20"/>
  <c r="AF1173" i="20"/>
  <c r="AE1173" i="20"/>
  <c r="AK1173" i="20"/>
  <c r="AD1173" i="20"/>
  <c r="AN1173" i="20"/>
  <c r="AJ1173" i="20"/>
  <c r="AI1173" i="20"/>
  <c r="Z1181" i="20"/>
  <c r="AC1181" i="20"/>
  <c r="AN1181" i="20"/>
  <c r="AI1181" i="20"/>
  <c r="AB1181" i="20"/>
  <c r="AE1181" i="20"/>
  <c r="AD1181" i="20"/>
  <c r="Y1181" i="20"/>
  <c r="AG1181" i="20"/>
  <c r="AF1181" i="20"/>
  <c r="AL1181" i="20"/>
  <c r="AJ1181" i="20"/>
  <c r="AA1181" i="20"/>
  <c r="AA1189" i="20"/>
  <c r="Z1189" i="20"/>
  <c r="AD1189" i="20"/>
  <c r="AF1189" i="20"/>
  <c r="AC1189" i="20"/>
  <c r="Y1189" i="20"/>
  <c r="AL1189" i="20"/>
  <c r="AE1189" i="20"/>
  <c r="AJ1189" i="20"/>
  <c r="AK1189" i="20"/>
  <c r="AI1189" i="20"/>
  <c r="AG1189" i="20"/>
  <c r="AH1189" i="20"/>
  <c r="AI1197" i="20"/>
  <c r="AC1197" i="20"/>
  <c r="Z1197" i="20"/>
  <c r="AN1197" i="20"/>
  <c r="AA1197" i="20"/>
  <c r="AF1197" i="20"/>
  <c r="AH1197" i="20"/>
  <c r="Y1197" i="20"/>
  <c r="AL1197" i="20"/>
  <c r="AJ1197" i="20"/>
  <c r="AE1197" i="20"/>
  <c r="AD1197" i="20"/>
  <c r="AB1197" i="20"/>
  <c r="AG1197" i="20"/>
  <c r="AK1197" i="20"/>
  <c r="Z1205" i="20"/>
  <c r="AG1205" i="20"/>
  <c r="AN1205" i="20"/>
  <c r="AH1205" i="20"/>
  <c r="AJ1205" i="20"/>
  <c r="AE1205" i="20"/>
  <c r="AD1205" i="20"/>
  <c r="AA1205" i="20"/>
  <c r="AB1205" i="20"/>
  <c r="Y1205" i="20"/>
  <c r="AL1205" i="20"/>
  <c r="AC1205" i="20"/>
  <c r="AI1205" i="20"/>
  <c r="AK1205" i="20"/>
  <c r="AF1205" i="20"/>
  <c r="AE1213" i="20"/>
  <c r="AH1213" i="20"/>
  <c r="AA1213" i="20"/>
  <c r="Y1213" i="20"/>
  <c r="AD1213" i="20"/>
  <c r="AL1213" i="20"/>
  <c r="Z1213" i="20"/>
  <c r="AJ1213" i="20"/>
  <c r="AG1213" i="20"/>
  <c r="AF1213" i="20"/>
  <c r="AK1213" i="20"/>
  <c r="AC1213" i="20"/>
  <c r="AI1213" i="20"/>
  <c r="AN1213" i="20"/>
  <c r="AL1225" i="20"/>
  <c r="AN1225" i="20"/>
  <c r="AH1225" i="20"/>
  <c r="AJ1225" i="20"/>
  <c r="AF1225" i="20"/>
  <c r="AC1225" i="20"/>
  <c r="AD1225" i="20"/>
  <c r="Z1225" i="20"/>
  <c r="AK1225" i="20"/>
  <c r="AG1225" i="20"/>
  <c r="AB1225" i="20"/>
  <c r="Y1225" i="20"/>
  <c r="AA1225" i="20"/>
  <c r="AE1225" i="20"/>
  <c r="AI1225" i="20"/>
  <c r="AE1233" i="20"/>
  <c r="AH1233" i="20"/>
  <c r="AB1233" i="20"/>
  <c r="AJ1233" i="20"/>
  <c r="AL1233" i="20"/>
  <c r="AN1233" i="20"/>
  <c r="AD1233" i="20"/>
  <c r="AF1233" i="20"/>
  <c r="AC1233" i="20"/>
  <c r="AG1233" i="20"/>
  <c r="Y1233" i="20"/>
  <c r="Z1233" i="20"/>
  <c r="AK1233" i="20"/>
  <c r="Y1241" i="20"/>
  <c r="AD1241" i="20"/>
  <c r="AH1241" i="20"/>
  <c r="Z1241" i="20"/>
  <c r="AB1241" i="20"/>
  <c r="AL1241" i="20"/>
  <c r="AI1241" i="20"/>
  <c r="AJ1241" i="20"/>
  <c r="AA1241" i="20"/>
  <c r="AG1241" i="20"/>
  <c r="AK1241" i="20"/>
  <c r="AF1241" i="20"/>
  <c r="AN1241" i="20"/>
  <c r="AE1241" i="20"/>
  <c r="AB1249" i="20"/>
  <c r="AI1249" i="20"/>
  <c r="AA1249" i="20"/>
  <c r="AC1249" i="20"/>
  <c r="AH1249" i="20"/>
  <c r="AF1249" i="20"/>
  <c r="AN1249" i="20"/>
  <c r="AL1249" i="20"/>
  <c r="AJ1249" i="20"/>
  <c r="AD1249" i="20"/>
  <c r="AG1249" i="20"/>
  <c r="Y1249" i="20"/>
  <c r="Z1249" i="20"/>
  <c r="AE1249" i="20"/>
  <c r="AK1249" i="20"/>
  <c r="AD1257" i="20"/>
  <c r="Z1257" i="20"/>
  <c r="AA1257" i="20"/>
  <c r="AL1257" i="20"/>
  <c r="AK1257" i="20"/>
  <c r="AG1257" i="20"/>
  <c r="Y1257" i="20"/>
  <c r="AN1257" i="20"/>
  <c r="AE1257" i="20"/>
  <c r="AF1257" i="20"/>
  <c r="AB1257" i="20"/>
  <c r="AH1257" i="20"/>
  <c r="AI1257" i="20"/>
  <c r="AC1257" i="20"/>
  <c r="AJ1257" i="20"/>
  <c r="AD1265" i="20"/>
  <c r="AG1265" i="20"/>
  <c r="Z1265" i="20"/>
  <c r="AE1265" i="20"/>
  <c r="AA1265" i="20"/>
  <c r="AK1265" i="20"/>
  <c r="AH1265" i="20"/>
  <c r="AL1265" i="20"/>
  <c r="AF1265" i="20"/>
  <c r="AB1265" i="20"/>
  <c r="Y1265" i="20"/>
  <c r="AI1265" i="20"/>
  <c r="AJ1265" i="20"/>
  <c r="AN1265" i="20"/>
  <c r="AC1265" i="20"/>
  <c r="AL1273" i="20"/>
  <c r="AE1273" i="20"/>
  <c r="AK1273" i="20"/>
  <c r="AH1273" i="20"/>
  <c r="Y1273" i="20"/>
  <c r="AD1273" i="20"/>
  <c r="AJ1273" i="20"/>
  <c r="AG1273" i="20"/>
  <c r="AB1273" i="20"/>
  <c r="AF1273" i="20"/>
  <c r="AC1273" i="20"/>
  <c r="Z1273" i="20"/>
  <c r="AI1273" i="20"/>
  <c r="AA1281" i="20"/>
  <c r="Z1281" i="20"/>
  <c r="AH1281" i="20"/>
  <c r="AN1281" i="20"/>
  <c r="AK1281" i="20"/>
  <c r="AJ1281" i="20"/>
  <c r="AF1281" i="20"/>
  <c r="AC1281" i="20"/>
  <c r="Y1281" i="20"/>
  <c r="AD1281" i="20"/>
  <c r="AI1281" i="20"/>
  <c r="AE1281" i="20"/>
  <c r="AB1281" i="20"/>
  <c r="AG1281" i="20"/>
  <c r="AL1281" i="20"/>
  <c r="AG1289" i="20"/>
  <c r="AI1289" i="20"/>
  <c r="AK1289" i="20"/>
  <c r="AE1289" i="20"/>
  <c r="AN1289" i="20"/>
  <c r="Z1289" i="20"/>
  <c r="AH1289" i="20"/>
  <c r="AA1289" i="20"/>
  <c r="AC1289" i="20"/>
  <c r="AD1289" i="20"/>
  <c r="AF1289" i="20"/>
  <c r="AJ1289" i="20"/>
  <c r="AB1289" i="20"/>
  <c r="AL1289" i="20"/>
  <c r="AA1297" i="20"/>
  <c r="AG1297" i="20"/>
  <c r="AF1297" i="20"/>
  <c r="AK1297" i="20"/>
  <c r="AN1297" i="20"/>
  <c r="AH1297" i="20"/>
  <c r="AJ1297" i="20"/>
  <c r="Y1297" i="20"/>
  <c r="AI1297" i="20"/>
  <c r="AL1297" i="20"/>
  <c r="Z1297" i="20"/>
  <c r="AD1297" i="20"/>
  <c r="AE1297" i="20"/>
  <c r="AG1305" i="20"/>
  <c r="AC1305" i="20"/>
  <c r="AJ1305" i="20"/>
  <c r="AF1305" i="20"/>
  <c r="AH1305" i="20"/>
  <c r="AB1305" i="20"/>
  <c r="AD1305" i="20"/>
  <c r="AA1305" i="20"/>
  <c r="Z1305" i="20"/>
  <c r="AN1305" i="20"/>
  <c r="AE1305" i="20"/>
  <c r="AI1305" i="20"/>
  <c r="AL1305" i="20"/>
  <c r="AK1305" i="20"/>
  <c r="Y1305" i="20"/>
  <c r="AL1313" i="20"/>
  <c r="AC1313" i="20"/>
  <c r="Y1313" i="20"/>
  <c r="AF1313" i="20"/>
  <c r="AA1313" i="20"/>
  <c r="AB1313" i="20"/>
  <c r="Z1313" i="20"/>
  <c r="AG1313" i="20"/>
  <c r="AD1313" i="20"/>
  <c r="AE1313" i="20"/>
  <c r="AI1313" i="20"/>
  <c r="AN1313" i="20"/>
  <c r="AJ1313" i="20"/>
  <c r="AK1313" i="20"/>
  <c r="AH1313" i="20"/>
  <c r="Z1321" i="20"/>
  <c r="AD1321" i="20"/>
  <c r="AL1321" i="20"/>
  <c r="AJ1321" i="20"/>
  <c r="AI1321" i="20"/>
  <c r="AE1321" i="20"/>
  <c r="AC1321" i="20"/>
  <c r="AN1321" i="20"/>
  <c r="AH1321" i="20"/>
  <c r="AA1321" i="20"/>
  <c r="AF1321" i="20"/>
  <c r="AB1321" i="20"/>
  <c r="AK1321" i="20"/>
  <c r="AG1321" i="20"/>
  <c r="Y1321" i="20"/>
  <c r="AC1329" i="20"/>
  <c r="AB1329" i="20"/>
  <c r="AJ1329" i="20"/>
  <c r="Y1329" i="20"/>
  <c r="Z1329" i="20"/>
  <c r="AG1329" i="20"/>
  <c r="AK1329" i="20"/>
  <c r="AE1329" i="20"/>
  <c r="AD1329" i="20"/>
  <c r="AA1329" i="20"/>
  <c r="AN1329" i="20"/>
  <c r="AI1329" i="20"/>
  <c r="AL1329" i="20"/>
  <c r="AF1329" i="20"/>
  <c r="AH1329" i="20"/>
  <c r="AB1333" i="20"/>
  <c r="AH1333" i="20"/>
  <c r="AJ1333" i="20"/>
  <c r="AE1333" i="20"/>
  <c r="Z1333" i="20"/>
  <c r="AN1333" i="20"/>
  <c r="AF1333" i="20"/>
  <c r="Y1333" i="20"/>
  <c r="AL1333" i="20"/>
  <c r="AG1333" i="20"/>
  <c r="AC1333" i="20"/>
  <c r="AD1333" i="20"/>
  <c r="AK1333" i="20"/>
  <c r="AI1333" i="20"/>
  <c r="AA1333" i="20"/>
  <c r="AR68" i="20"/>
  <c r="AR11" i="20"/>
  <c r="AR100" i="20"/>
  <c r="AR787" i="20"/>
  <c r="AR928" i="20"/>
  <c r="AR122" i="20"/>
  <c r="AR331" i="20"/>
  <c r="AR495" i="20"/>
  <c r="AR691" i="20"/>
  <c r="AL607" i="20"/>
  <c r="AL394" i="20"/>
  <c r="AL323" i="20"/>
  <c r="AJ281" i="20"/>
  <c r="AI194" i="20"/>
  <c r="AI559" i="20"/>
  <c r="AI780" i="20"/>
  <c r="AJ616" i="20"/>
  <c r="AJ293" i="20"/>
  <c r="AJ842" i="20"/>
  <c r="AL138" i="20"/>
  <c r="AJ652" i="20"/>
  <c r="AH683" i="20"/>
  <c r="AH737" i="20"/>
  <c r="AH523" i="20"/>
  <c r="AC398" i="20"/>
  <c r="AC922" i="20"/>
  <c r="AF532" i="20"/>
  <c r="AG971" i="20"/>
  <c r="AA918" i="20"/>
  <c r="Y1015" i="20"/>
  <c r="AD1048" i="20"/>
  <c r="AD204" i="20"/>
  <c r="Y748" i="20"/>
  <c r="AA458" i="20"/>
  <c r="Y923" i="20"/>
  <c r="Y1289" i="20"/>
  <c r="AR429" i="20"/>
  <c r="AR593" i="20"/>
  <c r="AI992" i="20"/>
  <c r="AI553" i="20"/>
  <c r="AI822" i="20"/>
  <c r="AI539" i="20"/>
  <c r="AI85" i="20"/>
  <c r="AJ275" i="20"/>
  <c r="AJ559" i="20"/>
  <c r="AJ167" i="20"/>
  <c r="AL866" i="20"/>
  <c r="AL622" i="20"/>
  <c r="AL82" i="20"/>
  <c r="AJ501" i="20"/>
  <c r="AH152" i="20"/>
  <c r="AH390" i="20"/>
  <c r="AL281" i="20"/>
  <c r="AL483" i="20"/>
  <c r="AL630" i="20"/>
  <c r="AH822" i="20"/>
  <c r="AC148" i="20"/>
  <c r="AF204" i="20"/>
  <c r="Y444" i="20"/>
  <c r="AA893" i="20"/>
  <c r="AB394" i="20"/>
  <c r="AK799" i="20"/>
  <c r="Z630" i="20"/>
  <c r="AB903" i="20"/>
  <c r="AA11" i="20"/>
  <c r="AR506" i="20"/>
  <c r="AR444" i="20"/>
  <c r="AR82" i="20"/>
  <c r="AR85" i="20"/>
  <c r="AJ1048" i="20"/>
  <c r="AI496" i="20"/>
  <c r="G52" i="86" s="1"/>
  <c r="AI1008" i="20"/>
  <c r="AI1036" i="20"/>
  <c r="AI616" i="20"/>
  <c r="AL909" i="20"/>
  <c r="AL897" i="20"/>
  <c r="AI687" i="20"/>
  <c r="AI931" i="20"/>
  <c r="AI597" i="20"/>
  <c r="AJ1026" i="20"/>
  <c r="AJ516" i="20"/>
  <c r="AJ645" i="20"/>
  <c r="AJ664" i="20"/>
  <c r="AL306" i="20"/>
  <c r="AL475" i="20"/>
  <c r="AL730" i="20"/>
  <c r="AL793" i="20"/>
  <c r="AL194" i="20"/>
  <c r="AH1043" i="20"/>
  <c r="AJ64" i="20"/>
  <c r="AJ394" i="20"/>
  <c r="AJ688" i="20"/>
  <c r="AJ444" i="20"/>
  <c r="AL925" i="20"/>
  <c r="AH194" i="20"/>
  <c r="AH586" i="20"/>
  <c r="AH890" i="20"/>
  <c r="AI148" i="20"/>
  <c r="AL148" i="20"/>
  <c r="AC575" i="20"/>
  <c r="AE394" i="20"/>
  <c r="AD634" i="20"/>
  <c r="AD784" i="20"/>
  <c r="Y1032" i="20"/>
  <c r="AC918" i="20"/>
  <c r="AF559" i="20"/>
  <c r="AB392" i="20"/>
  <c r="AC941" i="20"/>
  <c r="AK800" i="20"/>
  <c r="AK941" i="20"/>
  <c r="AB559" i="20"/>
  <c r="AF652" i="20"/>
  <c r="AC646" i="20"/>
  <c r="AK764" i="20"/>
  <c r="AD559" i="20"/>
  <c r="Y793" i="20"/>
  <c r="AK392" i="20"/>
  <c r="Y574" i="20"/>
  <c r="AG609" i="20"/>
  <c r="Y446" i="20"/>
  <c r="AA923" i="20"/>
  <c r="AK630" i="20"/>
  <c r="AA574" i="20"/>
  <c r="AG992" i="20"/>
  <c r="AR872" i="20"/>
  <c r="AP872" i="20"/>
  <c r="AP423" i="20"/>
  <c r="AR423" i="20"/>
  <c r="AP826" i="20"/>
  <c r="AR826" i="20"/>
  <c r="AR473" i="20"/>
  <c r="AP473" i="20"/>
  <c r="AR492" i="20"/>
  <c r="AP492" i="20"/>
  <c r="AR887" i="20"/>
  <c r="AP887" i="20"/>
  <c r="AP737" i="20"/>
  <c r="AR737" i="20"/>
  <c r="AP912" i="20"/>
  <c r="AR912" i="20"/>
  <c r="AP551" i="20"/>
  <c r="AR551" i="20"/>
  <c r="AR424" i="20"/>
  <c r="AP424" i="20"/>
  <c r="AP920" i="20"/>
  <c r="AR920" i="20"/>
  <c r="AP486" i="20"/>
  <c r="AR486" i="20"/>
  <c r="AH1145" i="20"/>
  <c r="AE1145" i="20"/>
  <c r="AN1145" i="20"/>
  <c r="AG1145" i="20"/>
  <c r="AC1145" i="20"/>
  <c r="AI1145" i="20"/>
  <c r="AF1145" i="20"/>
  <c r="AH1141" i="20"/>
  <c r="AN1141" i="20"/>
  <c r="AL1141" i="20"/>
  <c r="AB1141" i="20"/>
  <c r="AC1141" i="20"/>
  <c r="AD1117" i="20"/>
  <c r="AH1117" i="20"/>
  <c r="AN1113" i="20"/>
  <c r="AH1113" i="20"/>
  <c r="AB1109" i="20"/>
  <c r="Z1109" i="20"/>
  <c r="AE1109" i="20"/>
  <c r="AF1105" i="20"/>
  <c r="AD1105" i="20"/>
  <c r="AI1101" i="20"/>
  <c r="AJ1101" i="20"/>
  <c r="AL1101" i="20"/>
  <c r="AC1101" i="20"/>
  <c r="AE1097" i="20"/>
  <c r="AB1097" i="20"/>
  <c r="Z1097" i="20"/>
  <c r="AE1093" i="20"/>
  <c r="AF1093" i="20"/>
  <c r="AD1093" i="20"/>
  <c r="AC1093" i="20"/>
  <c r="AI1089" i="20"/>
  <c r="AN1089" i="20"/>
  <c r="AF1089" i="20"/>
  <c r="AH1089" i="20"/>
  <c r="Z1085" i="20"/>
  <c r="AN1085" i="20"/>
  <c r="AH1085" i="20"/>
  <c r="AA1085" i="20"/>
  <c r="AJ1085" i="20"/>
  <c r="Z1081" i="20"/>
  <c r="AC1081" i="20"/>
  <c r="AD1081" i="20"/>
  <c r="AB1081" i="20"/>
  <c r="AI1081" i="20"/>
  <c r="AK137" i="20"/>
  <c r="Z137" i="20"/>
  <c r="AA137" i="20"/>
  <c r="AH137" i="20"/>
  <c r="AN137" i="20"/>
  <c r="AD129" i="20"/>
  <c r="AF129" i="20"/>
  <c r="AC129" i="20"/>
  <c r="Z129" i="20"/>
  <c r="AK129" i="20"/>
  <c r="AA129" i="20"/>
  <c r="AG129" i="20"/>
  <c r="AK126" i="20"/>
  <c r="AJ126" i="20"/>
  <c r="AF126" i="20"/>
  <c r="AN126" i="20"/>
  <c r="AG126" i="20"/>
  <c r="Z126" i="20"/>
  <c r="Y117" i="20"/>
  <c r="AH117" i="20"/>
  <c r="AJ117" i="20"/>
  <c r="AC117" i="20"/>
  <c r="AE117" i="20"/>
  <c r="Z117" i="20"/>
  <c r="AI117" i="20"/>
  <c r="AN114" i="20"/>
  <c r="AK114" i="20"/>
  <c r="I46" i="86" s="1"/>
  <c r="L46" i="86" s="1"/>
  <c r="AI114" i="20"/>
  <c r="G46" i="86" s="1"/>
  <c r="J46" i="86" s="1"/>
  <c r="AF114" i="20"/>
  <c r="AA114" i="20"/>
  <c r="AB106" i="20"/>
  <c r="Y106" i="20"/>
  <c r="AE106" i="20"/>
  <c r="AD106" i="20"/>
  <c r="AF106" i="20"/>
  <c r="AK106" i="20"/>
  <c r="AI106" i="20"/>
  <c r="AL106" i="20"/>
  <c r="AB103" i="20"/>
  <c r="Y103" i="20"/>
  <c r="AI103" i="20"/>
  <c r="AH103" i="20"/>
  <c r="AJ103" i="20"/>
  <c r="Z103" i="20"/>
  <c r="AF96" i="20"/>
  <c r="AC96" i="20"/>
  <c r="AA96" i="20"/>
  <c r="AB96" i="20"/>
  <c r="AK96" i="20"/>
  <c r="AK81" i="20"/>
  <c r="AA81" i="20"/>
  <c r="AJ81" i="20"/>
  <c r="AL81" i="20"/>
  <c r="AH81" i="20"/>
  <c r="AC81" i="20"/>
  <c r="AN69" i="20"/>
  <c r="AK69" i="20"/>
  <c r="AJ69" i="20"/>
  <c r="Y69" i="20"/>
  <c r="AI69" i="20"/>
  <c r="AL69" i="20"/>
  <c r="AK65" i="20"/>
  <c r="AD65" i="20"/>
  <c r="AJ65" i="20"/>
  <c r="Y65" i="20"/>
  <c r="Z65" i="20"/>
  <c r="AF65" i="20"/>
  <c r="AK60" i="20"/>
  <c r="AD60" i="20"/>
  <c r="AF60" i="20"/>
  <c r="AL53" i="20"/>
  <c r="AF53" i="20"/>
  <c r="AA53" i="20"/>
  <c r="Y53" i="20"/>
  <c r="AH53" i="20"/>
  <c r="AJ53" i="20"/>
  <c r="AC53" i="20"/>
  <c r="AD46" i="20"/>
  <c r="AJ46" i="20"/>
  <c r="AK46" i="20"/>
  <c r="AF46" i="20"/>
  <c r="AI46" i="20"/>
  <c r="Y46" i="20"/>
  <c r="AK59" i="20"/>
  <c r="AD59" i="20"/>
  <c r="AJ59" i="20"/>
  <c r="AG59" i="20"/>
  <c r="AL59" i="20"/>
  <c r="AB59" i="20"/>
  <c r="AR558" i="20"/>
  <c r="AP558" i="20"/>
  <c r="AP370" i="20"/>
  <c r="AR370" i="20"/>
  <c r="AP729" i="20"/>
  <c r="AR729" i="20"/>
  <c r="AR840" i="20"/>
  <c r="AP840" i="20"/>
  <c r="AP694" i="20"/>
  <c r="AR694" i="20"/>
  <c r="AP487" i="20"/>
  <c r="AR487" i="20"/>
  <c r="AR892" i="20"/>
  <c r="AP892" i="20"/>
  <c r="AR899" i="20"/>
  <c r="AR171" i="20"/>
  <c r="AR27" i="20"/>
  <c r="AR789" i="20"/>
  <c r="AR592" i="20"/>
  <c r="AR402" i="20"/>
  <c r="AR99" i="20"/>
  <c r="AR674" i="20"/>
  <c r="AR505" i="20"/>
  <c r="AR523" i="20"/>
  <c r="AR265" i="20"/>
  <c r="Z299" i="20"/>
  <c r="AK835" i="20"/>
  <c r="Y835" i="20"/>
  <c r="Y942" i="20"/>
  <c r="AL1070" i="20"/>
  <c r="AH1070" i="20"/>
  <c r="AD1073" i="20"/>
  <c r="AL1073" i="20"/>
  <c r="Z1077" i="20"/>
  <c r="AB1117" i="20"/>
  <c r="AA1073" i="20"/>
  <c r="AE1070" i="20"/>
  <c r="AI1065" i="20"/>
  <c r="Y1052" i="20"/>
  <c r="AD1137" i="20"/>
  <c r="AG1129" i="20"/>
  <c r="AK1105" i="20"/>
  <c r="AC1052" i="20"/>
  <c r="AC1121" i="20"/>
  <c r="AK1077" i="20"/>
  <c r="AK1073" i="20"/>
  <c r="AK1070" i="20"/>
  <c r="AK1065" i="20"/>
  <c r="AK1061" i="20"/>
  <c r="AA1052" i="20"/>
  <c r="AG1137" i="20"/>
  <c r="Y1129" i="20"/>
  <c r="AH1052" i="20"/>
  <c r="AE1052" i="20"/>
  <c r="AK1137" i="20"/>
  <c r="AK1125" i="20"/>
  <c r="AN1133" i="20"/>
  <c r="AN1129" i="20"/>
  <c r="AJ1125" i="20"/>
  <c r="AF1121" i="20"/>
  <c r="AN1117" i="20"/>
  <c r="AI1113" i="20"/>
  <c r="AI1109" i="20"/>
  <c r="AA1133" i="20"/>
  <c r="AI1125" i="20"/>
  <c r="AE1121" i="20"/>
  <c r="Y1117" i="20"/>
  <c r="AG1089" i="20"/>
  <c r="AD1133" i="20"/>
  <c r="Z1129" i="20"/>
  <c r="AD1125" i="20"/>
  <c r="AH1121" i="20"/>
  <c r="AL1117" i="20"/>
  <c r="AC1097" i="20"/>
  <c r="AD1109" i="20"/>
  <c r="Z1105" i="20"/>
  <c r="AD1101" i="20"/>
  <c r="AH1097" i="20"/>
  <c r="AH1093" i="20"/>
  <c r="AD1089" i="20"/>
  <c r="AF1081" i="20"/>
  <c r="AJ1113" i="20"/>
  <c r="AN1109" i="20"/>
  <c r="AN1105" i="20"/>
  <c r="AN1101" i="20"/>
  <c r="AC1085" i="20"/>
  <c r="AN1081" i="20"/>
  <c r="AE1101" i="20"/>
  <c r="AE1089" i="20"/>
  <c r="AG1085" i="20"/>
  <c r="AL1085" i="20"/>
  <c r="AL117" i="20"/>
  <c r="AN65" i="20"/>
  <c r="AL60" i="20"/>
  <c r="Z59" i="20"/>
  <c r="AH126" i="20"/>
  <c r="AH69" i="20"/>
  <c r="AC65" i="20"/>
  <c r="AC59" i="20"/>
  <c r="AL137" i="20"/>
  <c r="AL126" i="20"/>
  <c r="Z81" i="20"/>
  <c r="AD103" i="20"/>
  <c r="Z69" i="20"/>
  <c r="Y1145" i="20"/>
  <c r="AE81" i="20"/>
  <c r="AI96" i="20"/>
  <c r="AG53" i="20"/>
  <c r="AC126" i="20"/>
  <c r="AG69" i="20"/>
  <c r="Y114" i="20"/>
  <c r="AC103" i="20"/>
  <c r="AG96" i="20"/>
  <c r="AF81" i="20"/>
  <c r="AJ114" i="20"/>
  <c r="H46" i="86" s="1"/>
  <c r="K46" i="86" s="1"/>
  <c r="AF103" i="20"/>
  <c r="AN96" i="20"/>
  <c r="AB53" i="20"/>
  <c r="AF1141" i="20"/>
  <c r="AA1145" i="20"/>
  <c r="AI1141" i="20"/>
  <c r="Z53" i="20"/>
  <c r="AH46" i="20"/>
  <c r="AD1145" i="20"/>
  <c r="AR181" i="20"/>
  <c r="AP614" i="20"/>
  <c r="AR676" i="20"/>
  <c r="AR628" i="20"/>
  <c r="AR196" i="20"/>
  <c r="AP790" i="20"/>
  <c r="AP1020" i="20"/>
  <c r="AR845" i="20"/>
  <c r="AP500" i="20"/>
  <c r="AR990" i="20"/>
  <c r="AP180" i="20"/>
  <c r="AR281" i="20"/>
  <c r="AP797" i="20"/>
  <c r="AR745" i="20"/>
  <c r="AR315" i="20"/>
  <c r="AP308" i="20"/>
  <c r="AP1335" i="20"/>
  <c r="AR595" i="20"/>
  <c r="AR800" i="20"/>
  <c r="AR26" i="20"/>
  <c r="AR908" i="20"/>
  <c r="AR1180" i="20"/>
  <c r="AR1007" i="20"/>
  <c r="AR323" i="20"/>
  <c r="AR450" i="20"/>
  <c r="AR528" i="20"/>
  <c r="AR1005" i="20"/>
  <c r="AN268" i="20"/>
  <c r="AJ268" i="20"/>
  <c r="AB268" i="20"/>
  <c r="AF268" i="20"/>
  <c r="AC268" i="20"/>
  <c r="AE268" i="20"/>
  <c r="AD268" i="20"/>
  <c r="AG268" i="20"/>
  <c r="Y268" i="20"/>
  <c r="Z268" i="20"/>
  <c r="AK268" i="20"/>
  <c r="AP743" i="20"/>
  <c r="AR743" i="20"/>
  <c r="AP532" i="20"/>
  <c r="AR532" i="20"/>
  <c r="AR421" i="20"/>
  <c r="AP421" i="20"/>
  <c r="AR474" i="20"/>
  <c r="AP474" i="20"/>
  <c r="AP904" i="20"/>
  <c r="AR904" i="20"/>
  <c r="AR485" i="20"/>
  <c r="AP485" i="20"/>
  <c r="AR563" i="20"/>
  <c r="AP563" i="20"/>
  <c r="AL1144" i="20"/>
  <c r="AI1144" i="20"/>
  <c r="AF1144" i="20"/>
  <c r="AK1144" i="20"/>
  <c r="Z1144" i="20"/>
  <c r="AJ1144" i="20"/>
  <c r="AE1144" i="20"/>
  <c r="AG1144" i="20"/>
  <c r="AD1144" i="20"/>
  <c r="AB1144" i="20"/>
  <c r="Y1144" i="20"/>
  <c r="AH1144" i="20"/>
  <c r="AN1144" i="20"/>
  <c r="AC1144" i="20"/>
  <c r="AA1144" i="20"/>
  <c r="AL1140" i="20"/>
  <c r="AF1140" i="20"/>
  <c r="Y1140" i="20"/>
  <c r="Z1140" i="20"/>
  <c r="AA1140" i="20"/>
  <c r="AJ1140" i="20"/>
  <c r="AK1140" i="20"/>
  <c r="AC1140" i="20"/>
  <c r="AH1140" i="20"/>
  <c r="AI1140" i="20"/>
  <c r="AN1140" i="20"/>
  <c r="AG1140" i="20"/>
  <c r="AD1140" i="20"/>
  <c r="AB1140" i="20"/>
  <c r="AE1140" i="20"/>
  <c r="AN1136" i="20"/>
  <c r="AB1136" i="20"/>
  <c r="AD1136" i="20"/>
  <c r="AA1136" i="20"/>
  <c r="AJ1136" i="20"/>
  <c r="AK1136" i="20"/>
  <c r="AG1136" i="20"/>
  <c r="AE1136" i="20"/>
  <c r="AL1136" i="20"/>
  <c r="Z1136" i="20"/>
  <c r="AF1136" i="20"/>
  <c r="Y1136" i="20"/>
  <c r="AH1136" i="20"/>
  <c r="AC1136" i="20"/>
  <c r="AI1136" i="20"/>
  <c r="AH1132" i="20"/>
  <c r="AE1132" i="20"/>
  <c r="AN1132" i="20"/>
  <c r="Y1132" i="20"/>
  <c r="AL1132" i="20"/>
  <c r="AI1132" i="20"/>
  <c r="AB1132" i="20"/>
  <c r="AF1132" i="20"/>
  <c r="AK1132" i="20"/>
  <c r="AD1132" i="20"/>
  <c r="AA1132" i="20"/>
  <c r="Z1132" i="20"/>
  <c r="AJ1132" i="20"/>
  <c r="AC1132" i="20"/>
  <c r="AG1132" i="20"/>
  <c r="AL1128" i="20"/>
  <c r="AN1128" i="20"/>
  <c r="Y1128" i="20"/>
  <c r="Z1128" i="20"/>
  <c r="AA1128" i="20"/>
  <c r="AB1128" i="20"/>
  <c r="AH1128" i="20"/>
  <c r="AJ1128" i="20"/>
  <c r="AK1128" i="20"/>
  <c r="AE1128" i="20"/>
  <c r="AD1128" i="20"/>
  <c r="AI1128" i="20"/>
  <c r="AF1128" i="20"/>
  <c r="AC1128" i="20"/>
  <c r="AG1128" i="20"/>
  <c r="AD1124" i="20"/>
  <c r="AE1124" i="20"/>
  <c r="AJ1124" i="20"/>
  <c r="Y1124" i="20"/>
  <c r="AH1124" i="20"/>
  <c r="AI1124" i="20"/>
  <c r="AN1124" i="20"/>
  <c r="AL1124" i="20"/>
  <c r="AK1124" i="20"/>
  <c r="AA1124" i="20"/>
  <c r="AB1124" i="20"/>
  <c r="AF1124" i="20"/>
  <c r="Z1124" i="20"/>
  <c r="AC1124" i="20"/>
  <c r="AG1124" i="20"/>
  <c r="AH1120" i="20"/>
  <c r="AF1120" i="20"/>
  <c r="Y1120" i="20"/>
  <c r="AL1120" i="20"/>
  <c r="AA1120" i="20"/>
  <c r="AJ1120" i="20"/>
  <c r="Z1120" i="20"/>
  <c r="AD1120" i="20"/>
  <c r="AE1120" i="20"/>
  <c r="AB1120" i="20"/>
  <c r="AK1120" i="20"/>
  <c r="AI1120" i="20"/>
  <c r="AN1120" i="20"/>
  <c r="AC1120" i="20"/>
  <c r="AG1120" i="20"/>
  <c r="AD1116" i="20"/>
  <c r="AN1116" i="20"/>
  <c r="AE1116" i="20"/>
  <c r="AK1116" i="20"/>
  <c r="AG1116" i="20"/>
  <c r="AH1116" i="20"/>
  <c r="AJ1116" i="20"/>
  <c r="AL1116" i="20"/>
  <c r="AC1116" i="20"/>
  <c r="Y1116" i="20"/>
  <c r="AA1116" i="20"/>
  <c r="AB1116" i="20"/>
  <c r="Z1116" i="20"/>
  <c r="AI1116" i="20"/>
  <c r="AF1116" i="20"/>
  <c r="AJ1112" i="20"/>
  <c r="AH1112" i="20"/>
  <c r="AE1112" i="20"/>
  <c r="AG1112" i="20"/>
  <c r="AB1112" i="20"/>
  <c r="AL1112" i="20"/>
  <c r="AF1112" i="20"/>
  <c r="Z1112" i="20"/>
  <c r="AN1112" i="20"/>
  <c r="AD1112" i="20"/>
  <c r="AA1112" i="20"/>
  <c r="AK1112" i="20"/>
  <c r="AC1112" i="20"/>
  <c r="Y1112" i="20"/>
  <c r="AI1112" i="20"/>
  <c r="AN1108" i="20"/>
  <c r="Z1108" i="20"/>
  <c r="Y1108" i="20"/>
  <c r="AA1108" i="20"/>
  <c r="AK1108" i="20"/>
  <c r="AB1108" i="20"/>
  <c r="AD1108" i="20"/>
  <c r="AE1108" i="20"/>
  <c r="AG1108" i="20"/>
  <c r="AI1108" i="20"/>
  <c r="AH1108" i="20"/>
  <c r="AF1108" i="20"/>
  <c r="AL1108" i="20"/>
  <c r="AC1108" i="20"/>
  <c r="AJ1108" i="20"/>
  <c r="AB1104" i="20"/>
  <c r="AD1104" i="20"/>
  <c r="AF1104" i="20"/>
  <c r="AH1104" i="20"/>
  <c r="AA1104" i="20"/>
  <c r="AG1104" i="20"/>
  <c r="Z1104" i="20"/>
  <c r="Y1104" i="20"/>
  <c r="AE1104" i="20"/>
  <c r="AI1104" i="20"/>
  <c r="AK1104" i="20"/>
  <c r="AC1104" i="20"/>
  <c r="AL1104" i="20"/>
  <c r="AJ1104" i="20"/>
  <c r="AN1104" i="20"/>
  <c r="AE1100" i="20"/>
  <c r="AI1100" i="20"/>
  <c r="AF1100" i="20"/>
  <c r="AA1100" i="20"/>
  <c r="AL1100" i="20"/>
  <c r="AB1100" i="20"/>
  <c r="Z1100" i="20"/>
  <c r="AK1100" i="20"/>
  <c r="Y1100" i="20"/>
  <c r="AN1100" i="20"/>
  <c r="AG1100" i="20"/>
  <c r="AD1100" i="20"/>
  <c r="AJ1100" i="20"/>
  <c r="AH1100" i="20"/>
  <c r="AC1100" i="20"/>
  <c r="AI1096" i="20"/>
  <c r="AJ1096" i="20"/>
  <c r="AN1096" i="20"/>
  <c r="AA1096" i="20"/>
  <c r="Z1096" i="20"/>
  <c r="AG1096" i="20"/>
  <c r="AE1096" i="20"/>
  <c r="AB1096" i="20"/>
  <c r="AD1096" i="20"/>
  <c r="AK1096" i="20"/>
  <c r="AF1096" i="20"/>
  <c r="AC1096" i="20"/>
  <c r="Y1096" i="20"/>
  <c r="AH1096" i="20"/>
  <c r="AL1096" i="20"/>
  <c r="AN1092" i="20"/>
  <c r="AA1092" i="20"/>
  <c r="AB1092" i="20"/>
  <c r="AE1092" i="20"/>
  <c r="AD1092" i="20"/>
  <c r="AI1092" i="20"/>
  <c r="AH1092" i="20"/>
  <c r="AG1092" i="20"/>
  <c r="AK1092" i="20"/>
  <c r="AL1092" i="20"/>
  <c r="AF1092" i="20"/>
  <c r="AJ1092" i="20"/>
  <c r="Y1092" i="20"/>
  <c r="Z1092" i="20"/>
  <c r="AC1092" i="20"/>
  <c r="AE1088" i="20"/>
  <c r="AB1088" i="20"/>
  <c r="AI1088" i="20"/>
  <c r="AF1088" i="20"/>
  <c r="AA1088" i="20"/>
  <c r="AN1088" i="20"/>
  <c r="AH1088" i="20"/>
  <c r="Y1088" i="20"/>
  <c r="AL1088" i="20"/>
  <c r="AK1088" i="20"/>
  <c r="Z1088" i="20"/>
  <c r="AC1088" i="20"/>
  <c r="AD1088" i="20"/>
  <c r="AG1088" i="20"/>
  <c r="AJ1088" i="20"/>
  <c r="AD1084" i="20"/>
  <c r="AN1084" i="20"/>
  <c r="AH1084" i="20"/>
  <c r="AB1084" i="20"/>
  <c r="Z1084" i="20"/>
  <c r="AA1084" i="20"/>
  <c r="Y1084" i="20"/>
  <c r="AF1084" i="20"/>
  <c r="AK1084" i="20"/>
  <c r="AE1084" i="20"/>
  <c r="AC1084" i="20"/>
  <c r="AI1084" i="20"/>
  <c r="AG1084" i="20"/>
  <c r="AJ1084" i="20"/>
  <c r="AL1084" i="20"/>
  <c r="AD1080" i="20"/>
  <c r="AJ1080" i="20"/>
  <c r="AH1080" i="20"/>
  <c r="AN1080" i="20"/>
  <c r="AL1080" i="20"/>
  <c r="AC1080" i="20"/>
  <c r="AA1080" i="20"/>
  <c r="AG1080" i="20"/>
  <c r="AK1080" i="20"/>
  <c r="AI1080" i="20"/>
  <c r="AF1080" i="20"/>
  <c r="Y1080" i="20"/>
  <c r="Z1080" i="20"/>
  <c r="AB1080" i="20"/>
  <c r="AE1080" i="20"/>
  <c r="AF1076" i="20"/>
  <c r="AB1076" i="20"/>
  <c r="AG1076" i="20"/>
  <c r="AD1076" i="20"/>
  <c r="AH1076" i="20"/>
  <c r="AL1076" i="20"/>
  <c r="AJ1076" i="20"/>
  <c r="AK1076" i="20"/>
  <c r="AA1076" i="20"/>
  <c r="AC1076" i="20"/>
  <c r="AE1076" i="20"/>
  <c r="AI1076" i="20"/>
  <c r="Y1076" i="20"/>
  <c r="Z1076" i="20"/>
  <c r="AN1076" i="20"/>
  <c r="AF1072" i="20"/>
  <c r="AG1072" i="20"/>
  <c r="AD1072" i="20"/>
  <c r="AH1072" i="20"/>
  <c r="AL1072" i="20"/>
  <c r="AB1072" i="20"/>
  <c r="AK1072" i="20"/>
  <c r="AA1072" i="20"/>
  <c r="Z1072" i="20"/>
  <c r="AJ1072" i="20"/>
  <c r="Y1072" i="20"/>
  <c r="AE1072" i="20"/>
  <c r="AN1072" i="20"/>
  <c r="AI1072" i="20"/>
  <c r="AF1068" i="20"/>
  <c r="AN1068" i="20"/>
  <c r="AG1068" i="20"/>
  <c r="AD1068" i="20"/>
  <c r="AH1068" i="20"/>
  <c r="Z1068" i="20"/>
  <c r="AL1068" i="20"/>
  <c r="AK1068" i="20"/>
  <c r="AA1068" i="20"/>
  <c r="AJ1068" i="20"/>
  <c r="AC1068" i="20"/>
  <c r="AB1068" i="20"/>
  <c r="Y1068" i="20"/>
  <c r="AE1068" i="20"/>
  <c r="AI1068" i="20"/>
  <c r="AF1064" i="20"/>
  <c r="AJ1064" i="20"/>
  <c r="AG1064" i="20"/>
  <c r="AD1064" i="20"/>
  <c r="AH1064" i="20"/>
  <c r="AL1064" i="20"/>
  <c r="AN1064" i="20"/>
  <c r="AK1064" i="20"/>
  <c r="AA1064" i="20"/>
  <c r="AI1064" i="20"/>
  <c r="Y1064" i="20"/>
  <c r="AE1064" i="20"/>
  <c r="AC1064" i="20"/>
  <c r="AB1064" i="20"/>
  <c r="Z1064" i="20"/>
  <c r="AB1054" i="20"/>
  <c r="AE1054" i="20"/>
  <c r="Z1054" i="20"/>
  <c r="AG1054" i="20"/>
  <c r="AH1054" i="20"/>
  <c r="AJ1054" i="20"/>
  <c r="AK1054" i="20"/>
  <c r="Y1054" i="20"/>
  <c r="AA1054" i="20"/>
  <c r="AD1054" i="20"/>
  <c r="AN1054" i="20"/>
  <c r="AI1054" i="20"/>
  <c r="AC1054" i="20"/>
  <c r="AL1054" i="20"/>
  <c r="AF1054" i="20"/>
  <c r="AN1050" i="20"/>
  <c r="Z1050" i="20"/>
  <c r="AB1050" i="20"/>
  <c r="AE1050" i="20"/>
  <c r="AG1050" i="20"/>
  <c r="AF1050" i="20"/>
  <c r="AL1050" i="20"/>
  <c r="Y1050" i="20"/>
  <c r="AC1050" i="20"/>
  <c r="AH1050" i="20"/>
  <c r="AJ1050" i="20"/>
  <c r="AD1050" i="20"/>
  <c r="AK1050" i="20"/>
  <c r="AI1050" i="20"/>
  <c r="AA1050" i="20"/>
  <c r="AI1041" i="20"/>
  <c r="AN1041" i="20"/>
  <c r="AB1041" i="20"/>
  <c r="AE1041" i="20"/>
  <c r="AG1041" i="20"/>
  <c r="AA1041" i="20"/>
  <c r="Z1041" i="20"/>
  <c r="AC1041" i="20"/>
  <c r="AN1034" i="20"/>
  <c r="AI1034" i="20"/>
  <c r="AG1034" i="20"/>
  <c r="AD1034" i="20"/>
  <c r="AE1034" i="20"/>
  <c r="AH1034" i="20"/>
  <c r="AA1034" i="20"/>
  <c r="AC1034" i="20"/>
  <c r="AB1034" i="20"/>
  <c r="AN1029" i="20"/>
  <c r="AB1029" i="20"/>
  <c r="AG1029" i="20"/>
  <c r="AI1029" i="20"/>
  <c r="Z1029" i="20"/>
  <c r="AF1029" i="20"/>
  <c r="AK1029" i="20"/>
  <c r="Y1029" i="20"/>
  <c r="AA1029" i="20"/>
  <c r="AN1024" i="20"/>
  <c r="AC1024" i="20"/>
  <c r="Z1024" i="20"/>
  <c r="AE1024" i="20"/>
  <c r="AA1024" i="20"/>
  <c r="AD1024" i="20"/>
  <c r="Y1024" i="20"/>
  <c r="AK1024" i="20"/>
  <c r="AN1017" i="20"/>
  <c r="AI1017" i="20"/>
  <c r="AJ1017" i="20"/>
  <c r="AB1017" i="20"/>
  <c r="AK1017" i="20"/>
  <c r="AG1017" i="20"/>
  <c r="Y1017" i="20"/>
  <c r="AC1017" i="20"/>
  <c r="Z1017" i="20"/>
  <c r="AH1017" i="20"/>
  <c r="AE1017" i="20"/>
  <c r="AD1017" i="20"/>
  <c r="AN1011" i="20"/>
  <c r="AE1011" i="20"/>
  <c r="AB1011" i="20"/>
  <c r="AA1011" i="20"/>
  <c r="AI1011" i="20"/>
  <c r="Y1011" i="20"/>
  <c r="AD1011" i="20"/>
  <c r="AK1011" i="20"/>
  <c r="AF1011" i="20"/>
  <c r="AL1001" i="20"/>
  <c r="AN1001" i="20"/>
  <c r="AD1001" i="20"/>
  <c r="AF1001" i="20"/>
  <c r="AA1001" i="20"/>
  <c r="Y1001" i="20"/>
  <c r="AB1001" i="20"/>
  <c r="AK1001" i="20"/>
  <c r="AH1001" i="20"/>
  <c r="AE1001" i="20"/>
  <c r="AG989" i="20"/>
  <c r="AF989" i="20"/>
  <c r="AJ989" i="20"/>
  <c r="AN989" i="20"/>
  <c r="AC989" i="20"/>
  <c r="AD989" i="20"/>
  <c r="AK989" i="20"/>
  <c r="AA989" i="20"/>
  <c r="Z989" i="20"/>
  <c r="Y999" i="20"/>
  <c r="AN999" i="20"/>
  <c r="AE999" i="20"/>
  <c r="AK999" i="20"/>
  <c r="Z999" i="20"/>
  <c r="AA999" i="20"/>
  <c r="AC999" i="20"/>
  <c r="AH999" i="20"/>
  <c r="AL999" i="20"/>
  <c r="AG999" i="20"/>
  <c r="AF999" i="20"/>
  <c r="AD999" i="20"/>
  <c r="AI983" i="20"/>
  <c r="AN983" i="20"/>
  <c r="AD983" i="20"/>
  <c r="Y983" i="20"/>
  <c r="AK983" i="20"/>
  <c r="AH983" i="20"/>
  <c r="AG983" i="20"/>
  <c r="AB983" i="20"/>
  <c r="AA983" i="20"/>
  <c r="AC983" i="20"/>
  <c r="AE983" i="20"/>
  <c r="AN974" i="20"/>
  <c r="AK974" i="20"/>
  <c r="AI974" i="20"/>
  <c r="AF974" i="20"/>
  <c r="AC974" i="20"/>
  <c r="Z974" i="20"/>
  <c r="AB974" i="20"/>
  <c r="AG974" i="20"/>
  <c r="AD974" i="20"/>
  <c r="AN969" i="20"/>
  <c r="AE969" i="20"/>
  <c r="AD969" i="20"/>
  <c r="AF969" i="20"/>
  <c r="AA969" i="20"/>
  <c r="Z969" i="20"/>
  <c r="AC969" i="20"/>
  <c r="AK969" i="20"/>
  <c r="AG969" i="20"/>
  <c r="AB969" i="20"/>
  <c r="AN940" i="20"/>
  <c r="AG940" i="20"/>
  <c r="AA940" i="20"/>
  <c r="AK940" i="20"/>
  <c r="Z940" i="20"/>
  <c r="AF940" i="20"/>
  <c r="AE940" i="20"/>
  <c r="AD940" i="20"/>
  <c r="AB940" i="20"/>
  <c r="AC940" i="20"/>
  <c r="AN935" i="20"/>
  <c r="AE935" i="20"/>
  <c r="AL935" i="20"/>
  <c r="AD935" i="20"/>
  <c r="AB935" i="20"/>
  <c r="AK935" i="20"/>
  <c r="Z935" i="20"/>
  <c r="AH935" i="20"/>
  <c r="AA935" i="20"/>
  <c r="AC935" i="20"/>
  <c r="Y935" i="20"/>
  <c r="AN930" i="20"/>
  <c r="Y930" i="20"/>
  <c r="AI930" i="20"/>
  <c r="AK930" i="20"/>
  <c r="AB930" i="20"/>
  <c r="AA930" i="20"/>
  <c r="Z930" i="20"/>
  <c r="AG930" i="20"/>
  <c r="AE930" i="20"/>
  <c r="AH930" i="20"/>
  <c r="AN920" i="20"/>
  <c r="AI920" i="20"/>
  <c r="AC920" i="20"/>
  <c r="AG920" i="20"/>
  <c r="AD920" i="20"/>
  <c r="AE920" i="20"/>
  <c r="AB920" i="20"/>
  <c r="AL920" i="20"/>
  <c r="AF920" i="20"/>
  <c r="AK920" i="20"/>
  <c r="Y920" i="20"/>
  <c r="AF910" i="20"/>
  <c r="AJ910" i="20"/>
  <c r="AN910" i="20"/>
  <c r="AK910" i="20"/>
  <c r="AG910" i="20"/>
  <c r="AI910" i="20"/>
  <c r="Z910" i="20"/>
  <c r="AE910" i="20"/>
  <c r="AC910" i="20"/>
  <c r="Y910" i="20"/>
  <c r="AD910" i="20"/>
  <c r="AB910" i="20"/>
  <c r="AN901" i="20"/>
  <c r="AF901" i="20"/>
  <c r="AI901" i="20"/>
  <c r="AB901" i="20"/>
  <c r="Y901" i="20"/>
  <c r="AD901" i="20"/>
  <c r="AG901" i="20"/>
  <c r="AA901" i="20"/>
  <c r="AK901" i="20"/>
  <c r="AC901" i="20"/>
  <c r="AC892" i="20"/>
  <c r="AJ892" i="20"/>
  <c r="AN892" i="20"/>
  <c r="AE892" i="20"/>
  <c r="Z892" i="20"/>
  <c r="AG892" i="20"/>
  <c r="AF892" i="20"/>
  <c r="AK892" i="20"/>
  <c r="Y892" i="20"/>
  <c r="AH892" i="20"/>
  <c r="AA892" i="20"/>
  <c r="AD888" i="20"/>
  <c r="AJ888" i="20"/>
  <c r="AI888" i="20"/>
  <c r="AN888" i="20"/>
  <c r="AK888" i="20"/>
  <c r="AB888" i="20"/>
  <c r="AC888" i="20"/>
  <c r="AG888" i="20"/>
  <c r="AA888" i="20"/>
  <c r="Y888" i="20"/>
  <c r="AF888" i="20"/>
  <c r="AE888" i="20"/>
  <c r="AN868" i="20"/>
  <c r="Y868" i="20"/>
  <c r="AD868" i="20"/>
  <c r="AK868" i="20"/>
  <c r="AJ868" i="20"/>
  <c r="Z868" i="20"/>
  <c r="AB868" i="20"/>
  <c r="AF868" i="20"/>
  <c r="AN864" i="20"/>
  <c r="Z864" i="20"/>
  <c r="AI864" i="20"/>
  <c r="AK864" i="20"/>
  <c r="AJ864" i="20"/>
  <c r="AE864" i="20"/>
  <c r="AF864" i="20"/>
  <c r="AD864" i="20"/>
  <c r="AC864" i="20"/>
  <c r="AB864" i="20"/>
  <c r="Y864" i="20"/>
  <c r="AN845" i="20"/>
  <c r="AD845" i="20"/>
  <c r="AG845" i="20"/>
  <c r="AI845" i="20"/>
  <c r="AK845" i="20"/>
  <c r="AA845" i="20"/>
  <c r="AH845" i="20"/>
  <c r="AJ845" i="20"/>
  <c r="Y845" i="20"/>
  <c r="AE845" i="20"/>
  <c r="AJ840" i="20"/>
  <c r="AN840" i="20"/>
  <c r="AI840" i="20"/>
  <c r="AK840" i="20"/>
  <c r="AD840" i="20"/>
  <c r="AA840" i="20"/>
  <c r="AC840" i="20"/>
  <c r="Z840" i="20"/>
  <c r="AE840" i="20"/>
  <c r="AL840" i="20"/>
  <c r="Y840" i="20"/>
  <c r="Z836" i="20"/>
  <c r="AG836" i="20"/>
  <c r="AN836" i="20"/>
  <c r="AA836" i="20"/>
  <c r="AF836" i="20"/>
  <c r="AL836" i="20"/>
  <c r="AI836" i="20"/>
  <c r="AD836" i="20"/>
  <c r="AE836" i="20"/>
  <c r="AB836" i="20"/>
  <c r="Y836" i="20"/>
  <c r="AK836" i="20"/>
  <c r="AN830" i="20"/>
  <c r="Y830" i="20"/>
  <c r="AD830" i="20"/>
  <c r="AA830" i="20"/>
  <c r="AB830" i="20"/>
  <c r="AH830" i="20"/>
  <c r="AC830" i="20"/>
  <c r="AK830" i="20"/>
  <c r="Z830" i="20"/>
  <c r="AF830" i="20"/>
  <c r="AG830" i="20"/>
  <c r="Z820" i="20"/>
  <c r="AN820" i="20"/>
  <c r="AF820" i="20"/>
  <c r="AC820" i="20"/>
  <c r="AK820" i="20"/>
  <c r="AD820" i="20"/>
  <c r="AH820" i="20"/>
  <c r="AE820" i="20"/>
  <c r="AA820" i="20"/>
  <c r="Y820" i="20"/>
  <c r="AD810" i="20"/>
  <c r="AK810" i="20"/>
  <c r="AC810" i="20"/>
  <c r="AE810" i="20"/>
  <c r="AB810" i="20"/>
  <c r="Z810" i="20"/>
  <c r="AN810" i="20"/>
  <c r="AA810" i="20"/>
  <c r="Y810" i="20"/>
  <c r="AG810" i="20"/>
  <c r="AN803" i="20"/>
  <c r="AK803" i="20"/>
  <c r="AH803" i="20"/>
  <c r="Y803" i="20"/>
  <c r="AG803" i="20"/>
  <c r="AB803" i="20"/>
  <c r="AA803" i="20"/>
  <c r="AN797" i="20"/>
  <c r="AA797" i="20"/>
  <c r="AG797" i="20"/>
  <c r="AJ797" i="20"/>
  <c r="AI797" i="20"/>
  <c r="AK797" i="20"/>
  <c r="Z797" i="20"/>
  <c r="AF797" i="20"/>
  <c r="Y797" i="20"/>
  <c r="AH797" i="20"/>
  <c r="AL797" i="20"/>
  <c r="AC797" i="20"/>
  <c r="AB797" i="20"/>
  <c r="AN791" i="20"/>
  <c r="AD791" i="20"/>
  <c r="Z791" i="20"/>
  <c r="AE791" i="20"/>
  <c r="AG791" i="20"/>
  <c r="AF791" i="20"/>
  <c r="AA791" i="20"/>
  <c r="AB791" i="20"/>
  <c r="AK791" i="20"/>
  <c r="AC791" i="20"/>
  <c r="Y791" i="20"/>
  <c r="AN781" i="20"/>
  <c r="AE781" i="20"/>
  <c r="Y781" i="20"/>
  <c r="AA781" i="20"/>
  <c r="AF781" i="20"/>
  <c r="AK781" i="20"/>
  <c r="AB781" i="20"/>
  <c r="AC781" i="20"/>
  <c r="AH781" i="20"/>
  <c r="AL781" i="20"/>
  <c r="AD781" i="20"/>
  <c r="Z781" i="20"/>
  <c r="AG781" i="20"/>
  <c r="AN759" i="20"/>
  <c r="AJ759" i="20"/>
  <c r="Y759" i="20"/>
  <c r="AA759" i="20"/>
  <c r="AI759" i="20"/>
  <c r="AE759" i="20"/>
  <c r="AD759" i="20"/>
  <c r="AC759" i="20"/>
  <c r="Z759" i="20"/>
  <c r="AK759" i="20"/>
  <c r="AF759" i="20"/>
  <c r="AB759" i="20"/>
  <c r="AN750" i="20"/>
  <c r="AD750" i="20"/>
  <c r="AK750" i="20"/>
  <c r="AA750" i="20"/>
  <c r="AB750" i="20"/>
  <c r="Y750" i="20"/>
  <c r="AG750" i="20"/>
  <c r="Z750" i="20"/>
  <c r="AE750" i="20"/>
  <c r="AN746" i="20"/>
  <c r="AL746" i="20"/>
  <c r="Z746" i="20"/>
  <c r="AG746" i="20"/>
  <c r="AC746" i="20"/>
  <c r="AH746" i="20"/>
  <c r="AF746" i="20"/>
  <c r="AA746" i="20"/>
  <c r="AD746" i="20"/>
  <c r="AB746" i="20"/>
  <c r="AK746" i="20"/>
  <c r="AE746" i="20"/>
  <c r="AN739" i="20"/>
  <c r="AE739" i="20"/>
  <c r="AI739" i="20"/>
  <c r="AD739" i="20"/>
  <c r="AK739" i="20"/>
  <c r="AB739" i="20"/>
  <c r="AH739" i="20"/>
  <c r="Z739" i="20"/>
  <c r="AA739" i="20"/>
  <c r="Y739" i="20"/>
  <c r="AF739" i="20"/>
  <c r="AN734" i="20"/>
  <c r="AE734" i="20"/>
  <c r="AC734" i="20"/>
  <c r="AG734" i="20"/>
  <c r="AF734" i="20"/>
  <c r="Y734" i="20"/>
  <c r="Z734" i="20"/>
  <c r="AK734" i="20"/>
  <c r="AN728" i="20"/>
  <c r="AG728" i="20"/>
  <c r="Z728" i="20"/>
  <c r="AI728" i="20"/>
  <c r="AE728" i="20"/>
  <c r="AA728" i="20"/>
  <c r="Y728" i="20"/>
  <c r="AD728" i="20"/>
  <c r="AF728" i="20"/>
  <c r="AB728" i="20"/>
  <c r="AK728" i="20"/>
  <c r="AC728" i="20"/>
  <c r="AI715" i="20"/>
  <c r="AL715" i="20"/>
  <c r="AD715" i="20"/>
  <c r="AN715" i="20"/>
  <c r="AG715" i="20"/>
  <c r="AE715" i="20"/>
  <c r="Y715" i="20"/>
  <c r="AA715" i="20"/>
  <c r="AF715" i="20"/>
  <c r="AK715" i="20"/>
  <c r="Z715" i="20"/>
  <c r="AN697" i="20"/>
  <c r="AA697" i="20"/>
  <c r="AJ697" i="20"/>
  <c r="Z697" i="20"/>
  <c r="Y697" i="20"/>
  <c r="AC697" i="20"/>
  <c r="AK697" i="20"/>
  <c r="AN693" i="20"/>
  <c r="AE693" i="20"/>
  <c r="Z693" i="20"/>
  <c r="AK693" i="20"/>
  <c r="AC693" i="20"/>
  <c r="AF693" i="20"/>
  <c r="AG693" i="20"/>
  <c r="AD693" i="20"/>
  <c r="AH693" i="20"/>
  <c r="AA693" i="20"/>
  <c r="AN685" i="20"/>
  <c r="AE685" i="20"/>
  <c r="AC685" i="20"/>
  <c r="Y685" i="20"/>
  <c r="AA685" i="20"/>
  <c r="AK685" i="20"/>
  <c r="AH685" i="20"/>
  <c r="AD685" i="20"/>
  <c r="Z685" i="20"/>
  <c r="AN677" i="20"/>
  <c r="AE677" i="20"/>
  <c r="AG677" i="20"/>
  <c r="AF677" i="20"/>
  <c r="AK677" i="20"/>
  <c r="Z677" i="20"/>
  <c r="AD677" i="20"/>
  <c r="AB677" i="20"/>
  <c r="Y677" i="20"/>
  <c r="Z667" i="20"/>
  <c r="AI667" i="20"/>
  <c r="AC667" i="20"/>
  <c r="AN667" i="20"/>
  <c r="AJ667" i="20"/>
  <c r="AB667" i="20"/>
  <c r="AG667" i="20"/>
  <c r="AA667" i="20"/>
  <c r="AF667" i="20"/>
  <c r="AE667" i="20"/>
  <c r="AD667" i="20"/>
  <c r="AN662" i="20"/>
  <c r="AF662" i="20"/>
  <c r="AJ662" i="20"/>
  <c r="AB662" i="20"/>
  <c r="AD662" i="20"/>
  <c r="Y662" i="20"/>
  <c r="AG662" i="20"/>
  <c r="AC662" i="20"/>
  <c r="AK662" i="20"/>
  <c r="Z662" i="20"/>
  <c r="AE662" i="20"/>
  <c r="AA662" i="20"/>
  <c r="AN272" i="20"/>
  <c r="Z272" i="20"/>
  <c r="AA272" i="20"/>
  <c r="AI272" i="20"/>
  <c r="AF272" i="20"/>
  <c r="AB272" i="20"/>
  <c r="AK272" i="20"/>
  <c r="AC272" i="20"/>
  <c r="AH272" i="20"/>
  <c r="AN653" i="20"/>
  <c r="AI653" i="20"/>
  <c r="AL653" i="20"/>
  <c r="AE653" i="20"/>
  <c r="AF653" i="20"/>
  <c r="AC653" i="20"/>
  <c r="AA653" i="20"/>
  <c r="Y653" i="20"/>
  <c r="AG653" i="20"/>
  <c r="AH653" i="20"/>
  <c r="Z653" i="20"/>
  <c r="AB653" i="20"/>
  <c r="AK653" i="20"/>
  <c r="AN648" i="20"/>
  <c r="AG648" i="20"/>
  <c r="AA648" i="20"/>
  <c r="AE648" i="20"/>
  <c r="AI648" i="20"/>
  <c r="AJ648" i="20"/>
  <c r="Z648" i="20"/>
  <c r="AB648" i="20"/>
  <c r="AK648" i="20"/>
  <c r="Y648" i="20"/>
  <c r="AC648" i="20"/>
  <c r="AN642" i="20"/>
  <c r="AE642" i="20"/>
  <c r="AD642" i="20"/>
  <c r="AI642" i="20"/>
  <c r="Z642" i="20"/>
  <c r="AF642" i="20"/>
  <c r="AK642" i="20"/>
  <c r="AB642" i="20"/>
  <c r="AC642" i="20"/>
  <c r="AG642" i="20"/>
  <c r="AA642" i="20"/>
  <c r="Y642" i="20"/>
  <c r="AN1038" i="20"/>
  <c r="AD1038" i="20"/>
  <c r="AF1038" i="20"/>
  <c r="AG1038" i="20"/>
  <c r="AE1038" i="20"/>
  <c r="AB1038" i="20"/>
  <c r="AC1038" i="20"/>
  <c r="Z1038" i="20"/>
  <c r="AA1038" i="20"/>
  <c r="AN981" i="20"/>
  <c r="AB981" i="20"/>
  <c r="AE981" i="20"/>
  <c r="AI981" i="20"/>
  <c r="AF981" i="20"/>
  <c r="Y981" i="20"/>
  <c r="AC981" i="20"/>
  <c r="AH981" i="20"/>
  <c r="AK981" i="20"/>
  <c r="AB818" i="20"/>
  <c r="AL818" i="20"/>
  <c r="AD818" i="20"/>
  <c r="AI818" i="20"/>
  <c r="AJ818" i="20"/>
  <c r="AN818" i="20"/>
  <c r="AF818" i="20"/>
  <c r="AE818" i="20"/>
  <c r="AG818" i="20"/>
  <c r="AA818" i="20"/>
  <c r="AC818" i="20"/>
  <c r="Y818" i="20"/>
  <c r="Z818" i="20"/>
  <c r="AE644" i="20"/>
  <c r="AN644" i="20"/>
  <c r="AL644" i="20"/>
  <c r="AA644" i="20"/>
  <c r="AC644" i="20"/>
  <c r="AF644" i="20"/>
  <c r="AH644" i="20"/>
  <c r="AB644" i="20"/>
  <c r="Z644" i="20"/>
  <c r="AK644" i="20"/>
  <c r="AD644" i="20"/>
  <c r="AG644" i="20"/>
  <c r="Y644" i="20"/>
  <c r="AN571" i="20"/>
  <c r="AD571" i="20"/>
  <c r="AL571" i="20"/>
  <c r="AB571" i="20"/>
  <c r="AE571" i="20"/>
  <c r="Y571" i="20"/>
  <c r="AA571" i="20"/>
  <c r="AC571" i="20"/>
  <c r="AF571" i="20"/>
  <c r="AA547" i="20"/>
  <c r="AN547" i="20"/>
  <c r="Z547" i="20"/>
  <c r="AJ547" i="20"/>
  <c r="AE547" i="20"/>
  <c r="AG547" i="20"/>
  <c r="AF547" i="20"/>
  <c r="AC547" i="20"/>
  <c r="AD547" i="20"/>
  <c r="AK547" i="20"/>
  <c r="AB547" i="20"/>
  <c r="AL407" i="20"/>
  <c r="AG407" i="20"/>
  <c r="AN407" i="20"/>
  <c r="AF407" i="20"/>
  <c r="Y407" i="20"/>
  <c r="AI407" i="20"/>
  <c r="AD407" i="20"/>
  <c r="AB407" i="20"/>
  <c r="AK407" i="20"/>
  <c r="Z407" i="20"/>
  <c r="AN12" i="20"/>
  <c r="Z12" i="20"/>
  <c r="Y12" i="20"/>
  <c r="AG12" i="20"/>
  <c r="AD12" i="20"/>
  <c r="AK12" i="20"/>
  <c r="AA12" i="20"/>
  <c r="AC12" i="20"/>
  <c r="AE12" i="20"/>
  <c r="AB12" i="20"/>
  <c r="AB326" i="20"/>
  <c r="Z326" i="20"/>
  <c r="AJ326" i="20"/>
  <c r="AN326" i="20"/>
  <c r="AG326" i="20"/>
  <c r="AK326" i="20"/>
  <c r="AC326" i="20"/>
  <c r="AE326" i="20"/>
  <c r="Y326" i="20"/>
  <c r="AH326" i="20"/>
  <c r="AF326" i="20"/>
  <c r="AD326" i="20"/>
  <c r="AA326" i="20"/>
  <c r="AN659" i="20"/>
  <c r="AE659" i="20"/>
  <c r="AF659" i="20"/>
  <c r="AG659" i="20"/>
  <c r="AK659" i="20"/>
  <c r="AJ659" i="20"/>
  <c r="AC659" i="20"/>
  <c r="AI659" i="20"/>
  <c r="AH659" i="20"/>
  <c r="AB659" i="20"/>
  <c r="Z659" i="20"/>
  <c r="AD659" i="20"/>
  <c r="AA659" i="20"/>
  <c r="AB713" i="20"/>
  <c r="AL713" i="20"/>
  <c r="AA713" i="20"/>
  <c r="AD713" i="20"/>
  <c r="AN713" i="20"/>
  <c r="AH713" i="20"/>
  <c r="Y713" i="20"/>
  <c r="Z713" i="20"/>
  <c r="AF713" i="20"/>
  <c r="AK713" i="20"/>
  <c r="AN1012" i="20"/>
  <c r="AI1012" i="20"/>
  <c r="AC1012" i="20"/>
  <c r="AG1012" i="20"/>
  <c r="AF1012" i="20"/>
  <c r="AK1012" i="20"/>
  <c r="AA1012" i="20"/>
  <c r="Y1012" i="20"/>
  <c r="AE1012" i="20"/>
  <c r="Z1012" i="20"/>
  <c r="AD1012" i="20"/>
  <c r="AL1012" i="20"/>
  <c r="AH1012" i="20"/>
  <c r="AB1012" i="20"/>
  <c r="AN817" i="20"/>
  <c r="AL817" i="20"/>
  <c r="AC817" i="20"/>
  <c r="AB817" i="20"/>
  <c r="AE817" i="20"/>
  <c r="AK817" i="20"/>
  <c r="AA817" i="20"/>
  <c r="AG817" i="20"/>
  <c r="AF817" i="20"/>
  <c r="AN455" i="20"/>
  <c r="Y455" i="20"/>
  <c r="AD455" i="20"/>
  <c r="AK455" i="20"/>
  <c r="AE455" i="20"/>
  <c r="AA455" i="20"/>
  <c r="AF455" i="20"/>
  <c r="Z455" i="20"/>
  <c r="AC455" i="20"/>
  <c r="AB455" i="20"/>
  <c r="AN163" i="20"/>
  <c r="Y163" i="20"/>
  <c r="AA163" i="20"/>
  <c r="AF163" i="20"/>
  <c r="AI163" i="20"/>
  <c r="AJ163" i="20"/>
  <c r="AG163" i="20"/>
  <c r="AB163" i="20"/>
  <c r="AC163" i="20"/>
  <c r="AD163" i="20"/>
  <c r="AE163" i="20"/>
  <c r="AB77" i="20"/>
  <c r="AC77" i="20"/>
  <c r="AE77" i="20"/>
  <c r="AJ77" i="20"/>
  <c r="AN77" i="20"/>
  <c r="Z77" i="20"/>
  <c r="AK77" i="20"/>
  <c r="AH77" i="20"/>
  <c r="Y77" i="20"/>
  <c r="AG77" i="20"/>
  <c r="AN827" i="20"/>
  <c r="AI827" i="20"/>
  <c r="AJ827" i="20"/>
  <c r="Y827" i="20"/>
  <c r="AG827" i="20"/>
  <c r="Z827" i="20"/>
  <c r="AH827" i="20"/>
  <c r="AF827" i="20"/>
  <c r="AD827" i="20"/>
  <c r="AK827" i="20"/>
  <c r="AA827" i="20"/>
  <c r="AN222" i="20"/>
  <c r="AI222" i="20"/>
  <c r="Z222" i="20"/>
  <c r="AG222" i="20"/>
  <c r="AB222" i="20"/>
  <c r="AC222" i="20"/>
  <c r="Y222" i="20"/>
  <c r="AF222" i="20"/>
  <c r="AD222" i="20"/>
  <c r="AL939" i="20"/>
  <c r="AN939" i="20"/>
  <c r="AI939" i="20"/>
  <c r="AC939" i="20"/>
  <c r="AD939" i="20"/>
  <c r="AA939" i="20"/>
  <c r="AB939" i="20"/>
  <c r="AK939" i="20"/>
  <c r="AG939" i="20"/>
  <c r="AE939" i="20"/>
  <c r="AN632" i="20"/>
  <c r="AB632" i="20"/>
  <c r="AG632" i="20"/>
  <c r="AD632" i="20"/>
  <c r="Y632" i="20"/>
  <c r="Z632" i="20"/>
  <c r="AK632" i="20"/>
  <c r="AE632" i="20"/>
  <c r="AN628" i="20"/>
  <c r="Z628" i="20"/>
  <c r="AK628" i="20"/>
  <c r="I17" i="86" s="1"/>
  <c r="L17" i="86" s="1"/>
  <c r="AD628" i="20"/>
  <c r="AB628" i="20"/>
  <c r="Y628" i="20"/>
  <c r="AE628" i="20"/>
  <c r="AG628" i="20"/>
  <c r="AC628" i="20"/>
  <c r="AA628" i="20"/>
  <c r="AF628" i="20"/>
  <c r="AH628" i="20"/>
  <c r="AN624" i="20"/>
  <c r="AF624" i="20"/>
  <c r="AG624" i="20"/>
  <c r="AA624" i="20"/>
  <c r="Y624" i="20"/>
  <c r="AK624" i="20"/>
  <c r="AD624" i="20"/>
  <c r="AC624" i="20"/>
  <c r="AB624" i="20"/>
  <c r="AN618" i="20"/>
  <c r="AB618" i="20"/>
  <c r="AC618" i="20"/>
  <c r="AA618" i="20"/>
  <c r="AF618" i="20"/>
  <c r="AG618" i="20"/>
  <c r="Y618" i="20"/>
  <c r="AH618" i="20"/>
  <c r="Z618" i="20"/>
  <c r="AD618" i="20"/>
  <c r="AK618" i="20"/>
  <c r="AN614" i="20"/>
  <c r="AA614" i="20"/>
  <c r="AE614" i="20"/>
  <c r="AD614" i="20"/>
  <c r="Y614" i="20"/>
  <c r="AG614" i="20"/>
  <c r="AC614" i="20"/>
  <c r="Z614" i="20"/>
  <c r="AK614" i="20"/>
  <c r="AN610" i="20"/>
  <c r="Z610" i="20"/>
  <c r="AG610" i="20"/>
  <c r="AD610" i="20"/>
  <c r="AE610" i="20"/>
  <c r="AB610" i="20"/>
  <c r="AL610" i="20"/>
  <c r="AJ610" i="20"/>
  <c r="AF610" i="20"/>
  <c r="Y610" i="20"/>
  <c r="AA610" i="20"/>
  <c r="AH610" i="20"/>
  <c r="AK610" i="20"/>
  <c r="AN605" i="20"/>
  <c r="AI605" i="20"/>
  <c r="AD605" i="20"/>
  <c r="AG605" i="20"/>
  <c r="AA605" i="20"/>
  <c r="AJ605" i="20"/>
  <c r="Y605" i="20"/>
  <c r="AB605" i="20"/>
  <c r="AK605" i="20"/>
  <c r="AN600" i="20"/>
  <c r="Z600" i="20"/>
  <c r="AI600" i="20"/>
  <c r="AA600" i="20"/>
  <c r="AF600" i="20"/>
  <c r="AK600" i="20"/>
  <c r="AD600" i="20"/>
  <c r="Y600" i="20"/>
  <c r="AE600" i="20"/>
  <c r="AG600" i="20"/>
  <c r="AN454" i="20"/>
  <c r="Z454" i="20"/>
  <c r="AJ454" i="20"/>
  <c r="AD454" i="20"/>
  <c r="AE454" i="20"/>
  <c r="AK454" i="20"/>
  <c r="Y454" i="20"/>
  <c r="AG454" i="20"/>
  <c r="AF454" i="20"/>
  <c r="AB454" i="20"/>
  <c r="AI162" i="20"/>
  <c r="AF162" i="20"/>
  <c r="AG162" i="20"/>
  <c r="AK162" i="20"/>
  <c r="AC162" i="20"/>
  <c r="AB162" i="20"/>
  <c r="AE162" i="20"/>
  <c r="Z162" i="20"/>
  <c r="AN162" i="20"/>
  <c r="AN161" i="20"/>
  <c r="Z161" i="20"/>
  <c r="AG161" i="20"/>
  <c r="AE161" i="20"/>
  <c r="AH161" i="20"/>
  <c r="AI161" i="20"/>
  <c r="Y161" i="20"/>
  <c r="AF161" i="20"/>
  <c r="AC161" i="20"/>
  <c r="AG389" i="20"/>
  <c r="AN389" i="20"/>
  <c r="AK389" i="20"/>
  <c r="AJ389" i="20"/>
  <c r="Z389" i="20"/>
  <c r="AF389" i="20"/>
  <c r="Y389" i="20"/>
  <c r="AD389" i="20"/>
  <c r="AE389" i="20"/>
  <c r="AA389" i="20"/>
  <c r="AN581" i="20"/>
  <c r="AE581" i="20"/>
  <c r="AK581" i="20"/>
  <c r="AI581" i="20"/>
  <c r="Y581" i="20"/>
  <c r="AB581" i="20"/>
  <c r="Z581" i="20"/>
  <c r="AD581" i="20"/>
  <c r="AG581" i="20"/>
  <c r="AF581" i="20"/>
  <c r="AL581" i="20"/>
  <c r="AC581" i="20"/>
  <c r="AA581" i="20"/>
  <c r="AF577" i="20"/>
  <c r="AN577" i="20"/>
  <c r="AJ577" i="20"/>
  <c r="Y577" i="20"/>
  <c r="AI577" i="20"/>
  <c r="AG577" i="20"/>
  <c r="AA577" i="20"/>
  <c r="AB577" i="20"/>
  <c r="AC577" i="20"/>
  <c r="AE577" i="20"/>
  <c r="AK577" i="20"/>
  <c r="AD577" i="20"/>
  <c r="AN570" i="20"/>
  <c r="AD570" i="20"/>
  <c r="AF570" i="20"/>
  <c r="Y570" i="20"/>
  <c r="AJ570" i="20"/>
  <c r="AG570" i="20"/>
  <c r="AI570" i="20"/>
  <c r="AB570" i="20"/>
  <c r="Z570" i="20"/>
  <c r="AC570" i="20"/>
  <c r="AH570" i="20"/>
  <c r="AE570" i="20"/>
  <c r="AK570" i="20"/>
  <c r="AN564" i="20"/>
  <c r="AD564" i="20"/>
  <c r="AF564" i="20"/>
  <c r="AA564" i="20"/>
  <c r="AC564" i="20"/>
  <c r="AH564" i="20"/>
  <c r="AL564" i="20"/>
  <c r="Y564" i="20"/>
  <c r="AK564" i="20"/>
  <c r="Z564" i="20"/>
  <c r="AN560" i="20"/>
  <c r="AD560" i="20"/>
  <c r="Y560" i="20"/>
  <c r="AF560" i="20"/>
  <c r="AG560" i="20"/>
  <c r="AK560" i="20"/>
  <c r="Z560" i="20"/>
  <c r="AE560" i="20"/>
  <c r="AB560" i="20"/>
  <c r="AN236" i="20"/>
  <c r="AB236" i="20"/>
  <c r="Z236" i="20"/>
  <c r="AE236" i="20"/>
  <c r="AD236" i="20"/>
  <c r="AK236" i="20"/>
  <c r="AF236" i="20"/>
  <c r="Y236" i="20"/>
  <c r="AC236" i="20"/>
  <c r="AN665" i="20"/>
  <c r="Y665" i="20"/>
  <c r="AG665" i="20"/>
  <c r="AI665" i="20"/>
  <c r="AH665" i="20"/>
  <c r="AF665" i="20"/>
  <c r="AK665" i="20"/>
  <c r="AE665" i="20"/>
  <c r="AB665" i="20"/>
  <c r="AA665" i="20"/>
  <c r="AD665" i="20"/>
  <c r="Z665" i="20"/>
  <c r="AN556" i="20"/>
  <c r="AA556" i="20"/>
  <c r="AD556" i="20"/>
  <c r="AG556" i="20"/>
  <c r="AB556" i="20"/>
  <c r="AC556" i="20"/>
  <c r="Y556" i="20"/>
  <c r="AF556" i="20"/>
  <c r="Z556" i="20"/>
  <c r="AN552" i="20"/>
  <c r="AG552" i="20"/>
  <c r="Y552" i="20"/>
  <c r="AI552" i="20"/>
  <c r="Z552" i="20"/>
  <c r="AB552" i="20"/>
  <c r="AH552" i="20"/>
  <c r="AE552" i="20"/>
  <c r="AD552" i="20"/>
  <c r="AA552" i="20"/>
  <c r="AC552" i="20"/>
  <c r="AF552" i="20"/>
  <c r="AK552" i="20"/>
  <c r="AN549" i="20"/>
  <c r="AA549" i="20"/>
  <c r="AI549" i="20"/>
  <c r="AC549" i="20"/>
  <c r="Z549" i="20"/>
  <c r="AH549" i="20"/>
  <c r="AE549" i="20"/>
  <c r="AF549" i="20"/>
  <c r="AB549" i="20"/>
  <c r="AD549" i="20"/>
  <c r="Y549" i="20"/>
  <c r="AN542" i="20"/>
  <c r="AG542" i="20"/>
  <c r="AK542" i="20"/>
  <c r="AE542" i="20"/>
  <c r="AF542" i="20"/>
  <c r="Z542" i="20"/>
  <c r="AJ542" i="20"/>
  <c r="AL542" i="20"/>
  <c r="AC542" i="20"/>
  <c r="AA542" i="20"/>
  <c r="Y542" i="20"/>
  <c r="AI542" i="20"/>
  <c r="AD542" i="20"/>
  <c r="AB542" i="20"/>
  <c r="AJ534" i="20"/>
  <c r="AI534" i="20"/>
  <c r="AN534" i="20"/>
  <c r="Z534" i="20"/>
  <c r="Y534" i="20"/>
  <c r="AE534" i="20"/>
  <c r="AD534" i="20"/>
  <c r="AC534" i="20"/>
  <c r="AG534" i="20"/>
  <c r="AA534" i="20"/>
  <c r="AK534" i="20"/>
  <c r="AB534" i="20"/>
  <c r="AF534" i="20"/>
  <c r="AN527" i="20"/>
  <c r="Z527" i="20"/>
  <c r="AJ527" i="20"/>
  <c r="Y527" i="20"/>
  <c r="AC527" i="20"/>
  <c r="AF527" i="20"/>
  <c r="AA527" i="20"/>
  <c r="AH527" i="20"/>
  <c r="AD527" i="20"/>
  <c r="AK527" i="20"/>
  <c r="AE527" i="20"/>
  <c r="AN521" i="20"/>
  <c r="AG521" i="20"/>
  <c r="AE521" i="20"/>
  <c r="AF521" i="20"/>
  <c r="AK521" i="20"/>
  <c r="AC521" i="20"/>
  <c r="AH521" i="20"/>
  <c r="AA521" i="20"/>
  <c r="Z521" i="20"/>
  <c r="AL521" i="20"/>
  <c r="AD521" i="20"/>
  <c r="Y521" i="20"/>
  <c r="AJ510" i="20"/>
  <c r="AF510" i="20"/>
  <c r="AN510" i="20"/>
  <c r="AG510" i="20"/>
  <c r="Y510" i="20"/>
  <c r="AE510" i="20"/>
  <c r="AD510" i="20"/>
  <c r="AH510" i="20"/>
  <c r="Z510" i="20"/>
  <c r="AA510" i="20"/>
  <c r="AC510" i="20"/>
  <c r="AN499" i="20"/>
  <c r="AD499" i="20"/>
  <c r="AI499" i="20"/>
  <c r="AL499" i="20"/>
  <c r="AE499" i="20"/>
  <c r="Y499" i="20"/>
  <c r="Z499" i="20"/>
  <c r="AG499" i="20"/>
  <c r="AC499" i="20"/>
  <c r="AH499" i="20"/>
  <c r="AJ491" i="20"/>
  <c r="AN491" i="20"/>
  <c r="Z491" i="20"/>
  <c r="AG491" i="20"/>
  <c r="AA491" i="20"/>
  <c r="AL491" i="20"/>
  <c r="AD491" i="20"/>
  <c r="AK491" i="20"/>
  <c r="AB491" i="20"/>
  <c r="AF491" i="20"/>
  <c r="AN486" i="20"/>
  <c r="AB486" i="20"/>
  <c r="AD486" i="20"/>
  <c r="AF486" i="20"/>
  <c r="AK486" i="20"/>
  <c r="Z486" i="20"/>
  <c r="AL486" i="20"/>
  <c r="Y486" i="20"/>
  <c r="AA486" i="20"/>
  <c r="AA490" i="20"/>
  <c r="Z490" i="20"/>
  <c r="AF490" i="20"/>
  <c r="AN490" i="20"/>
  <c r="AB490" i="20"/>
  <c r="AE490" i="20"/>
  <c r="Y490" i="20"/>
  <c r="AK490" i="20"/>
  <c r="AD490" i="20"/>
  <c r="AG490" i="20"/>
  <c r="AN477" i="20"/>
  <c r="AI477" i="20"/>
  <c r="AD477" i="20"/>
  <c r="AA477" i="20"/>
  <c r="AB477" i="20"/>
  <c r="AG477" i="20"/>
  <c r="AE477" i="20"/>
  <c r="AF477" i="20"/>
  <c r="AK477" i="20"/>
  <c r="Y477" i="20"/>
  <c r="AN473" i="20"/>
  <c r="AJ473" i="20"/>
  <c r="AD473" i="20"/>
  <c r="AB473" i="20"/>
  <c r="AF473" i="20"/>
  <c r="AK473" i="20"/>
  <c r="AG473" i="20"/>
  <c r="Y473" i="20"/>
  <c r="Z473" i="20"/>
  <c r="AE473" i="20"/>
  <c r="AN782" i="20"/>
  <c r="AE782" i="20"/>
  <c r="AD782" i="20"/>
  <c r="AK782" i="20"/>
  <c r="AB782" i="20"/>
  <c r="AC782" i="20"/>
  <c r="Y782" i="20"/>
  <c r="AF782" i="20"/>
  <c r="AG782" i="20"/>
  <c r="Z782" i="20"/>
  <c r="Y213" i="20"/>
  <c r="AB213" i="20"/>
  <c r="AL213" i="20"/>
  <c r="AC213" i="20"/>
  <c r="AN213" i="20"/>
  <c r="AI213" i="20"/>
  <c r="AG213" i="20"/>
  <c r="Z213" i="20"/>
  <c r="AH213" i="20"/>
  <c r="AK213" i="20"/>
  <c r="AF213" i="20"/>
  <c r="AN966" i="20"/>
  <c r="AG966" i="20"/>
  <c r="AC966" i="20"/>
  <c r="AK966" i="20"/>
  <c r="Z966" i="20"/>
  <c r="AA966" i="20"/>
  <c r="AE966" i="20"/>
  <c r="Y966" i="20"/>
  <c r="AB966" i="20"/>
  <c r="AH966" i="20"/>
  <c r="AN68" i="20"/>
  <c r="AG68" i="20"/>
  <c r="AE68" i="20"/>
  <c r="AI68" i="20"/>
  <c r="AA68" i="20"/>
  <c r="AB68" i="20"/>
  <c r="Y68" i="20"/>
  <c r="AF68" i="20"/>
  <c r="AC68" i="20"/>
  <c r="AD68" i="20"/>
  <c r="AK68" i="20"/>
  <c r="Z68" i="20"/>
  <c r="AH68" i="20"/>
  <c r="AN885" i="20"/>
  <c r="Y885" i="20"/>
  <c r="AD885" i="20"/>
  <c r="AF885" i="20"/>
  <c r="AA885" i="20"/>
  <c r="AG885" i="20"/>
  <c r="Z885" i="20"/>
  <c r="AH885" i="20"/>
  <c r="AB885" i="20"/>
  <c r="AE885" i="20"/>
  <c r="AK885" i="20"/>
  <c r="AC885" i="20"/>
  <c r="AN331" i="20"/>
  <c r="AK331" i="20"/>
  <c r="Z331" i="20"/>
  <c r="AA331" i="20"/>
  <c r="AC331" i="20"/>
  <c r="AL331" i="20"/>
  <c r="AE331" i="20"/>
  <c r="AD331" i="20"/>
  <c r="AB331" i="20"/>
  <c r="AG331" i="20"/>
  <c r="Y331" i="20"/>
  <c r="AN692" i="20"/>
  <c r="AI692" i="20"/>
  <c r="Z692" i="20"/>
  <c r="AA692" i="20"/>
  <c r="AG692" i="20"/>
  <c r="AE692" i="20"/>
  <c r="AB692" i="20"/>
  <c r="Y692" i="20"/>
  <c r="AC692" i="20"/>
  <c r="AF692" i="20"/>
  <c r="AD692" i="20"/>
  <c r="AH692" i="20"/>
  <c r="AK692" i="20"/>
  <c r="AN447" i="20"/>
  <c r="Y447" i="20"/>
  <c r="AE447" i="20"/>
  <c r="AB447" i="20"/>
  <c r="AJ447" i="20"/>
  <c r="Z447" i="20"/>
  <c r="AA447" i="20"/>
  <c r="AF447" i="20"/>
  <c r="AG447" i="20"/>
  <c r="AD447" i="20"/>
  <c r="AH447" i="20"/>
  <c r="AK447" i="20"/>
  <c r="AL386" i="20"/>
  <c r="AN386" i="20"/>
  <c r="AD386" i="20"/>
  <c r="AG386" i="20"/>
  <c r="Y386" i="20"/>
  <c r="AB386" i="20"/>
  <c r="AK386" i="20"/>
  <c r="AE386" i="20"/>
  <c r="AF386" i="20"/>
  <c r="AC386" i="20"/>
  <c r="AH386" i="20"/>
  <c r="AB439" i="20"/>
  <c r="AG439" i="20"/>
  <c r="AN439" i="20"/>
  <c r="Z439" i="20"/>
  <c r="AF439" i="20"/>
  <c r="AD439" i="20"/>
  <c r="AA439" i="20"/>
  <c r="AN434" i="20"/>
  <c r="AI434" i="20"/>
  <c r="AJ434" i="20"/>
  <c r="Z434" i="20"/>
  <c r="AG434" i="20"/>
  <c r="AE434" i="20"/>
  <c r="AK434" i="20"/>
  <c r="AA434" i="20"/>
  <c r="AC434" i="20"/>
  <c r="AB434" i="20"/>
  <c r="AL434" i="20"/>
  <c r="AF434" i="20"/>
  <c r="AN73" i="20"/>
  <c r="AI73" i="20"/>
  <c r="AF73" i="20"/>
  <c r="Z73" i="20"/>
  <c r="AE73" i="20"/>
  <c r="AD73" i="20"/>
  <c r="AA73" i="20"/>
  <c r="AG73" i="20"/>
  <c r="AK73" i="20"/>
  <c r="AC73" i="20"/>
  <c r="AB73" i="20"/>
  <c r="Y73" i="20"/>
  <c r="AN755" i="20"/>
  <c r="AC755" i="20"/>
  <c r="AF755" i="20"/>
  <c r="AG755" i="20"/>
  <c r="AI755" i="20"/>
  <c r="AB755" i="20"/>
  <c r="AA755" i="20"/>
  <c r="Z755" i="20"/>
  <c r="AD755" i="20"/>
  <c r="AK755" i="20"/>
  <c r="Y755" i="20"/>
  <c r="AN431" i="20"/>
  <c r="AJ431" i="20"/>
  <c r="AC431" i="20"/>
  <c r="AE431" i="20"/>
  <c r="Y431" i="20"/>
  <c r="Z431" i="20"/>
  <c r="AA431" i="20"/>
  <c r="AK431" i="20"/>
  <c r="AF431" i="20"/>
  <c r="AG431" i="20"/>
  <c r="AB431" i="20"/>
  <c r="AD431" i="20"/>
  <c r="AN171" i="20"/>
  <c r="AJ171" i="20"/>
  <c r="AA171" i="20"/>
  <c r="AD171" i="20"/>
  <c r="Z171" i="20"/>
  <c r="AG171" i="20"/>
  <c r="AB171" i="20"/>
  <c r="AF171" i="20"/>
  <c r="AE171" i="20"/>
  <c r="AN1047" i="20"/>
  <c r="AD1047" i="20"/>
  <c r="AC1047" i="20"/>
  <c r="AB1047" i="20"/>
  <c r="AL1047" i="20"/>
  <c r="AF1047" i="20"/>
  <c r="Z1047" i="20"/>
  <c r="AG1047" i="20"/>
  <c r="AK1047" i="20"/>
  <c r="Y1047" i="20"/>
  <c r="AN995" i="20"/>
  <c r="Z995" i="20"/>
  <c r="AG995" i="20"/>
  <c r="AA995" i="20"/>
  <c r="AB995" i="20"/>
  <c r="Y995" i="20"/>
  <c r="AF995" i="20"/>
  <c r="AK995" i="20"/>
  <c r="AH995" i="20"/>
  <c r="AD995" i="20"/>
  <c r="AA844" i="20"/>
  <c r="Z844" i="20"/>
  <c r="AN844" i="20"/>
  <c r="AG844" i="20"/>
  <c r="AI844" i="20"/>
  <c r="AL844" i="20"/>
  <c r="Y844" i="20"/>
  <c r="AF844" i="20"/>
  <c r="AK844" i="20"/>
  <c r="AH844" i="20"/>
  <c r="AC844" i="20"/>
  <c r="AN788" i="20"/>
  <c r="AI788" i="20"/>
  <c r="AG788" i="20"/>
  <c r="AE788" i="20"/>
  <c r="Y788" i="20"/>
  <c r="AC788" i="20"/>
  <c r="AK788" i="20"/>
  <c r="AA788" i="20"/>
  <c r="AH788" i="20"/>
  <c r="AL788" i="20"/>
  <c r="AB788" i="20"/>
  <c r="AF788" i="20"/>
  <c r="AN424" i="20"/>
  <c r="AA424" i="20"/>
  <c r="Y424" i="20"/>
  <c r="AF424" i="20"/>
  <c r="AE424" i="20"/>
  <c r="AK424" i="20"/>
  <c r="AJ424" i="20"/>
  <c r="AD424" i="20"/>
  <c r="AG424" i="20"/>
  <c r="AB424" i="20"/>
  <c r="Z424" i="20"/>
  <c r="AN691" i="20"/>
  <c r="AC691" i="20"/>
  <c r="AF691" i="20"/>
  <c r="Z691" i="20"/>
  <c r="AG691" i="20"/>
  <c r="AE691" i="20"/>
  <c r="AB691" i="20"/>
  <c r="AA691" i="20"/>
  <c r="AK691" i="20"/>
  <c r="AD691" i="20"/>
  <c r="Y596" i="20"/>
  <c r="AE596" i="20"/>
  <c r="AF596" i="20"/>
  <c r="AI596" i="20"/>
  <c r="AN596" i="20"/>
  <c r="Z596" i="20"/>
  <c r="AJ596" i="20"/>
  <c r="AA596" i="20"/>
  <c r="AL596" i="20"/>
  <c r="AB596" i="20"/>
  <c r="AC596" i="20"/>
  <c r="AK596" i="20"/>
  <c r="AN514" i="20"/>
  <c r="Y514" i="20"/>
  <c r="AG514" i="20"/>
  <c r="AJ514" i="20"/>
  <c r="AK514" i="20"/>
  <c r="AD514" i="20"/>
  <c r="AF514" i="20"/>
  <c r="AE514" i="20"/>
  <c r="AC514" i="20"/>
  <c r="AB514" i="20"/>
  <c r="AN493" i="20"/>
  <c r="Y493" i="20"/>
  <c r="AI493" i="20"/>
  <c r="AJ493" i="20"/>
  <c r="AA493" i="20"/>
  <c r="Z493" i="20"/>
  <c r="AF493" i="20"/>
  <c r="AE493" i="20"/>
  <c r="AK493" i="20"/>
  <c r="AD493" i="20"/>
  <c r="AG493" i="20"/>
  <c r="AL493" i="20"/>
  <c r="AG412" i="20"/>
  <c r="Z412" i="20"/>
  <c r="AI412" i="20"/>
  <c r="AN412" i="20"/>
  <c r="AF412" i="20"/>
  <c r="AE412" i="20"/>
  <c r="AH412" i="20"/>
  <c r="AB412" i="20"/>
  <c r="Y412" i="20"/>
  <c r="AD412" i="20"/>
  <c r="AC412" i="20"/>
  <c r="AN348" i="20"/>
  <c r="Y348" i="20"/>
  <c r="AE348" i="20"/>
  <c r="AK348" i="20"/>
  <c r="AB348" i="20"/>
  <c r="AG348" i="20"/>
  <c r="AF348" i="20"/>
  <c r="AN303" i="20"/>
  <c r="AI303" i="20"/>
  <c r="AB303" i="20"/>
  <c r="Z303" i="20"/>
  <c r="AC303" i="20"/>
  <c r="AH303" i="20"/>
  <c r="Y303" i="20"/>
  <c r="AK303" i="20"/>
  <c r="AF303" i="20"/>
  <c r="AD303" i="20"/>
  <c r="AN265" i="20"/>
  <c r="AA265" i="20"/>
  <c r="AF265" i="20"/>
  <c r="AD265" i="20"/>
  <c r="AC265" i="20"/>
  <c r="AB265" i="20"/>
  <c r="Z265" i="20"/>
  <c r="AG265" i="20"/>
  <c r="AK265" i="20"/>
  <c r="Y265" i="20"/>
  <c r="AE265" i="20"/>
  <c r="AI211" i="20"/>
  <c r="AC211" i="20"/>
  <c r="AA211" i="20"/>
  <c r="AG211" i="20"/>
  <c r="Z211" i="20"/>
  <c r="Y211" i="20"/>
  <c r="AK211" i="20"/>
  <c r="AD211" i="20"/>
  <c r="AN422" i="20"/>
  <c r="AI422" i="20"/>
  <c r="Y422" i="20"/>
  <c r="AC422" i="20"/>
  <c r="AB422" i="20"/>
  <c r="Z422" i="20"/>
  <c r="AK422" i="20"/>
  <c r="AH422" i="20"/>
  <c r="AF422" i="20"/>
  <c r="AA422" i="20"/>
  <c r="AD422" i="20"/>
  <c r="AG422" i="20"/>
  <c r="AE422" i="20"/>
  <c r="AI101" i="20"/>
  <c r="AN101" i="20"/>
  <c r="AC101" i="20"/>
  <c r="Y101" i="20"/>
  <c r="AK101" i="20"/>
  <c r="AE101" i="20"/>
  <c r="AB101" i="20"/>
  <c r="AH101" i="20"/>
  <c r="AG101" i="20"/>
  <c r="AN27" i="20"/>
  <c r="AJ27" i="20"/>
  <c r="AK27" i="20"/>
  <c r="AA27" i="20"/>
  <c r="AF27" i="20"/>
  <c r="AE27" i="20"/>
  <c r="AG27" i="20"/>
  <c r="AD27" i="20"/>
  <c r="Z27" i="20"/>
  <c r="AB27" i="20"/>
  <c r="AC27" i="20"/>
  <c r="Y27" i="20"/>
  <c r="AH27" i="20"/>
  <c r="AN915" i="20"/>
  <c r="AD915" i="20"/>
  <c r="AF915" i="20"/>
  <c r="AC915" i="20"/>
  <c r="AI915" i="20"/>
  <c r="AK915" i="20"/>
  <c r="AG915" i="20"/>
  <c r="Y915" i="20"/>
  <c r="AE915" i="20"/>
  <c r="Z915" i="20"/>
  <c r="AA915" i="20"/>
  <c r="AN418" i="20"/>
  <c r="AE418" i="20"/>
  <c r="Y418" i="20"/>
  <c r="AF418" i="20"/>
  <c r="AG418" i="20"/>
  <c r="AC418" i="20"/>
  <c r="Z418" i="20"/>
  <c r="AB418" i="20"/>
  <c r="AK418" i="20"/>
  <c r="AN415" i="20"/>
  <c r="AJ415" i="20"/>
  <c r="AI415" i="20"/>
  <c r="AF415" i="20"/>
  <c r="AB415" i="20"/>
  <c r="AD415" i="20"/>
  <c r="AK415" i="20"/>
  <c r="Z415" i="20"/>
  <c r="AG415" i="20"/>
  <c r="Y415" i="20"/>
  <c r="AA415" i="20"/>
  <c r="AC415" i="20"/>
  <c r="AE415" i="20"/>
  <c r="AN690" i="20"/>
  <c r="AL690" i="20"/>
  <c r="AD690" i="20"/>
  <c r="Z690" i="20"/>
  <c r="AE690" i="20"/>
  <c r="AJ690" i="20"/>
  <c r="AC690" i="20"/>
  <c r="AB690" i="20"/>
  <c r="Y690" i="20"/>
  <c r="AA690" i="20"/>
  <c r="AF690" i="20"/>
  <c r="AK690" i="20"/>
  <c r="AN99" i="20"/>
  <c r="Y99" i="20"/>
  <c r="AA99" i="20"/>
  <c r="AF99" i="20"/>
  <c r="AJ99" i="20"/>
  <c r="AD99" i="20"/>
  <c r="AI99" i="20"/>
  <c r="AC99" i="20"/>
  <c r="Z99" i="20"/>
  <c r="AH99" i="20"/>
  <c r="AG99" i="20"/>
  <c r="AK99" i="20"/>
  <c r="AE99" i="20"/>
  <c r="AN808" i="20"/>
  <c r="AI808" i="20"/>
  <c r="AA808" i="20"/>
  <c r="AB808" i="20"/>
  <c r="Y808" i="20"/>
  <c r="AD808" i="20"/>
  <c r="AC808" i="20"/>
  <c r="AG808" i="20"/>
  <c r="AK808" i="20"/>
  <c r="AE808" i="20"/>
  <c r="AH808" i="20"/>
  <c r="AF808" i="20"/>
  <c r="AN159" i="20"/>
  <c r="AL159" i="20"/>
  <c r="AA159" i="20"/>
  <c r="AI159" i="20"/>
  <c r="AD159" i="20"/>
  <c r="AC159" i="20"/>
  <c r="AB159" i="20"/>
  <c r="AF159" i="20"/>
  <c r="Z159" i="20"/>
  <c r="AG159" i="20"/>
  <c r="AE159" i="20"/>
  <c r="AJ159" i="20"/>
  <c r="Y159" i="20"/>
  <c r="AK159" i="20"/>
  <c r="AN428" i="20"/>
  <c r="Z428" i="20"/>
  <c r="AK428" i="20"/>
  <c r="AA428" i="20"/>
  <c r="AC428" i="20"/>
  <c r="AE428" i="20"/>
  <c r="AD428" i="20"/>
  <c r="AG428" i="20"/>
  <c r="Y428" i="20"/>
  <c r="AB428" i="20"/>
  <c r="AH428" i="20"/>
  <c r="AN408" i="20"/>
  <c r="Y408" i="20"/>
  <c r="AF408" i="20"/>
  <c r="AI408" i="20"/>
  <c r="AG408" i="20"/>
  <c r="AD408" i="20"/>
  <c r="AC408" i="20"/>
  <c r="AB408" i="20"/>
  <c r="AA408" i="20"/>
  <c r="AH408" i="20"/>
  <c r="AK408" i="20"/>
  <c r="AJ524" i="20"/>
  <c r="AN524" i="20"/>
  <c r="AI524" i="20"/>
  <c r="Z524" i="20"/>
  <c r="AF524" i="20"/>
  <c r="AA524" i="20"/>
  <c r="AD524" i="20"/>
  <c r="Y524" i="20"/>
  <c r="AB524" i="20"/>
  <c r="AK524" i="20"/>
  <c r="AE524" i="20"/>
  <c r="AH524" i="20"/>
  <c r="AG524" i="20"/>
  <c r="AN144" i="20"/>
  <c r="Y144" i="20"/>
  <c r="AA144" i="20"/>
  <c r="AK144" i="20"/>
  <c r="AD144" i="20"/>
  <c r="AL144" i="20"/>
  <c r="AC144" i="20"/>
  <c r="AE144" i="20"/>
  <c r="AG144" i="20"/>
  <c r="AB144" i="20"/>
  <c r="AF144" i="20"/>
  <c r="AH144" i="20"/>
  <c r="AN88" i="20"/>
  <c r="AL88" i="20"/>
  <c r="Y88" i="20"/>
  <c r="AD88" i="20"/>
  <c r="AB88" i="20"/>
  <c r="AF88" i="20"/>
  <c r="AA88" i="20"/>
  <c r="AC88" i="20"/>
  <c r="Z88" i="20"/>
  <c r="AG88" i="20"/>
  <c r="AE88" i="20"/>
  <c r="AN786" i="20"/>
  <c r="AD786" i="20"/>
  <c r="Y786" i="20"/>
  <c r="AA786" i="20"/>
  <c r="AI786" i="20"/>
  <c r="AC786" i="20"/>
  <c r="AE786" i="20"/>
  <c r="AB786" i="20"/>
  <c r="AF786" i="20"/>
  <c r="AK786" i="20"/>
  <c r="Z786" i="20"/>
  <c r="AN401" i="20"/>
  <c r="AL401" i="20"/>
  <c r="Z401" i="20"/>
  <c r="AG401" i="20"/>
  <c r="Y401" i="20"/>
  <c r="AA401" i="20"/>
  <c r="AE401" i="20"/>
  <c r="AC401" i="20"/>
  <c r="AK401" i="20"/>
  <c r="AD401" i="20"/>
  <c r="AF401" i="20"/>
  <c r="AN906" i="20"/>
  <c r="AJ906" i="20"/>
  <c r="AB906" i="20"/>
  <c r="AK906" i="20"/>
  <c r="AF906" i="20"/>
  <c r="AC906" i="20"/>
  <c r="AG906" i="20"/>
  <c r="AE906" i="20"/>
  <c r="Z906" i="20"/>
  <c r="AH906" i="20"/>
  <c r="AA906" i="20"/>
  <c r="Y906" i="20"/>
  <c r="AN169" i="20"/>
  <c r="AA169" i="20"/>
  <c r="AC169" i="20"/>
  <c r="AG169" i="20"/>
  <c r="Y169" i="20"/>
  <c r="AD169" i="20"/>
  <c r="AK169" i="20"/>
  <c r="AE169" i="20"/>
  <c r="AF169" i="20"/>
  <c r="AB169" i="20"/>
  <c r="AN873" i="20"/>
  <c r="AG873" i="20"/>
  <c r="AF873" i="20"/>
  <c r="AL873" i="20"/>
  <c r="Z873" i="20"/>
  <c r="AB873" i="20"/>
  <c r="AD873" i="20"/>
  <c r="AE873" i="20"/>
  <c r="AK873" i="20"/>
  <c r="AJ873" i="20"/>
  <c r="Y873" i="20"/>
  <c r="AC873" i="20"/>
  <c r="AA873" i="20"/>
  <c r="AN121" i="20"/>
  <c r="Z121" i="20"/>
  <c r="Y121" i="20"/>
  <c r="AB121" i="20"/>
  <c r="AG121" i="20"/>
  <c r="AC121" i="20"/>
  <c r="AK121" i="20"/>
  <c r="AI121" i="20"/>
  <c r="AE121" i="20"/>
  <c r="AF121" i="20"/>
  <c r="AA121" i="20"/>
  <c r="AJ121" i="20"/>
  <c r="AH121" i="20"/>
  <c r="AL121" i="20"/>
  <c r="AN388" i="20"/>
  <c r="AI388" i="20"/>
  <c r="AE388" i="20"/>
  <c r="AG388" i="20"/>
  <c r="AA388" i="20"/>
  <c r="Z388" i="20"/>
  <c r="AK388" i="20"/>
  <c r="AD388" i="20"/>
  <c r="Y388" i="20"/>
  <c r="AF388" i="20"/>
  <c r="AH388" i="20"/>
  <c r="AL388" i="20"/>
  <c r="AC388" i="20"/>
  <c r="AN185" i="20"/>
  <c r="AK185" i="20"/>
  <c r="AD185" i="20"/>
  <c r="AC185" i="20"/>
  <c r="AA185" i="20"/>
  <c r="AF185" i="20"/>
  <c r="AE185" i="20"/>
  <c r="AB185" i="20"/>
  <c r="Z185" i="20"/>
  <c r="AH185" i="20"/>
  <c r="Y185" i="20"/>
  <c r="AG185" i="20"/>
  <c r="AN701" i="20"/>
  <c r="AJ701" i="20"/>
  <c r="AI701" i="20"/>
  <c r="AK701" i="20"/>
  <c r="AD701" i="20"/>
  <c r="Y701" i="20"/>
  <c r="AA701" i="20"/>
  <c r="AF701" i="20"/>
  <c r="AB701" i="20"/>
  <c r="AE701" i="20"/>
  <c r="AH701" i="20"/>
  <c r="Z701" i="20"/>
  <c r="AG701" i="20"/>
  <c r="AN1045" i="20"/>
  <c r="AC1045" i="20"/>
  <c r="AF1045" i="20"/>
  <c r="AI1045" i="20"/>
  <c r="AA1045" i="20"/>
  <c r="Z1045" i="20"/>
  <c r="AK1045" i="20"/>
  <c r="AB1045" i="20"/>
  <c r="AG1045" i="20"/>
  <c r="Y1045" i="20"/>
  <c r="AE1045" i="20"/>
  <c r="AN370" i="20"/>
  <c r="AC370" i="20"/>
  <c r="AD370" i="20"/>
  <c r="Z370" i="20"/>
  <c r="AF370" i="20"/>
  <c r="AG370" i="20"/>
  <c r="AA370" i="20"/>
  <c r="Y370" i="20"/>
  <c r="AI370" i="20"/>
  <c r="AB370" i="20"/>
  <c r="AK370" i="20"/>
  <c r="AE370" i="20"/>
  <c r="AN332" i="20"/>
  <c r="AL332" i="20"/>
  <c r="AI332" i="20"/>
  <c r="Z332" i="20"/>
  <c r="AC332" i="20"/>
  <c r="AD332" i="20"/>
  <c r="Y332" i="20"/>
  <c r="AA332" i="20"/>
  <c r="AG332" i="20"/>
  <c r="AE332" i="20"/>
  <c r="AF332" i="20"/>
  <c r="AH332" i="20"/>
  <c r="AK332" i="20"/>
  <c r="AB332" i="20"/>
  <c r="AN733" i="20"/>
  <c r="AB733" i="20"/>
  <c r="Z733" i="20"/>
  <c r="AC733" i="20"/>
  <c r="AF733" i="20"/>
  <c r="AA733" i="20"/>
  <c r="AD733" i="20"/>
  <c r="Y733" i="20"/>
  <c r="AG733" i="20"/>
  <c r="AE733" i="20"/>
  <c r="AH733" i="20"/>
  <c r="AK733" i="20"/>
  <c r="AN325" i="20"/>
  <c r="AB325" i="20"/>
  <c r="AJ325" i="20"/>
  <c r="AA325" i="20"/>
  <c r="AK325" i="20"/>
  <c r="Z325" i="20"/>
  <c r="AN320" i="20"/>
  <c r="Y320" i="20"/>
  <c r="AF320" i="20"/>
  <c r="AG320" i="20"/>
  <c r="AA320" i="20"/>
  <c r="Z320" i="20"/>
  <c r="AC320" i="20"/>
  <c r="AK320" i="20"/>
  <c r="AB320" i="20"/>
  <c r="AE320" i="20"/>
  <c r="AD320" i="20"/>
  <c r="AN316" i="20"/>
  <c r="AI316" i="20"/>
  <c r="Z316" i="20"/>
  <c r="AF316" i="20"/>
  <c r="AE316" i="20"/>
  <c r="AG316" i="20"/>
  <c r="AB316" i="20"/>
  <c r="AC316" i="20"/>
  <c r="AK316" i="20"/>
  <c r="Y316" i="20"/>
  <c r="AN441" i="20"/>
  <c r="Y441" i="20"/>
  <c r="AB441" i="20"/>
  <c r="AA441" i="20"/>
  <c r="AC441" i="20"/>
  <c r="AE441" i="20"/>
  <c r="AF441" i="20"/>
  <c r="AG441" i="20"/>
  <c r="Z441" i="20"/>
  <c r="AD441" i="20"/>
  <c r="AK441" i="20"/>
  <c r="AH441" i="20"/>
  <c r="AN484" i="20"/>
  <c r="AF484" i="20"/>
  <c r="Z484" i="20"/>
  <c r="AD484" i="20"/>
  <c r="Y484" i="20"/>
  <c r="AI484" i="20"/>
  <c r="AK484" i="20"/>
  <c r="AE484" i="20"/>
  <c r="AG484" i="20"/>
  <c r="AC484" i="20"/>
  <c r="AA484" i="20"/>
  <c r="AB484" i="20"/>
  <c r="AN257" i="20"/>
  <c r="AI257" i="20"/>
  <c r="AD257" i="20"/>
  <c r="AE257" i="20"/>
  <c r="Z257" i="20"/>
  <c r="AF257" i="20"/>
  <c r="AB257" i="20"/>
  <c r="AC257" i="20"/>
  <c r="Y257" i="20"/>
  <c r="AL257" i="20"/>
  <c r="AG257" i="20"/>
  <c r="AA257" i="20"/>
  <c r="AH257" i="20"/>
  <c r="AK257" i="20"/>
  <c r="AN807" i="20"/>
  <c r="Z807" i="20"/>
  <c r="Y807" i="20"/>
  <c r="AA807" i="20"/>
  <c r="AE807" i="20"/>
  <c r="AK807" i="20"/>
  <c r="AB807" i="20"/>
  <c r="AD807" i="20"/>
  <c r="AC807" i="20"/>
  <c r="AI807" i="20"/>
  <c r="AF807" i="20"/>
  <c r="AN158" i="20"/>
  <c r="AC158" i="20"/>
  <c r="AD158" i="20"/>
  <c r="AB158" i="20"/>
  <c r="Z158" i="20"/>
  <c r="AG158" i="20"/>
  <c r="AL158" i="20"/>
  <c r="AK158" i="20"/>
  <c r="AI158" i="20"/>
  <c r="AE158" i="20"/>
  <c r="Y158" i="20"/>
  <c r="AA158" i="20"/>
  <c r="AF158" i="20"/>
  <c r="AN308" i="20"/>
  <c r="AI308" i="20"/>
  <c r="AD308" i="20"/>
  <c r="AA308" i="20"/>
  <c r="Y308" i="20"/>
  <c r="AF308" i="20"/>
  <c r="AL308" i="20"/>
  <c r="Z308" i="20"/>
  <c r="AG308" i="20"/>
  <c r="AC308" i="20"/>
  <c r="AB308" i="20"/>
  <c r="AE308" i="20"/>
  <c r="AK308" i="20"/>
  <c r="AH308" i="20"/>
  <c r="AN984" i="20"/>
  <c r="AL984" i="20"/>
  <c r="AI984" i="20"/>
  <c r="AK984" i="20"/>
  <c r="Y984" i="20"/>
  <c r="AA984" i="20"/>
  <c r="AC984" i="20"/>
  <c r="Z984" i="20"/>
  <c r="AD984" i="20"/>
  <c r="AF984" i="20"/>
  <c r="AB984" i="20"/>
  <c r="AE984" i="20"/>
  <c r="AE301" i="20"/>
  <c r="AB301" i="20"/>
  <c r="AC301" i="20"/>
  <c r="AH301" i="20"/>
  <c r="AN301" i="20"/>
  <c r="AF301" i="20"/>
  <c r="AJ301" i="20"/>
  <c r="Z301" i="20"/>
  <c r="AG301" i="20"/>
  <c r="Y301" i="20"/>
  <c r="AK301" i="20"/>
  <c r="AD301" i="20"/>
  <c r="AA301" i="20"/>
  <c r="AI301" i="20"/>
  <c r="AL301" i="20"/>
  <c r="AN235" i="20"/>
  <c r="AJ235" i="20"/>
  <c r="AF235" i="20"/>
  <c r="AC235" i="20"/>
  <c r="Y235" i="20"/>
  <c r="AE235" i="20"/>
  <c r="AA235" i="20"/>
  <c r="AK235" i="20"/>
  <c r="Z235" i="20"/>
  <c r="AB235" i="20"/>
  <c r="AG235" i="20"/>
  <c r="AH235" i="20"/>
  <c r="AD235" i="20"/>
  <c r="AN298" i="20"/>
  <c r="AL298" i="20"/>
  <c r="Y298" i="20"/>
  <c r="AI298" i="20"/>
  <c r="AF298" i="20"/>
  <c r="AB298" i="20"/>
  <c r="Z298" i="20"/>
  <c r="AG298" i="20"/>
  <c r="AE298" i="20"/>
  <c r="AC298" i="20"/>
  <c r="AA298" i="20"/>
  <c r="AD298" i="20"/>
  <c r="AK298" i="20"/>
  <c r="AN132" i="20"/>
  <c r="Z132" i="20"/>
  <c r="AC132" i="20"/>
  <c r="AG132" i="20"/>
  <c r="AE132" i="20"/>
  <c r="AA132" i="20"/>
  <c r="AL132" i="20"/>
  <c r="AF132" i="20"/>
  <c r="AD132" i="20"/>
  <c r="AB132" i="20"/>
  <c r="AI132" i="20"/>
  <c r="Y132" i="20"/>
  <c r="AN545" i="20"/>
  <c r="AJ545" i="20"/>
  <c r="AF545" i="20"/>
  <c r="Z545" i="20"/>
  <c r="AK545" i="20"/>
  <c r="AA545" i="20"/>
  <c r="AD545" i="20"/>
  <c r="Y545" i="20"/>
  <c r="AB545" i="20"/>
  <c r="AG545" i="20"/>
  <c r="AE545" i="20"/>
  <c r="AC545" i="20"/>
  <c r="AN295" i="20"/>
  <c r="AB295" i="20"/>
  <c r="Z295" i="20"/>
  <c r="AC295" i="20"/>
  <c r="AK295" i="20"/>
  <c r="AE295" i="20"/>
  <c r="Y295" i="20"/>
  <c r="AI295" i="20"/>
  <c r="AG295" i="20"/>
  <c r="AF295" i="20"/>
  <c r="AA295" i="20"/>
  <c r="AN291" i="20"/>
  <c r="AF291" i="20"/>
  <c r="Y291" i="20"/>
  <c r="AL291" i="20"/>
  <c r="AA291" i="20"/>
  <c r="AD291" i="20"/>
  <c r="AC291" i="20"/>
  <c r="AK291" i="20"/>
  <c r="AE291" i="20"/>
  <c r="Z291" i="20"/>
  <c r="AB291" i="20"/>
  <c r="AG291" i="20"/>
  <c r="AN285" i="20"/>
  <c r="AK285" i="20"/>
  <c r="AC285" i="20"/>
  <c r="AB285" i="20"/>
  <c r="AD285" i="20"/>
  <c r="AF285" i="20"/>
  <c r="AA285" i="20"/>
  <c r="Y285" i="20"/>
  <c r="AI285" i="20"/>
  <c r="AE285" i="20"/>
  <c r="AG285" i="20"/>
  <c r="Z285" i="20"/>
  <c r="AN283" i="20"/>
  <c r="AJ283" i="20"/>
  <c r="AE283" i="20"/>
  <c r="Y283" i="20"/>
  <c r="AC283" i="20"/>
  <c r="AF283" i="20"/>
  <c r="AB283" i="20"/>
  <c r="Z283" i="20"/>
  <c r="AK283" i="20"/>
  <c r="AA283" i="20"/>
  <c r="AD283" i="20"/>
  <c r="AG283" i="20"/>
  <c r="AN273" i="20"/>
  <c r="AI273" i="20"/>
  <c r="AF273" i="20"/>
  <c r="AB273" i="20"/>
  <c r="Y273" i="20"/>
  <c r="AD273" i="20"/>
  <c r="AC273" i="20"/>
  <c r="Z273" i="20"/>
  <c r="AK273" i="20"/>
  <c r="AG273" i="20"/>
  <c r="AE409" i="20"/>
  <c r="AN409" i="20"/>
  <c r="Y409" i="20"/>
  <c r="AB409" i="20"/>
  <c r="AH409" i="20"/>
  <c r="AK409" i="20"/>
  <c r="AI409" i="20"/>
  <c r="Z409" i="20"/>
  <c r="AF409" i="20"/>
  <c r="AG409" i="20"/>
  <c r="AC409" i="20"/>
  <c r="AL409" i="20"/>
  <c r="AJ409" i="20"/>
  <c r="AD409" i="20"/>
  <c r="AD259" i="20"/>
  <c r="AE259" i="20"/>
  <c r="AF259" i="20"/>
  <c r="AG259" i="20"/>
  <c r="AA259" i="20"/>
  <c r="AN259" i="20"/>
  <c r="AL259" i="20"/>
  <c r="Z259" i="20"/>
  <c r="AH259" i="20"/>
  <c r="AJ259" i="20"/>
  <c r="AI259" i="20"/>
  <c r="AC259" i="20"/>
  <c r="Y259" i="20"/>
  <c r="AK259" i="20"/>
  <c r="AB259" i="20"/>
  <c r="Y254" i="20"/>
  <c r="AE254" i="20"/>
  <c r="AN254" i="20"/>
  <c r="AC254" i="20"/>
  <c r="AH254" i="20"/>
  <c r="AJ254" i="20"/>
  <c r="AI254" i="20"/>
  <c r="Z254" i="20"/>
  <c r="AB254" i="20"/>
  <c r="AD254" i="20"/>
  <c r="AF254" i="20"/>
  <c r="AK254" i="20"/>
  <c r="AG254" i="20"/>
  <c r="AA254" i="20"/>
  <c r="AL254" i="20"/>
  <c r="AB249" i="20"/>
  <c r="Y249" i="20"/>
  <c r="AG249" i="20"/>
  <c r="AC249" i="20"/>
  <c r="AE249" i="20"/>
  <c r="AF249" i="20"/>
  <c r="AD249" i="20"/>
  <c r="Z249" i="20"/>
  <c r="AN249" i="20"/>
  <c r="AJ249" i="20"/>
  <c r="AI249" i="20"/>
  <c r="AH249" i="20"/>
  <c r="AL249" i="20"/>
  <c r="AK249" i="20"/>
  <c r="AA249" i="20"/>
  <c r="AN239" i="20"/>
  <c r="AB239" i="20"/>
  <c r="Z239" i="20"/>
  <c r="AJ239" i="20"/>
  <c r="AI239" i="20"/>
  <c r="AE239" i="20"/>
  <c r="AD239" i="20"/>
  <c r="Y239" i="20"/>
  <c r="AG239" i="20"/>
  <c r="AH239" i="20"/>
  <c r="AC239" i="20"/>
  <c r="AK239" i="20"/>
  <c r="AF239" i="20"/>
  <c r="AL239" i="20"/>
  <c r="AA239" i="20"/>
  <c r="AJ232" i="20"/>
  <c r="AN232" i="20"/>
  <c r="AB232" i="20"/>
  <c r="AF232" i="20"/>
  <c r="AI232" i="20"/>
  <c r="AG232" i="20"/>
  <c r="AK232" i="20"/>
  <c r="Z232" i="20"/>
  <c r="AD232" i="20"/>
  <c r="AH232" i="20"/>
  <c r="AE232" i="20"/>
  <c r="AA232" i="20"/>
  <c r="Y232" i="20"/>
  <c r="AC232" i="20"/>
  <c r="AL232" i="20"/>
  <c r="AN228" i="20"/>
  <c r="AF228" i="20"/>
  <c r="AA228" i="20"/>
  <c r="Z228" i="20"/>
  <c r="AJ228" i="20"/>
  <c r="AL228" i="20"/>
  <c r="AG228" i="20"/>
  <c r="AI228" i="20"/>
  <c r="Y228" i="20"/>
  <c r="AE228" i="20"/>
  <c r="AK228" i="20"/>
  <c r="AB228" i="20"/>
  <c r="AD228" i="20"/>
  <c r="AC228" i="20"/>
  <c r="AH228" i="20"/>
  <c r="AN224" i="20"/>
  <c r="AE224" i="20"/>
  <c r="AB224" i="20"/>
  <c r="AA224" i="20"/>
  <c r="AJ224" i="20"/>
  <c r="AL224" i="20"/>
  <c r="AD224" i="20"/>
  <c r="AC224" i="20"/>
  <c r="Y224" i="20"/>
  <c r="AH224" i="20"/>
  <c r="AG224" i="20"/>
  <c r="AI224" i="20"/>
  <c r="AK224" i="20"/>
  <c r="Z224" i="20"/>
  <c r="AF224" i="20"/>
  <c r="AB214" i="20"/>
  <c r="AH214" i="20"/>
  <c r="AN214" i="20"/>
  <c r="Y214" i="20"/>
  <c r="Z214" i="20"/>
  <c r="AJ214" i="20"/>
  <c r="AE214" i="20"/>
  <c r="AD214" i="20"/>
  <c r="AI214" i="20"/>
  <c r="AK214" i="20"/>
  <c r="AA214" i="20"/>
  <c r="AF214" i="20"/>
  <c r="AC214" i="20"/>
  <c r="AG214" i="20"/>
  <c r="AL214" i="20"/>
  <c r="AN203" i="20"/>
  <c r="AA203" i="20"/>
  <c r="AK203" i="20"/>
  <c r="AG203" i="20"/>
  <c r="AB203" i="20"/>
  <c r="AD203" i="20"/>
  <c r="AI203" i="20"/>
  <c r="Y203" i="20"/>
  <c r="AE203" i="20"/>
  <c r="AF203" i="20"/>
  <c r="AL203" i="20"/>
  <c r="AC203" i="20"/>
  <c r="AJ203" i="20"/>
  <c r="Z203" i="20"/>
  <c r="AN196" i="20"/>
  <c r="AE196" i="20"/>
  <c r="AG196" i="20"/>
  <c r="AF196" i="20"/>
  <c r="AI196" i="20"/>
  <c r="Z196" i="20"/>
  <c r="AC196" i="20"/>
  <c r="AK196" i="20"/>
  <c r="AA196" i="20"/>
  <c r="AD196" i="20"/>
  <c r="AB196" i="20"/>
  <c r="Y196" i="20"/>
  <c r="AL196" i="20"/>
  <c r="AH196" i="20"/>
  <c r="AN346" i="20"/>
  <c r="AD346" i="20"/>
  <c r="AH346" i="20"/>
  <c r="AB346" i="20"/>
  <c r="AG346" i="20"/>
  <c r="AI346" i="20"/>
  <c r="AK346" i="20"/>
  <c r="AA346" i="20"/>
  <c r="AE346" i="20"/>
  <c r="Y346" i="20"/>
  <c r="AJ346" i="20"/>
  <c r="AL346" i="20"/>
  <c r="Z346" i="20"/>
  <c r="AF346" i="20"/>
  <c r="AC346" i="20"/>
  <c r="AN193" i="20"/>
  <c r="AL193" i="20"/>
  <c r="AJ193" i="20"/>
  <c r="AK193" i="20"/>
  <c r="AC193" i="20"/>
  <c r="AF193" i="20"/>
  <c r="AH193" i="20"/>
  <c r="AI193" i="20"/>
  <c r="AA193" i="20"/>
  <c r="AB193" i="20"/>
  <c r="Y193" i="20"/>
  <c r="AD193" i="20"/>
  <c r="Z193" i="20"/>
  <c r="AG193" i="20"/>
  <c r="AE193" i="20"/>
  <c r="AF113" i="20"/>
  <c r="AL113" i="20"/>
  <c r="AJ113" i="20"/>
  <c r="AI113" i="20"/>
  <c r="AE113" i="20"/>
  <c r="AA113" i="20"/>
  <c r="Y113" i="20"/>
  <c r="Z113" i="20"/>
  <c r="AN113" i="20"/>
  <c r="AD113" i="20"/>
  <c r="AK113" i="20"/>
  <c r="AB113" i="20"/>
  <c r="AC113" i="20"/>
  <c r="AH113" i="20"/>
  <c r="AN50" i="20"/>
  <c r="AF50" i="20"/>
  <c r="AG50" i="20"/>
  <c r="Z50" i="20"/>
  <c r="AJ50" i="20"/>
  <c r="AE50" i="20"/>
  <c r="AD50" i="20"/>
  <c r="AK50" i="20"/>
  <c r="AL50" i="20"/>
  <c r="AB50" i="20"/>
  <c r="AI50" i="20"/>
  <c r="Y50" i="20"/>
  <c r="AC50" i="20"/>
  <c r="AH50" i="20"/>
  <c r="AA50" i="20"/>
  <c r="AN191" i="20"/>
  <c r="Y191" i="20"/>
  <c r="AE191" i="20"/>
  <c r="AA191" i="20"/>
  <c r="AF191" i="20"/>
  <c r="AK191" i="20"/>
  <c r="AD191" i="20"/>
  <c r="Z191" i="20"/>
  <c r="AC191" i="20"/>
  <c r="AB191" i="20"/>
  <c r="AG191" i="20"/>
  <c r="AL191" i="20"/>
  <c r="AN183" i="20"/>
  <c r="AD183" i="20"/>
  <c r="Z183" i="20"/>
  <c r="Y183" i="20"/>
  <c r="AG183" i="20"/>
  <c r="AK183" i="20"/>
  <c r="AF183" i="20"/>
  <c r="AE183" i="20"/>
  <c r="AC183" i="20"/>
  <c r="AL183" i="20"/>
  <c r="AB183" i="20"/>
  <c r="AA183" i="20"/>
  <c r="AJ400" i="20"/>
  <c r="Y400" i="20"/>
  <c r="Z400" i="20"/>
  <c r="AK400" i="20"/>
  <c r="M15" i="37" s="1"/>
  <c r="AG400" i="20"/>
  <c r="AC400" i="20"/>
  <c r="AN400" i="20"/>
  <c r="AL400" i="20"/>
  <c r="AI400" i="20"/>
  <c r="AA400" i="20"/>
  <c r="AF400" i="20"/>
  <c r="AB400" i="20"/>
  <c r="AD400" i="20"/>
  <c r="AE400" i="20"/>
  <c r="G15" i="37" s="1"/>
  <c r="AH400" i="20"/>
  <c r="AN175" i="20"/>
  <c r="Z175" i="20"/>
  <c r="Y175" i="20"/>
  <c r="AG175" i="20"/>
  <c r="AF175" i="20"/>
  <c r="AC175" i="20"/>
  <c r="AE175" i="20"/>
  <c r="AA175" i="20"/>
  <c r="AK175" i="20"/>
  <c r="AB175" i="20"/>
  <c r="AN165" i="20"/>
  <c r="Z165" i="20"/>
  <c r="AG165" i="20"/>
  <c r="AK165" i="20"/>
  <c r="AD165" i="20"/>
  <c r="AF165" i="20"/>
  <c r="Y165" i="20"/>
  <c r="AC165" i="20"/>
  <c r="AB165" i="20"/>
  <c r="Y154" i="20"/>
  <c r="AF154" i="20"/>
  <c r="AN154" i="20"/>
  <c r="AG154" i="20"/>
  <c r="AE154" i="20"/>
  <c r="AK154" i="20"/>
  <c r="AD154" i="20"/>
  <c r="AA154" i="20"/>
  <c r="Z154" i="20"/>
  <c r="AI154" i="20"/>
  <c r="AC154" i="20"/>
  <c r="AH154" i="20"/>
  <c r="AB154" i="20"/>
  <c r="AN639" i="20"/>
  <c r="AD639" i="20"/>
  <c r="Y639" i="20"/>
  <c r="Z639" i="20"/>
  <c r="AK639" i="20"/>
  <c r="AG639" i="20"/>
  <c r="AC639" i="20"/>
  <c r="AF639" i="20"/>
  <c r="AL639" i="20"/>
  <c r="AH639" i="20"/>
  <c r="AI639" i="20"/>
  <c r="AA639" i="20"/>
  <c r="AB639" i="20"/>
  <c r="AE639" i="20"/>
  <c r="AJ639" i="20"/>
  <c r="AN150" i="20"/>
  <c r="AJ150" i="20"/>
  <c r="AK150" i="20"/>
  <c r="AG150" i="20"/>
  <c r="AH150" i="20"/>
  <c r="AC150" i="20"/>
  <c r="AD150" i="20"/>
  <c r="AL150" i="20"/>
  <c r="AN141" i="20"/>
  <c r="Y141" i="20"/>
  <c r="AK141" i="20"/>
  <c r="AC141" i="20"/>
  <c r="AF141" i="20"/>
  <c r="AE141" i="20"/>
  <c r="AD141" i="20"/>
  <c r="AA141" i="20"/>
  <c r="AG141" i="20"/>
  <c r="AJ141" i="20"/>
  <c r="AB141" i="20"/>
  <c r="Z141" i="20"/>
  <c r="AH141" i="20"/>
  <c r="AH136" i="20"/>
  <c r="AB136" i="20"/>
  <c r="AK136" i="20"/>
  <c r="AE136" i="20"/>
  <c r="AL136" i="20"/>
  <c r="AF136" i="20"/>
  <c r="Z136" i="20"/>
  <c r="AD136" i="20"/>
  <c r="AA136" i="20"/>
  <c r="Y136" i="20"/>
  <c r="AN136" i="20"/>
  <c r="AC136" i="20"/>
  <c r="AG136" i="20"/>
  <c r="AJ136" i="20"/>
  <c r="AI136" i="20"/>
  <c r="AG874" i="20"/>
  <c r="AF874" i="20"/>
  <c r="AD874" i="20"/>
  <c r="AJ874" i="20"/>
  <c r="AA874" i="20"/>
  <c r="AK874" i="20"/>
  <c r="Z874" i="20"/>
  <c r="AL874" i="20"/>
  <c r="AE874" i="20"/>
  <c r="AI874" i="20"/>
  <c r="Y874" i="20"/>
  <c r="AN874" i="20"/>
  <c r="AC874" i="20"/>
  <c r="AH874" i="20"/>
  <c r="AB874" i="20"/>
  <c r="AI758" i="20"/>
  <c r="AD758" i="20"/>
  <c r="AN758" i="20"/>
  <c r="AA758" i="20"/>
  <c r="Y758" i="20"/>
  <c r="AC758" i="20"/>
  <c r="AE758" i="20"/>
  <c r="AK758" i="20"/>
  <c r="Z758" i="20"/>
  <c r="AJ758" i="20"/>
  <c r="AB758" i="20"/>
  <c r="AG758" i="20"/>
  <c r="AH758" i="20"/>
  <c r="AL758" i="20"/>
  <c r="AF758" i="20"/>
  <c r="AB118" i="20"/>
  <c r="AL118" i="20"/>
  <c r="AG118" i="20"/>
  <c r="AE118" i="20"/>
  <c r="AA118" i="20"/>
  <c r="Z118" i="20"/>
  <c r="AC118" i="20"/>
  <c r="AI118" i="20"/>
  <c r="AJ118" i="20"/>
  <c r="Y118" i="20"/>
  <c r="AK118" i="20"/>
  <c r="AF118" i="20"/>
  <c r="AD118" i="20"/>
  <c r="AN118" i="20"/>
  <c r="AH118" i="20"/>
  <c r="AC128" i="20"/>
  <c r="Z128" i="20"/>
  <c r="AL128" i="20"/>
  <c r="AB128" i="20"/>
  <c r="AG128" i="20"/>
  <c r="AE128" i="20"/>
  <c r="AH128" i="20"/>
  <c r="AN128" i="20"/>
  <c r="AJ128" i="20"/>
  <c r="AD128" i="20"/>
  <c r="Y128" i="20"/>
  <c r="AA128" i="20"/>
  <c r="AI128" i="20"/>
  <c r="AK128" i="20"/>
  <c r="AF128" i="20"/>
  <c r="AG120" i="20"/>
  <c r="AE120" i="20"/>
  <c r="AB120" i="20"/>
  <c r="AN120" i="20"/>
  <c r="AK120" i="20"/>
  <c r="Z120" i="20"/>
  <c r="AJ120" i="20"/>
  <c r="AH120" i="20"/>
  <c r="AC120" i="20"/>
  <c r="AD120" i="20"/>
  <c r="AA120" i="20"/>
  <c r="AL120" i="20"/>
  <c r="Y120" i="20"/>
  <c r="AI120" i="20"/>
  <c r="AF120" i="20"/>
  <c r="Y116" i="20"/>
  <c r="AJ116" i="20"/>
  <c r="AL116" i="20"/>
  <c r="AD116" i="20"/>
  <c r="AC116" i="20"/>
  <c r="AB116" i="20"/>
  <c r="AK116" i="20"/>
  <c r="AE116" i="20"/>
  <c r="AA116" i="20"/>
  <c r="AN116" i="20"/>
  <c r="AI116" i="20"/>
  <c r="Z116" i="20"/>
  <c r="AF116" i="20"/>
  <c r="AH116" i="20"/>
  <c r="AG116" i="20"/>
  <c r="AJ111" i="20"/>
  <c r="AC111" i="20"/>
  <c r="AE111" i="20"/>
  <c r="AN111" i="20"/>
  <c r="AG111" i="20"/>
  <c r="AI111" i="20"/>
  <c r="Z111" i="20"/>
  <c r="AB111" i="20"/>
  <c r="AH111" i="20"/>
  <c r="AA111" i="20"/>
  <c r="Y111" i="20"/>
  <c r="AL111" i="20"/>
  <c r="AK111" i="20"/>
  <c r="AF111" i="20"/>
  <c r="AD111" i="20"/>
  <c r="AF108" i="20"/>
  <c r="Y108" i="20"/>
  <c r="AI108" i="20"/>
  <c r="AJ108" i="20"/>
  <c r="AC108" i="20"/>
  <c r="AD108" i="20"/>
  <c r="AH108" i="20"/>
  <c r="AB108" i="20"/>
  <c r="AE108" i="20"/>
  <c r="AL108" i="20"/>
  <c r="AN108" i="20"/>
  <c r="AG108" i="20"/>
  <c r="Z108" i="20"/>
  <c r="AA108" i="20"/>
  <c r="AK108" i="20"/>
  <c r="AG87" i="20"/>
  <c r="Z87" i="20"/>
  <c r="AH87" i="20"/>
  <c r="AI87" i="20"/>
  <c r="AK87" i="20"/>
  <c r="AE87" i="20"/>
  <c r="AA87" i="20"/>
  <c r="AC87" i="20"/>
  <c r="AD87" i="20"/>
  <c r="AB87" i="20"/>
  <c r="AF87" i="20"/>
  <c r="AJ87" i="20"/>
  <c r="Y87" i="20"/>
  <c r="AL87" i="20"/>
  <c r="AN87" i="20"/>
  <c r="AF94" i="20"/>
  <c r="Y94" i="20"/>
  <c r="AE94" i="20"/>
  <c r="AH94" i="20"/>
  <c r="AL94" i="20"/>
  <c r="AJ94" i="20"/>
  <c r="AC94" i="20"/>
  <c r="AI94" i="20"/>
  <c r="AK94" i="20"/>
  <c r="AG94" i="20"/>
  <c r="AA94" i="20"/>
  <c r="Z94" i="20"/>
  <c r="AD94" i="20"/>
  <c r="AB94" i="20"/>
  <c r="AN94" i="20"/>
  <c r="AD79" i="20"/>
  <c r="AB79" i="20"/>
  <c r="AH79" i="20"/>
  <c r="AF79" i="20"/>
  <c r="Y79" i="20"/>
  <c r="AL79" i="20"/>
  <c r="AI79" i="20"/>
  <c r="AE79" i="20"/>
  <c r="Z79" i="20"/>
  <c r="AJ79" i="20"/>
  <c r="AC79" i="20"/>
  <c r="AK79" i="20"/>
  <c r="AN79" i="20"/>
  <c r="AA79" i="20"/>
  <c r="AG79" i="20"/>
  <c r="AF66" i="20"/>
  <c r="Y66" i="20"/>
  <c r="AJ66" i="20"/>
  <c r="AC66" i="20"/>
  <c r="AE66" i="20"/>
  <c r="AD66" i="20"/>
  <c r="AH66" i="20"/>
  <c r="Z66" i="20"/>
  <c r="AA66" i="20"/>
  <c r="AL66" i="20"/>
  <c r="AN66" i="20"/>
  <c r="AG66" i="20"/>
  <c r="AI66" i="20"/>
  <c r="AK66" i="20"/>
  <c r="AB66" i="20"/>
  <c r="AH63" i="20"/>
  <c r="AB63" i="20"/>
  <c r="AL63" i="20"/>
  <c r="AF63" i="20"/>
  <c r="AC63" i="20"/>
  <c r="AJ63" i="20"/>
  <c r="AE63" i="20"/>
  <c r="AI63" i="20"/>
  <c r="AG63" i="20"/>
  <c r="AN63" i="20"/>
  <c r="AK63" i="20"/>
  <c r="Y63" i="20"/>
  <c r="AD63" i="20"/>
  <c r="Z63" i="20"/>
  <c r="AA63" i="20"/>
  <c r="AK57" i="20"/>
  <c r="Z57" i="20"/>
  <c r="Y57" i="20"/>
  <c r="AD57" i="20"/>
  <c r="AF57" i="20"/>
  <c r="AE57" i="20"/>
  <c r="AC57" i="20"/>
  <c r="AG57" i="20"/>
  <c r="AH57" i="20"/>
  <c r="AN57" i="20"/>
  <c r="AB57" i="20"/>
  <c r="AI57" i="20"/>
  <c r="AJ57" i="20"/>
  <c r="AA57" i="20"/>
  <c r="AL57" i="20"/>
  <c r="Z49" i="20"/>
  <c r="AN49" i="20"/>
  <c r="AI49" i="20"/>
  <c r="AD49" i="20"/>
  <c r="AB49" i="20"/>
  <c r="AE49" i="20"/>
  <c r="AH49" i="20"/>
  <c r="AJ49" i="20"/>
  <c r="AC49" i="20"/>
  <c r="AL49" i="20"/>
  <c r="AK49" i="20"/>
  <c r="Y49" i="20"/>
  <c r="AF49" i="20"/>
  <c r="AG49" i="20"/>
  <c r="AA49" i="20"/>
  <c r="AH44" i="20"/>
  <c r="AB44" i="20"/>
  <c r="AA44" i="20"/>
  <c r="AC44" i="20"/>
  <c r="Y44" i="20"/>
  <c r="AE44" i="20"/>
  <c r="AL44" i="20"/>
  <c r="AF44" i="20"/>
  <c r="AI44" i="20"/>
  <c r="AK44" i="20"/>
  <c r="AG44" i="20"/>
  <c r="Z44" i="20"/>
  <c r="AJ44" i="20"/>
  <c r="AD44" i="20"/>
  <c r="AN44" i="20"/>
  <c r="AD51" i="20"/>
  <c r="AB51" i="20"/>
  <c r="AA51" i="20"/>
  <c r="AC51" i="20"/>
  <c r="AG51" i="20"/>
  <c r="AE51" i="20"/>
  <c r="AH51" i="20"/>
  <c r="AF51" i="20"/>
  <c r="AI51" i="20"/>
  <c r="AK51" i="20"/>
  <c r="AJ51" i="20"/>
  <c r="Z51" i="20"/>
  <c r="AN51" i="20"/>
  <c r="AL51" i="20"/>
  <c r="Y51" i="20"/>
  <c r="AR277" i="20"/>
  <c r="AR596" i="20"/>
  <c r="AR163" i="20"/>
  <c r="AR965" i="20"/>
  <c r="AR344" i="20"/>
  <c r="AR93" i="20"/>
  <c r="AR284" i="20"/>
  <c r="AR692" i="20"/>
  <c r="AR29" i="20"/>
  <c r="AR504" i="20"/>
  <c r="AR670" i="20"/>
  <c r="AR679" i="20"/>
  <c r="AR88" i="20"/>
  <c r="AR809" i="20"/>
  <c r="AR396" i="20"/>
  <c r="AR795" i="20"/>
  <c r="AL510" i="20"/>
  <c r="AL73" i="20"/>
  <c r="AL667" i="20"/>
  <c r="AJ791" i="20"/>
  <c r="AJ981" i="20"/>
  <c r="AJ915" i="20"/>
  <c r="AJ418" i="20"/>
  <c r="AJ830" i="20"/>
  <c r="AI320" i="20"/>
  <c r="AI473" i="20"/>
  <c r="AI810" i="20"/>
  <c r="AL605" i="20"/>
  <c r="AL1011" i="20"/>
  <c r="AL455" i="20"/>
  <c r="AL577" i="20"/>
  <c r="AL560" i="20"/>
  <c r="AI431" i="20"/>
  <c r="AI236" i="20"/>
  <c r="AI969" i="20"/>
  <c r="AI510" i="20"/>
  <c r="AI791" i="20"/>
  <c r="AI545" i="20"/>
  <c r="AI750" i="20"/>
  <c r="AI746" i="20"/>
  <c r="AI424" i="20"/>
  <c r="AI455" i="20"/>
  <c r="AI521" i="20"/>
  <c r="AI999" i="20"/>
  <c r="AJ185" i="20"/>
  <c r="AJ158" i="20"/>
  <c r="AJ618" i="20"/>
  <c r="AL163" i="20"/>
  <c r="AL983" i="20"/>
  <c r="AH581" i="20"/>
  <c r="AI691" i="20"/>
  <c r="AI175" i="20"/>
  <c r="AI491" i="20"/>
  <c r="AJ600" i="20"/>
  <c r="AJ755" i="20"/>
  <c r="AJ920" i="20"/>
  <c r="AJ803" i="20"/>
  <c r="AJ196" i="20"/>
  <c r="AJ935" i="20"/>
  <c r="AJ560" i="20"/>
  <c r="AL164" i="20"/>
  <c r="AL222" i="20"/>
  <c r="AL750" i="20"/>
  <c r="AL389" i="20"/>
  <c r="AL477" i="20"/>
  <c r="AL1045" i="20"/>
  <c r="AJ273" i="20"/>
  <c r="AJ836" i="20"/>
  <c r="AJ154" i="20"/>
  <c r="AJ642" i="20"/>
  <c r="AJ810" i="20"/>
  <c r="AJ144" i="20"/>
  <c r="AJ685" i="20"/>
  <c r="AJ940" i="20"/>
  <c r="AJ169" i="20"/>
  <c r="AJ983" i="20"/>
  <c r="AJ386" i="20"/>
  <c r="AJ183" i="20"/>
  <c r="AJ552" i="20"/>
  <c r="AL734" i="20"/>
  <c r="AL995" i="20"/>
  <c r="AL185" i="20"/>
  <c r="AL326" i="20"/>
  <c r="AL759" i="20"/>
  <c r="AL632" i="20"/>
  <c r="AL99" i="20"/>
  <c r="AL408" i="20"/>
  <c r="AL728" i="20"/>
  <c r="AL662" i="20"/>
  <c r="AL175" i="20"/>
  <c r="AL265" i="20"/>
  <c r="AF325" i="20"/>
  <c r="AH545" i="20"/>
  <c r="AH888" i="20"/>
  <c r="AH728" i="20"/>
  <c r="AH974" i="20"/>
  <c r="AH439" i="20"/>
  <c r="AH165" i="20"/>
  <c r="AH490" i="20"/>
  <c r="AH331" i="20"/>
  <c r="AL739" i="20"/>
  <c r="AL27" i="20"/>
  <c r="AL171" i="20"/>
  <c r="AL827" i="20"/>
  <c r="AL370" i="20"/>
  <c r="AL424" i="20"/>
  <c r="AL428" i="20"/>
  <c r="AL283" i="20"/>
  <c r="AH163" i="20"/>
  <c r="AH316" i="20"/>
  <c r="AH614" i="20"/>
  <c r="AH514" i="20"/>
  <c r="AH868" i="20"/>
  <c r="AH734" i="20"/>
  <c r="AH600" i="20"/>
  <c r="AH418" i="20"/>
  <c r="AH759" i="20"/>
  <c r="AH577" i="20"/>
  <c r="AH283" i="20"/>
  <c r="AH222" i="20"/>
  <c r="AH939" i="20"/>
  <c r="AH534" i="20"/>
  <c r="AH840" i="20"/>
  <c r="AH169" i="20"/>
  <c r="AH211" i="20"/>
  <c r="AH265" i="20"/>
  <c r="AH401" i="20"/>
  <c r="AH1045" i="20"/>
  <c r="AB150" i="20"/>
  <c r="AA150" i="20"/>
  <c r="AI150" i="20"/>
  <c r="Y817" i="20"/>
  <c r="AB734" i="20"/>
  <c r="AA161" i="20"/>
  <c r="Z1034" i="20"/>
  <c r="AG564" i="20"/>
  <c r="AD101" i="20"/>
  <c r="Z981" i="20"/>
  <c r="AA454" i="20"/>
  <c r="Z983" i="20"/>
  <c r="Y1038" i="20"/>
  <c r="AG236" i="20"/>
  <c r="AC486" i="20"/>
  <c r="AK161" i="20"/>
  <c r="Z901" i="20"/>
  <c r="AD697" i="20"/>
  <c r="Y1041" i="20"/>
  <c r="Z514" i="20"/>
  <c r="Y974" i="20"/>
  <c r="AA236" i="20"/>
  <c r="AC803" i="20"/>
  <c r="AF77" i="20"/>
  <c r="AC739" i="20"/>
  <c r="AD1029" i="20"/>
  <c r="AG1011" i="20"/>
  <c r="AG739" i="20"/>
  <c r="AF1024" i="20"/>
  <c r="AF648" i="20"/>
  <c r="AE605" i="20"/>
  <c r="AE439" i="20"/>
  <c r="AB844" i="20"/>
  <c r="AA499" i="20"/>
  <c r="AA974" i="20"/>
  <c r="AC845" i="20"/>
  <c r="Y940" i="20"/>
  <c r="AC348" i="20"/>
  <c r="AG571" i="20"/>
  <c r="AE486" i="20"/>
  <c r="AG527" i="20"/>
  <c r="AD161" i="20"/>
  <c r="Z920" i="20"/>
  <c r="AG864" i="20"/>
  <c r="AF810" i="20"/>
  <c r="AD213" i="20"/>
  <c r="Z571" i="20"/>
  <c r="AC605" i="20"/>
  <c r="AB564" i="20"/>
  <c r="Z939" i="20"/>
  <c r="AF1017" i="20"/>
  <c r="Y162" i="20"/>
  <c r="AC524" i="20"/>
  <c r="Y693" i="20"/>
  <c r="AC407" i="20"/>
  <c r="AB685" i="20"/>
  <c r="AE901" i="20"/>
  <c r="Y969" i="20"/>
  <c r="AC750" i="20"/>
  <c r="AB600" i="20"/>
  <c r="AC490" i="20"/>
  <c r="AA560" i="20"/>
  <c r="AB211" i="20"/>
  <c r="AG690" i="20"/>
  <c r="Y325" i="20"/>
  <c r="AC836" i="20"/>
  <c r="AE303" i="20"/>
  <c r="AB915" i="20"/>
  <c r="AE408" i="20"/>
  <c r="AB493" i="20"/>
  <c r="AF966" i="20"/>
  <c r="Z386" i="20"/>
  <c r="AG786" i="20"/>
  <c r="AA268" i="20"/>
  <c r="AI439" i="20"/>
  <c r="AC1072" i="20"/>
  <c r="AP619" i="20"/>
  <c r="AR619" i="20"/>
  <c r="AR540" i="20"/>
  <c r="AP540" i="20"/>
  <c r="AP373" i="20"/>
  <c r="AR373" i="20"/>
  <c r="AP700" i="20"/>
  <c r="AR700" i="20"/>
  <c r="AR419" i="20"/>
  <c r="AP419" i="20"/>
  <c r="AR1076" i="20"/>
  <c r="AP1076" i="20"/>
  <c r="AR930" i="20"/>
  <c r="AP930" i="20"/>
  <c r="AP698" i="20"/>
  <c r="AR698" i="20"/>
  <c r="AR842" i="20"/>
  <c r="AP842" i="20"/>
  <c r="AR750" i="20"/>
  <c r="AP750" i="20"/>
  <c r="AR633" i="20"/>
  <c r="AP633" i="20"/>
  <c r="AR803" i="20"/>
  <c r="AP803" i="20"/>
  <c r="AR664" i="20"/>
  <c r="AP664" i="20"/>
  <c r="AR1052" i="20"/>
  <c r="AP1052" i="20"/>
  <c r="AP779" i="20"/>
  <c r="AR779" i="20"/>
  <c r="AP742" i="20"/>
  <c r="AR742" i="20"/>
  <c r="AR556" i="20"/>
  <c r="AP556" i="20"/>
  <c r="AR165" i="20"/>
  <c r="AP165" i="20"/>
  <c r="AR730" i="20"/>
  <c r="AP730" i="20"/>
  <c r="AP329" i="20"/>
  <c r="AR329" i="20"/>
  <c r="AN164" i="20"/>
  <c r="AD164" i="20"/>
  <c r="AE164" i="20"/>
  <c r="AF164" i="20"/>
  <c r="AI164" i="20"/>
  <c r="AC164" i="20"/>
  <c r="AB164" i="20"/>
  <c r="AA164" i="20"/>
  <c r="Z164" i="20"/>
  <c r="AH164" i="20"/>
  <c r="AG164" i="20"/>
  <c r="AR981" i="20"/>
  <c r="AR823" i="20"/>
  <c r="AR825" i="20"/>
  <c r="AR427" i="20"/>
  <c r="AR92" i="20"/>
  <c r="AL820" i="20"/>
  <c r="AJ388" i="20"/>
  <c r="AJ628" i="20"/>
  <c r="H17" i="86" s="1"/>
  <c r="K17" i="86" s="1"/>
  <c r="AJ677" i="20"/>
  <c r="AJ308" i="20"/>
  <c r="AJ1029" i="20"/>
  <c r="AI441" i="20"/>
  <c r="AI782" i="20"/>
  <c r="AI12" i="20"/>
  <c r="AI191" i="20"/>
  <c r="AI781" i="20"/>
  <c r="AI386" i="20"/>
  <c r="AI27" i="20"/>
  <c r="AI940" i="20"/>
  <c r="AI144" i="20"/>
  <c r="AI873" i="20"/>
  <c r="AI331" i="20"/>
  <c r="AI610" i="20"/>
  <c r="AI1001" i="20"/>
  <c r="AL628" i="20"/>
  <c r="AI734" i="20"/>
  <c r="AI995" i="20"/>
  <c r="AI185" i="20"/>
  <c r="AI326" i="20"/>
  <c r="AI697" i="20"/>
  <c r="AJ734" i="20"/>
  <c r="AJ549" i="20"/>
  <c r="AJ995" i="20"/>
  <c r="AJ930" i="20"/>
  <c r="AJ213" i="20"/>
  <c r="AJ486" i="20"/>
  <c r="AJ1047" i="20"/>
  <c r="AJ733" i="20"/>
  <c r="AL888" i="20"/>
  <c r="AL810" i="20"/>
  <c r="AL545" i="20"/>
  <c r="AL514" i="20"/>
  <c r="AL165" i="20"/>
  <c r="AH295" i="20"/>
  <c r="AI389" i="20"/>
  <c r="AI690" i="20"/>
  <c r="AI935" i="20"/>
  <c r="AI885" i="20"/>
  <c r="AI165" i="20"/>
  <c r="AI265" i="20"/>
  <c r="AI560" i="20"/>
  <c r="AI401" i="20"/>
  <c r="AJ1041" i="20"/>
  <c r="AJ939" i="20"/>
  <c r="AJ499" i="20"/>
  <c r="AJ316" i="20"/>
  <c r="AJ272" i="20"/>
  <c r="AJ412" i="20"/>
  <c r="AJ653" i="20"/>
  <c r="AJ1045" i="20"/>
  <c r="AJ265" i="20"/>
  <c r="AL1017" i="20"/>
  <c r="AL600" i="20"/>
  <c r="AL295" i="20"/>
  <c r="AL162" i="20"/>
  <c r="AL864" i="20"/>
  <c r="AL966" i="20"/>
  <c r="AL693" i="20"/>
  <c r="AL624" i="20"/>
  <c r="AL618" i="20"/>
  <c r="AJ162" i="20"/>
  <c r="AJ807" i="20"/>
  <c r="AJ820" i="20"/>
  <c r="AJ484" i="20"/>
  <c r="AJ786" i="20"/>
  <c r="AJ303" i="20"/>
  <c r="AJ407" i="20"/>
  <c r="AJ320" i="20"/>
  <c r="AJ285" i="20"/>
  <c r="AJ564" i="20"/>
  <c r="AJ999" i="20"/>
  <c r="AL235" i="20"/>
  <c r="AL68" i="20"/>
  <c r="AL454" i="20"/>
  <c r="AH697" i="20"/>
  <c r="AH782" i="20"/>
  <c r="AH1041" i="20"/>
  <c r="AH605" i="20"/>
  <c r="AH493" i="20"/>
  <c r="AH571" i="20"/>
  <c r="AL981" i="20"/>
  <c r="AL845" i="20"/>
  <c r="AL473" i="20"/>
  <c r="AL552" i="20"/>
  <c r="AL77" i="20"/>
  <c r="AL447" i="20"/>
  <c r="AL325" i="20"/>
  <c r="AC325" i="20"/>
  <c r="AH455" i="20"/>
  <c r="AH791" i="20"/>
  <c r="AL901" i="20"/>
  <c r="AL665" i="20"/>
  <c r="AD325" i="20"/>
  <c r="AH817" i="20"/>
  <c r="AH298" i="20"/>
  <c r="AH836" i="20"/>
  <c r="AH236" i="20"/>
  <c r="AH715" i="20"/>
  <c r="AH642" i="20"/>
  <c r="AH969" i="20"/>
  <c r="AH424" i="20"/>
  <c r="AH389" i="20"/>
  <c r="AH940" i="20"/>
  <c r="AH268" i="20"/>
  <c r="AH477" i="20"/>
  <c r="AH1024" i="20"/>
  <c r="AH596" i="20"/>
  <c r="AH171" i="20"/>
  <c r="AH691" i="20"/>
  <c r="AH12" i="20"/>
  <c r="AH547" i="20"/>
  <c r="AH1038" i="20"/>
  <c r="AE150" i="20"/>
  <c r="AK132" i="20"/>
  <c r="AB510" i="20"/>
  <c r="AC473" i="20"/>
  <c r="AC868" i="20"/>
  <c r="AE803" i="20"/>
  <c r="AE989" i="20"/>
  <c r="AK571" i="20"/>
  <c r="AC1011" i="20"/>
  <c r="AE564" i="20"/>
  <c r="AB1024" i="20"/>
  <c r="AE407" i="20"/>
  <c r="AE713" i="20"/>
  <c r="AG981" i="20"/>
  <c r="AC715" i="20"/>
  <c r="Z803" i="20"/>
  <c r="AG596" i="20"/>
  <c r="AB99" i="20"/>
  <c r="AF12" i="20"/>
  <c r="AB820" i="20"/>
  <c r="AA570" i="20"/>
  <c r="AG713" i="20"/>
  <c r="AA162" i="20"/>
  <c r="AD1041" i="20"/>
  <c r="AB827" i="20"/>
  <c r="AD272" i="20"/>
  <c r="AE272" i="20"/>
  <c r="AB161" i="20"/>
  <c r="Z577" i="20"/>
  <c r="Y547" i="20"/>
  <c r="AD981" i="20"/>
  <c r="AB892" i="20"/>
  <c r="AC827" i="20"/>
  <c r="AE273" i="20"/>
  <c r="AF930" i="20"/>
  <c r="AF939" i="20"/>
  <c r="AF935" i="20"/>
  <c r="AG759" i="20"/>
  <c r="AF614" i="20"/>
  <c r="AC424" i="20"/>
  <c r="AE1047" i="20"/>
  <c r="Z163" i="20"/>
  <c r="AK163" i="20"/>
  <c r="Z817" i="20"/>
  <c r="Y164" i="20"/>
  <c r="AF697" i="20"/>
  <c r="AE624" i="20"/>
  <c r="AG935" i="20"/>
  <c r="AF840" i="20"/>
  <c r="AB614" i="20"/>
  <c r="AA632" i="20"/>
  <c r="AK222" i="20"/>
  <c r="Z624" i="20"/>
  <c r="AA386" i="20"/>
  <c r="AK88" i="20"/>
  <c r="AK556" i="20"/>
  <c r="AC171" i="20"/>
  <c r="AA273" i="20"/>
  <c r="AA514" i="20"/>
  <c r="AG113" i="20"/>
  <c r="AR570" i="20"/>
  <c r="AP570" i="20"/>
  <c r="AP297" i="20"/>
  <c r="AR297" i="20"/>
  <c r="AP177" i="20"/>
  <c r="AR177" i="20"/>
  <c r="AP1070" i="20"/>
  <c r="AR1070" i="20"/>
  <c r="AP867" i="20"/>
  <c r="AR867" i="20"/>
  <c r="AR1067" i="20"/>
  <c r="AP1067" i="20"/>
  <c r="AP921" i="20"/>
  <c r="AR921" i="20"/>
  <c r="AR739" i="20"/>
  <c r="AP739" i="20"/>
  <c r="AR434" i="20"/>
  <c r="AP434" i="20"/>
  <c r="AR531" i="20"/>
  <c r="AP531" i="20"/>
  <c r="AR477" i="20"/>
  <c r="AP477" i="20"/>
  <c r="AR449" i="20"/>
  <c r="AP449" i="20"/>
  <c r="AN72" i="20"/>
  <c r="AL72" i="20"/>
  <c r="AJ72" i="20"/>
  <c r="Z72" i="20"/>
  <c r="AK72" i="20"/>
  <c r="AE72" i="20"/>
  <c r="AC72" i="20"/>
  <c r="AH72" i="20"/>
  <c r="AF72" i="20"/>
  <c r="Y72" i="20"/>
  <c r="AB72" i="20"/>
  <c r="AG72" i="20"/>
  <c r="AR278" i="20"/>
  <c r="AR164" i="20"/>
  <c r="AR923" i="20"/>
  <c r="AR170" i="20"/>
  <c r="AR367" i="20"/>
  <c r="AR472" i="20"/>
  <c r="AR909" i="20"/>
  <c r="AR135" i="20"/>
  <c r="AR898" i="20"/>
  <c r="AR459" i="20"/>
  <c r="Z408" i="20"/>
  <c r="AG820" i="20"/>
  <c r="AA77" i="20"/>
  <c r="AE491" i="20"/>
  <c r="AF632" i="20"/>
  <c r="AD596" i="20"/>
  <c r="AC665" i="20"/>
  <c r="AC995" i="20"/>
  <c r="AC1029" i="20"/>
  <c r="AD930" i="20"/>
  <c r="AF499" i="20"/>
  <c r="AF685" i="20"/>
  <c r="AB999" i="20"/>
  <c r="AD797" i="20"/>
  <c r="AA222" i="20"/>
  <c r="Z477" i="20"/>
  <c r="AK439" i="20"/>
  <c r="AK1038" i="20"/>
  <c r="AE868" i="20"/>
  <c r="AC930" i="20"/>
  <c r="Y746" i="20"/>
  <c r="AR555" i="20"/>
  <c r="AR557" i="20"/>
  <c r="AR237" i="20"/>
  <c r="AR801" i="20"/>
  <c r="AR1030" i="20"/>
  <c r="AR915" i="20"/>
  <c r="AR348" i="20"/>
  <c r="AR512" i="20"/>
  <c r="AR760" i="20"/>
  <c r="AR159" i="20"/>
  <c r="AR814" i="20"/>
  <c r="AR1018" i="20"/>
  <c r="AR435" i="20"/>
  <c r="AR412" i="20"/>
  <c r="AR1038" i="20"/>
  <c r="AR993" i="20"/>
  <c r="AG325" i="20"/>
  <c r="AL782" i="20"/>
  <c r="AL285" i="20"/>
  <c r="AL547" i="20"/>
  <c r="AL1029" i="20"/>
  <c r="AL161" i="20"/>
  <c r="AL1041" i="20"/>
  <c r="AJ175" i="20"/>
  <c r="AJ477" i="20"/>
  <c r="AJ161" i="20"/>
  <c r="AI183" i="20"/>
  <c r="AI1024" i="20"/>
  <c r="AI564" i="20"/>
  <c r="AI733" i="20"/>
  <c r="AI1047" i="20"/>
  <c r="AI486" i="20"/>
  <c r="AI169" i="20"/>
  <c r="AI713" i="20"/>
  <c r="AI527" i="20"/>
  <c r="AI830" i="20"/>
  <c r="AL549" i="20"/>
  <c r="AL527" i="20"/>
  <c r="AL969" i="20"/>
  <c r="AL733" i="20"/>
  <c r="AI235" i="20"/>
  <c r="AI547" i="20"/>
  <c r="AI514" i="20"/>
  <c r="AI88" i="20"/>
  <c r="AI141" i="20"/>
  <c r="AI628" i="20"/>
  <c r="AI447" i="20"/>
  <c r="AI283" i="20"/>
  <c r="AJ984" i="20"/>
  <c r="AJ88" i="20"/>
  <c r="AJ691" i="20"/>
  <c r="AJ781" i="20"/>
  <c r="AJ191" i="20"/>
  <c r="AJ782" i="20"/>
  <c r="AJ1024" i="20"/>
  <c r="AJ490" i="20"/>
  <c r="AL915" i="20"/>
  <c r="AL697" i="20"/>
  <c r="AL169" i="20"/>
  <c r="AL303" i="20"/>
  <c r="AL524" i="20"/>
  <c r="AL12" i="20"/>
  <c r="AL490" i="20"/>
  <c r="AH864" i="20"/>
  <c r="AI966" i="20"/>
  <c r="AI662" i="20"/>
  <c r="AI624" i="20"/>
  <c r="AI989" i="20"/>
  <c r="AI77" i="20"/>
  <c r="AI892" i="20"/>
  <c r="AI428" i="20"/>
  <c r="AJ1001" i="20"/>
  <c r="AJ331" i="20"/>
  <c r="AJ164" i="20"/>
  <c r="AJ222" i="20"/>
  <c r="AJ739" i="20"/>
  <c r="AJ632" i="20"/>
  <c r="H31" i="86" s="1"/>
  <c r="K31" i="86" s="1"/>
  <c r="AJ788" i="20"/>
  <c r="AJ211" i="20"/>
  <c r="AJ257" i="20"/>
  <c r="AJ966" i="20"/>
  <c r="AJ581" i="20"/>
  <c r="AJ165" i="20"/>
  <c r="AL439" i="20"/>
  <c r="AL755" i="20"/>
  <c r="AL484" i="20"/>
  <c r="AL685" i="20"/>
  <c r="AL534" i="20"/>
  <c r="AL141" i="20"/>
  <c r="AH320" i="20"/>
  <c r="AJ298" i="20"/>
  <c r="AJ808" i="20"/>
  <c r="AJ132" i="20"/>
  <c r="AJ1011" i="20"/>
  <c r="AJ715" i="20"/>
  <c r="AJ844" i="20"/>
  <c r="AJ332" i="20"/>
  <c r="AJ728" i="20"/>
  <c r="AJ556" i="20"/>
  <c r="AJ974" i="20"/>
  <c r="AL868" i="20"/>
  <c r="AL906" i="20"/>
  <c r="AL418" i="20"/>
  <c r="AL422" i="20"/>
  <c r="AL415" i="20"/>
  <c r="AL1034" i="20"/>
  <c r="AL659" i="20"/>
  <c r="AL348" i="20"/>
  <c r="AL1038" i="20"/>
  <c r="AL556" i="20"/>
  <c r="AH667" i="20"/>
  <c r="AH750" i="20"/>
  <c r="AH624" i="20"/>
  <c r="AH273" i="20"/>
  <c r="AH648" i="20"/>
  <c r="AH632" i="20"/>
  <c r="AH1047" i="20"/>
  <c r="AL930" i="20"/>
  <c r="AL701" i="20"/>
  <c r="AL910" i="20"/>
  <c r="AL989" i="20"/>
  <c r="AL892" i="20"/>
  <c r="AH285" i="20"/>
  <c r="AL614" i="20"/>
  <c r="AL974" i="20"/>
  <c r="AH370" i="20"/>
  <c r="AH677" i="20"/>
  <c r="AH162" i="20"/>
  <c r="AH191" i="20"/>
  <c r="AH920" i="20"/>
  <c r="AH910" i="20"/>
  <c r="AH556" i="20"/>
  <c r="AH989" i="20"/>
  <c r="AH755" i="20"/>
  <c r="Z150" i="20"/>
  <c r="AH348" i="20"/>
  <c r="AH132" i="20"/>
  <c r="AH88" i="20"/>
  <c r="AH818" i="20"/>
  <c r="AH786" i="20"/>
  <c r="AH407" i="20"/>
  <c r="AH807" i="20"/>
  <c r="AH484" i="20"/>
  <c r="Y150" i="20"/>
  <c r="AE697" i="20"/>
  <c r="Z605" i="20"/>
  <c r="AA407" i="20"/>
  <c r="AG697" i="20"/>
  <c r="AF803" i="20"/>
  <c r="AK1034" i="20"/>
  <c r="AC610" i="20"/>
  <c r="AE830" i="20"/>
  <c r="AA412" i="20"/>
  <c r="Y659" i="20"/>
  <c r="AF845" i="20"/>
  <c r="AF1034" i="20"/>
  <c r="AA348" i="20"/>
  <c r="AE974" i="20"/>
  <c r="AE827" i="20"/>
  <c r="AG868" i="20"/>
  <c r="Z1001" i="20"/>
  <c r="AA677" i="20"/>
  <c r="Y1034" i="20"/>
  <c r="AC677" i="20"/>
  <c r="AD77" i="20"/>
  <c r="AB845" i="20"/>
  <c r="Z888" i="20"/>
  <c r="AK1041" i="20"/>
  <c r="Y439" i="20"/>
  <c r="Z1011" i="20"/>
  <c r="Y989" i="20"/>
  <c r="AA920" i="20"/>
  <c r="Z348" i="20"/>
  <c r="AK412" i="20"/>
  <c r="AA72" i="20"/>
  <c r="Y691" i="20"/>
  <c r="AD653" i="20"/>
  <c r="AG486" i="20"/>
  <c r="AF605" i="20"/>
  <c r="AE222" i="20"/>
  <c r="Z101" i="20"/>
  <c r="AA473" i="20"/>
  <c r="AD734" i="20"/>
  <c r="AK549" i="20"/>
  <c r="AK499" i="20"/>
  <c r="AE797" i="20"/>
  <c r="Y434" i="20"/>
  <c r="AF211" i="20"/>
  <c r="AF331" i="20"/>
  <c r="AG984" i="20"/>
  <c r="AE618" i="20"/>
  <c r="AD844" i="20"/>
  <c r="AC600" i="20"/>
  <c r="AK510" i="20"/>
  <c r="AC477" i="20"/>
  <c r="AD348" i="20"/>
  <c r="AA1047" i="20"/>
  <c r="AB521" i="20"/>
  <c r="AG840" i="20"/>
  <c r="AC632" i="20"/>
  <c r="AK171" i="20"/>
  <c r="AB401" i="20"/>
  <c r="AD817" i="20"/>
  <c r="AA316" i="20"/>
  <c r="AG455" i="20"/>
  <c r="AD788" i="20"/>
  <c r="AE755" i="20"/>
  <c r="Z808" i="20"/>
  <c r="AE165" i="20"/>
  <c r="Z788" i="20"/>
  <c r="Z144" i="20"/>
  <c r="AC701" i="20"/>
  <c r="AD966" i="20"/>
  <c r="AF428" i="20"/>
  <c r="AD1045" i="20"/>
  <c r="AA165" i="20"/>
  <c r="AA409" i="20"/>
  <c r="AN211" i="20"/>
  <c r="AK1153" i="20"/>
  <c r="AG1153" i="20"/>
  <c r="Y1149" i="20"/>
  <c r="AF1149" i="20"/>
  <c r="AB1149" i="20"/>
  <c r="AG1149" i="20"/>
  <c r="AB1165" i="20"/>
  <c r="AF1165" i="20"/>
  <c r="AE1165" i="20"/>
  <c r="AA1173" i="20"/>
  <c r="AH1173" i="20"/>
  <c r="AG1173" i="20"/>
  <c r="AK1181" i="20"/>
  <c r="AH1181" i="20"/>
  <c r="AB1189" i="20"/>
  <c r="AN1189" i="20"/>
  <c r="AE1193" i="20"/>
  <c r="Z1193" i="20"/>
  <c r="AD1193" i="20"/>
  <c r="AF1201" i="20"/>
  <c r="Z1201" i="20"/>
  <c r="AE1201" i="20"/>
  <c r="AN1209" i="20"/>
  <c r="AH1209" i="20"/>
  <c r="AC1217" i="20"/>
  <c r="Z1217" i="20"/>
  <c r="AN1217" i="20"/>
  <c r="AL1217" i="20"/>
  <c r="Z1221" i="20"/>
  <c r="AK1221" i="20"/>
  <c r="AC1229" i="20"/>
  <c r="AI1229" i="20"/>
  <c r="AJ1229" i="20"/>
  <c r="AI1233" i="20"/>
  <c r="AA1233" i="20"/>
  <c r="Z1237" i="20"/>
  <c r="AC1237" i="20"/>
  <c r="AA1237" i="20"/>
  <c r="AL1237" i="20"/>
  <c r="AD1237" i="20"/>
  <c r="AK1237" i="20"/>
  <c r="AA1245" i="20"/>
  <c r="AI1245" i="20"/>
  <c r="AF1245" i="20"/>
  <c r="AJ1245" i="20"/>
  <c r="AE1245" i="20"/>
  <c r="AJ1253" i="20"/>
  <c r="AB1253" i="20"/>
  <c r="AH1253" i="20"/>
  <c r="AJ1261" i="20"/>
  <c r="AN1261" i="20"/>
  <c r="AN1273" i="20"/>
  <c r="AA1273" i="20"/>
  <c r="AB1277" i="20"/>
  <c r="AA1277" i="20"/>
  <c r="Y1277" i="20"/>
  <c r="AI1277" i="20"/>
  <c r="AK1285" i="20"/>
  <c r="AE1285" i="20"/>
  <c r="Y1285" i="20"/>
  <c r="AJ1293" i="20"/>
  <c r="AG1293" i="20"/>
  <c r="AB1297" i="20"/>
  <c r="AC1297" i="20"/>
  <c r="Z1301" i="20"/>
  <c r="AJ1301" i="20"/>
  <c r="Z1317" i="20"/>
  <c r="AC1317" i="20"/>
  <c r="AA1325" i="20"/>
  <c r="AI1325" i="20"/>
  <c r="AP632" i="20"/>
  <c r="AR522" i="20"/>
  <c r="AP1205" i="20"/>
  <c r="AP837" i="20"/>
  <c r="AR837" i="20"/>
  <c r="AR501" i="20"/>
  <c r="AP501" i="20"/>
  <c r="AB42" i="20"/>
  <c r="AJ42" i="20"/>
  <c r="Y42" i="20"/>
  <c r="AG42" i="20"/>
  <c r="AD42" i="20"/>
  <c r="AL42" i="20"/>
  <c r="AA42" i="20"/>
  <c r="AI42" i="20"/>
  <c r="Z247" i="20"/>
  <c r="AH247" i="20"/>
  <c r="AA247" i="20"/>
  <c r="AI247" i="20"/>
  <c r="AD247" i="20"/>
  <c r="AN247" i="20"/>
  <c r="Y247" i="20"/>
  <c r="AK247" i="20"/>
  <c r="AF247" i="20"/>
  <c r="AC247" i="20"/>
  <c r="AR914" i="20"/>
  <c r="AR102" i="20"/>
  <c r="AR20" i="20"/>
  <c r="AR270" i="20"/>
  <c r="AR413" i="20"/>
  <c r="AR589" i="20"/>
  <c r="AR480" i="20"/>
  <c r="AP848" i="20"/>
  <c r="AR626" i="20"/>
  <c r="AP141" i="20"/>
  <c r="AR372" i="20"/>
  <c r="AR900" i="20"/>
  <c r="AP417" i="20"/>
  <c r="AR516" i="20"/>
  <c r="AR488" i="20"/>
  <c r="AR849" i="20"/>
  <c r="AR471" i="20"/>
  <c r="AR985" i="20"/>
  <c r="AR478" i="20"/>
  <c r="AR439" i="20"/>
  <c r="AP610" i="20"/>
  <c r="AK42" i="20"/>
  <c r="AN42" i="20"/>
  <c r="AG247" i="20"/>
  <c r="AP282" i="20"/>
  <c r="AR282" i="20"/>
  <c r="AR509" i="20"/>
  <c r="AP509" i="20"/>
  <c r="AB189" i="20"/>
  <c r="Y189" i="20"/>
  <c r="AA189" i="20"/>
  <c r="AD189" i="20"/>
  <c r="AJ189" i="20"/>
  <c r="AK189" i="20"/>
  <c r="AH189" i="20"/>
  <c r="AN189" i="20"/>
  <c r="AE189" i="20"/>
  <c r="AL189" i="20"/>
  <c r="AR545" i="20"/>
  <c r="AR597" i="20"/>
  <c r="AR936" i="20"/>
  <c r="AP166" i="20"/>
  <c r="AP991" i="20"/>
  <c r="AP699" i="20"/>
  <c r="AP740" i="20"/>
  <c r="AP697" i="20"/>
  <c r="AP695" i="20"/>
  <c r="AR1053" i="20"/>
  <c r="AP392" i="20"/>
  <c r="AP648" i="20"/>
  <c r="AR813" i="20"/>
  <c r="AP805" i="20"/>
  <c r="AP613" i="20"/>
  <c r="AP971" i="20"/>
  <c r="AE42" i="20"/>
  <c r="AH42" i="20"/>
  <c r="Z189" i="20"/>
  <c r="AF189" i="20"/>
  <c r="AE247" i="20"/>
  <c r="AL247" i="20"/>
  <c r="AP1044" i="20"/>
  <c r="AR1044" i="20"/>
  <c r="AR996" i="20"/>
  <c r="AR786" i="20"/>
  <c r="AP978" i="20"/>
  <c r="AR897" i="20"/>
  <c r="AP599" i="20"/>
  <c r="AP1003" i="20"/>
  <c r="AC42" i="20"/>
  <c r="AF42" i="20"/>
  <c r="AI189" i="20"/>
  <c r="AJ247" i="20"/>
  <c r="AR784" i="20"/>
  <c r="AP784" i="20"/>
  <c r="AR667" i="20"/>
  <c r="AP667" i="20"/>
  <c r="AP604" i="20"/>
  <c r="AR604" i="20"/>
  <c r="AR549" i="20"/>
  <c r="AP549" i="20"/>
  <c r="AR482" i="20"/>
  <c r="AP482" i="20"/>
  <c r="AP292" i="20"/>
  <c r="AR292" i="20"/>
  <c r="AP1072" i="20"/>
  <c r="AR1072" i="20"/>
  <c r="AP1027" i="20"/>
  <c r="AR1027" i="20"/>
  <c r="AP751" i="20"/>
  <c r="AR751" i="20"/>
  <c r="AR306" i="20"/>
  <c r="AP306" i="20"/>
  <c r="AP289" i="20"/>
  <c r="AR289" i="20"/>
  <c r="AP1029" i="20"/>
  <c r="AR1029" i="20"/>
  <c r="AP870" i="20"/>
  <c r="AR870" i="20"/>
  <c r="AR778" i="20"/>
  <c r="AP778" i="20"/>
  <c r="AP405" i="20"/>
  <c r="AR405" i="20"/>
  <c r="AP1021" i="20"/>
  <c r="AR1021" i="20"/>
  <c r="AP1066" i="20"/>
  <c r="AR1066" i="20"/>
  <c r="AP792" i="20"/>
  <c r="AR792" i="20"/>
  <c r="AP638" i="20"/>
  <c r="AR638" i="20"/>
  <c r="AR967" i="20"/>
  <c r="AP967" i="20"/>
  <c r="AP274" i="20"/>
  <c r="AR274" i="20"/>
  <c r="AR693" i="20"/>
  <c r="AP693" i="20"/>
  <c r="AR618" i="20"/>
  <c r="AP618" i="20"/>
  <c r="AR519" i="20"/>
  <c r="AP519" i="20"/>
  <c r="AP1039" i="20"/>
  <c r="AR1039" i="20"/>
  <c r="AB365" i="20"/>
  <c r="Y365" i="20"/>
  <c r="Z365" i="20"/>
  <c r="AA365" i="20"/>
  <c r="Z583" i="20"/>
  <c r="AH583" i="20"/>
  <c r="AC583" i="20"/>
  <c r="AK583" i="20"/>
  <c r="AF977" i="20"/>
  <c r="AN977" i="20"/>
  <c r="Y977" i="20"/>
  <c r="AG977" i="20"/>
  <c r="Z916" i="20"/>
  <c r="AH916" i="20"/>
  <c r="Y916" i="20"/>
  <c r="AG916" i="20"/>
  <c r="AB916" i="20"/>
  <c r="AL916" i="20"/>
  <c r="AE916" i="20"/>
  <c r="AB1049" i="20"/>
  <c r="Y1049" i="20"/>
  <c r="AE1049" i="20"/>
  <c r="AL1049" i="20"/>
  <c r="AF1049" i="20"/>
  <c r="AG1049" i="20"/>
  <c r="AH1049" i="20"/>
  <c r="AN244" i="20"/>
  <c r="AK244" i="20"/>
  <c r="AL244" i="20"/>
  <c r="AB244" i="20"/>
  <c r="AC244" i="20"/>
  <c r="AH244" i="20"/>
  <c r="AP333" i="20"/>
  <c r="AR333" i="20"/>
  <c r="AF333" i="20"/>
  <c r="AN333" i="20"/>
  <c r="AE333" i="20"/>
  <c r="AB333" i="20"/>
  <c r="AL333" i="20"/>
  <c r="AG333" i="20"/>
  <c r="AF374" i="20"/>
  <c r="AN374" i="20"/>
  <c r="AG374" i="20"/>
  <c r="AD374" i="20"/>
  <c r="Y374" i="20"/>
  <c r="AK374" i="20"/>
  <c r="Z708" i="20"/>
  <c r="AH708" i="20"/>
  <c r="AE708" i="20"/>
  <c r="AB708" i="20"/>
  <c r="AL708" i="20"/>
  <c r="AA708" i="20"/>
  <c r="AK708" i="20"/>
  <c r="Z723" i="20"/>
  <c r="AH723" i="20"/>
  <c r="AK723" i="20"/>
  <c r="AC723" i="20"/>
  <c r="AB723" i="20"/>
  <c r="AL723" i="20"/>
  <c r="AA723" i="20"/>
  <c r="AF774" i="20"/>
  <c r="AN774" i="20"/>
  <c r="Y774" i="20"/>
  <c r="AG774" i="20"/>
  <c r="AH774" i="20"/>
  <c r="AE774" i="20"/>
  <c r="AN883" i="20"/>
  <c r="AK883" i="20"/>
  <c r="AL883" i="20"/>
  <c r="AB883" i="20"/>
  <c r="AC883" i="20"/>
  <c r="AH883" i="20"/>
  <c r="AF950" i="20"/>
  <c r="AN950" i="20"/>
  <c r="AE950" i="20"/>
  <c r="AB950" i="20"/>
  <c r="AL950" i="20"/>
  <c r="AG950" i="20"/>
  <c r="AF355" i="20"/>
  <c r="AN355" i="20"/>
  <c r="Y355" i="20"/>
  <c r="AG355" i="20"/>
  <c r="AB355" i="20"/>
  <c r="AL355" i="20"/>
  <c r="AA355" i="20"/>
  <c r="AK355" i="20"/>
  <c r="Z773" i="20"/>
  <c r="AD773" i="20"/>
  <c r="AI773" i="20"/>
  <c r="AN773" i="20"/>
  <c r="Y773" i="20"/>
  <c r="AE773" i="20"/>
  <c r="AK773" i="20"/>
  <c r="Y765" i="20"/>
  <c r="AC765" i="20"/>
  <c r="AG765" i="20"/>
  <c r="AK765" i="20"/>
  <c r="AD765" i="20"/>
  <c r="AI765" i="20"/>
  <c r="AA850" i="20"/>
  <c r="AE850" i="20"/>
  <c r="AI850" i="20"/>
  <c r="AN850" i="20"/>
  <c r="Z850" i="20"/>
  <c r="AF850" i="20"/>
  <c r="AK850" i="20"/>
  <c r="Z32" i="20"/>
  <c r="AD32" i="20"/>
  <c r="AB32" i="20"/>
  <c r="AC32" i="20"/>
  <c r="AG32" i="20"/>
  <c r="AJ340" i="20"/>
  <c r="AA340" i="20"/>
  <c r="AI340" i="20"/>
  <c r="AD340" i="20"/>
  <c r="Y340" i="20"/>
  <c r="AK340" i="20"/>
  <c r="Y381" i="20"/>
  <c r="AF381" i="20"/>
  <c r="AE381" i="20"/>
  <c r="AH381" i="20"/>
  <c r="AN381" i="20"/>
  <c r="AD381" i="20"/>
  <c r="AL381" i="20"/>
  <c r="AF359" i="20"/>
  <c r="AG359" i="20"/>
  <c r="AI359" i="20"/>
  <c r="Z359" i="20"/>
  <c r="AE359" i="20"/>
  <c r="AD359" i="20"/>
  <c r="AJ704" i="20"/>
  <c r="AH704" i="20"/>
  <c r="AG704" i="20"/>
  <c r="AI704" i="20"/>
  <c r="AF704" i="20"/>
  <c r="AL704" i="20"/>
  <c r="AA704" i="20"/>
  <c r="AA772" i="20"/>
  <c r="AE772" i="20"/>
  <c r="AI772" i="20"/>
  <c r="AN772" i="20"/>
  <c r="Z772" i="20"/>
  <c r="AF772" i="20"/>
  <c r="AK772" i="20"/>
  <c r="AJ855" i="20"/>
  <c r="Z855" i="20"/>
  <c r="AH855" i="20"/>
  <c r="Y855" i="20"/>
  <c r="AC855" i="20"/>
  <c r="AI855" i="20"/>
  <c r="AK855" i="20"/>
  <c r="AF851" i="20"/>
  <c r="AG851" i="20"/>
  <c r="Y851" i="20"/>
  <c r="AA851" i="20"/>
  <c r="AE851" i="20"/>
  <c r="Z851" i="20"/>
  <c r="AH851" i="20"/>
  <c r="Z962" i="20"/>
  <c r="AE962" i="20"/>
  <c r="AJ962" i="20"/>
  <c r="AA962" i="20"/>
  <c r="AH962" i="20"/>
  <c r="AI365" i="20"/>
  <c r="AD365" i="20"/>
  <c r="AN365" i="20"/>
  <c r="AE583" i="20"/>
  <c r="AF583" i="20"/>
  <c r="AK977" i="20"/>
  <c r="AA977" i="20"/>
  <c r="AL977" i="20"/>
  <c r="AB977" i="20"/>
  <c r="AK916" i="20"/>
  <c r="AN916" i="20"/>
  <c r="Z1049" i="20"/>
  <c r="AJ1049" i="20"/>
  <c r="AD244" i="20"/>
  <c r="AJ244" i="20"/>
  <c r="AI333" i="20"/>
  <c r="AJ333" i="20"/>
  <c r="AA374" i="20"/>
  <c r="AB374" i="20"/>
  <c r="AG708" i="20"/>
  <c r="AN708" i="20"/>
  <c r="AI723" i="20"/>
  <c r="AD723" i="20"/>
  <c r="AC774" i="20"/>
  <c r="AB774" i="20"/>
  <c r="AE883" i="20"/>
  <c r="AG883" i="20"/>
  <c r="AA950" i="20"/>
  <c r="AD950" i="20"/>
  <c r="AI355" i="20"/>
  <c r="AD355" i="20"/>
  <c r="AJ773" i="20"/>
  <c r="AB773" i="20"/>
  <c r="AH765" i="20"/>
  <c r="AA765" i="20"/>
  <c r="AG850" i="20"/>
  <c r="Y850" i="20"/>
  <c r="AI32" i="20"/>
  <c r="AE32" i="20"/>
  <c r="AA32" i="20"/>
  <c r="AK32" i="20"/>
  <c r="Y32" i="20"/>
  <c r="AB340" i="20"/>
  <c r="AG340" i="20"/>
  <c r="AB381" i="20"/>
  <c r="AG381" i="20"/>
  <c r="AJ359" i="20"/>
  <c r="AC704" i="20"/>
  <c r="AN704" i="20"/>
  <c r="AJ772" i="20"/>
  <c r="AC772" i="20"/>
  <c r="AJ851" i="20"/>
  <c r="AB855" i="20"/>
  <c r="AN962" i="20"/>
  <c r="AD962" i="20"/>
  <c r="AJ1242" i="20"/>
  <c r="AE1194" i="20"/>
  <c r="AE24" i="20"/>
  <c r="AE1152" i="20"/>
  <c r="AL24" i="20"/>
  <c r="Z1148" i="20"/>
  <c r="AD1160" i="20"/>
  <c r="Y24" i="20"/>
  <c r="AI1160" i="20"/>
  <c r="Z1160" i="20"/>
  <c r="AE365" i="20"/>
  <c r="AK365" i="20"/>
  <c r="AJ365" i="20"/>
  <c r="AA583" i="20"/>
  <c r="AN583" i="20"/>
  <c r="AD583" i="20"/>
  <c r="AI977" i="20"/>
  <c r="AJ977" i="20"/>
  <c r="Z977" i="20"/>
  <c r="AI916" i="20"/>
  <c r="AJ916" i="20"/>
  <c r="AI1049" i="20"/>
  <c r="AK1049" i="20"/>
  <c r="AI244" i="20"/>
  <c r="Z244" i="20"/>
  <c r="AF244" i="20"/>
  <c r="AC333" i="20"/>
  <c r="AH333" i="20"/>
  <c r="AE374" i="20"/>
  <c r="AL374" i="20"/>
  <c r="Z374" i="20"/>
  <c r="AC708" i="20"/>
  <c r="AJ708" i="20"/>
  <c r="AG723" i="20"/>
  <c r="AN723" i="20"/>
  <c r="AA774" i="20"/>
  <c r="AL774" i="20"/>
  <c r="Z774" i="20"/>
  <c r="AA883" i="20"/>
  <c r="Y883" i="20"/>
  <c r="AK950" i="20"/>
  <c r="Y950" i="20"/>
  <c r="Z950" i="20"/>
  <c r="AE355" i="20"/>
  <c r="Z355" i="20"/>
  <c r="AG773" i="20"/>
  <c r="AA773" i="20"/>
  <c r="AH773" i="20"/>
  <c r="AN765" i="20"/>
  <c r="AF765" i="20"/>
  <c r="Z765" i="20"/>
  <c r="AL850" i="20"/>
  <c r="AD850" i="20"/>
  <c r="AF32" i="20"/>
  <c r="AN32" i="20"/>
  <c r="AF340" i="20"/>
  <c r="Z381" i="20"/>
  <c r="AA381" i="20"/>
  <c r="AN359" i="20"/>
  <c r="AB359" i="20"/>
  <c r="Y704" i="20"/>
  <c r="AB704" i="20"/>
  <c r="AH772" i="20"/>
  <c r="AB772" i="20"/>
  <c r="AA855" i="20"/>
  <c r="AK851" i="20"/>
  <c r="AG855" i="20"/>
  <c r="AC851" i="20"/>
  <c r="AN855" i="20"/>
  <c r="AB851" i="20"/>
  <c r="AL962" i="20"/>
  <c r="AB962" i="20"/>
  <c r="AR1319" i="20"/>
  <c r="AP1267" i="20"/>
  <c r="AR183" i="20"/>
  <c r="AP622" i="20"/>
  <c r="AP799" i="20"/>
  <c r="AP479" i="20"/>
  <c r="AR499" i="20"/>
  <c r="AP1001" i="20"/>
  <c r="AR1001" i="20"/>
  <c r="AP793" i="20"/>
  <c r="AR793" i="20"/>
  <c r="AR686" i="20"/>
  <c r="AP686" i="20"/>
  <c r="AP544" i="20"/>
  <c r="AR544" i="20"/>
  <c r="AP345" i="20"/>
  <c r="AR345" i="20"/>
  <c r="AR298" i="20"/>
  <c r="AP298" i="20"/>
  <c r="AP295" i="20"/>
  <c r="AR295" i="20"/>
  <c r="AR511" i="20"/>
  <c r="AP511" i="20"/>
  <c r="AP1031" i="20"/>
  <c r="AR1031" i="20"/>
  <c r="AP903" i="20"/>
  <c r="AR903" i="20"/>
  <c r="AR836" i="20"/>
  <c r="AP836" i="20"/>
  <c r="AP756" i="20"/>
  <c r="AR756" i="20"/>
  <c r="AP641" i="20"/>
  <c r="AR641" i="20"/>
  <c r="AP432" i="20"/>
  <c r="AR432" i="20"/>
  <c r="AP425" i="20"/>
  <c r="AR425" i="20"/>
  <c r="AR940" i="20"/>
  <c r="AP940" i="20"/>
  <c r="AR833" i="20"/>
  <c r="AP833" i="20"/>
  <c r="AR562" i="20"/>
  <c r="AP562" i="20"/>
  <c r="AR979" i="20"/>
  <c r="AP979" i="20"/>
  <c r="AR732" i="20"/>
  <c r="AP732" i="20"/>
  <c r="AP895" i="20"/>
  <c r="AR895" i="20"/>
  <c r="AR576" i="20"/>
  <c r="AP576" i="20"/>
  <c r="AR191" i="20"/>
  <c r="AP191" i="20"/>
  <c r="AR433" i="20"/>
  <c r="AP433" i="20"/>
  <c r="AR625" i="20"/>
  <c r="AP625" i="20"/>
  <c r="AP602" i="20"/>
  <c r="AR602" i="20"/>
  <c r="AP554" i="20"/>
  <c r="AR554" i="20"/>
  <c r="AP438" i="20"/>
  <c r="AR438" i="20"/>
  <c r="AR187" i="20"/>
  <c r="AP187" i="20"/>
  <c r="AP179" i="20"/>
  <c r="AR179" i="20"/>
  <c r="AP901" i="20"/>
  <c r="AR901" i="20"/>
  <c r="AR586" i="20"/>
  <c r="AP586" i="20"/>
  <c r="AP630" i="20"/>
  <c r="AR630" i="20"/>
  <c r="AP999" i="20"/>
  <c r="AR999" i="20"/>
  <c r="AL1146" i="20"/>
  <c r="AF1146" i="20"/>
  <c r="AI1146" i="20"/>
  <c r="AE1146" i="20"/>
  <c r="AH1146" i="20"/>
  <c r="AB1146" i="20"/>
  <c r="AA1146" i="20"/>
  <c r="AC1146" i="20"/>
  <c r="Z1142" i="20"/>
  <c r="AE1142" i="20"/>
  <c r="AH1142" i="20"/>
  <c r="AI1142" i="20"/>
  <c r="AB1142" i="20"/>
  <c r="AJ1142" i="20"/>
  <c r="AC1142" i="20"/>
  <c r="AL1130" i="20"/>
  <c r="AE1130" i="20"/>
  <c r="Z1130" i="20"/>
  <c r="AD1126" i="20"/>
  <c r="AI1126" i="20"/>
  <c r="AJ1126" i="20"/>
  <c r="Z1122" i="20"/>
  <c r="AL1122" i="20"/>
  <c r="AE1122" i="20"/>
  <c r="AJ1122" i="20"/>
  <c r="AI1118" i="20"/>
  <c r="AD1118" i="20"/>
  <c r="AJ1118" i="20"/>
  <c r="Z1114" i="20"/>
  <c r="AE1114" i="20"/>
  <c r="AL1114" i="20"/>
  <c r="AC1114" i="20"/>
  <c r="AK1114" i="20"/>
  <c r="AN1110" i="20"/>
  <c r="AB1110" i="20"/>
  <c r="AD1110" i="20"/>
  <c r="AE1110" i="20"/>
  <c r="AA1110" i="20"/>
  <c r="AF1106" i="20"/>
  <c r="AL1106" i="20"/>
  <c r="AB1106" i="20"/>
  <c r="Z1106" i="20"/>
  <c r="AE1106" i="20"/>
  <c r="AG1106" i="20"/>
  <c r="AB1102" i="20"/>
  <c r="AF1102" i="20"/>
  <c r="AD1102" i="20"/>
  <c r="AE1102" i="20"/>
  <c r="Y1102" i="20"/>
  <c r="AI1098" i="20"/>
  <c r="AD1098" i="20"/>
  <c r="AE1098" i="20"/>
  <c r="AF1098" i="20"/>
  <c r="AL1098" i="20"/>
  <c r="Y1098" i="20"/>
  <c r="AE1094" i="20"/>
  <c r="AN1094" i="20"/>
  <c r="Z1094" i="20"/>
  <c r="AF1094" i="20"/>
  <c r="AL1094" i="20"/>
  <c r="AI1094" i="20"/>
  <c r="Y1094" i="20"/>
  <c r="AF1090" i="20"/>
  <c r="AI1090" i="20"/>
  <c r="Z1090" i="20"/>
  <c r="AN1090" i="20"/>
  <c r="AL1090" i="20"/>
  <c r="Y1090" i="20"/>
  <c r="AL1086" i="20"/>
  <c r="AG1086" i="20"/>
  <c r="AF1086" i="20"/>
  <c r="AH1086" i="20"/>
  <c r="AI1086" i="20"/>
  <c r="AK1086" i="20"/>
  <c r="AB1086" i="20"/>
  <c r="AJ1086" i="20"/>
  <c r="AD1082" i="20"/>
  <c r="AG1082" i="20"/>
  <c r="AN1082" i="20"/>
  <c r="AH1082" i="20"/>
  <c r="AI1082" i="20"/>
  <c r="AK1082" i="20"/>
  <c r="AJ1082" i="20"/>
  <c r="AL1078" i="20"/>
  <c r="AB1078" i="20"/>
  <c r="AK1078" i="20"/>
  <c r="AJ1078" i="20"/>
  <c r="AC1078" i="20"/>
  <c r="AE1078" i="20"/>
  <c r="AH1078" i="20"/>
  <c r="AH139" i="20"/>
  <c r="AE139" i="20"/>
  <c r="AI139" i="20"/>
  <c r="AL139" i="20"/>
  <c r="AB139" i="20"/>
  <c r="AA139" i="20"/>
  <c r="AJ139" i="20"/>
  <c r="Y134" i="20"/>
  <c r="Z134" i="20"/>
  <c r="AF134" i="20"/>
  <c r="AG134" i="20"/>
  <c r="AE134" i="20"/>
  <c r="AB134" i="20"/>
  <c r="AG124" i="20"/>
  <c r="AF124" i="20"/>
  <c r="AJ124" i="20"/>
  <c r="AA124" i="20"/>
  <c r="Y124" i="20"/>
  <c r="AH124" i="20"/>
  <c r="AJ119" i="20"/>
  <c r="AC119" i="20"/>
  <c r="AH119" i="20"/>
  <c r="AB119" i="20"/>
  <c r="AK119" i="20"/>
  <c r="AE112" i="20"/>
  <c r="AG112" i="20"/>
  <c r="AJ112" i="20"/>
  <c r="AL112" i="20"/>
  <c r="AD112" i="20"/>
  <c r="Y112" i="20"/>
  <c r="AA112" i="20"/>
  <c r="AB112" i="20"/>
  <c r="AJ109" i="20"/>
  <c r="AI109" i="20"/>
  <c r="AB109" i="20"/>
  <c r="Y109" i="20"/>
  <c r="AG109" i="20"/>
  <c r="AE109" i="20"/>
  <c r="AB104" i="20"/>
  <c r="AC104" i="20"/>
  <c r="AA104" i="20"/>
  <c r="AJ104" i="20"/>
  <c r="AG104" i="20"/>
  <c r="AL104" i="20"/>
  <c r="AH104" i="20"/>
  <c r="Y98" i="20"/>
  <c r="AA98" i="20"/>
  <c r="AJ98" i="20"/>
  <c r="AG98" i="20"/>
  <c r="AL98" i="20"/>
  <c r="AB98" i="20"/>
  <c r="AE98" i="20"/>
  <c r="AD98" i="20"/>
  <c r="AC83" i="20"/>
  <c r="Z83" i="20"/>
  <c r="Y83" i="20"/>
  <c r="AL83" i="20"/>
  <c r="AI83" i="20"/>
  <c r="AH83" i="20"/>
  <c r="AH71" i="20"/>
  <c r="AB71" i="20"/>
  <c r="Y71" i="20"/>
  <c r="Z71" i="20"/>
  <c r="AF71" i="20"/>
  <c r="AK71" i="20"/>
  <c r="AG71" i="20"/>
  <c r="AH67" i="20"/>
  <c r="AB67" i="20"/>
  <c r="AL67" i="20"/>
  <c r="AJ67" i="20"/>
  <c r="AK67" i="20"/>
  <c r="Y67" i="20"/>
  <c r="Y61" i="20"/>
  <c r="AE61" i="20"/>
  <c r="AF61" i="20"/>
  <c r="AG61" i="20"/>
  <c r="Z61" i="20"/>
  <c r="AL61" i="20"/>
  <c r="AG56" i="20"/>
  <c r="AH56" i="20"/>
  <c r="Y56" i="20"/>
  <c r="Z56" i="20"/>
  <c r="AL56" i="20"/>
  <c r="AI56" i="20"/>
  <c r="AJ47" i="20"/>
  <c r="AK47" i="20"/>
  <c r="AG47" i="20"/>
  <c r="AH47" i="20"/>
  <c r="AB47" i="20"/>
  <c r="Y47" i="20"/>
  <c r="AE47" i="20"/>
  <c r="AC25" i="20"/>
  <c r="Z25" i="20"/>
  <c r="AL25" i="20"/>
  <c r="AG25" i="20"/>
  <c r="AB25" i="20"/>
  <c r="AA25" i="20"/>
  <c r="AR974" i="20"/>
  <c r="AR157" i="20"/>
  <c r="AP655" i="20"/>
  <c r="AR1073" i="20"/>
  <c r="AR841" i="20"/>
  <c r="AR1172" i="20"/>
  <c r="AR356" i="20"/>
  <c r="AP1258" i="20"/>
  <c r="AR375" i="20"/>
  <c r="AR765" i="20"/>
  <c r="AP878" i="20"/>
  <c r="AR1248" i="20"/>
  <c r="AR1236" i="20"/>
  <c r="AR1244" i="20"/>
  <c r="AP1276" i="20"/>
  <c r="AR775" i="20"/>
  <c r="AP856" i="20"/>
  <c r="AP960" i="20"/>
  <c r="AP1237" i="20"/>
  <c r="AR1237" i="20"/>
  <c r="AP868" i="20"/>
  <c r="AR868" i="20"/>
  <c r="AP843" i="20"/>
  <c r="AR843" i="20"/>
  <c r="AP468" i="20"/>
  <c r="AR468" i="20"/>
  <c r="AR217" i="20"/>
  <c r="AR541" i="20"/>
  <c r="AR513" i="20"/>
  <c r="AR712" i="20"/>
  <c r="AR204" i="20"/>
  <c r="AR303" i="20"/>
  <c r="AR326" i="20"/>
  <c r="AP791" i="20"/>
  <c r="AR430" i="20"/>
  <c r="AR510" i="20"/>
  <c r="AR969" i="20"/>
  <c r="AR448" i="20"/>
  <c r="AR802" i="20"/>
  <c r="AR970" i="20"/>
  <c r="AR350" i="20"/>
  <c r="AR757" i="20"/>
  <c r="AR1074" i="20"/>
  <c r="AP296" i="20"/>
  <c r="AP325" i="20"/>
  <c r="AR636" i="20"/>
  <c r="AR689" i="20"/>
  <c r="AP470" i="20"/>
  <c r="AR129" i="20"/>
  <c r="AP129" i="20"/>
  <c r="AP134" i="20"/>
  <c r="AR134" i="20"/>
  <c r="AP75" i="20"/>
  <c r="AR75" i="20"/>
  <c r="AR976" i="20"/>
  <c r="AP976" i="20"/>
  <c r="AR913" i="20"/>
  <c r="AR754" i="20"/>
  <c r="AR121" i="20"/>
  <c r="AR984" i="20"/>
  <c r="AR995" i="20"/>
  <c r="AR445" i="20"/>
  <c r="AR515" i="20"/>
  <c r="AR886" i="20"/>
  <c r="AP465" i="20"/>
  <c r="AR902" i="20"/>
  <c r="AR716" i="20"/>
  <c r="AR645" i="20"/>
  <c r="AR866" i="20"/>
  <c r="AR1069" i="20"/>
  <c r="AR418" i="20"/>
  <c r="AP806" i="20"/>
  <c r="AP431" i="20"/>
  <c r="AR569" i="20"/>
  <c r="AP312" i="20"/>
  <c r="AR838" i="20"/>
  <c r="AP155" i="20"/>
  <c r="AR155" i="20"/>
  <c r="AR441" i="20"/>
  <c r="AR968" i="20"/>
  <c r="AR681" i="20"/>
  <c r="AR293" i="20"/>
  <c r="AR547" i="20"/>
  <c r="AR972" i="20"/>
  <c r="AR318" i="20"/>
  <c r="AR222" i="20"/>
  <c r="AR322" i="20"/>
  <c r="AR753" i="20"/>
  <c r="AR687" i="20"/>
  <c r="AR906" i="20"/>
  <c r="AR266" i="20"/>
  <c r="AR518" i="20"/>
  <c r="AR829" i="20"/>
  <c r="AR891" i="20"/>
  <c r="AR395" i="20"/>
  <c r="AR145" i="20"/>
  <c r="AR1022" i="20"/>
  <c r="AR58" i="20"/>
  <c r="AR585" i="20"/>
  <c r="AR1071" i="20"/>
  <c r="AR1025" i="20"/>
  <c r="AR847" i="20"/>
  <c r="AP140" i="20"/>
  <c r="AR588" i="20"/>
  <c r="AR919" i="20"/>
  <c r="AP307" i="20"/>
  <c r="AP935" i="20"/>
  <c r="AR309" i="20"/>
  <c r="AE146" i="20"/>
  <c r="AD146" i="20"/>
  <c r="AC146" i="20"/>
  <c r="AH208" i="20"/>
  <c r="AA208" i="20"/>
  <c r="Y208" i="20"/>
  <c r="AE494" i="20"/>
  <c r="AD494" i="20"/>
  <c r="AC494" i="20"/>
  <c r="AE658" i="20"/>
  <c r="AD658" i="20"/>
  <c r="AC658" i="20"/>
  <c r="AK926" i="20"/>
  <c r="AE926" i="20"/>
  <c r="AJ926" i="20"/>
  <c r="AA269" i="20"/>
  <c r="Z269" i="20"/>
  <c r="Y269" i="20"/>
  <c r="AG771" i="20"/>
  <c r="AE854" i="20"/>
  <c r="AN854" i="20"/>
  <c r="Z854" i="20"/>
  <c r="AL855" i="20"/>
  <c r="AD855" i="20"/>
  <c r="Y852" i="20"/>
  <c r="AK854" i="20"/>
  <c r="AH853" i="20"/>
  <c r="AD853" i="20"/>
  <c r="Z853" i="20"/>
  <c r="AJ880" i="20"/>
  <c r="AE879" i="20"/>
  <c r="Z878" i="20"/>
  <c r="Z879" i="20"/>
  <c r="AI878" i="20"/>
  <c r="AC880" i="20"/>
  <c r="AK878" i="20"/>
  <c r="AC878" i="20"/>
  <c r="AL880" i="20"/>
  <c r="AG879" i="20"/>
  <c r="AB878" i="20"/>
  <c r="AF961" i="20"/>
  <c r="AK962" i="20"/>
  <c r="AG962" i="20"/>
  <c r="AC962" i="20"/>
  <c r="Y962" i="20"/>
  <c r="AE961" i="20"/>
  <c r="AL960" i="20"/>
  <c r="AH960" i="20"/>
  <c r="AD960" i="20"/>
  <c r="Z960" i="20"/>
  <c r="AG961" i="20"/>
  <c r="AL951" i="20"/>
  <c r="AE951" i="20"/>
  <c r="AK1174" i="20"/>
  <c r="AF1182" i="20"/>
  <c r="AL1198" i="20"/>
  <c r="AE1214" i="20"/>
  <c r="AJ1218" i="20"/>
  <c r="AN1222" i="20"/>
  <c r="AC1270" i="20"/>
  <c r="AD1278" i="20"/>
  <c r="AJ1282" i="20"/>
  <c r="AH1290" i="20"/>
  <c r="AE1294" i="20"/>
  <c r="AJ1298" i="20"/>
  <c r="AL1310" i="20"/>
  <c r="AJ1314" i="20"/>
  <c r="AH1322" i="20"/>
  <c r="AH1326" i="20"/>
  <c r="Y536" i="20"/>
  <c r="AC536" i="20"/>
  <c r="AG536" i="20"/>
  <c r="AK536" i="20"/>
  <c r="Z536" i="20"/>
  <c r="AD536" i="20"/>
  <c r="AH536" i="20"/>
  <c r="AL536" i="20"/>
  <c r="AA536" i="20"/>
  <c r="AE536" i="20"/>
  <c r="AI536" i="20"/>
  <c r="AB536" i="20"/>
  <c r="AF536" i="20"/>
  <c r="AJ536" i="20"/>
  <c r="AN536" i="20"/>
  <c r="Z1087" i="20"/>
  <c r="AL1083" i="20"/>
  <c r="AH1079" i="20"/>
  <c r="Z28" i="20"/>
  <c r="AB41" i="20"/>
  <c r="AI31" i="20"/>
  <c r="AK31" i="20"/>
  <c r="AB31" i="20"/>
  <c r="Y339" i="20"/>
  <c r="AJ339" i="20"/>
  <c r="AA339" i="20"/>
  <c r="AH339" i="20"/>
  <c r="AF380" i="20"/>
  <c r="AD380" i="20"/>
  <c r="AA380" i="20"/>
  <c r="Y380" i="20"/>
  <c r="AR360" i="20"/>
  <c r="AP360" i="20"/>
  <c r="AH706" i="20"/>
  <c r="AC706" i="20"/>
  <c r="AJ706" i="20"/>
  <c r="AE706" i="20"/>
  <c r="AP720" i="20"/>
  <c r="AR720" i="20"/>
  <c r="AH722" i="20"/>
  <c r="AK722" i="20"/>
  <c r="AE722" i="20"/>
  <c r="Y771" i="20"/>
  <c r="AC771" i="20"/>
  <c r="AH771" i="20"/>
  <c r="AL771" i="20"/>
  <c r="AF771" i="20"/>
  <c r="AG854" i="20"/>
  <c r="AL854" i="20"/>
  <c r="AJ854" i="20"/>
  <c r="AB951" i="20"/>
  <c r="AF951" i="20"/>
  <c r="AJ951" i="20"/>
  <c r="AP1061" i="20"/>
  <c r="AR44" i="20"/>
  <c r="AP44" i="20"/>
  <c r="AP382" i="20"/>
  <c r="AR1026" i="20"/>
  <c r="AR300" i="20"/>
  <c r="AR623" i="20"/>
  <c r="AL31" i="20"/>
  <c r="AF31" i="20"/>
  <c r="AA31" i="20"/>
  <c r="AD339" i="20"/>
  <c r="AC339" i="20"/>
  <c r="AG380" i="20"/>
  <c r="AH380" i="20"/>
  <c r="Z380" i="20"/>
  <c r="AJ380" i="20"/>
  <c r="AA706" i="20"/>
  <c r="AL706" i="20"/>
  <c r="Z706" i="20"/>
  <c r="AA722" i="20"/>
  <c r="AI771" i="20"/>
  <c r="AB771" i="20"/>
  <c r="AI854" i="20"/>
  <c r="AC854" i="20"/>
  <c r="AN951" i="20"/>
  <c r="AH951" i="20"/>
  <c r="AC951" i="20"/>
  <c r="AJ243" i="20"/>
  <c r="AG243" i="20"/>
  <c r="AH243" i="20"/>
  <c r="AI243" i="20"/>
  <c r="AJ341" i="20"/>
  <c r="AG341" i="20"/>
  <c r="AD341" i="20"/>
  <c r="AI341" i="20"/>
  <c r="AD358" i="20"/>
  <c r="Y358" i="20"/>
  <c r="AF358" i="20"/>
  <c r="AA358" i="20"/>
  <c r="AD707" i="20"/>
  <c r="AL707" i="20"/>
  <c r="AC707" i="20"/>
  <c r="AK707" i="20"/>
  <c r="AD719" i="20"/>
  <c r="AL719" i="20"/>
  <c r="AA719" i="20"/>
  <c r="AI719" i="20"/>
  <c r="AB861" i="20"/>
  <c r="AJ861" i="20"/>
  <c r="AC861" i="20"/>
  <c r="AK861" i="20"/>
  <c r="AB882" i="20"/>
  <c r="AJ882" i="20"/>
  <c r="AC882" i="20"/>
  <c r="AK882" i="20"/>
  <c r="AJ963" i="20"/>
  <c r="AI963" i="20"/>
  <c r="AK963" i="20"/>
  <c r="AL963" i="20"/>
  <c r="AB383" i="20"/>
  <c r="AJ383" i="20"/>
  <c r="AC383" i="20"/>
  <c r="AK383" i="20"/>
  <c r="Y768" i="20"/>
  <c r="AC768" i="20"/>
  <c r="AG768" i="20"/>
  <c r="AK768" i="20"/>
  <c r="AN858" i="20"/>
  <c r="Y858" i="20"/>
  <c r="AD858" i="20"/>
  <c r="AH858" i="20"/>
  <c r="AL858" i="20"/>
  <c r="AB881" i="20"/>
  <c r="AJ881" i="20"/>
  <c r="AC881" i="20"/>
  <c r="AK881" i="20"/>
  <c r="AP734" i="20"/>
  <c r="AR16" i="20"/>
  <c r="AP1197" i="20"/>
  <c r="AR1197" i="20"/>
  <c r="AP1221" i="20"/>
  <c r="AR1221" i="20"/>
  <c r="AR1229" i="20"/>
  <c r="AP1229" i="20"/>
  <c r="AP1233" i="20"/>
  <c r="AR1233" i="20"/>
  <c r="AP1297" i="20"/>
  <c r="AR1297" i="20"/>
  <c r="AP1309" i="20"/>
  <c r="AR1309" i="20"/>
  <c r="AP1325" i="20"/>
  <c r="AR1325" i="20"/>
  <c r="AP1283" i="20"/>
  <c r="AP982" i="20"/>
  <c r="AP79" i="20"/>
  <c r="AR1327" i="20"/>
  <c r="AR1219" i="20"/>
  <c r="AP1079" i="20"/>
  <c r="AR1079" i="20"/>
  <c r="AP1125" i="20"/>
  <c r="AR1125" i="20"/>
  <c r="AR69" i="20"/>
  <c r="AP69" i="20"/>
  <c r="AP67" i="20"/>
  <c r="AR67" i="20"/>
  <c r="AD1143" i="20"/>
  <c r="AA1143" i="20"/>
  <c r="AB1143" i="20"/>
  <c r="AC1143" i="20"/>
  <c r="Z1139" i="20"/>
  <c r="AA1139" i="20"/>
  <c r="AN1139" i="20"/>
  <c r="AC1139" i="20"/>
  <c r="AG1139" i="20"/>
  <c r="Y133" i="20"/>
  <c r="AL133" i="20"/>
  <c r="AN133" i="20"/>
  <c r="AK125" i="20"/>
  <c r="Z125" i="20"/>
  <c r="AL125" i="20"/>
  <c r="AB125" i="20"/>
  <c r="AD125" i="20"/>
  <c r="AI125" i="20"/>
  <c r="AC123" i="20"/>
  <c r="AJ123" i="20"/>
  <c r="AF123" i="20"/>
  <c r="AB123" i="20"/>
  <c r="AD123" i="20"/>
  <c r="AC115" i="20"/>
  <c r="AE115" i="20"/>
  <c r="AC110" i="20"/>
  <c r="Z110" i="20"/>
  <c r="AB110" i="20"/>
  <c r="Z107" i="20"/>
  <c r="AN107" i="20"/>
  <c r="Y107" i="20"/>
  <c r="AE107" i="20"/>
  <c r="Y95" i="20"/>
  <c r="AJ95" i="20"/>
  <c r="AL95" i="20"/>
  <c r="AL86" i="20"/>
  <c r="AJ86" i="20"/>
  <c r="AI86" i="20"/>
  <c r="Y86" i="20"/>
  <c r="Z75" i="20"/>
  <c r="AN75" i="20"/>
  <c r="Y75" i="20"/>
  <c r="Z70" i="20"/>
  <c r="AN70" i="20"/>
  <c r="AA70" i="20"/>
  <c r="AK70" i="20"/>
  <c r="AC62" i="20"/>
  <c r="AK62" i="20"/>
  <c r="AH62" i="20"/>
  <c r="AK55" i="20"/>
  <c r="AH55" i="20"/>
  <c r="AF55" i="20"/>
  <c r="AB55" i="20"/>
  <c r="AK48" i="20"/>
  <c r="AH48" i="20"/>
  <c r="AF48" i="20"/>
  <c r="AB48" i="20"/>
  <c r="AR992" i="20"/>
  <c r="AR606" i="20"/>
  <c r="AR553" i="20"/>
  <c r="AP553" i="20"/>
  <c r="AR1075" i="20"/>
  <c r="AP1075" i="20"/>
  <c r="AP680" i="20"/>
  <c r="AR680" i="20"/>
  <c r="AR718" i="20"/>
  <c r="AP718" i="20"/>
  <c r="AR1019" i="20"/>
  <c r="AP1019" i="20"/>
  <c r="AP420" i="20"/>
  <c r="AR420" i="20"/>
  <c r="AP934" i="20"/>
  <c r="AR934" i="20"/>
  <c r="AP666" i="20"/>
  <c r="AR666" i="20"/>
  <c r="AP320" i="20"/>
  <c r="AR320" i="20"/>
  <c r="AP577" i="20"/>
  <c r="AR577" i="20"/>
  <c r="AP447" i="20"/>
  <c r="AR447" i="20"/>
  <c r="AP53" i="20"/>
  <c r="AR456" i="20"/>
  <c r="AP1234" i="20"/>
  <c r="AP1199" i="20"/>
  <c r="AR583" i="20"/>
  <c r="AR773" i="20"/>
  <c r="AR706" i="20"/>
  <c r="AR1082" i="20"/>
  <c r="AR1166" i="20"/>
  <c r="AP1311" i="20"/>
  <c r="AP1247" i="20"/>
  <c r="AP1179" i="20"/>
  <c r="AP1200" i="20"/>
  <c r="AP1224" i="20"/>
  <c r="AR832" i="20"/>
  <c r="AR707" i="20"/>
  <c r="AP850" i="20"/>
  <c r="AR106" i="20"/>
  <c r="AR1161" i="20"/>
  <c r="AP1286" i="20"/>
  <c r="AP1295" i="20"/>
  <c r="AR1227" i="20"/>
  <c r="AP768" i="20"/>
  <c r="AR804" i="20"/>
  <c r="AR580" i="20"/>
  <c r="AR663" i="20"/>
  <c r="AP1214" i="20"/>
  <c r="AP1333" i="20"/>
  <c r="AR1277" i="20"/>
  <c r="AP321" i="20"/>
  <c r="AR321" i="20"/>
  <c r="AR1150" i="20"/>
  <c r="AP1150" i="20"/>
  <c r="AN1160" i="20"/>
  <c r="AK1160" i="20"/>
  <c r="Y1160" i="20"/>
  <c r="AC1160" i="20"/>
  <c r="AB1156" i="20"/>
  <c r="Y1156" i="20"/>
  <c r="AH1156" i="20"/>
  <c r="AF1152" i="20"/>
  <c r="AN1152" i="20"/>
  <c r="AJ1152" i="20"/>
  <c r="AG1152" i="20"/>
  <c r="AF1148" i="20"/>
  <c r="AK1148" i="20"/>
  <c r="AN1178" i="20"/>
  <c r="AH1178" i="20"/>
  <c r="AK1178" i="20"/>
  <c r="AL1194" i="20"/>
  <c r="AG1194" i="20"/>
  <c r="AN1194" i="20"/>
  <c r="AK1210" i="20"/>
  <c r="AF1210" i="20"/>
  <c r="AB1210" i="20"/>
  <c r="AI1210" i="20"/>
  <c r="AJ1226" i="20"/>
  <c r="AE1226" i="20"/>
  <c r="AK1226" i="20"/>
  <c r="AA1226" i="20"/>
  <c r="AH1238" i="20"/>
  <c r="Z1238" i="20"/>
  <c r="AI1242" i="20"/>
  <c r="AD1242" i="20"/>
  <c r="AG1242" i="20"/>
  <c r="AC1242" i="20"/>
  <c r="AB1242" i="20"/>
  <c r="AG1246" i="20"/>
  <c r="AN1246" i="20"/>
  <c r="AH1258" i="20"/>
  <c r="AI1258" i="20"/>
  <c r="AD1262" i="20"/>
  <c r="AH1262" i="20"/>
  <c r="AJ1266" i="20"/>
  <c r="AF1266" i="20"/>
  <c r="AH1274" i="20"/>
  <c r="AJ1274" i="20"/>
  <c r="Y1274" i="20"/>
  <c r="AG1286" i="20"/>
  <c r="AK1286" i="20"/>
  <c r="AH1306" i="20"/>
  <c r="AJ1306" i="20"/>
  <c r="AF1318" i="20"/>
  <c r="AA1318" i="20"/>
  <c r="AJ1334" i="20"/>
  <c r="AC1334" i="20"/>
  <c r="Y1338" i="20"/>
  <c r="AB1338" i="20"/>
  <c r="AD1338" i="20"/>
  <c r="AP1174" i="20"/>
  <c r="AR1174" i="20"/>
  <c r="AR1206" i="20"/>
  <c r="AP1206" i="20"/>
  <c r="AR1218" i="20"/>
  <c r="AP1218" i="20"/>
  <c r="AP1245" i="20"/>
  <c r="AR1245" i="20"/>
  <c r="AR1253" i="20"/>
  <c r="AP1253" i="20"/>
  <c r="AP1265" i="20"/>
  <c r="AR1265" i="20"/>
  <c r="AR1285" i="20"/>
  <c r="AP1285" i="20"/>
  <c r="AP1289" i="20"/>
  <c r="AR1289" i="20"/>
  <c r="AR1301" i="20"/>
  <c r="AP1301" i="20"/>
  <c r="AR1321" i="20"/>
  <c r="AP1321" i="20"/>
  <c r="AR1329" i="20"/>
  <c r="AP1329" i="20"/>
  <c r="AR1337" i="20"/>
  <c r="AP1337" i="20"/>
  <c r="AR719" i="20"/>
  <c r="AR383" i="20"/>
  <c r="AR858" i="20"/>
  <c r="AR314" i="20"/>
  <c r="AR905" i="20"/>
  <c r="AP1090" i="20"/>
  <c r="AR1157" i="20"/>
  <c r="AP1262" i="20"/>
  <c r="AR1215" i="20"/>
  <c r="AP1340" i="20"/>
  <c r="AP366" i="20"/>
  <c r="AR766" i="20"/>
  <c r="AR881" i="20"/>
  <c r="AR962" i="20"/>
  <c r="K38" i="37"/>
  <c r="AR1122" i="20"/>
  <c r="AP1290" i="20"/>
  <c r="AP1246" i="20"/>
  <c r="AR1203" i="20"/>
  <c r="AR1008" i="20"/>
  <c r="AR101" i="20"/>
  <c r="AR220" i="20"/>
  <c r="AR91" i="20"/>
  <c r="AR21" i="20"/>
  <c r="AR947" i="20"/>
  <c r="AR386" i="20"/>
  <c r="AR846" i="20"/>
  <c r="AR918" i="20"/>
  <c r="AR777" i="20"/>
  <c r="AR780" i="20"/>
  <c r="AR824" i="20"/>
  <c r="AR1055" i="20"/>
  <c r="AR980" i="20"/>
  <c r="AR147" i="20"/>
  <c r="AR176" i="20"/>
  <c r="AR713" i="20"/>
  <c r="AR683" i="20"/>
  <c r="AR178" i="20"/>
  <c r="AR483" i="20"/>
  <c r="AR578" i="20"/>
  <c r="AR989" i="20"/>
  <c r="AR650" i="20"/>
  <c r="AR199" i="20"/>
  <c r="AR608" i="20"/>
  <c r="AR1006" i="20"/>
  <c r="AR194" i="20"/>
  <c r="AR684" i="20"/>
  <c r="AR889" i="20"/>
  <c r="AP932" i="20"/>
  <c r="AR911" i="20"/>
  <c r="AP652" i="20"/>
  <c r="AR1011" i="20"/>
  <c r="AR290" i="20"/>
  <c r="AR736" i="20"/>
  <c r="AP538" i="20"/>
  <c r="AR631" i="20"/>
  <c r="AR1034" i="20"/>
  <c r="AP98" i="20"/>
  <c r="AR1141" i="20"/>
  <c r="AR1129" i="20"/>
  <c r="AR86" i="20"/>
  <c r="AR47" i="20"/>
  <c r="AR1155" i="20"/>
  <c r="AP1302" i="20"/>
  <c r="AP1189" i="20"/>
  <c r="AP1279" i="20"/>
  <c r="AR1235" i="20"/>
  <c r="AR1204" i="20"/>
  <c r="AR1212" i="20"/>
  <c r="AR33" i="20"/>
  <c r="AR542" i="20"/>
  <c r="AR446" i="20"/>
  <c r="AR453" i="20"/>
  <c r="AR152" i="20"/>
  <c r="AR715" i="20"/>
  <c r="AP319" i="20"/>
  <c r="AR627" i="20"/>
  <c r="AR746" i="20"/>
  <c r="AR973" i="20"/>
  <c r="AR591" i="20"/>
  <c r="AR983" i="20"/>
  <c r="AR1077" i="20"/>
  <c r="AR332" i="20"/>
  <c r="AP1314" i="20"/>
  <c r="AP1294" i="20"/>
  <c r="AP1181" i="20"/>
  <c r="AR1263" i="20"/>
  <c r="AR407" i="20"/>
  <c r="AR1009" i="20"/>
  <c r="AR497" i="20"/>
  <c r="AR280" i="20"/>
  <c r="AR644" i="20"/>
  <c r="AR385" i="20"/>
  <c r="AR52" i="20"/>
  <c r="AR735" i="20"/>
  <c r="AR77" i="20"/>
  <c r="AR507" i="20"/>
  <c r="AR221" i="20"/>
  <c r="AR987" i="20"/>
  <c r="AR815" i="20"/>
  <c r="AR1046" i="20"/>
  <c r="AR212" i="20"/>
  <c r="AR169" i="20"/>
  <c r="AR656" i="20"/>
  <c r="AR620" i="20"/>
  <c r="AR796" i="20"/>
  <c r="AR949" i="20"/>
  <c r="AR105" i="20"/>
  <c r="AR250" i="20"/>
  <c r="AR174" i="20"/>
  <c r="AR264" i="20"/>
  <c r="AR669" i="20"/>
  <c r="AR198" i="20"/>
  <c r="AP820" i="20"/>
  <c r="AP1054" i="20"/>
  <c r="AR387" i="20"/>
  <c r="AP271" i="20"/>
  <c r="AR54" i="20"/>
  <c r="AR1121" i="20"/>
  <c r="AP109" i="20"/>
  <c r="AP1101" i="20"/>
  <c r="AP1291" i="20"/>
  <c r="AP1271" i="20"/>
  <c r="AR1251" i="20"/>
  <c r="AP673" i="20"/>
  <c r="AR673" i="20"/>
  <c r="AP84" i="20"/>
  <c r="AR84" i="20"/>
  <c r="AP603" i="20"/>
  <c r="AR603" i="20"/>
  <c r="AP498" i="20"/>
  <c r="AR498" i="20"/>
  <c r="AP272" i="20"/>
  <c r="AR272" i="20"/>
  <c r="AP817" i="20"/>
  <c r="AR817" i="20"/>
  <c r="AR476" i="20"/>
  <c r="AP476" i="20"/>
  <c r="AP525" i="20"/>
  <c r="AR525" i="20"/>
  <c r="AP529" i="20"/>
  <c r="AR529" i="20"/>
  <c r="AR72" i="20"/>
  <c r="AP605" i="20"/>
  <c r="AP317" i="20"/>
  <c r="AR317" i="20"/>
  <c r="AP149" i="20"/>
  <c r="AR149" i="20"/>
  <c r="AP213" i="20"/>
  <c r="AR213" i="20"/>
  <c r="AP211" i="20"/>
  <c r="AR211" i="20"/>
  <c r="AP1062" i="20"/>
  <c r="AR1062" i="20"/>
  <c r="AP653" i="20"/>
  <c r="AR653" i="20"/>
  <c r="AP821" i="20"/>
  <c r="AR821" i="20"/>
  <c r="AP828" i="20"/>
  <c r="AR828" i="20"/>
  <c r="AP503" i="20"/>
  <c r="AR503" i="20"/>
  <c r="AP798" i="20"/>
  <c r="AR798" i="20"/>
  <c r="AP533" i="20"/>
  <c r="AR533" i="20"/>
  <c r="AP457" i="20"/>
  <c r="AR457" i="20"/>
  <c r="AP268" i="20"/>
  <c r="AR268" i="20"/>
  <c r="AP966" i="20"/>
  <c r="AR966" i="20"/>
  <c r="AP404" i="20"/>
  <c r="AR404" i="20"/>
  <c r="AP262" i="20"/>
  <c r="AR262" i="20"/>
  <c r="AR1032" i="20"/>
  <c r="AP1032" i="20"/>
  <c r="AP455" i="20"/>
  <c r="AR455" i="20"/>
  <c r="AP246" i="20"/>
  <c r="AR246" i="20"/>
  <c r="AP285" i="20"/>
  <c r="AR285" i="20"/>
  <c r="AP662" i="20"/>
  <c r="AR662" i="20"/>
  <c r="AP571" i="20"/>
  <c r="AR571" i="20"/>
  <c r="AP885" i="20"/>
  <c r="AR885" i="20"/>
  <c r="AP131" i="20"/>
  <c r="AR131" i="20"/>
  <c r="AP598" i="20"/>
  <c r="AR598" i="20"/>
  <c r="AP475" i="20"/>
  <c r="AR475" i="20"/>
  <c r="AP190" i="20"/>
  <c r="AR190" i="20"/>
  <c r="AP156" i="20"/>
  <c r="AR156" i="20"/>
  <c r="AR1024" i="20"/>
  <c r="AP1024" i="20"/>
  <c r="AP1035" i="20"/>
  <c r="AR1035" i="20"/>
  <c r="AR634" i="20"/>
  <c r="AP634" i="20"/>
  <c r="AP615" i="20"/>
  <c r="AR615" i="20"/>
  <c r="AP568" i="20"/>
  <c r="AR568" i="20"/>
  <c r="AP330" i="20"/>
  <c r="AR330" i="20"/>
  <c r="AP414" i="20"/>
  <c r="AR414" i="20"/>
  <c r="AP218" i="20"/>
  <c r="AR218" i="20"/>
  <c r="AP938" i="20"/>
  <c r="AR938" i="20"/>
  <c r="AP401" i="20"/>
  <c r="AR401" i="20"/>
  <c r="AR490" i="20"/>
  <c r="AP490" i="20"/>
  <c r="AR873" i="20"/>
  <c r="AR428" i="20"/>
  <c r="AR481" i="20"/>
  <c r="AP521" i="20"/>
  <c r="AP464" i="20"/>
  <c r="AP514" i="20"/>
  <c r="AR514" i="20"/>
  <c r="AP607" i="20"/>
  <c r="AR594" i="20"/>
  <c r="AP496" i="20"/>
  <c r="AR830" i="20"/>
  <c r="AP808" i="20"/>
  <c r="AR808" i="20"/>
  <c r="AP1015" i="20"/>
  <c r="AR1015" i="20"/>
  <c r="AR696" i="20"/>
  <c r="AP696" i="20"/>
  <c r="AR933" i="20"/>
  <c r="AP933" i="20"/>
  <c r="AP727" i="20"/>
  <c r="AR727" i="20"/>
  <c r="AP520" i="20"/>
  <c r="AR520" i="20"/>
  <c r="AP945" i="20"/>
  <c r="AR945" i="20"/>
  <c r="AP890" i="20"/>
  <c r="AR890" i="20"/>
  <c r="AP550" i="20"/>
  <c r="AR550" i="20"/>
  <c r="AP517" i="20"/>
  <c r="AR517" i="20"/>
  <c r="AP223" i="20"/>
  <c r="AP128" i="20"/>
  <c r="AR1140" i="20"/>
  <c r="AP133" i="20"/>
  <c r="AP62" i="20"/>
  <c r="AP1163" i="20"/>
  <c r="AP1230" i="20"/>
  <c r="AP1169" i="20"/>
  <c r="AP1241" i="20"/>
  <c r="AR1211" i="20"/>
  <c r="AR1184" i="20"/>
  <c r="AP1196" i="20"/>
  <c r="AR1159" i="20"/>
  <c r="AR247" i="20"/>
  <c r="AR722" i="20"/>
  <c r="AR1144" i="20"/>
  <c r="AR1130" i="20"/>
  <c r="AP115" i="20"/>
  <c r="AR1115" i="20"/>
  <c r="AR1105" i="20"/>
  <c r="AR137" i="20"/>
  <c r="AP1338" i="20"/>
  <c r="AP1222" i="20"/>
  <c r="AP1261" i="20"/>
  <c r="AR1249" i="20"/>
  <c r="AP1177" i="20"/>
  <c r="AR1307" i="20"/>
  <c r="AR1207" i="20"/>
  <c r="AP1264" i="20"/>
  <c r="AP1288" i="20"/>
  <c r="AP244" i="20"/>
  <c r="AP857" i="20"/>
  <c r="AR771" i="20"/>
  <c r="AP852" i="20"/>
  <c r="AR168" i="20"/>
  <c r="AP1057" i="20"/>
  <c r="AP125" i="20"/>
  <c r="AP1322" i="20"/>
  <c r="AP1318" i="20"/>
  <c r="AR1257" i="20"/>
  <c r="AP1303" i="20"/>
  <c r="AR877" i="20"/>
  <c r="AP154" i="20"/>
  <c r="AR154" i="20"/>
  <c r="AP738" i="20"/>
  <c r="AR738" i="20"/>
  <c r="AR416" i="20"/>
  <c r="AP416" i="20"/>
  <c r="AP810" i="20"/>
  <c r="AR810" i="20"/>
  <c r="AR988" i="20"/>
  <c r="AP988" i="20"/>
  <c r="AR142" i="20"/>
  <c r="AP142" i="20"/>
  <c r="AR161" i="20"/>
  <c r="AR818" i="20"/>
  <c r="AR552" i="20"/>
  <c r="AP624" i="20"/>
  <c r="AR688" i="20"/>
  <c r="AR629" i="20"/>
  <c r="AR929" i="20"/>
  <c r="AR1043" i="20"/>
  <c r="AR398" i="20"/>
  <c r="AR660" i="20"/>
  <c r="AR839" i="20"/>
  <c r="AR865" i="20"/>
  <c r="AR422" i="20"/>
  <c r="AR1064" i="20"/>
  <c r="AP643" i="20"/>
  <c r="AP1010" i="20"/>
  <c r="AR1010" i="20"/>
  <c r="AR202" i="20"/>
  <c r="AR816" i="20"/>
  <c r="AR714" i="20"/>
  <c r="AR807" i="20"/>
  <c r="AR132" i="20"/>
  <c r="AR410" i="20"/>
  <c r="AR1028" i="20"/>
  <c r="AP640" i="20"/>
  <c r="AP175" i="20"/>
  <c r="AR685" i="20"/>
  <c r="AR276" i="20"/>
  <c r="AR896" i="20"/>
  <c r="AR205" i="20"/>
  <c r="AR1143" i="20"/>
  <c r="AP1128" i="20"/>
  <c r="AP112" i="20"/>
  <c r="AR49" i="20"/>
  <c r="AP1113" i="20"/>
  <c r="AP1217" i="20"/>
  <c r="AP1201" i="20"/>
  <c r="AR1220" i="20"/>
  <c r="AR1171" i="20"/>
  <c r="AR32" i="20"/>
  <c r="AR1004" i="20"/>
  <c r="AR226" i="20"/>
  <c r="AR252" i="20"/>
  <c r="AP51" i="20"/>
  <c r="AP56" i="20"/>
  <c r="AP104" i="20"/>
  <c r="AR124" i="20"/>
  <c r="AP1326" i="20"/>
  <c r="AP1198" i="20"/>
  <c r="AP1269" i="20"/>
  <c r="AP1225" i="20"/>
  <c r="AP1175" i="20"/>
  <c r="AP1331" i="20"/>
  <c r="AP1323" i="20"/>
  <c r="AP1299" i="20"/>
  <c r="AP1255" i="20"/>
  <c r="AP1239" i="20"/>
  <c r="AP1183" i="20"/>
  <c r="AR1280" i="20"/>
  <c r="AP1176" i="20"/>
  <c r="AP1167" i="20"/>
  <c r="AP1148" i="20"/>
  <c r="AR10" i="20"/>
  <c r="AP601" i="20"/>
  <c r="AP703" i="20"/>
  <c r="AR770" i="20"/>
  <c r="AR256" i="20"/>
  <c r="AR118" i="20"/>
  <c r="AP94" i="20"/>
  <c r="AP1146" i="20"/>
  <c r="AR1134" i="20"/>
  <c r="AR46" i="20"/>
  <c r="AR1123" i="20"/>
  <c r="AP1094" i="20"/>
  <c r="AP1088" i="20"/>
  <c r="AP1274" i="20"/>
  <c r="AP1210" i="20"/>
  <c r="AP1270" i="20"/>
  <c r="AP1293" i="20"/>
  <c r="AR1281" i="20"/>
  <c r="AR1209" i="20"/>
  <c r="AR1339" i="20"/>
  <c r="AR1162" i="20"/>
  <c r="AR1160" i="20"/>
  <c r="AP1158" i="20"/>
  <c r="AR1156" i="20"/>
  <c r="AP324" i="20"/>
  <c r="AP341" i="20"/>
  <c r="AP245" i="20"/>
  <c r="AR854" i="20"/>
  <c r="AP951" i="20"/>
  <c r="AP946" i="20"/>
  <c r="AR946" i="20"/>
  <c r="AR575" i="20"/>
  <c r="AR783" i="20"/>
  <c r="AR654" i="20"/>
  <c r="AP1065" i="20"/>
  <c r="AR408" i="20"/>
  <c r="AP408" i="20"/>
  <c r="AR279" i="20"/>
  <c r="AP279" i="20"/>
  <c r="AR1097" i="20"/>
  <c r="AP1097" i="20"/>
  <c r="AR87" i="20"/>
  <c r="AP87" i="20"/>
  <c r="AR66" i="20"/>
  <c r="AP66" i="20"/>
  <c r="AD1146" i="20"/>
  <c r="AN1146" i="20"/>
  <c r="AG1146" i="20"/>
  <c r="AD1142" i="20"/>
  <c r="AN1142" i="20"/>
  <c r="AH1134" i="20"/>
  <c r="AA1134" i="20"/>
  <c r="AH1130" i="20"/>
  <c r="AA1130" i="20"/>
  <c r="AH1126" i="20"/>
  <c r="AA1126" i="20"/>
  <c r="AH1122" i="20"/>
  <c r="AA1122" i="20"/>
  <c r="AH1118" i="20"/>
  <c r="AA1118" i="20"/>
  <c r="AB1118" i="20"/>
  <c r="AH1114" i="20"/>
  <c r="AN1114" i="20"/>
  <c r="Y1114" i="20"/>
  <c r="AF1114" i="20"/>
  <c r="AJ1110" i="20"/>
  <c r="AH1110" i="20"/>
  <c r="Y1110" i="20"/>
  <c r="AI1110" i="20"/>
  <c r="AJ1106" i="20"/>
  <c r="AH1106" i="20"/>
  <c r="Y1106" i="20"/>
  <c r="AI1106" i="20"/>
  <c r="AA1102" i="20"/>
  <c r="AJ1102" i="20"/>
  <c r="AH1102" i="20"/>
  <c r="AG1102" i="20"/>
  <c r="AA1098" i="20"/>
  <c r="AJ1098" i="20"/>
  <c r="AH1098" i="20"/>
  <c r="AG1098" i="20"/>
  <c r="AA1094" i="20"/>
  <c r="AJ1094" i="20"/>
  <c r="AH1094" i="20"/>
  <c r="AG1094" i="20"/>
  <c r="AA1090" i="20"/>
  <c r="AJ1090" i="20"/>
  <c r="AH1090" i="20"/>
  <c r="AG1090" i="20"/>
  <c r="Z1086" i="20"/>
  <c r="AC1086" i="20"/>
  <c r="AA1086" i="20"/>
  <c r="Y1086" i="20"/>
  <c r="Z1082" i="20"/>
  <c r="AC1082" i="20"/>
  <c r="AA1082" i="20"/>
  <c r="Y1082" i="20"/>
  <c r="Z1078" i="20"/>
  <c r="AN1078" i="20"/>
  <c r="AI1078" i="20"/>
  <c r="Z139" i="20"/>
  <c r="AN139" i="20"/>
  <c r="AC139" i="20"/>
  <c r="AK134" i="20"/>
  <c r="AL134" i="20"/>
  <c r="AH134" i="20"/>
  <c r="AD134" i="20"/>
  <c r="AN134" i="20"/>
  <c r="AK124" i="20"/>
  <c r="Z124" i="20"/>
  <c r="AI124" i="20"/>
  <c r="Z119" i="20"/>
  <c r="AN119" i="20"/>
  <c r="AE119" i="20"/>
  <c r="AI119" i="20"/>
  <c r="AG119" i="20"/>
  <c r="AK112" i="20"/>
  <c r="Z112" i="20"/>
  <c r="AI112" i="20"/>
  <c r="AN109" i="20"/>
  <c r="AK109" i="20"/>
  <c r="AA109" i="20"/>
  <c r="Z109" i="20"/>
  <c r="AD109" i="20"/>
  <c r="AN104" i="20"/>
  <c r="AK104" i="20"/>
  <c r="AE104" i="20"/>
  <c r="AD104" i="20"/>
  <c r="AN98" i="20"/>
  <c r="AK98" i="20"/>
  <c r="AI98" i="20"/>
  <c r="AK83" i="20"/>
  <c r="AJ83" i="20"/>
  <c r="AF83" i="20"/>
  <c r="AD71" i="20"/>
  <c r="AN71" i="20"/>
  <c r="AI71" i="20"/>
  <c r="AC71" i="20"/>
  <c r="AE71" i="20"/>
  <c r="AD67" i="20"/>
  <c r="AN67" i="20"/>
  <c r="AI67" i="20"/>
  <c r="AC67" i="20"/>
  <c r="AK61" i="20"/>
  <c r="AH61" i="20"/>
  <c r="AN61" i="20"/>
  <c r="AJ61" i="20"/>
  <c r="AK56" i="20"/>
  <c r="AJ56" i="20"/>
  <c r="AF56" i="20"/>
  <c r="AD47" i="20"/>
  <c r="AN47" i="20"/>
  <c r="AI47" i="20"/>
  <c r="AC47" i="20"/>
  <c r="AK25" i="20"/>
  <c r="AH25" i="20"/>
  <c r="AN25" i="20"/>
  <c r="AJ25" i="20"/>
  <c r="AI25" i="20"/>
  <c r="AP1002" i="20"/>
  <c r="AR1002" i="20"/>
  <c r="AP442" i="20"/>
  <c r="AR442" i="20"/>
  <c r="AP1063" i="20"/>
  <c r="AR1063" i="20"/>
  <c r="AP1056" i="20"/>
  <c r="AR1056" i="20"/>
  <c r="AR617" i="20"/>
  <c r="AR831" i="20"/>
  <c r="AR291" i="20"/>
  <c r="AR469" i="20"/>
  <c r="AP469" i="20"/>
  <c r="AP747" i="20"/>
  <c r="AR747" i="20"/>
  <c r="AR400" i="20"/>
  <c r="AP400" i="20"/>
  <c r="AP642" i="20"/>
  <c r="AP1036" i="20"/>
  <c r="AR347" i="20"/>
  <c r="AP195" i="20"/>
  <c r="AR195" i="20"/>
  <c r="AP255" i="20"/>
  <c r="AR1084" i="20"/>
  <c r="AR922" i="20"/>
  <c r="AP922" i="20"/>
  <c r="AP440" i="20"/>
  <c r="AR440" i="20"/>
  <c r="AR327" i="20"/>
  <c r="AP327" i="20"/>
  <c r="AP258" i="20"/>
  <c r="AR258" i="20"/>
  <c r="AP259" i="20"/>
  <c r="AR259" i="20"/>
  <c r="AP254" i="20"/>
  <c r="AR254" i="20"/>
  <c r="AP1137" i="20"/>
  <c r="AR1137" i="20"/>
  <c r="AP1126" i="20"/>
  <c r="AR1126" i="20"/>
  <c r="AP1118" i="20"/>
  <c r="AR1118" i="20"/>
  <c r="AR283" i="20"/>
  <c r="AP283" i="20"/>
  <c r="AR63" i="20"/>
  <c r="AP63" i="20"/>
  <c r="AP25" i="20"/>
  <c r="AR25" i="20"/>
  <c r="AR65" i="20"/>
  <c r="AP65" i="20"/>
  <c r="AR240" i="20"/>
  <c r="AR242" i="20"/>
  <c r="AP251" i="20"/>
  <c r="AR391" i="20"/>
  <c r="AR1087" i="20"/>
  <c r="AP83" i="20"/>
  <c r="AP1132" i="20"/>
  <c r="AP71" i="20"/>
  <c r="AP48" i="20"/>
  <c r="AP1098" i="20"/>
  <c r="AR232" i="20"/>
  <c r="AP111" i="20"/>
  <c r="AP1106" i="20"/>
  <c r="AP1152" i="20"/>
  <c r="AP1306" i="20"/>
  <c r="AP1242" i="20"/>
  <c r="AP1202" i="20"/>
  <c r="AP1278" i="20"/>
  <c r="AR1317" i="20"/>
  <c r="AP1185" i="20"/>
  <c r="AP1315" i="20"/>
  <c r="AP1164" i="20"/>
  <c r="AP1336" i="20"/>
  <c r="AP415" i="20"/>
  <c r="AR415" i="20"/>
  <c r="AP275" i="20"/>
  <c r="AR275" i="20"/>
  <c r="AR864" i="20"/>
  <c r="AR489" i="20"/>
  <c r="AP316" i="20"/>
  <c r="AR316" i="20"/>
  <c r="AR127" i="20"/>
  <c r="AR234" i="20"/>
  <c r="AR869" i="20"/>
  <c r="AR1131" i="20"/>
  <c r="AP1151" i="20"/>
  <c r="AR346" i="20"/>
  <c r="AR253" i="20"/>
  <c r="AR229" i="20"/>
  <c r="AP942" i="20"/>
  <c r="AP96" i="20"/>
  <c r="AR1135" i="20"/>
  <c r="AP103" i="20"/>
  <c r="AP114" i="20"/>
  <c r="AP1099" i="20"/>
  <c r="AP61" i="20"/>
  <c r="AR42" i="20"/>
  <c r="AR173" i="20"/>
  <c r="AP201" i="20"/>
  <c r="AP238" i="20"/>
  <c r="AR228" i="20"/>
  <c r="AR230" i="20"/>
  <c r="AR409" i="20"/>
  <c r="AR1023" i="20"/>
  <c r="AP136" i="20"/>
  <c r="AP1085" i="20"/>
  <c r="AP59" i="20"/>
  <c r="AP1116" i="20"/>
  <c r="AR1133" i="20"/>
  <c r="AP139" i="20"/>
  <c r="AP57" i="20"/>
  <c r="AP1103" i="20"/>
  <c r="AP1102" i="20"/>
  <c r="AP1096" i="20"/>
  <c r="AR1089" i="20"/>
  <c r="AP612" i="20"/>
  <c r="AR612" i="20"/>
  <c r="AP590" i="20"/>
  <c r="AR590" i="20"/>
  <c r="AR579" i="20"/>
  <c r="AP579" i="20"/>
  <c r="AR546" i="20"/>
  <c r="AP546" i="20"/>
  <c r="AP539" i="20"/>
  <c r="AR539" i="20"/>
  <c r="AP437" i="20"/>
  <c r="AR437" i="20"/>
  <c r="AP943" i="20"/>
  <c r="AR943" i="20"/>
  <c r="AP682" i="20"/>
  <c r="AR682" i="20"/>
  <c r="AP160" i="20"/>
  <c r="AR160" i="20"/>
  <c r="AP90" i="20"/>
  <c r="AR90" i="20"/>
  <c r="AP651" i="20"/>
  <c r="AR651" i="20"/>
  <c r="G161" i="86"/>
  <c r="H122" i="86"/>
  <c r="K122" i="86" s="1"/>
  <c r="H86" i="86"/>
  <c r="K86" i="86" s="1"/>
  <c r="G61" i="86"/>
  <c r="H53" i="86"/>
  <c r="K53" i="86" s="1"/>
  <c r="H75" i="86"/>
  <c r="K75" i="86" s="1"/>
  <c r="G105" i="86"/>
  <c r="I38" i="86"/>
  <c r="L38" i="86" s="1"/>
  <c r="H38" i="86"/>
  <c r="K38" i="86" s="1"/>
  <c r="G125" i="86"/>
  <c r="H109" i="86"/>
  <c r="K109" i="86" s="1"/>
  <c r="G73" i="86"/>
  <c r="H154" i="86"/>
  <c r="K154" i="86" s="1"/>
  <c r="H47" i="86"/>
  <c r="K47" i="86" s="1"/>
  <c r="G76" i="86"/>
  <c r="I109" i="86"/>
  <c r="L109" i="86" s="1"/>
  <c r="AP986" i="20"/>
  <c r="H104" i="86"/>
  <c r="K104" i="86" s="1"/>
  <c r="H73" i="86"/>
  <c r="K73" i="86" s="1"/>
  <c r="I122" i="86"/>
  <c r="L122" i="86" s="1"/>
  <c r="H16" i="86"/>
  <c r="K16" i="86" s="1"/>
  <c r="I76" i="86"/>
  <c r="L76" i="86" s="1"/>
  <c r="I48" i="86"/>
  <c r="L48" i="86" s="1"/>
  <c r="H84" i="86"/>
  <c r="K84" i="86" s="1"/>
  <c r="I73" i="86"/>
  <c r="L73" i="86" s="1"/>
  <c r="G108" i="86"/>
  <c r="G38" i="86"/>
  <c r="J38" i="86" s="1"/>
  <c r="I138" i="86"/>
  <c r="L138" i="86" s="1"/>
  <c r="G109" i="86"/>
  <c r="G86" i="86"/>
  <c r="I161" i="86"/>
  <c r="L161" i="86" s="1"/>
  <c r="G47" i="86"/>
  <c r="I49" i="86"/>
  <c r="L49" i="86" s="1"/>
  <c r="I84" i="86"/>
  <c r="L84" i="86" s="1"/>
  <c r="G48" i="86"/>
  <c r="J48" i="86" s="1"/>
  <c r="G104" i="86"/>
  <c r="G16" i="86"/>
  <c r="I86" i="86"/>
  <c r="L86" i="86" s="1"/>
  <c r="I47" i="86"/>
  <c r="L47" i="86" s="1"/>
  <c r="I61" i="86"/>
  <c r="L61" i="86" s="1"/>
  <c r="H76" i="86"/>
  <c r="K76" i="86" s="1"/>
  <c r="G154" i="86"/>
  <c r="J154" i="86" s="1"/>
  <c r="I16" i="86"/>
  <c r="L16" i="86" s="1"/>
  <c r="H74" i="86"/>
  <c r="K74" i="86" s="1"/>
  <c r="H48" i="86"/>
  <c r="K48" i="86" s="1"/>
  <c r="AP939" i="20"/>
  <c r="AR939" i="20"/>
  <c r="I74" i="86"/>
  <c r="L74" i="86" s="1"/>
  <c r="I75" i="86"/>
  <c r="L75" i="86" s="1"/>
  <c r="AR986" i="20"/>
  <c r="AP616" i="20"/>
  <c r="G84" i="86"/>
  <c r="I108" i="86"/>
  <c r="L108" i="86" s="1"/>
  <c r="AP573" i="20"/>
  <c r="AR573" i="20"/>
  <c r="AP997" i="20"/>
  <c r="AR997" i="20"/>
  <c r="H108" i="86"/>
  <c r="K108" i="86" s="1"/>
  <c r="AR543" i="20"/>
  <c r="I154" i="86"/>
  <c r="L154" i="86" s="1"/>
  <c r="H49" i="86"/>
  <c r="K49" i="86" s="1"/>
  <c r="G49" i="86"/>
  <c r="I104" i="86"/>
  <c r="L104" i="86" s="1"/>
  <c r="I125" i="86"/>
  <c r="L125" i="86" s="1"/>
  <c r="H105" i="86"/>
  <c r="K105" i="86" s="1"/>
  <c r="AP462" i="20"/>
  <c r="G74" i="86"/>
  <c r="J74" i="86" s="1"/>
  <c r="H138" i="86"/>
  <c r="K138" i="86" s="1"/>
  <c r="H125" i="86"/>
  <c r="K125" i="86" s="1"/>
  <c r="G122" i="86"/>
  <c r="J122" i="86" s="1"/>
  <c r="G138" i="86"/>
  <c r="G75" i="86"/>
  <c r="H161" i="86"/>
  <c r="K161" i="86" s="1"/>
  <c r="H61" i="86"/>
  <c r="K61" i="86" s="1"/>
  <c r="I105" i="86"/>
  <c r="L105" i="86" s="1"/>
  <c r="AR931" i="20"/>
  <c r="AP1017" i="20"/>
  <c r="AR1017" i="20"/>
  <c r="AP822" i="20"/>
  <c r="AR822" i="20"/>
  <c r="AP749" i="20"/>
  <c r="AR749" i="20"/>
  <c r="AP637" i="20"/>
  <c r="AR637" i="20"/>
  <c r="AP390" i="20"/>
  <c r="AR390" i="20"/>
  <c r="AP844" i="20"/>
  <c r="AR844" i="20"/>
  <c r="AP210" i="20"/>
  <c r="AR210" i="20"/>
  <c r="AP794" i="20"/>
  <c r="AR794" i="20"/>
  <c r="AP690" i="20"/>
  <c r="AR690" i="20"/>
  <c r="AP834" i="20"/>
  <c r="AR834" i="20"/>
  <c r="AP313" i="20"/>
  <c r="AR313" i="20"/>
  <c r="AP1045" i="20"/>
  <c r="AR1045" i="20"/>
  <c r="AP647" i="20"/>
  <c r="AR647" i="20"/>
  <c r="AP526" i="20"/>
  <c r="AR526" i="20"/>
  <c r="AP267" i="20"/>
  <c r="AR267" i="20"/>
  <c r="AP167" i="20"/>
  <c r="AR167" i="20"/>
  <c r="AP537" i="20"/>
  <c r="AR537" i="20"/>
  <c r="AP1050" i="20"/>
  <c r="AR1050" i="20"/>
  <c r="AP941" i="20"/>
  <c r="AR941" i="20"/>
  <c r="AP998" i="20"/>
  <c r="AP560" i="20"/>
  <c r="AR426" i="20"/>
  <c r="AP561" i="20"/>
  <c r="AR561" i="20"/>
  <c r="AP565" i="20"/>
  <c r="AR565" i="20"/>
  <c r="AP74" i="20"/>
  <c r="AR74" i="20"/>
  <c r="AP311" i="20"/>
  <c r="AR311" i="20"/>
  <c r="AP635" i="20"/>
  <c r="AR635" i="20"/>
  <c r="AP582" i="20"/>
  <c r="AR582" i="20"/>
  <c r="AP1040" i="20"/>
  <c r="AR1040" i="20"/>
  <c r="AP759" i="20"/>
  <c r="AR759" i="20"/>
  <c r="AP484" i="20"/>
  <c r="AR484" i="20"/>
  <c r="AP1000" i="20"/>
  <c r="AR1000" i="20"/>
  <c r="AP748" i="20"/>
  <c r="AR748" i="20"/>
  <c r="AP646" i="20"/>
  <c r="AR646" i="20"/>
  <c r="AP884" i="20"/>
  <c r="AR884" i="20"/>
  <c r="AR671" i="20"/>
  <c r="AP491" i="20"/>
  <c r="AP388" i="20"/>
  <c r="AP534" i="20"/>
  <c r="AR728" i="20"/>
  <c r="AP294" i="20"/>
  <c r="AR294" i="20"/>
  <c r="AP1042" i="20"/>
  <c r="AR1042" i="20"/>
  <c r="AP287" i="20"/>
  <c r="AR287" i="20"/>
  <c r="AP1033" i="20"/>
  <c r="AR1033" i="20"/>
  <c r="AP527" i="20"/>
  <c r="AR527" i="20"/>
  <c r="AP411" i="20"/>
  <c r="AR411" i="20"/>
  <c r="AP138" i="20"/>
  <c r="AR138" i="20"/>
  <c r="AP143" i="20"/>
  <c r="AR143" i="20"/>
  <c r="AP621" i="20"/>
  <c r="AR621" i="20"/>
  <c r="AP910" i="20"/>
  <c r="AR910" i="20"/>
  <c r="AP304" i="20"/>
  <c r="AR304" i="20"/>
  <c r="AP302" i="20"/>
  <c r="AR302" i="20"/>
  <c r="AP548" i="20"/>
  <c r="AR548" i="20"/>
  <c r="AP566" i="20"/>
  <c r="AR566" i="20"/>
  <c r="AP151" i="20"/>
  <c r="AR151" i="20"/>
  <c r="AR182" i="20"/>
  <c r="AR18" i="20"/>
  <c r="AR206" i="20"/>
  <c r="AR241" i="20"/>
  <c r="AR260" i="20"/>
  <c r="AR249" i="20"/>
  <c r="AR197" i="20"/>
  <c r="AR399" i="20"/>
  <c r="AR717" i="20"/>
  <c r="AR758" i="20"/>
  <c r="AR874" i="20"/>
  <c r="AP110" i="20"/>
  <c r="AP70" i="20"/>
  <c r="AP95" i="20"/>
  <c r="AP60" i="20"/>
  <c r="AP1081" i="20"/>
  <c r="AP107" i="20"/>
  <c r="AP123" i="20"/>
  <c r="AR1078" i="20"/>
  <c r="AP1145" i="20"/>
  <c r="AP1120" i="20"/>
  <c r="AP1136" i="20"/>
  <c r="AR1138" i="20"/>
  <c r="AP119" i="20"/>
  <c r="AR108" i="20"/>
  <c r="AR126" i="20"/>
  <c r="AR1139" i="20"/>
  <c r="AP1107" i="20"/>
  <c r="AP1109" i="20"/>
  <c r="AP1112" i="20"/>
  <c r="AR116" i="20"/>
  <c r="AR1110" i="20"/>
  <c r="AP1110" i="20"/>
  <c r="AR1091" i="20"/>
  <c r="AR310" i="20"/>
  <c r="AR80" i="20"/>
  <c r="AR567" i="20"/>
  <c r="AP263" i="20"/>
  <c r="AR225" i="20"/>
  <c r="AR233" i="20"/>
  <c r="AR231" i="20"/>
  <c r="AR261" i="20"/>
  <c r="AR239" i="20"/>
  <c r="AR200" i="20"/>
  <c r="AP835" i="20"/>
  <c r="AP117" i="20"/>
  <c r="AR1080" i="20"/>
  <c r="AP81" i="20"/>
  <c r="AR1086" i="20"/>
  <c r="AR1114" i="20"/>
  <c r="AP1124" i="20"/>
  <c r="AR1117" i="20"/>
  <c r="AR1119" i="20"/>
  <c r="AP1092" i="20"/>
  <c r="AP1093" i="20"/>
  <c r="AP1100" i="20"/>
  <c r="AR55" i="20"/>
  <c r="AP55" i="20"/>
  <c r="AR1104" i="20"/>
  <c r="AP1104" i="20"/>
  <c r="AP1142" i="20"/>
  <c r="AR1142" i="20"/>
  <c r="AR193" i="20"/>
  <c r="AR1127" i="20"/>
  <c r="AP1108" i="20"/>
  <c r="AR1083" i="20"/>
  <c r="AP1083" i="20"/>
  <c r="AR1111" i="20"/>
  <c r="AR1095" i="20"/>
  <c r="AP1312" i="20"/>
  <c r="AR1312" i="20"/>
  <c r="AP15" i="20"/>
  <c r="AR15" i="20"/>
  <c r="AP146" i="20"/>
  <c r="AR146" i="20"/>
  <c r="AP208" i="20"/>
  <c r="AR208" i="20"/>
  <c r="AP343" i="20"/>
  <c r="AR343" i="20"/>
  <c r="AP494" i="20"/>
  <c r="AR494" i="20"/>
  <c r="AP658" i="20"/>
  <c r="AR658" i="20"/>
  <c r="AR862" i="20"/>
  <c r="AP862" i="20"/>
  <c r="AP269" i="20"/>
  <c r="AR269" i="20"/>
  <c r="AR384" i="20"/>
  <c r="AP384" i="20"/>
  <c r="AP357" i="20"/>
  <c r="AR357" i="20"/>
  <c r="AR702" i="20"/>
  <c r="AP702" i="20"/>
  <c r="AR776" i="20"/>
  <c r="AP776" i="20"/>
  <c r="AR39" i="20"/>
  <c r="AP39" i="20"/>
  <c r="AP1330" i="20"/>
  <c r="AP1298" i="20"/>
  <c r="AP1266" i="20"/>
  <c r="AP1238" i="20"/>
  <c r="AP1273" i="20"/>
  <c r="AP1213" i="20"/>
  <c r="AP1259" i="20"/>
  <c r="AR1243" i="20"/>
  <c r="AP1231" i="20"/>
  <c r="AP1194" i="20"/>
  <c r="AP1296" i="20"/>
  <c r="AR1300" i="20"/>
  <c r="AP1232" i="20"/>
  <c r="AR1232" i="20"/>
  <c r="AP1292" i="20"/>
  <c r="AR1292" i="20"/>
  <c r="AR7" i="20"/>
  <c r="AP7" i="20"/>
  <c r="AP189" i="20"/>
  <c r="AP1049" i="20"/>
  <c r="AP883" i="20"/>
  <c r="AP927" i="20"/>
  <c r="AR927" i="20"/>
  <c r="AP41" i="20"/>
  <c r="AR41" i="20"/>
  <c r="AP861" i="20"/>
  <c r="AR861" i="20"/>
  <c r="AP882" i="20"/>
  <c r="AR882" i="20"/>
  <c r="AR1153" i="20"/>
  <c r="AP1173" i="20"/>
  <c r="AP1287" i="20"/>
  <c r="AR1187" i="20"/>
  <c r="AP1191" i="20"/>
  <c r="AR1284" i="20"/>
  <c r="AP1226" i="20"/>
  <c r="AR1226" i="20"/>
  <c r="AP1240" i="20"/>
  <c r="AR1240" i="20"/>
  <c r="AP365" i="20"/>
  <c r="AR365" i="20"/>
  <c r="AP1282" i="20"/>
  <c r="AP1250" i="20"/>
  <c r="AP1254" i="20"/>
  <c r="AP1182" i="20"/>
  <c r="AP1268" i="20"/>
  <c r="AP1228" i="20"/>
  <c r="AR24" i="20"/>
  <c r="AR1190" i="20"/>
  <c r="AP1190" i="20"/>
  <c r="AR17" i="20"/>
  <c r="AP17" i="20"/>
  <c r="AP8" i="20"/>
  <c r="AR8" i="20"/>
  <c r="AP43" i="20"/>
  <c r="AR43" i="20"/>
  <c r="AP248" i="20"/>
  <c r="AR248" i="20"/>
  <c r="AR584" i="20"/>
  <c r="AP584" i="20"/>
  <c r="AP342" i="20"/>
  <c r="AR342" i="20"/>
  <c r="AP188" i="20"/>
  <c r="AP467" i="20"/>
  <c r="AP657" i="20"/>
  <c r="AR916" i="20"/>
  <c r="AP948" i="20"/>
  <c r="AP40" i="20"/>
  <c r="AR374" i="20"/>
  <c r="AR358" i="20"/>
  <c r="AP724" i="20"/>
  <c r="AR774" i="20"/>
  <c r="AP859" i="20"/>
  <c r="AR950" i="20"/>
  <c r="AR355" i="20"/>
  <c r="AP709" i="20"/>
  <c r="AP31" i="20"/>
  <c r="AR380" i="20"/>
  <c r="AR339" i="20"/>
  <c r="AP13" i="20"/>
  <c r="AP23" i="20"/>
  <c r="AP209" i="20"/>
  <c r="AR977" i="20"/>
  <c r="AR926" i="20"/>
  <c r="AR38" i="20"/>
  <c r="AP243" i="20"/>
  <c r="AP351" i="20"/>
  <c r="AR708" i="20"/>
  <c r="AR723" i="20"/>
  <c r="AR860" i="20"/>
  <c r="AR876" i="20"/>
  <c r="AP963" i="20"/>
  <c r="AR376" i="20"/>
  <c r="AR767" i="20"/>
  <c r="AR880" i="20"/>
  <c r="O38" i="37"/>
  <c r="B54" i="37"/>
  <c r="P16" i="36"/>
  <c r="P10" i="36"/>
  <c r="P20" i="36"/>
  <c r="P27" i="36"/>
  <c r="B28" i="36"/>
  <c r="D34" i="40"/>
  <c r="F34" i="40"/>
  <c r="P22" i="36"/>
  <c r="C54" i="37"/>
  <c r="O14" i="36"/>
  <c r="I28" i="40"/>
  <c r="Y24" i="66"/>
  <c r="AC24" i="66" s="1"/>
  <c r="J33" i="40"/>
  <c r="N12" i="36"/>
  <c r="AA8" i="66" s="1"/>
  <c r="AQ52" i="40"/>
  <c r="M24" i="36"/>
  <c r="AG24" i="66"/>
  <c r="Z24" i="66" s="1"/>
  <c r="F39" i="40"/>
  <c r="D40" i="40"/>
  <c r="E40" i="40"/>
  <c r="U158" i="19"/>
  <c r="K16" i="36"/>
  <c r="AR466" i="20"/>
  <c r="AF69" i="14"/>
  <c r="AH69" i="14" s="1"/>
  <c r="AF247" i="14"/>
  <c r="AH247" i="14" s="1"/>
  <c r="AF25" i="14"/>
  <c r="AH25" i="14" s="1"/>
  <c r="AF38" i="14"/>
  <c r="AH38" i="14" s="1"/>
  <c r="AF23" i="14"/>
  <c r="AH23" i="14" s="1"/>
  <c r="AF34" i="14"/>
  <c r="AH34" i="14" s="1"/>
  <c r="AF122" i="14"/>
  <c r="AH122" i="14" s="1"/>
  <c r="AF124" i="14"/>
  <c r="AH124" i="14" s="1"/>
  <c r="AF245" i="14"/>
  <c r="AH245" i="14" s="1"/>
  <c r="AF252" i="14"/>
  <c r="AH252" i="14" s="1"/>
  <c r="AF234" i="14"/>
  <c r="AH234" i="14" s="1"/>
  <c r="AF237" i="14"/>
  <c r="AH237" i="14" s="1"/>
  <c r="AF238" i="14"/>
  <c r="AH238" i="14" s="1"/>
  <c r="AF143" i="14"/>
  <c r="AH143" i="14" s="1"/>
  <c r="AF61" i="14"/>
  <c r="AH61" i="14" s="1"/>
  <c r="AF208" i="14"/>
  <c r="AH208" i="14" s="1"/>
  <c r="AF116" i="14"/>
  <c r="AH116" i="14" s="1"/>
  <c r="AF128" i="14"/>
  <c r="AH128" i="14" s="1"/>
  <c r="AR763" i="20"/>
  <c r="AR888" i="20"/>
  <c r="AR1068" i="20"/>
  <c r="AR819" i="20"/>
  <c r="AP148" i="20"/>
  <c r="AR148" i="20"/>
  <c r="K19" i="36"/>
  <c r="K15" i="36"/>
  <c r="U80" i="19"/>
  <c r="K13" i="36"/>
  <c r="U45" i="19"/>
  <c r="K21" i="36"/>
  <c r="K7" i="36"/>
  <c r="AF57" i="14"/>
  <c r="AH57" i="14" s="1"/>
  <c r="U9" i="19"/>
  <c r="U5" i="19"/>
  <c r="AF162" i="14"/>
  <c r="AH162" i="14" s="1"/>
  <c r="K9" i="36"/>
  <c r="AR150" i="20"/>
  <c r="U83" i="19"/>
  <c r="K17" i="36"/>
  <c r="K22" i="36"/>
  <c r="U216" i="19"/>
  <c r="AF253" i="14"/>
  <c r="AH253" i="14" s="1"/>
  <c r="AF250" i="14"/>
  <c r="AH250" i="14" s="1"/>
  <c r="AF256" i="14"/>
  <c r="AH256" i="14" s="1"/>
  <c r="AF254" i="14"/>
  <c r="AH254" i="14" s="1"/>
  <c r="AF249" i="14"/>
  <c r="AH249" i="14" s="1"/>
  <c r="AF148" i="14"/>
  <c r="AH148" i="14" s="1"/>
  <c r="AF130" i="14"/>
  <c r="AH130" i="14" s="1"/>
  <c r="AF144" i="14"/>
  <c r="AH144" i="14" s="1"/>
  <c r="AF75" i="14"/>
  <c r="AH75" i="14" s="1"/>
  <c r="AF229" i="14"/>
  <c r="AH229" i="14" s="1"/>
  <c r="AF219" i="14"/>
  <c r="AH219" i="14" s="1"/>
  <c r="AF86" i="14"/>
  <c r="AH86" i="14" s="1"/>
  <c r="AF76" i="14"/>
  <c r="AH76" i="14" s="1"/>
  <c r="AF232" i="14"/>
  <c r="AH232" i="14" s="1"/>
  <c r="K20" i="36"/>
  <c r="AF126" i="14"/>
  <c r="AH126" i="14" s="1"/>
  <c r="AF205" i="14"/>
  <c r="AH205" i="14" s="1"/>
  <c r="AF244" i="14"/>
  <c r="AH244" i="14" s="1"/>
  <c r="AF119" i="14"/>
  <c r="AH119" i="14" s="1"/>
  <c r="AF125" i="14"/>
  <c r="AH125" i="14" s="1"/>
  <c r="AF190" i="14"/>
  <c r="AH190" i="14" s="1"/>
  <c r="K27" i="36"/>
  <c r="AF246" i="14"/>
  <c r="AH246" i="14" s="1"/>
  <c r="AF255" i="14"/>
  <c r="AH255" i="14" s="1"/>
  <c r="I35" i="40"/>
  <c r="U202" i="19"/>
  <c r="AR113" i="20"/>
  <c r="AR9" i="20"/>
  <c r="AR328" i="20"/>
  <c r="AP371" i="20"/>
  <c r="AP639" i="20"/>
  <c r="AP76" i="20"/>
  <c r="AP50" i="20"/>
  <c r="AP678" i="20"/>
  <c r="AP219" i="20"/>
  <c r="AP224" i="20"/>
  <c r="AP214" i="20"/>
  <c r="AP203" i="20"/>
  <c r="AP207" i="20"/>
  <c r="AP215" i="20"/>
  <c r="AP752" i="20"/>
  <c r="AR1260" i="20"/>
  <c r="AP1260" i="20"/>
  <c r="AR301" i="20"/>
  <c r="AR731" i="20"/>
  <c r="AP299" i="20"/>
  <c r="AP28" i="20"/>
  <c r="AR120" i="20"/>
  <c r="AR1149" i="20"/>
  <c r="AP1147" i="20"/>
  <c r="AP1310" i="20"/>
  <c r="AP1275" i="20"/>
  <c r="AR1208" i="20"/>
  <c r="AR1168" i="20"/>
  <c r="AP1186" i="20"/>
  <c r="AR1178" i="20"/>
  <c r="AP1178" i="20"/>
  <c r="AP1216" i="20"/>
  <c r="AR1216" i="20"/>
  <c r="AR192" i="20"/>
  <c r="AR1051" i="20"/>
  <c r="AP1170" i="20"/>
  <c r="AP1334" i="20"/>
  <c r="AP1313" i="20"/>
  <c r="AP1305" i="20"/>
  <c r="AP1193" i="20"/>
  <c r="AP1165" i="20"/>
  <c r="AP1223" i="20"/>
  <c r="AR1195" i="20"/>
  <c r="AR1192" i="20"/>
  <c r="AR1154" i="20"/>
  <c r="AR871" i="20"/>
  <c r="AR1272" i="20"/>
  <c r="AR19" i="20"/>
  <c r="AP30" i="20"/>
  <c r="AR705" i="20"/>
  <c r="AR340" i="20"/>
  <c r="AP704" i="20"/>
  <c r="AP851" i="20"/>
  <c r="AP853" i="20"/>
  <c r="AP22" i="20"/>
  <c r="AR37" i="20"/>
  <c r="AR338" i="20"/>
  <c r="AR361" i="20"/>
  <c r="AR381" i="20"/>
  <c r="AP721" i="20"/>
  <c r="AP769" i="20"/>
  <c r="AR855" i="20"/>
  <c r="AR879" i="20"/>
  <c r="AC16" i="43"/>
  <c r="AC22" i="43"/>
  <c r="AC15" i="43"/>
  <c r="AC21" i="43"/>
  <c r="R15" i="43"/>
  <c r="AC20" i="43"/>
  <c r="AC19" i="43"/>
  <c r="R13" i="43"/>
  <c r="R14" i="43"/>
  <c r="I19" i="43"/>
  <c r="AC13" i="43"/>
  <c r="AC18" i="43"/>
  <c r="I16" i="43"/>
  <c r="I15" i="43"/>
  <c r="I13" i="43"/>
  <c r="I18" i="43"/>
  <c r="J38" i="40"/>
  <c r="I37" i="40"/>
  <c r="I32" i="40"/>
  <c r="J35" i="40"/>
  <c r="I33" i="40"/>
  <c r="I39" i="40"/>
  <c r="J37" i="40"/>
  <c r="J36" i="40"/>
  <c r="I38" i="40"/>
  <c r="J39" i="40"/>
  <c r="J32" i="40"/>
  <c r="J34" i="40"/>
  <c r="I36" i="40"/>
  <c r="I34" i="40"/>
  <c r="J40" i="40" l="1"/>
  <c r="U98" i="19"/>
  <c r="AF177" i="14"/>
  <c r="AH177" i="14" s="1"/>
  <c r="AC17" i="43"/>
  <c r="I5" i="86"/>
  <c r="L5" i="86" s="1"/>
  <c r="G94" i="86"/>
  <c r="J94" i="86" s="1"/>
  <c r="H164" i="86"/>
  <c r="K164" i="86" s="1"/>
  <c r="G123" i="86"/>
  <c r="G3" i="86"/>
  <c r="J3" i="86" s="1"/>
  <c r="M23" i="36"/>
  <c r="L23" i="36"/>
  <c r="O23" i="36" s="1"/>
  <c r="I14" i="43"/>
  <c r="H77" i="86"/>
  <c r="K77" i="86" s="1"/>
  <c r="G19" i="86"/>
  <c r="J19" i="86" s="1"/>
  <c r="D17" i="37"/>
  <c r="H5" i="86"/>
  <c r="K5" i="86" s="1"/>
  <c r="H132" i="86"/>
  <c r="K132" i="86" s="1"/>
  <c r="I81" i="86"/>
  <c r="L81" i="86" s="1"/>
  <c r="G158" i="86"/>
  <c r="J158" i="86" s="1"/>
  <c r="G87" i="86"/>
  <c r="J87" i="86" s="1"/>
  <c r="I30" i="86"/>
  <c r="L30" i="86" s="1"/>
  <c r="H37" i="86"/>
  <c r="K37" i="86" s="1"/>
  <c r="H103" i="86"/>
  <c r="K103" i="86" s="1"/>
  <c r="I132" i="86"/>
  <c r="L132" i="86" s="1"/>
  <c r="E24" i="37"/>
  <c r="H118" i="86"/>
  <c r="K118" i="86" s="1"/>
  <c r="D42" i="37"/>
  <c r="G42" i="37" s="1"/>
  <c r="I145" i="86"/>
  <c r="L145" i="86" s="1"/>
  <c r="H110" i="86"/>
  <c r="K110" i="86" s="1"/>
  <c r="J17" i="37"/>
  <c r="H67" i="86"/>
  <c r="K67" i="86" s="1"/>
  <c r="D24" i="37"/>
  <c r="G129" i="86"/>
  <c r="J129" i="86" s="1"/>
  <c r="K24" i="37"/>
  <c r="I51" i="86"/>
  <c r="L51" i="86" s="1"/>
  <c r="H128" i="86"/>
  <c r="K128" i="86" s="1"/>
  <c r="H42" i="37"/>
  <c r="K42" i="37" s="1"/>
  <c r="M27" i="37"/>
  <c r="H135" i="86"/>
  <c r="K135" i="86" s="1"/>
  <c r="G44" i="86"/>
  <c r="J44" i="86" s="1"/>
  <c r="G54" i="86"/>
  <c r="J54" i="86" s="1"/>
  <c r="H81" i="86"/>
  <c r="K81" i="86" s="1"/>
  <c r="G124" i="86"/>
  <c r="J124" i="86" s="1"/>
  <c r="I19" i="86"/>
  <c r="L19" i="86" s="1"/>
  <c r="G67" i="86"/>
  <c r="J67" i="86" s="1"/>
  <c r="I15" i="86"/>
  <c r="L15" i="86" s="1"/>
  <c r="I140" i="86"/>
  <c r="L140" i="86" s="1"/>
  <c r="H40" i="86"/>
  <c r="K40" i="86" s="1"/>
  <c r="G51" i="86"/>
  <c r="J51" i="86" s="1"/>
  <c r="I163" i="86"/>
  <c r="L163" i="86" s="1"/>
  <c r="I62" i="86"/>
  <c r="L62" i="86" s="1"/>
  <c r="G130" i="86"/>
  <c r="J130" i="86" s="1"/>
  <c r="AP26" i="40"/>
  <c r="AM29" i="40" s="1"/>
  <c r="AQ59" i="40"/>
  <c r="H19" i="86"/>
  <c r="K19" i="86" s="1"/>
  <c r="G163" i="86"/>
  <c r="J163" i="86" s="1"/>
  <c r="G83" i="86"/>
  <c r="J83" i="86" s="1"/>
  <c r="I94" i="86"/>
  <c r="L94" i="86" s="1"/>
  <c r="D27" i="37"/>
  <c r="H15" i="86"/>
  <c r="K15" i="86" s="1"/>
  <c r="I70" i="86"/>
  <c r="L70" i="86" s="1"/>
  <c r="I130" i="86"/>
  <c r="L130" i="86" s="1"/>
  <c r="H152" i="86"/>
  <c r="K152" i="86" s="1"/>
  <c r="G115" i="86"/>
  <c r="J115" i="86" s="1"/>
  <c r="I67" i="86"/>
  <c r="L67" i="86" s="1"/>
  <c r="G152" i="86"/>
  <c r="J152" i="86" s="1"/>
  <c r="G135" i="86"/>
  <c r="J135" i="86" s="1"/>
  <c r="I164" i="86"/>
  <c r="L164" i="86" s="1"/>
  <c r="I44" i="86"/>
  <c r="L44" i="86" s="1"/>
  <c r="G40" i="86"/>
  <c r="J40" i="86" s="1"/>
  <c r="G132" i="86"/>
  <c r="I135" i="86"/>
  <c r="L135" i="86" s="1"/>
  <c r="I64" i="86"/>
  <c r="L64" i="86" s="1"/>
  <c r="G62" i="86"/>
  <c r="J62" i="86" s="1"/>
  <c r="H91" i="86"/>
  <c r="K91" i="86" s="1"/>
  <c r="H98" i="86"/>
  <c r="K98" i="86" s="1"/>
  <c r="H129" i="86"/>
  <c r="K129" i="86" s="1"/>
  <c r="H4" i="86"/>
  <c r="K4" i="86" s="1"/>
  <c r="H88" i="86"/>
  <c r="K88" i="86" s="1"/>
  <c r="I27" i="37"/>
  <c r="N27" i="37"/>
  <c r="D25" i="37"/>
  <c r="I114" i="86"/>
  <c r="L114" i="86" s="1"/>
  <c r="H66" i="86"/>
  <c r="K66" i="86" s="1"/>
  <c r="H168" i="86"/>
  <c r="K168" i="86" s="1"/>
  <c r="I166" i="86"/>
  <c r="L166" i="86" s="1"/>
  <c r="G30" i="86"/>
  <c r="J30" i="86" s="1"/>
  <c r="G17" i="37"/>
  <c r="I58" i="86"/>
  <c r="L58" i="86" s="1"/>
  <c r="G120" i="86"/>
  <c r="J120" i="86" s="1"/>
  <c r="L27" i="37"/>
  <c r="H158" i="86"/>
  <c r="K158" i="86" s="1"/>
  <c r="I115" i="86"/>
  <c r="L115" i="86" s="1"/>
  <c r="H7" i="86"/>
  <c r="K7" i="86" s="1"/>
  <c r="I152" i="86"/>
  <c r="L152" i="86" s="1"/>
  <c r="L17" i="37"/>
  <c r="E17" i="37"/>
  <c r="I77" i="86"/>
  <c r="L77" i="86" s="1"/>
  <c r="E27" i="37"/>
  <c r="I98" i="86"/>
  <c r="L98" i="86" s="1"/>
  <c r="J27" i="37"/>
  <c r="G145" i="86"/>
  <c r="J145" i="86" s="1"/>
  <c r="H44" i="86"/>
  <c r="K44" i="86" s="1"/>
  <c r="L11" i="37"/>
  <c r="H85" i="86"/>
  <c r="K85" i="86" s="1"/>
  <c r="G110" i="86"/>
  <c r="H156" i="86"/>
  <c r="K156" i="86" s="1"/>
  <c r="I7" i="86"/>
  <c r="L7" i="86" s="1"/>
  <c r="H117" i="86"/>
  <c r="K117" i="86" s="1"/>
  <c r="H17" i="37"/>
  <c r="G27" i="37"/>
  <c r="H25" i="37"/>
  <c r="G15" i="86"/>
  <c r="J15" i="86" s="1"/>
  <c r="I146" i="86"/>
  <c r="L146" i="86" s="1"/>
  <c r="H130" i="86"/>
  <c r="H114" i="86"/>
  <c r="K114" i="86" s="1"/>
  <c r="I40" i="86"/>
  <c r="L40" i="86" s="1"/>
  <c r="I123" i="86"/>
  <c r="L123" i="86" s="1"/>
  <c r="H63" i="86"/>
  <c r="K63" i="86" s="1"/>
  <c r="M17" i="37"/>
  <c r="G81" i="86"/>
  <c r="J81" i="86" s="1"/>
  <c r="H6" i="86"/>
  <c r="K6" i="86" s="1"/>
  <c r="G77" i="86"/>
  <c r="J77" i="86" s="1"/>
  <c r="I65" i="86"/>
  <c r="L65" i="86" s="1"/>
  <c r="G78" i="86"/>
  <c r="J78" i="86" s="1"/>
  <c r="N17" i="37"/>
  <c r="I27" i="86"/>
  <c r="L27" i="86" s="1"/>
  <c r="I156" i="86"/>
  <c r="L156" i="86" s="1"/>
  <c r="G103" i="86"/>
  <c r="J103" i="86" s="1"/>
  <c r="H52" i="37"/>
  <c r="K52" i="37" s="1"/>
  <c r="L52" i="37"/>
  <c r="O52" i="37" s="1"/>
  <c r="H94" i="86"/>
  <c r="K94" i="86" s="1"/>
  <c r="I103" i="86"/>
  <c r="L103" i="86" s="1"/>
  <c r="G164" i="86"/>
  <c r="J164" i="86" s="1"/>
  <c r="H62" i="86"/>
  <c r="K62" i="86" s="1"/>
  <c r="I88" i="86"/>
  <c r="L88" i="86" s="1"/>
  <c r="G88" i="86"/>
  <c r="J88" i="86" s="1"/>
  <c r="G4" i="86"/>
  <c r="J4" i="86" s="1"/>
  <c r="H163" i="86"/>
  <c r="K163" i="86" s="1"/>
  <c r="H3" i="86"/>
  <c r="K3" i="86" s="1"/>
  <c r="I4" i="86"/>
  <c r="L4" i="86" s="1"/>
  <c r="I17" i="37"/>
  <c r="H60" i="86"/>
  <c r="K60" i="86" s="1"/>
  <c r="F17" i="37"/>
  <c r="H46" i="37"/>
  <c r="K46" i="37" s="1"/>
  <c r="H89" i="86"/>
  <c r="K89" i="86" s="1"/>
  <c r="H115" i="86"/>
  <c r="K115" i="86" s="1"/>
  <c r="G63" i="86"/>
  <c r="J63" i="86" s="1"/>
  <c r="G9" i="86"/>
  <c r="J9" i="86" s="1"/>
  <c r="H39" i="86"/>
  <c r="K39" i="86" s="1"/>
  <c r="G121" i="86"/>
  <c r="J121" i="86" s="1"/>
  <c r="H28" i="86"/>
  <c r="K28" i="86" s="1"/>
  <c r="I3" i="86"/>
  <c r="L3" i="86" s="1"/>
  <c r="I151" i="86"/>
  <c r="L151" i="86" s="1"/>
  <c r="G119" i="86"/>
  <c r="J119" i="86" s="1"/>
  <c r="H30" i="86"/>
  <c r="F11" i="37"/>
  <c r="I37" i="86"/>
  <c r="L37" i="86" s="1"/>
  <c r="K11" i="37"/>
  <c r="G114" i="86"/>
  <c r="J114" i="86" s="1"/>
  <c r="L42" i="37"/>
  <c r="O42" i="37" s="1"/>
  <c r="J21" i="37"/>
  <c r="G27" i="86"/>
  <c r="L25" i="37"/>
  <c r="I165" i="86"/>
  <c r="L165" i="86" s="1"/>
  <c r="H33" i="86"/>
  <c r="K33" i="86" s="1"/>
  <c r="D15" i="37"/>
  <c r="H78" i="86"/>
  <c r="K78" i="86" s="1"/>
  <c r="H37" i="37"/>
  <c r="K37" i="37" s="1"/>
  <c r="G11" i="37"/>
  <c r="J15" i="37"/>
  <c r="G82" i="86"/>
  <c r="J82" i="86" s="1"/>
  <c r="G102" i="86"/>
  <c r="J102" i="86" s="1"/>
  <c r="H9" i="86"/>
  <c r="K9" i="86" s="1"/>
  <c r="D11" i="37"/>
  <c r="D49" i="37"/>
  <c r="G49" i="37" s="1"/>
  <c r="G127" i="86"/>
  <c r="J127" i="86" s="1"/>
  <c r="I63" i="86"/>
  <c r="L63" i="86" s="1"/>
  <c r="H131" i="86"/>
  <c r="K131" i="86" s="1"/>
  <c r="G90" i="86"/>
  <c r="J90" i="86" s="1"/>
  <c r="E11" i="37"/>
  <c r="G24" i="86"/>
  <c r="J24" i="86" s="1"/>
  <c r="G8" i="86"/>
  <c r="J8" i="86" s="1"/>
  <c r="H124" i="86"/>
  <c r="K124" i="86" s="1"/>
  <c r="H59" i="86"/>
  <c r="K59" i="86" s="1"/>
  <c r="H143" i="86"/>
  <c r="H80" i="86"/>
  <c r="K80" i="86" s="1"/>
  <c r="I120" i="86"/>
  <c r="L120" i="86" s="1"/>
  <c r="G117" i="86"/>
  <c r="J117" i="86" s="1"/>
  <c r="I102" i="86"/>
  <c r="L102" i="86" s="1"/>
  <c r="H87" i="86"/>
  <c r="K87" i="86" s="1"/>
  <c r="H93" i="86"/>
  <c r="K93" i="86" s="1"/>
  <c r="G98" i="86"/>
  <c r="J98" i="86" s="1"/>
  <c r="L46" i="37"/>
  <c r="O46" i="37" s="1"/>
  <c r="L50" i="37"/>
  <c r="O50" i="37" s="1"/>
  <c r="H27" i="37"/>
  <c r="G6" i="86"/>
  <c r="J6" i="86" s="1"/>
  <c r="H166" i="86"/>
  <c r="K166" i="86" s="1"/>
  <c r="I13" i="86"/>
  <c r="L13" i="86" s="1"/>
  <c r="D50" i="37"/>
  <c r="G50" i="37" s="1"/>
  <c r="I90" i="86"/>
  <c r="L90" i="86" s="1"/>
  <c r="H18" i="86"/>
  <c r="K18" i="86" s="1"/>
  <c r="G93" i="86"/>
  <c r="J93" i="86" s="1"/>
  <c r="H146" i="86"/>
  <c r="K146" i="86" s="1"/>
  <c r="H99" i="86"/>
  <c r="K99" i="86" s="1"/>
  <c r="N11" i="37"/>
  <c r="H123" i="86"/>
  <c r="K123" i="86" s="1"/>
  <c r="G100" i="86"/>
  <c r="J100" i="86" s="1"/>
  <c r="G58" i="86"/>
  <c r="J58" i="86" s="1"/>
  <c r="M24" i="37"/>
  <c r="E23" i="37"/>
  <c r="L48" i="37"/>
  <c r="O48" i="37" s="1"/>
  <c r="H159" i="86"/>
  <c r="K159" i="86" s="1"/>
  <c r="G59" i="86"/>
  <c r="J59" i="86" s="1"/>
  <c r="G92" i="86"/>
  <c r="J92" i="86" s="1"/>
  <c r="G7" i="86"/>
  <c r="J7" i="86" s="1"/>
  <c r="H116" i="86"/>
  <c r="K116" i="86" s="1"/>
  <c r="G71" i="86"/>
  <c r="J71" i="86" s="1"/>
  <c r="J11" i="37"/>
  <c r="I11" i="37"/>
  <c r="H2" i="86"/>
  <c r="K2" i="86" s="1"/>
  <c r="L35" i="37"/>
  <c r="O35" i="37" s="1"/>
  <c r="I8" i="86"/>
  <c r="L8" i="86" s="1"/>
  <c r="K15" i="37"/>
  <c r="I158" i="86"/>
  <c r="L158" i="86" s="1"/>
  <c r="H119" i="86"/>
  <c r="K119" i="86" s="1"/>
  <c r="G2" i="86"/>
  <c r="N15" i="37"/>
  <c r="H18" i="37"/>
  <c r="G21" i="37"/>
  <c r="I19" i="37"/>
  <c r="H127" i="86"/>
  <c r="K127" i="86" s="1"/>
  <c r="I21" i="86"/>
  <c r="L21" i="86" s="1"/>
  <c r="I143" i="86"/>
  <c r="L143" i="86" s="1"/>
  <c r="J25" i="37"/>
  <c r="G150" i="86"/>
  <c r="J150" i="86" s="1"/>
  <c r="I118" i="86"/>
  <c r="L118" i="86" s="1"/>
  <c r="I131" i="86"/>
  <c r="L131" i="86" s="1"/>
  <c r="F27" i="37"/>
  <c r="H49" i="37"/>
  <c r="K49" i="37" s="1"/>
  <c r="G166" i="86"/>
  <c r="J166" i="86" s="1"/>
  <c r="H145" i="86"/>
  <c r="K145" i="86" s="1"/>
  <c r="G68" i="86"/>
  <c r="J68" i="86" s="1"/>
  <c r="H100" i="86"/>
  <c r="K100" i="86" s="1"/>
  <c r="H65" i="86"/>
  <c r="K65" i="86" s="1"/>
  <c r="H83" i="86"/>
  <c r="K83" i="86" s="1"/>
  <c r="H20" i="86"/>
  <c r="K20" i="86" s="1"/>
  <c r="I134" i="86"/>
  <c r="L134" i="86" s="1"/>
  <c r="H140" i="86"/>
  <c r="K140" i="86" s="1"/>
  <c r="H25" i="86"/>
  <c r="K25" i="86" s="1"/>
  <c r="I18" i="37"/>
  <c r="H111" i="86"/>
  <c r="K111" i="86" s="1"/>
  <c r="I18" i="86"/>
  <c r="L18" i="86" s="1"/>
  <c r="I155" i="86"/>
  <c r="L155" i="86" s="1"/>
  <c r="E25" i="37"/>
  <c r="H36" i="86"/>
  <c r="K36" i="86" s="1"/>
  <c r="G70" i="86"/>
  <c r="J70" i="86" s="1"/>
  <c r="H147" i="86"/>
  <c r="K147" i="86" s="1"/>
  <c r="D44" i="37"/>
  <c r="G44" i="37" s="1"/>
  <c r="L44" i="37"/>
  <c r="O44" i="37" s="1"/>
  <c r="I89" i="86"/>
  <c r="L89" i="86" s="1"/>
  <c r="D46" i="37"/>
  <c r="G46" i="37" s="1"/>
  <c r="I21" i="37"/>
  <c r="I112" i="86"/>
  <c r="L112" i="86" s="1"/>
  <c r="I78" i="86"/>
  <c r="L78" i="86" s="1"/>
  <c r="G25" i="86"/>
  <c r="J25" i="86" s="1"/>
  <c r="N25" i="37"/>
  <c r="K25" i="37"/>
  <c r="I39" i="86"/>
  <c r="L39" i="86" s="1"/>
  <c r="J14" i="37"/>
  <c r="G23" i="37"/>
  <c r="L23" i="37"/>
  <c r="I128" i="86"/>
  <c r="L128" i="86" s="1"/>
  <c r="G162" i="86"/>
  <c r="J162" i="86" s="1"/>
  <c r="H22" i="86"/>
  <c r="K22" i="86" s="1"/>
  <c r="I6" i="86"/>
  <c r="L6" i="86" s="1"/>
  <c r="G112" i="86"/>
  <c r="J112" i="86" s="1"/>
  <c r="H70" i="86"/>
  <c r="K70" i="86" s="1"/>
  <c r="G56" i="86"/>
  <c r="J56" i="86" s="1"/>
  <c r="H64" i="86"/>
  <c r="K64" i="86" s="1"/>
  <c r="H43" i="37"/>
  <c r="K43" i="37" s="1"/>
  <c r="L43" i="37"/>
  <c r="O43" i="37" s="1"/>
  <c r="I97" i="86"/>
  <c r="L97" i="86" s="1"/>
  <c r="I141" i="86"/>
  <c r="L141" i="86" s="1"/>
  <c r="I117" i="86"/>
  <c r="L117" i="86" s="1"/>
  <c r="G131" i="86"/>
  <c r="J131" i="86" s="1"/>
  <c r="I55" i="86"/>
  <c r="L55" i="86" s="1"/>
  <c r="I85" i="86"/>
  <c r="L85" i="86" s="1"/>
  <c r="H96" i="86"/>
  <c r="K96" i="86" s="1"/>
  <c r="N18" i="37"/>
  <c r="I22" i="86"/>
  <c r="L22" i="86" s="1"/>
  <c r="G91" i="86"/>
  <c r="J91" i="86" s="1"/>
  <c r="G19" i="37"/>
  <c r="I100" i="86"/>
  <c r="L100" i="86" s="1"/>
  <c r="I110" i="86"/>
  <c r="L110" i="86" s="1"/>
  <c r="H10" i="86"/>
  <c r="K10" i="86" s="1"/>
  <c r="M18" i="37"/>
  <c r="G23" i="86"/>
  <c r="J23" i="86" s="1"/>
  <c r="H21" i="86"/>
  <c r="K21" i="86" s="1"/>
  <c r="H71" i="86"/>
  <c r="K71" i="86" s="1"/>
  <c r="H27" i="86"/>
  <c r="K27" i="86" s="1"/>
  <c r="N19" i="37"/>
  <c r="M11" i="37"/>
  <c r="I14" i="86"/>
  <c r="L14" i="86" s="1"/>
  <c r="K27" i="37"/>
  <c r="I54" i="86"/>
  <c r="L54" i="86" s="1"/>
  <c r="H112" i="86"/>
  <c r="K112" i="86" s="1"/>
  <c r="H165" i="86"/>
  <c r="K165" i="86" s="1"/>
  <c r="H97" i="86"/>
  <c r="K97" i="86" s="1"/>
  <c r="F21" i="37"/>
  <c r="G160" i="86"/>
  <c r="J160" i="86" s="1"/>
  <c r="H44" i="37"/>
  <c r="K44" i="37" s="1"/>
  <c r="J19" i="37"/>
  <c r="H15" i="37"/>
  <c r="G64" i="86"/>
  <c r="J64" i="86" s="1"/>
  <c r="G143" i="86"/>
  <c r="J143" i="86" s="1"/>
  <c r="H157" i="86"/>
  <c r="K157" i="86" s="1"/>
  <c r="G69" i="86"/>
  <c r="J69" i="86" s="1"/>
  <c r="I82" i="86"/>
  <c r="L82" i="86" s="1"/>
  <c r="E15" i="37"/>
  <c r="G148" i="86"/>
  <c r="J148" i="86" s="1"/>
  <c r="I33" i="86"/>
  <c r="L33" i="86" s="1"/>
  <c r="L37" i="37"/>
  <c r="O37" i="37" s="1"/>
  <c r="J24" i="37"/>
  <c r="E21" i="37"/>
  <c r="D21" i="37"/>
  <c r="D19" i="37"/>
  <c r="K19" i="37"/>
  <c r="G157" i="86"/>
  <c r="J157" i="86" s="1"/>
  <c r="E19" i="37"/>
  <c r="H24" i="86"/>
  <c r="K24" i="86" s="1"/>
  <c r="I11" i="86"/>
  <c r="L11" i="86" s="1"/>
  <c r="G139" i="86"/>
  <c r="J139" i="86" s="1"/>
  <c r="I66" i="86"/>
  <c r="L66" i="86" s="1"/>
  <c r="D52" i="37"/>
  <c r="G52" i="37" s="1"/>
  <c r="H150" i="86"/>
  <c r="K150" i="86" s="1"/>
  <c r="I56" i="86"/>
  <c r="L56" i="86" s="1"/>
  <c r="H68" i="86"/>
  <c r="K68" i="86" s="1"/>
  <c r="G118" i="86"/>
  <c r="J118" i="86" s="1"/>
  <c r="G25" i="37"/>
  <c r="G24" i="37"/>
  <c r="I121" i="86"/>
  <c r="L121" i="86" s="1"/>
  <c r="H90" i="86"/>
  <c r="K90" i="86" s="1"/>
  <c r="H52" i="86"/>
  <c r="K52" i="86" s="1"/>
  <c r="H14" i="37"/>
  <c r="G39" i="86"/>
  <c r="J39" i="86" s="1"/>
  <c r="I101" i="86"/>
  <c r="L101" i="86" s="1"/>
  <c r="I28" i="86"/>
  <c r="L28" i="86" s="1"/>
  <c r="H79" i="86"/>
  <c r="K79" i="86" s="1"/>
  <c r="H12" i="86"/>
  <c r="K12" i="86" s="1"/>
  <c r="H24" i="37"/>
  <c r="G95" i="86"/>
  <c r="J95" i="86" s="1"/>
  <c r="G12" i="86"/>
  <c r="J12" i="86" s="1"/>
  <c r="G168" i="86"/>
  <c r="H120" i="86"/>
  <c r="K120" i="86" s="1"/>
  <c r="L49" i="37"/>
  <c r="O49" i="37" s="1"/>
  <c r="G97" i="86"/>
  <c r="J97" i="86" s="1"/>
  <c r="H26" i="37"/>
  <c r="J9" i="37"/>
  <c r="E9" i="37"/>
  <c r="H8" i="86"/>
  <c r="K8" i="86" s="1"/>
  <c r="G65" i="86"/>
  <c r="J65" i="86" s="1"/>
  <c r="G126" i="86"/>
  <c r="J126" i="86" s="1"/>
  <c r="I99" i="86"/>
  <c r="L99" i="86" s="1"/>
  <c r="I113" i="86"/>
  <c r="L113" i="86" s="1"/>
  <c r="G116" i="86"/>
  <c r="J116" i="86" s="1"/>
  <c r="I106" i="86"/>
  <c r="L106" i="86" s="1"/>
  <c r="G18" i="37"/>
  <c r="F18" i="37"/>
  <c r="K18" i="37"/>
  <c r="I107" i="86"/>
  <c r="L107" i="86" s="1"/>
  <c r="I24" i="86"/>
  <c r="L24" i="86" s="1"/>
  <c r="G144" i="86"/>
  <c r="J144" i="86" s="1"/>
  <c r="I167" i="86"/>
  <c r="L167" i="86" s="1"/>
  <c r="G10" i="86"/>
  <c r="J10" i="86" s="1"/>
  <c r="I50" i="86"/>
  <c r="L50" i="86" s="1"/>
  <c r="I23" i="37"/>
  <c r="F24" i="37"/>
  <c r="I96" i="86"/>
  <c r="L96" i="86" s="1"/>
  <c r="G128" i="86"/>
  <c r="J128" i="86" s="1"/>
  <c r="I95" i="86"/>
  <c r="L95" i="86" s="1"/>
  <c r="I93" i="86"/>
  <c r="L93" i="86" s="1"/>
  <c r="H155" i="86"/>
  <c r="K155" i="86" s="1"/>
  <c r="I150" i="86"/>
  <c r="L150" i="86" s="1"/>
  <c r="H14" i="86"/>
  <c r="K14" i="86" s="1"/>
  <c r="I147" i="86"/>
  <c r="L147" i="86" s="1"/>
  <c r="M25" i="37"/>
  <c r="H50" i="37"/>
  <c r="K50" i="37" s="1"/>
  <c r="I79" i="86"/>
  <c r="L79" i="86" s="1"/>
  <c r="M19" i="37"/>
  <c r="H162" i="86"/>
  <c r="K162" i="86" s="1"/>
  <c r="G107" i="86"/>
  <c r="J107" i="86" s="1"/>
  <c r="H107" i="86"/>
  <c r="K107" i="86" s="1"/>
  <c r="G21" i="86"/>
  <c r="J21" i="86" s="1"/>
  <c r="I127" i="86"/>
  <c r="L127" i="86" s="1"/>
  <c r="I92" i="86"/>
  <c r="L92" i="86" s="1"/>
  <c r="I87" i="86"/>
  <c r="L87" i="86" s="1"/>
  <c r="D23" i="37"/>
  <c r="I59" i="86"/>
  <c r="L59" i="86" s="1"/>
  <c r="H106" i="86"/>
  <c r="K106" i="86" s="1"/>
  <c r="I24" i="37"/>
  <c r="I148" i="86"/>
  <c r="L148" i="86" s="1"/>
  <c r="H58" i="86"/>
  <c r="K58" i="86" s="1"/>
  <c r="I71" i="86"/>
  <c r="L71" i="86" s="1"/>
  <c r="H141" i="86"/>
  <c r="K141" i="86" s="1"/>
  <c r="I80" i="86"/>
  <c r="L80" i="86" s="1"/>
  <c r="I68" i="86"/>
  <c r="L68" i="86" s="1"/>
  <c r="G22" i="86"/>
  <c r="J22" i="86" s="1"/>
  <c r="D43" i="37"/>
  <c r="G43" i="37" s="1"/>
  <c r="I10" i="86"/>
  <c r="L10" i="86" s="1"/>
  <c r="F25" i="37"/>
  <c r="I25" i="37"/>
  <c r="I91" i="86"/>
  <c r="L91" i="86" s="1"/>
  <c r="H56" i="86"/>
  <c r="K56" i="86" s="1"/>
  <c r="H121" i="86"/>
  <c r="K121" i="86" s="1"/>
  <c r="G159" i="86"/>
  <c r="J159" i="86" s="1"/>
  <c r="G155" i="86"/>
  <c r="J155" i="86" s="1"/>
  <c r="G147" i="86"/>
  <c r="H48" i="37"/>
  <c r="K48" i="37" s="1"/>
  <c r="J23" i="37"/>
  <c r="I111" i="86"/>
  <c r="L111" i="86" s="1"/>
  <c r="I139" i="86"/>
  <c r="L139" i="86" s="1"/>
  <c r="G20" i="86"/>
  <c r="J20" i="86" s="1"/>
  <c r="G18" i="86"/>
  <c r="J18" i="86" s="1"/>
  <c r="G141" i="86"/>
  <c r="J141" i="86" s="1"/>
  <c r="G28" i="86"/>
  <c r="J28" i="86" s="1"/>
  <c r="G106" i="86"/>
  <c r="J106" i="86" s="1"/>
  <c r="G85" i="86"/>
  <c r="J85" i="86" s="1"/>
  <c r="G89" i="86"/>
  <c r="J89" i="86" s="1"/>
  <c r="G5" i="86"/>
  <c r="J5" i="86" s="1"/>
  <c r="I124" i="86"/>
  <c r="L124" i="86" s="1"/>
  <c r="H50" i="86"/>
  <c r="K50" i="86" s="1"/>
  <c r="G50" i="86"/>
  <c r="J50" i="86" s="1"/>
  <c r="H55" i="86"/>
  <c r="K55" i="86" s="1"/>
  <c r="L21" i="37"/>
  <c r="K17" i="37"/>
  <c r="H13" i="86"/>
  <c r="K13" i="86" s="1"/>
  <c r="G13" i="86"/>
  <c r="J13" i="86" s="1"/>
  <c r="G14" i="86"/>
  <c r="J14" i="86" s="1"/>
  <c r="K23" i="37"/>
  <c r="H11" i="37"/>
  <c r="I168" i="86"/>
  <c r="L168" i="86" s="1"/>
  <c r="I126" i="86"/>
  <c r="L126" i="86" s="1"/>
  <c r="G9" i="37"/>
  <c r="F23" i="37"/>
  <c r="I153" i="86"/>
  <c r="L153" i="86" s="1"/>
  <c r="H148" i="86"/>
  <c r="K148" i="86" s="1"/>
  <c r="I133" i="86"/>
  <c r="L133" i="86" s="1"/>
  <c r="I20" i="86"/>
  <c r="L20" i="86" s="1"/>
  <c r="E18" i="37"/>
  <c r="L40" i="37"/>
  <c r="O40" i="37" s="1"/>
  <c r="I14" i="37"/>
  <c r="G72" i="86"/>
  <c r="J72" i="86" s="1"/>
  <c r="L51" i="37"/>
  <c r="O51" i="37" s="1"/>
  <c r="I159" i="86"/>
  <c r="L159" i="86" s="1"/>
  <c r="H82" i="86"/>
  <c r="K82" i="86" s="1"/>
  <c r="G55" i="86"/>
  <c r="J55" i="86" s="1"/>
  <c r="H102" i="86"/>
  <c r="K102" i="86" s="1"/>
  <c r="H95" i="86"/>
  <c r="K95" i="86" s="1"/>
  <c r="G156" i="86"/>
  <c r="H136" i="86"/>
  <c r="K136" i="86" s="1"/>
  <c r="D9" i="37"/>
  <c r="I9" i="86"/>
  <c r="L9" i="86" s="1"/>
  <c r="I15" i="37"/>
  <c r="G66" i="86"/>
  <c r="J66" i="86" s="1"/>
  <c r="G99" i="86"/>
  <c r="J99" i="86" s="1"/>
  <c r="G140" i="86"/>
  <c r="J140" i="86" s="1"/>
  <c r="I25" i="86"/>
  <c r="L25" i="86" s="1"/>
  <c r="D18" i="37"/>
  <c r="I60" i="86"/>
  <c r="L60" i="86" s="1"/>
  <c r="N24" i="37"/>
  <c r="I162" i="86"/>
  <c r="L162" i="86" s="1"/>
  <c r="G79" i="86"/>
  <c r="H92" i="86"/>
  <c r="K92" i="86" s="1"/>
  <c r="G146" i="86"/>
  <c r="J146" i="86" s="1"/>
  <c r="L10" i="37"/>
  <c r="J18" i="37"/>
  <c r="G153" i="86"/>
  <c r="J153" i="86" s="1"/>
  <c r="G14" i="37"/>
  <c r="H72" i="86"/>
  <c r="K72" i="86" s="1"/>
  <c r="D35" i="37"/>
  <c r="G35" i="37" s="1"/>
  <c r="G35" i="86"/>
  <c r="J35" i="86" s="1"/>
  <c r="K14" i="37"/>
  <c r="I35" i="86"/>
  <c r="L35" i="86" s="1"/>
  <c r="G36" i="86"/>
  <c r="J36" i="86" s="1"/>
  <c r="D48" i="37"/>
  <c r="G48" i="37" s="1"/>
  <c r="I83" i="86"/>
  <c r="L83" i="86" s="1"/>
  <c r="L9" i="37"/>
  <c r="H35" i="86"/>
  <c r="K35" i="86" s="1"/>
  <c r="G137" i="86"/>
  <c r="J137" i="86" s="1"/>
  <c r="H167" i="86"/>
  <c r="K167" i="86" s="1"/>
  <c r="I36" i="86"/>
  <c r="L36" i="86" s="1"/>
  <c r="I116" i="86"/>
  <c r="L116" i="86" s="1"/>
  <c r="I72" i="86"/>
  <c r="L72" i="86" s="1"/>
  <c r="H69" i="86"/>
  <c r="K69" i="86" s="1"/>
  <c r="G113" i="86"/>
  <c r="J113" i="86" s="1"/>
  <c r="H23" i="86"/>
  <c r="K23" i="86" s="1"/>
  <c r="G8" i="37"/>
  <c r="H126" i="86"/>
  <c r="K126" i="86" s="1"/>
  <c r="L19" i="37"/>
  <c r="H151" i="86"/>
  <c r="K151" i="86" s="1"/>
  <c r="H36" i="37"/>
  <c r="K36" i="37" s="1"/>
  <c r="G80" i="86"/>
  <c r="J80" i="86" s="1"/>
  <c r="I119" i="86"/>
  <c r="L119" i="86" s="1"/>
  <c r="M21" i="37"/>
  <c r="G57" i="86"/>
  <c r="J57" i="86" s="1"/>
  <c r="G134" i="86"/>
  <c r="J134" i="86" s="1"/>
  <c r="N9" i="37"/>
  <c r="I34" i="86"/>
  <c r="L34" i="86" s="1"/>
  <c r="G32" i="86"/>
  <c r="J32" i="86" s="1"/>
  <c r="K21" i="37"/>
  <c r="G17" i="86"/>
  <c r="J17" i="86" s="1"/>
  <c r="L24" i="37"/>
  <c r="H54" i="86"/>
  <c r="K54" i="86" s="1"/>
  <c r="F28" i="37"/>
  <c r="E26" i="37"/>
  <c r="E16" i="37"/>
  <c r="H40" i="37"/>
  <c r="K40" i="37" s="1"/>
  <c r="J10" i="37"/>
  <c r="G151" i="86"/>
  <c r="J151" i="86" s="1"/>
  <c r="G111" i="86"/>
  <c r="J111" i="86" s="1"/>
  <c r="L14" i="37"/>
  <c r="I136" i="86"/>
  <c r="L136" i="86" s="1"/>
  <c r="H57" i="86"/>
  <c r="K57" i="86" s="1"/>
  <c r="I20" i="37"/>
  <c r="L45" i="37"/>
  <c r="O45" i="37" s="1"/>
  <c r="G16" i="37"/>
  <c r="E20" i="37"/>
  <c r="L47" i="37"/>
  <c r="O47" i="37" s="1"/>
  <c r="D47" i="37"/>
  <c r="G47" i="37" s="1"/>
  <c r="I144" i="86"/>
  <c r="L144" i="86" s="1"/>
  <c r="H20" i="37"/>
  <c r="H134" i="86"/>
  <c r="K134" i="86" s="1"/>
  <c r="G33" i="86"/>
  <c r="J33" i="86" s="1"/>
  <c r="I137" i="86"/>
  <c r="L137" i="86" s="1"/>
  <c r="I23" i="86"/>
  <c r="L23" i="86" s="1"/>
  <c r="I26" i="37"/>
  <c r="N26" i="37"/>
  <c r="L36" i="37"/>
  <c r="O36" i="37" s="1"/>
  <c r="I32" i="86"/>
  <c r="L32" i="86" s="1"/>
  <c r="D53" i="37"/>
  <c r="G53" i="37" s="1"/>
  <c r="H101" i="86"/>
  <c r="K101" i="86" s="1"/>
  <c r="G29" i="86"/>
  <c r="J29" i="86" s="1"/>
  <c r="G96" i="86"/>
  <c r="J96" i="86" s="1"/>
  <c r="D10" i="37"/>
  <c r="H10" i="37"/>
  <c r="H139" i="86"/>
  <c r="K139" i="86" s="1"/>
  <c r="H160" i="86"/>
  <c r="K160" i="86" s="1"/>
  <c r="N21" i="37"/>
  <c r="I69" i="86"/>
  <c r="L69" i="86" s="1"/>
  <c r="H142" i="86"/>
  <c r="K142" i="86" s="1"/>
  <c r="H11" i="86"/>
  <c r="K11" i="86" s="1"/>
  <c r="G101" i="86"/>
  <c r="J101" i="86" s="1"/>
  <c r="H113" i="86"/>
  <c r="K113" i="86" s="1"/>
  <c r="G26" i="37"/>
  <c r="D26" i="37"/>
  <c r="G136" i="86"/>
  <c r="J136" i="86" s="1"/>
  <c r="I157" i="86"/>
  <c r="L157" i="86" s="1"/>
  <c r="F9" i="37"/>
  <c r="M28" i="37"/>
  <c r="E10" i="37"/>
  <c r="I10" i="37"/>
  <c r="H29" i="86"/>
  <c r="K29" i="86" s="1"/>
  <c r="H9" i="37"/>
  <c r="I29" i="86"/>
  <c r="L29" i="86" s="1"/>
  <c r="N22" i="37"/>
  <c r="E22" i="37"/>
  <c r="F22" i="37"/>
  <c r="N28" i="37"/>
  <c r="D22" i="37"/>
  <c r="I57" i="86"/>
  <c r="L57" i="86" s="1"/>
  <c r="G167" i="86"/>
  <c r="J167" i="86" s="1"/>
  <c r="G11" i="86"/>
  <c r="J11" i="86" s="1"/>
  <c r="G60" i="86"/>
  <c r="J60" i="86" s="1"/>
  <c r="I16" i="37"/>
  <c r="H16" i="37"/>
  <c r="D37" i="37"/>
  <c r="G37" i="37" s="1"/>
  <c r="H23" i="37"/>
  <c r="M9" i="37"/>
  <c r="H35" i="37"/>
  <c r="K35" i="37" s="1"/>
  <c r="G10" i="37"/>
  <c r="H21" i="37"/>
  <c r="M23" i="37"/>
  <c r="F19" i="37"/>
  <c r="I22" i="37"/>
  <c r="I9" i="37"/>
  <c r="H19" i="37"/>
  <c r="I142" i="86"/>
  <c r="L142" i="86" s="1"/>
  <c r="G142" i="86"/>
  <c r="J142" i="86" s="1"/>
  <c r="I160" i="86"/>
  <c r="L160" i="86" s="1"/>
  <c r="K10" i="37"/>
  <c r="F15" i="37"/>
  <c r="L20" i="37"/>
  <c r="G37" i="86"/>
  <c r="K9" i="37"/>
  <c r="I12" i="86"/>
  <c r="L12" i="86" s="1"/>
  <c r="N10" i="37"/>
  <c r="L18" i="37"/>
  <c r="H28" i="37"/>
  <c r="L28" i="37"/>
  <c r="N23" i="37"/>
  <c r="I2" i="86"/>
  <c r="L2" i="86" s="1"/>
  <c r="I28" i="37"/>
  <c r="L15" i="37"/>
  <c r="M10" i="37"/>
  <c r="I31" i="86"/>
  <c r="L31" i="86" s="1"/>
  <c r="K22" i="37"/>
  <c r="F26" i="37"/>
  <c r="K28" i="37"/>
  <c r="F10" i="37"/>
  <c r="D14" i="37"/>
  <c r="L53" i="37"/>
  <c r="O53" i="37" s="1"/>
  <c r="G22" i="37"/>
  <c r="H34" i="86"/>
  <c r="K34" i="86" s="1"/>
  <c r="H137" i="86"/>
  <c r="K137" i="86" s="1"/>
  <c r="E28" i="37"/>
  <c r="K26" i="37"/>
  <c r="H153" i="86"/>
  <c r="K153" i="86" s="1"/>
  <c r="H32" i="86"/>
  <c r="K32" i="86" s="1"/>
  <c r="J26" i="37"/>
  <c r="D40" i="37"/>
  <c r="G40" i="37" s="1"/>
  <c r="D51" i="37"/>
  <c r="G51" i="37" s="1"/>
  <c r="H51" i="37"/>
  <c r="K51" i="37" s="1"/>
  <c r="H22" i="37"/>
  <c r="E14" i="37"/>
  <c r="M26" i="37"/>
  <c r="D28" i="37"/>
  <c r="L16" i="37"/>
  <c r="D20" i="37"/>
  <c r="E8" i="37"/>
  <c r="K8" i="37"/>
  <c r="H8" i="37"/>
  <c r="H144" i="86"/>
  <c r="K144" i="86" s="1"/>
  <c r="H47" i="37"/>
  <c r="K47" i="37" s="1"/>
  <c r="H149" i="86"/>
  <c r="K149" i="86" s="1"/>
  <c r="N20" i="37"/>
  <c r="D16" i="37"/>
  <c r="N14" i="37"/>
  <c r="J16" i="37"/>
  <c r="L41" i="37"/>
  <c r="O41" i="37" s="1"/>
  <c r="I8" i="37"/>
  <c r="L8" i="37"/>
  <c r="L26" i="37"/>
  <c r="G28" i="37"/>
  <c r="H41" i="37"/>
  <c r="K41" i="37" s="1"/>
  <c r="G165" i="86"/>
  <c r="J165" i="86" s="1"/>
  <c r="M8" i="37"/>
  <c r="J28" i="37"/>
  <c r="H45" i="37"/>
  <c r="K45" i="37" s="1"/>
  <c r="N8" i="37"/>
  <c r="F14" i="37"/>
  <c r="N16" i="37"/>
  <c r="J8" i="37"/>
  <c r="F20" i="37"/>
  <c r="J20" i="37"/>
  <c r="D45" i="37"/>
  <c r="G45" i="37" s="1"/>
  <c r="D8" i="37"/>
  <c r="F8" i="37"/>
  <c r="G20" i="37"/>
  <c r="D36" i="37"/>
  <c r="G36" i="37" s="1"/>
  <c r="D34" i="37"/>
  <c r="G34" i="37" s="1"/>
  <c r="I149" i="86"/>
  <c r="L149" i="86" s="1"/>
  <c r="H34" i="37"/>
  <c r="K34" i="37" s="1"/>
  <c r="L34" i="37"/>
  <c r="O34" i="37" s="1"/>
  <c r="D41" i="37"/>
  <c r="G41" i="37" s="1"/>
  <c r="H53" i="37"/>
  <c r="K53" i="37" s="1"/>
  <c r="K20" i="37"/>
  <c r="M20" i="37"/>
  <c r="G149" i="86"/>
  <c r="J149" i="86" s="1"/>
  <c r="G34" i="86"/>
  <c r="J34" i="86" s="1"/>
  <c r="M16" i="37"/>
  <c r="M138" i="86"/>
  <c r="M22" i="37"/>
  <c r="M14" i="37"/>
  <c r="F16" i="37"/>
  <c r="J22" i="37"/>
  <c r="K16" i="37"/>
  <c r="M38" i="86"/>
  <c r="L22" i="37"/>
  <c r="J138" i="86"/>
  <c r="M46" i="86"/>
  <c r="M26" i="86"/>
  <c r="M16" i="86"/>
  <c r="M53" i="86"/>
  <c r="J53" i="86"/>
  <c r="M105" i="86"/>
  <c r="J105" i="86"/>
  <c r="J43" i="86"/>
  <c r="M43" i="86"/>
  <c r="J52" i="86"/>
  <c r="M86" i="86"/>
  <c r="J86" i="86"/>
  <c r="M108" i="86"/>
  <c r="J16" i="86"/>
  <c r="M75" i="86"/>
  <c r="J75" i="86"/>
  <c r="M104" i="86"/>
  <c r="J104" i="86"/>
  <c r="M109" i="86"/>
  <c r="J109" i="86"/>
  <c r="M125" i="86"/>
  <c r="J125" i="86"/>
  <c r="M42" i="86"/>
  <c r="M74" i="86"/>
  <c r="M84" i="86"/>
  <c r="J84" i="86"/>
  <c r="M48" i="86"/>
  <c r="J47" i="86"/>
  <c r="M47" i="86"/>
  <c r="M41" i="86"/>
  <c r="J41" i="86"/>
  <c r="J161" i="86"/>
  <c r="M161" i="86"/>
  <c r="J31" i="86"/>
  <c r="J123" i="86"/>
  <c r="J108" i="86"/>
  <c r="J45" i="86"/>
  <c r="M45" i="86"/>
  <c r="M122" i="86"/>
  <c r="J49" i="86"/>
  <c r="M49" i="86"/>
  <c r="M154" i="86"/>
  <c r="J133" i="86"/>
  <c r="J76" i="86"/>
  <c r="M76" i="86"/>
  <c r="M73" i="86"/>
  <c r="J73" i="86"/>
  <c r="J61" i="86"/>
  <c r="M61" i="86"/>
  <c r="F17" i="43"/>
  <c r="G17" i="43" s="1"/>
  <c r="J17" i="43" s="1"/>
  <c r="AD24" i="66"/>
  <c r="F19" i="43"/>
  <c r="AD19" i="43" s="1"/>
  <c r="AE19" i="43" s="1"/>
  <c r="O15" i="43"/>
  <c r="AD22" i="43" s="1"/>
  <c r="AE22" i="43" s="1"/>
  <c r="AB24" i="66"/>
  <c r="AO29" i="40"/>
  <c r="F18" i="43"/>
  <c r="G18" i="43" s="1"/>
  <c r="J18" i="43" s="1"/>
  <c r="N19" i="36"/>
  <c r="AA15" i="66" s="1"/>
  <c r="L19" i="36"/>
  <c r="O19" i="36" s="1"/>
  <c r="M19" i="36"/>
  <c r="O14" i="43"/>
  <c r="AD21" i="43" s="1"/>
  <c r="AE21" i="43" s="1"/>
  <c r="F15" i="43"/>
  <c r="AD15" i="43" s="1"/>
  <c r="AE15" i="43" s="1"/>
  <c r="O13" i="43"/>
  <c r="P13" i="43" s="1"/>
  <c r="S13" i="43" s="1"/>
  <c r="F13" i="43"/>
  <c r="G13" i="43" s="1"/>
  <c r="J13" i="43" s="1"/>
  <c r="F16" i="43"/>
  <c r="AD16" i="43" s="1"/>
  <c r="AE16" i="43" s="1"/>
  <c r="M10" i="36"/>
  <c r="N10" i="36"/>
  <c r="AA6" i="66" s="1"/>
  <c r="L10" i="36"/>
  <c r="O10" i="36" s="1"/>
  <c r="L20" i="36"/>
  <c r="O20" i="36" s="1"/>
  <c r="N20" i="36"/>
  <c r="AA16" i="66" s="1"/>
  <c r="M20" i="36"/>
  <c r="N22" i="36"/>
  <c r="AA18" i="66" s="1"/>
  <c r="L22" i="36"/>
  <c r="O22" i="36" s="1"/>
  <c r="M22" i="36"/>
  <c r="N9" i="36"/>
  <c r="AA5" i="66" s="1"/>
  <c r="M9" i="36"/>
  <c r="L9" i="36"/>
  <c r="O9" i="36" s="1"/>
  <c r="L13" i="36"/>
  <c r="O13" i="36" s="1"/>
  <c r="N13" i="36"/>
  <c r="AA9" i="66" s="1"/>
  <c r="M13" i="36"/>
  <c r="N21" i="36"/>
  <c r="AA17" i="66" s="1"/>
  <c r="M21" i="36"/>
  <c r="L21" i="36"/>
  <c r="O21" i="36" s="1"/>
  <c r="N15" i="36"/>
  <c r="AA11" i="66" s="1"/>
  <c r="L15" i="36"/>
  <c r="O15" i="36" s="1"/>
  <c r="M15" i="36"/>
  <c r="F14" i="43"/>
  <c r="G14" i="43" s="1"/>
  <c r="N27" i="36"/>
  <c r="AA23" i="66" s="1"/>
  <c r="L27" i="36"/>
  <c r="O27" i="36" s="1"/>
  <c r="M27" i="36"/>
  <c r="N17" i="36"/>
  <c r="AA13" i="66" s="1"/>
  <c r="L17" i="36"/>
  <c r="O17" i="36" s="1"/>
  <c r="M17" i="36"/>
  <c r="L7" i="36"/>
  <c r="M7" i="36"/>
  <c r="N7" i="36"/>
  <c r="AA3" i="66" s="1"/>
  <c r="K28" i="36"/>
  <c r="N28" i="36" s="1"/>
  <c r="L16" i="36"/>
  <c r="O16" i="36" s="1"/>
  <c r="N16" i="36"/>
  <c r="AA12" i="66" s="1"/>
  <c r="M16" i="36"/>
  <c r="I40" i="40"/>
  <c r="AL29" i="40" l="1"/>
  <c r="AN29" i="40"/>
  <c r="J14" i="43"/>
  <c r="M147" i="86"/>
  <c r="M132" i="86"/>
  <c r="M79" i="86"/>
  <c r="M129" i="86"/>
  <c r="M117" i="86"/>
  <c r="M103" i="86"/>
  <c r="M135" i="86"/>
  <c r="M40" i="86"/>
  <c r="M145" i="86"/>
  <c r="M77" i="86"/>
  <c r="M130" i="86"/>
  <c r="K130" i="86"/>
  <c r="M44" i="86"/>
  <c r="M51" i="86"/>
  <c r="M19" i="86"/>
  <c r="J132" i="86"/>
  <c r="M152" i="86"/>
  <c r="M67" i="86"/>
  <c r="M115" i="86"/>
  <c r="M156" i="86"/>
  <c r="M30" i="86"/>
  <c r="M15" i="86"/>
  <c r="M98" i="86"/>
  <c r="J79" i="86"/>
  <c r="M164" i="86"/>
  <c r="M81" i="86"/>
  <c r="M114" i="86"/>
  <c r="K30" i="86"/>
  <c r="M118" i="86"/>
  <c r="M52" i="86"/>
  <c r="M97" i="86"/>
  <c r="M94" i="86"/>
  <c r="M158" i="86"/>
  <c r="M88" i="86"/>
  <c r="M155" i="86"/>
  <c r="J156" i="86"/>
  <c r="M133" i="86"/>
  <c r="M91" i="86"/>
  <c r="M8" i="86"/>
  <c r="M159" i="86"/>
  <c r="M31" i="86"/>
  <c r="M28" i="86"/>
  <c r="M128" i="86"/>
  <c r="M71" i="86"/>
  <c r="M141" i="86"/>
  <c r="M150" i="86"/>
  <c r="M78" i="86"/>
  <c r="M3" i="86"/>
  <c r="M85" i="86"/>
  <c r="M50" i="86"/>
  <c r="M168" i="86"/>
  <c r="M143" i="86"/>
  <c r="M4" i="86"/>
  <c r="M110" i="86"/>
  <c r="M54" i="86"/>
  <c r="M18" i="86"/>
  <c r="K143" i="86"/>
  <c r="M62" i="86"/>
  <c r="M166" i="86"/>
  <c r="M89" i="86"/>
  <c r="J147" i="86"/>
  <c r="J168" i="86"/>
  <c r="M100" i="86"/>
  <c r="M7" i="86"/>
  <c r="M63" i="86"/>
  <c r="M6" i="86"/>
  <c r="M5" i="86"/>
  <c r="J110" i="86"/>
  <c r="M56" i="86"/>
  <c r="M25" i="86"/>
  <c r="M24" i="86"/>
  <c r="M37" i="86"/>
  <c r="M2" i="86"/>
  <c r="M27" i="86"/>
  <c r="M119" i="86"/>
  <c r="M112" i="86"/>
  <c r="J2" i="86"/>
  <c r="M95" i="86"/>
  <c r="M20" i="86"/>
  <c r="M106" i="86"/>
  <c r="J27" i="86"/>
  <c r="M87" i="86"/>
  <c r="M64" i="86"/>
  <c r="M14" i="86"/>
  <c r="M90" i="86"/>
  <c r="M127" i="86"/>
  <c r="M9" i="86"/>
  <c r="M22" i="86"/>
  <c r="M163" i="86"/>
  <c r="M123" i="86"/>
  <c r="M107" i="86"/>
  <c r="M13" i="86"/>
  <c r="M82" i="86"/>
  <c r="M21" i="86"/>
  <c r="M58" i="86"/>
  <c r="M120" i="86"/>
  <c r="M59" i="86"/>
  <c r="M146" i="86"/>
  <c r="M124" i="86"/>
  <c r="M10" i="86"/>
  <c r="M140" i="86"/>
  <c r="M92" i="86"/>
  <c r="M93" i="86"/>
  <c r="M162" i="86"/>
  <c r="M68" i="86"/>
  <c r="M65" i="86"/>
  <c r="M12" i="86"/>
  <c r="M39" i="86"/>
  <c r="M131" i="86"/>
  <c r="M99" i="86"/>
  <c r="M121" i="86"/>
  <c r="M139" i="86"/>
  <c r="M148" i="86"/>
  <c r="M102" i="86"/>
  <c r="M70" i="86"/>
  <c r="M72" i="86"/>
  <c r="M60" i="86"/>
  <c r="M80" i="86"/>
  <c r="M160" i="86"/>
  <c r="J37" i="86"/>
  <c r="M17" i="86"/>
  <c r="M144" i="86"/>
  <c r="M36" i="86"/>
  <c r="M96" i="86"/>
  <c r="M55" i="86"/>
  <c r="M165" i="86"/>
  <c r="M116" i="86"/>
  <c r="M35" i="86"/>
  <c r="M66" i="86"/>
  <c r="E29" i="37"/>
  <c r="M23" i="86"/>
  <c r="M69" i="86"/>
  <c r="H29" i="37"/>
  <c r="G29" i="37"/>
  <c r="N29" i="37"/>
  <c r="M113" i="86"/>
  <c r="M83" i="86"/>
  <c r="M33" i="86"/>
  <c r="I29" i="37"/>
  <c r="G54" i="37"/>
  <c r="M29" i="86"/>
  <c r="M126" i="86"/>
  <c r="M157" i="86"/>
  <c r="J29" i="37"/>
  <c r="M101" i="86"/>
  <c r="M134" i="86"/>
  <c r="M111" i="86"/>
  <c r="M142" i="86"/>
  <c r="O54" i="37"/>
  <c r="M11" i="86"/>
  <c r="M137" i="86"/>
  <c r="M57" i="86"/>
  <c r="M151" i="86"/>
  <c r="M136" i="86"/>
  <c r="M153" i="86"/>
  <c r="M167" i="86"/>
  <c r="D29" i="37"/>
  <c r="M32" i="86"/>
  <c r="L29" i="37"/>
  <c r="F29" i="37"/>
  <c r="D54" i="37"/>
  <c r="H54" i="37"/>
  <c r="K29" i="37"/>
  <c r="K54" i="37"/>
  <c r="L54" i="37"/>
  <c r="M149" i="86"/>
  <c r="M29" i="37"/>
  <c r="M34" i="86"/>
  <c r="AD17" i="43"/>
  <c r="AE17" i="43" s="1"/>
  <c r="G19" i="43"/>
  <c r="J19" i="43" s="1"/>
  <c r="AD14" i="43"/>
  <c r="AE14" i="43" s="1"/>
  <c r="Z17" i="43"/>
  <c r="AA17" i="43" s="1"/>
  <c r="P15" i="43"/>
  <c r="S15" i="43" s="1"/>
  <c r="AD18" i="43"/>
  <c r="AE18" i="43" s="1"/>
  <c r="G15" i="43"/>
  <c r="J15" i="43" s="1"/>
  <c r="AD20" i="43"/>
  <c r="AE20" i="43" s="1"/>
  <c r="AA24" i="66"/>
  <c r="P14" i="43"/>
  <c r="S14" i="43" s="1"/>
  <c r="Z13" i="43"/>
  <c r="AA13" i="43" s="1"/>
  <c r="M28" i="36"/>
  <c r="G16" i="43"/>
  <c r="J16" i="43" s="1"/>
  <c r="AD13" i="43"/>
  <c r="AE13" i="43" s="1"/>
  <c r="O7" i="36"/>
  <c r="O28" i="36" s="1"/>
  <c r="L28" i="36"/>
  <c r="Z18" i="43"/>
  <c r="AA18" i="43" s="1"/>
  <c r="Z20" i="43"/>
  <c r="AA20" i="43" s="1"/>
  <c r="Z14" i="43"/>
  <c r="AA14" i="43" s="1"/>
  <c r="Z19" i="43" l="1"/>
  <c r="AA19" i="43" s="1"/>
  <c r="Z15" i="43"/>
  <c r="AA15" i="43" s="1"/>
  <c r="Z22" i="43"/>
  <c r="AA22" i="43" s="1"/>
  <c r="Z16" i="43"/>
  <c r="AA16" i="43" s="1"/>
  <c r="Z21" i="43"/>
  <c r="AA21" i="43" s="1"/>
</calcChain>
</file>

<file path=xl/sharedStrings.xml><?xml version="1.0" encoding="utf-8"?>
<sst xmlns="http://schemas.openxmlformats.org/spreadsheetml/2006/main" count="19241" uniqueCount="1570">
  <si>
    <t>Township</t>
  </si>
  <si>
    <t>Longitude</t>
  </si>
  <si>
    <t>HH</t>
  </si>
  <si>
    <t>Total</t>
  </si>
  <si>
    <t>MMR001CMP050</t>
  </si>
  <si>
    <t>Bhamo</t>
  </si>
  <si>
    <t>AD-2000 Tharthana Compound</t>
  </si>
  <si>
    <t>MMR001CMP051</t>
  </si>
  <si>
    <t>Mu-yin Baptist Church</t>
  </si>
  <si>
    <t>MMR001CMP153</t>
  </si>
  <si>
    <t>Daw Hpum Yang Ninghtawn</t>
  </si>
  <si>
    <t>MMR001CMP163</t>
  </si>
  <si>
    <t>Host Families</t>
  </si>
  <si>
    <t>MMR001CMP052</t>
  </si>
  <si>
    <t>Htoi San Church</t>
  </si>
  <si>
    <t>MMR001CMP048</t>
  </si>
  <si>
    <t>Kannar Yeik Thar</t>
  </si>
  <si>
    <t>MMR001CMP049</t>
  </si>
  <si>
    <t>Lisu Boarding-House</t>
  </si>
  <si>
    <t>MMR001CMP054</t>
  </si>
  <si>
    <t>Nant Hlaing Church</t>
  </si>
  <si>
    <t>MMR001CMP047</t>
  </si>
  <si>
    <t>Robert Church</t>
  </si>
  <si>
    <t>MMR001CMP055</t>
  </si>
  <si>
    <t>Ta Gun Taing Monastery (Shwe Kyi Na)</t>
  </si>
  <si>
    <t>MMR001CMP053</t>
  </si>
  <si>
    <t>Yoe Kyi Monastery</t>
  </si>
  <si>
    <t>Chipwi</t>
  </si>
  <si>
    <t>Chipwi KBC camp</t>
  </si>
  <si>
    <t>MMR001CMP043</t>
  </si>
  <si>
    <t>MMR001CMP042</t>
  </si>
  <si>
    <t>MMR001CMP046</t>
  </si>
  <si>
    <t>Gant Gwin</t>
  </si>
  <si>
    <t>MMR001CMP045</t>
  </si>
  <si>
    <t xml:space="preserve">Lan Jaw </t>
  </si>
  <si>
    <t>Lawk Hkawng Ginwang</t>
  </si>
  <si>
    <t>MMR001CMP044</t>
  </si>
  <si>
    <t>Women's Affairs Association Building</t>
  </si>
  <si>
    <t>MMR001CMP173</t>
  </si>
  <si>
    <t>Anglican Church, Hmaw Si Sar</t>
  </si>
  <si>
    <t>MMR001CMP176</t>
  </si>
  <si>
    <t>AG Church, Hmaw Si Sa</t>
  </si>
  <si>
    <t>MMR001CMP190</t>
  </si>
  <si>
    <t>AG Church, Maw Wan</t>
  </si>
  <si>
    <t>Hmaw Wan, Anglican</t>
  </si>
  <si>
    <t>MMR001CMP191</t>
  </si>
  <si>
    <t>MMR001CMP192</t>
  </si>
  <si>
    <t>MMR001CMP170</t>
  </si>
  <si>
    <t>Away Yar Rama Monastery, Ka Day village</t>
  </si>
  <si>
    <t>MMR001CMP092</t>
  </si>
  <si>
    <t xml:space="preserve">Aye Mya Tharyar Church of Christ </t>
  </si>
  <si>
    <t>MMR001CMP169</t>
  </si>
  <si>
    <t>Baptist Church, Hmaw Si Sar(Lon Khin)</t>
  </si>
  <si>
    <t>MMR001CMP094</t>
  </si>
  <si>
    <t>Mashi Kahtawng Baptist  Church</t>
  </si>
  <si>
    <t>MMR001CMP189</t>
  </si>
  <si>
    <t>Hmaw Wan, Baptist Christian Church</t>
  </si>
  <si>
    <t>MMR001CMP188</t>
  </si>
  <si>
    <t>Baptist Church, Naung Hmee VT</t>
  </si>
  <si>
    <t>MMR001CMP172</t>
  </si>
  <si>
    <t>Baptist Church, Sai Ra village</t>
  </si>
  <si>
    <t>MMR001CMP179</t>
  </si>
  <si>
    <t>5 Ward Baptist Church(lon Khin)</t>
  </si>
  <si>
    <t>MMR001CMP185</t>
  </si>
  <si>
    <t>Ward 2 Cahotlic Church, Seik Mu</t>
  </si>
  <si>
    <t>MMR001CMP093</t>
  </si>
  <si>
    <t>Mashi Kahtawng Catholic Church</t>
  </si>
  <si>
    <t>MMR001CMP090</t>
  </si>
  <si>
    <t>Maw Wan, Catholic Church</t>
  </si>
  <si>
    <t>MMR001CMP086</t>
  </si>
  <si>
    <t>Chin(Zomi) Baptist Church</t>
  </si>
  <si>
    <t>MMR001CMP109</t>
  </si>
  <si>
    <t>Chin Church, Seik Mu</t>
  </si>
  <si>
    <t>MMR001CMP175</t>
  </si>
  <si>
    <t>Wrad(5) Christian Association</t>
  </si>
  <si>
    <t>MMR001CMP174</t>
  </si>
  <si>
    <t>Dhama Rakhita, Nyein Chan Tar Yar Ward(Lon Khin)</t>
  </si>
  <si>
    <t>MMR001CMP180</t>
  </si>
  <si>
    <t>Ei Wan Gali Asso., Ward 1, Seik Mu</t>
  </si>
  <si>
    <t>MMR001CMP096</t>
  </si>
  <si>
    <t>Mashi Kahtawng Evangelical Church</t>
  </si>
  <si>
    <t>MMR001CMP186</t>
  </si>
  <si>
    <t>Free Christian Asso., Ward 1, Seik Mu</t>
  </si>
  <si>
    <t>MMR001CMP085</t>
  </si>
  <si>
    <t>Maw Wan, Kachin Baptist Church</t>
  </si>
  <si>
    <t>MMR001CMP084</t>
  </si>
  <si>
    <t>Maw Wan, Kyauk Hlaing Gu Pagoda Compound</t>
  </si>
  <si>
    <t>MMR001CMP148</t>
  </si>
  <si>
    <t>Hlaing Naung Baptist</t>
  </si>
  <si>
    <t>MMR001CMP181</t>
  </si>
  <si>
    <t>Lisu Baptist Church, Maw Shan Vil,. Seik Mu</t>
  </si>
  <si>
    <t>MMR001CMP167</t>
  </si>
  <si>
    <t>Lisu Baptist Church, Maw Wan Ward</t>
  </si>
  <si>
    <t>MMR001CMP107</t>
  </si>
  <si>
    <t>Ma Mon Buddhist Monastery</t>
  </si>
  <si>
    <t>MMR001CMP104</t>
  </si>
  <si>
    <t>San Kyel, Masoe Yein Monestry</t>
  </si>
  <si>
    <t>MMR001CMP178</t>
  </si>
  <si>
    <t>May Di Ka Rama Monastery(Lon Khin)</t>
  </si>
  <si>
    <t>MMR001CMP091</t>
  </si>
  <si>
    <t>Maw Wan, Mu-yin Baptist Church</t>
  </si>
  <si>
    <t>MMR001CMP098</t>
  </si>
  <si>
    <t>Mashi Kahtawng Municipal Dammar Yone</t>
  </si>
  <si>
    <t>MMR001CMP088</t>
  </si>
  <si>
    <t>Maw Wan, Myo Oo Pagoda</t>
  </si>
  <si>
    <t>MMR001CMP099</t>
  </si>
  <si>
    <t>Mashi Kahtawng Myo Oo Taw Ya Monestry</t>
  </si>
  <si>
    <t>MMR001CMP103</t>
  </si>
  <si>
    <t>Nant Ma Hpit Catholic Church</t>
  </si>
  <si>
    <t>MMR001CMP082</t>
  </si>
  <si>
    <t xml:space="preserve">Nga Pyaw Taw Baptist Nursery School </t>
  </si>
  <si>
    <t>MMR001CMP083</t>
  </si>
  <si>
    <t>Nga Pyaw Taw Roman Catholic Church</t>
  </si>
  <si>
    <t>MMR001CMP102</t>
  </si>
  <si>
    <t>Parami, Charity Office, MyoMa Quarter</t>
  </si>
  <si>
    <t>MMR001CMP095</t>
  </si>
  <si>
    <t>Mashi Kahtawng Rakhine traditional group</t>
  </si>
  <si>
    <t>MMR001CMP182</t>
  </si>
  <si>
    <t>Rawan Baptist Church, Maw Shan Vil., Seik Mu</t>
  </si>
  <si>
    <t>MMR001CMP168</t>
  </si>
  <si>
    <t>5 Ward RC Church(lon Khin)</t>
  </si>
  <si>
    <t>MMR001CMP108</t>
  </si>
  <si>
    <t>Sa Baw Sarsana Parla Monastery</t>
  </si>
  <si>
    <t>MMR001CMP183</t>
  </si>
  <si>
    <t>Sai Nai Baptish Church, Maw Shan Vil., Seki Mu</t>
  </si>
  <si>
    <t>MMR001CMP184</t>
  </si>
  <si>
    <t xml:space="preserve">Ward 2 Sai Taung Baptist Church, Seik Mu </t>
  </si>
  <si>
    <t>MMR001CMP171</t>
  </si>
  <si>
    <t>1 Ward, Sein Yadanar Company(Lon Khin)</t>
  </si>
  <si>
    <t>MMR001CMP100</t>
  </si>
  <si>
    <t>Mashi Kahtawng Shan Traditional Monestry</t>
  </si>
  <si>
    <t>MMR001CMP110</t>
  </si>
  <si>
    <t>Tar Ma Hkan Buddhist Monastery, Haung Par</t>
  </si>
  <si>
    <t>MMR001CMP101</t>
  </si>
  <si>
    <t>Thiri Mingalar Manizay Yone, Myoma Quarter</t>
  </si>
  <si>
    <t>MMR001CMP106</t>
  </si>
  <si>
    <t>Maw Si Zar, Thiriyardanar Sein, Damma Compound, Lone Khin</t>
  </si>
  <si>
    <t>MMR001CMP097</t>
  </si>
  <si>
    <t>Mashi Kahtawng Yaung Chi Oo Thi la shin Monestry</t>
  </si>
  <si>
    <t>MMR001CMP105</t>
  </si>
  <si>
    <t>Yumar Baptist Church</t>
  </si>
  <si>
    <t>MMR001CMP177</t>
  </si>
  <si>
    <t>Muring Baptist Church, Awng Ra, Wa Ra Zut VT</t>
  </si>
  <si>
    <t>MMR001CMP074</t>
  </si>
  <si>
    <t>Khaunglanhpu</t>
  </si>
  <si>
    <t>La Ja</t>
  </si>
  <si>
    <t>Kutkai</t>
  </si>
  <si>
    <t>MMR015CMP006</t>
  </si>
  <si>
    <t>MMR015CMP007</t>
  </si>
  <si>
    <t xml:space="preserve">Nam Hpak Ka Mare </t>
  </si>
  <si>
    <t>MMR001CMP066</t>
  </si>
  <si>
    <t>Mansi</t>
  </si>
  <si>
    <t>Mansi Baptist Church</t>
  </si>
  <si>
    <t>MMR001CMP132</t>
  </si>
  <si>
    <t>Man Wing Catholic Church</t>
  </si>
  <si>
    <t>MMR001CMP134</t>
  </si>
  <si>
    <t>Man Wing Host Families</t>
  </si>
  <si>
    <t>MMR001CMP135</t>
  </si>
  <si>
    <t>Lung Kawk  ( Hka Hkye Zup)</t>
  </si>
  <si>
    <t>MMR001CMP133</t>
  </si>
  <si>
    <t>Man Wing Baptist Church</t>
  </si>
  <si>
    <t>MMR001CMP136</t>
  </si>
  <si>
    <t>Nam Hka Mare (west of Man Wing)</t>
  </si>
  <si>
    <t>MMR001CMP137</t>
  </si>
  <si>
    <t>Nam Lim Pa - Scattered IDPs in forest</t>
  </si>
  <si>
    <t>MMR015CMP009</t>
  </si>
  <si>
    <t>Manton</t>
  </si>
  <si>
    <t>Mandung - Jinghpaw</t>
  </si>
  <si>
    <t>MMR015CMP010</t>
  </si>
  <si>
    <t>Howa</t>
  </si>
  <si>
    <t>MMR015CMP011</t>
  </si>
  <si>
    <t>Nam Hkyet</t>
  </si>
  <si>
    <t>MMR001CMP078</t>
  </si>
  <si>
    <t>Mogaung</t>
  </si>
  <si>
    <t xml:space="preserve">Kyun Taw Baptist Church </t>
  </si>
  <si>
    <t>MMR001CMP077</t>
  </si>
  <si>
    <t>Mang Hawng Baptist Church</t>
  </si>
  <si>
    <t>MMR001CMP079</t>
  </si>
  <si>
    <t xml:space="preserve">Nat Gyi Kone Baptist Church </t>
  </si>
  <si>
    <t>MMR001CMP080</t>
  </si>
  <si>
    <t>Mohnyin</t>
  </si>
  <si>
    <t xml:space="preserve">St. Patrick Catholic Church </t>
  </si>
  <si>
    <t>MMR001CMP081</t>
  </si>
  <si>
    <t>Nant Mun</t>
  </si>
  <si>
    <t>MMR001CMP071</t>
  </si>
  <si>
    <t>Momauk</t>
  </si>
  <si>
    <t>Loi Je Baptist Church</t>
  </si>
  <si>
    <t>MMR001CMP129</t>
  </si>
  <si>
    <t xml:space="preserve">Bum Tsit Pa </t>
  </si>
  <si>
    <t>MMR001CMP070</t>
  </si>
  <si>
    <t>Loi Je Lisu Camp</t>
  </si>
  <si>
    <t>MMR001CMP123</t>
  </si>
  <si>
    <t xml:space="preserve">Dum Bung </t>
  </si>
  <si>
    <t>MMR001CMP122</t>
  </si>
  <si>
    <t xml:space="preserve">Hpun Lum Yang </t>
  </si>
  <si>
    <t>MMR001CMP121</t>
  </si>
  <si>
    <t xml:space="preserve">Je Yang Hka </t>
  </si>
  <si>
    <t>MMR001CMP128</t>
  </si>
  <si>
    <t xml:space="preserve">Lana Zup Ja </t>
  </si>
  <si>
    <t>MMR001CMP064</t>
  </si>
  <si>
    <t xml:space="preserve">Mai Khat </t>
  </si>
  <si>
    <t>MMR001CMP062</t>
  </si>
  <si>
    <t>Man Bung Catholic compound</t>
  </si>
  <si>
    <t>MMR001CMP063</t>
  </si>
  <si>
    <t xml:space="preserve">Man Nawng </t>
  </si>
  <si>
    <t>Man Ting</t>
  </si>
  <si>
    <t>MMR001CMP058</t>
  </si>
  <si>
    <t>Mandalay Monestry</t>
  </si>
  <si>
    <t>MMR001CMP056</t>
  </si>
  <si>
    <t>Momauk Baptist Church</t>
  </si>
  <si>
    <t>MMR001CMP057</t>
  </si>
  <si>
    <t>Momauk Catholic Church (St. Patrick)</t>
  </si>
  <si>
    <t>MMR001CMP061</t>
  </si>
  <si>
    <t xml:space="preserve">Myo Thit </t>
  </si>
  <si>
    <t>MMR001CMP131</t>
  </si>
  <si>
    <t xml:space="preserve">Nhkawng Pa </t>
  </si>
  <si>
    <t>MMR001CMP059</t>
  </si>
  <si>
    <t>Ni Thaw Ka Monestry</t>
  </si>
  <si>
    <t>MMR001CMP126</t>
  </si>
  <si>
    <t xml:space="preserve">Pa Kahtawng </t>
  </si>
  <si>
    <t>MMR001CMP065</t>
  </si>
  <si>
    <t xml:space="preserve">Phar Kay/Nant Waing </t>
  </si>
  <si>
    <t>MMR001CMP069</t>
  </si>
  <si>
    <t>Loi Je Catholic Church</t>
  </si>
  <si>
    <t>MMR001CMP073</t>
  </si>
  <si>
    <t xml:space="preserve">Seng Ja </t>
  </si>
  <si>
    <t>MMR001CMP060</t>
  </si>
  <si>
    <t xml:space="preserve">Tarli </t>
  </si>
  <si>
    <t>MMR001CMP072</t>
  </si>
  <si>
    <t xml:space="preserve">Nyaung Na Pin </t>
  </si>
  <si>
    <t>Muse</t>
  </si>
  <si>
    <t>Hpai Kawng Mare</t>
  </si>
  <si>
    <t>MMR015CMP012</t>
  </si>
  <si>
    <t xml:space="preserve">Munekoe Pa (Giwang) - Hka San (Mung  Go  Pa ) </t>
  </si>
  <si>
    <t>MMR015CMP005</t>
  </si>
  <si>
    <t xml:space="preserve">Mung Baw </t>
  </si>
  <si>
    <t>MMR001CMP001</t>
  </si>
  <si>
    <t>Myitkyina</t>
  </si>
  <si>
    <t>Tat Kone Baptist Church</t>
  </si>
  <si>
    <t>MMR001CMP015</t>
  </si>
  <si>
    <t>Le Kone Bethlehem Church</t>
  </si>
  <si>
    <t>MMR001CMP023</t>
  </si>
  <si>
    <t>MMR001CMP012</t>
  </si>
  <si>
    <t>Du Kahtawng Qtr. 14</t>
  </si>
  <si>
    <t>MMR001CMP010</t>
  </si>
  <si>
    <t>Du Kahtawng Qtr. 4</t>
  </si>
  <si>
    <t>MMR001CMP011</t>
  </si>
  <si>
    <t>Du Kahtawng Qtr. 5</t>
  </si>
  <si>
    <t>MMR001CMP004</t>
  </si>
  <si>
    <t>Tat Kone Emanuel Church</t>
  </si>
  <si>
    <t>MMR001CMP003</t>
  </si>
  <si>
    <t>Tat Kone Galile Baptist Church</t>
  </si>
  <si>
    <t>MMR001CMP018</t>
  </si>
  <si>
    <t>Jan Mai Kawng Baptist Church</t>
  </si>
  <si>
    <t>MMR001CMP019</t>
  </si>
  <si>
    <t>Jan Mai Kawng Catholic Church</t>
  </si>
  <si>
    <t>MMR001CMP013</t>
  </si>
  <si>
    <t>Kyun Pin Thar Baptist Church</t>
  </si>
  <si>
    <t>MMR001CMP016</t>
  </si>
  <si>
    <t>Maliyang Baptist Church</t>
  </si>
  <si>
    <t>MMR001CMP008</t>
  </si>
  <si>
    <t>Man Hkring Baptist Church</t>
  </si>
  <si>
    <t>MMR001CMP020</t>
  </si>
  <si>
    <t>Maw Hpawng Hka Nan Baptist Church</t>
  </si>
  <si>
    <t>MMR001CMP021</t>
  </si>
  <si>
    <t>Maw Hpawng Lhaovo Baptist Church</t>
  </si>
  <si>
    <t>MMR001CMP017</t>
  </si>
  <si>
    <t>Myay Myint Baptist Church</t>
  </si>
  <si>
    <t>MMR001CMP002</t>
  </si>
  <si>
    <t xml:space="preserve">Njang Dung Baptist Church </t>
  </si>
  <si>
    <t>MMR001CMP024</t>
  </si>
  <si>
    <t>Nan Kway St. John Catholic Church</t>
  </si>
  <si>
    <t>MMR001CMP162</t>
  </si>
  <si>
    <t>Pa Dauk Myaing(Pa La Na)</t>
  </si>
  <si>
    <t>MMR001CMP005</t>
  </si>
  <si>
    <t>Tat Kone San Pya Baptist Church</t>
  </si>
  <si>
    <t>MMR001CMP006</t>
  </si>
  <si>
    <t>Shatapru Sut Ngai Tawng</t>
  </si>
  <si>
    <t>MMR001CMP007</t>
  </si>
  <si>
    <t>Shatapru Thida Aye Baptist Church</t>
  </si>
  <si>
    <t>MMR001CMP009</t>
  </si>
  <si>
    <t>Shwe Zet Baptist Church</t>
  </si>
  <si>
    <t>MMR001CMP022</t>
  </si>
  <si>
    <t>Wun Tho Buddhist Monastery</t>
  </si>
  <si>
    <t>MMR001CMP014</t>
  </si>
  <si>
    <t xml:space="preserve">Le Kone Ziun Baptist Church </t>
  </si>
  <si>
    <t>MMR001CMP152</t>
  </si>
  <si>
    <t xml:space="preserve">Nawng Ing (Indawgyi) Baptist Church  </t>
  </si>
  <si>
    <t>MMR015CMP001</t>
  </si>
  <si>
    <t>Namhkan</t>
  </si>
  <si>
    <t>Nam Hkam (KBC Jaw Wang)</t>
  </si>
  <si>
    <t>MMR015CMP004</t>
  </si>
  <si>
    <t>Nam Hkam - Nay Win Ni (Palawng)</t>
  </si>
  <si>
    <t>MMR015CMP002</t>
  </si>
  <si>
    <t xml:space="preserve">Nam Hkam Malut Jak </t>
  </si>
  <si>
    <t>MMR015CMP003</t>
  </si>
  <si>
    <t xml:space="preserve">Mung Ding Pa </t>
  </si>
  <si>
    <t>MMR015CMP014</t>
  </si>
  <si>
    <t>Namtu</t>
  </si>
  <si>
    <t>MMR001CMP075</t>
  </si>
  <si>
    <t>Puta-O</t>
  </si>
  <si>
    <t>Tote Tan Ward</t>
  </si>
  <si>
    <t>Shwegu</t>
  </si>
  <si>
    <t>MMR001CMP147</t>
  </si>
  <si>
    <t>Lawk Awng Mare D. (Sinbo Area)</t>
  </si>
  <si>
    <t>MMR001CMP067</t>
  </si>
  <si>
    <t>Shwe Gu Baptist Church</t>
  </si>
  <si>
    <t>MMR001CMP068</t>
  </si>
  <si>
    <t>Shwe Gu Catholic Church</t>
  </si>
  <si>
    <t>MMR001CMP036</t>
  </si>
  <si>
    <t>Waingmaw</t>
  </si>
  <si>
    <t>Waingmaw Baptist Zonal Office</t>
  </si>
  <si>
    <t>MMR001CMP028</t>
  </si>
  <si>
    <t xml:space="preserve">Hkat Cho </t>
  </si>
  <si>
    <t>MMR001CMP117</t>
  </si>
  <si>
    <t>MMR001CMP038</t>
  </si>
  <si>
    <t>Waingmaw AG Church</t>
  </si>
  <si>
    <t>MMR001CMP032</t>
  </si>
  <si>
    <t>Qtr. 2 Lhaovo Baptist Church</t>
  </si>
  <si>
    <t>MMR001CMP027</t>
  </si>
  <si>
    <t>Mading Baptist Church</t>
  </si>
  <si>
    <t>MMR001CMP119</t>
  </si>
  <si>
    <t xml:space="preserve">Maga Yang </t>
  </si>
  <si>
    <t>MMR001CMP040</t>
  </si>
  <si>
    <t>Maina KBC (Bawng Ring)</t>
  </si>
  <si>
    <t>MMR001CMP039</t>
  </si>
  <si>
    <t>Maina Lawang Baptist Church</t>
  </si>
  <si>
    <t>MMR001CMP031</t>
  </si>
  <si>
    <t>Maina AG Church</t>
  </si>
  <si>
    <t>MMR001CMP029</t>
  </si>
  <si>
    <t>Maina Catholic Church (St. Joseph)</t>
  </si>
  <si>
    <t>MMR001CMP118</t>
  </si>
  <si>
    <t>Manau Compound</t>
  </si>
  <si>
    <t>MMR001CMP113</t>
  </si>
  <si>
    <t>Border Post 8</t>
  </si>
  <si>
    <t>MMR001CMP115</t>
  </si>
  <si>
    <t>Hkau Shau (BP 12)</t>
  </si>
  <si>
    <t>MMR001CMP030</t>
  </si>
  <si>
    <t>Qtr. 3 Mu-yin  Baptist Church</t>
  </si>
  <si>
    <t>MMR001CMP149</t>
  </si>
  <si>
    <t>Laiza Muklum Hpyen  Yen Mungshawa ni</t>
  </si>
  <si>
    <t>MMR001CMP025</t>
  </si>
  <si>
    <t>Qtr. 2 Myoma Baptist Church</t>
  </si>
  <si>
    <t>MMR001CMP033</t>
  </si>
  <si>
    <t>Nawng Hee Village</t>
  </si>
  <si>
    <t>MMR001CMP120</t>
  </si>
  <si>
    <t>MMR001CMP041</t>
  </si>
  <si>
    <t>Shing Jai</t>
  </si>
  <si>
    <t>MMR001CMP037</t>
  </si>
  <si>
    <t>Thargaya Lisu Baptist Church</t>
  </si>
  <si>
    <t>MMR001CMP026</t>
  </si>
  <si>
    <t>Qtr. 4 Monestry (Thargaya Thayett Taw)</t>
  </si>
  <si>
    <t>MMR001CMP116</t>
  </si>
  <si>
    <t xml:space="preserve">Woi Chyai </t>
  </si>
  <si>
    <t>MMR001CMP160</t>
  </si>
  <si>
    <t>Post 6 Camp</t>
  </si>
  <si>
    <t>MMR001CMP111</t>
  </si>
  <si>
    <t>MMR001CMP114</t>
  </si>
  <si>
    <t>Border Post 10</t>
  </si>
  <si>
    <t>MMR001CMP035</t>
  </si>
  <si>
    <t>MMR001CMP034</t>
  </si>
  <si>
    <t>Nam Hkawng</t>
  </si>
  <si>
    <t>MMR001CMP146</t>
  </si>
  <si>
    <t>Injangyang</t>
  </si>
  <si>
    <t>Hpare Hkyer - BP6</t>
  </si>
  <si>
    <t>Lhaovao Baptist Church (LBC)</t>
  </si>
  <si>
    <t>Phan Khar Kone</t>
  </si>
  <si>
    <t xml:space="preserve">Mungji Pa Dabang (RC Church)         </t>
  </si>
  <si>
    <t>Mine Yu Lay village</t>
  </si>
  <si>
    <t>Kutkai downtown (KBC Church)</t>
  </si>
  <si>
    <t>Kutkai downtown (RC Church)</t>
  </si>
  <si>
    <t xml:space="preserve">Mungji Pa Dabang (Baptist Church)         </t>
  </si>
  <si>
    <t>Kone Khem Camp</t>
  </si>
  <si>
    <t>Zup Aung Camp</t>
  </si>
  <si>
    <t>Nam Hkam Catholic Church ( St. Thomas I)</t>
  </si>
  <si>
    <t>Nam Hkam Catholic Church ( St. Thomas II)</t>
  </si>
  <si>
    <t>MMR001CMP193</t>
  </si>
  <si>
    <t>MMR001CMP194</t>
  </si>
  <si>
    <t>MMR001CMP195</t>
  </si>
  <si>
    <t>Mong Kar</t>
  </si>
  <si>
    <t>Kachin</t>
  </si>
  <si>
    <t>Rakhine</t>
  </si>
  <si>
    <t>MMR015CMP015</t>
  </si>
  <si>
    <t>MMR015CMP016</t>
  </si>
  <si>
    <t>MMR015CMP017</t>
  </si>
  <si>
    <t>MMR015CMP018</t>
  </si>
  <si>
    <t>MMR015CMP019</t>
  </si>
  <si>
    <t>MMR015CMP020</t>
  </si>
  <si>
    <t>MMR015CMP022</t>
  </si>
  <si>
    <t>MMR015CMP024</t>
  </si>
  <si>
    <t>MMR001CMP196</t>
  </si>
  <si>
    <t>MMR001CMP197</t>
  </si>
  <si>
    <t>MMR001CMP198</t>
  </si>
  <si>
    <t>MMR001CMP199</t>
  </si>
  <si>
    <t>Camp Name</t>
  </si>
  <si>
    <t>State</t>
  </si>
  <si>
    <t>Collective Center</t>
  </si>
  <si>
    <t>Individual (non hosted)</t>
  </si>
  <si>
    <t>Planned Camp</t>
  </si>
  <si>
    <t>Privately Hosted</t>
  </si>
  <si>
    <t>Self Settled Camp</t>
  </si>
  <si>
    <t>Type of Accomodation</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</si>
  <si>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</si>
  <si>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</si>
  <si>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</si>
  <si>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</si>
  <si>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</si>
  <si>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</si>
  <si>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</si>
  <si>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</si>
  <si>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</si>
  <si>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</si>
  <si>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</si>
  <si>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</si>
  <si>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</si>
  <si>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</si>
  <si>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Population</t>
  </si>
  <si>
    <t>Households</t>
  </si>
  <si>
    <t>CAMPS SUMMARY</t>
  </si>
  <si>
    <t>DETAILED CAMP LIST</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</si>
  <si>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</si>
  <si>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</si>
  <si>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</si>
  <si>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</si>
  <si>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</si>
  <si>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</si>
  <si>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</si>
  <si>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</si>
  <si>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</si>
  <si>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</si>
  <si>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Permanent Shelter Built</t>
  </si>
  <si>
    <t>Permament Shelter Under Construction</t>
  </si>
  <si>
    <t>Permanent Shelter Planned</t>
  </si>
  <si>
    <t>Coverage (HH)</t>
  </si>
  <si>
    <t>NFI TRACKING SHEET</t>
  </si>
  <si>
    <t>Blanket</t>
  </si>
  <si>
    <t>Kitchen Set</t>
  </si>
  <si>
    <t>Dist.</t>
  </si>
  <si>
    <t>Gap (HH)</t>
  </si>
  <si>
    <t>Months</t>
  </si>
  <si>
    <t>Instock</t>
  </si>
  <si>
    <t>Coverage</t>
  </si>
  <si>
    <t># of IDP</t>
  </si>
  <si>
    <t># of camps by Size of Population</t>
  </si>
  <si>
    <t>% of IDP</t>
  </si>
  <si>
    <t>Dashboards</t>
  </si>
  <si>
    <t>Myanmar</t>
  </si>
  <si>
    <t>CCCM</t>
  </si>
  <si>
    <t>Shelter</t>
  </si>
  <si>
    <t>NFI</t>
  </si>
  <si>
    <t>3W</t>
  </si>
  <si>
    <t>Contact List</t>
  </si>
  <si>
    <t>Report &amp; Analysis</t>
  </si>
  <si>
    <t>UNHCR</t>
  </si>
  <si>
    <t>DRC</t>
  </si>
  <si>
    <t>Quantity/HH</t>
  </si>
  <si>
    <t>Hygiene Kit</t>
  </si>
  <si>
    <t>Sanitary Kit</t>
  </si>
  <si>
    <t>Tarpaulin</t>
  </si>
  <si>
    <t>NFI DISTRIBUTION BY TOWNSHIP</t>
  </si>
  <si>
    <t>KBSS</t>
  </si>
  <si>
    <t>KBC</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</si>
  <si>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</si>
  <si>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</si>
  <si>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</si>
  <si>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</si>
  <si>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</si>
  <si>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</si>
  <si>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</si>
  <si>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</si>
  <si>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</si>
  <si>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</si>
  <si>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</si>
  <si>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</si>
  <si>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</si>
  <si>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</si>
  <si>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</si>
  <si>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</si>
  <si>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</si>
  <si>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</si>
  <si>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</si>
  <si>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</si>
  <si>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</si>
  <si>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</si>
  <si>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</si>
  <si>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Complemantary Kit</t>
  </si>
  <si>
    <t>Label</t>
  </si>
  <si>
    <t>Stock</t>
  </si>
  <si>
    <t>Distribution</t>
  </si>
  <si>
    <t>NB</t>
  </si>
  <si>
    <t>Expiration (month)</t>
  </si>
  <si>
    <t>Avg</t>
  </si>
  <si>
    <t>Source</t>
  </si>
  <si>
    <t>Method</t>
  </si>
  <si>
    <t>Not Accessible</t>
  </si>
  <si>
    <t>Accessible by All</t>
  </si>
  <si>
    <t>Accessibility Restricted</t>
  </si>
  <si>
    <t>Comment</t>
  </si>
  <si>
    <t>Accessibility</t>
  </si>
  <si>
    <t>Status</t>
  </si>
  <si>
    <t>Camp_Acessibility</t>
  </si>
  <si>
    <t>Open</t>
  </si>
  <si>
    <t>Update Date</t>
  </si>
  <si>
    <t>Covered</t>
  </si>
  <si>
    <t>Gap - HH</t>
  </si>
  <si>
    <t>Ind. Not covered</t>
  </si>
  <si>
    <t>Shalom</t>
  </si>
  <si>
    <t>KMSS</t>
  </si>
  <si>
    <t xml:space="preserve">    </t>
  </si>
  <si>
    <t xml:space="preserve">  </t>
  </si>
  <si>
    <t>Pipeline Stock Tracking</t>
  </si>
  <si>
    <t>CampName</t>
  </si>
  <si>
    <t>GCA</t>
  </si>
  <si>
    <t>Aung Thar Church</t>
  </si>
  <si>
    <t>NGCA</t>
  </si>
  <si>
    <t>Zomee Baptist Church camp, Hmaw Wan</t>
  </si>
  <si>
    <t>MMR001CMP201</t>
  </si>
  <si>
    <t xml:space="preserve">Lagatyan </t>
  </si>
  <si>
    <t>MMR001CMP202</t>
  </si>
  <si>
    <t>Mung Ding Pa  (Boarder)</t>
  </si>
  <si>
    <t>MMR001CMP203</t>
  </si>
  <si>
    <t>MMR001CMP204</t>
  </si>
  <si>
    <t>Khun Sint Village</t>
  </si>
  <si>
    <t>MMR001CMP200</t>
  </si>
  <si>
    <t>VillageWard_Name</t>
  </si>
  <si>
    <t>District</t>
  </si>
  <si>
    <t>MMR001</t>
  </si>
  <si>
    <t>MMR001D002</t>
  </si>
  <si>
    <t>Hpakant</t>
  </si>
  <si>
    <t>MMR001009</t>
  </si>
  <si>
    <t>MMR001D003</t>
  </si>
  <si>
    <t>MMR001010</t>
  </si>
  <si>
    <t>MMR001D001</t>
  </si>
  <si>
    <t>MMR001002</t>
  </si>
  <si>
    <t>MMR001012</t>
  </si>
  <si>
    <t>MMR001005</t>
  </si>
  <si>
    <t>MMR001001</t>
  </si>
  <si>
    <t>MMR015</t>
  </si>
  <si>
    <t>MMR015D002</t>
  </si>
  <si>
    <t>MMR015009</t>
  </si>
  <si>
    <t>MMR001013</t>
  </si>
  <si>
    <t>MMR001011</t>
  </si>
  <si>
    <t>Kyaukme</t>
  </si>
  <si>
    <t>MMR015D003</t>
  </si>
  <si>
    <t>MMR015019</t>
  </si>
  <si>
    <t>MMR015011</t>
  </si>
  <si>
    <t>MMR001008</t>
  </si>
  <si>
    <t>MMR001D004</t>
  </si>
  <si>
    <t>MMR001018</t>
  </si>
  <si>
    <t>MMR001003</t>
  </si>
  <si>
    <t>MMR015010</t>
  </si>
  <si>
    <t>MMR015015</t>
  </si>
  <si>
    <t>MMR001007</t>
  </si>
  <si>
    <t>MMR001014</t>
  </si>
  <si>
    <t>Shan_North</t>
  </si>
  <si>
    <t>Camp</t>
  </si>
  <si>
    <t>Hygiene</t>
  </si>
  <si>
    <t>Core</t>
  </si>
  <si>
    <t>Sanitary</t>
  </si>
  <si>
    <t>Pcode</t>
  </si>
  <si>
    <t>Lat.</t>
  </si>
  <si>
    <t>Long.</t>
  </si>
  <si>
    <t>Y</t>
  </si>
  <si>
    <t>X</t>
  </si>
  <si>
    <t>HS</t>
  </si>
  <si>
    <t>Pop</t>
  </si>
  <si>
    <t>Column1</t>
  </si>
  <si>
    <t>Kachin/Shan</t>
  </si>
  <si>
    <t>27.00</t>
  </si>
  <si>
    <t>96.00</t>
  </si>
  <si>
    <t>World Vision</t>
  </si>
  <si>
    <t>Oxfam</t>
  </si>
  <si>
    <t># of HH</t>
  </si>
  <si>
    <t>IRRC</t>
  </si>
  <si>
    <t xml:space="preserve">UNHCR </t>
  </si>
  <si>
    <t>Dum Bung</t>
  </si>
  <si>
    <t>N_cps</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</si>
  <si>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</si>
  <si>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</si>
  <si>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</si>
  <si>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</si>
  <si>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</si>
  <si>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</si>
  <si>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</si>
  <si>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</si>
  <si>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</si>
  <si>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</si>
  <si>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Kachin &amp; Northern Shan CCCM Dashboard</t>
  </si>
  <si>
    <t>1k - 5k</t>
  </si>
  <si>
    <t>5k-10k</t>
  </si>
  <si>
    <t>1k-5k</t>
  </si>
  <si>
    <t>Kachin &amp; Northern Shan Shelter Coverage &amp; Gaps</t>
  </si>
  <si>
    <t>Kachin NFI Coverage &amp; Gaps</t>
  </si>
  <si>
    <t>Caritas</t>
  </si>
  <si>
    <t>Nam Tu RC</t>
  </si>
  <si>
    <t>Narte</t>
  </si>
  <si>
    <t>Mosquito net</t>
  </si>
  <si>
    <t>(All)</t>
  </si>
  <si>
    <t>Unknown</t>
  </si>
  <si>
    <t>Seik Mu</t>
  </si>
  <si>
    <t>MMR001009003</t>
  </si>
  <si>
    <t>Maw Shan</t>
  </si>
  <si>
    <t xml:space="preserve"> </t>
  </si>
  <si>
    <t>Sai Taung (Ywar Haung)</t>
  </si>
  <si>
    <t>Hpakan Town</t>
  </si>
  <si>
    <t>MMR001009701</t>
  </si>
  <si>
    <t>Hnget Pyaw Taw Ward</t>
  </si>
  <si>
    <t>MMR001009701502</t>
  </si>
  <si>
    <t>Maw Wam Ward</t>
  </si>
  <si>
    <t>MMR001009701501</t>
  </si>
  <si>
    <t>Nam Ma Hpyit</t>
  </si>
  <si>
    <t>MMR001009002</t>
  </si>
  <si>
    <t>Nam Ma Phyit, COC</t>
  </si>
  <si>
    <t>Lone Khin</t>
  </si>
  <si>
    <t>MMR001009001</t>
  </si>
  <si>
    <t>Hmaw Si Zar</t>
  </si>
  <si>
    <t>Ma Sut Yang</t>
  </si>
  <si>
    <t>Nam Mun</t>
  </si>
  <si>
    <t>MMR001007016</t>
  </si>
  <si>
    <t>Nawng Mi</t>
  </si>
  <si>
    <t>MMR001009008</t>
  </si>
  <si>
    <t>Nawng Myi</t>
  </si>
  <si>
    <t>Shwegu Town</t>
  </si>
  <si>
    <t>MMR001011701</t>
  </si>
  <si>
    <t>MMR001011701504</t>
  </si>
  <si>
    <t>Hkat Shu</t>
  </si>
  <si>
    <t>MMR001002003</t>
  </si>
  <si>
    <t>Mung Ding Pa</t>
  </si>
  <si>
    <t>MMR001013038</t>
  </si>
  <si>
    <t>Nam Lin Pa</t>
  </si>
  <si>
    <t>MMR001013037</t>
  </si>
  <si>
    <t>Mogaung Town</t>
  </si>
  <si>
    <t>MMR001008701</t>
  </si>
  <si>
    <t>Nawng Kaing Htaw</t>
  </si>
  <si>
    <t>MMR001008002</t>
  </si>
  <si>
    <t>Ma Haung</t>
  </si>
  <si>
    <t>Nat Gyi Kone Ward</t>
  </si>
  <si>
    <t>MMR001008701506</t>
  </si>
  <si>
    <t>Bhamo Town</t>
  </si>
  <si>
    <t>MMR001010701</t>
  </si>
  <si>
    <t>Shwe Kyee Nar Ward</t>
  </si>
  <si>
    <t>MMR001010701513</t>
  </si>
  <si>
    <t>Nyaung Pin Ward</t>
  </si>
  <si>
    <t>MMR001010701508</t>
  </si>
  <si>
    <t>Pauk Kone Ward</t>
  </si>
  <si>
    <t>MMR001010701506</t>
  </si>
  <si>
    <t>Han Te</t>
  </si>
  <si>
    <t>MMR001010024</t>
  </si>
  <si>
    <t>Hpan Hkar Kone</t>
  </si>
  <si>
    <t>Maw Hpawng</t>
  </si>
  <si>
    <t>MMR001001007</t>
  </si>
  <si>
    <t>Mansi Town</t>
  </si>
  <si>
    <t>MMR001013701</t>
  </si>
  <si>
    <t>Kawng Yar Ward</t>
  </si>
  <si>
    <t>MMR001013701504</t>
  </si>
  <si>
    <t>Nam Hlaing</t>
  </si>
  <si>
    <t>MMR001010015</t>
  </si>
  <si>
    <t>Man Nawng</t>
  </si>
  <si>
    <t>MMR001012014</t>
  </si>
  <si>
    <t>Man Pon</t>
  </si>
  <si>
    <t>MMR001012001</t>
  </si>
  <si>
    <t>Man Wein</t>
  </si>
  <si>
    <t>MMR001013021</t>
  </si>
  <si>
    <t>Momauk Town</t>
  </si>
  <si>
    <t>MMR001012701</t>
  </si>
  <si>
    <t>Ah Lin Kawng Ward</t>
  </si>
  <si>
    <t>MMR001012701502</t>
  </si>
  <si>
    <t>Nawng Hee</t>
  </si>
  <si>
    <t>Kyay Nan Waing Ward</t>
  </si>
  <si>
    <t>MMR001012701503</t>
  </si>
  <si>
    <t>Nam Koi</t>
  </si>
  <si>
    <t>MMR001001005</t>
  </si>
  <si>
    <t>Myitkyina Town</t>
  </si>
  <si>
    <t>MMR001001701</t>
  </si>
  <si>
    <t>Jan Mai Kawng</t>
  </si>
  <si>
    <t>Myay Myint Ward</t>
  </si>
  <si>
    <t>MMR001001701517</t>
  </si>
  <si>
    <t>Tat Kone Ward</t>
  </si>
  <si>
    <t>MMR001001701520</t>
  </si>
  <si>
    <t>Du Ka Htaung Ward</t>
  </si>
  <si>
    <t>MMR001001701504</t>
  </si>
  <si>
    <t>N Jang Dung</t>
  </si>
  <si>
    <t>Si Tar Pu Ward</t>
  </si>
  <si>
    <t>MMR001001701521</t>
  </si>
  <si>
    <t>Kachin Su Ward</t>
  </si>
  <si>
    <t>MMR001001701509</t>
  </si>
  <si>
    <t>Kyun Pin Thar Ward</t>
  </si>
  <si>
    <t>MMR001001701510</t>
  </si>
  <si>
    <t>Lel Kone Ward</t>
  </si>
  <si>
    <t>MMR001001701525</t>
  </si>
  <si>
    <t>Man Khein Ward</t>
  </si>
  <si>
    <t>MMR001001701519</t>
  </si>
  <si>
    <t>Shwe Set Ward</t>
  </si>
  <si>
    <t>MMR001001701518</t>
  </si>
  <si>
    <t>Mai Na</t>
  </si>
  <si>
    <t>MMR001002006</t>
  </si>
  <si>
    <t>Waingmaw Town</t>
  </si>
  <si>
    <t>MMR001002701</t>
  </si>
  <si>
    <t>No (4) Ward</t>
  </si>
  <si>
    <t>MMR001002701504</t>
  </si>
  <si>
    <t>Aye Mya Thar Yar Ward</t>
  </si>
  <si>
    <t>MMR001009701504</t>
  </si>
  <si>
    <t>Ma Shi Ka Htaung Ward</t>
  </si>
  <si>
    <t>MMR001009701505</t>
  </si>
  <si>
    <t>Myo Ma Ward</t>
  </si>
  <si>
    <t>MMR001009701503</t>
  </si>
  <si>
    <t>Hpar Kei (Dawthponeyan Sub-township)</t>
  </si>
  <si>
    <t>MMR001012046</t>
  </si>
  <si>
    <t>Hpar Kei</t>
  </si>
  <si>
    <t>Ma Mon</t>
  </si>
  <si>
    <t>Pa La Na Sa Khan Myar</t>
  </si>
  <si>
    <t>MMR001001003</t>
  </si>
  <si>
    <t>Pi Tauk Myaing</t>
  </si>
  <si>
    <t>Haung Par</t>
  </si>
  <si>
    <t>MMR001009004</t>
  </si>
  <si>
    <t>No (3) Ward</t>
  </si>
  <si>
    <t>MMR001002701503</t>
  </si>
  <si>
    <t>No (2) Ward</t>
  </si>
  <si>
    <t>MMR001002701502</t>
  </si>
  <si>
    <t>Saga Pa (Sadung Sub-township)</t>
  </si>
  <si>
    <t>Mading</t>
  </si>
  <si>
    <t>MMR001002001</t>
  </si>
  <si>
    <t>Mading/Hka Kun</t>
  </si>
  <si>
    <t>Mong Yu</t>
  </si>
  <si>
    <t>Nam Hpat Kar</t>
  </si>
  <si>
    <t>Nam Hpat Kar (Ho Pon + Pang Sa Lorp)</t>
  </si>
  <si>
    <t>Zee Wone Gawt</t>
  </si>
  <si>
    <t>MMR001012023</t>
  </si>
  <si>
    <t>Nam Sang Yang</t>
  </si>
  <si>
    <t>MMR001002024</t>
  </si>
  <si>
    <t>Kutkai Town</t>
  </si>
  <si>
    <t>MMR015011701</t>
  </si>
  <si>
    <t>No (5) Ward</t>
  </si>
  <si>
    <t>MMR015011701505</t>
  </si>
  <si>
    <t>MMR015011701503</t>
  </si>
  <si>
    <t>In Baw Mai Kyin (Dawthponeyan Sub-township)</t>
  </si>
  <si>
    <t>MMR001012042</t>
  </si>
  <si>
    <t>Hpun Lum Yang</t>
  </si>
  <si>
    <t>La Gat Dawt</t>
  </si>
  <si>
    <t>MMR001013027</t>
  </si>
  <si>
    <t>Dum Buk</t>
  </si>
  <si>
    <t>MMR001013014</t>
  </si>
  <si>
    <t>Man Mawn</t>
  </si>
  <si>
    <t>MMR001013022</t>
  </si>
  <si>
    <t>In Ba Pa</t>
  </si>
  <si>
    <t>MMR001013012</t>
  </si>
  <si>
    <t>La Na</t>
  </si>
  <si>
    <t>Ba Lawng Kawng (Lwegel Sub-township)</t>
  </si>
  <si>
    <t>MMR001012030</t>
  </si>
  <si>
    <t>Hpa Lum</t>
  </si>
  <si>
    <t>Nawng Si Paw</t>
  </si>
  <si>
    <t>MMR001002013</t>
  </si>
  <si>
    <t>Nawng Hkam</t>
  </si>
  <si>
    <t>MMR015010010</t>
  </si>
  <si>
    <t>Lwegel Town</t>
  </si>
  <si>
    <t>MMR001012702</t>
  </si>
  <si>
    <t>Sa Ma</t>
  </si>
  <si>
    <t>MMR001002031</t>
  </si>
  <si>
    <t>Nar Gu</t>
  </si>
  <si>
    <t>Aung Zay Yar Ward</t>
  </si>
  <si>
    <t>MMR001012702505</t>
  </si>
  <si>
    <t>Ku Day</t>
  </si>
  <si>
    <t>Kawng Hsa (Lwegel Sub-township)</t>
  </si>
  <si>
    <t>MMR001012033</t>
  </si>
  <si>
    <t>Mai Gyar Yang</t>
  </si>
  <si>
    <t>Hpawt Dawt</t>
  </si>
  <si>
    <t>MMR001002032</t>
  </si>
  <si>
    <t>Kar Lai Kone Hsar</t>
  </si>
  <si>
    <t>MMR015011005</t>
  </si>
  <si>
    <t>Kar Lai</t>
  </si>
  <si>
    <t>MMR001002040</t>
  </si>
  <si>
    <t>Saga Pa</t>
  </si>
  <si>
    <t>Waw Shung (Kan Paik Ti Sub-township)</t>
  </si>
  <si>
    <t>MMR001002035</t>
  </si>
  <si>
    <t>Shan Kyaing</t>
  </si>
  <si>
    <t>Hpai Kawng (Pang Hseng-Kyu Koke Sub-township</t>
  </si>
  <si>
    <t>MMR015009031</t>
  </si>
  <si>
    <t>Hpai Kawng</t>
  </si>
  <si>
    <t>Lashio</t>
  </si>
  <si>
    <t>MMR015D001</t>
  </si>
  <si>
    <t>Hseni</t>
  </si>
  <si>
    <t>MMR015002</t>
  </si>
  <si>
    <t>Nar Tee</t>
  </si>
  <si>
    <t>MMR015002029</t>
  </si>
  <si>
    <t>La Ja Ga</t>
  </si>
  <si>
    <t>MMR001018021</t>
  </si>
  <si>
    <t>Long Waun Nam Rein (Tarmoenye Sub-township)</t>
  </si>
  <si>
    <t>MMR015011050</t>
  </si>
  <si>
    <t>Mai Pong (Shu See)</t>
  </si>
  <si>
    <t>Lang Jaw (Pang War Sub-township)</t>
  </si>
  <si>
    <t>MMR001005022</t>
  </si>
  <si>
    <t>Lang Jaw</t>
  </si>
  <si>
    <t>Chipwi Town</t>
  </si>
  <si>
    <t>MMR001005701</t>
  </si>
  <si>
    <t>Hpa Re (Pang War Sub-township)</t>
  </si>
  <si>
    <t>MMR001005026</t>
  </si>
  <si>
    <t>Hpa Re Waw Jang</t>
  </si>
  <si>
    <t>Tar Li</t>
  </si>
  <si>
    <t>MMR001012021</t>
  </si>
  <si>
    <t>Myo Thit</t>
  </si>
  <si>
    <t>MMR001012010</t>
  </si>
  <si>
    <t>Puta-O Town</t>
  </si>
  <si>
    <t>MMR001014701</t>
  </si>
  <si>
    <t>Lai Zar</t>
  </si>
  <si>
    <t>Urban</t>
  </si>
  <si>
    <t>Rit Law</t>
  </si>
  <si>
    <t>Man Ping (Ping) (Dawthponeyan Sub-township)</t>
  </si>
  <si>
    <t>MMR001012052</t>
  </si>
  <si>
    <t>Man Ping</t>
  </si>
  <si>
    <t>Sumprabum</t>
  </si>
  <si>
    <t>MMR001015</t>
  </si>
  <si>
    <t>Sumprabum Town</t>
  </si>
  <si>
    <t>MMR001015701</t>
  </si>
  <si>
    <t>MMR001CMP206</t>
  </si>
  <si>
    <t>IDP Boarding School, A Len Bum</t>
  </si>
  <si>
    <t>MMR001CMP208</t>
  </si>
  <si>
    <t>Man Gyat (Monekoe Sub-township)</t>
  </si>
  <si>
    <t>Gwum Hsan</t>
  </si>
  <si>
    <t>Namtu Town</t>
  </si>
  <si>
    <t>MMR015015701</t>
  </si>
  <si>
    <t>Namtu Ward</t>
  </si>
  <si>
    <t>MMR015015701501</t>
  </si>
  <si>
    <t>Nam Tu Baptist</t>
  </si>
  <si>
    <t>Mandung - RC</t>
  </si>
  <si>
    <t>MMR015CMP209</t>
  </si>
  <si>
    <t>MMR015CMP210</t>
  </si>
  <si>
    <t>Column Labels</t>
  </si>
  <si>
    <t>Sum of Total</t>
  </si>
  <si>
    <t># Distributed</t>
  </si>
  <si>
    <t>% Distributed</t>
  </si>
  <si>
    <t># In Stock</t>
  </si>
  <si>
    <t>% In Stock</t>
  </si>
  <si>
    <t># Requirement</t>
  </si>
  <si>
    <t>% Requirement</t>
  </si>
  <si>
    <t># Pipeline</t>
  </si>
  <si>
    <t>% Pipeline</t>
  </si>
  <si>
    <t># Remaining Need</t>
  </si>
  <si>
    <t>% Remaining Need</t>
  </si>
  <si>
    <t>MMR015CMP139</t>
  </si>
  <si>
    <t>MMR015CMP207</t>
  </si>
  <si>
    <t>Total # of HH (In camps)</t>
  </si>
  <si>
    <t>Total # of Population (In camps)</t>
  </si>
  <si>
    <t>RRD</t>
  </si>
  <si>
    <t>IP</t>
  </si>
  <si>
    <t>Closed</t>
  </si>
  <si>
    <t>Changed to closed</t>
  </si>
  <si>
    <t xml:space="preserve">This IDP are registered in Nam Lim pa (Boarder) (MMR001CMP204). We should not calculate this number in total. </t>
  </si>
  <si>
    <t>Metta</t>
  </si>
  <si>
    <t>CC</t>
  </si>
  <si>
    <t>KBC Zonal</t>
  </si>
  <si>
    <t>Misereor</t>
  </si>
  <si>
    <t>Yedai Foundation</t>
  </si>
  <si>
    <t>Kachin Total</t>
  </si>
  <si>
    <t>Altitude</t>
  </si>
  <si>
    <t>Type of Location</t>
  </si>
  <si>
    <t>Opening Date</t>
  </si>
  <si>
    <t>MMR001CMP211</t>
  </si>
  <si>
    <t>Rural</t>
  </si>
  <si>
    <t>Forest/bush</t>
  </si>
  <si>
    <t>Kachin &amp; Northern Shan States - IDPs Location List</t>
  </si>
  <si>
    <t>(blank)</t>
  </si>
  <si>
    <t>HoH</t>
  </si>
  <si>
    <t>Individual</t>
  </si>
  <si>
    <t>ACTED</t>
  </si>
  <si>
    <t>MMR001CMP210</t>
  </si>
  <si>
    <t>Pan Wa</t>
  </si>
  <si>
    <t>Nam Lim Pa</t>
  </si>
  <si>
    <t>Nam Lim Pa    (Boarding School)</t>
  </si>
  <si>
    <t>MMR001CMP209</t>
  </si>
  <si>
    <t>Sum of HH</t>
  </si>
  <si>
    <t>Thu Kha Waddy</t>
  </si>
  <si>
    <t>MMR001CMP212</t>
  </si>
  <si>
    <t>Man Kawng</t>
  </si>
  <si>
    <t>Mai Bat</t>
  </si>
  <si>
    <t>MMR001013018</t>
  </si>
  <si>
    <t>MMR001CMP213</t>
  </si>
  <si>
    <t>Man Kawng Catholic Church</t>
  </si>
  <si>
    <t>Man Kawng Baptist Church</t>
  </si>
  <si>
    <t>Ban Hkung Yang</t>
  </si>
  <si>
    <t>Ban Hkung Yang (Boarding School)</t>
  </si>
  <si>
    <t>MMR001CMP214</t>
  </si>
  <si>
    <t>MMR001CMP215</t>
  </si>
  <si>
    <t>MMR001CMP216</t>
  </si>
  <si>
    <t>Ban Hkung (School)</t>
  </si>
  <si>
    <t>MMR001CMP217</t>
  </si>
  <si>
    <t>IDPs scattered in South Mansi</t>
  </si>
  <si>
    <t>Maing Khaung</t>
  </si>
  <si>
    <t>MMR001CMP218</t>
  </si>
  <si>
    <t>Si Hkan Gyi</t>
  </si>
  <si>
    <t>MMR001CMP219</t>
  </si>
  <si>
    <t>Update from OCHA Data (2 Jan 2014)</t>
  </si>
  <si>
    <t>Update data from OCHA IDPs List</t>
  </si>
  <si>
    <t>Naung Khaing</t>
  </si>
  <si>
    <t>MMR001CMP220</t>
  </si>
  <si>
    <t>Machanbaw</t>
  </si>
  <si>
    <t>MMR001016</t>
  </si>
  <si>
    <t>Machanbaw - KBC</t>
  </si>
  <si>
    <t>MMR001CMP221</t>
  </si>
  <si>
    <t>MMR001CMP222</t>
  </si>
  <si>
    <t>St. Patrick Church, Bhamo</t>
  </si>
  <si>
    <t>RRD Office</t>
  </si>
  <si>
    <t>Warra Zup</t>
  </si>
  <si>
    <t>MRCS</t>
  </si>
  <si>
    <t>DFID</t>
  </si>
  <si>
    <t>SC&amp;L Group</t>
  </si>
  <si>
    <t>Shan Community</t>
  </si>
  <si>
    <t>Chipwe CM</t>
  </si>
  <si>
    <t>Solidarities</t>
  </si>
  <si>
    <t>Bomb Blast Victims</t>
  </si>
  <si>
    <t>Je Gau  (+ WaRaPa )</t>
  </si>
  <si>
    <t>Kat Hmaw Zut Baptist Church</t>
  </si>
  <si>
    <t>Lawng Hkang</t>
  </si>
  <si>
    <t>Le Pyin - Kar Gyi Winn</t>
  </si>
  <si>
    <t>Le Pyin Christian Church</t>
  </si>
  <si>
    <t xml:space="preserve">Mai Ja Yang Gat Pa </t>
  </si>
  <si>
    <t xml:space="preserve">Mai Ja Yang Ung Lung </t>
  </si>
  <si>
    <t>Na Ti (Koe Kant Traditional school)</t>
  </si>
  <si>
    <t>Nant Yar Baptist Church</t>
  </si>
  <si>
    <t>Pamati Kayan</t>
  </si>
  <si>
    <t>Pan Ma Tee</t>
  </si>
  <si>
    <t>Shan Ywar Monestary Camp</t>
  </si>
  <si>
    <t>S_Pcode</t>
  </si>
  <si>
    <t>D_Pcode</t>
  </si>
  <si>
    <t>T_Pcode</t>
  </si>
  <si>
    <t>VillageTracKTown</t>
  </si>
  <si>
    <t>VTT_Pcode</t>
  </si>
  <si>
    <t>VW_Pcode</t>
  </si>
  <si>
    <t>CP_Pcode</t>
  </si>
  <si>
    <t>Responsible Agency</t>
  </si>
  <si>
    <t>CM/FP</t>
  </si>
  <si>
    <t>Close (Source: OCHA)</t>
  </si>
  <si>
    <t>Galeng</t>
  </si>
  <si>
    <t>Galeng (Kachin)</t>
  </si>
  <si>
    <t>MMR015CMP211</t>
  </si>
  <si>
    <t>Galeng (Palaung)</t>
  </si>
  <si>
    <t>MMR015CMP212</t>
  </si>
  <si>
    <t>Indawgyi</t>
  </si>
  <si>
    <t>Close: Duplicate Camp (MMR015CMP020 - Zup Aung Camp) 21-Jan-14</t>
  </si>
  <si>
    <t>Close: Duplicate Camp (MMR015CMP015 - Kone Khem Camp) 21-Jan-14</t>
  </si>
  <si>
    <t>Closed: Source UNHCR-Bhamo</t>
  </si>
  <si>
    <t>UNOCHA</t>
  </si>
  <si>
    <t>Closed : Source, OCHA</t>
  </si>
  <si>
    <t>Count of CP_Pcode</t>
  </si>
  <si>
    <t>MMR001CMP223</t>
  </si>
  <si>
    <t>Maing Khaung Catholic Church</t>
  </si>
  <si>
    <t>Source OCHA</t>
  </si>
  <si>
    <t>MDCG</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</si>
  <si>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</si>
  <si>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</si>
  <si>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</si>
  <si>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</si>
  <si>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</si>
  <si>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</si>
  <si>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</si>
  <si>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</si>
  <si>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</si>
  <si>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</si>
  <si>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</si>
  <si>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</si>
  <si>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</si>
  <si>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</si>
  <si>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</si>
  <si>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</si>
  <si>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</si>
  <si>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</si>
  <si>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</si>
  <si>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</si>
  <si>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</si>
  <si>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</si>
  <si>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</si>
  <si>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</si>
  <si>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</si>
  <si>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</si>
  <si>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</si>
  <si>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</si>
  <si>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</si>
  <si>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</si>
  <si>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</si>
  <si>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</si>
  <si>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</si>
  <si>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</si>
  <si>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</si>
  <si>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</si>
  <si>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</si>
  <si>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</si>
  <si>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</si>
  <si>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Footer</t>
  </si>
  <si>
    <t>&lt;/Document&gt;
&lt;/kml&gt;</t>
  </si>
  <si>
    <t>Boarding School</t>
  </si>
  <si>
    <t>Winter Clothes Adult</t>
  </si>
  <si>
    <t>NFI_Winter_Clothes_Adult_Track</t>
  </si>
  <si>
    <t>NFI_Winter_Clothes_Adult_Stock</t>
  </si>
  <si>
    <t>NFI_Winter_Clothes_Adult_Pipeline</t>
  </si>
  <si>
    <t>Winter Clothes Children</t>
  </si>
  <si>
    <t>NFI_Winter_Clothes_Children_Track</t>
  </si>
  <si>
    <t>NFI_Winter_Clothes_Children_Stock</t>
  </si>
  <si>
    <t>NFI_Winter_Clothes_Children_Pipeline</t>
  </si>
  <si>
    <t>Winter Items Other</t>
  </si>
  <si>
    <t>NFI_Winter_Items_Other_Track</t>
  </si>
  <si>
    <t>NFI_Winter_Items_Other_Stock</t>
  </si>
  <si>
    <t>NFI_Winter_Items_Other_Pipeline</t>
  </si>
  <si>
    <t xml:space="preserve">Winter Clothes Adult </t>
  </si>
  <si>
    <t xml:space="preserve">Winter Clothes Children </t>
  </si>
  <si>
    <t xml:space="preserve">Winter Items Other </t>
  </si>
  <si>
    <t>LDO</t>
  </si>
  <si>
    <t># of Locations</t>
  </si>
  <si>
    <t>Renovated</t>
  </si>
  <si>
    <t>Planned Renovation</t>
  </si>
  <si>
    <t>Sum of Coverage</t>
  </si>
  <si>
    <t/>
  </si>
  <si>
    <t>1-100</t>
  </si>
  <si>
    <t>100-1k</t>
  </si>
  <si>
    <t>Closed. Rellocated to Man Win and La Ga Yaung</t>
  </si>
  <si>
    <t>Change to Host Families.</t>
  </si>
  <si>
    <t>Closed. Duplicate with Maing Khaung.</t>
  </si>
  <si>
    <t>Closed. Same with (Namhkan St. Thomas 1)</t>
  </si>
  <si>
    <t>Closed. Same with (Nam Hkam Catholic Church  St. Thomas II)</t>
  </si>
  <si>
    <t>Close. Same with Kutkai Down Town RC. Source UNHCR Bhamo</t>
  </si>
  <si>
    <t>Closed. Rellocated next to AD 2000 Tharthana Compound and CCCM is under AD 2000</t>
  </si>
  <si>
    <t>Closed. Rellocated to Tharthana Ahlin Yaung.</t>
  </si>
  <si>
    <t>MMR001CMP224</t>
  </si>
  <si>
    <t>Saw Zam</t>
  </si>
  <si>
    <t>MMR001CMP225</t>
  </si>
  <si>
    <t>Tharthana Ahlin Yaung New Monastery</t>
  </si>
  <si>
    <t>Closed. Source Cluster Coordinator</t>
  </si>
  <si>
    <t>Close. According to RRC's info, this camp does not include in reported list.</t>
  </si>
  <si>
    <t>MMR015009036</t>
  </si>
  <si>
    <t>Man Nway (Pang Hseng (Kyu Koke)) Sub-township</t>
  </si>
  <si>
    <t>Nam Hkawng Khu</t>
  </si>
  <si>
    <t>Save the Children</t>
  </si>
  <si>
    <t>WPN</t>
  </si>
  <si>
    <t>Lang Taung</t>
  </si>
  <si>
    <t>MMR001014009</t>
  </si>
  <si>
    <t>Nawng Hkaing</t>
  </si>
  <si>
    <t>Doke Tan Ward</t>
  </si>
  <si>
    <t>MMR001014701509</t>
  </si>
  <si>
    <t>Bum Tsit Pa Camp II</t>
  </si>
  <si>
    <t>MMR001CMP226</t>
  </si>
  <si>
    <t>Plan-Myanmar</t>
  </si>
  <si>
    <t>CRC</t>
  </si>
  <si>
    <t>Move to Nant Ma Hpit Catholic Church.</t>
  </si>
  <si>
    <t>Changed Camp to Host Families. Source: Camp Profile Questionnaire.</t>
  </si>
  <si>
    <t>Inn Lel Yan</t>
  </si>
  <si>
    <t>Inn Lel Yan - Host Families</t>
  </si>
  <si>
    <t>New host families.</t>
  </si>
  <si>
    <t>MMR001CMP227</t>
  </si>
  <si>
    <t>Closed. Move to Bum Tist Pa II and Man Wing. HH113/Pop837</t>
  </si>
  <si>
    <t>Comments</t>
  </si>
  <si>
    <t>Only one HH left, included in Lon Khin Baptist distribution list.</t>
  </si>
  <si>
    <t>Closed.Moved to Na Ma Pyit KBC.</t>
  </si>
  <si>
    <t>Closed.</t>
  </si>
  <si>
    <t>Muse Town</t>
  </si>
  <si>
    <t>MMR015009701</t>
  </si>
  <si>
    <t>Ho Mun Ward</t>
  </si>
  <si>
    <t>MMR015009701504</t>
  </si>
  <si>
    <t>Muse Baptist Church</t>
  </si>
  <si>
    <t>MMR015CMP213</t>
  </si>
  <si>
    <t>Nam Hkam (KBC Jaw Wang) II</t>
  </si>
  <si>
    <t>MMR015CMP214</t>
  </si>
  <si>
    <t>MMR015010002</t>
  </si>
  <si>
    <t>Ho Nar</t>
  </si>
  <si>
    <t>Pang Long</t>
  </si>
  <si>
    <t>MMR015CMP215</t>
  </si>
  <si>
    <t>Man Wing Catholic Church II</t>
  </si>
  <si>
    <t>MMR001CMP228</t>
  </si>
  <si>
    <t>Muse Catholic Church</t>
  </si>
  <si>
    <t>MMR015CMP216</t>
  </si>
  <si>
    <t>Hpakant Baptist Church, Nam Ma Hpit</t>
  </si>
  <si>
    <t>MMR001CMP229</t>
  </si>
  <si>
    <t>Namhkan - Pang Long KBC</t>
  </si>
  <si>
    <t>Geo-Info, HH/Pop data was updated from Google Earth.</t>
  </si>
  <si>
    <t>Mone Paw Nam Chet (Zay) (Pang Hseng (Kyu Koke)) Sub-township</t>
  </si>
  <si>
    <t>MMR015009033</t>
  </si>
  <si>
    <t>Mone Paw Nam Chet</t>
  </si>
  <si>
    <t>Man Pying (Pang Hseng (Kyu Koke)) Sub-township</t>
  </si>
  <si>
    <t>MMR015009038</t>
  </si>
  <si>
    <t>Hawwa</t>
  </si>
  <si>
    <t>MMR001012013</t>
  </si>
  <si>
    <t>Khon Sint</t>
  </si>
  <si>
    <t>P1</t>
  </si>
  <si>
    <t>P2</t>
  </si>
  <si>
    <t>P3</t>
  </si>
  <si>
    <t>Priority</t>
  </si>
  <si>
    <t>Ind</t>
  </si>
  <si>
    <t>WC_Adult_Gap</t>
  </si>
  <si>
    <t>WI_Other_Gap</t>
  </si>
  <si>
    <t>WC_Child_Gap</t>
  </si>
  <si>
    <t>Sum of WC_Adult_Gap</t>
  </si>
  <si>
    <t>Sum of WC_Child_Gap</t>
  </si>
  <si>
    <t>Sum of WI_Other_Gap</t>
  </si>
  <si>
    <t>Check1</t>
  </si>
  <si>
    <t>KMSS-BMO</t>
  </si>
  <si>
    <t>KMSS-MYT</t>
  </si>
  <si>
    <t>Planned Distribution</t>
  </si>
  <si>
    <t>No</t>
  </si>
  <si>
    <t>P4</t>
  </si>
  <si>
    <t>ICRC</t>
  </si>
  <si>
    <t>Man Wing Baptist Church Cultural Compound</t>
  </si>
  <si>
    <t>MMR001CMP230</t>
  </si>
  <si>
    <t>FSD</t>
  </si>
  <si>
    <t>Closed. Duplicate with (Nawng Ing (Indawgyi) Baptist Church)</t>
  </si>
  <si>
    <t>COC</t>
  </si>
  <si>
    <t>Closed. Source: Save The Children</t>
  </si>
  <si>
    <t>MMR015CMP217</t>
  </si>
  <si>
    <t>Mungji Pa Dabang (Catholic Church)</t>
  </si>
  <si>
    <t>Chipwi KBC Camp</t>
  </si>
  <si>
    <t>CRCS</t>
  </si>
  <si>
    <t>CpPcode</t>
  </si>
  <si>
    <t>Accomodation</t>
  </si>
  <si>
    <t>ResponsibleAgency</t>
  </si>
  <si>
    <t>HouseHold</t>
  </si>
  <si>
    <t>Change to Host Families. Source: Programme Unit.</t>
  </si>
  <si>
    <t>used in warehouse</t>
  </si>
  <si>
    <t>Winter Blanket</t>
  </si>
  <si>
    <t>NFI_Winter_Blanket_Track</t>
  </si>
  <si>
    <t>NFI_Winter_Blanket_Stock</t>
  </si>
  <si>
    <t>NFI_Winter_Blanket_Pipeline</t>
  </si>
  <si>
    <t>In 2014, this school is no longer accepting the lower grade students.</t>
  </si>
  <si>
    <t>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t>
  </si>
  <si>
    <t>Chipwi Total</t>
  </si>
  <si>
    <t>Waingmaw Total</t>
  </si>
  <si>
    <t>Closed. Population relocated to Man Bung Catholic Compound (MMR001CMP062)</t>
  </si>
  <si>
    <t>Ku Day Maw KBC</t>
  </si>
  <si>
    <t>MMR001CMP231</t>
  </si>
  <si>
    <t>(Multiple Items)</t>
  </si>
  <si>
    <t>Land Status</t>
  </si>
  <si>
    <t>Shelter Possible</t>
  </si>
  <si>
    <t>Sum of Shelter Possible</t>
  </si>
  <si>
    <t>Shelter Gap</t>
  </si>
  <si>
    <t>Sum of Shelter Gap</t>
  </si>
  <si>
    <t xml:space="preserve">Gap </t>
  </si>
  <si>
    <t>Possible Units</t>
  </si>
  <si>
    <t>Nam Si In (Karmaing Sub-township)</t>
  </si>
  <si>
    <t>Mohnyin Town</t>
  </si>
  <si>
    <t>Ma Hkan Tee</t>
  </si>
  <si>
    <t>MMR015009013</t>
  </si>
  <si>
    <t>MMR015019701</t>
  </si>
  <si>
    <t>opening_date</t>
  </si>
  <si>
    <t>Hygiene Kit_LS</t>
  </si>
  <si>
    <t>NFI Core Kit_LS</t>
  </si>
  <si>
    <t>Sanitary Kit_LS</t>
  </si>
  <si>
    <t>Mosquito net_LS</t>
  </si>
  <si>
    <t>Tarpaulin_LS</t>
  </si>
  <si>
    <t>Kitchen Set_LS</t>
  </si>
  <si>
    <t>Blanket_LS</t>
  </si>
  <si>
    <t>Plastic Bucket _LS</t>
  </si>
  <si>
    <t>Plastic  Mat_LS</t>
  </si>
  <si>
    <t>Winter Clothes Adult_LS</t>
  </si>
  <si>
    <t>Winter Clothes Children_LS</t>
  </si>
  <si>
    <t>Winter Items Other_LS</t>
  </si>
  <si>
    <t>Winter Blanket_LS</t>
  </si>
  <si>
    <t>Report_Date</t>
  </si>
  <si>
    <t>NFI_Monitor_Date</t>
  </si>
  <si>
    <t>Winter</t>
  </si>
  <si>
    <t>#Household</t>
  </si>
  <si>
    <t>#Not Covered</t>
  </si>
  <si>
    <t>#Covered</t>
  </si>
  <si>
    <t>#Land Issue</t>
  </si>
  <si>
    <t>#Gap</t>
  </si>
  <si>
    <t>Hopin Host Families</t>
  </si>
  <si>
    <t>Moenyin Host Families</t>
  </si>
  <si>
    <t>MMR001CMP232</t>
  </si>
  <si>
    <t>MMR001CMP233</t>
  </si>
  <si>
    <t>Emergency Aung Bar Li</t>
  </si>
  <si>
    <t>Lone Zut</t>
  </si>
  <si>
    <t>CBP</t>
  </si>
  <si>
    <t>Bhamo Total</t>
  </si>
  <si>
    <t>Hpakant Total</t>
  </si>
  <si>
    <t>Mansi Total</t>
  </si>
  <si>
    <t>Mohnyin Total</t>
  </si>
  <si>
    <t>Momauk Total</t>
  </si>
  <si>
    <t>Myitkyina Total</t>
  </si>
  <si>
    <t>Puta-O Total</t>
  </si>
  <si>
    <t>Kutkai Total</t>
  </si>
  <si>
    <t>Muse Total</t>
  </si>
  <si>
    <t>Namhkan Total</t>
  </si>
  <si>
    <t>Shan_North Total</t>
  </si>
  <si>
    <t>Count of Camp</t>
  </si>
  <si>
    <t>Sum of Total2</t>
  </si>
  <si>
    <t># HH</t>
  </si>
  <si>
    <t># Ind.</t>
  </si>
  <si>
    <t># Camps</t>
  </si>
  <si>
    <t># Shelter Gap</t>
  </si>
  <si>
    <t># Const. Shelter</t>
  </si>
  <si>
    <t>Group1</t>
  </si>
  <si>
    <t>Township2</t>
  </si>
  <si>
    <t>Other Townships</t>
  </si>
  <si>
    <t>V1</t>
  </si>
  <si>
    <t>V2</t>
  </si>
  <si>
    <t>V3</t>
  </si>
  <si>
    <t>Shelter_Draw_Ratio</t>
  </si>
  <si>
    <t>Nearest_Town</t>
  </si>
  <si>
    <t>Distance</t>
  </si>
  <si>
    <t>IDP</t>
  </si>
  <si>
    <t>Nearest Town</t>
  </si>
  <si>
    <t>distance</t>
  </si>
  <si>
    <t>Naypyitaw Town</t>
  </si>
  <si>
    <t>Pang War Town</t>
  </si>
  <si>
    <t>Hpakant Town</t>
  </si>
  <si>
    <t>Kamaing Town</t>
  </si>
  <si>
    <t>Kunlong Town</t>
  </si>
  <si>
    <t>Khaunglanhpu Town</t>
  </si>
  <si>
    <t>Namhkan Town</t>
  </si>
  <si>
    <t>Tarmoenye Town</t>
  </si>
  <si>
    <t>Manton Town</t>
  </si>
  <si>
    <t>Hopin Town</t>
  </si>
  <si>
    <t>Laiza town</t>
  </si>
  <si>
    <t>Dawthponeyan  Town</t>
  </si>
  <si>
    <t>Monekoe Town</t>
  </si>
  <si>
    <t>Pang Hseng (Kyu Koke) Town</t>
  </si>
  <si>
    <t>Kan Paik Ti Town</t>
  </si>
  <si>
    <t>Sadung Town</t>
  </si>
  <si>
    <t>Machanbaw Town</t>
  </si>
  <si>
    <t>Distance_Cat</t>
  </si>
  <si>
    <t>0-5km</t>
  </si>
  <si>
    <t>5-10km</t>
  </si>
  <si>
    <t>10-15km</t>
  </si>
  <si>
    <t>15-20km</t>
  </si>
  <si>
    <t>20-25km</t>
  </si>
  <si>
    <t>25-30km</t>
  </si>
  <si>
    <t># IDP Loc.</t>
  </si>
  <si>
    <t>Clothes Kit</t>
  </si>
  <si>
    <t>Clothes Kit_LS</t>
  </si>
  <si>
    <t>NFI_Clothes_Track</t>
  </si>
  <si>
    <t>NFI_Clothes_Stock</t>
  </si>
  <si>
    <t>NFI_Clothes_Pipeline</t>
  </si>
  <si>
    <t>Clothes Kits</t>
  </si>
  <si>
    <t xml:space="preserve">Winter Blanket </t>
  </si>
  <si>
    <t xml:space="preserve">Mosquito net </t>
  </si>
  <si>
    <t xml:space="preserve">Plastic Bucket </t>
  </si>
  <si>
    <t xml:space="preserve">Plastic Mat </t>
  </si>
  <si>
    <t>Core Kit</t>
  </si>
  <si>
    <t>Winter Items</t>
  </si>
  <si>
    <t>Lifespam</t>
  </si>
  <si>
    <t>% Gap</t>
  </si>
  <si>
    <t>Items distributed to other affected people</t>
  </si>
  <si>
    <t>#Camps</t>
  </si>
  <si>
    <t>2015-04-01 : According to UNICEF and WFP this location is a village. People are not IDP but are affected by the crisis. That s why it would remain in the list.
Geo-Info, HH/Pop data was updated from Google Earth.</t>
  </si>
  <si>
    <t>Village</t>
  </si>
  <si>
    <t>Crisis Affected</t>
  </si>
  <si>
    <t>27-Mar-15 (Closed. Source: UNHCR-Bhamo)
New Camp</t>
  </si>
  <si>
    <t>19-Mar-2015 (WFP has been providing this host families since 2013.)</t>
  </si>
  <si>
    <t>2-Apr-15 (Closed. Source: GAD)
Responsible Agency update. KMSS-BMO to KMSS-MYT.</t>
  </si>
  <si>
    <t>&gt; 30 km</t>
  </si>
  <si>
    <t># of IDP Loc.</t>
  </si>
  <si>
    <t>Average of Coverage</t>
  </si>
  <si>
    <t>Pajau - Jan Mai</t>
  </si>
  <si>
    <t>Tat Kone COC Baptist - Tat Kone Htoi San</t>
  </si>
  <si>
    <t>Zai Awng - Mung Ga Zup</t>
  </si>
  <si>
    <t>Moke Lwe Village - Hkar Shi</t>
  </si>
  <si>
    <t>Nawng Si Paw Village - Inn Lay</t>
  </si>
  <si>
    <t>Laiza Market 3 - Laiza Gat</t>
  </si>
  <si>
    <t>Affected Population</t>
  </si>
  <si>
    <t>Estimation</t>
  </si>
  <si>
    <t>MMR001002009</t>
  </si>
  <si>
    <t>MMR001007701</t>
  </si>
  <si>
    <t>MMR001009012</t>
  </si>
  <si>
    <t>MMR015011030</t>
  </si>
  <si>
    <t>MMR015011020</t>
  </si>
  <si>
    <t>MMR015009048</t>
  </si>
  <si>
    <t>MMR001012039</t>
  </si>
  <si>
    <t>MMR015CMP218</t>
  </si>
  <si>
    <t>MMR001CMP234</t>
  </si>
  <si>
    <t>Lung Sut</t>
  </si>
  <si>
    <t>25-Jun-15 Relocate to Shatapru Thida Aye Baptist Church
Population update: Source: Camp Profile Round 2.</t>
  </si>
  <si>
    <t>KMSS-LSO</t>
  </si>
  <si>
    <t>25-Jun-15 (Relocated to Hpum Lone Yan and Wai Choi)
Population Update. Source: UNHCR Cross-Line Mission Report. (July 2014)</t>
  </si>
  <si>
    <t>25-Jun-15 (Relocate to Long Sut)
Geo-Info, HH/Pop data received from MIRA Form</t>
  </si>
  <si>
    <t>25-Jun-15 (Relocated to Lone Sut)
Geo-Info, HH/Pop data received from MIRA Form</t>
  </si>
  <si>
    <t>Lone Sut Ward</t>
  </si>
  <si>
    <t>MMR001014701510</t>
  </si>
  <si>
    <t xml:space="preserve">Ma Hawng RC </t>
  </si>
  <si>
    <t>MMR001CMP235</t>
  </si>
  <si>
    <t>MMR001CMP236</t>
  </si>
  <si>
    <t>MMR001CMP237</t>
  </si>
  <si>
    <t>25-Jun-2015 (New host families. Source: RRD)</t>
  </si>
  <si>
    <t>Sar Hmaw</t>
  </si>
  <si>
    <t>MMR001008018</t>
  </si>
  <si>
    <t>Nam Sa Larp</t>
  </si>
  <si>
    <t>MMR015002021</t>
  </si>
  <si>
    <t>Sar Hmaw - KBC</t>
  </si>
  <si>
    <t>Sar Hmaw - ICM</t>
  </si>
  <si>
    <t>SHELTER TRACKING SHEET</t>
  </si>
  <si>
    <t>Implementing  Partner</t>
  </si>
  <si>
    <t>HH per Shelter</t>
  </si>
  <si>
    <t># of Family Tent Distributed</t>
  </si>
  <si>
    <t># of Temporary Shelter Units Planned (Target)</t>
  </si>
  <si>
    <t># of Temporary Shelter Units Built</t>
  </si>
  <si>
    <t># of Temporary Shelter Under  Construction</t>
  </si>
  <si>
    <t># of Permanent House Planned (Target)</t>
  </si>
  <si>
    <t># of Permanent House Built</t>
  </si>
  <si>
    <t># of Permanent House Under Construction</t>
  </si>
  <si>
    <t>HH Covered</t>
  </si>
  <si>
    <t># of Family Tent Planned(Target)</t>
  </si>
  <si>
    <t>19-Aug-15 Close. Source: CCCM Unit.
Population source: KMSS-BMO</t>
  </si>
  <si>
    <t>Location</t>
  </si>
  <si>
    <t>Camps/Host Families</t>
  </si>
  <si>
    <t>Sum of HH Covered</t>
  </si>
  <si>
    <t>Sum of # of Temporary Shelter Units Built</t>
  </si>
  <si>
    <t>Sum of # of Temporary Shelter Under  Construction</t>
  </si>
  <si>
    <t>19-Aug-15 Closed. IDP were provided with individual lands within Naung Hmee village and transit toward semi-permanent settlement. Source: CCCM Unit
2-Apr-15 (Population update, Source: UNHCR CCCM Mission)
Population update: Source: Camp Profile Round 2.</t>
  </si>
  <si>
    <t>Ndup Yang</t>
  </si>
  <si>
    <t>MMR001CMP238</t>
  </si>
  <si>
    <t>10/2/2015. New Camp. Data source: CCCM team-Ko Maran</t>
  </si>
  <si>
    <t>Salang Yang</t>
  </si>
  <si>
    <t>MMR001CMP239</t>
  </si>
  <si>
    <t>Replacement</t>
  </si>
  <si>
    <t>Replacement (YES/NO)</t>
  </si>
  <si>
    <t>YES</t>
  </si>
  <si>
    <t>NO</t>
  </si>
  <si>
    <t>Jerry Can</t>
  </si>
  <si>
    <t>Jerry Can_LS</t>
  </si>
  <si>
    <t>NFI_Jerry_Can_Track</t>
  </si>
  <si>
    <t>NFI_Jerry_Can_Stock</t>
  </si>
  <si>
    <t>NFI_Jerry_Can_Pipeline</t>
  </si>
  <si>
    <t>9/Nov/2015. updated camp status (Closed). Data Source; Lu Lu Awng by mail.
19-Aug-15 Population update. Source: Shalom
25-Jun-15 (Population update. Source : Shalom)
Checked with Shalom data, IDPs figure do not change</t>
  </si>
  <si>
    <t>MMR001012703</t>
  </si>
  <si>
    <t>Dawthponeyan Boarding School</t>
  </si>
  <si>
    <t>MMR001CMP240</t>
  </si>
  <si>
    <t xml:space="preserve">New Pang Ku </t>
  </si>
  <si>
    <t>MMR015CMP219</t>
  </si>
  <si>
    <t>9/Nov/15. New added camp. Data source: UNHCR CCCM officer NSS mission 8-12 July 2015.</t>
  </si>
  <si>
    <t>9/Nov/15. Population update. Data source: mail from Pancy (WFP).
Update IDP increased in Oct and Nov 2013 from Angela (UNHCR - Bhamo)</t>
  </si>
  <si>
    <t>9/Nov/15. Population update. Data source: mail from Pancy (WFP).</t>
  </si>
  <si>
    <t>9/Nov/15. Population update. Data source: mail from Pancy (WFP).
Update IDP increased in Oct and Nov 2013 from (UNHCR - Bhamo)</t>
  </si>
  <si>
    <t>9/Nov/2015. Population update. Data source: mail from Pancy (WFP).
New added Boarding School</t>
  </si>
  <si>
    <t>Resettlement place</t>
  </si>
  <si>
    <t>Updated on 2/Dec/2015. Data source: mail by Win Aung Htun
Updated on 11/Nov/2015. Added jerry can data. Data source: mail by Win Aung Htun
Updated on 29/Sep/2015. 
Data Source: Lu Lu Awng and Win Aung Tun</t>
  </si>
  <si>
    <t>Latitude</t>
  </si>
  <si>
    <t>28/Jan/2016. Population update. Data source: KBC (mail by maran)
13/Dec/15. Population update. Data source: Mail by Ko Maran. Reason for pop changes: IDP in the host who were registered in the Man Win Bapitst Church (cultural compound) camp established their own separate entity as IDP in the host. 
Population Update. Source: Save The Children.</t>
  </si>
  <si>
    <t>28/Jan/2016. Population update. Data source: KBC (mail by maran)
19-Aug-15 (Population Update. Data Source: KMSS-BMO)
Population update: Source: Camp Profile Round 2.</t>
  </si>
  <si>
    <t>28/Jan/2016. Population update. Data source: KBC (mail by maran)
Population update: Source: KMSS-BMO
Population Update. Source: Save The Children.</t>
  </si>
  <si>
    <t>28/Jan/2016. Population update. Data source: KBC (mail by maran)
Population Update. Source: Save The Children.</t>
  </si>
  <si>
    <t>28/Jan/2016. Population update. Data source: KBC (mail by maran)
19-Aug-2015. Update Population. Data Source; KMSS-BMO
Population update: Source UNHCR-Bhamo</t>
  </si>
  <si>
    <t>28/Jan/2016. Population update. Data source: KBC (mail by maran)
19 Aug 2015. Udate Population. Date Source; KMSS-BMO
Population update: Source: KMSS-BMO</t>
  </si>
  <si>
    <t>28/Jan/2016. Population update. Data source: KBC (mail by maran)
19-Aug-2015. Population Update. Data Source; KMSS-BMO
Population increased. Relocated from Momauk Catholic Church (St. Patrick) - MMR001CMP057</t>
  </si>
  <si>
    <t>28/Jan/2016. Population update. Data source: KBC (mail by maran)
19-Aug-2015. Update Population. Data Source; KMSS-BMO
Update population. Source UNHCR Bhamo</t>
  </si>
  <si>
    <t>28/Jan/2016. Population update. Data source: KBC (mail by maran)
19 Aug 2015. Update Population. Data Source; KMSS-BMO
Population update: Source UNHCR-Bhamo</t>
  </si>
  <si>
    <t>16/Feb/2016. families’ extension
28/Jan/2016. Population update. Data source: KBC (mail by maran)
19-Aug-2015. Update Population. Data Source; KMSS-BMO
Responsible Agency update. KMSS-MYT to KMSS-BMO.</t>
  </si>
  <si>
    <t>16/Feb/2016. some HH increase as some IDP from Pa Kahtawng join as the camp is closer to village 
28/Jan/2016. Population update. Data source: KBC (mail by maran)
19-Aug-2015. Update population. Data Source; KMSS-BMO
Population Update. Source: Save The Children.</t>
  </si>
  <si>
    <t>Du Kahtawng Qtr. 14,4,5 (combined as one camp)</t>
  </si>
  <si>
    <t>Shelter Tool kit</t>
  </si>
  <si>
    <t>Tent</t>
  </si>
  <si>
    <t>Shwe Gu (MyoHla)</t>
  </si>
  <si>
    <t>Mai hkawng Camp (RC +KBC)</t>
  </si>
  <si>
    <t>Mai hkawng Camp</t>
  </si>
  <si>
    <t>Lana Zup Ja and Bumtsit pa (1) and (2)</t>
  </si>
  <si>
    <t>Hpankha kone camp</t>
  </si>
  <si>
    <t>Nhkawng Pa camp and Pa Kahtawng camp thru cross line mission with KMSS-Bhamo</t>
  </si>
  <si>
    <t>Bum Tsit Pa Camp I</t>
  </si>
  <si>
    <t>Bum Tsit Pa Camp III</t>
  </si>
  <si>
    <t>Nam Jarap</t>
  </si>
  <si>
    <t xml:space="preserve">Loije Seng Ja </t>
  </si>
  <si>
    <t>Kbc</t>
  </si>
  <si>
    <t>Loi Je Seng Ja Camp thru Mission</t>
  </si>
  <si>
    <t>Shalom-BM</t>
  </si>
  <si>
    <t>Lisu Baptist Church</t>
  </si>
  <si>
    <t>Namtit</t>
  </si>
  <si>
    <t>Pyi Lung Chan Tar</t>
  </si>
  <si>
    <t>Kut Kai camp</t>
  </si>
  <si>
    <t>Moe Gok (Pain Pyit Lisu Village)</t>
  </si>
  <si>
    <t>Moe Gok (A Shae Kyaung)</t>
  </si>
  <si>
    <t>Moe Gok (Aung Daw Mu)</t>
  </si>
  <si>
    <t>Moe Mait (Man Ohn0</t>
  </si>
  <si>
    <t>Emergency</t>
  </si>
  <si>
    <t>KMSS-MKN</t>
  </si>
  <si>
    <t>Manhkring camp</t>
  </si>
  <si>
    <t>Updated on 11/Nov/2015. Added jerry can data. Data source: mail by Win Aung Htun</t>
  </si>
  <si>
    <t>Updated on 2/Dec/2015. Data source: mail by Win Aung Htun
Updated on 29/Sep/2015. 
Data Source: Lu Lu Awng and Win Aung Tun</t>
  </si>
  <si>
    <t>3/Mar/2016. Closed camp. Data source: January report from KBC
28/Jan/2016. Population update. Data source: KBC (mail by maran)
2/Dec/2015. Population update. Data source: KBC
25-Jun-15 Population update. Source: KBC
Update population. Source: Camp Profile.</t>
  </si>
  <si>
    <t>3/Mar/2016. Closed Camp. Data source: January report from KBC.
28/Jan/2016. Population update. Data source: KBC (mail by maran)
2/Dec/2015 (Population update. Data source: Monthly report by KBC).
25-Jun-2015 Update population. Data Source: KBC
Changed to Boarding School.</t>
  </si>
  <si>
    <t>Khaunglanhpu Total</t>
  </si>
  <si>
    <t>Mogaung Total</t>
  </si>
  <si>
    <t>Shwegu Total</t>
  </si>
  <si>
    <t>Sumprabum Total</t>
  </si>
  <si>
    <t>Hseni Total</t>
  </si>
  <si>
    <t>Manton Total</t>
  </si>
  <si>
    <t>Namtu Total</t>
  </si>
  <si>
    <t>Man Sa village</t>
  </si>
  <si>
    <t>KMSS_LSO</t>
  </si>
  <si>
    <r>
      <t xml:space="preserve">For Kyauk Mae Areas. </t>
    </r>
    <r>
      <rPr>
        <i/>
        <sz val="10"/>
        <rFont val="Calibri"/>
        <family val="2"/>
        <scheme val="minor"/>
      </rPr>
      <t xml:space="preserve">Mosquito 650 pcs transported to Shan but 600 pcs are distributed through RRD and KMSS-Lashio to 12 camp-like setting areas and 50 pcs are returned back to UNHCR Myitkyina warehouse. </t>
    </r>
  </si>
  <si>
    <t>Shan</t>
  </si>
  <si>
    <t xml:space="preserve">Shan </t>
  </si>
  <si>
    <t>Kut kai</t>
  </si>
  <si>
    <t xml:space="preserve">Tent </t>
  </si>
  <si>
    <t>KMSS_Myitkyina</t>
  </si>
  <si>
    <t xml:space="preserve">13/May/16 (Hpare camp received only winter clothes)
For Pajau camp and Hpare camp, items transported by UNHCR laiza mission team and further distributed by KBC -&gt; 365 pcs of blackets, Fleece jackets for female (M) = 300 pcs, Fleece jackets for  female (L) = 160 pcs, </t>
  </si>
  <si>
    <t>Pajau camp received both winter itmes and blankets</t>
  </si>
  <si>
    <t>For Mang Wee villagers. 'KBC-Muse released family tents from their stock for this distribution</t>
  </si>
  <si>
    <t>__</t>
  </si>
  <si>
    <t>Moe Hping</t>
  </si>
  <si>
    <t>MMR001010009</t>
  </si>
  <si>
    <t>MMR001010048</t>
  </si>
  <si>
    <t>Aung Thar</t>
  </si>
  <si>
    <t>MMR001005701503</t>
  </si>
  <si>
    <t>Ba Leit Dan Ward</t>
  </si>
  <si>
    <t>Nyein Chan Thar Yar</t>
  </si>
  <si>
    <t>Hkau Shau</t>
  </si>
  <si>
    <t>Htwe San Yang</t>
  </si>
  <si>
    <t>Kyun Taw Ward</t>
  </si>
  <si>
    <t>MMR001008701510</t>
  </si>
  <si>
    <t>Aung Chan Thar Ward</t>
  </si>
  <si>
    <t>MMR001012702503</t>
  </si>
  <si>
    <t>Maliyang Ward</t>
  </si>
  <si>
    <t>MMR015019701503</t>
  </si>
  <si>
    <t>MMR001005702</t>
  </si>
  <si>
    <t>MMR001005702502</t>
  </si>
  <si>
    <t>Saing Gyar Ward</t>
  </si>
  <si>
    <t>MMR001012702506</t>
  </si>
  <si>
    <t>MMR001013007</t>
  </si>
  <si>
    <t>MMR001012703502</t>
  </si>
  <si>
    <t>MMR001007702</t>
  </si>
  <si>
    <t>Myo Ma (South) Ward</t>
  </si>
  <si>
    <t>MMR001007702503</t>
  </si>
  <si>
    <t>Maing Khat</t>
  </si>
  <si>
    <t>MMR001012020</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</si>
  <si>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</si>
  <si>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Mine Wee (Man Jan)</t>
  </si>
  <si>
    <t>16/Jun/2016. Population update. Data source: monthly report from KMSS_MYT
28/Jan/2016. Population update. Data source: KBC (mail by maran)
9/Nov/15. Population update. Data source: mail from Pancy (WFP).
19-Mar-2015 (WFP has been providing this host families since 2013.)</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</si>
  <si>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</si>
  <si>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Aung Tha Pyay Ward</t>
  </si>
  <si>
    <t>MMR001007701505</t>
  </si>
  <si>
    <t>Mon Gar Zut</t>
  </si>
  <si>
    <t>Par Jaung</t>
  </si>
  <si>
    <t>28/Jan/2016. Population update. Data source: KMSS (mail by maran)
19-Aug-15 Update population. Source KMSS-BMO
Geo-Info update.</t>
  </si>
  <si>
    <t>14/Jul/2016: Population update. Data Source:KMSS_Myitkyina
16/Jun/2016. Population update. Data source: monthly report from KMSS_MYT
10/May/2016. Population Update. Data source: KMSS
28/Jan/2016. Population update. Data source: KBC (mail by maran)
2/Dec/2015 (population update. Data source: Monthly report by KMSS-MYT). 
23-Oct-2015 (Population update. Data Source: Monthly report by KMSS-MYT). Reason for population changes; Travelling from the camp for Daily Worker.
19-Aug-2015 (Population update. Data Source: KMSS-MYT)
2-Apr-15 (Population update, Source: UNHCR CCCM Mission)
New Camp. KMSS-MYT</t>
  </si>
  <si>
    <t>14/Jul/2016: Population update. Data Source:KMSS_Myitkyina
16/Jun/2016. Population update. Data source: monthly report from KMSS_MYT
10/May/2016. Population Update. Data source: KMSS
28/Jan/2016. Population update. Data source: KBC (mail by maran)
19-Aug-15 (Population update. Data Source: KMSS-MYT)
2-Apr-15 (Population update, Source: UNHCR CCCM Mission)
Population Update. Source: KMSS-MYT</t>
  </si>
  <si>
    <t>14/Jul/2016: Population update. Data Source:KMSS_Myitkyina
10/May/2016. Population Update. Data source: KMSS
28/Jan/2016. Population update. Data source: KBC (mail by maran)
23-Oct-15 Population update. Data source; Monthly report by KMSS_MYT. Reason for changes; A new sprad HH is added.
14-Oct-15 Population update. Soruce; Hpakant Mission Report_WFP
2-Oct-15 (Population update. Data Source: Monthly report by KMSS-MYT)
25-Jun-15 (Population update. Source: KMSS-MYT)
18-May-15 (Population update from field mission)
2-Apr-15 (Population update, Source: UNHCR CCCM Mission)
Population Update. Source: KMSS-MYT</t>
  </si>
  <si>
    <t>14/Jul/2016: Population update. Data Source:KMSS_Myitkyina
16/Jun/2016. Population update. Data source: monthly report from KMSS_MYT
10/May/2016. Population Update. Data source: KMSS
28/Jan/2016. Population update. Data source: KBC (mail by maran)
23-Oct-15 (Population update. Data source: Monthly report by KMSS-MYT). Reason for changes; Travelling from the camp for Daily Worker.
2-Oct-15 (Population update. Data Source: Monthly report by KMSS-MYT)
25-Jun-15 (Population update. Source: KMSS-MYT)
18-May-15 (Population update from field mission)
2-Apr-15 (Population update, Source: UNHCR CCCM Mission)</t>
  </si>
  <si>
    <t>14/Jul/2016: Population update. Data Source:KMSS_Myitkyina
9/Nov/15. Accomodation changes from Host families to Camp. Data source: mail by Maran Tang Nau.
19-Aug-15 (Population Udate. Data Source: KMSS-MYT)
25-Jun-2015 (New host families. Source: RRD)</t>
  </si>
  <si>
    <t>14/Jul/2016: Population update. Data Source:KMSS_Myitkyina
16/Jun/2016. Population update. Data source: monthly report from KMSS_MYT
10/May/2016. Population Update. Data source: KMSS
28/Jan/2016. Population update. Data source: KBC (mail by maran)
2/Dec/2015 (Population update. Data source: Monthly report by KMSS_MYT). Reasons for population changes; travelling from the camp for daily worker.
2-Oct-15 (Population update. Data Source: Monthly report by KMSS-MYT)
19-Aug-15 (Population updata. Data Source: KMSS-MYT)
25-Jun-15 (Population update. Source KMSS-MYT)
Population Update. Source: KMSS-MYT</t>
  </si>
  <si>
    <t>14/Jul/2016: Population update. Data Source:KMSS_Myitkyina
16/Jun/2016. Population update. Data source: monthly report from KMSS_MYT
10/May/2016. Population update. Data source: KMSS.
28/Jan/2016. Population update. Data source: KBC (mail by maran)
2-Oct-15 (Population update. Data Source: Monthly report by KMSS-MYT)
19-Aug-15 (Populaiton update. Data Source: KMSS-MYT)
25-Jun-15 (Population update. Source: IRRC)
2015-03-16 (Population moved from Je Yang Hka as there was no land available)
Population Update. Source: UNHCR Cross-Line Mission Report. (July 2014)</t>
  </si>
  <si>
    <t>14/Jul/2016: Population update. Data Source:KMSS_Myitkyina
16/Jun/2016. Population update. Data source: monthly report from KMSS_MYT
10/May/2016. Population update. Data source:KMSS
28/Jan/2016. Population update. Data source: KBC (mail by maran)
23-Oct-15 (Population update. Data source: Monthly report by KMSS-MYT). Reason for changes; Travelling from the camp for daily worker.
2-Oct-15 (Population update. Data Source: Monthly report by KMSS-MYT)
19-Aug-15 (Population update. Data Source: KMSS-MYT)
25-Jun-15 (Population update. Source: KMSS-MYT)
Population Update. Source: KMSS-MYT</t>
  </si>
  <si>
    <t>14/Jul/2016: Population update. Data Source:KMSS_Myitkyina
16/Jun/2016. Population update. Data source: monthly report from KMSS_MYT
10/May/2016. Population Update. Data source: KMSS
16/Feb/2016. Pop and HH correction.
28/Jan/2016. Population update. Data source: KBC (mail by maran)
13/Dec/2015. Population update. Data source: Mail by Ko Maran. Reason for pop changes: Increased from Sumpra Bum area 
2/Dec/2015 (Population update. Data source: Monthly report by KMSS_MYT). Reason for pop changes; Arrived at the camp from daily work and new arrival from sumprabum.
23-Oct-15 (Pupulation update. Data Source: Monthly report by KMSS-MYT). Reason for changes; Increasing from Sumprabum.
2-Oct-15 (Pupulation update. Data Source: KMSS-MYT) and NFI Distribution List (New arrival)
19-Aug-15 (Population update. Data source: KMSS-MYT)
25-Jun-15 (Population update. Source: KMSS-MYT)
Population Update. Source: KMSS-MYT</t>
  </si>
  <si>
    <t>14/Jul/2016: Population update. Data Source:KMSS_Myitkyina
16/Jun/2016. Population update. Data source: monthly report from KMSS_MYT
10/May/2016. Population Update. Data source: KMSS
28/Jan/2016. Population update. Data source: KBC (mail by maran)
23-Oct-15 (Population update. Data source: Monthly report by KMSS-MYT). Reason for changes; Arrive from the Daily Work.
19-Aug-15 (Population update. Data Source: KMSS-MYT) 
25-Jun-15 (Population update. Source: KMSS-MYT)</t>
  </si>
  <si>
    <t>14/Jul/2016: Population update. Data Source:KMSS_Myitkyina
16/Jun/2016. Population update. Data source: monthly report from KMSS_MYT
10/May/2016. Population Update. Data source: KMSS
28/Jan/2016. Population update. Data source: KBC (mail by maran)
2/Dec/2015 (Population update. Data source: Monthly report by KMSS_MYT). Reason for pop changes; Arrived at the camp from daily work.
23-Oct-15 (Population update. Data source: Monthly report by KMSS-MYT). Reason for changes; Arrive from the Daily Work.
2 Oct 15 (Population update. Data Source: KMSS-MYT)
19-Aug-15 (Population update. Data Source: KMSS-MYT)
25-Jun-15 (Population update. Source : KMSS-MYT)
Population Update. Source: KMSS-MYT</t>
  </si>
  <si>
    <t>14/Jul/2016: Population update. Data Source:KMSS_Myitkyina
16/Jun/2016. Population update. Data source: monthly report from KMSS_MYT
10/May/2016. Population Update. Data source: KMSS
28/Jan/2016. Population update. Data source: KBC (mail by maran)
2/Dec/2015 (Population update. Data source: Monthly report by KMSS_MYT). Reason for pop changes; Arrived at the camp from daily work.
23-Oct-15 (Population update. Data sorce: Monthly report by KMSS-MYT). Reasion for changes; Travelling from the camp for daily worker.
2-Oct-15 (Pupulation update. Data Source: KMSS-MYT) and NFI Distribution List (New arrival)
19-Aug-15 (Population update. Data Source: KMSS-MYT)
25-Jun-15 (Population update. Source: KMSS-MYT)
Population Update. Source: KMSS-MYT</t>
  </si>
  <si>
    <t>14/Jul/2016: Population update. Data Source:KMSS_Myitkyina
16/Jun/2016. Population update. Data source: monthly report from KMSS_MYT
10/May/2016. Population update. Data source:KMSS
16/Feb/2016. HH and Pop correction
28/Jan/2016. Population update. Data source: KBC (mail by maran)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</si>
  <si>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14/Jul/2016: Population update. Data Source:KMSS_Myitkyina
16/Jun/2016. Population update. Data source: monthly report from KMSS_MYT
10/May/2016. Population update. Data source:KMSS
28/Jan/2016. Population update. Data source: KBC (mail by maran)
23-Oct-15 (Population update. Data sorce: Monthly report by KMSS-MYT). Reason for changes; Traveling from the camp for daily worker.
2-Oct-15 (Population update. Data Source: Monthly Report by KMSS-MYT)
19-Aug-15 (Population update. Data source: KMSS-MYT)
25-Jun-15 (Population update. Source: KMSS-MYT)
Population Update. Source: KMSS-MYT</t>
  </si>
  <si>
    <t>14/Jul/2016: Population update. Data Source:KMSS_Myitkyina
16/Jun/2016. Population update. Data source: monthly report from KMSS_MYT
10/May/2016. Population update. Data source:KMSS
28/Jan/2016. Population update. Data source: KBC (mail by maran)
2/Dec/2015 (population changes. Data source; KMSS_MYT). Reason for pop changes; arrived at the camp form daily work.
2-Oct-15 (Population update. Data Source: KMSS-MYT)
19-Aug-15 (Population update. Data Source: KMSS-MYT)
25-Jun-15 (Population update. KMSS-MYT)
2015-03-16 (Population moved to Hpun Lum Yang as there was no land available)
Population Update. Source: KMSS-MYT</t>
  </si>
  <si>
    <t>14/Jul/2016: Population update. Data Source:KMSS_Myitkyina
16/Jun/2016. Population update. Data source: monthly report from KMSS_MYT
10/May/2016. Population Update. Data source: KMSS
28/Jan/2016. Population update. Data source: KBC (mail by maran)
2/Dec/2015 (Population update. Data source: Monthly report by KMSS_MYT). Reason for pop changes; Arrived at the camp and travelling from the camp for daily work.
2-Oct-15 (Population update. Data source: Monthly report by KMSS-MYT)
19-Aug-15 (Population update. Data Source: KMSS-MYT)
25-Jun-15 (Population update. Source: KMSS-MYT)
Update population according to KBC data</t>
  </si>
  <si>
    <t>14/Jul/2016: Population update. Data Source:KMSS_Myitkyina
16/Jun/2016. Population update. Data source: monthly report from KMSS_MYT
10/May/2016. Population Update. Data source: KMSS
28/Jan/2016. Population update. Data source: KBC (mail by maran)
2/Dec/2015 (Population update. Data source: Monthly report by KMSS_MYT). Reason for pop changes; Arrived at the camp from daily work.
23-Oct-15 (Population update. Data sorce: Monthly report by KMSS-MYT). Reason for changes; Travelling from the camp for daily worker.
2-Oct-15 (Population update. Data sorce: Monthly report by KMSS-MYT)
19-Aug-15 (Population update. Data source: KMSS-MYT)
25-Jun-15 (Population update. KMSS-MYT)
Population Update. Source: KMSS-MYT</t>
  </si>
  <si>
    <t>21 twin shelters = 42 units</t>
  </si>
  <si>
    <t>14/Jul/2016: Population update. Data source: KMSS_LSO
28/Jan/2016. Population update. Data source: KBC (mail by maran)
19-Aug-15 (Population update. Source KMSS-LSO)
25-Jun-15 (Population update. Source KMSS-LSO)
27-Mar-15 (Changed to GCA. Source UNHCR-Bhamo)
New camp. Source: KMSS-BMO</t>
  </si>
  <si>
    <t>14/Jul/2016: Population update. Data source: KMSS_LSO
28/Jan/2016. Population update. Data source: KBC (mail by maran)
19-Aug-15 (Population update. Source: MKSS-LSO)
25-Jun-15 (Population update. Source: KMSS-LSO)
Population updated. Source: Shelter unit.</t>
  </si>
  <si>
    <t>14/Jul/2016: Population update. Data source: KMSS_LSO
28/Jan/2016. Population update. Data source: KBC (mail by maran)
19-Aug-15 (Population update. Source: KMSS-LSO)
25-Jun-15 (Population update. Source: KMSS-LSO)
New Camp</t>
  </si>
  <si>
    <t>14/Jul/2016: Population update. Data source: KMSS_LSO
28/Jan/2016. Population update. Data source: KBC (mail by maran)
19-Aug-15 (Population update. Source: MKSS-LSO)
25-Jun-15 (Population update. Source: KMSS-LSO)
Population Update. Source: Save The Children.</t>
  </si>
  <si>
    <t>14/Jul/2016: Population update. Data source: KMSS_LSO
28/Jan/2016. Population update. Data source: KBC (mail by maran)
19-Aug-15 (Population update. Source: KMSS-LSO)
25-Jun-15 (Population update. Source: KMSS-LSO)
Population update. Changed NGCA to GCA. Source: CCCM Unit</t>
  </si>
  <si>
    <t>97°22'48.10</t>
  </si>
  <si>
    <t>25°25'23.80</t>
  </si>
  <si>
    <t>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Checked with KBC data</t>
  </si>
  <si>
    <t>18/Jul/2016: Population updte. Data source: KBC
15/Jun/2016: Population update. Data source: monthly report by KBC
12/May/2016. Population update. Data source: KBC
28/Jan/2016. Population update. Data source: KBC (mail by maran)
19-Aug-15 Update pouplation from KBC
25-Jun-2015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</si>
  <si>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Monthly report by KBC).
19-Aug-15 Update population from KBC.
25-Jun-2015 Update population from KBC.
Checked with KBC data</t>
  </si>
  <si>
    <t>18/Jul/2016: Population updte. Data source: KBC
15/Jun/2016: Population update. Data source: monthly report by KBC
28/Jan/2016. Population update. Data source: KBC (mail by maran)
2/Dec/2015. Population update. Data source: KBC.
19-Aug-2015 Update population from KBC.
25-Jun-2015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</si>
  <si>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</si>
  <si>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19-Aug-15 - Update population from KBC.
25-Jun-2015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</si>
  <si>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</si>
  <si>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Monthly report by KBC).
19-Aug-2015 Update population from KBC.
25-Jun-2015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</si>
  <si>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19-Aug-15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</si>
  <si>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</si>
  <si>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from KBC.
Checked with KBC data</t>
  </si>
  <si>
    <t>18/Jul/2016: Population updte. Data source: KBC
15/Jun/2016: Population update. Data source: monthly report by KBC
12/May/2016. Population update. Data source: KBC
28/Jan/2016. Population update. Data source: KBC (mail by maran)
2/Dec/2015 (Population update. Data source: Monthly report by KBC).
19-Aug-2015 Update population from KBC.
25-Jun-2015 Update population from KBC.
Checked with KBC data</t>
  </si>
  <si>
    <t>18/Jul/2016: Population updte. Data source: KBC
15/Jun/2016: Population update. Data source: monthly report by KBC
12/May/2016. Population update. Data source: KBC
28/Jan/2016. Population update. Data source: KBC (mail by maran)
2/Dec/2015 (Population update. Data source: Monthly report by KBC).
19-Aug-2015 Update population from KBC.
25-Jun-2015 Update population from KBC.
Population updated. Source: Shelter unit.</t>
  </si>
  <si>
    <t>18/Jul/2016: Population updte. Data source: KBC
15/Jun/2016: Population update. Data source: monthly report by KBC
12/May/2016. Population update. Data source: KBC
28/Jan/2016. Population update. Data source: KBC (mail by maran)
2/Dec/2015 (Population update. Data source: Monthly report by KBC).
19-Aug-15 Update population from KBC
25-Jun-2015 Update population. Data Source: KBC
Update population according to KBC data</t>
  </si>
  <si>
    <t>18/Jul/2016: Population updte. Data source: KBC
15/Jun/2016: Population update. Data source: monthly report by KBC
12/May/2016. Population update. Data source: KBC
28/Jan/2016. Population update. Data source: KBC (mail by maran)
25-Jun-2015 Update population. Data Source: KBC
Changed NGCA to GCA. Source: Programme Unit.</t>
  </si>
  <si>
    <t>18/Jul/2016: Population updte. Data source: KBC
12/May/2016. Population update. Data source: KBC
28/Jan/2016. Population update. Data source: KBC (mail by maran)
2/Dec/2015. Population update. Data source: KBC
25-Jun-2015 Update population. Data Source: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</si>
  <si>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25-Jun-2015 Update population. Data Source: KBC
Population update: Source: Camp Profile Round 2.</t>
  </si>
  <si>
    <t>18/Jul/2016: Population updte. Data source: KBC
15/Jun/2016: Population update. Data source: monthly report by KBC
12/May/2016. Population update. Data source: KBC
28/Jan/2016. Population update. Data source: KBC (mail by maran)
2/Dec/2015. Population update. Data source: KBC
25-Jun-2015 Update population. Data Source: KBC
Population update: Source: Camp Profile Round 2.</t>
  </si>
  <si>
    <t>18/Jul/2016: Population updte. Data source: KBC
12/May/2016. Population update. Data source: KBC
28/Jan/2016. Population update. Data source: KBC (mail by maran)</t>
  </si>
  <si>
    <t>18/Jul/2016: Population updte. Data source: KBC
15/Jun/2016: Population update. Data source: monthly report by KBC
12/May/2016. Population update. Data source: KBC
28/Jan/2016. Population update. Data source: KBC (mail by maran)
2/Dec/2015. Population update. Data source: KBC
25-Jun-2015 Update population. Data Source: KBC
Population update: Source UNHCR-Bhamo</t>
  </si>
  <si>
    <t>18/Jul/2016: Population updte. Data source: KBC
15/Jun/2016: Population update. Data source: monthly report by KBC
12/May/2016. Population update. Data source: KBC
28/Jan/2016. Population update. Data source: KBC (mail by maran)
2/Dec/2015. Population update. Data source: KBC.
19-Aug-15 Update population from KBC.
25-Jun-2015 Update population. Data Source: KBC
Checked with KBC data</t>
  </si>
  <si>
    <t>18/Jul/2016: Population updte. Data source: KBC
15/Jun/2016: Population update. Data source: monthly report by KBC
12/May/2016. Population update. Data source: KBC
28/Jan/2016. Population update. Data source: KBC (mail by maran)
19-Aug-15 Update population. Data Source: KBC.
25-Jun-2015 Update population. Data Source: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</si>
  <si>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14-Oct-15 Population update. Soruce; Hpakant Mission Report_WFP
25-Jun-15 Population update. Source: KBC
2-Apr-15 (Population update, Source: UNHCR CCCM Mission)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</si>
  <si>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Update population according to KBC data</t>
  </si>
  <si>
    <t>18/Jul/2016: Population updte. Data source: KBC
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Update population according to KBC data</t>
  </si>
  <si>
    <t>18/Jul/2016: Population updte. Data source: KBC
15/Jun/2016: Population update. Data source: monthly report by KBC
12/May/2016. Population update. Data source: KBC
28/Jan/2016. Population update. Data source: KBC (mail by maran)
13/Dec/2015. Population update. Data source: Mail by Ko Maran. Reason for Pop changes: camp pp reduced as IDP in the host who were registered in the camp but now they established their own separate entity as IDP in the host. 
2/Dec/2015. Population update. Data source: KBC
25-Jun-15 Population update. Source: KBC
Population Update. Source: Save The Children.</t>
  </si>
  <si>
    <t>18/Jul/2016: Population updte. Data source: KBC
15/Jun/2016: Population update. Data source: monthly report by KBC
12/May/2016. Population update. Data source: KBC
28/Jan/2016. Population update. Data source: KBC (mail by maran)
2/Dec/2015. Population update. Data source: KBC.
19-Aug-15 Population update. Source: KBC.
25-Jun-15 Population update. Source: KBC
Update population according to KBC data</t>
  </si>
  <si>
    <t>18/Jul/2016: Population updte. Data source: KBC
18/Jul/2016: Population updte. Data source: KBC
15/Jun/2016: Population update. Data source: monthly report by KBC
12/May/2016. Population update. Data source: KBC
28/Jan/2016. Population update. Data source: KBC (mail by maran)
2/Dec/2015. Population update. Data source: KBC.
19-Aug-15 Population update. Source: KBC.
25-Jun-15 Population update. Source: KBC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</si>
  <si>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2-Apr-15 (Population update, Source: UNHCR CCCM Mission)</t>
  </si>
  <si>
    <t>18/Jul/2016: Population updte. Data source: KBC
15/Jun/2016: Population update. Data source: monthly report by KBC
12/May/2016. Population update. Data source: KBC
28/Jan/2016. Population update. Data source: KBC (mail by maran)
2/Dec/2015. Population update. Data source: KBC
14-Oct-15 Population update. Soruce; Hpakant Mission Report_WFP
25-Jun-15 Population update. Source: KBC
2-Apr-15 (Population update, Source: UNHCR CCCM Mission)
Population Update. Source: KBC.</t>
  </si>
  <si>
    <t>18/Jul/2016: Population updte. Data source: KBC
15/Jun/2016: Population update. Data source: monthly report by KBC
12/May/2016. Population update. Data source: KBC
28/Jan/2016. Population update. Data source: KBC (mail by maran)
14-Oct-15 Population update. Soruce; Hpakant Mission Report_WFP
25-Jun-15 Population update. Source: KBC
2-Apr-15 (Population update, Source: UNHCR CCCM Mission)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</si>
  <si>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14-Oct-15 Population update. Soruce; Hpakant Mission Report_WFP
25-Jun-15 Population update. Source: KBC
18-May-15 (Population update with field mission)
2-Apr-15 (Population update, Source: UNHCR CCCM Mission)
Update population according to KBC data</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</si>
  <si>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Population update: Source: Camp Profile Round 2.</t>
  </si>
  <si>
    <t>18/Jul/2016: Population updte. Data source: KBC
15/Jun/2016: Population update. Data source: monthly report by KBC
12/May/2016. Population update. Data source: KBC
28/Jan/2016. Population update. Data source: KBC (mail by maran)
13/Dec/2015. Population update. Data source: mail by Ko Maran. reason for population changes: Aung Tar KBC camp still exist. WFP report about camp closure but the small camp still exist. We change the status as open again
9/Nov/15. Camp Closed
25-Jun-15 Population update. Source: KBC
Population Update. Source: KBC.</t>
  </si>
  <si>
    <t>18/Jul/2016: Population updte. Data source: KBC
15/Jun/2016: Population update. Data source: monthly report by KBC
12/May/2016. Population update. Data source: KBC
28/Jan/2016. Population update. Data source: KBC (mail by maran)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</si>
  <si>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Population Update. Source: Save The Children.</t>
  </si>
  <si>
    <t>18/Jul/2016: Population updte. Data source: KBC
15/Jun/2016: Population update. Data source: monthly report by KBC. And it was changed from host families to camp according to the data collection of Camp Profiling Round_5.
12/May/2016. Population update. Data source: KBC
28/Jan/2016. Population update. Data source: KBC (mail by maran)
13/Dec/2015. Population update. Data source: Mail by Ko Maran. Reason for pop changes; The same number since March 2015 displacement but pp was divided between KBC and ICM churches. After setting up of a camp managed by KBC from August total population combined as it was. 
2/Dec/2015. Population update. Data source: KBC.
25-Jun-2015 (New host families. Source: RRD)</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</si>
  <si>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27-Mar-15 (Changed to GCA. Source UNHCR-Bhamo)
Update population. Source: Camp Profile.</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</si>
  <si>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Update population. Source: Camp Profile.</t>
  </si>
  <si>
    <t>18/Jul/2016: Population updte. Data source: KBC
15/Jun/2016: Population update. Data source: monthly report by KBC
12/May/2016. Population update. Data source: KBC
28/Jan/2016. Population update. Data source: KBC (mail by maran)
25-Jun-15 Population update. Source: KBC
Changed NGCA to GCA. Source: CCCM Unit</t>
  </si>
  <si>
    <t>18/Jul/2016: Population updte. Data source: KBC
15/Jun/2016: Population update. Data source: monthly report by KBC
12/May/2016. Population update. Data source: KBC
28/Jan/2016. Population update. Data source: KBC (mail by maran)
25-Jun-15 Population update. Source: KBC
Update population. Source: Camp Profile.</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</si>
  <si>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New camp.</t>
  </si>
  <si>
    <t>18/Jul/2016: Population updte. Data source: KBC
15/Jun/2016: Population update. Data source: monthly report by KBC
15/Jun/2016: Population update. Data source: monthly report by KBC
12/May/2016. Population update. Data source: KBC
28/Jan/2016. Population update. Data source: KBC (mail by maran)
2/Dec/2015. Population update. Data source: KBC
25-Jun-15 Population update. Source: KBC
Population Update. Source: Save The Children.</t>
  </si>
  <si>
    <t>18/Jul/2016: Population updte. Data source: KBC
15/Jun/2016: Population update. Data source: monthly report by KBC
12/May/2016. Population update. Data source: KBC
28/Jan/2016. Population update. Data source: KBC (mail by maran)
19-Aug-15 Population update. Source KBC.
25-Jun-15 New camp. Data Source : KBC</t>
  </si>
  <si>
    <t>18/Jul/2016: Added as new camp according to KBC_Brang Mai.</t>
  </si>
  <si>
    <t>18/Jul/2016: Population updte. Data source: KBC
14-Oct-15 Population update. Soruce; Hpakant Mission Report_WFP
25-Jun-15 Population update. Source: KBC
18-May-15 (Population update from field mission)
3-Apr-15 (Population update. Source: Camp Profile Round 3)
New camp</t>
  </si>
  <si>
    <t>18/Jul/2016: Population updte. Data source: KBC
15/Jun/2016: Population update. Data source: monthly report by KBC
12/May/2016. Population update. Data source: KBC
28/Jan/2016. Population update. Data source: KBC (mail by maran)
2/Dec/2015. Population update. Data source: KBC
25-Jun-15 Population update. Source: KBC
18-May-15 (Population update by field mission)
Source: CCCM Unit (Hpakant Assessement Mission)</t>
  </si>
  <si>
    <t>18/Jul/2016: Population updte. Data source: KBC
15/Jun/2016: Population update. Data source: monthly report by KBC
12/May/2016. Population update. Data source: KBC
28/Jan/2016. Population update. Data source: KBC (mail by maran)
13/Dec/2015. Population update. Data source: Mail by Ko Maran. Reason for pop changes: data obtain from Protection team monitoring report  November 2015
2/Dec/2015. Population update. Data source: KBC
19-Aug-15 Population update. Source KBC.
25-Jun-15 New camp. Data Source : KBC</t>
  </si>
  <si>
    <t>18/Jul/2016: Population updte. Data source: KBC
12/May/2016. Population update. Data source: KBC
25-Jun-15 Population update. Source: KBC
Update population. Source: Camp Profile.</t>
  </si>
  <si>
    <t>18/Jul/2016: Population updte. Data source: KBC
15/Jun/2016: Population update. Data source: monthly report by KBC
12/May/2016. Population update. Data source: KBC
28/Jan/2016. Population update. Data source: KBC (mail by maran)
25-Jun-15 Population update. Source: KBC
Population update. Source: KBC.</t>
  </si>
  <si>
    <t>20/Jul/2016: Population update. Data source: Shalom
16/Jun/2016: Population update. Data source: mail by Shalom
14-Oct-15 Population update. Soruce; Hpakant Mission Report_WFP
19-Aug-15 Population update. Source: Shalom
25-Jun-15 (Population update. Source: Shalom)
Population update: Source: Camp Profile Round 2.
2-Apr-15 (Population update, Source: UNHCR CCCM Mission)</t>
  </si>
  <si>
    <t>20/Jul/2016: Population update. Data source: Shalom
16/Jun/2016: Population update. Data source: mail by Shalom
14-Oct-15 Population update. Soruce; Hpakant Mission Report_WFP
19-Aug-15 Population update. Source: Shalom
2-Apr-15 (Population update, Source: UNHCR CCCM Mission)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</si>
  <si>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updae. Source: Shalom
25-Jun-15 (Population update. Source : Shalom)
2-Apr-15 (Population update, Source: UNHCR CCCM Mission)
Update IDP population from Shalom data (Assistant CCCM Officer)</t>
  </si>
  <si>
    <t>20/Jul/2016: Population update. Data source: Shalom
16/Jun/2016: Population update. Data source: mail by Shalom
14-Oct-15 Population update. Soruce; Hpakant Mission Report_WFP
19-Aug-15 Population update. Source: Shalom
25-Jun-15 (Population update. Source: Shalom)
2-Apr-15 (Population update, Source: UNHCR CCCM Mission)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</si>
  <si>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</si>
  <si>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20/Jul/2016: Population update. Data source: Shalom
16/Jun/2016: Population update. Data source: mail by Shalom
9/Nov/15. Population update. Data source: monthly report by HAP.
14-Oct-15 Population update. Soruce; Hpakant Mission Report_WFP
25-Jun-15 (Population update. Source: Shalom)
18-May-15 (Population update from field mission)
2-Apr-15 (Population update, Source: UNHCR CCCM Mission)
Population update: Source: Camp Profile Round 2.</t>
  </si>
  <si>
    <t>20/Jul/2016: Population update. Data source: Shalom
16/Jun/2016: Population update. Data source: mail by Shalom
16/Jun/2016. Population update. Data source: monthly report from KMSS_MYT
10 May 2016. Population update: Data source_Shalom
28/Jan/2016. (New added camp) Population update. Data source: KBC (mail by maran)
9/Nov/15. Population update. Data source: monthly report by HAP.
19-Aug-15 Population update. Source: Shalom
25-Jun-15 (Population update. Source: Shalom)
2-Apr-15 (Population update, Source: UNHCR CCCM Mission)
Population update: Source: Camp Profile Round 2.</t>
  </si>
  <si>
    <t>20/Jul/2016: Population update. Data source: Shalom
16/Jun/2016: Population update. Data source: mail by Shalom
19-Aug-15 Population update. Source: Shalom
25-Jun-15 (Population update. Source : Shalom)
2-Apr-15 (Population update, Source: UNHCR CCCM Mission)
Population update: Source: Camp Profile Round 2.</t>
  </si>
  <si>
    <t>20/Jul/2016: Population update. Data source: Shalom
16/Jun/2016: Population update. Data source: mail by Shalom
19-Aug-15 Population update. Source: Shalom
25-Jun-15 (Population update. Source : Shalom)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</si>
  <si>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Update population. Source: Camp Profile.</t>
  </si>
  <si>
    <t>20/Jul/2016: Population update. Data source: Shalom
16/Jun/2016: Population update. Data source: mail by Shalom
10 May 2016. Population update: Data source_Shalom
28/Jan/2016. Population update. Data source: KBC (mail by maran)
9/Nov/15. Population Upate. Data source: monthly report by HAP.
19-Aug-15 Population update. Source: Shalom
25-Jun-15 Population update. Source : Shalom.
Population update: Source: Camp Profile Round 2.</t>
  </si>
  <si>
    <t>20/Jul/2016: Population update. Data source: Shalom
16/Jun/2016: Population update. Data source: mail by Shalom
10 May 2016. Population update: Data source_Shalom
28/Jan/2016. Population update. Data source: KBC (mail by maran)
25-Jun-15 Population update. Source : Shalom.
Population update: Source: Camp Profile Round 2.</t>
  </si>
  <si>
    <t>20/Jul/2016: Population update. Data source: Shalom
16/Jun/2016: Population update. Data source: mail by Shalom
25-Jun-15 (Population update. Source : Shalom)
Population update: Source: Camp Profile Round 2.</t>
  </si>
  <si>
    <t>20/Jul/2016: Population update. Data source: Shalom
16/Jun/2016: Population update. Data source: mail by Shalom
9/Nov/15. Population update. Data source: monthly report by HAP.
19-Aug-15 Population update. Source Shalom.
25-Jun-15 Population update. Source Shalom
Population update: Source: Camp Profile Round 2.</t>
  </si>
  <si>
    <t>20/Jul/2016: Population update. Data source: Shalom
16/Jun/2016: Population update. Data source: mail by Shalom
9/Nov/15. Population update. Data source: monthly report by HAP.
14-Oct-15 Population update. Soruce; Hpakant Mission Report_WFP
25-Jun-15 (Population update. Source Shalom)
2-Apr-15 (Population update, Source: UNHCR CCCM Mission)
Population update: Source: Camp Profile Round 2.</t>
  </si>
  <si>
    <t>20/Jul/2016: Population update. Data source: Shalom
16/Jun/2016: Population update. Data source: mail by Shalom
10 May 2016. Population update: Data source_Shalom
28/Jan/2016. Population update. Data source: KBC (mail by maran)
19-Aug-15 Population update. Source: Shalom.
Update population. Source: Camp Profile.</t>
  </si>
  <si>
    <t>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 Shalom.</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</si>
  <si>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</si>
  <si>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20/Jul/2016: Population update. Data source: Shalom
16/Jun/2016: Population update. Data source: mail by Shalom
14-Oct-15 Population update. Soruce; Hpakant Mission Report_WFP
19-Aug-15 Population updae. Source: Shalom.
25-Jun-15 (Population update. Source Shalom)
Population update: Source: Camp Profile Round 2.</t>
  </si>
  <si>
    <t>20/Jul/2016: Population update. Data source: Shalom
16/Jun/2016: Population update. Data source: mail by Shalom
10 May 2016. Population update: Data source_Shalom
28/Jan/2016. Population update. Data source: KBC (mail by maran)
19-Aug-15 Population update. Source Shalom.
25-Jun-15 Population update. Source Shalom.
Population update: Source: Camp Profile Round 2.</t>
  </si>
  <si>
    <t>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</si>
  <si>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20/Jul/2016: Population update. Data source: Shalom
27/June/2016: GPS point changes. Data source:WFP
16/Jun/2016: Population update. Data source: mail by Shalom
10 May 2016. Population update: Data source_Shalom
28/Jan/2016. Population update. Data source: KBC (mail by maran)
9/Nov/15. Population update. Data source: monthly report by HAP.
19-Aug-15 Update population. Source: Shalom
25-Jun-15 Population update. Source : Shalom.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</si>
  <si>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19-Aug-15 Update Population. Source: Shalom.
25-Jun-2015 Update population. Source : Shalom.
Population update: Source: Camp Profile Round 2.</t>
  </si>
  <si>
    <t>20/Jul/2016: Population update. Data source: Shalom
16/Jun/2016: Population update. Data source: mail by Shalom
10 May 2016. Population update: Data source_Shalom
28/Jan/2016. Population update. Data source: KBC (mail by maran)
9/Nov/15. Population update. Data source: monthly report by HAP
25-Jun-15 Population update. Source : Shalom.
Population update: Source: Camp Profile Round 2.</t>
  </si>
  <si>
    <t>20/Jul/2016: Population update. Data source: Shalom
16/Jun/2016: Population update. Data source: mail by Shalom
9/Nov/15. Population update. Data source: monthly report by HAP.
19-Aug-15 Update population. Data Source: Shalom.
25-Jun-2015 Update population. Data Source: KBC
Population update: Source: Camp Profile Round 2.</t>
  </si>
  <si>
    <r>
      <t xml:space="preserve">16/Feb/2016. </t>
    </r>
    <r>
      <rPr>
        <b/>
        <sz val="11"/>
        <rFont val="Calibri"/>
        <family val="2"/>
        <scheme val="minor"/>
      </rPr>
      <t>some hh as they  join Nhkawng Pa camp which is closer to their village of origin</t>
    </r>
    <r>
      <rPr>
        <sz val="11"/>
        <rFont val="Calibri"/>
        <family val="2"/>
        <scheme val="minor"/>
      </rPr>
      <t xml:space="preserve">
28/Jan/2016. Population update. Data source: KBC (mail by maran)
19-Aug-2015. Population Update. Data Source; KMSS-BMO
Population update: Source: Camp Profile Round 2.</t>
    </r>
  </si>
  <si>
    <r>
      <t xml:space="preserve">16/Feb/2016. </t>
    </r>
    <r>
      <rPr>
        <b/>
        <sz val="11"/>
        <rFont val="Calibri"/>
        <family val="2"/>
        <scheme val="minor"/>
      </rPr>
      <t>spontenous return to villages near Manwin Gyi</t>
    </r>
    <r>
      <rPr>
        <sz val="11"/>
        <rFont val="Calibri"/>
        <family val="2"/>
        <scheme val="minor"/>
      </rPr>
      <t xml:space="preserve">
28/Jan/2016. Population update. Data source: KBC (mail by maran)
19-Aug-2015. Update Population. Data Source; KMSS-BMO
Population Update. Source: KMSS-BMO</t>
    </r>
  </si>
  <si>
    <t>MMR015CMP220</t>
  </si>
  <si>
    <t>MMR015CMP221</t>
  </si>
  <si>
    <t>MMR015CMP222</t>
  </si>
  <si>
    <t>MMR015CMP223</t>
  </si>
  <si>
    <t>MMR015CMP224</t>
  </si>
  <si>
    <t>MMR015CMP225</t>
  </si>
  <si>
    <t>MMR015CMP226</t>
  </si>
  <si>
    <t>MMR015CMP227</t>
  </si>
  <si>
    <t>Mai Yu Lay Ta'ang</t>
  </si>
  <si>
    <t>Mong Wee Ta'ang</t>
  </si>
  <si>
    <t>Mong Wee Shan</t>
  </si>
  <si>
    <t>Nam Hpak Ka Ta'ang</t>
  </si>
  <si>
    <t>25/Jul/2016: Added as new camp according to KBC data. Data was given by Jade</t>
  </si>
  <si>
    <t>MMR001CMP241</t>
  </si>
  <si>
    <t>Wara Zup KBC Church</t>
  </si>
  <si>
    <t>MMR001CMP242</t>
  </si>
  <si>
    <t>MMR001004</t>
  </si>
  <si>
    <t>Tanai</t>
  </si>
  <si>
    <t>Tanai Total</t>
  </si>
  <si>
    <t>Pan Ta Pyae</t>
  </si>
  <si>
    <t>MMR015015011</t>
  </si>
  <si>
    <t>Pang Tha Pyay</t>
  </si>
  <si>
    <t>Man Sa</t>
  </si>
  <si>
    <t>Mong Wee</t>
  </si>
  <si>
    <t>MMR015010036</t>
  </si>
  <si>
    <t>Tsan Lun - Namjarap</t>
  </si>
  <si>
    <t>Kawng Wein</t>
  </si>
  <si>
    <t>206395</t>
  </si>
  <si>
    <t>MMR015002026</t>
  </si>
  <si>
    <t xml:space="preserve">Mung Hawm </t>
  </si>
  <si>
    <t>Mung Hawm</t>
  </si>
  <si>
    <t xml:space="preserve">Htoi San Yang </t>
  </si>
  <si>
    <t>Chan Myae monastery</t>
  </si>
  <si>
    <t>Kapaung</t>
  </si>
  <si>
    <t>Lot Aung</t>
  </si>
  <si>
    <t>Pan Dang</t>
  </si>
  <si>
    <t>Pan Hkawn</t>
  </si>
  <si>
    <t>Thai Ra Yan</t>
  </si>
  <si>
    <t>Tarli camp</t>
  </si>
  <si>
    <t>Edin</t>
  </si>
  <si>
    <t>Loi Je B.E.H.S</t>
  </si>
  <si>
    <t>Maing Khaung KBC</t>
  </si>
  <si>
    <t xml:space="preserve">Bhamo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</si>
</sst>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 #,##0_-;_-* &quot;-&quot;??_-;_-@_-"/>
    <numFmt numFmtId="166" formatCode="[$-409]d/mmm/yyyy;@"/>
    <numFmt numFmtId="167" formatCode="[$-409]dd\-mmm\-yy;@"/>
    <numFmt numFmtId="168" formatCode="_(* #,##0_);_(* \(#,##0\);_(* &quot;-&quot;??_);_(@_)"/>
    <numFmt numFmtId="169" formatCode="dd\-mmm\-yyyy"/>
    <numFmt numFmtId="170" formatCode="0.0%"/>
    <numFmt numFmtId="171" formatCode="0.0"/>
    <numFmt numFmtId="172" formatCode="0.00000"/>
  </numFmts>
  <fonts count="69"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sz val="14"/>
      <color theme="0"/>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1"/>
      <name val="Calibri"/>
      <family val="2"/>
    </font>
    <font>
      <b/>
      <sz val="16"/>
      <color indexed="8"/>
      <name val="Calibri"/>
      <family val="2"/>
    </font>
    <font>
      <sz val="10"/>
      <name val="MS Sans Serif"/>
      <family val="2"/>
    </font>
    <font>
      <b/>
      <sz val="24"/>
      <color theme="1"/>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sz val="11"/>
      <color theme="0" tint="-4.9989318521683403E-2"/>
      <name val="Calibri"/>
      <family val="2"/>
      <scheme val="minor"/>
    </font>
    <font>
      <sz val="9"/>
      <color theme="1"/>
      <name val="Calibri"/>
      <family val="2"/>
      <scheme val="minor"/>
    </font>
    <font>
      <sz val="10"/>
      <name val="Arial"/>
      <family val="2"/>
    </font>
    <font>
      <sz val="10"/>
      <name val="Calibri"/>
      <family val="2"/>
      <scheme val="minor"/>
    </font>
    <font>
      <b/>
      <sz val="9"/>
      <color theme="1"/>
      <name val="Calibri"/>
      <family val="2"/>
      <scheme val="minor"/>
    </font>
    <font>
      <sz val="9"/>
      <name val="Calibri"/>
      <family val="2"/>
      <scheme val="minor"/>
    </font>
    <font>
      <b/>
      <sz val="20"/>
      <name val="Calibri"/>
      <family val="2"/>
      <scheme val="minor"/>
    </font>
    <font>
      <b/>
      <sz val="26"/>
      <name val="Calibri"/>
      <family val="2"/>
      <scheme val="minor"/>
    </font>
    <font>
      <sz val="8"/>
      <color rgb="FF000000"/>
      <name val="Tahoma"/>
      <family val="2"/>
    </font>
    <font>
      <b/>
      <sz val="16"/>
      <name val="Calibri"/>
      <family val="2"/>
      <scheme val="minor"/>
    </font>
    <font>
      <b/>
      <sz val="9"/>
      <color indexed="9"/>
      <name val="Calibri"/>
      <family val="2"/>
    </font>
    <font>
      <sz val="9"/>
      <name val="Calibri"/>
      <family val="2"/>
    </font>
    <font>
      <sz val="11"/>
      <color theme="2"/>
      <name val="Calibri"/>
      <family val="2"/>
      <scheme val="minor"/>
    </font>
    <font>
      <b/>
      <sz val="18"/>
      <color rgb="FF000000"/>
      <name val="Calibri"/>
      <family val="2"/>
      <scheme val="minor"/>
    </font>
    <font>
      <b/>
      <sz val="10"/>
      <color theme="8" tint="0.79998168889431442"/>
      <name val="Calibri"/>
      <family val="2"/>
      <scheme val="minor"/>
    </font>
    <font>
      <sz val="10"/>
      <color rgb="FFFF0000"/>
      <name val="Calibri"/>
      <family val="2"/>
      <scheme val="minor"/>
    </font>
    <font>
      <b/>
      <sz val="9"/>
      <color theme="0"/>
      <name val="Calibri"/>
      <family val="2"/>
      <scheme val="minor"/>
    </font>
    <font>
      <sz val="8"/>
      <color theme="0"/>
      <name val="Calibri"/>
      <family val="2"/>
      <scheme val="minor"/>
    </font>
    <font>
      <b/>
      <sz val="22"/>
      <name val="Calibri"/>
      <family val="2"/>
      <scheme val="minor"/>
    </font>
    <font>
      <sz val="22"/>
      <color theme="1"/>
      <name val="Calibri"/>
      <family val="2"/>
      <scheme val="minor"/>
    </font>
    <font>
      <sz val="22"/>
      <name val="Calibri"/>
      <family val="2"/>
      <scheme val="minor"/>
    </font>
    <font>
      <b/>
      <sz val="10"/>
      <name val="Arial"/>
      <family val="2"/>
    </font>
    <font>
      <sz val="11"/>
      <color indexed="8"/>
      <name val="Calibri"/>
      <family val="2"/>
      <scheme val="minor"/>
    </font>
    <font>
      <b/>
      <sz val="16"/>
      <color theme="1"/>
      <name val="Calibri"/>
      <family val="2"/>
      <scheme val="minor"/>
    </font>
    <font>
      <sz val="16"/>
      <color theme="1"/>
      <name val="Calibri"/>
      <family val="2"/>
      <scheme val="minor"/>
    </font>
    <font>
      <sz val="16"/>
      <color rgb="FF000000"/>
      <name val="Calibri"/>
      <family val="2"/>
    </font>
    <font>
      <b/>
      <sz val="16"/>
      <name val="Calibri"/>
      <family val="2"/>
    </font>
    <font>
      <b/>
      <sz val="18"/>
      <name val="Calibri"/>
      <family val="2"/>
      <scheme val="minor"/>
    </font>
    <font>
      <b/>
      <sz val="8"/>
      <name val="Calibri"/>
      <family val="2"/>
    </font>
    <font>
      <b/>
      <sz val="8"/>
      <color indexed="9"/>
      <name val="Calibri"/>
      <family val="2"/>
    </font>
    <font>
      <b/>
      <sz val="8"/>
      <color indexed="8"/>
      <name val="Calibri"/>
      <family val="2"/>
    </font>
    <font>
      <sz val="8"/>
      <color indexed="8"/>
      <name val="Calibri"/>
      <family val="2"/>
    </font>
    <font>
      <sz val="8"/>
      <name val="Calibri"/>
      <family val="2"/>
    </font>
    <font>
      <b/>
      <sz val="11"/>
      <color rgb="FF000000"/>
      <name val="Calibri"/>
      <family val="2"/>
      <scheme val="minor"/>
    </font>
    <font>
      <sz val="11"/>
      <color theme="0"/>
      <name val="Calibri"/>
      <family val="2"/>
      <scheme val="minor"/>
    </font>
    <font>
      <b/>
      <sz val="14"/>
      <name val="Calibri"/>
      <family val="2"/>
      <scheme val="minor"/>
    </font>
    <font>
      <i/>
      <sz val="10"/>
      <name val="Calibri"/>
      <family val="2"/>
      <scheme val="minor"/>
    </font>
    <font>
      <sz val="11"/>
      <name val="Calibri"/>
      <family val="2"/>
      <scheme val="minor"/>
    </font>
    <font>
      <sz val="11"/>
      <color theme="1"/>
      <name val="Calibri"/>
      <family val="2"/>
      <scheme val="minor"/>
    </font>
    <font>
      <sz val="12"/>
      <name val="Calibri"/>
      <family val="2"/>
      <scheme val="minor"/>
    </font>
    <font>
      <sz val="11"/>
      <color theme="1"/>
      <name val="Calibri"/>
      <family val="2"/>
      <scheme val="minor"/>
    </font>
    <font>
      <sz val="11"/>
      <name val="Calibri"/>
      <family val="2"/>
      <scheme val="minor"/>
    </font>
    <font>
      <sz val="11"/>
      <name val="Zawgyi-One"/>
      <family val="2"/>
    </font>
  </fonts>
  <fills count="4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16"/>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0" tint="-0.249977111117893"/>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bgColor theme="5"/>
      </patternFill>
    </fill>
    <fill>
      <patternFill patternType="solid">
        <fgColor rgb="FFDCE6F1"/>
        <bgColor indexed="64"/>
      </patternFill>
    </fill>
    <fill>
      <patternFill patternType="solid">
        <fgColor theme="0" tint="-0.14999847407452621"/>
        <bgColor indexed="64"/>
      </patternFill>
    </fill>
    <fill>
      <patternFill patternType="solid">
        <fgColor rgb="FFFD2361"/>
        <bgColor indexed="64"/>
      </patternFill>
    </fill>
    <fill>
      <patternFill patternType="solid">
        <fgColor rgb="FFFFFFFF"/>
        <bgColor indexed="64"/>
      </patternFill>
    </fill>
    <fill>
      <patternFill patternType="solid">
        <fgColor theme="0"/>
        <bgColor theme="4" tint="0.79998168889431442"/>
      </patternFill>
    </fill>
    <fill>
      <patternFill patternType="solid">
        <fgColor theme="6"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theme="4"/>
      </left>
      <right/>
      <top/>
      <bottom/>
      <diagonal/>
    </border>
    <border>
      <left/>
      <right style="medium">
        <color theme="4"/>
      </right>
      <top/>
      <bottom/>
      <diagonal/>
    </border>
    <border>
      <left style="medium">
        <color theme="4"/>
      </left>
      <right/>
      <top style="medium">
        <color theme="4"/>
      </top>
      <bottom style="thin">
        <color theme="4" tint="0.39997558519241921"/>
      </bottom>
      <diagonal/>
    </border>
    <border>
      <left/>
      <right/>
      <top style="medium">
        <color theme="4"/>
      </top>
      <bottom style="thin">
        <color theme="4" tint="0.39997558519241921"/>
      </bottom>
      <diagonal/>
    </border>
    <border>
      <left/>
      <right style="medium">
        <color theme="4"/>
      </right>
      <top style="medium">
        <color theme="4"/>
      </top>
      <bottom style="thin">
        <color theme="4" tint="0.39997558519241921"/>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medium">
        <color theme="4"/>
      </right>
      <top style="thin">
        <color theme="4" tint="0.39997558519241921"/>
      </top>
      <bottom style="medium">
        <color theme="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0">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7"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3" fillId="14" borderId="7" applyNumberFormat="0" applyAlignment="0" applyProtection="0"/>
    <xf numFmtId="43" fontId="21" fillId="0" borderId="0" applyFont="0" applyFill="0" applyBorder="0" applyAlignment="0" applyProtection="0"/>
    <xf numFmtId="0" fontId="28" fillId="0" borderId="0"/>
    <xf numFmtId="0" fontId="1" fillId="0" borderId="0"/>
    <xf numFmtId="167" fontId="2" fillId="0" borderId="0"/>
    <xf numFmtId="0" fontId="1"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886">
    <xf numFmtId="0" fontId="0" fillId="0" borderId="0" xfId="0"/>
    <xf numFmtId="0" fontId="0" fillId="0" borderId="0" xfId="0" applyBorder="1"/>
    <xf numFmtId="0" fontId="5" fillId="0" borderId="0" xfId="0" applyFont="1"/>
    <xf numFmtId="0" fontId="0" fillId="0" borderId="0" xfId="0" applyNumberFormat="1"/>
    <xf numFmtId="0" fontId="0" fillId="0" borderId="0" xfId="0" applyFill="1"/>
    <xf numFmtId="0" fontId="0" fillId="10" borderId="0" xfId="0" applyFill="1"/>
    <xf numFmtId="0" fontId="12" fillId="11" borderId="1" xfId="0" applyFont="1" applyFill="1" applyBorder="1" applyAlignment="1">
      <alignment horizontal="center" vertical="center" wrapText="1"/>
    </xf>
    <xf numFmtId="0" fontId="0" fillId="0" borderId="6" xfId="0" applyBorder="1"/>
    <xf numFmtId="0" fontId="0" fillId="0" borderId="6" xfId="0" quotePrefix="1" applyBorder="1"/>
    <xf numFmtId="0" fontId="3" fillId="11" borderId="1" xfId="0" applyFont="1" applyFill="1" applyBorder="1"/>
    <xf numFmtId="0" fontId="0" fillId="15" borderId="0" xfId="0" applyFill="1"/>
    <xf numFmtId="0" fontId="0" fillId="0" borderId="0" xfId="0" applyAlignment="1">
      <alignment horizontal="center"/>
    </xf>
    <xf numFmtId="0" fontId="12" fillId="7" borderId="1" xfId="0" applyFont="1" applyFill="1" applyBorder="1" applyAlignment="1">
      <alignment horizontal="center" vertical="center" wrapText="1"/>
    </xf>
    <xf numFmtId="0" fontId="0" fillId="7" borderId="6" xfId="0" quotePrefix="1" applyFill="1" applyBorder="1"/>
    <xf numFmtId="0" fontId="3" fillId="7" borderId="1" xfId="0" applyFont="1" applyFill="1" applyBorder="1"/>
    <xf numFmtId="0" fontId="0" fillId="7" borderId="6" xfId="0" applyFill="1" applyBorder="1"/>
    <xf numFmtId="0" fontId="3" fillId="0" borderId="0" xfId="0" applyFont="1"/>
    <xf numFmtId="0" fontId="0" fillId="0" borderId="0" xfId="0" applyFill="1" applyBorder="1"/>
    <xf numFmtId="0" fontId="13" fillId="0" borderId="0" xfId="9" applyFill="1" applyBorder="1" applyAlignment="1">
      <alignment horizontal="center"/>
    </xf>
    <xf numFmtId="0" fontId="0" fillId="0" borderId="1" xfId="0" applyFill="1" applyBorder="1"/>
    <xf numFmtId="3" fontId="15" fillId="0" borderId="0" xfId="9" applyNumberFormat="1" applyFont="1" applyFill="1" applyBorder="1" applyAlignment="1">
      <alignment horizontal="center"/>
    </xf>
    <xf numFmtId="0" fontId="0" fillId="0" borderId="0" xfId="0" applyAlignment="1">
      <alignment horizontal="left"/>
    </xf>
    <xf numFmtId="0" fontId="11" fillId="0" borderId="0" xfId="9" applyFont="1" applyFill="1" applyBorder="1" applyAlignment="1">
      <alignment horizontal="center"/>
    </xf>
    <xf numFmtId="0" fontId="11" fillId="0" borderId="0" xfId="9" applyFont="1" applyFill="1" applyBorder="1" applyAlignment="1">
      <alignment horizontal="left"/>
    </xf>
    <xf numFmtId="165" fontId="0" fillId="0" borderId="0" xfId="7" applyNumberFormat="1" applyFont="1"/>
    <xf numFmtId="0" fontId="0" fillId="0" borderId="1" xfId="0" applyBorder="1"/>
    <xf numFmtId="9" fontId="0" fillId="0" borderId="1" xfId="8" applyFont="1"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1" fontId="0" fillId="0" borderId="0" xfId="0" applyNumberFormat="1"/>
    <xf numFmtId="1" fontId="3" fillId="7" borderId="1" xfId="0" applyNumberFormat="1" applyFont="1" applyFill="1" applyBorder="1"/>
    <xf numFmtId="0" fontId="0" fillId="0" borderId="0" xfId="0"/>
    <xf numFmtId="0" fontId="0" fillId="21" borderId="0" xfId="0" applyFill="1"/>
    <xf numFmtId="0" fontId="0" fillId="10" borderId="0" xfId="0" applyFill="1" applyBorder="1"/>
    <xf numFmtId="0" fontId="0" fillId="0" borderId="0" xfId="0"/>
    <xf numFmtId="0" fontId="0" fillId="0" borderId="0" xfId="0"/>
    <xf numFmtId="0" fontId="0" fillId="0" borderId="0" xfId="0" applyAlignment="1">
      <alignment textRotation="90"/>
    </xf>
    <xf numFmtId="0" fontId="8" fillId="0" borderId="0" xfId="6" applyFont="1" applyFill="1" applyBorder="1" applyAlignment="1">
      <alignment horizontal="center" vertical="center"/>
    </xf>
    <xf numFmtId="0" fontId="0" fillId="0" borderId="0" xfId="0" applyNumberFormat="1" applyBorder="1"/>
    <xf numFmtId="0" fontId="11" fillId="0" borderId="0" xfId="0" applyFont="1"/>
    <xf numFmtId="0" fontId="0" fillId="0" borderId="15" xfId="0" applyBorder="1"/>
    <xf numFmtId="0" fontId="0" fillId="0" borderId="16" xfId="0" applyBorder="1"/>
    <xf numFmtId="0" fontId="0" fillId="0" borderId="0" xfId="0"/>
    <xf numFmtId="0" fontId="0" fillId="0" borderId="0" xfId="0"/>
    <xf numFmtId="165" fontId="0" fillId="0" borderId="1" xfId="7" applyNumberFormat="1" applyFont="1" applyBorder="1"/>
    <xf numFmtId="165" fontId="0" fillId="0" borderId="0" xfId="0" applyNumberFormat="1"/>
    <xf numFmtId="0" fontId="22" fillId="13" borderId="0" xfId="0" applyFont="1" applyFill="1"/>
    <xf numFmtId="0" fontId="0" fillId="13" borderId="0" xfId="0" applyFill="1"/>
    <xf numFmtId="0" fontId="23" fillId="13" borderId="0" xfId="0" applyFont="1" applyFill="1"/>
    <xf numFmtId="0" fontId="9" fillId="11" borderId="0" xfId="6" applyFont="1" applyFill="1" applyBorder="1" applyAlignment="1">
      <alignment vertical="center"/>
    </xf>
    <xf numFmtId="0" fontId="5" fillId="0" borderId="0" xfId="0" applyFont="1" applyBorder="1"/>
    <xf numFmtId="0" fontId="5" fillId="0" borderId="0" xfId="0" applyFont="1" applyFill="1" applyBorder="1"/>
    <xf numFmtId="0" fontId="25" fillId="0" borderId="0" xfId="6" applyFont="1" applyFill="1" applyBorder="1" applyAlignment="1">
      <alignment horizontal="left" vertical="center"/>
    </xf>
    <xf numFmtId="0" fontId="7" fillId="17" borderId="1" xfId="6" applyFill="1" applyBorder="1" applyAlignment="1">
      <alignment horizontal="center"/>
    </xf>
    <xf numFmtId="0" fontId="26" fillId="18" borderId="0" xfId="0" applyFont="1" applyFill="1"/>
    <xf numFmtId="17" fontId="0" fillId="10" borderId="0" xfId="0" applyNumberFormat="1" applyFill="1"/>
    <xf numFmtId="0" fontId="0" fillId="0" borderId="0" xfId="0"/>
    <xf numFmtId="9" fontId="0" fillId="0" borderId="0" xfId="0" applyNumberFormat="1" applyFill="1" applyBorder="1"/>
    <xf numFmtId="9" fontId="0" fillId="0" borderId="0" xfId="8" applyFont="1" applyFill="1" applyBorder="1"/>
    <xf numFmtId="0" fontId="0" fillId="0" borderId="0" xfId="0"/>
    <xf numFmtId="0" fontId="0" fillId="0" borderId="0" xfId="0" applyFont="1" applyFill="1" applyBorder="1"/>
    <xf numFmtId="9" fontId="27" fillId="0" borderId="0" xfId="8" applyNumberFormat="1" applyFont="1" applyFill="1"/>
    <xf numFmtId="0" fontId="4" fillId="0" borderId="0" xfId="0" applyFont="1" applyFill="1" applyBorder="1"/>
    <xf numFmtId="2" fontId="4" fillId="0" borderId="0" xfId="0" applyNumberFormat="1" applyFont="1" applyFill="1" applyBorder="1"/>
    <xf numFmtId="165" fontId="4" fillId="0" borderId="0" xfId="0" applyNumberFormat="1" applyFont="1" applyFill="1" applyBorder="1"/>
    <xf numFmtId="0" fontId="4" fillId="0" borderId="0" xfId="0" applyNumberFormat="1" applyFont="1" applyFill="1" applyBorder="1"/>
    <xf numFmtId="9" fontId="4" fillId="0" borderId="0" xfId="0" applyNumberFormat="1" applyFont="1" applyFill="1" applyBorder="1"/>
    <xf numFmtId="9" fontId="0" fillId="0" borderId="0" xfId="0" applyNumberFormat="1" applyFont="1" applyFill="1" applyBorder="1"/>
    <xf numFmtId="0" fontId="3" fillId="0" borderId="0" xfId="0" applyNumberFormat="1" applyFont="1" applyFill="1" applyBorder="1"/>
    <xf numFmtId="1" fontId="3" fillId="0" borderId="0" xfId="0" applyNumberFormat="1" applyFont="1" applyFill="1" applyBorder="1"/>
    <xf numFmtId="165" fontId="27" fillId="0" borderId="1" xfId="7" applyNumberFormat="1" applyFont="1" applyBorder="1"/>
    <xf numFmtId="0" fontId="0" fillId="0" borderId="0" xfId="0"/>
    <xf numFmtId="0" fontId="27" fillId="13" borderId="1" xfId="0" applyFont="1" applyFill="1" applyBorder="1" applyAlignment="1"/>
    <xf numFmtId="165" fontId="27" fillId="0" borderId="1" xfId="7" applyNumberFormat="1" applyFont="1" applyFill="1" applyBorder="1" applyAlignment="1"/>
    <xf numFmtId="0" fontId="33" fillId="11" borderId="0" xfId="6" applyFont="1" applyFill="1" applyBorder="1" applyAlignment="1">
      <alignment vertical="center"/>
    </xf>
    <xf numFmtId="0" fontId="9" fillId="10" borderId="0" xfId="6" applyFont="1" applyFill="1" applyBorder="1" applyAlignment="1">
      <alignment vertical="center"/>
    </xf>
    <xf numFmtId="9" fontId="37" fillId="27" borderId="1" xfId="8" applyFont="1" applyFill="1" applyBorder="1"/>
    <xf numFmtId="165" fontId="37" fillId="0" borderId="1" xfId="10" applyNumberFormat="1" applyFont="1" applyBorder="1"/>
    <xf numFmtId="165" fontId="37" fillId="0" borderId="1" xfId="0" applyNumberFormat="1" applyFont="1" applyBorder="1"/>
    <xf numFmtId="9" fontId="37" fillId="26" borderId="1" xfId="8" applyFont="1" applyFill="1" applyBorder="1"/>
    <xf numFmtId="0" fontId="38" fillId="18" borderId="0" xfId="0" applyFont="1" applyFill="1"/>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34" xfId="0" quotePrefix="1" applyBorder="1"/>
    <xf numFmtId="0" fontId="3" fillId="11" borderId="3" xfId="0" applyFont="1" applyFill="1" applyBorder="1"/>
    <xf numFmtId="0" fontId="12" fillId="11" borderId="37"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0" fillId="0" borderId="38" xfId="0" applyBorder="1"/>
    <xf numFmtId="0" fontId="3" fillId="11" borderId="32" xfId="0" applyFont="1" applyFill="1" applyBorder="1"/>
    <xf numFmtId="0" fontId="3" fillId="11" borderId="21" xfId="0" applyFont="1" applyFill="1" applyBorder="1"/>
    <xf numFmtId="0" fontId="3" fillId="11" borderId="22" xfId="0" applyFont="1" applyFill="1" applyBorder="1"/>
    <xf numFmtId="9" fontId="0" fillId="0" borderId="0" xfId="0" applyNumberFormat="1"/>
    <xf numFmtId="0" fontId="12" fillId="11" borderId="0" xfId="6"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29" fillId="0" borderId="0" xfId="6" applyFont="1" applyFill="1" applyBorder="1" applyAlignment="1">
      <alignment horizontal="center" vertical="center"/>
    </xf>
    <xf numFmtId="0" fontId="41" fillId="0" borderId="0" xfId="0" applyFont="1" applyFill="1" applyBorder="1" applyAlignment="1">
      <alignment horizontal="center" vertical="center"/>
    </xf>
    <xf numFmtId="0" fontId="4" fillId="28" borderId="0" xfId="0" applyFont="1" applyFill="1" applyAlignment="1">
      <alignment horizontal="center" vertical="center"/>
    </xf>
    <xf numFmtId="0" fontId="0" fillId="0" borderId="0" xfId="0"/>
    <xf numFmtId="165" fontId="31" fillId="0" borderId="1" xfId="7" applyNumberFormat="1" applyFont="1" applyBorder="1"/>
    <xf numFmtId="165" fontId="27" fillId="0" borderId="0" xfId="7" applyNumberFormat="1" applyFont="1" applyFill="1" applyBorder="1"/>
    <xf numFmtId="0" fontId="27" fillId="35" borderId="1" xfId="0" applyFont="1" applyFill="1" applyBorder="1" applyAlignment="1">
      <alignment vertical="center" wrapText="1"/>
    </xf>
    <xf numFmtId="0" fontId="27" fillId="39" borderId="1" xfId="0" applyFont="1" applyFill="1" applyBorder="1" applyAlignment="1">
      <alignment vertical="center" wrapText="1"/>
    </xf>
    <xf numFmtId="0" fontId="27" fillId="38" borderId="1" xfId="0" applyFont="1" applyFill="1" applyBorder="1" applyAlignment="1">
      <alignment vertical="center" wrapText="1"/>
    </xf>
    <xf numFmtId="0" fontId="27" fillId="37" borderId="1" xfId="0" applyFont="1" applyFill="1" applyBorder="1" applyAlignment="1">
      <alignment vertical="center" wrapText="1"/>
    </xf>
    <xf numFmtId="0" fontId="27" fillId="0" borderId="0" xfId="0" applyFont="1" applyFill="1" applyBorder="1"/>
    <xf numFmtId="165" fontId="27" fillId="0" borderId="5" xfId="7" applyNumberFormat="1" applyFont="1" applyBorder="1"/>
    <xf numFmtId="0" fontId="42" fillId="40" borderId="18" xfId="0" applyFont="1" applyFill="1" applyBorder="1"/>
    <xf numFmtId="0" fontId="42" fillId="40" borderId="5" xfId="0" applyFont="1" applyFill="1" applyBorder="1"/>
    <xf numFmtId="0" fontId="27" fillId="0" borderId="18" xfId="0" applyFont="1" applyBorder="1"/>
    <xf numFmtId="165" fontId="31" fillId="0" borderId="18" xfId="7" applyNumberFormat="1" applyFont="1" applyBorder="1"/>
    <xf numFmtId="0" fontId="30" fillId="0" borderId="2" xfId="0" applyFont="1" applyBorder="1"/>
    <xf numFmtId="165" fontId="31" fillId="0" borderId="2" xfId="7" applyNumberFormat="1" applyFont="1" applyBorder="1"/>
    <xf numFmtId="0" fontId="43" fillId="36" borderId="1" xfId="0" applyFont="1" applyFill="1" applyBorder="1" applyAlignment="1">
      <alignment vertical="center" wrapText="1"/>
    </xf>
    <xf numFmtId="0" fontId="45" fillId="0" borderId="0" xfId="0" applyFont="1" applyFill="1" applyBorder="1"/>
    <xf numFmtId="0" fontId="0" fillId="0" borderId="0" xfId="0"/>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5" fillId="0" borderId="0" xfId="0" applyFont="1" applyAlignment="1">
      <alignment horizontal="right"/>
    </xf>
    <xf numFmtId="3" fontId="0" fillId="0" borderId="0" xfId="0" applyNumberFormat="1"/>
    <xf numFmtId="15" fontId="0" fillId="0" borderId="0" xfId="0" applyNumberFormat="1" applyAlignment="1">
      <alignment horizontal="left" vertical="center"/>
    </xf>
    <xf numFmtId="0" fontId="0" fillId="0" borderId="0" xfId="0" applyFill="1" applyBorder="1" applyAlignment="1">
      <alignment vertical="center"/>
    </xf>
    <xf numFmtId="0" fontId="47" fillId="0" borderId="0" xfId="0" applyFont="1" applyAlignment="1">
      <alignment wrapText="1"/>
    </xf>
    <xf numFmtId="0" fontId="28" fillId="0" borderId="0" xfId="0" applyFont="1" applyAlignment="1">
      <alignment wrapText="1"/>
    </xf>
    <xf numFmtId="0" fontId="0" fillId="0" borderId="0" xfId="0" applyAlignment="1">
      <alignment wrapText="1"/>
    </xf>
    <xf numFmtId="0" fontId="44" fillId="0" borderId="0" xfId="6" applyFont="1" applyFill="1" applyBorder="1" applyAlignment="1">
      <alignment vertical="center"/>
    </xf>
    <xf numFmtId="0" fontId="46" fillId="0" borderId="0" xfId="6" applyFont="1" applyFill="1" applyBorder="1" applyAlignment="1">
      <alignment horizontal="center" vertical="center"/>
    </xf>
    <xf numFmtId="9" fontId="37" fillId="27" borderId="1" xfId="8" applyFont="1" applyFill="1" applyBorder="1" applyAlignment="1">
      <alignment horizontal="center" vertical="top"/>
    </xf>
    <xf numFmtId="0" fontId="36" fillId="26" borderId="1" xfId="0" applyFont="1" applyFill="1" applyBorder="1" applyAlignment="1">
      <alignment horizontal="center" vertical="top" wrapText="1"/>
    </xf>
    <xf numFmtId="0" fontId="11" fillId="0" borderId="1" xfId="0" applyNumberFormat="1" applyFont="1" applyFill="1" applyBorder="1"/>
    <xf numFmtId="0" fontId="11" fillId="0" borderId="1" xfId="0" applyFont="1" applyFill="1" applyBorder="1"/>
    <xf numFmtId="0" fontId="0" fillId="0" borderId="1" xfId="0" applyNumberFormat="1" applyFont="1" applyFill="1" applyBorder="1"/>
    <xf numFmtId="0" fontId="0" fillId="0" borderId="1" xfId="0" applyFont="1" applyFill="1" applyBorder="1"/>
    <xf numFmtId="0" fontId="0" fillId="0" borderId="0" xfId="0" applyAlignment="1">
      <alignment horizontal="center" vertical="center"/>
    </xf>
    <xf numFmtId="0" fontId="3" fillId="11" borderId="0" xfId="0" applyFont="1" applyFill="1" applyBorder="1"/>
    <xf numFmtId="0" fontId="49" fillId="31" borderId="29" xfId="0" applyFont="1" applyFill="1" applyBorder="1"/>
    <xf numFmtId="0" fontId="50" fillId="31" borderId="30" xfId="0" applyFont="1" applyFill="1" applyBorder="1"/>
    <xf numFmtId="0" fontId="49" fillId="31" borderId="27" xfId="0" applyFont="1" applyFill="1" applyBorder="1"/>
    <xf numFmtId="0" fontId="50" fillId="31" borderId="31" xfId="0" applyFont="1" applyFill="1" applyBorder="1"/>
    <xf numFmtId="0" fontId="50" fillId="0" borderId="0" xfId="0" applyFont="1" applyFill="1"/>
    <xf numFmtId="0" fontId="49" fillId="0" borderId="39" xfId="0" applyFont="1" applyFill="1" applyBorder="1"/>
    <xf numFmtId="0" fontId="49" fillId="0" borderId="11" xfId="0" applyFont="1" applyFill="1" applyBorder="1"/>
    <xf numFmtId="0" fontId="49" fillId="0" borderId="40" xfId="0" applyFont="1" applyFill="1" applyBorder="1"/>
    <xf numFmtId="0" fontId="49" fillId="0" borderId="4" xfId="0" applyFont="1" applyFill="1" applyBorder="1"/>
    <xf numFmtId="0" fontId="49" fillId="0" borderId="33" xfId="0" applyFont="1" applyFill="1" applyBorder="1"/>
    <xf numFmtId="0" fontId="49" fillId="0" borderId="41" xfId="0" applyFont="1" applyFill="1" applyBorder="1"/>
    <xf numFmtId="0" fontId="49" fillId="0" borderId="24" xfId="0" applyFont="1" applyFill="1" applyBorder="1"/>
    <xf numFmtId="0" fontId="49" fillId="0" borderId="23" xfId="0" applyFont="1" applyFill="1" applyBorder="1"/>
    <xf numFmtId="0" fontId="49" fillId="0" borderId="26" xfId="0" applyFont="1" applyFill="1" applyBorder="1"/>
    <xf numFmtId="0" fontId="50" fillId="29" borderId="0" xfId="0" applyFont="1" applyFill="1" applyBorder="1"/>
    <xf numFmtId="0" fontId="50" fillId="0" borderId="0" xfId="0" applyFont="1" applyFill="1" applyBorder="1"/>
    <xf numFmtId="165" fontId="50" fillId="0" borderId="0" xfId="7" applyNumberFormat="1" applyFont="1" applyFill="1" applyBorder="1"/>
    <xf numFmtId="0" fontId="50" fillId="0" borderId="0" xfId="0" applyNumberFormat="1" applyFont="1" applyFill="1" applyBorder="1"/>
    <xf numFmtId="9" fontId="50" fillId="0" borderId="0" xfId="8" applyFont="1" applyFill="1" applyBorder="1"/>
    <xf numFmtId="0" fontId="49" fillId="0" borderId="3" xfId="0" applyNumberFormat="1" applyFont="1" applyFill="1" applyBorder="1"/>
    <xf numFmtId="1" fontId="49" fillId="0" borderId="2" xfId="0" applyNumberFormat="1" applyFont="1" applyFill="1" applyBorder="1"/>
    <xf numFmtId="165" fontId="51" fillId="0" borderId="0" xfId="7" applyNumberFormat="1" applyFont="1" applyFill="1" applyBorder="1"/>
    <xf numFmtId="0" fontId="50" fillId="30" borderId="0" xfId="0" applyFont="1" applyFill="1" applyBorder="1"/>
    <xf numFmtId="2" fontId="50" fillId="30" borderId="0" xfId="0" applyNumberFormat="1" applyFont="1" applyFill="1" applyBorder="1"/>
    <xf numFmtId="2" fontId="50" fillId="0" borderId="0" xfId="0" applyNumberFormat="1" applyFont="1" applyFill="1" applyBorder="1"/>
    <xf numFmtId="165" fontId="50" fillId="0" borderId="0" xfId="0" applyNumberFormat="1" applyFont="1" applyFill="1" applyBorder="1"/>
    <xf numFmtId="9" fontId="50" fillId="0" borderId="0" xfId="0" applyNumberFormat="1" applyFont="1" applyFill="1" applyBorder="1"/>
    <xf numFmtId="0" fontId="49" fillId="0" borderId="25" xfId="0" applyNumberFormat="1" applyFont="1" applyFill="1" applyBorder="1"/>
    <xf numFmtId="1" fontId="49" fillId="0" borderId="18" xfId="0" applyNumberFormat="1" applyFont="1" applyFill="1" applyBorder="1"/>
    <xf numFmtId="165" fontId="50" fillId="0" borderId="28" xfId="0" applyNumberFormat="1" applyFont="1" applyFill="1" applyBorder="1"/>
    <xf numFmtId="0" fontId="0" fillId="0" borderId="0" xfId="0" applyAlignment="1">
      <alignment horizontal="center" vertical="center" wrapText="1"/>
    </xf>
    <xf numFmtId="0" fontId="0" fillId="0" borderId="0" xfId="0" applyFill="1" applyAlignment="1">
      <alignment horizontal="left" vertical="center"/>
    </xf>
    <xf numFmtId="0" fontId="0" fillId="2" borderId="0" xfId="0" applyFill="1" applyBorder="1" applyAlignment="1">
      <alignment vertical="center"/>
    </xf>
    <xf numFmtId="165" fontId="29" fillId="21" borderId="0" xfId="7" applyNumberFormat="1" applyFont="1" applyFill="1"/>
    <xf numFmtId="14" fontId="0" fillId="0" borderId="0" xfId="0" applyNumberFormat="1"/>
    <xf numFmtId="0" fontId="0" fillId="2" borderId="0" xfId="0" applyFill="1"/>
    <xf numFmtId="0" fontId="2" fillId="0" borderId="1" xfId="0" applyFont="1" applyFill="1" applyBorder="1"/>
    <xf numFmtId="0" fontId="2" fillId="0" borderId="1" xfId="0" applyNumberFormat="1" applyFont="1" applyFill="1" applyBorder="1"/>
    <xf numFmtId="171" fontId="0" fillId="0" borderId="0" xfId="0" applyNumberFormat="1" applyFill="1" applyAlignment="1">
      <alignment horizontal="left" vertical="center"/>
    </xf>
    <xf numFmtId="0" fontId="0" fillId="3" borderId="0" xfId="0" applyFill="1" applyBorder="1" applyAlignment="1">
      <alignment vertical="center"/>
    </xf>
    <xf numFmtId="0" fontId="0" fillId="3" borderId="0" xfId="0" applyFill="1" applyBorder="1" applyAlignment="1">
      <alignment horizontal="left" vertical="center"/>
    </xf>
    <xf numFmtId="171" fontId="0" fillId="0" borderId="0" xfId="0" applyNumberFormat="1"/>
    <xf numFmtId="0" fontId="19" fillId="42" borderId="9" xfId="5" applyFont="1" applyFill="1" applyBorder="1" applyAlignment="1">
      <alignment horizontal="left" vertical="top"/>
    </xf>
    <xf numFmtId="0" fontId="11" fillId="42" borderId="0" xfId="0" applyFont="1" applyFill="1" applyAlignment="1">
      <alignment horizontal="left" vertical="top"/>
    </xf>
    <xf numFmtId="0" fontId="19" fillId="42" borderId="11" xfId="5" applyFont="1" applyFill="1" applyBorder="1" applyAlignment="1">
      <alignment horizontal="left" vertical="top"/>
    </xf>
    <xf numFmtId="171" fontId="19" fillId="42" borderId="11" xfId="5" applyNumberFormat="1" applyFont="1" applyFill="1" applyBorder="1" applyAlignment="1">
      <alignment horizontal="left" vertical="top"/>
    </xf>
    <xf numFmtId="0" fontId="54" fillId="22" borderId="1" xfId="0" applyFont="1" applyFill="1" applyBorder="1" applyAlignment="1">
      <alignment horizontal="center" wrapText="1"/>
    </xf>
    <xf numFmtId="0" fontId="54" fillId="22" borderId="1" xfId="0" applyFont="1" applyFill="1" applyBorder="1" applyAlignment="1">
      <alignment horizontal="center" vertical="top" wrapText="1"/>
    </xf>
    <xf numFmtId="0" fontId="55" fillId="23" borderId="1" xfId="0" applyFont="1" applyFill="1" applyBorder="1" applyAlignment="1">
      <alignment horizontal="center" vertical="top" wrapText="1"/>
    </xf>
    <xf numFmtId="0" fontId="54" fillId="24" borderId="1" xfId="0" applyFont="1" applyFill="1" applyBorder="1" applyAlignment="1">
      <alignment horizontal="center" vertical="top" wrapText="1"/>
    </xf>
    <xf numFmtId="0" fontId="54" fillId="25" borderId="1" xfId="0" applyFont="1" applyFill="1" applyBorder="1" applyAlignment="1">
      <alignment horizontal="center" vertical="top" wrapText="1"/>
    </xf>
    <xf numFmtId="0" fontId="55" fillId="26" borderId="1" xfId="0" applyFont="1" applyFill="1" applyBorder="1" applyAlignment="1">
      <alignment horizontal="center" vertical="top" wrapText="1"/>
    </xf>
    <xf numFmtId="0" fontId="56" fillId="0" borderId="1" xfId="0" applyFont="1" applyFill="1" applyBorder="1" applyAlignment="1">
      <alignment horizontal="left"/>
    </xf>
    <xf numFmtId="0" fontId="57" fillId="2" borderId="10" xfId="0" applyFont="1" applyFill="1" applyBorder="1" applyAlignment="1">
      <alignment horizontal="left"/>
    </xf>
    <xf numFmtId="165" fontId="57" fillId="0" borderId="1" xfId="10" applyNumberFormat="1" applyFont="1" applyFill="1" applyBorder="1" applyAlignment="1">
      <alignment horizontal="left"/>
    </xf>
    <xf numFmtId="165" fontId="58" fillId="0" borderId="1" xfId="10" applyNumberFormat="1" applyFont="1" applyBorder="1"/>
    <xf numFmtId="9" fontId="58" fillId="24" borderId="1" xfId="8" applyFont="1" applyFill="1" applyBorder="1"/>
    <xf numFmtId="9" fontId="58" fillId="25" borderId="1" xfId="8" applyFont="1" applyFill="1" applyBorder="1"/>
    <xf numFmtId="9" fontId="58" fillId="26" borderId="1" xfId="8" applyFont="1" applyFill="1" applyBorder="1"/>
    <xf numFmtId="0" fontId="59" fillId="0" borderId="0" xfId="0" applyFont="1" applyAlignment="1">
      <alignment horizontal="center" vertical="center" readingOrder="1"/>
    </xf>
    <xf numFmtId="17" fontId="3" fillId="10" borderId="0" xfId="0" applyNumberFormat="1" applyFont="1" applyFill="1" applyAlignment="1">
      <alignment horizontal="left"/>
    </xf>
    <xf numFmtId="165" fontId="11" fillId="0" borderId="0" xfId="9" applyNumberFormat="1" applyFont="1" applyFill="1" applyBorder="1" applyAlignment="1">
      <alignment horizontal="left"/>
    </xf>
    <xf numFmtId="0" fontId="0" fillId="41" borderId="0" xfId="0" applyFill="1" applyBorder="1"/>
    <xf numFmtId="49" fontId="11" fillId="0" borderId="1" xfId="0" applyNumberFormat="1" applyFont="1" applyFill="1" applyBorder="1"/>
    <xf numFmtId="49" fontId="2" fillId="0" borderId="1" xfId="0" applyNumberFormat="1" applyFont="1" applyFill="1" applyBorder="1"/>
    <xf numFmtId="49" fontId="0" fillId="0" borderId="1" xfId="0" applyNumberFormat="1" applyFont="1" applyFill="1" applyBorder="1"/>
    <xf numFmtId="49" fontId="11" fillId="0" borderId="1" xfId="14" applyNumberFormat="1" applyFont="1" applyFill="1" applyBorder="1" applyAlignment="1"/>
    <xf numFmtId="49" fontId="48" fillId="0" borderId="1" xfId="14" applyNumberFormat="1" applyFont="1" applyFill="1" applyBorder="1" applyAlignment="1"/>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vertical="center"/>
    </xf>
    <xf numFmtId="0" fontId="11" fillId="0" borderId="1" xfId="14" applyFont="1" applyFill="1" applyBorder="1" applyAlignment="1"/>
    <xf numFmtId="0" fontId="11" fillId="0" borderId="1" xfId="0" applyFont="1" applyFill="1" applyBorder="1" applyAlignment="1">
      <alignment horizontal="left" vertical="center"/>
    </xf>
    <xf numFmtId="17" fontId="3" fillId="10" borderId="0" xfId="0" applyNumberFormat="1" applyFont="1" applyFill="1" applyAlignment="1">
      <alignment horizontal="left"/>
    </xf>
    <xf numFmtId="0" fontId="8" fillId="10" borderId="0" xfId="6" applyFont="1" applyFill="1" applyBorder="1" applyAlignment="1">
      <alignment horizontal="center" vertical="center"/>
    </xf>
    <xf numFmtId="0" fontId="39" fillId="10" borderId="0" xfId="0" applyFont="1" applyFill="1" applyAlignment="1">
      <alignment vertical="center" readingOrder="1"/>
    </xf>
    <xf numFmtId="0" fontId="45" fillId="41" borderId="0" xfId="0" applyFont="1" applyFill="1" applyBorder="1"/>
    <xf numFmtId="0" fontId="18" fillId="10" borderId="0" xfId="0" applyFont="1" applyFill="1" applyBorder="1" applyAlignment="1"/>
    <xf numFmtId="0" fontId="30" fillId="45" borderId="44" xfId="0" applyFont="1" applyFill="1" applyBorder="1"/>
    <xf numFmtId="0" fontId="30" fillId="10" borderId="45" xfId="0" applyFont="1" applyFill="1" applyBorder="1"/>
    <xf numFmtId="0" fontId="30" fillId="10" borderId="46" xfId="0" applyFont="1" applyFill="1" applyBorder="1"/>
    <xf numFmtId="0" fontId="27" fillId="10" borderId="42" xfId="0" applyFont="1" applyFill="1" applyBorder="1" applyAlignment="1">
      <alignment horizontal="left"/>
    </xf>
    <xf numFmtId="165" fontId="27" fillId="10" borderId="0" xfId="0" applyNumberFormat="1" applyFont="1" applyFill="1" applyBorder="1"/>
    <xf numFmtId="165" fontId="27" fillId="10" borderId="43" xfId="0" applyNumberFormat="1" applyFont="1" applyFill="1" applyBorder="1"/>
    <xf numFmtId="0" fontId="30" fillId="10" borderId="47" xfId="0" applyFont="1" applyFill="1" applyBorder="1" applyAlignment="1">
      <alignment horizontal="left"/>
    </xf>
    <xf numFmtId="165" fontId="30" fillId="10" borderId="48" xfId="0" applyNumberFormat="1" applyFont="1" applyFill="1" applyBorder="1"/>
    <xf numFmtId="165" fontId="30" fillId="10" borderId="49" xfId="0" applyNumberFormat="1" applyFont="1" applyFill="1" applyBorder="1"/>
    <xf numFmtId="0" fontId="0" fillId="10" borderId="0" xfId="0" applyFont="1" applyFill="1" applyBorder="1" applyAlignment="1">
      <alignment horizontal="center" vertical="center" wrapText="1"/>
    </xf>
    <xf numFmtId="0" fontId="4" fillId="10" borderId="0" xfId="0" applyFont="1" applyFill="1" applyBorder="1" applyAlignment="1"/>
    <xf numFmtId="0" fontId="0" fillId="10" borderId="0" xfId="0" applyFill="1" applyBorder="1" applyAlignment="1"/>
    <xf numFmtId="0" fontId="0" fillId="44" borderId="0" xfId="0" applyFill="1" applyBorder="1"/>
    <xf numFmtId="0" fontId="33" fillId="41" borderId="0" xfId="6" applyFont="1" applyFill="1" applyBorder="1" applyAlignment="1">
      <alignment vertical="center"/>
    </xf>
    <xf numFmtId="0" fontId="0" fillId="41" borderId="50" xfId="0" applyFill="1" applyBorder="1"/>
    <xf numFmtId="0" fontId="0" fillId="41" borderId="25" xfId="0" applyFill="1" applyBorder="1"/>
    <xf numFmtId="0" fontId="0" fillId="41" borderId="39" xfId="0" applyFill="1" applyBorder="1"/>
    <xf numFmtId="0" fontId="33" fillId="41" borderId="51" xfId="6" applyFont="1" applyFill="1" applyBorder="1" applyAlignment="1">
      <alignment vertical="center"/>
    </xf>
    <xf numFmtId="0" fontId="0" fillId="41" borderId="51" xfId="0" applyFill="1" applyBorder="1"/>
    <xf numFmtId="0" fontId="0" fillId="41" borderId="17" xfId="0" applyFill="1" applyBorder="1"/>
    <xf numFmtId="0" fontId="0" fillId="41" borderId="12" xfId="0" applyFill="1" applyBorder="1"/>
    <xf numFmtId="0" fontId="0" fillId="41" borderId="13" xfId="0" applyFill="1" applyBorder="1"/>
    <xf numFmtId="0" fontId="0" fillId="41" borderId="14" xfId="0" applyFill="1" applyBorder="1"/>
    <xf numFmtId="0" fontId="0" fillId="41" borderId="15" xfId="0" applyFill="1" applyBorder="1"/>
    <xf numFmtId="0" fontId="0" fillId="41" borderId="16" xfId="0" applyFill="1" applyBorder="1"/>
    <xf numFmtId="0" fontId="0" fillId="41" borderId="52" xfId="0" applyFill="1" applyBorder="1"/>
    <xf numFmtId="0" fontId="0" fillId="41" borderId="53" xfId="0" applyFill="1" applyBorder="1"/>
    <xf numFmtId="0" fontId="0" fillId="0" borderId="54" xfId="0" applyBorder="1"/>
    <xf numFmtId="0" fontId="0" fillId="0" borderId="55" xfId="0" applyBorder="1"/>
    <xf numFmtId="0" fontId="0" fillId="10" borderId="55" xfId="0" applyFill="1" applyBorder="1"/>
    <xf numFmtId="0" fontId="9" fillId="44" borderId="16" xfId="6" applyFont="1" applyFill="1" applyBorder="1" applyAlignment="1">
      <alignment vertical="center"/>
    </xf>
    <xf numFmtId="0" fontId="0" fillId="44" borderId="16" xfId="0" applyFill="1" applyBorder="1"/>
    <xf numFmtId="0" fontId="0" fillId="44" borderId="56" xfId="0" applyFill="1" applyBorder="1"/>
    <xf numFmtId="0" fontId="0" fillId="44" borderId="15" xfId="0" applyFill="1" applyBorder="1"/>
    <xf numFmtId="0" fontId="0" fillId="44" borderId="54" xfId="0" applyFill="1" applyBorder="1"/>
    <xf numFmtId="0" fontId="0" fillId="44" borderId="55" xfId="0" applyFill="1" applyBorder="1"/>
    <xf numFmtId="0" fontId="9" fillId="41" borderId="0" xfId="6" applyFont="1" applyFill="1" applyBorder="1" applyAlignment="1">
      <alignment vertical="center"/>
    </xf>
    <xf numFmtId="0" fontId="0" fillId="10" borderId="16" xfId="0" applyFill="1" applyBorder="1"/>
    <xf numFmtId="0" fontId="16" fillId="10" borderId="0" xfId="0" applyFont="1" applyFill="1" applyBorder="1" applyAlignment="1">
      <alignment horizontal="center"/>
    </xf>
    <xf numFmtId="165" fontId="17" fillId="10" borderId="0" xfId="7" applyNumberFormat="1" applyFont="1" applyFill="1" applyBorder="1"/>
    <xf numFmtId="165" fontId="16" fillId="10" borderId="0" xfId="0" applyNumberFormat="1" applyFont="1" applyFill="1" applyBorder="1"/>
    <xf numFmtId="0" fontId="18" fillId="10" borderId="0" xfId="0" applyFont="1" applyFill="1" applyBorder="1"/>
    <xf numFmtId="0" fontId="0" fillId="10" borderId="56" xfId="0" applyFill="1" applyBorder="1"/>
    <xf numFmtId="0" fontId="0" fillId="10" borderId="15" xfId="0" applyFill="1" applyBorder="1"/>
    <xf numFmtId="0" fontId="0" fillId="10" borderId="54" xfId="0" applyFill="1" applyBorder="1"/>
    <xf numFmtId="0" fontId="0" fillId="10" borderId="55" xfId="0" applyFill="1" applyBorder="1" applyAlignment="1">
      <alignment horizontal="left"/>
    </xf>
    <xf numFmtId="165" fontId="0" fillId="10" borderId="55" xfId="0" applyNumberFormat="1" applyFill="1" applyBorder="1"/>
    <xf numFmtId="3" fontId="0" fillId="10" borderId="55" xfId="0" applyNumberFormat="1" applyFill="1" applyBorder="1"/>
    <xf numFmtId="0" fontId="0" fillId="10" borderId="55" xfId="0" applyNumberFormat="1" applyFill="1" applyBorder="1"/>
    <xf numFmtId="166" fontId="35" fillId="10" borderId="0" xfId="6" applyNumberFormat="1" applyFont="1" applyFill="1" applyBorder="1" applyAlignment="1">
      <alignment horizontal="left" vertical="center"/>
    </xf>
    <xf numFmtId="0" fontId="33" fillId="10" borderId="0" xfId="6" applyFont="1" applyFill="1" applyBorder="1" applyAlignment="1">
      <alignment vertical="center"/>
    </xf>
    <xf numFmtId="0" fontId="9" fillId="0" borderId="0" xfId="6" applyFont="1" applyFill="1" applyBorder="1" applyAlignment="1">
      <alignment vertical="center"/>
    </xf>
    <xf numFmtId="0" fontId="20" fillId="0" borderId="0" xfId="0" applyFont="1" applyFill="1" applyAlignment="1"/>
    <xf numFmtId="0" fontId="23" fillId="0" borderId="0" xfId="0" applyFont="1" applyFill="1"/>
    <xf numFmtId="0" fontId="32" fillId="41" borderId="0" xfId="6" applyFont="1" applyFill="1" applyBorder="1" applyAlignment="1">
      <alignment vertical="center"/>
    </xf>
    <xf numFmtId="166" fontId="35" fillId="41" borderId="0" xfId="6" applyNumberFormat="1" applyFont="1" applyFill="1" applyBorder="1" applyAlignment="1">
      <alignment vertical="center"/>
    </xf>
    <xf numFmtId="0" fontId="9" fillId="41" borderId="51" xfId="0" applyFont="1" applyFill="1" applyBorder="1"/>
    <xf numFmtId="0" fontId="11" fillId="41" borderId="51" xfId="0" applyFont="1" applyFill="1" applyBorder="1"/>
    <xf numFmtId="0" fontId="52" fillId="41" borderId="51" xfId="0" applyFont="1" applyFill="1" applyBorder="1" applyAlignment="1"/>
    <xf numFmtId="0" fontId="11" fillId="41" borderId="52" xfId="0" applyFont="1" applyFill="1" applyBorder="1"/>
    <xf numFmtId="0" fontId="11" fillId="41" borderId="53" xfId="0" applyFont="1" applyFill="1" applyBorder="1"/>
    <xf numFmtId="0" fontId="0" fillId="0" borderId="12" xfId="0" applyBorder="1"/>
    <xf numFmtId="0" fontId="0" fillId="0" borderId="13" xfId="0" applyBorder="1"/>
    <xf numFmtId="0" fontId="9" fillId="11" borderId="18" xfId="6" applyFont="1" applyFill="1" applyBorder="1" applyAlignment="1">
      <alignment vertical="center"/>
    </xf>
    <xf numFmtId="0" fontId="9" fillId="11" borderId="50" xfId="6" applyFont="1" applyFill="1" applyBorder="1" applyAlignment="1">
      <alignment vertical="center"/>
    </xf>
    <xf numFmtId="0" fontId="9" fillId="11" borderId="25" xfId="6" applyFont="1" applyFill="1" applyBorder="1" applyAlignment="1">
      <alignment vertical="center"/>
    </xf>
    <xf numFmtId="0" fontId="33" fillId="11" borderId="39" xfId="6" applyFont="1" applyFill="1" applyBorder="1" applyAlignment="1">
      <alignment vertical="center"/>
    </xf>
    <xf numFmtId="0" fontId="33" fillId="11" borderId="51" xfId="6" applyFont="1" applyFill="1" applyBorder="1" applyAlignment="1">
      <alignment vertical="center"/>
    </xf>
    <xf numFmtId="0" fontId="33" fillId="11" borderId="17" xfId="6" applyFont="1" applyFill="1" applyBorder="1" applyAlignment="1">
      <alignment vertical="center"/>
    </xf>
    <xf numFmtId="0" fontId="24" fillId="11" borderId="50" xfId="6" applyFont="1" applyFill="1" applyBorder="1" applyAlignment="1">
      <alignment vertical="center"/>
    </xf>
    <xf numFmtId="0" fontId="9" fillId="41" borderId="50" xfId="6" applyFont="1" applyFill="1" applyBorder="1" applyAlignment="1">
      <alignment vertical="center"/>
    </xf>
    <xf numFmtId="0" fontId="12" fillId="11" borderId="50" xfId="6" applyFont="1" applyFill="1" applyBorder="1" applyAlignment="1">
      <alignment horizontal="center" vertical="center"/>
    </xf>
    <xf numFmtId="0" fontId="4" fillId="0" borderId="50" xfId="0" applyFont="1" applyBorder="1" applyAlignment="1">
      <alignment horizontal="center" vertical="center"/>
    </xf>
    <xf numFmtId="0" fontId="12" fillId="11" borderId="51" xfId="6" applyFont="1" applyFill="1" applyBorder="1" applyAlignment="1">
      <alignment horizontal="center" vertical="center"/>
    </xf>
    <xf numFmtId="0" fontId="4" fillId="0" borderId="51" xfId="0" applyFont="1" applyFill="1" applyBorder="1" applyAlignment="1">
      <alignment horizontal="center" vertical="center"/>
    </xf>
    <xf numFmtId="0" fontId="4" fillId="0" borderId="51" xfId="0" applyFont="1" applyBorder="1" applyAlignment="1">
      <alignment horizontal="center" vertical="center"/>
    </xf>
    <xf numFmtId="0" fontId="9" fillId="11" borderId="39" xfId="6" applyFont="1" applyFill="1" applyBorder="1" applyAlignment="1">
      <alignment vertical="center"/>
    </xf>
    <xf numFmtId="166" fontId="35" fillId="11" borderId="23" xfId="6" applyNumberFormat="1" applyFont="1" applyFill="1" applyBorder="1" applyAlignment="1">
      <alignment horizontal="left" vertical="center"/>
    </xf>
    <xf numFmtId="166" fontId="35" fillId="11" borderId="51" xfId="6" applyNumberFormat="1" applyFont="1" applyFill="1" applyBorder="1" applyAlignment="1">
      <alignment horizontal="left" vertical="center"/>
    </xf>
    <xf numFmtId="0" fontId="8" fillId="41" borderId="51" xfId="6" applyFont="1" applyFill="1" applyBorder="1" applyAlignment="1">
      <alignment horizontal="left" vertical="center"/>
    </xf>
    <xf numFmtId="0" fontId="0" fillId="41" borderId="51" xfId="0" applyFill="1" applyBorder="1" applyAlignment="1">
      <alignment horizontal="left"/>
    </xf>
    <xf numFmtId="0" fontId="8" fillId="41" borderId="17" xfId="6" applyFont="1" applyFill="1" applyBorder="1" applyAlignment="1">
      <alignment horizontal="left" vertical="center"/>
    </xf>
    <xf numFmtId="0" fontId="9" fillId="11" borderId="4" xfId="6" applyFont="1" applyFill="1" applyBorder="1" applyAlignment="1">
      <alignment vertical="center"/>
    </xf>
    <xf numFmtId="166" fontId="61" fillId="11" borderId="23" xfId="6" applyNumberFormat="1" applyFont="1" applyFill="1" applyBorder="1" applyAlignment="1">
      <alignment vertical="center"/>
    </xf>
    <xf numFmtId="166" fontId="35" fillId="11" borderId="51" xfId="6" applyNumberFormat="1" applyFont="1" applyFill="1" applyBorder="1" applyAlignment="1">
      <alignment vertical="center"/>
    </xf>
    <xf numFmtId="0" fontId="8" fillId="41" borderId="17" xfId="6" applyFont="1" applyFill="1" applyBorder="1" applyAlignment="1">
      <alignment horizontal="center" vertical="center"/>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0" fillId="0" borderId="23" xfId="0" applyBorder="1"/>
    <xf numFmtId="0" fontId="0" fillId="0" borderId="17" xfId="0" applyBorder="1"/>
    <xf numFmtId="0" fontId="0" fillId="0" borderId="25" xfId="0" applyBorder="1"/>
    <xf numFmtId="0" fontId="9" fillId="41" borderId="18" xfId="6" applyFont="1" applyFill="1" applyBorder="1" applyAlignment="1">
      <alignment vertical="center"/>
    </xf>
    <xf numFmtId="0" fontId="0" fillId="0" borderId="3" xfId="0" applyBorder="1"/>
    <xf numFmtId="0" fontId="0" fillId="41" borderId="18" xfId="0" applyFill="1" applyBorder="1"/>
    <xf numFmtId="0" fontId="0" fillId="41" borderId="3" xfId="0" applyFill="1" applyBorder="1"/>
    <xf numFmtId="0" fontId="0" fillId="44" borderId="0" xfId="0" applyFill="1"/>
    <xf numFmtId="0" fontId="5" fillId="44" borderId="0" xfId="0" applyFont="1" applyFill="1" applyBorder="1"/>
    <xf numFmtId="0" fontId="8" fillId="44" borderId="0" xfId="6" applyFont="1" applyFill="1" applyBorder="1" applyAlignment="1">
      <alignment horizontal="center" vertical="center"/>
    </xf>
    <xf numFmtId="0" fontId="6" fillId="44" borderId="0" xfId="6" applyFont="1" applyFill="1" applyAlignment="1">
      <alignment vertical="center"/>
    </xf>
    <xf numFmtId="0" fontId="45" fillId="41" borderId="4" xfId="0" applyFont="1" applyFill="1" applyBorder="1"/>
    <xf numFmtId="0" fontId="45" fillId="41" borderId="39" xfId="0" applyFont="1" applyFill="1" applyBorder="1"/>
    <xf numFmtId="0" fontId="45" fillId="41" borderId="51" xfId="0" applyFont="1" applyFill="1" applyBorder="1"/>
    <xf numFmtId="0" fontId="45" fillId="41" borderId="17" xfId="0" applyFont="1" applyFill="1" applyBorder="1"/>
    <xf numFmtId="9" fontId="11" fillId="0" borderId="1" xfId="0" applyNumberFormat="1" applyFont="1" applyFill="1" applyBorder="1"/>
    <xf numFmtId="9" fontId="0" fillId="0" borderId="1" xfId="0" applyNumberFormat="1" applyFont="1" applyFill="1" applyBorder="1"/>
    <xf numFmtId="0" fontId="3" fillId="11" borderId="9" xfId="0" applyFont="1" applyFill="1" applyBorder="1"/>
    <xf numFmtId="165" fontId="3" fillId="11" borderId="9" xfId="7" applyNumberFormat="1" applyFont="1" applyFill="1" applyBorder="1"/>
    <xf numFmtId="165" fontId="3" fillId="2" borderId="9" xfId="7" applyNumberFormat="1" applyFont="1" applyFill="1" applyBorder="1"/>
    <xf numFmtId="1" fontId="3" fillId="7" borderId="9" xfId="0" applyNumberFormat="1" applyFont="1" applyFill="1" applyBorder="1"/>
    <xf numFmtId="165" fontId="3" fillId="7" borderId="9" xfId="7" applyNumberFormat="1" applyFont="1" applyFill="1" applyBorder="1"/>
    <xf numFmtId="3" fontId="0" fillId="7" borderId="1" xfId="0" applyNumberFormat="1" applyFill="1" applyBorder="1"/>
    <xf numFmtId="9" fontId="0" fillId="7" borderId="1" xfId="8" applyFont="1" applyFill="1" applyBorder="1"/>
    <xf numFmtId="165" fontId="0" fillId="7" borderId="1" xfId="7" applyNumberFormat="1" applyFont="1" applyFill="1" applyBorder="1"/>
    <xf numFmtId="0" fontId="0" fillId="0" borderId="1" xfId="0" applyBorder="1" applyAlignment="1">
      <alignment horizontal="left"/>
    </xf>
    <xf numFmtId="0" fontId="0" fillId="0" borderId="1" xfId="0" pivotButton="1" applyBorder="1"/>
    <xf numFmtId="0" fontId="0" fillId="0" borderId="1" xfId="0" applyNumberFormat="1" applyBorder="1"/>
    <xf numFmtId="0" fontId="8" fillId="41" borderId="51" xfId="6" applyFont="1" applyFill="1" applyBorder="1" applyAlignment="1">
      <alignment horizontal="center" vertical="center"/>
    </xf>
    <xf numFmtId="165" fontId="0" fillId="0" borderId="1" xfId="0" applyNumberFormat="1" applyBorder="1"/>
    <xf numFmtId="0" fontId="0" fillId="0" borderId="5" xfId="0" applyBorder="1"/>
    <xf numFmtId="0" fontId="0" fillId="0" borderId="11" xfId="0" applyBorder="1"/>
    <xf numFmtId="0" fontId="0" fillId="0" borderId="9" xfId="0" applyBorder="1"/>
    <xf numFmtId="9" fontId="0" fillId="0" borderId="25" xfId="0" applyNumberFormat="1" applyBorder="1"/>
    <xf numFmtId="9" fontId="0" fillId="0" borderId="39" xfId="0" applyNumberFormat="1" applyBorder="1"/>
    <xf numFmtId="0" fontId="0" fillId="0" borderId="5" xfId="0" pivotButton="1" applyBorder="1"/>
    <xf numFmtId="165" fontId="0" fillId="0" borderId="5" xfId="0" applyNumberFormat="1" applyBorder="1"/>
    <xf numFmtId="0" fontId="4" fillId="3" borderId="1" xfId="0" quotePrefix="1" applyFont="1" applyFill="1" applyBorder="1" applyAlignment="1">
      <alignment horizontal="center" vertical="center" wrapText="1"/>
    </xf>
    <xf numFmtId="0" fontId="4" fillId="28" borderId="1" xfId="0" quotePrefix="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9"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49" fontId="29" fillId="0" borderId="1" xfId="0" applyNumberFormat="1" applyFont="1" applyFill="1" applyBorder="1" applyAlignment="1">
      <alignment horizontal="left" vertical="center" wrapText="1"/>
    </xf>
    <xf numFmtId="9" fontId="29" fillId="0" borderId="1" xfId="8" applyFont="1" applyFill="1" applyBorder="1" applyAlignment="1">
      <alignment horizontal="center" vertical="center"/>
    </xf>
    <xf numFmtId="1" fontId="29" fillId="0" borderId="3" xfId="0" applyNumberFormat="1" applyFont="1" applyFill="1" applyBorder="1" applyAlignment="1">
      <alignment horizontal="center" vertical="center"/>
    </xf>
    <xf numFmtId="0" fontId="9" fillId="41" borderId="4" xfId="6" applyFont="1" applyFill="1" applyBorder="1" applyAlignment="1">
      <alignment vertical="center"/>
    </xf>
    <xf numFmtId="0" fontId="5" fillId="41" borderId="51" xfId="0" applyFont="1" applyFill="1" applyBorder="1"/>
    <xf numFmtId="0" fontId="0" fillId="0" borderId="29" xfId="0" applyBorder="1" applyAlignment="1">
      <alignment vertical="center" wrapText="1"/>
    </xf>
    <xf numFmtId="0" fontId="0" fillId="0" borderId="27"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1" xfId="0" quotePrefix="1" applyBorder="1"/>
    <xf numFmtId="0" fontId="0" fillId="0" borderId="19" xfId="0" applyBorder="1"/>
    <xf numFmtId="165" fontId="0" fillId="0" borderId="20" xfId="7" quotePrefix="1" applyNumberFormat="1" applyFont="1" applyBorder="1"/>
    <xf numFmtId="1" fontId="3" fillId="11" borderId="21" xfId="0" applyNumberFormat="1" applyFont="1" applyFill="1" applyBorder="1"/>
    <xf numFmtId="0" fontId="0" fillId="0" borderId="1" xfId="0" pivotButton="1" applyBorder="1" applyAlignment="1">
      <alignment wrapText="1"/>
    </xf>
    <xf numFmtId="0" fontId="0" fillId="0" borderId="1" xfId="0" applyBorder="1" applyAlignment="1">
      <alignment wrapText="1"/>
    </xf>
    <xf numFmtId="0" fontId="0" fillId="0" borderId="1" xfId="0" applyNumberFormat="1" applyBorder="1" applyAlignment="1">
      <alignment horizontal="center" vertical="center"/>
    </xf>
    <xf numFmtId="0" fontId="0" fillId="0" borderId="2" xfId="0" applyNumberFormat="1" applyBorder="1"/>
    <xf numFmtId="0" fontId="0" fillId="0" borderId="5" xfId="0" applyNumberFormat="1" applyBorder="1"/>
    <xf numFmtId="0" fontId="0" fillId="0" borderId="5" xfId="0" applyNumberFormat="1" applyBorder="1" applyAlignment="1">
      <alignment horizontal="center" vertical="center"/>
    </xf>
    <xf numFmtId="0" fontId="0" fillId="0" borderId="18" xfId="0" applyNumberFormat="1" applyBorder="1"/>
    <xf numFmtId="0" fontId="0" fillId="0" borderId="17"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23" xfId="0" applyBorder="1" applyAlignment="1">
      <alignment wrapText="1"/>
    </xf>
    <xf numFmtId="0" fontId="11" fillId="10" borderId="15" xfId="0" applyFont="1" applyFill="1" applyBorder="1"/>
    <xf numFmtId="0" fontId="9" fillId="10" borderId="0" xfId="0" applyFont="1" applyFill="1" applyBorder="1"/>
    <xf numFmtId="0" fontId="11" fillId="10" borderId="0" xfId="0" applyFont="1" applyFill="1" applyBorder="1"/>
    <xf numFmtId="0" fontId="52" fillId="10" borderId="0" xfId="0" applyFont="1" applyFill="1" applyBorder="1" applyAlignment="1"/>
    <xf numFmtId="0" fontId="11" fillId="10" borderId="16" xfId="0" applyFont="1" applyFill="1" applyBorder="1"/>
    <xf numFmtId="0" fontId="20" fillId="10" borderId="0" xfId="0" applyFont="1" applyFill="1" applyBorder="1" applyAlignment="1"/>
    <xf numFmtId="0" fontId="36" fillId="23" borderId="1" xfId="0" applyFont="1" applyFill="1" applyBorder="1" applyAlignment="1">
      <alignment horizontal="center" vertical="top" wrapText="1"/>
    </xf>
    <xf numFmtId="9" fontId="36" fillId="23" borderId="1" xfId="8" applyFont="1" applyFill="1" applyBorder="1" applyAlignment="1">
      <alignment horizontal="right" vertical="center" wrapText="1"/>
    </xf>
    <xf numFmtId="165" fontId="0" fillId="0" borderId="2" xfId="0" applyNumberFormat="1" applyBorder="1"/>
    <xf numFmtId="165" fontId="0" fillId="0" borderId="18" xfId="0" applyNumberFormat="1" applyBorder="1"/>
    <xf numFmtId="0" fontId="0" fillId="10" borderId="12" xfId="0" applyFill="1" applyBorder="1"/>
    <xf numFmtId="0" fontId="0" fillId="10" borderId="13" xfId="0" applyFill="1" applyBorder="1"/>
    <xf numFmtId="0" fontId="0" fillId="10" borderId="14" xfId="0" applyFill="1" applyBorder="1"/>
    <xf numFmtId="1" fontId="29" fillId="0" borderId="25" xfId="0" applyNumberFormat="1"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NumberFormat="1" applyFont="1" applyFill="1" applyBorder="1" applyAlignment="1">
      <alignment horizontal="center" vertical="center"/>
    </xf>
    <xf numFmtId="9" fontId="29" fillId="0" borderId="5" xfId="0" applyNumberFormat="1" applyFont="1" applyFill="1" applyBorder="1" applyAlignment="1">
      <alignment horizontal="center" vertical="center"/>
    </xf>
    <xf numFmtId="0" fontId="0" fillId="0" borderId="0" xfId="0"/>
    <xf numFmtId="0" fontId="0" fillId="0" borderId="0" xfId="0" applyBorder="1"/>
    <xf numFmtId="0" fontId="0" fillId="0" borderId="0" xfId="0" applyNumberFormat="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0" borderId="0" xfId="0" applyFill="1" applyBorder="1"/>
    <xf numFmtId="0" fontId="0" fillId="0" borderId="0" xfId="0" pivotButton="1"/>
    <xf numFmtId="0" fontId="0" fillId="0" borderId="0" xfId="0" applyNumberFormat="1" applyBorder="1"/>
    <xf numFmtId="0" fontId="0" fillId="10" borderId="0" xfId="0" applyFill="1" applyAlignment="1">
      <alignment horizontal="left" indent="1"/>
    </xf>
    <xf numFmtId="0" fontId="0" fillId="41" borderId="0" xfId="0" applyFill="1" applyBorder="1"/>
    <xf numFmtId="49" fontId="11" fillId="0" borderId="1" xfId="0" applyNumberFormat="1" applyFont="1" applyFill="1" applyBorder="1" applyAlignment="1">
      <alignment horizontal="left" vertical="center"/>
    </xf>
    <xf numFmtId="0" fontId="0" fillId="41" borderId="50" xfId="0" applyFill="1" applyBorder="1"/>
    <xf numFmtId="0" fontId="0" fillId="41" borderId="25" xfId="0" applyFill="1" applyBorder="1"/>
    <xf numFmtId="0" fontId="0" fillId="41" borderId="39" xfId="0" applyFill="1" applyBorder="1"/>
    <xf numFmtId="165" fontId="0" fillId="0" borderId="0" xfId="0" applyNumberFormat="1" applyBorder="1"/>
    <xf numFmtId="3" fontId="0" fillId="0" borderId="0" xfId="0" applyNumberFormat="1" applyBorder="1"/>
    <xf numFmtId="0" fontId="0" fillId="0" borderId="29" xfId="0" pivotButton="1" applyBorder="1"/>
    <xf numFmtId="0" fontId="0" fillId="0" borderId="31" xfId="0" applyBorder="1"/>
    <xf numFmtId="0" fontId="0" fillId="0" borderId="12" xfId="0" pivotButton="1" applyBorder="1"/>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5" xfId="0" applyBorder="1" applyAlignment="1">
      <alignment horizontal="left"/>
    </xf>
    <xf numFmtId="165" fontId="0" fillId="0" borderId="16" xfId="0" applyNumberFormat="1" applyBorder="1"/>
    <xf numFmtId="0" fontId="0" fillId="0" borderId="54" xfId="0" applyBorder="1" applyAlignment="1">
      <alignment horizontal="left"/>
    </xf>
    <xf numFmtId="165" fontId="0" fillId="0" borderId="55" xfId="0" applyNumberFormat="1" applyBorder="1"/>
    <xf numFmtId="3" fontId="0" fillId="0" borderId="55" xfId="0" applyNumberFormat="1" applyBorder="1"/>
    <xf numFmtId="0" fontId="0" fillId="0" borderId="55" xfId="0" applyNumberFormat="1" applyBorder="1"/>
    <xf numFmtId="165" fontId="0" fillId="0" borderId="56" xfId="0" applyNumberFormat="1" applyBorder="1"/>
    <xf numFmtId="0" fontId="0" fillId="0" borderId="4" xfId="0" applyBorder="1"/>
    <xf numFmtId="0" fontId="0" fillId="0" borderId="39" xfId="0" applyBorder="1"/>
    <xf numFmtId="0" fontId="0" fillId="0" borderId="50" xfId="0" applyBorder="1"/>
    <xf numFmtId="0" fontId="0" fillId="0" borderId="25" xfId="0" applyBorder="1"/>
    <xf numFmtId="0" fontId="0" fillId="10" borderId="25" xfId="0" applyFill="1" applyBorder="1"/>
    <xf numFmtId="0" fontId="0" fillId="10" borderId="18" xfId="0" applyFill="1" applyBorder="1"/>
    <xf numFmtId="0" fontId="0" fillId="11" borderId="50" xfId="0" applyFill="1" applyBorder="1"/>
    <xf numFmtId="165" fontId="0" fillId="10" borderId="4" xfId="0" applyNumberFormat="1" applyFill="1" applyBorder="1" applyAlignment="1">
      <alignment horizontal="left"/>
    </xf>
    <xf numFmtId="165" fontId="0" fillId="10" borderId="0" xfId="0" applyNumberFormat="1" applyFill="1" applyBorder="1"/>
    <xf numFmtId="165" fontId="0" fillId="10" borderId="39" xfId="0" applyNumberFormat="1" applyFill="1" applyBorder="1"/>
    <xf numFmtId="0" fontId="0" fillId="10" borderId="4" xfId="0" applyFill="1" applyBorder="1" applyAlignment="1">
      <alignment horizontal="left" indent="1"/>
    </xf>
    <xf numFmtId="165" fontId="0" fillId="11" borderId="23" xfId="0" applyNumberFormat="1" applyFill="1" applyBorder="1" applyAlignment="1">
      <alignment horizontal="left"/>
    </xf>
    <xf numFmtId="165" fontId="0" fillId="11" borderId="51" xfId="0" applyNumberFormat="1" applyFill="1" applyBorder="1"/>
    <xf numFmtId="0" fontId="0" fillId="0" borderId="2" xfId="0" pivotButton="1" applyBorder="1"/>
    <xf numFmtId="0" fontId="0" fillId="0" borderId="3" xfId="0" applyBorder="1"/>
    <xf numFmtId="0" fontId="0" fillId="41" borderId="18" xfId="0" applyFill="1" applyBorder="1"/>
    <xf numFmtId="0" fontId="0" fillId="41" borderId="4" xfId="0" applyFill="1" applyBorder="1"/>
    <xf numFmtId="0" fontId="0" fillId="41" borderId="4" xfId="0" applyFill="1" applyBorder="1" applyAlignment="1">
      <alignment horizontal="left"/>
    </xf>
    <xf numFmtId="0" fontId="0" fillId="41" borderId="23" xfId="0" applyFill="1" applyBorder="1" applyAlignment="1">
      <alignment horizontal="left"/>
    </xf>
    <xf numFmtId="3" fontId="0" fillId="41" borderId="51" xfId="0" applyNumberFormat="1" applyFill="1" applyBorder="1"/>
    <xf numFmtId="3" fontId="0" fillId="41" borderId="17" xfId="0" applyNumberFormat="1" applyFill="1" applyBorder="1"/>
    <xf numFmtId="0" fontId="0" fillId="41" borderId="3" xfId="0" applyFill="1" applyBorder="1"/>
    <xf numFmtId="165" fontId="0" fillId="41" borderId="0" xfId="0" applyNumberFormat="1" applyFill="1" applyBorder="1"/>
    <xf numFmtId="165" fontId="0" fillId="44" borderId="4" xfId="0" applyNumberFormat="1" applyFill="1" applyBorder="1" applyAlignment="1">
      <alignment horizontal="left"/>
    </xf>
    <xf numFmtId="165" fontId="0" fillId="44" borderId="0" xfId="0" applyNumberFormat="1" applyFill="1" applyBorder="1"/>
    <xf numFmtId="165" fontId="0" fillId="44" borderId="39" xfId="0" applyNumberFormat="1" applyFill="1" applyBorder="1"/>
    <xf numFmtId="0" fontId="0" fillId="44" borderId="4" xfId="0" applyFill="1" applyBorder="1" applyAlignment="1">
      <alignment horizontal="left"/>
    </xf>
    <xf numFmtId="3" fontId="0" fillId="44" borderId="0" xfId="0" applyNumberFormat="1" applyFill="1" applyBorder="1"/>
    <xf numFmtId="3" fontId="0" fillId="44" borderId="39" xfId="0" applyNumberFormat="1" applyFill="1" applyBorder="1"/>
    <xf numFmtId="0" fontId="0" fillId="41" borderId="2" xfId="0" applyFill="1" applyBorder="1"/>
    <xf numFmtId="10" fontId="0" fillId="41" borderId="39" xfId="0" applyNumberFormat="1" applyFill="1" applyBorder="1"/>
    <xf numFmtId="10" fontId="0" fillId="10" borderId="39" xfId="0" applyNumberFormat="1" applyFill="1" applyBorder="1"/>
    <xf numFmtId="0" fontId="0" fillId="10" borderId="4" xfId="0" applyFill="1" applyBorder="1" applyAlignment="1">
      <alignment horizontal="left" indent="2"/>
    </xf>
    <xf numFmtId="9" fontId="0" fillId="10" borderId="39" xfId="0" applyNumberFormat="1" applyFill="1" applyBorder="1"/>
    <xf numFmtId="0" fontId="0" fillId="10" borderId="4" xfId="0" applyFill="1" applyBorder="1" applyAlignment="1">
      <alignment horizontal="left"/>
    </xf>
    <xf numFmtId="9" fontId="0" fillId="11" borderId="17" xfId="0" applyNumberFormat="1" applyFill="1" applyBorder="1"/>
    <xf numFmtId="0" fontId="0" fillId="0" borderId="18" xfId="0" pivotButton="1" applyBorder="1"/>
    <xf numFmtId="0" fontId="0" fillId="0" borderId="50" xfId="0" pivotButton="1" applyBorder="1"/>
    <xf numFmtId="0" fontId="0" fillId="0" borderId="4" xfId="0" pivotButton="1" applyBorder="1"/>
    <xf numFmtId="0" fontId="0" fillId="0" borderId="4" xfId="0" applyBorder="1" applyAlignment="1">
      <alignment horizontal="left"/>
    </xf>
    <xf numFmtId="165" fontId="0" fillId="0" borderId="39" xfId="0" applyNumberFormat="1" applyBorder="1"/>
    <xf numFmtId="0" fontId="0" fillId="0" borderId="23" xfId="0" applyBorder="1" applyAlignment="1">
      <alignment horizontal="left"/>
    </xf>
    <xf numFmtId="165" fontId="0" fillId="0" borderId="51" xfId="0" applyNumberFormat="1" applyBorder="1"/>
    <xf numFmtId="165" fontId="0" fillId="0" borderId="17" xfId="0" applyNumberFormat="1" applyBorder="1"/>
    <xf numFmtId="0" fontId="0" fillId="0" borderId="18" xfId="0" pivotButton="1" applyBorder="1" applyAlignment="1">
      <alignment horizontal="center" vertical="center" wrapText="1"/>
    </xf>
    <xf numFmtId="0" fontId="0" fillId="0" borderId="50" xfId="0" pivotButton="1" applyBorder="1" applyAlignment="1">
      <alignment horizontal="center" vertical="center" wrapText="1"/>
    </xf>
    <xf numFmtId="0" fontId="0" fillId="0" borderId="50" xfId="0" pivotButton="1" applyBorder="1" applyAlignment="1">
      <alignment vertical="center"/>
    </xf>
    <xf numFmtId="165" fontId="0" fillId="0" borderId="50" xfId="0" applyNumberFormat="1" applyBorder="1" applyAlignment="1">
      <alignment horizontal="center" vertical="center" wrapText="1"/>
    </xf>
    <xf numFmtId="0" fontId="60" fillId="36" borderId="23" xfId="0" applyFont="1" applyFill="1" applyBorder="1"/>
    <xf numFmtId="0" fontId="60" fillId="36" borderId="51" xfId="0" applyFont="1" applyFill="1" applyBorder="1"/>
    <xf numFmtId="165" fontId="60" fillId="36" borderId="51" xfId="0" applyNumberFormat="1" applyFont="1" applyFill="1" applyBorder="1"/>
    <xf numFmtId="165" fontId="60" fillId="36" borderId="17" xfId="0" applyNumberFormat="1" applyFont="1" applyFill="1" applyBorder="1"/>
    <xf numFmtId="165" fontId="0" fillId="0" borderId="1" xfId="0" applyNumberFormat="1" applyBorder="1"/>
    <xf numFmtId="0" fontId="0" fillId="0" borderId="5" xfId="0" applyBorder="1"/>
    <xf numFmtId="170" fontId="0" fillId="0" borderId="0" xfId="0" applyNumberFormat="1" applyBorder="1"/>
    <xf numFmtId="170" fontId="0" fillId="0" borderId="51" xfId="0" applyNumberFormat="1" applyBorder="1"/>
    <xf numFmtId="170" fontId="0" fillId="0" borderId="50" xfId="0" applyNumberFormat="1" applyBorder="1"/>
    <xf numFmtId="165" fontId="0" fillId="0" borderId="5" xfId="0" applyNumberFormat="1" applyBorder="1"/>
    <xf numFmtId="165" fontId="0" fillId="0" borderId="11" xfId="0" applyNumberFormat="1" applyBorder="1"/>
    <xf numFmtId="165" fontId="0" fillId="0" borderId="9" xfId="0" applyNumberFormat="1" applyBorder="1"/>
    <xf numFmtId="170" fontId="0" fillId="0" borderId="5" xfId="0" applyNumberFormat="1" applyBorder="1"/>
    <xf numFmtId="170" fontId="0" fillId="0" borderId="11" xfId="0" applyNumberFormat="1" applyBorder="1"/>
    <xf numFmtId="170" fontId="0" fillId="0" borderId="9" xfId="0" applyNumberFormat="1" applyBorder="1"/>
    <xf numFmtId="0" fontId="0" fillId="41" borderId="1" xfId="0" applyFill="1" applyBorder="1"/>
    <xf numFmtId="165" fontId="0" fillId="41" borderId="1" xfId="0" applyNumberFormat="1" applyFill="1" applyBorder="1"/>
    <xf numFmtId="170" fontId="0" fillId="0" borderId="8" xfId="0" applyNumberFormat="1" applyBorder="1"/>
    <xf numFmtId="0" fontId="0" fillId="0" borderId="2" xfId="0" applyBorder="1" applyAlignment="1">
      <alignment horizontal="left"/>
    </xf>
    <xf numFmtId="170" fontId="0" fillId="0" borderId="1" xfId="0" applyNumberFormat="1" applyBorder="1"/>
    <xf numFmtId="0" fontId="5" fillId="0" borderId="0" xfId="0" applyFont="1" applyAlignment="1"/>
    <xf numFmtId="0" fontId="0" fillId="41" borderId="1" xfId="0" applyFill="1" applyBorder="1" applyAlignment="1">
      <alignment horizontal="left" vertical="top"/>
    </xf>
    <xf numFmtId="9" fontId="0" fillId="0" borderId="5" xfId="0" applyNumberFormat="1" applyBorder="1"/>
    <xf numFmtId="9" fontId="0" fillId="0" borderId="11" xfId="0" applyNumberFormat="1" applyBorder="1"/>
    <xf numFmtId="9" fontId="0" fillId="0" borderId="9" xfId="0" applyNumberFormat="1" applyBorder="1"/>
    <xf numFmtId="49" fontId="29" fillId="0" borderId="5" xfId="0" applyNumberFormat="1" applyFont="1" applyFill="1" applyBorder="1" applyAlignment="1">
      <alignment horizontal="center" vertical="center"/>
    </xf>
    <xf numFmtId="0" fontId="0" fillId="0" borderId="50" xfId="0" pivotButton="1" applyBorder="1" applyAlignment="1">
      <alignment vertical="center" wrapText="1"/>
    </xf>
    <xf numFmtId="165" fontId="0" fillId="0" borderId="3" xfId="0" applyNumberFormat="1" applyBorder="1"/>
    <xf numFmtId="9" fontId="0" fillId="0" borderId="1" xfId="0" applyNumberFormat="1" applyBorder="1"/>
    <xf numFmtId="0" fontId="0" fillId="0" borderId="15" xfId="0" applyFill="1" applyBorder="1"/>
    <xf numFmtId="0" fontId="0" fillId="0" borderId="16" xfId="0" applyFill="1" applyBorder="1"/>
    <xf numFmtId="15" fontId="0" fillId="0" borderId="0" xfId="0" applyNumberFormat="1" applyFill="1" applyAlignment="1">
      <alignment horizontal="left" vertical="center"/>
    </xf>
    <xf numFmtId="0" fontId="0" fillId="11" borderId="0" xfId="0" applyNumberFormat="1" applyFill="1"/>
    <xf numFmtId="0" fontId="0" fillId="11" borderId="0" xfId="0" applyFill="1" applyAlignment="1">
      <alignment horizontal="left"/>
    </xf>
    <xf numFmtId="165" fontId="0" fillId="41" borderId="17" xfId="0" applyNumberFormat="1" applyFill="1" applyBorder="1"/>
    <xf numFmtId="165" fontId="0" fillId="41" borderId="23" xfId="0" applyNumberFormat="1" applyFill="1" applyBorder="1" applyAlignment="1">
      <alignment horizontal="left"/>
    </xf>
    <xf numFmtId="165" fontId="0" fillId="41" borderId="51" xfId="0" applyNumberFormat="1" applyFill="1" applyBorder="1"/>
    <xf numFmtId="0" fontId="11" fillId="0" borderId="0" xfId="0" applyFont="1" applyBorder="1"/>
    <xf numFmtId="0" fontId="11" fillId="0" borderId="0" xfId="0" applyFont="1" applyFill="1" applyBorder="1"/>
    <xf numFmtId="0" fontId="11" fillId="0" borderId="0" xfId="0" applyFont="1" applyFill="1"/>
    <xf numFmtId="0" fontId="11" fillId="0" borderId="0" xfId="0" applyFont="1" applyAlignment="1"/>
    <xf numFmtId="0" fontId="11" fillId="33" borderId="0" xfId="0" applyFont="1" applyFill="1" applyAlignment="1"/>
    <xf numFmtId="168" fontId="0" fillId="0" borderId="1" xfId="7" applyNumberFormat="1" applyFont="1" applyBorder="1"/>
    <xf numFmtId="0" fontId="0" fillId="10" borderId="3" xfId="0" applyFill="1" applyBorder="1"/>
    <xf numFmtId="0" fontId="0" fillId="10" borderId="2" xfId="0" applyFill="1" applyBorder="1"/>
    <xf numFmtId="0" fontId="0" fillId="41" borderId="50" xfId="0" applyFill="1" applyBorder="1" applyAlignment="1">
      <alignment vertical="center"/>
    </xf>
    <xf numFmtId="1" fontId="0" fillId="41" borderId="50" xfId="0" applyNumberFormat="1" applyFill="1" applyBorder="1" applyAlignment="1">
      <alignment vertical="center"/>
    </xf>
    <xf numFmtId="0" fontId="0" fillId="41" borderId="25" xfId="0" applyFill="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41" borderId="0" xfId="0" applyFill="1" applyBorder="1" applyAlignment="1">
      <alignment vertical="center"/>
    </xf>
    <xf numFmtId="1" fontId="0" fillId="41" borderId="0" xfId="0" applyNumberFormat="1" applyFill="1" applyBorder="1" applyAlignment="1">
      <alignment vertical="center"/>
    </xf>
    <xf numFmtId="0" fontId="0" fillId="41" borderId="39" xfId="0" applyFill="1" applyBorder="1" applyAlignment="1">
      <alignment vertical="center"/>
    </xf>
    <xf numFmtId="0" fontId="0" fillId="41" borderId="51" xfId="0" applyFill="1" applyBorder="1" applyAlignment="1">
      <alignment vertical="center"/>
    </xf>
    <xf numFmtId="1" fontId="0" fillId="41" borderId="51" xfId="0" applyNumberFormat="1" applyFill="1" applyBorder="1" applyAlignment="1">
      <alignment vertical="center"/>
    </xf>
    <xf numFmtId="0" fontId="0" fillId="41" borderId="17" xfId="0" applyFill="1" applyBorder="1" applyAlignment="1">
      <alignment vertical="center"/>
    </xf>
    <xf numFmtId="0" fontId="5" fillId="0" borderId="0" xfId="0" applyFont="1" applyFill="1" applyBorder="1" applyAlignment="1">
      <alignment vertical="center"/>
    </xf>
    <xf numFmtId="1" fontId="0" fillId="0" borderId="0" xfId="0" applyNumberFormat="1" applyFill="1" applyBorder="1" applyAlignment="1">
      <alignment vertical="center"/>
    </xf>
    <xf numFmtId="0" fontId="0" fillId="0" borderId="39" xfId="0" applyFill="1" applyBorder="1" applyAlignment="1">
      <alignment vertical="center"/>
    </xf>
    <xf numFmtId="0" fontId="0" fillId="0" borderId="0" xfId="0" applyAlignment="1">
      <alignment vertical="center" textRotation="90"/>
    </xf>
    <xf numFmtId="169" fontId="29" fillId="0" borderId="1" xfId="0" applyNumberFormat="1" applyFont="1" applyFill="1" applyBorder="1" applyAlignment="1">
      <alignment vertical="center"/>
    </xf>
    <xf numFmtId="49" fontId="29" fillId="0" borderId="1" xfId="0" applyNumberFormat="1" applyFont="1" applyFill="1" applyBorder="1" applyAlignment="1">
      <alignment vertical="center"/>
    </xf>
    <xf numFmtId="49" fontId="29" fillId="0" borderId="1" xfId="0" applyNumberFormat="1" applyFont="1" applyFill="1" applyBorder="1" applyAlignment="1">
      <alignment vertical="center" wrapText="1"/>
    </xf>
    <xf numFmtId="1" fontId="29" fillId="0" borderId="1" xfId="0" applyNumberFormat="1" applyFont="1" applyFill="1" applyBorder="1" applyAlignment="1">
      <alignment horizontal="right" vertical="center"/>
    </xf>
    <xf numFmtId="49" fontId="29" fillId="0" borderId="2" xfId="0" applyNumberFormat="1" applyFont="1" applyFill="1" applyBorder="1" applyAlignment="1">
      <alignment vertical="center"/>
    </xf>
    <xf numFmtId="0" fontId="0" fillId="0" borderId="0" xfId="0" applyFill="1" applyAlignment="1">
      <alignment vertical="center"/>
    </xf>
    <xf numFmtId="0" fontId="29" fillId="0" borderId="1" xfId="0" applyFont="1" applyFill="1" applyBorder="1" applyAlignment="1">
      <alignment vertical="center"/>
    </xf>
    <xf numFmtId="0" fontId="0" fillId="0" borderId="0" xfId="0" applyAlignment="1">
      <alignment vertical="center"/>
    </xf>
    <xf numFmtId="0" fontId="29" fillId="0" borderId="1" xfId="0" applyNumberFormat="1" applyFont="1" applyFill="1" applyBorder="1" applyAlignment="1">
      <alignment horizontal="right" vertical="center"/>
    </xf>
    <xf numFmtId="0" fontId="29" fillId="0" borderId="2" xfId="0" applyFont="1" applyFill="1" applyBorder="1" applyAlignment="1">
      <alignment vertical="center"/>
    </xf>
    <xf numFmtId="169" fontId="29" fillId="0" borderId="5" xfId="0" applyNumberFormat="1" applyFont="1" applyFill="1" applyBorder="1" applyAlignment="1">
      <alignment vertical="center"/>
    </xf>
    <xf numFmtId="49" fontId="29" fillId="0" borderId="5" xfId="0" applyNumberFormat="1" applyFont="1" applyFill="1" applyBorder="1" applyAlignment="1">
      <alignment vertical="center"/>
    </xf>
    <xf numFmtId="0" fontId="29" fillId="0" borderId="5" xfId="0" applyFont="1" applyFill="1" applyBorder="1" applyAlignment="1">
      <alignment vertical="center"/>
    </xf>
    <xf numFmtId="1" fontId="29" fillId="0" borderId="5" xfId="0" applyNumberFormat="1" applyFont="1" applyFill="1" applyBorder="1" applyAlignment="1">
      <alignment horizontal="right" vertical="center"/>
    </xf>
    <xf numFmtId="0" fontId="11" fillId="0" borderId="0" xfId="0" applyFont="1" applyFill="1" applyAlignment="1">
      <alignment vertical="center"/>
    </xf>
    <xf numFmtId="1" fontId="0" fillId="0" borderId="0" xfId="0" applyNumberFormat="1" applyAlignment="1">
      <alignment vertical="center"/>
    </xf>
    <xf numFmtId="0" fontId="0" fillId="0" borderId="27" xfId="0" applyBorder="1" applyAlignment="1">
      <alignment textRotation="90"/>
    </xf>
    <xf numFmtId="0" fontId="0" fillId="2" borderId="0" xfId="0" applyFill="1" applyAlignment="1">
      <alignment vertical="center"/>
    </xf>
    <xf numFmtId="0" fontId="11" fillId="0" borderId="0" xfId="0" applyFont="1" applyFill="1" applyBorder="1" applyAlignment="1">
      <alignment vertical="center"/>
    </xf>
    <xf numFmtId="0" fontId="29" fillId="0" borderId="5" xfId="0" applyNumberFormat="1" applyFont="1" applyFill="1" applyBorder="1" applyAlignment="1">
      <alignment horizontal="right" vertical="center"/>
    </xf>
    <xf numFmtId="0" fontId="29" fillId="0" borderId="18" xfId="0" applyFont="1" applyFill="1" applyBorder="1" applyAlignment="1">
      <alignment vertical="center"/>
    </xf>
    <xf numFmtId="49" fontId="29" fillId="0" borderId="2" xfId="0" applyNumberFormat="1" applyFont="1" applyFill="1" applyBorder="1" applyAlignment="1">
      <alignment vertical="center" wrapText="1"/>
    </xf>
    <xf numFmtId="0" fontId="0" fillId="0" borderId="2" xfId="0" applyFill="1" applyBorder="1"/>
    <xf numFmtId="0" fontId="11" fillId="0" borderId="0" xfId="0" applyFont="1" applyFill="1" applyAlignment="1"/>
    <xf numFmtId="49" fontId="5" fillId="0" borderId="1" xfId="0" applyNumberFormat="1" applyFont="1" applyFill="1" applyBorder="1"/>
    <xf numFmtId="168" fontId="29" fillId="0" borderId="2" xfId="1" applyNumberFormat="1" applyFont="1" applyFill="1" applyBorder="1" applyAlignment="1">
      <alignment vertical="center" wrapText="1"/>
    </xf>
    <xf numFmtId="0" fontId="29" fillId="0" borderId="11" xfId="0" applyNumberFormat="1" applyFont="1" applyFill="1" applyBorder="1" applyAlignment="1">
      <alignment horizontal="center" vertical="center"/>
    </xf>
    <xf numFmtId="0" fontId="63" fillId="0" borderId="1" xfId="0" applyFont="1" applyFill="1" applyBorder="1" applyAlignment="1"/>
    <xf numFmtId="0" fontId="63" fillId="0" borderId="1" xfId="0" applyFont="1" applyFill="1" applyBorder="1" applyAlignment="1">
      <alignment wrapText="1"/>
    </xf>
    <xf numFmtId="0" fontId="63" fillId="0" borderId="1" xfId="14" applyFont="1" applyFill="1" applyBorder="1" applyAlignment="1"/>
    <xf numFmtId="0" fontId="63" fillId="0" borderId="1" xfId="0" applyNumberFormat="1" applyFont="1" applyFill="1" applyBorder="1" applyAlignment="1">
      <alignment wrapText="1"/>
    </xf>
    <xf numFmtId="0" fontId="63" fillId="0" borderId="1" xfId="0" applyNumberFormat="1" applyFont="1" applyFill="1" applyBorder="1" applyAlignment="1"/>
    <xf numFmtId="0" fontId="64" fillId="0" borderId="1" xfId="0" applyNumberFormat="1" applyFont="1" applyFill="1" applyBorder="1" applyAlignment="1"/>
    <xf numFmtId="9" fontId="63" fillId="0" borderId="1" xfId="0" applyNumberFormat="1" applyFont="1" applyFill="1" applyBorder="1" applyAlignment="1">
      <alignment wrapText="1"/>
    </xf>
    <xf numFmtId="49" fontId="63" fillId="0" borderId="1" xfId="0" applyNumberFormat="1" applyFont="1" applyFill="1" applyBorder="1" applyAlignment="1">
      <alignment horizontal="left" vertical="center"/>
    </xf>
    <xf numFmtId="1" fontId="29" fillId="0" borderId="3" xfId="0" quotePrefix="1" applyNumberFormat="1" applyFont="1" applyFill="1" applyBorder="1" applyAlignment="1">
      <alignment horizontal="center" vertical="center"/>
    </xf>
    <xf numFmtId="0" fontId="29"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xf>
    <xf numFmtId="0" fontId="29" fillId="0" borderId="1" xfId="0" quotePrefix="1" applyNumberFormat="1" applyFont="1" applyFill="1" applyBorder="1" applyAlignment="1">
      <alignment horizontal="center" vertical="center"/>
    </xf>
    <xf numFmtId="49" fontId="29" fillId="0" borderId="5" xfId="0" quotePrefix="1" applyNumberFormat="1" applyFont="1" applyFill="1" applyBorder="1" applyAlignment="1">
      <alignment horizontal="center" vertical="center"/>
    </xf>
    <xf numFmtId="0" fontId="29" fillId="0" borderId="5" xfId="0" quotePrefix="1" applyNumberFormat="1" applyFont="1" applyFill="1" applyBorder="1" applyAlignment="1">
      <alignment horizontal="center" vertical="center"/>
    </xf>
    <xf numFmtId="0" fontId="29" fillId="0" borderId="1" xfId="0" quotePrefix="1" applyNumberFormat="1" applyFont="1" applyFill="1" applyBorder="1" applyAlignment="1">
      <alignment horizontal="right" vertical="center"/>
    </xf>
    <xf numFmtId="1" fontId="29" fillId="0" borderId="1" xfId="0" quotePrefix="1" applyNumberFormat="1" applyFont="1" applyFill="1" applyBorder="1" applyAlignment="1">
      <alignment horizontal="right" vertical="center"/>
    </xf>
    <xf numFmtId="9" fontId="29" fillId="0" borderId="1" xfId="0" quotePrefix="1" applyNumberFormat="1" applyFont="1" applyFill="1" applyBorder="1" applyAlignment="1">
      <alignment horizontal="center" vertical="center"/>
    </xf>
    <xf numFmtId="0" fontId="29" fillId="0" borderId="2" xfId="0" quotePrefix="1" applyFont="1" applyFill="1" applyBorder="1" applyAlignment="1">
      <alignment horizontal="center" vertical="center" wrapText="1"/>
    </xf>
    <xf numFmtId="0" fontId="0" fillId="0" borderId="0" xfId="0" applyFill="1" applyAlignment="1">
      <alignment vertical="center" textRotation="90"/>
    </xf>
    <xf numFmtId="0" fontId="29" fillId="0" borderId="2" xfId="0" applyFont="1" applyFill="1" applyBorder="1" applyAlignment="1">
      <alignment vertical="center" wrapText="1"/>
    </xf>
    <xf numFmtId="0" fontId="29" fillId="0" borderId="2" xfId="0" quotePrefix="1" applyFont="1" applyFill="1" applyBorder="1" applyAlignment="1">
      <alignment horizontal="left" vertical="center" wrapText="1"/>
    </xf>
    <xf numFmtId="0" fontId="0" fillId="0" borderId="3" xfId="0" applyFill="1" applyBorder="1"/>
    <xf numFmtId="0" fontId="0" fillId="0" borderId="18" xfId="0" applyFill="1" applyBorder="1"/>
    <xf numFmtId="0" fontId="0" fillId="0" borderId="5" xfId="0" applyFill="1" applyBorder="1"/>
    <xf numFmtId="0" fontId="0" fillId="0" borderId="50" xfId="0" applyFill="1" applyBorder="1"/>
    <xf numFmtId="0" fontId="0" fillId="0" borderId="2" xfId="0" applyFill="1" applyBorder="1" applyAlignment="1">
      <alignment horizontal="left"/>
    </xf>
    <xf numFmtId="165" fontId="0" fillId="0" borderId="1" xfId="0" applyNumberFormat="1" applyFill="1" applyBorder="1"/>
    <xf numFmtId="165" fontId="0" fillId="0" borderId="8" xfId="0" applyNumberFormat="1" applyFill="1" applyBorder="1"/>
    <xf numFmtId="0" fontId="0" fillId="0" borderId="2" xfId="0" applyFill="1" applyBorder="1" applyAlignment="1">
      <alignment horizontal="left" indent="1"/>
    </xf>
    <xf numFmtId="0" fontId="0" fillId="0" borderId="18" xfId="0" applyFill="1" applyBorder="1" applyAlignment="1">
      <alignment horizontal="left" indent="2"/>
    </xf>
    <xf numFmtId="165" fontId="0" fillId="0" borderId="5" xfId="0" applyNumberFormat="1" applyFill="1" applyBorder="1"/>
    <xf numFmtId="165" fontId="0" fillId="0" borderId="50" xfId="0" applyNumberFormat="1" applyFill="1" applyBorder="1"/>
    <xf numFmtId="0" fontId="0" fillId="0" borderId="4" xfId="0" applyFill="1" applyBorder="1" applyAlignment="1">
      <alignment horizontal="left" indent="2"/>
    </xf>
    <xf numFmtId="165" fontId="0" fillId="0" borderId="11" xfId="0" applyNumberFormat="1" applyFill="1" applyBorder="1"/>
    <xf numFmtId="165" fontId="0" fillId="0" borderId="0" xfId="0" applyNumberFormat="1" applyFill="1" applyBorder="1"/>
    <xf numFmtId="0" fontId="0" fillId="0" borderId="23" xfId="0" applyFill="1" applyBorder="1" applyAlignment="1">
      <alignment horizontal="left" indent="2"/>
    </xf>
    <xf numFmtId="165" fontId="0" fillId="0" borderId="9" xfId="0" applyNumberFormat="1" applyFill="1" applyBorder="1"/>
    <xf numFmtId="165" fontId="0" fillId="0" borderId="51" xfId="0" applyNumberFormat="1" applyFill="1" applyBorder="1"/>
    <xf numFmtId="0" fontId="0" fillId="0" borderId="23" xfId="0" applyFill="1" applyBorder="1" applyAlignment="1">
      <alignment horizontal="left"/>
    </xf>
    <xf numFmtId="0" fontId="0" fillId="35" borderId="4" xfId="0" applyFill="1" applyBorder="1" applyAlignment="1">
      <alignment horizontal="left" indent="2"/>
    </xf>
    <xf numFmtId="0" fontId="0" fillId="0" borderId="4" xfId="0" applyBorder="1" applyAlignment="1">
      <alignment horizontal="left" indent="2"/>
    </xf>
    <xf numFmtId="0" fontId="0" fillId="0" borderId="23" xfId="0" applyBorder="1" applyAlignment="1">
      <alignment horizontal="left" indent="2"/>
    </xf>
    <xf numFmtId="0" fontId="0" fillId="0" borderId="23" xfId="0" applyBorder="1" applyAlignment="1">
      <alignment horizontal="left" indent="1"/>
    </xf>
    <xf numFmtId="0" fontId="0" fillId="35" borderId="23" xfId="0" applyFill="1" applyBorder="1" applyAlignment="1">
      <alignment horizontal="left" indent="2"/>
    </xf>
    <xf numFmtId="0" fontId="27" fillId="10" borderId="42" xfId="0" applyFont="1" applyFill="1" applyBorder="1" applyAlignment="1">
      <alignment horizontal="left" vertical="top"/>
    </xf>
    <xf numFmtId="0" fontId="2" fillId="0" borderId="0" xfId="0" applyFont="1" applyBorder="1"/>
    <xf numFmtId="0" fontId="2" fillId="0" borderId="0" xfId="0" applyFont="1" applyFill="1" applyBorder="1"/>
    <xf numFmtId="0" fontId="2" fillId="0" borderId="0" xfId="0" applyFont="1"/>
    <xf numFmtId="0" fontId="2" fillId="0" borderId="0" xfId="0" applyFont="1" applyAlignment="1"/>
    <xf numFmtId="0" fontId="2" fillId="0" borderId="0" xfId="0" applyFont="1" applyFill="1" applyAlignment="1"/>
    <xf numFmtId="0" fontId="2" fillId="0" borderId="0" xfId="0" applyFont="1" applyAlignment="1">
      <alignment horizontal="left"/>
    </xf>
    <xf numFmtId="0" fontId="2" fillId="0" borderId="0" xfId="0" applyFont="1" applyAlignment="1">
      <alignment horizontal="right"/>
    </xf>
    <xf numFmtId="0" fontId="15" fillId="41" borderId="50" xfId="6" applyFont="1" applyFill="1" applyBorder="1" applyAlignment="1">
      <alignment vertical="center"/>
    </xf>
    <xf numFmtId="0" fontId="15" fillId="41" borderId="50" xfId="6" applyFont="1" applyFill="1" applyBorder="1" applyAlignment="1">
      <alignment horizontal="left" vertical="center"/>
    </xf>
    <xf numFmtId="0" fontId="15" fillId="41" borderId="50" xfId="6" applyFont="1" applyFill="1" applyBorder="1" applyAlignment="1">
      <alignment horizontal="right"/>
    </xf>
    <xf numFmtId="0" fontId="15" fillId="41" borderId="0" xfId="6" applyFont="1" applyFill="1" applyBorder="1" applyAlignment="1">
      <alignment vertical="center"/>
    </xf>
    <xf numFmtId="0" fontId="15" fillId="41" borderId="0" xfId="6" applyFont="1" applyFill="1" applyBorder="1" applyAlignment="1">
      <alignment horizontal="left" vertical="center"/>
    </xf>
    <xf numFmtId="0" fontId="15" fillId="41" borderId="0" xfId="6" applyFont="1" applyFill="1" applyBorder="1" applyAlignment="1">
      <alignment horizontal="right"/>
    </xf>
    <xf numFmtId="0" fontId="15" fillId="41" borderId="51" xfId="6" applyFont="1" applyFill="1" applyBorder="1" applyAlignment="1">
      <alignment vertical="center"/>
    </xf>
    <xf numFmtId="0" fontId="15" fillId="41" borderId="51" xfId="6" applyFont="1" applyFill="1" applyBorder="1" applyAlignment="1">
      <alignment horizontal="left" vertical="center"/>
    </xf>
    <xf numFmtId="0" fontId="15" fillId="41" borderId="51" xfId="6" applyFont="1" applyFill="1" applyBorder="1" applyAlignment="1">
      <alignment horizontal="right"/>
    </xf>
    <xf numFmtId="0" fontId="25" fillId="41" borderId="0" xfId="6" applyFont="1" applyFill="1" applyBorder="1" applyAlignment="1">
      <alignment horizontal="left" vertical="center"/>
    </xf>
    <xf numFmtId="0" fontId="15" fillId="41" borderId="18" xfId="6" applyFont="1" applyFill="1" applyBorder="1" applyAlignment="1">
      <alignment horizontal="left" vertical="center"/>
    </xf>
    <xf numFmtId="0" fontId="2" fillId="0" borderId="0" xfId="0" applyFont="1" applyBorder="1" applyAlignment="1">
      <alignment horizontal="left"/>
    </xf>
    <xf numFmtId="0" fontId="2" fillId="0" borderId="0" xfId="0" applyFont="1" applyFill="1" applyAlignment="1">
      <alignment horizontal="left"/>
    </xf>
    <xf numFmtId="1" fontId="2" fillId="0" borderId="0" xfId="0" applyNumberFormat="1" applyFont="1" applyFill="1" applyAlignment="1">
      <alignment horizontal="left"/>
    </xf>
    <xf numFmtId="0" fontId="15" fillId="41" borderId="50" xfId="6" applyFont="1" applyFill="1" applyBorder="1" applyAlignment="1">
      <alignment horizontal="right" vertical="center"/>
    </xf>
    <xf numFmtId="0" fontId="15" fillId="41" borderId="0" xfId="6" applyFont="1" applyFill="1" applyBorder="1" applyAlignment="1">
      <alignment horizontal="right" vertical="center"/>
    </xf>
    <xf numFmtId="2" fontId="15" fillId="41" borderId="0" xfId="6" applyNumberFormat="1" applyFont="1" applyFill="1" applyBorder="1" applyAlignment="1">
      <alignment horizontal="right" vertical="center"/>
    </xf>
    <xf numFmtId="0" fontId="15" fillId="41" borderId="51" xfId="6" applyFont="1" applyFill="1" applyBorder="1" applyAlignment="1">
      <alignment horizontal="right" vertical="center"/>
    </xf>
    <xf numFmtId="2" fontId="15" fillId="41" borderId="51" xfId="6" applyNumberFormat="1" applyFont="1" applyFill="1" applyBorder="1" applyAlignment="1">
      <alignment horizontal="right" vertical="center"/>
    </xf>
    <xf numFmtId="0" fontId="11" fillId="0" borderId="1" xfId="15" applyFont="1" applyFill="1" applyBorder="1" applyAlignment="1">
      <alignment horizontal="right" vertical="center"/>
    </xf>
    <xf numFmtId="2" fontId="2" fillId="0" borderId="0" xfId="0" applyNumberFormat="1" applyFont="1" applyAlignment="1">
      <alignment horizontal="right"/>
    </xf>
    <xf numFmtId="14" fontId="15" fillId="41" borderId="50" xfId="6" applyNumberFormat="1" applyFont="1" applyFill="1" applyBorder="1" applyAlignment="1">
      <alignment horizontal="right" vertical="center"/>
    </xf>
    <xf numFmtId="1" fontId="15" fillId="41" borderId="50" xfId="6" applyNumberFormat="1" applyFont="1" applyFill="1" applyBorder="1" applyAlignment="1">
      <alignment horizontal="right" vertical="center"/>
    </xf>
    <xf numFmtId="0" fontId="2" fillId="41" borderId="50" xfId="0" applyFont="1" applyFill="1" applyBorder="1" applyAlignment="1">
      <alignment horizontal="right"/>
    </xf>
    <xf numFmtId="14" fontId="15" fillId="41" borderId="0" xfId="6" applyNumberFormat="1" applyFont="1" applyFill="1" applyBorder="1" applyAlignment="1">
      <alignment horizontal="right" vertical="center"/>
    </xf>
    <xf numFmtId="1" fontId="15" fillId="41" borderId="0" xfId="6" applyNumberFormat="1" applyFont="1" applyFill="1" applyBorder="1" applyAlignment="1">
      <alignment horizontal="right" vertical="center"/>
    </xf>
    <xf numFmtId="0" fontId="2" fillId="41" borderId="0" xfId="0" applyFont="1" applyFill="1" applyBorder="1" applyAlignment="1">
      <alignment horizontal="right"/>
    </xf>
    <xf numFmtId="14" fontId="15" fillId="41" borderId="51" xfId="6" applyNumberFormat="1" applyFont="1" applyFill="1" applyBorder="1" applyAlignment="1">
      <alignment horizontal="right" vertical="center"/>
    </xf>
    <xf numFmtId="1" fontId="15" fillId="41" borderId="51" xfId="6" applyNumberFormat="1" applyFont="1" applyFill="1" applyBorder="1" applyAlignment="1">
      <alignment horizontal="right" vertical="center"/>
    </xf>
    <xf numFmtId="0" fontId="2" fillId="41" borderId="51" xfId="0" applyFont="1" applyFill="1" applyBorder="1" applyAlignment="1">
      <alignment horizontal="right"/>
    </xf>
    <xf numFmtId="14" fontId="2" fillId="0" borderId="0" xfId="0" applyNumberFormat="1" applyFont="1" applyAlignment="1">
      <alignment horizontal="right"/>
    </xf>
    <xf numFmtId="1" fontId="2" fillId="0" borderId="0" xfId="0" applyNumberFormat="1" applyFont="1" applyAlignment="1">
      <alignment horizontal="right"/>
    </xf>
    <xf numFmtId="0" fontId="2" fillId="41" borderId="50" xfId="0" applyFont="1" applyFill="1" applyBorder="1" applyAlignment="1"/>
    <xf numFmtId="165" fontId="2" fillId="41" borderId="50" xfId="7" applyNumberFormat="1" applyFont="1" applyFill="1" applyBorder="1" applyAlignment="1"/>
    <xf numFmtId="0" fontId="2" fillId="41" borderId="0" xfId="0" applyFont="1" applyFill="1" applyBorder="1" applyAlignment="1"/>
    <xf numFmtId="165" fontId="2" fillId="41" borderId="0" xfId="7" applyNumberFormat="1" applyFont="1" applyFill="1" applyBorder="1" applyAlignment="1"/>
    <xf numFmtId="0" fontId="2" fillId="41" borderId="51" xfId="0" applyFont="1" applyFill="1" applyBorder="1" applyAlignment="1"/>
    <xf numFmtId="165" fontId="2" fillId="41" borderId="51" xfId="7" applyNumberFormat="1" applyFont="1" applyFill="1" applyBorder="1" applyAlignment="1"/>
    <xf numFmtId="165" fontId="2" fillId="0" borderId="0" xfId="7" applyNumberFormat="1" applyFont="1" applyAlignment="1"/>
    <xf numFmtId="0" fontId="25" fillId="41" borderId="4" xfId="6" applyFont="1" applyFill="1" applyBorder="1" applyAlignment="1">
      <alignment horizontal="left" vertical="center"/>
    </xf>
    <xf numFmtId="0" fontId="2" fillId="41" borderId="25" xfId="0" applyFont="1" applyFill="1" applyBorder="1" applyAlignment="1">
      <alignment horizontal="right"/>
    </xf>
    <xf numFmtId="0" fontId="2" fillId="41" borderId="39" xfId="0" applyFont="1" applyFill="1" applyBorder="1" applyAlignment="1">
      <alignment horizontal="right"/>
    </xf>
    <xf numFmtId="0" fontId="2" fillId="41" borderId="17" xfId="0" applyFont="1" applyFill="1" applyBorder="1" applyAlignment="1">
      <alignment horizontal="right"/>
    </xf>
    <xf numFmtId="9" fontId="50" fillId="5" borderId="0" xfId="8" applyFont="1" applyFill="1" applyBorder="1"/>
    <xf numFmtId="9" fontId="50" fillId="5" borderId="0" xfId="0" applyNumberFormat="1" applyFont="1" applyFill="1" applyBorder="1"/>
    <xf numFmtId="49" fontId="11" fillId="0" borderId="1" xfId="12" applyNumberFormat="1" applyFont="1" applyFill="1" applyBorder="1" applyAlignment="1">
      <alignment horizontal="left" vertical="center" wrapText="1"/>
    </xf>
    <xf numFmtId="0" fontId="11" fillId="46" borderId="0" xfId="0" applyFont="1" applyFill="1" applyAlignment="1"/>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2" fontId="15" fillId="41" borderId="0" xfId="6" applyNumberFormat="1" applyFont="1" applyFill="1" applyBorder="1" applyAlignment="1">
      <alignment vertical="center"/>
    </xf>
    <xf numFmtId="2" fontId="15" fillId="41" borderId="51" xfId="6" applyNumberFormat="1" applyFont="1" applyFill="1" applyBorder="1" applyAlignment="1">
      <alignment vertical="center"/>
    </xf>
    <xf numFmtId="0" fontId="11" fillId="0" borderId="1" xfId="0" applyFont="1" applyFill="1" applyBorder="1" applyAlignment="1">
      <alignment vertical="center"/>
    </xf>
    <xf numFmtId="168" fontId="11" fillId="0" borderId="1" xfId="1" applyNumberFormat="1" applyFont="1" applyFill="1" applyBorder="1" applyAlignment="1">
      <alignment vertical="center"/>
    </xf>
    <xf numFmtId="0" fontId="65" fillId="0" borderId="1" xfId="0" applyFont="1" applyFill="1" applyBorder="1" applyAlignment="1">
      <alignment vertical="center"/>
    </xf>
    <xf numFmtId="0" fontId="11" fillId="0" borderId="9" xfId="0" applyFont="1" applyFill="1" applyBorder="1" applyAlignment="1">
      <alignment vertical="center"/>
    </xf>
    <xf numFmtId="1" fontId="2" fillId="0" borderId="0" xfId="0" applyNumberFormat="1" applyFont="1" applyFill="1" applyAlignment="1"/>
    <xf numFmtId="49" fontId="67" fillId="0" borderId="1" xfId="0" applyNumberFormat="1" applyFont="1" applyFill="1" applyBorder="1"/>
    <xf numFmtId="0" fontId="67" fillId="0" borderId="1" xfId="14" applyFont="1" applyFill="1" applyBorder="1" applyAlignment="1"/>
    <xf numFmtId="49" fontId="67" fillId="0" borderId="1" xfId="0" applyNumberFormat="1" applyFont="1" applyFill="1" applyBorder="1" applyAlignment="1">
      <alignment horizontal="left" vertical="center"/>
    </xf>
    <xf numFmtId="0" fontId="67" fillId="0" borderId="1" xfId="0" applyFont="1" applyFill="1" applyBorder="1"/>
    <xf numFmtId="0" fontId="66" fillId="0" borderId="1" xfId="0" applyFont="1" applyFill="1" applyBorder="1"/>
    <xf numFmtId="49" fontId="66" fillId="0" borderId="1" xfId="0" applyNumberFormat="1" applyFont="1" applyFill="1" applyBorder="1"/>
    <xf numFmtId="0" fontId="66" fillId="0" borderId="1" xfId="0" applyNumberFormat="1" applyFont="1" applyFill="1" applyBorder="1"/>
    <xf numFmtId="9" fontId="67" fillId="0" borderId="1" xfId="0" applyNumberFormat="1" applyFont="1" applyFill="1" applyBorder="1"/>
    <xf numFmtId="0" fontId="11" fillId="0" borderId="1" xfId="0" applyFont="1" applyFill="1" applyBorder="1" applyAlignment="1"/>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11" fillId="0" borderId="1" xfId="15" applyNumberFormat="1" applyFont="1" applyBorder="1" applyAlignment="1">
      <alignment horizontal="right" vertical="center"/>
    </xf>
    <xf numFmtId="15" fontId="2" fillId="0" borderId="1" xfId="0" applyNumberFormat="1" applyFont="1" applyFill="1" applyBorder="1"/>
    <xf numFmtId="15" fontId="11" fillId="0" borderId="1" xfId="0" applyNumberFormat="1" applyFont="1" applyFill="1" applyBorder="1"/>
    <xf numFmtId="15" fontId="0" fillId="0" borderId="1" xfId="0" applyNumberFormat="1" applyFont="1" applyFill="1" applyBorder="1"/>
    <xf numFmtId="15" fontId="11" fillId="0" borderId="1" xfId="0" applyNumberFormat="1" applyFont="1" applyFill="1" applyBorder="1"/>
    <xf numFmtId="15" fontId="67" fillId="0" borderId="1" xfId="0" applyNumberFormat="1" applyFont="1" applyFill="1" applyBorder="1" applyAlignment="1"/>
    <xf numFmtId="15" fontId="63" fillId="0" borderId="1" xfId="0" applyNumberFormat="1" applyFont="1" applyFill="1" applyBorder="1" applyAlignment="1"/>
    <xf numFmtId="15" fontId="0" fillId="0" borderId="1" xfId="0" applyNumberFormat="1" applyFont="1" applyFill="1" applyBorder="1"/>
    <xf numFmtId="9" fontId="64" fillId="0" borderId="1" xfId="0" applyNumberFormat="1" applyFont="1" applyFill="1" applyBorder="1"/>
    <xf numFmtId="0" fontId="0" fillId="0" borderId="1" xfId="0" applyNumberFormat="1" applyFont="1" applyFill="1" applyBorder="1" applyAlignment="1">
      <alignment horizontal="left"/>
    </xf>
    <xf numFmtId="15" fontId="66" fillId="0" borderId="1" xfId="0" applyNumberFormat="1" applyFont="1" applyFill="1" applyBorder="1"/>
    <xf numFmtId="9" fontId="66" fillId="0" borderId="1" xfId="0" applyNumberFormat="1" applyFont="1" applyFill="1" applyBorder="1"/>
    <xf numFmtId="15" fontId="11" fillId="3" borderId="17" xfId="0" applyNumberFormat="1" applyFont="1" applyFill="1" applyBorder="1" applyAlignment="1">
      <alignment vertical="center"/>
    </xf>
    <xf numFmtId="0" fontId="11" fillId="3" borderId="9" xfId="0" applyFont="1" applyFill="1" applyBorder="1" applyAlignment="1">
      <alignment vertical="center"/>
    </xf>
    <xf numFmtId="0" fontId="11" fillId="3" borderId="9" xfId="0" applyFont="1" applyFill="1" applyBorder="1" applyAlignment="1">
      <alignment vertical="center" wrapText="1"/>
    </xf>
    <xf numFmtId="0" fontId="11" fillId="11" borderId="9" xfId="0" applyFont="1" applyFill="1" applyBorder="1" applyAlignment="1">
      <alignment vertical="center" wrapText="1"/>
    </xf>
    <xf numFmtId="0" fontId="11" fillId="7" borderId="9" xfId="0" applyFont="1" applyFill="1" applyBorder="1" applyAlignment="1">
      <alignment vertical="center" wrapText="1"/>
    </xf>
    <xf numFmtId="0" fontId="11" fillId="12" borderId="9" xfId="0" applyFont="1" applyFill="1" applyBorder="1" applyAlignment="1">
      <alignment vertical="center" wrapText="1"/>
    </xf>
    <xf numFmtId="0" fontId="11" fillId="20" borderId="9" xfId="0" applyFont="1" applyFill="1" applyBorder="1" applyAlignment="1">
      <alignment vertical="center" wrapText="1"/>
    </xf>
    <xf numFmtId="0" fontId="11" fillId="17" borderId="9" xfId="0" applyFont="1" applyFill="1" applyBorder="1" applyAlignment="1">
      <alignment vertical="center" wrapText="1"/>
    </xf>
    <xf numFmtId="0" fontId="0" fillId="0" borderId="9" xfId="0" applyFill="1" applyBorder="1" applyAlignment="1">
      <alignment vertical="center"/>
    </xf>
    <xf numFmtId="0" fontId="11" fillId="20" borderId="23" xfId="0" applyFont="1" applyFill="1" applyBorder="1" applyAlignment="1">
      <alignment vertical="center" wrapText="1"/>
    </xf>
    <xf numFmtId="0" fontId="11" fillId="12" borderId="23" xfId="0" applyFont="1" applyFill="1" applyBorder="1" applyAlignment="1">
      <alignment vertical="center" wrapText="1"/>
    </xf>
    <xf numFmtId="0" fontId="60" fillId="0" borderId="15" xfId="5" applyFont="1" applyFill="1" applyBorder="1" applyAlignment="1">
      <alignment horizontal="center" vertical="center"/>
    </xf>
    <xf numFmtId="0" fontId="60" fillId="0" borderId="33" xfId="5" applyFont="1" applyFill="1" applyBorder="1" applyAlignment="1">
      <alignment horizontal="center" vertical="center"/>
    </xf>
    <xf numFmtId="0" fontId="60" fillId="0" borderId="39" xfId="5" applyFont="1" applyFill="1" applyBorder="1" applyAlignment="1">
      <alignment horizontal="center" vertical="center"/>
    </xf>
    <xf numFmtId="0" fontId="60" fillId="0" borderId="11" xfId="5" applyFont="1" applyFill="1" applyBorder="1" applyAlignment="1">
      <alignment horizontal="center" vertical="center"/>
    </xf>
    <xf numFmtId="0" fontId="60" fillId="0" borderId="4" xfId="5" applyFont="1" applyFill="1" applyBorder="1" applyAlignment="1">
      <alignment horizontal="center" vertical="center"/>
    </xf>
    <xf numFmtId="0" fontId="60" fillId="0" borderId="0" xfId="5" applyFont="1" applyFill="1"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vertical="center"/>
    </xf>
    <xf numFmtId="1" fontId="60" fillId="0" borderId="0" xfId="5" applyNumberFormat="1" applyFont="1" applyFill="1" applyBorder="1" applyAlignment="1">
      <alignment vertical="center"/>
    </xf>
    <xf numFmtId="2" fontId="60" fillId="0" borderId="33" xfId="5" applyNumberFormat="1" applyFont="1" applyFill="1" applyBorder="1" applyAlignment="1">
      <alignment horizontal="center" vertical="center"/>
    </xf>
    <xf numFmtId="0" fontId="2" fillId="0" borderId="33" xfId="0" applyFont="1" applyBorder="1" applyAlignment="1">
      <alignment horizontal="center" vertical="center"/>
    </xf>
    <xf numFmtId="14" fontId="2" fillId="0" borderId="0" xfId="0" applyNumberFormat="1" applyFont="1" applyBorder="1" applyAlignment="1">
      <alignment horizontal="center" vertical="center"/>
    </xf>
    <xf numFmtId="1" fontId="2" fillId="0" borderId="33" xfId="0" applyNumberFormat="1" applyFont="1" applyBorder="1" applyAlignment="1">
      <alignment horizontal="center" vertical="center"/>
    </xf>
    <xf numFmtId="15" fontId="60" fillId="0" borderId="4" xfId="5" applyNumberFormat="1" applyFont="1" applyFill="1" applyBorder="1" applyAlignment="1">
      <alignment horizontal="center" vertical="center"/>
    </xf>
    <xf numFmtId="1" fontId="2" fillId="43" borderId="0" xfId="0" applyNumberFormat="1" applyFont="1" applyFill="1" applyBorder="1" applyAlignment="1">
      <alignment horizontal="center" vertical="center"/>
    </xf>
    <xf numFmtId="0" fontId="11" fillId="2" borderId="33" xfId="5" applyFont="1" applyFill="1" applyBorder="1" applyAlignment="1">
      <alignment horizontal="center" vertical="center"/>
    </xf>
    <xf numFmtId="0" fontId="11" fillId="2" borderId="0" xfId="5" applyFont="1" applyFill="1" applyBorder="1" applyAlignment="1">
      <alignment horizontal="center" vertical="center"/>
    </xf>
    <xf numFmtId="0" fontId="60" fillId="17" borderId="0" xfId="5" applyFont="1" applyFill="1" applyBorder="1" applyAlignment="1">
      <alignment horizontal="center" vertical="center"/>
    </xf>
    <xf numFmtId="165" fontId="60" fillId="17" borderId="33" xfId="7" applyNumberFormat="1" applyFont="1" applyFill="1" applyBorder="1" applyAlignment="1">
      <alignment horizontal="center" vertical="center"/>
    </xf>
    <xf numFmtId="165" fontId="60" fillId="17" borderId="16" xfId="7" applyNumberFormat="1" applyFont="1" applyFill="1" applyBorder="1" applyAlignment="1">
      <alignment horizontal="center" vertical="center"/>
    </xf>
    <xf numFmtId="49" fontId="11" fillId="0" borderId="1" xfId="0" applyNumberFormat="1" applyFont="1" applyFill="1" applyBorder="1" applyAlignment="1">
      <alignment vertical="center"/>
    </xf>
    <xf numFmtId="49" fontId="11" fillId="0" borderId="1" xfId="12" applyNumberFormat="1" applyFont="1" applyFill="1" applyBorder="1" applyAlignment="1">
      <alignment vertical="center" wrapText="1"/>
    </xf>
    <xf numFmtId="49" fontId="11" fillId="0" borderId="1" xfId="12" applyNumberFormat="1" applyFont="1" applyFill="1" applyBorder="1" applyAlignment="1">
      <alignment vertical="center"/>
    </xf>
    <xf numFmtId="0" fontId="11" fillId="46" borderId="1" xfId="0" applyFont="1" applyFill="1" applyBorder="1" applyAlignment="1">
      <alignment vertical="center"/>
    </xf>
    <xf numFmtId="49" fontId="11" fillId="0" borderId="1" xfId="0" applyNumberFormat="1" applyFont="1" applyBorder="1" applyAlignment="1">
      <alignment vertical="center"/>
    </xf>
    <xf numFmtId="49" fontId="11" fillId="46" borderId="1" xfId="0" applyNumberFormat="1" applyFont="1" applyFill="1" applyBorder="1" applyAlignment="1">
      <alignment vertical="center"/>
    </xf>
    <xf numFmtId="49" fontId="11" fillId="0" borderId="1" xfId="0" applyNumberFormat="1" applyFont="1" applyFill="1" applyBorder="1" applyAlignment="1">
      <alignment horizontal="left" vertical="center" wrapText="1"/>
    </xf>
    <xf numFmtId="1" fontId="11" fillId="0" borderId="1" xfId="0" applyNumberFormat="1" applyFont="1" applyBorder="1" applyAlignment="1">
      <alignment horizontal="right" vertical="center"/>
    </xf>
    <xf numFmtId="0" fontId="11" fillId="0" borderId="1" xfId="12" applyNumberFormat="1" applyFont="1" applyFill="1" applyBorder="1" applyAlignment="1">
      <alignment vertical="center"/>
    </xf>
    <xf numFmtId="1" fontId="11" fillId="0" borderId="1" xfId="12" applyNumberFormat="1" applyFont="1" applyFill="1" applyBorder="1" applyAlignment="1">
      <alignment vertical="center"/>
    </xf>
    <xf numFmtId="2" fontId="11" fillId="0" borderId="1" xfId="0" applyNumberFormat="1" applyFont="1" applyFill="1" applyBorder="1" applyAlignment="1">
      <alignment horizontal="right" vertical="center"/>
    </xf>
    <xf numFmtId="14"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49" fontId="11" fillId="0" borderId="1" xfId="12" applyNumberFormat="1" applyFont="1" applyFill="1" applyBorder="1" applyAlignment="1">
      <alignment horizontal="right" vertical="center"/>
    </xf>
    <xf numFmtId="49" fontId="11" fillId="0" borderId="1" xfId="0" applyNumberFormat="1" applyFont="1" applyFill="1" applyBorder="1" applyAlignment="1">
      <alignment horizontal="right" vertical="center"/>
    </xf>
    <xf numFmtId="22" fontId="11" fillId="0" borderId="1" xfId="0" applyNumberFormat="1" applyFont="1" applyFill="1" applyBorder="1" applyAlignment="1">
      <alignment horizontal="right" vertical="center"/>
    </xf>
    <xf numFmtId="1" fontId="11" fillId="0" borderId="1" xfId="0" applyNumberFormat="1" applyFont="1" applyBorder="1" applyAlignment="1">
      <alignment vertical="center"/>
    </xf>
    <xf numFmtId="165" fontId="11" fillId="0" borderId="1" xfId="7" applyNumberFormat="1" applyFont="1" applyFill="1" applyBorder="1" applyAlignment="1">
      <alignment vertical="center"/>
    </xf>
    <xf numFmtId="49" fontId="11" fillId="0" borderId="1" xfId="0" applyNumberFormat="1" applyFont="1" applyFill="1" applyBorder="1" applyAlignment="1">
      <alignment horizontal="right"/>
    </xf>
    <xf numFmtId="0" fontId="11" fillId="0" borderId="1" xfId="0" applyNumberFormat="1" applyFont="1" applyFill="1" applyBorder="1" applyAlignment="1">
      <alignment horizontal="right" vertical="center"/>
    </xf>
    <xf numFmtId="14" fontId="11" fillId="0" borderId="1" xfId="0" applyNumberFormat="1" applyFont="1" applyBorder="1" applyAlignment="1" applyProtection="1">
      <alignment horizontal="right" vertical="center"/>
    </xf>
    <xf numFmtId="1" fontId="11" fillId="0" borderId="1" xfId="0" applyNumberFormat="1" applyFont="1" applyBorder="1" applyAlignment="1" applyProtection="1">
      <alignment horizontal="right" vertical="center"/>
    </xf>
    <xf numFmtId="15" fontId="11" fillId="0" borderId="1" xfId="0" applyNumberFormat="1" applyFont="1" applyFill="1" applyBorder="1" applyAlignment="1">
      <alignment horizontal="right" vertical="center"/>
    </xf>
    <xf numFmtId="1" fontId="11" fillId="0" borderId="1" xfId="0" applyNumberFormat="1" applyFont="1" applyBorder="1" applyAlignment="1" applyProtection="1">
      <alignment vertical="center"/>
    </xf>
    <xf numFmtId="0" fontId="11" fillId="0" borderId="1" xfId="15" applyFont="1" applyFill="1" applyBorder="1" applyAlignment="1">
      <alignment horizontal="left" vertical="center"/>
    </xf>
    <xf numFmtId="0" fontId="11" fillId="0" borderId="1" xfId="0" applyNumberFormat="1" applyFont="1" applyBorder="1" applyAlignment="1">
      <alignment horizontal="right" vertical="center"/>
    </xf>
    <xf numFmtId="49" fontId="11" fillId="0" borderId="1" xfId="0" applyNumberFormat="1" applyFont="1" applyFill="1" applyBorder="1" applyAlignment="1" applyProtection="1">
      <alignment horizontal="left" vertical="center" wrapText="1"/>
      <protection locked="0"/>
    </xf>
    <xf numFmtId="168" fontId="11" fillId="0" borderId="1" xfId="12" applyNumberFormat="1" applyFont="1" applyFill="1" applyBorder="1" applyAlignment="1">
      <alignment horizontal="right" vertical="center"/>
    </xf>
    <xf numFmtId="15" fontId="11" fillId="0" borderId="1" xfId="12" applyNumberFormat="1" applyFont="1" applyFill="1" applyBorder="1" applyAlignment="1">
      <alignment horizontal="right" vertical="center" wrapText="1"/>
    </xf>
    <xf numFmtId="49" fontId="11" fillId="0" borderId="1" xfId="0" applyNumberFormat="1" applyFont="1" applyFill="1" applyBorder="1" applyAlignment="1" applyProtection="1">
      <alignment horizontal="left" vertical="center"/>
      <protection locked="0"/>
    </xf>
    <xf numFmtId="0" fontId="11" fillId="0" borderId="1" xfId="0" applyFont="1" applyFill="1" applyBorder="1" applyAlignment="1">
      <alignment horizontal="right" vertical="center"/>
    </xf>
    <xf numFmtId="1" fontId="11" fillId="0" borderId="1" xfId="0" applyNumberFormat="1" applyFont="1" applyFill="1" applyBorder="1" applyAlignment="1">
      <alignment horizontal="right" vertical="center"/>
    </xf>
    <xf numFmtId="14" fontId="11" fillId="0" borderId="1" xfId="0" applyNumberFormat="1" applyFont="1" applyFill="1" applyBorder="1" applyAlignment="1">
      <alignment horizontal="right" vertical="center"/>
    </xf>
    <xf numFmtId="1" fontId="11" fillId="0" borderId="1" xfId="0" applyNumberFormat="1" applyFont="1" applyFill="1" applyBorder="1" applyAlignment="1">
      <alignment vertical="center"/>
    </xf>
    <xf numFmtId="0" fontId="11" fillId="0" borderId="1" xfId="12" applyFont="1" applyFill="1" applyBorder="1" applyAlignment="1">
      <alignment horizontal="left" vertical="center" wrapText="1"/>
    </xf>
    <xf numFmtId="0"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1" fontId="11" fillId="0" borderId="1" xfId="0" applyNumberFormat="1" applyFont="1" applyFill="1" applyBorder="1" applyAlignment="1" applyProtection="1">
      <alignment vertical="center"/>
    </xf>
    <xf numFmtId="0" fontId="11" fillId="0" borderId="1" xfId="0" applyNumberFormat="1" applyFont="1" applyFill="1" applyBorder="1" applyAlignment="1">
      <alignment vertical="center"/>
    </xf>
    <xf numFmtId="0" fontId="11" fillId="0" borderId="1" xfId="0" applyNumberFormat="1" applyFont="1" applyFill="1" applyBorder="1" applyAlignment="1">
      <alignment horizontal="right"/>
    </xf>
    <xf numFmtId="0" fontId="29" fillId="0" borderId="1" xfId="0" applyFont="1" applyFill="1" applyBorder="1"/>
    <xf numFmtId="0" fontId="11" fillId="0" borderId="1" xfId="0" applyNumberFormat="1" applyFont="1" applyFill="1" applyBorder="1" applyAlignment="1">
      <alignment horizontal="left" vertical="center" wrapText="1"/>
    </xf>
    <xf numFmtId="49" fontId="11" fillId="0" borderId="1" xfId="12" applyNumberFormat="1" applyFont="1" applyFill="1" applyBorder="1" applyAlignment="1">
      <alignment horizontal="left" vertical="center"/>
    </xf>
    <xf numFmtId="0" fontId="11" fillId="0" borderId="1" xfId="12" applyFont="1" applyFill="1" applyBorder="1" applyAlignment="1">
      <alignment horizontal="left" vertical="center"/>
    </xf>
    <xf numFmtId="0" fontId="11" fillId="0" borderId="1" xfId="15" applyNumberFormat="1" applyFont="1" applyFill="1" applyBorder="1" applyAlignment="1">
      <alignment horizontal="right" vertical="center"/>
    </xf>
    <xf numFmtId="22" fontId="11" fillId="0" borderId="1" xfId="12" applyNumberFormat="1" applyFont="1" applyFill="1" applyBorder="1" applyAlignment="1">
      <alignment horizontal="right" vertical="center" wrapText="1"/>
    </xf>
    <xf numFmtId="0" fontId="68" fillId="0" borderId="1" xfId="19" applyFont="1" applyFill="1" applyBorder="1" applyAlignment="1">
      <alignment horizontal="left"/>
    </xf>
    <xf numFmtId="17" fontId="11" fillId="0" borderId="1" xfId="0" applyNumberFormat="1" applyFont="1" applyFill="1" applyBorder="1" applyAlignment="1">
      <alignment horizontal="right" vertical="center"/>
    </xf>
    <xf numFmtId="0" fontId="11" fillId="0" borderId="1" xfId="19" applyFont="1" applyFill="1" applyBorder="1" applyAlignment="1">
      <alignment horizontal="left"/>
    </xf>
    <xf numFmtId="0" fontId="68" fillId="0" borderId="1" xfId="15" applyFont="1" applyFill="1" applyBorder="1" applyAlignment="1">
      <alignment horizontal="left" vertical="center"/>
    </xf>
    <xf numFmtId="0" fontId="11" fillId="0" borderId="1" xfId="0" applyFont="1" applyFill="1" applyBorder="1" applyAlignment="1">
      <alignment vertical="center" wrapText="1"/>
    </xf>
    <xf numFmtId="14" fontId="11" fillId="0" borderId="1" xfId="0" applyNumberFormat="1" applyFont="1" applyFill="1" applyBorder="1" applyAlignment="1" applyProtection="1">
      <alignment horizontal="right" vertical="center"/>
    </xf>
    <xf numFmtId="1" fontId="11" fillId="0" borderId="1" xfId="0" applyNumberFormat="1" applyFont="1" applyFill="1" applyBorder="1" applyAlignment="1" applyProtection="1">
      <alignment horizontal="right" vertical="center"/>
    </xf>
    <xf numFmtId="0" fontId="11" fillId="0" borderId="1" xfId="4" applyFont="1" applyFill="1" applyBorder="1" applyAlignment="1">
      <alignment horizontal="right" vertical="center"/>
    </xf>
    <xf numFmtId="0" fontId="11" fillId="0" borderId="1" xfId="0" applyFont="1" applyFill="1" applyBorder="1" applyAlignment="1">
      <alignment horizontal="right"/>
    </xf>
    <xf numFmtId="0" fontId="11" fillId="0" borderId="1" xfId="0" applyFont="1" applyFill="1" applyBorder="1" applyAlignment="1">
      <alignment horizontal="left"/>
    </xf>
    <xf numFmtId="172" fontId="11" fillId="0" borderId="1" xfId="0" applyNumberFormat="1" applyFont="1" applyFill="1" applyBorder="1" applyAlignment="1">
      <alignment horizontal="right"/>
    </xf>
    <xf numFmtId="0" fontId="11" fillId="0" borderId="1" xfId="0" applyNumberFormat="1" applyFont="1" applyFill="1" applyBorder="1" applyAlignment="1" applyProtection="1">
      <alignment horizontal="left" vertical="center"/>
      <protection locked="0"/>
    </xf>
    <xf numFmtId="49" fontId="11" fillId="0" borderId="1" xfId="18" applyNumberFormat="1" applyFont="1" applyFill="1" applyBorder="1" applyAlignment="1">
      <alignment horizontal="left"/>
    </xf>
    <xf numFmtId="49" fontId="11" fillId="46" borderId="1" xfId="12" applyNumberFormat="1" applyFont="1" applyFill="1" applyBorder="1" applyAlignment="1">
      <alignment horizontal="left" vertical="center" wrapText="1"/>
    </xf>
    <xf numFmtId="49" fontId="11" fillId="46" borderId="1" xfId="0" applyNumberFormat="1" applyFont="1" applyFill="1" applyBorder="1" applyAlignment="1">
      <alignment horizontal="left" vertical="center"/>
    </xf>
    <xf numFmtId="49" fontId="11" fillId="46" borderId="1" xfId="0" applyNumberFormat="1" applyFont="1" applyFill="1" applyBorder="1" applyAlignment="1" applyProtection="1">
      <alignment horizontal="left" vertical="center" wrapText="1"/>
      <protection locked="0"/>
    </xf>
    <xf numFmtId="0" fontId="11" fillId="46" borderId="1" xfId="0" applyNumberFormat="1" applyFont="1" applyFill="1" applyBorder="1" applyAlignment="1" applyProtection="1">
      <alignment horizontal="left" vertical="center" wrapText="1"/>
      <protection locked="0"/>
    </xf>
    <xf numFmtId="0" fontId="11" fillId="46" borderId="1" xfId="0" applyFont="1" applyFill="1" applyBorder="1" applyAlignment="1">
      <alignment horizontal="left" vertical="center"/>
    </xf>
    <xf numFmtId="0" fontId="11" fillId="46" borderId="1" xfId="0" applyFont="1" applyFill="1" applyBorder="1" applyAlignment="1">
      <alignment horizontal="right" vertical="center"/>
    </xf>
    <xf numFmtId="0" fontId="11" fillId="46" borderId="1" xfId="0" applyNumberFormat="1" applyFont="1" applyFill="1" applyBorder="1" applyAlignment="1">
      <alignment horizontal="right" vertical="center"/>
    </xf>
    <xf numFmtId="1" fontId="11" fillId="46" borderId="1" xfId="0" applyNumberFormat="1" applyFont="1" applyFill="1" applyBorder="1" applyAlignment="1">
      <alignment vertical="center"/>
    </xf>
    <xf numFmtId="2" fontId="11" fillId="46" borderId="1" xfId="0" applyNumberFormat="1" applyFont="1" applyFill="1" applyBorder="1" applyAlignment="1">
      <alignment horizontal="right" vertical="center"/>
    </xf>
    <xf numFmtId="1" fontId="11" fillId="46" borderId="1" xfId="0" applyNumberFormat="1" applyFont="1" applyFill="1" applyBorder="1" applyAlignment="1">
      <alignment horizontal="right" vertical="center"/>
    </xf>
    <xf numFmtId="15" fontId="11" fillId="46" borderId="1" xfId="0" applyNumberFormat="1" applyFont="1" applyFill="1" applyBorder="1" applyAlignment="1">
      <alignment horizontal="right" vertical="center"/>
    </xf>
    <xf numFmtId="1" fontId="11" fillId="46" borderId="1" xfId="0" applyNumberFormat="1" applyFont="1" applyFill="1" applyBorder="1" applyAlignment="1" applyProtection="1">
      <alignment vertical="center"/>
    </xf>
    <xf numFmtId="0" fontId="11" fillId="46" borderId="1" xfId="0" applyNumberFormat="1" applyFont="1" applyFill="1" applyBorder="1" applyAlignment="1">
      <alignment vertical="center"/>
    </xf>
    <xf numFmtId="165" fontId="11" fillId="46" borderId="1" xfId="7" applyNumberFormat="1" applyFont="1" applyFill="1" applyBorder="1" applyAlignment="1">
      <alignment vertical="center"/>
    </xf>
    <xf numFmtId="0" fontId="11" fillId="46" borderId="1" xfId="0" applyNumberFormat="1" applyFont="1" applyFill="1" applyBorder="1" applyAlignment="1">
      <alignment horizontal="right"/>
    </xf>
    <xf numFmtId="0" fontId="11" fillId="0" borderId="1" xfId="0" applyNumberFormat="1" applyFont="1" applyFill="1" applyBorder="1" applyAlignment="1" applyProtection="1">
      <alignment horizontal="left" vertical="center" wrapText="1"/>
      <protection locked="0"/>
    </xf>
    <xf numFmtId="0" fontId="11" fillId="0" borderId="1" xfId="0" applyFont="1" applyBorder="1" applyAlignment="1">
      <alignment horizontal="right"/>
    </xf>
    <xf numFmtId="0" fontId="11" fillId="46" borderId="0" xfId="0" applyFont="1" applyFill="1"/>
    <xf numFmtId="0" fontId="11" fillId="46" borderId="1" xfId="12" applyFont="1" applyFill="1" applyBorder="1" applyAlignment="1">
      <alignment horizontal="left" vertical="center" wrapText="1"/>
    </xf>
    <xf numFmtId="0" fontId="11" fillId="46" borderId="1" xfId="0" applyNumberFormat="1" applyFont="1" applyFill="1" applyBorder="1" applyAlignment="1">
      <alignment horizontal="left" vertical="center"/>
    </xf>
    <xf numFmtId="0" fontId="11" fillId="46" borderId="1" xfId="15" applyFont="1" applyFill="1" applyBorder="1" applyAlignment="1">
      <alignment horizontal="right" vertical="center"/>
    </xf>
    <xf numFmtId="0" fontId="11" fillId="46" borderId="1" xfId="12" applyNumberFormat="1" applyFont="1" applyFill="1" applyBorder="1" applyAlignment="1">
      <alignment vertical="center"/>
    </xf>
    <xf numFmtId="1" fontId="11" fillId="46" borderId="1" xfId="12" applyNumberFormat="1" applyFont="1" applyFill="1" applyBorder="1" applyAlignment="1">
      <alignment vertical="center"/>
    </xf>
    <xf numFmtId="49" fontId="11" fillId="46" borderId="1" xfId="0" applyNumberFormat="1" applyFont="1" applyFill="1" applyBorder="1" applyAlignment="1">
      <alignment horizontal="right" vertical="center"/>
    </xf>
    <xf numFmtId="0" fontId="11" fillId="46" borderId="1" xfId="0" applyNumberFormat="1" applyFont="1" applyFill="1" applyBorder="1" applyAlignment="1" applyProtection="1">
      <alignment horizontal="left" vertical="center"/>
      <protection locked="0"/>
    </xf>
    <xf numFmtId="49" fontId="11" fillId="20" borderId="1" xfId="12" applyNumberFormat="1" applyFont="1" applyFill="1" applyBorder="1" applyAlignment="1">
      <alignment horizontal="left" vertical="center" wrapText="1"/>
    </xf>
    <xf numFmtId="1" fontId="11" fillId="46" borderId="1" xfId="0" applyNumberFormat="1" applyFont="1" applyFill="1" applyBorder="1" applyAlignment="1" applyProtection="1">
      <alignment horizontal="right" vertical="center"/>
    </xf>
    <xf numFmtId="14" fontId="11" fillId="46" borderId="1" xfId="0" applyNumberFormat="1" applyFont="1" applyFill="1" applyBorder="1" applyAlignment="1" applyProtection="1">
      <alignment horizontal="right" vertical="center"/>
    </xf>
    <xf numFmtId="0" fontId="0" fillId="0" borderId="4" xfId="0" applyBorder="1" applyAlignment="1">
      <alignment horizontal="left" indent="1"/>
    </xf>
    <xf numFmtId="14" fontId="11" fillId="46" borderId="1" xfId="0" applyNumberFormat="1" applyFont="1" applyFill="1" applyBorder="1" applyAlignment="1">
      <alignment horizontal="right" vertical="center"/>
    </xf>
    <xf numFmtId="14" fontId="0" fillId="0" borderId="0" xfId="0" applyNumberFormat="1" applyFont="1" applyAlignment="1">
      <alignment horizontal="right"/>
    </xf>
    <xf numFmtId="0" fontId="2" fillId="41" borderId="50" xfId="0" applyFont="1" applyFill="1" applyBorder="1" applyAlignment="1">
      <alignment horizontal="left" wrapText="1"/>
    </xf>
    <xf numFmtId="0" fontId="2" fillId="41" borderId="0" xfId="0" applyFont="1" applyFill="1" applyBorder="1" applyAlignment="1">
      <alignment horizontal="left" wrapText="1"/>
    </xf>
    <xf numFmtId="0" fontId="2" fillId="41" borderId="51" xfId="0" applyFont="1" applyFill="1" applyBorder="1" applyAlignment="1">
      <alignment horizontal="left" wrapText="1"/>
    </xf>
    <xf numFmtId="0" fontId="60" fillId="0" borderId="33" xfId="5" applyFont="1" applyFill="1" applyBorder="1" applyAlignment="1">
      <alignment horizontal="center" vertical="center" wrapText="1"/>
    </xf>
    <xf numFmtId="15" fontId="11" fillId="0" borderId="1" xfId="0" applyNumberFormat="1" applyFont="1" applyFill="1" applyBorder="1" applyAlignment="1">
      <alignment horizontal="left" vertical="center" wrapText="1"/>
    </xf>
    <xf numFmtId="0" fontId="11" fillId="46" borderId="1" xfId="0" applyFont="1" applyFill="1" applyBorder="1" applyAlignment="1">
      <alignment horizontal="left" vertical="center" wrapText="1"/>
    </xf>
    <xf numFmtId="0" fontId="2" fillId="0" borderId="0" xfId="0" applyFont="1" applyFill="1" applyAlignment="1">
      <alignment horizontal="left" wrapText="1"/>
    </xf>
    <xf numFmtId="0" fontId="2" fillId="0" borderId="0" xfId="0" applyFont="1" applyAlignment="1">
      <alignment horizontal="left" wrapText="1"/>
    </xf>
    <xf numFmtId="0" fontId="12" fillId="0" borderId="50" xfId="6" applyFont="1" applyFill="1" applyBorder="1" applyAlignment="1">
      <alignment horizontal="center" vertical="center"/>
    </xf>
    <xf numFmtId="0" fontId="4" fillId="0" borderId="0" xfId="0" applyFont="1" applyFill="1" applyAlignment="1">
      <alignment horizontal="center" vertical="center"/>
    </xf>
    <xf numFmtId="0" fontId="29" fillId="0" borderId="0" xfId="0" applyNumberFormat="1" applyFont="1" applyFill="1" applyBorder="1" applyAlignment="1">
      <alignment horizontal="center"/>
    </xf>
    <xf numFmtId="0" fontId="12" fillId="0" borderId="0" xfId="6" applyFont="1" applyFill="1" applyBorder="1" applyAlignment="1">
      <alignment horizontal="center" vertical="center"/>
    </xf>
    <xf numFmtId="0" fontId="12" fillId="0" borderId="51" xfId="6" applyFont="1" applyFill="1" applyBorder="1" applyAlignment="1">
      <alignment horizontal="center" vertical="center"/>
    </xf>
    <xf numFmtId="0" fontId="40" fillId="0" borderId="50" xfId="6" applyFont="1" applyFill="1" applyBorder="1" applyAlignment="1">
      <alignment horizontal="center" vertical="center"/>
    </xf>
    <xf numFmtId="0" fontId="14" fillId="19" borderId="0" xfId="0" applyFont="1" applyFill="1" applyAlignment="1">
      <alignment horizontal="center" vertical="center"/>
    </xf>
    <xf numFmtId="0" fontId="10" fillId="10" borderId="0" xfId="0" applyFont="1" applyFill="1" applyAlignment="1">
      <alignment horizontal="left"/>
    </xf>
    <xf numFmtId="0" fontId="14" fillId="16" borderId="0" xfId="0" applyFont="1" applyFill="1" applyAlignment="1">
      <alignment horizontal="center"/>
    </xf>
    <xf numFmtId="166" fontId="35" fillId="11" borderId="0" xfId="6" applyNumberFormat="1" applyFont="1" applyFill="1" applyBorder="1" applyAlignment="1">
      <alignment horizontal="left" vertical="center"/>
    </xf>
    <xf numFmtId="166" fontId="25" fillId="41" borderId="23" xfId="6" applyNumberFormat="1" applyFont="1" applyFill="1" applyBorder="1" applyAlignment="1">
      <alignment horizontal="left" vertical="center"/>
    </xf>
    <xf numFmtId="166" fontId="25" fillId="41" borderId="51" xfId="6" applyNumberFormat="1" applyFont="1" applyFill="1" applyBorder="1" applyAlignment="1">
      <alignment horizontal="left" vertical="center"/>
    </xf>
    <xf numFmtId="166" fontId="61" fillId="11" borderId="23" xfId="6" applyNumberFormat="1" applyFont="1" applyFill="1" applyBorder="1" applyAlignment="1">
      <alignment horizontal="left" vertical="center"/>
    </xf>
    <xf numFmtId="166" fontId="61" fillId="11" borderId="51" xfId="6" applyNumberFormat="1" applyFont="1" applyFill="1" applyBorder="1" applyAlignment="1">
      <alignment horizontal="left" vertical="center"/>
    </xf>
    <xf numFmtId="0" fontId="32" fillId="41" borderId="0" xfId="6" applyFont="1" applyFill="1" applyBorder="1" applyAlignment="1">
      <alignment horizontal="left" vertical="center"/>
    </xf>
    <xf numFmtId="166" fontId="35" fillId="41" borderId="51" xfId="6" applyNumberFormat="1" applyFont="1" applyFill="1" applyBorder="1" applyAlignment="1">
      <alignment horizontal="left" vertical="center"/>
    </xf>
    <xf numFmtId="0" fontId="9" fillId="41" borderId="0" xfId="6" applyFont="1" applyFill="1" applyBorder="1" applyAlignment="1">
      <alignment horizontal="left" vertical="center"/>
    </xf>
    <xf numFmtId="0" fontId="30" fillId="10" borderId="2" xfId="0" applyFont="1" applyFill="1" applyBorder="1" applyAlignment="1">
      <alignment horizontal="center" vertical="top"/>
    </xf>
    <xf numFmtId="0" fontId="30" fillId="10" borderId="8" xfId="0" applyFont="1" applyFill="1" applyBorder="1" applyAlignment="1">
      <alignment horizontal="center" vertical="top"/>
    </xf>
    <xf numFmtId="0" fontId="30" fillId="10" borderId="3" xfId="0" applyFont="1" applyFill="1" applyBorder="1" applyAlignment="1">
      <alignment horizontal="center" vertical="top"/>
    </xf>
    <xf numFmtId="0" fontId="32" fillId="41" borderId="4" xfId="6" applyFont="1" applyFill="1" applyBorder="1" applyAlignment="1">
      <alignment horizontal="left" vertical="center"/>
    </xf>
    <xf numFmtId="166" fontId="35" fillId="41" borderId="23" xfId="6" applyNumberFormat="1" applyFont="1" applyFill="1" applyBorder="1" applyAlignment="1">
      <alignment horizontal="left" vertical="center"/>
    </xf>
    <xf numFmtId="0" fontId="32" fillId="11" borderId="4" xfId="6" applyFont="1" applyFill="1" applyBorder="1" applyAlignment="1">
      <alignment horizontal="left" vertical="center"/>
    </xf>
    <xf numFmtId="0" fontId="32" fillId="11" borderId="0" xfId="6" applyFont="1" applyFill="1" applyBorder="1" applyAlignment="1">
      <alignment horizontal="left" vertical="center"/>
    </xf>
    <xf numFmtId="166" fontId="35" fillId="11" borderId="23" xfId="6" applyNumberFormat="1" applyFont="1" applyFill="1" applyBorder="1" applyAlignment="1">
      <alignment horizontal="left" vertical="center"/>
    </xf>
    <xf numFmtId="166" fontId="35" fillId="11" borderId="51" xfId="6" applyNumberFormat="1" applyFont="1" applyFill="1" applyBorder="1" applyAlignment="1">
      <alignment horizontal="left" vertical="center"/>
    </xf>
    <xf numFmtId="166" fontId="35" fillId="11" borderId="17" xfId="6" applyNumberFormat="1" applyFont="1" applyFill="1" applyBorder="1" applyAlignment="1">
      <alignment horizontal="left" vertical="center"/>
    </xf>
    <xf numFmtId="0" fontId="53" fillId="41" borderId="0" xfId="6" applyFont="1" applyFill="1" applyBorder="1" applyAlignment="1">
      <alignment horizontal="left" vertical="center"/>
    </xf>
    <xf numFmtId="0" fontId="25" fillId="0" borderId="4" xfId="6" applyFont="1" applyFill="1" applyBorder="1" applyAlignment="1">
      <alignment horizontal="left" vertical="center"/>
    </xf>
    <xf numFmtId="0" fontId="25" fillId="0" borderId="0" xfId="6" applyFont="1" applyFill="1" applyBorder="1" applyAlignment="1">
      <alignment horizontal="left" vertical="center"/>
    </xf>
    <xf numFmtId="0" fontId="0" fillId="2" borderId="29" xfId="0" applyFill="1" applyBorder="1" applyAlignment="1">
      <alignment horizontal="center" wrapText="1"/>
    </xf>
    <xf numFmtId="0" fontId="0" fillId="2" borderId="30" xfId="0" applyFill="1" applyBorder="1" applyAlignment="1">
      <alignment horizontal="center" wrapText="1"/>
    </xf>
    <xf numFmtId="0" fontId="0" fillId="2" borderId="31" xfId="0" applyFill="1" applyBorder="1" applyAlignment="1">
      <alignment horizontal="center" wrapText="1"/>
    </xf>
    <xf numFmtId="0" fontId="0" fillId="33" borderId="29" xfId="0" applyFill="1" applyBorder="1" applyAlignment="1">
      <alignment horizontal="center" wrapText="1"/>
    </xf>
    <xf numFmtId="0" fontId="0" fillId="33" borderId="30" xfId="0" applyFill="1" applyBorder="1" applyAlignment="1">
      <alignment horizontal="center" wrapText="1"/>
    </xf>
    <xf numFmtId="0" fontId="0" fillId="33" borderId="31" xfId="0" applyFill="1" applyBorder="1" applyAlignment="1">
      <alignment horizontal="center" wrapText="1"/>
    </xf>
    <xf numFmtId="0" fontId="0" fillId="32" borderId="29" xfId="0" applyFill="1" applyBorder="1" applyAlignment="1">
      <alignment horizontal="center" wrapText="1"/>
    </xf>
    <xf numFmtId="0" fontId="0" fillId="32" borderId="30" xfId="0" applyFill="1" applyBorder="1" applyAlignment="1">
      <alignment horizontal="center" wrapText="1"/>
    </xf>
    <xf numFmtId="0" fontId="0" fillId="32" borderId="31" xfId="0" applyFill="1" applyBorder="1" applyAlignment="1">
      <alignment horizontal="center" wrapText="1"/>
    </xf>
    <xf numFmtId="0" fontId="0" fillId="3" borderId="58" xfId="0" applyFill="1" applyBorder="1" applyAlignment="1">
      <alignment horizontal="center" textRotation="90"/>
    </xf>
    <xf numFmtId="0" fontId="0" fillId="3" borderId="57" xfId="0" applyFill="1" applyBorder="1" applyAlignment="1">
      <alignment horizontal="center" textRotation="90"/>
    </xf>
    <xf numFmtId="0" fontId="0" fillId="34" borderId="29" xfId="0" applyFill="1" applyBorder="1" applyAlignment="1">
      <alignment horizontal="center" wrapText="1"/>
    </xf>
    <xf numFmtId="0" fontId="0" fillId="34" borderId="30" xfId="0" applyFill="1" applyBorder="1" applyAlignment="1">
      <alignment horizontal="center" wrapText="1"/>
    </xf>
    <xf numFmtId="0" fontId="0" fillId="34" borderId="31" xfId="0" applyFill="1" applyBorder="1" applyAlignment="1">
      <alignment horizontal="center" wrapText="1"/>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3" borderId="13" xfId="0" applyFill="1" applyBorder="1" applyAlignment="1">
      <alignment horizontal="center" textRotation="90"/>
    </xf>
    <xf numFmtId="0" fontId="0" fillId="3" borderId="55" xfId="0" applyFill="1" applyBorder="1" applyAlignment="1">
      <alignment horizontal="center" textRotation="90"/>
    </xf>
    <xf numFmtId="0" fontId="0" fillId="3" borderId="12" xfId="0" applyFill="1" applyBorder="1" applyAlignment="1">
      <alignment horizontal="center" textRotation="90"/>
    </xf>
    <xf numFmtId="0" fontId="0" fillId="3" borderId="54"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7" xfId="0" applyFill="1" applyBorder="1" applyAlignment="1">
      <alignment horizontal="center"/>
    </xf>
    <xf numFmtId="0" fontId="0" fillId="4" borderId="27" xfId="0" applyFill="1" applyBorder="1" applyAlignment="1">
      <alignment horizontal="center" textRotation="90" wrapText="1"/>
    </xf>
    <xf numFmtId="0" fontId="0" fillId="5" borderId="27" xfId="0" applyFill="1" applyBorder="1" applyAlignment="1">
      <alignment horizontal="center" textRotation="90" wrapText="1"/>
    </xf>
    <xf numFmtId="0" fontId="0" fillId="6" borderId="27" xfId="0" applyFill="1" applyBorder="1" applyAlignment="1">
      <alignment horizontal="center" textRotation="90" wrapText="1"/>
    </xf>
    <xf numFmtId="0" fontId="12" fillId="11" borderId="3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3" xfId="0" applyFont="1" applyFill="1" applyBorder="1" applyAlignment="1">
      <alignment horizontal="center" vertical="center" wrapText="1"/>
    </xf>
    <xf numFmtId="166" fontId="25" fillId="41" borderId="0" xfId="6" applyNumberFormat="1" applyFont="1" applyFill="1" applyBorder="1" applyAlignment="1">
      <alignment horizontal="left" wrapText="1"/>
    </xf>
  </cellXfs>
  <cellStyles count="20">
    <cellStyle name="Calculation" xfId="9" builtinId="22"/>
    <cellStyle name="Comma" xfId="7" builtinId="3"/>
    <cellStyle name="Comma 2" xfId="1"/>
    <cellStyle name="Comma 3" xfId="16"/>
    <cellStyle name="Comma 4" xfId="17"/>
    <cellStyle name="Comma 4 10" xfId="10"/>
    <cellStyle name="Hyperlink" xfId="6" builtinId="8"/>
    <cellStyle name="Normal" xfId="0" builtinId="0"/>
    <cellStyle name="Normal 2" xfId="2"/>
    <cellStyle name="Normal 2 2" xfId="3"/>
    <cellStyle name="Normal 4" xfId="4"/>
    <cellStyle name="Normal 5" xfId="11"/>
    <cellStyle name="Normal 6" xfId="13"/>
    <cellStyle name="Normal_6_Village Tracts" xfId="18"/>
    <cellStyle name="Normal_Sheet1" xfId="15"/>
    <cellStyle name="Normal_Sheet1_1" xfId="19"/>
    <cellStyle name="Normal_Sheet11" xfId="5"/>
    <cellStyle name="Normal_Sheet3" xfId="14"/>
    <cellStyle name="Normal_Sheet3_1" xfId="12"/>
    <cellStyle name="Percent" xfId="8" builtinId="5"/>
  </cellStyles>
  <dxfs count="895">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ill>
        <patternFill>
          <bgColor rgb="FFFF0000"/>
        </patternFill>
      </fill>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FF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ont>
        <color theme="4" tint="-0.24994659260841701"/>
      </font>
    </dxf>
    <dxf>
      <font>
        <color theme="6"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73" formatCode="m/d/yyyy"/>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69" formatCode="dd\-mmm\-yyyy"/>
      <fill>
        <patternFill patternType="none">
          <fgColor indexed="64"/>
          <bgColor indexed="65"/>
        </patternFill>
      </fill>
      <alignment vertical="center"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vertical="center" indent="0" justifyLastLine="0" shrinkToFit="0" readingOrder="0"/>
    </dxf>
    <dxf>
      <border>
        <bottom style="thin">
          <color indexed="64"/>
        </bottom>
      </border>
    </dxf>
    <dxf>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5" formatCode="_-* #,##0_-;\-* #,##0_-;_-* &quot;-&quot;??_-;_-@_-"/>
      <border diagonalUp="0" diagonalDown="0">
        <left style="thin">
          <color indexed="64"/>
        </left>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alignment horizontal="left" readingOrder="0"/>
    </dxf>
    <dxf>
      <alignment horizontal="right" readingOrder="0"/>
    </dxf>
    <dxf>
      <alignment vertical="top" readingOrder="0"/>
    </dxf>
    <dxf>
      <alignment vertical="top" readingOrder="0"/>
    </dxf>
    <dxf>
      <alignment wrapText="1" readingOrder="0"/>
    </dxf>
    <dxf>
      <alignment wrapText="1" readingOrder="0"/>
    </dxf>
    <dxf>
      <numFmt numFmtId="3" formatCode="#,##0"/>
    </dxf>
    <dxf>
      <numFmt numFmtId="165" formatCode="_-* #,##0_-;\-* #,##0_-;_-* &quot;-&quot;??_-;_-@_-"/>
    </dxf>
    <dxf>
      <numFmt numFmtId="165" formatCode="_-* #,##0_-;\-* #,##0_-;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border>
    </dxf>
    <dxf>
      <border>
        <left style="thin">
          <color indexed="64"/>
        </lef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FFC800"/>
        </patternFill>
      </fill>
    </dxf>
    <dxf>
      <fill>
        <patternFill patternType="solid">
          <bgColor rgb="FFFFC800"/>
        </patternFill>
      </fill>
    </dxf>
    <dxf>
      <numFmt numFmtId="165" formatCode="_-* #,##0_-;\-* #,##0_-;_-* &quot;-&quot;??_-;_-@_-"/>
    </dxf>
    <dxf>
      <numFmt numFmtId="170" formatCode="0.0%"/>
    </dxf>
    <dxf>
      <numFmt numFmtId="170" formatCode="0.0%"/>
    </dxf>
    <dxf>
      <numFmt numFmtId="165" formatCode="_-* #,##0_-;\-* #,##0_-;_-* &quot;-&quot;??_-;_-@_-"/>
    </dxf>
    <dxf>
      <numFmt numFmtId="13" formatCode="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
      <numFmt numFmtId="13" formatCode="0%"/>
    </dxf>
    <dxf>
      <numFmt numFmtId="1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alignment horizontal="left" readingOrder="0"/>
    </dxf>
    <dxf>
      <alignment vertical="top"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numFmt numFmtId="165" formatCode="_-* #,##0_-;\-* #,##0_-;_-* &quot;-&quot;??_-;_-@_-"/>
    </dxf>
    <dxf>
      <alignment horizontal="left" readingOrder="0"/>
    </dxf>
    <dxf>
      <alignment vertical="top" readingOrder="0"/>
    </dxf>
    <dxf>
      <border>
        <vertical style="thin">
          <color indexed="64"/>
        </vertical>
        <horizontal style="thin">
          <color indexed="64"/>
        </horizontal>
      </border>
    </dxf>
    <dxf>
      <border>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scheme val="minor"/>
      </font>
      <numFmt numFmtId="20" formatCode="dd\-mmm\-yy"/>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6"/>
        <color rgb="FF000000"/>
        <name val="Calibri"/>
        <scheme val="none"/>
      </font>
      <numFmt numFmtId="165" formatCode="_-* #,##0_-;\-* #,##0_-;_-* &quot;-&quot;??_-;_-@_-"/>
      <fill>
        <patternFill patternType="none">
          <fgColor rgb="FF000000"/>
          <bgColor rgb="FFFFFFFF"/>
        </patternFill>
      </fill>
    </dxf>
    <dxf>
      <font>
        <b/>
        <i val="0"/>
        <strike val="0"/>
        <condense val="0"/>
        <extend val="0"/>
        <outline val="0"/>
        <shadow val="0"/>
        <u val="none"/>
        <vertAlign val="baseline"/>
        <sz val="16"/>
        <color theme="1"/>
        <name val="Calibri"/>
        <scheme val="minor"/>
      </font>
      <numFmt numFmtId="1" formatCode="0"/>
      <fill>
        <patternFill patternType="none">
          <fgColor indexed="64"/>
          <bgColor indexed="65"/>
        </patternFill>
      </fill>
      <border diagonalUp="0" diagonalDown="0" outline="0">
        <left style="thin">
          <color indexed="64"/>
        </left>
        <right/>
        <top style="thin">
          <color indexed="64"/>
        </top>
        <bottom/>
      </border>
    </dxf>
    <dxf>
      <font>
        <b/>
        <strike val="0"/>
        <outline val="0"/>
        <shadow val="0"/>
        <u val="none"/>
        <vertAlign val="baseline"/>
        <sz val="16"/>
        <name val="Calibri"/>
      </font>
      <numFmt numFmtId="1" formatCode="0"/>
      <fill>
        <patternFill patternType="none">
          <fgColor indexed="64"/>
          <bgColor indexed="65"/>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style="thin">
          <color indexed="64"/>
        </right>
        <top style="thin">
          <color indexed="64"/>
        </top>
        <bottom/>
      </border>
    </dxf>
    <dxf>
      <font>
        <b/>
        <strike val="0"/>
        <outline val="0"/>
        <shadow val="0"/>
        <u val="none"/>
        <vertAlign val="baseline"/>
        <sz val="16"/>
        <name val="Calibri"/>
      </font>
      <numFmt numFmtId="0" formatCode="General"/>
      <fill>
        <patternFill patternType="none">
          <fgColor indexed="64"/>
          <bgColor indexed="65"/>
        </patternFill>
      </fill>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3" formatCode="0%"/>
      <fill>
        <patternFill patternType="solid">
          <fgColor indexed="64"/>
          <bgColor theme="3" tint="0.79998168889431442"/>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indexed="64"/>
          <bgColor theme="3" tint="0.79998168889431442"/>
        </patternFill>
      </fill>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165" formatCode="_-* #,##0_-;\-* #,##0_-;_-* &quot;-&quot;??_-;_-@_-"/>
      <fill>
        <patternFill patternType="none">
          <fgColor indexed="64"/>
          <bgColor indexed="65"/>
        </patternFill>
      </fill>
      <border diagonalUp="0" diagonalDown="0" outline="0">
        <left/>
        <right/>
        <top/>
        <bottom/>
      </border>
    </dxf>
    <dxf>
      <font>
        <strike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6"/>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none">
          <fgColor indexed="64"/>
          <bgColor indexed="65"/>
        </patternFill>
      </fill>
    </dxf>
    <dxf>
      <font>
        <b val="0"/>
        <i val="0"/>
        <strike val="0"/>
        <condense val="0"/>
        <extend val="0"/>
        <outline val="0"/>
        <shadow val="0"/>
        <u val="none"/>
        <vertAlign val="baseline"/>
        <sz val="16"/>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6"/>
        <color theme="1"/>
        <name val="Calibri"/>
        <scheme val="minor"/>
      </font>
      <fill>
        <patternFill patternType="solid">
          <fgColor theme="5" tint="0.79998168889431442"/>
          <bgColor theme="5" tint="0.79998168889431442"/>
        </patternFill>
      </fill>
    </dxf>
    <dxf>
      <border outline="0">
        <top style="thin">
          <color rgb="FF000000"/>
        </top>
      </border>
    </dxf>
    <dxf>
      <font>
        <strike val="0"/>
        <outline val="0"/>
        <shadow val="0"/>
        <u val="none"/>
        <vertAlign val="baseline"/>
        <sz val="16"/>
        <name val="Calibri"/>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6"/>
        <color theme="1"/>
        <name val="Calibri"/>
        <scheme val="minor"/>
      </font>
      <fill>
        <patternFill patternType="none">
          <fgColor indexed="64"/>
          <bgColor indexed="65"/>
        </patternFill>
      </fill>
    </dxf>
    <dxf>
      <border>
        <left style="thin">
          <color indexed="64"/>
        </left>
        <right style="thin">
          <color indexed="64"/>
        </right>
        <top style="thin">
          <color indexed="64"/>
        </top>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font>
        <color theme="0"/>
      </font>
    </dxf>
    <dxf>
      <font>
        <color theme="0"/>
      </font>
    </dxf>
    <dxf>
      <fill>
        <patternFill patternType="solid">
          <bgColor theme="1"/>
        </patternFill>
      </fill>
    </dxf>
    <dxf>
      <fill>
        <patternFill patternType="solid">
          <bgColor theme="1"/>
        </patternFill>
      </fill>
    </dxf>
    <dxf>
      <numFmt numFmtId="165" formatCode="_-* #,##0_-;\-* #,##0_-;_-* &quot;-&quot;??_-;_-@_-"/>
    </dxf>
    <dxf>
      <numFmt numFmtId="165" formatCode="_-* #,##0_-;\-* #,##0_-;_-* &quot;-&quot;??_-;_-@_-"/>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numFmt numFmtId="13" formatCode="0%"/>
    </dxf>
    <dxf>
      <numFmt numFmtId="13" formatCode="0%"/>
    </dxf>
    <dxf>
      <numFmt numFmtId="13" formatCode="0%"/>
    </dxf>
    <dxf>
      <numFmt numFmtId="13" formatCode="0%"/>
    </dxf>
    <dxf>
      <numFmt numFmtId="14" formatCode="0.00%"/>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numFmt numFmtId="165" formatCode="_-* #,##0_-;\-* #,##0_-;_-* &quot;-&quot;??_-;_-@_-"/>
    </dxf>
    <dxf>
      <fill>
        <patternFill>
          <bgColor rgb="FFFFFFFF"/>
        </patternFill>
      </fill>
    </dxf>
    <dxf>
      <fill>
        <patternFill>
          <bgColor rgb="FFFFFFFF"/>
        </patternFill>
      </fill>
    </dxf>
    <dxf>
      <border>
        <left style="thin">
          <color indexed="64"/>
        </left>
        <right style="thin">
          <color indexed="64"/>
        </right>
        <top style="thin">
          <color indexed="64"/>
        </top>
        <bottom style="thin">
          <color indexed="64"/>
        </bottom>
      </border>
    </dxf>
    <dxf>
      <fill>
        <patternFill patternType="solid">
          <bgColor rgb="FFDCE6F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FF"/>
        </patternFill>
      </fill>
    </dxf>
    <dxf>
      <fill>
        <patternFill>
          <bgColor rgb="FFFFFFFF"/>
        </patternFill>
      </fill>
    </dxf>
    <dxf>
      <fill>
        <patternFill>
          <bgColor rgb="FFDCE6F1"/>
        </patternFill>
      </fill>
    </dxf>
    <dxf>
      <fill>
        <patternFill>
          <bgColor rgb="FFDCE6F1"/>
        </patternFill>
      </fill>
    </dxf>
    <dxf>
      <border>
        <left style="thin">
          <color indexed="64"/>
        </left>
        <right style="thin">
          <color indexed="64"/>
        </right>
        <top style="thin">
          <color indexed="64"/>
        </top>
        <bottom style="thin">
          <color indexed="64"/>
        </bottom>
      </border>
    </dxf>
    <dxf>
      <fill>
        <patternFill>
          <bgColor theme="0"/>
        </patternFill>
      </fill>
    </dxf>
    <dxf>
      <numFmt numFmtId="165" formatCode="_-* #,##0_-;\-* #,##0_-;_-* &quot;-&quot;??_-;_-@_-"/>
    </dxf>
    <dxf>
      <numFmt numFmtId="165" formatCode="_-* #,##0_-;\-* #,##0_-;_-* &quot;-&quot;??_-;_-@_-"/>
    </dxf>
    <dxf>
      <numFmt numFmtId="165" formatCode="_-* #,##0_-;\-* #,##0_-;_-* &quot;-&quot;??_-;_-@_-"/>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numFmt numFmtId="171" formatCode="0.0"/>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solid">
          <fgColor indexed="64"/>
          <bgColor rgb="FFFFC000"/>
        </patternFill>
      </fill>
      <alignment horizontal="general" vertical="center" textRotation="0" wrapText="0" indent="0" justifyLastLine="0" shrinkToFit="0" readingOrder="0"/>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5" formatCode="_-* #,##0_-;\-* #,##0_-;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73" formatCode="m/d/yyyy"/>
      <fill>
        <patternFill patternType="none">
          <fgColor indexed="64"/>
          <bgColor indexed="65"/>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2" formatCode="0.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border>
        <bottom style="medium">
          <color indexed="64"/>
        </bottom>
      </border>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FFC800"/>
      <color rgb="FFFF0000"/>
      <color rgb="FFDCE6F1"/>
      <color rgb="FFFFFF00"/>
      <color rgb="FFFFFFFF"/>
      <color rgb="FFFD2361"/>
      <color rgb="FFFFEB00"/>
      <color rgb="FF00FF00"/>
      <color rgb="FFCC00CC"/>
      <color rgb="FFFF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od="urn:schemas-microsoft-com:officedata" xmlns="">
      <xsd:element name="dataroot">
        <xsd:complexType>
          <xsd:sequence>
            <xsd:element ref="NFI_x0020_Tracking" minOccurs="0" maxOccurs="unbounded"/>
          </xsd:sequence>
          <xsd:attribute name="generated" type="xsd:dateTime"/>
        </xsd:complexType>
      </xsd:element>
      <xsd:element name="NFI_x0020_Tracking">
        <xsd:annotation>
          <xsd:appinfo>
            <od:tableProperty name="GUID" type="9" value="TcbAza8QpEOzy/FC2SMtYg==&#10;"/>
            <od:tableProperty name="Orientation" type="2" value="0"/>
            <od:tableProperty name="OrderByOn" type="1" value="0"/>
            <od:tableProperty name="NameMap" type="11" value="CswOVQAAAABNxsDNrxCkQ7PL8ULZIy1iAAAAALkxZD+TjuRAAAAAAAAAAABOAEYA&#10;SQAgAFQAcgBhAGMAawBpAG4AZwAAAAAAAADgYbebhsGDQ5EB0UGz4p1SBwAAAE3G&#10;wM2vEKRDs8vxQtkjLWJNAG8AbgB0AGgAcwAAAAAAAACm4L3L4ZnAQLCXUUJxaKP7&#10;BwAAAE3GwM2vEKRDs8vxQtkjLWJEAGkAcwB0AHIAaQBiAHUAdABpAG8AbgAgAEQA&#10;YQB0AGUAAAAAAAAAkAo8bwM3bUaTDHwFA5CS/gcAAABNxsDNrxCkQ7PL8ULZIy1i&#10;TwByAGcAYQBuAGkAegBhAHQAaQBvAG4AAAAAAAAArxp3bnhXC0e2ilmlALcGzgcA&#10;AABNxsDNrxCkQ7PL8ULZIy1iSQBtAHAAbABlAG0AZQBuAHQAaQBuAGcAIABQAGEA&#10;cgB0AG4AZQByAAAAAAAAAI4/OGKJvglCkAEUYIUckaIHAAAATcbAza8QpEOzy/FC&#10;2SMtYlMAdABhAHQAZQAAAAAAAACiOHmjZelRTbJLhXAYcv9MBwAAAE3GwM2vEKRD&#10;s8vxQtkjLWJUAG8AdwBuAHMAaABpAHAAAAAAAAAAA0gZol/AaEWovO+PCjZs5gcA&#10;AABNxsDNrxCkQ7PL8ULZIy1iQwBhAG0AcAAgAE4AYQBtAGUAAAAAAAAAaIt2SEKd&#10;ZkmFBw+WLYJZ/gcAAABNxsDNrxCkQ7PL8ULZIy1iSAB5AGcAaQBlAG4AZQAgAEsA&#10;aQB0AAAAAAAAAFtgAovPv0hCm7om6o+K8lQHAAAATcbAza8QpEOzy/FC2SMtYk4A&#10;RgBJACAAQwBvAHIAZQAgAEsAaQB0AAAAAAAAAEuMgBpNOjJMr0+DbqjU77kHAAAA&#10;TcbAza8QpEOzy/FC2SMtYlMAYQBuAGkAdABhAHIAeQAgAEsAaQB0AAAAAAAAAFcN&#10;xxcxN0NDmfTjqYkf6ToHAAAATcbAza8QpEOzy/FC2SMtYk0AbwBzAHEAdQBpAHQA&#10;bwAgAG4AZQB0AAAAAAAAAAaLApB54bNAtQKcjP/tLgEHAAAATcbAza8QpEOzy/FC&#10;2SMtYlQAYQByAHAAYQB1AGwAaQBuAAAAAAAAAJ6U7Y8A4fhGqDG9y00NQAQHAAAA&#10;TcbAza8QpEOzy/FC2SMtYkIAbABhAG4AawBlAHQAAAAAAAAA+Mzc51Rkk0u8BvWq&#10;SuyluQcAAABNxsDNrxCkQ7PL8ULZIy1iSwBpAHQAYwBoAGUAbgAgAFMAZQB0AAAA&#10;AAAAAPRrkdRwZmZNvtgQoAh27vEHAAAATcbAza8QpEOzy/FC2SMtYkMAbABvAHQA&#10;aABlAHMAIABLAGkAdAAAAAAAAAAaHn6Y84wsRI9dPfVzPE5JBwAAAE3GwM2vEKRD&#10;s8vxQtkjLWJQAGwAYQBzAHQAaQBjACAAQgB1AGMAawBlAHQAAAAAAAAAhQ3uR3v4&#10;XUeKN0M/Jf9rggcAAABNxsDNrxCkQ7PL8ULZIy1iUABsAGEAcwB0AGkAYwAgAE0A&#10;YQB0AAAAAAAAAM7OIDpeE4ZIrxiJe0ZytvcHAAAATcbAza8QpEOzy/FC2SMtYlcA&#10;aQBuAHQAZQByACAAQwBsAG8AdABoAGUAcwAgAEEAZAB1AGwAdAAAAAAAAAARiAgH&#10;yWrATLlwtEUFjAW3BwAAAE3GwM2vEKRDs8vxQtkjLWJXAGkAbgB0AGUAcgAgAEMA&#10;bABvAHQAaABlAHMAIABDAGgAaQBsAGQAcgBlAG4AAAAAAAAAK+Pg9peltkSxy24L&#10;a+6C+gcAAABNxsDNrxCkQ7PL8ULZIy1iVwBpAG4AdABlAHIAIABJAHQAZQBtAHMA&#10;IABPAHQAaABlAHIAAAAAAAAATmsHvGhu5UCYnUnwtH54kwcAAABNxsDNrxCkQ7PL&#10;8ULZIy1iVwBpAG4AdABlAHIAIABCAGwAYQBuAGsAZQB0AAAAAAAAAMAWQOVCvR5L&#10;rZRgB5oA/+cHAAAATcbAza8QpEOzy/FC2SMtYkgAeQBnAGkAZQBuAGUAIABLAGkA&#10;dABfAEwAUwAAAAAAAADBoTSfvzTKTa+SN9Xc1b9mBwAAAE3GwM2vEKRDs8vxQtkj&#10;LWJOAEYASQAgAEMAbwByAGUAIABLAGkAdABfAEwAUwAAAAAAAAB2sriDgWXFSajs&#10;HGo9dn8lBwAAAE3GwM2vEKRDs8vxQtkjLWJTAGEAbgBpAHQAYQByAHkAIABLAGkA&#10;dABfAEwAUwAAAAAAAADlsUZD0IbmTKSrUWQWQTyIBwAAAE3GwM2vEKRDs8vxQtkj&#10;LWJNAG8AcwBxAHUAaQB0AG8AIABuAGUAdABfAEwAUwAAAAAAAAAFGAtHQQ5IRqa/&#10;YcMMJmN1BwAAAE3GwM2vEKRDs8vxQtkjLWJUAGEAcgBwAGEAdQBsAGkAbgBfAEwA&#10;UwAAAAAAAADDjgNiq8dxRZch9L+Vn0xPBwAAAE3GwM2vEKRDs8vxQtkjLWJCAGwA&#10;YQBuAGsAZQB0AF8ATABTAAAAAAAAAI1xDylF+kJLlHIprKRNRjoHAAAATcbAza8Q&#10;pEOzy/FC2SMtYksAaQB0AGMAaABlAG4AIABTAGUAdABfAEwAUwAAAAAAAABwBmdq&#10;s7cKQ4K4tK5SlI99BwAAAE3GwM2vEKRDs8vxQtkjLWJDAGwAbwB0AGgAZQBzACAA&#10;SwBpAHQAXwBMAFMAAAAAAAAA/BTztatMVEuJ6GH0UXb3TwcAAABNxsDNrxCkQ7PL&#10;8ULZIy1iUABsAGEAcwB0AGkAYwAgAEIAdQBjAGsAZQB0ACAAXwBMAFMAAAAAAAAA&#10;qzRl5grt0kyMZgUzV8hKXAcAAABNxsDNrxCkQ7PL8ULZIy1iUABsAGEAcwB0AGkA&#10;YwAgACAATQBhAHQAXwBMAFMAAAAAAAAABwkbqvDoiUqptJ8Z9saJlgcAAABNxsDN&#10;rxCkQ7PL8ULZIy1iVwBpAG4AdABlAHIAIABDAGwAbwB0AGgAZQBzACAAQQBkAHUA&#10;bAB0AF8ATABTAAAAAAAAAHZNSIW4RwxFjr0A+0KMtNUHAAAATcbAza8QpEOzy/FC&#10;2SMtYlcAaQBuAHQAZQByACAAQwBsAG8AdABoAGUAcwAgAEMAaABpAGwAZAByAGUA&#10;bgBfAEwAUwAAAAAAAACi86ZcDPspS52PTgnQ9lcaBwAAAE3GwM2vEKRDs8vxQtkj&#10;LWJXAGkAbgB0AGUAcgAgAEkAdABlAG0AcwAgAE8AdABoAGUAcgBfAEwAUwAAAAAA&#10;AABuEJEDlgwlTq23hCKsna+bBwAAAE3GwM2vEKRDs8vxQtkjLWJXAGkAbgB0AGUA&#10;cgAgAEIAbABhAG4AawBlAHQAXwBMAFMAAAAAAAAAGcVs9+FqGkKJnevE199WNAcA&#10;AABNxsDNrxCkQ7PL8ULZIy1iVwBpAG4AdABlAHIAAAAAAAAA+UFRdr69UE683Iv2&#10;OQBW7gcAAABNxsDNrxCkQ7PL8ULZIy1iUABjAG8AZABlAAAAAAAAAOb1ragG2z9F&#10;lC5S4/yj8KEHAAAATcbAza8QpEOzy/FC2SMtYm8AcABlAG4AaQBuAGcAXwBkAGEA&#10;dABlAAAAAAAAAE8VvCE9LudAmlbzx6ssujMHAAAATcbAza8QpEOzy/FC2SMtYlMA&#10;dABhAHQAdQBzAAAAAAAAAMb1dbL74XdIhJVZHtfy7E8HAAAATcbAza8QpEOzy/FC&#10;2SMtYlAAcgBpAG8AcgBpAHQAeQAAAAAAAAD73RmezktYT5t7zgYtHRyTBwAAAE3G&#10;wM2vEKRDs8vxQtkjLWJDAG8AdgBlAHIAYQBnAGUAAAAAAAAAEFIlx8WVmESmIo59&#10;YCYKlgcAAABNxsDNrxCkQ7PL8ULZIy1iUABsAGEAbgBuAGUAZAAgAEQAaQBzAHQA&#10;cgBpAGIAdQB0AGkAbwBuAAAAAAAAAHH3UqYGcQ9MuFHeXWEKgssHAAAATcbAza8Q&#10;pEOzy/FC2SMtYkMAbwBtAG0AZQBuAHQAAAAAAAAAAAAAAAAAAAAAAAAAAAAAAAwA&#10;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Months" minOccurs="0" od:jetType="double" od:sqlSType="float" type="xsd:double">
              <xsd:annotation>
                <xsd:appinfo>
                  <od:fieldProperty name="Format" type="10" value="0"/>
                  <od:fieldProperty name="GUID" type="9" value="4GG3m4bBg0ORAdFBs+Kd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d-mmm-yyyy"/>
                  <od:fieldProperty name="GUID" type="9" value="puC9y+GZwECwl1FCcWij+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kAo8bwM3bUaTDHwFA5C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rxp3bnhXC0e2ilmlALcG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jj84Yom+CUKQARRghRyR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ojh5o2XpUU2yS4VwGHL/T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A0gZol/AaEWovO+PCjZs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aIt2SEKdZkmFBw+WLYJ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W2ACi8+/SEKbuibqj4ry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S4yAGk06MkyvT4NuqNTv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double" od:sqlSType="float" type="xsd:double">
              <xsd:annotation>
                <xsd:appinfo>
                  <od:fieldProperty name="Format" type="10" value="General Number"/>
                  <od:fieldProperty name="GUID" type="9" value="Vw3HFzE3Q0OZ9OOpiR/pO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 minOccurs="0" od:jetType="double" od:sqlSType="float" type="xsd:double">
              <xsd:annotation>
                <xsd:appinfo>
                  <od:fieldProperty name="Format" type="10" value="General Number"/>
                  <od:fieldProperty name="GUID" type="9" value="BosCkHnhs0C1ApyM/+0uA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double" od:sqlSType="float" type="xsd:double">
              <xsd:annotation>
                <xsd:appinfo>
                  <od:fieldProperty name="Format" type="10" value="General Number"/>
                  <od:fieldProperty name="GUID" type="9" value="npTtjwDh+EaoMb3LTQ1AB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 minOccurs="0" od:jetType="double" od:sqlSType="float" type="xsd:double">
              <xsd:annotation>
                <xsd:appinfo>
                  <od:fieldProperty name="Format" type="10" value="General Number"/>
                  <od:fieldProperty name="GUID" type="9" value="+Mzc51Rkk0u8BvWqSuylu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lothes_x0020_Kit" minOccurs="0" od:jetType="double" od:sqlSType="float" type="xsd:double">
              <xsd:annotation>
                <xsd:appinfo>
                  <od:fieldProperty name="Format" type="10" value="General Number"/>
                  <od:fieldProperty name="GUID" type="9" value="9GuR1HBmZk2+2BCgCHbu8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 minOccurs="0" od:jetType="double" od:sqlSType="float" type="xsd:double">
              <xsd:annotation>
                <xsd:appinfo>
                  <od:fieldProperty name="Format" type="10" value="General Number"/>
                  <od:fieldProperty name="GUID" type="9" value="Gh5+mPOMLESPXT31czxOS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Mat" minOccurs="0" od:jetType="double" od:sqlSType="float" type="xsd:double">
              <xsd:annotation>
                <xsd:appinfo>
                  <od:fieldProperty name="Format" type="10" value="General Number"/>
                  <od:fieldProperty name="GUID" type="9" value="hQ3uR3v4XUeKN0M/Jf9rg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Winter_x0020_Clothes_x0020_Adult" minOccurs="0" od:jetType="text" od:sqlSType="nvarchar">
              <xsd:annotation>
                <xsd:appinfo>
                  <od:fieldProperty name="Format" type="10" value="@"/>
                  <od:fieldProperty name="GUID" type="9" value="zs4gOl4ThkivGIl7RnK29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 minOccurs="0" od:jetType="text" od:sqlSType="nvarchar">
              <xsd:annotation>
                <xsd:appinfo>
                  <od:fieldProperty name="Format" type="10" value="@"/>
                  <od:fieldProperty name="GUID" type="9" value="EYgIB8lqwEy5cLRFBYwF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 minOccurs="0" od:jetType="text" od:sqlSType="nvarchar">
              <xsd:annotation>
                <xsd:appinfo>
                  <od:fieldProperty name="Format" type="10" value="@"/>
                  <od:fieldProperty name="GUID" type="9" value="K+Pg9peltkSxy24La+6C+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 minOccurs="0" od:jetType="text" od:sqlSType="nvarchar">
              <xsd:annotation>
                <xsd:appinfo>
                  <od:fieldProperty name="Format" type="10" value="@"/>
                  <od:fieldProperty name="GUID" type="9" value="TmsHvGhu5UCYnUnwtH54k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text" od:sqlSType="nvarchar">
              <xsd:annotation>
                <xsd:appinfo>
                  <od:fieldProperty name="Format" type="10" value="@"/>
                  <od:fieldProperty name="GUID" type="9" value="wBZA5UK9HkutlGAHmgD/5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_LS" minOccurs="0" od:jetType="text" od:sqlSType="nvarchar">
              <xsd:annotation>
                <xsd:appinfo>
                  <od:fieldProperty name="Format" type="10" value="@"/>
                  <od:fieldProperty name="GUID" type="9" value="waE0n780yk2vkjfV3NW/Z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_LS" minOccurs="0" od:jetType="text" od:sqlSType="nvarchar">
              <xsd:annotation>
                <xsd:appinfo>
                  <od:fieldProperty name="Format" type="10" value="@"/>
                  <od:fieldProperty name="GUID" type="9" value="drK4g4FlxUmo7BxqPXZ/J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_LS" minOccurs="0" od:jetType="text" od:sqlSType="nvarchar">
              <xsd:annotation>
                <xsd:appinfo>
                  <od:fieldProperty name="Format" type="10" value="@"/>
                  <od:fieldProperty name="GUID" type="9" value="5bFGQ9CG5kykq1FkFkE8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_LS" minOccurs="0" od:jetType="text" od:sqlSType="nvarchar">
              <xsd:annotation>
                <xsd:appinfo>
                  <od:fieldProperty name="Format" type="10" value="@"/>
                  <od:fieldProperty name="GUID" type="9" value="BRgLR0EOSEamv2HDDCZjd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Blanket_LS" minOccurs="0" od:jetType="text" od:sqlSType="nvarchar">
              <xsd:annotation>
                <xsd:appinfo>
                  <od:fieldProperty name="Format" type="10" value="@"/>
                  <od:fieldProperty name="GUID" type="9" value="w44DYqvHcUWXIfS/lZ9M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_LS" minOccurs="0" od:jetType="text" od:sqlSType="nvarchar">
              <xsd:annotation>
                <xsd:appinfo>
                  <od:fieldProperty name="Format" type="10" value="@"/>
                  <od:fieldProperty name="GUID" type="9" value="jXEPKUX6QkuUcimspE1G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lothes_x0020_Kit_LS" minOccurs="0" od:jetType="text" od:sqlSType="nvarchar">
              <xsd:annotation>
                <xsd:appinfo>
                  <od:fieldProperty name="Format" type="10" value="@"/>
                  <od:fieldProperty name="GUID" type="9" value="cAZnarO3CkOCuLSuUpSP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_x0020__LS" minOccurs="0" od:jetType="text" od:sqlSType="nvarchar">
              <xsd:annotation>
                <xsd:appinfo>
                  <od:fieldProperty name="Format" type="10" value="@"/>
                  <od:fieldProperty name="GUID" type="9" value="/BTztatMVEuJ6GH0UXb3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_x0020_Mat_LS" minOccurs="0" od:jetType="text" od:sqlSType="nvarchar">
              <xsd:annotation>
                <xsd:appinfo>
                  <od:fieldProperty name="Format" type="10" value="@"/>
                  <od:fieldProperty name="GUID" type="9" value="qzRl5grt0kyMZgUzV8hK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Adult_LS" minOccurs="0" od:jetType="text" od:sqlSType="nvarchar">
              <xsd:annotation>
                <xsd:appinfo>
                  <od:fieldProperty name="Format" type="10" value="@"/>
                  <od:fieldProperty name="GUID" type="9" value="BwkbqvDoiUqptJ8Z9saJ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Clothes_x0020_Children_LS" minOccurs="0" od:jetType="text" od:sqlSType="nvarchar">
              <xsd:annotation>
                <xsd:appinfo>
                  <od:fieldProperty name="Format" type="10" value="@"/>
                  <od:fieldProperty name="GUID" type="9" value="dk1IhbhHDEWOvQD7Qoy01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Items_x0020_Other_LS" minOccurs="0" od:jetType="text" od:sqlSType="nvarchar">
              <xsd:annotation>
                <xsd:appinfo>
                  <od:fieldProperty name="Format" type="10" value="@"/>
                  <od:fieldProperty name="GUID" type="9" value="ovOmXAz7KUudj04J0PZX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_x0020_Blanket_LS" minOccurs="0" od:jetType="text" od:sqlSType="nvarchar">
              <xsd:annotation>
                <xsd:appinfo>
                  <od:fieldProperty name="Format" type="10" value="@"/>
                  <od:fieldProperty name="GUID" type="9" value="bhCRA5YMJU6tt4QirJ2v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Winter" minOccurs="0" od:jetType="double" od:sqlSType="float" type="xsd:double">
              <xsd:annotation>
                <xsd:appinfo>
                  <od:fieldProperty name="Format" type="10" value="General Number"/>
                  <od:fieldProperty name="GUID" type="9" value="GcVs9+FqGkKJnevE199WN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UFRdr69UE683Iv2OQBW7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date" minOccurs="0" od:jetType="double" od:sqlSType="float" type="xsd:double">
              <xsd:annotation>
                <xsd:appinfo>
                  <od:fieldProperty name="Format" type="10" value="0"/>
                  <od:fieldProperty name="GUID" type="9" value="5vWtqAbbP0WULlLj/KPwo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od:fieldProperty name="GUID" type="9" value="TxW8IT0u50CaVvPHqyy6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
                  <od:fieldProperty name="GUID" type="9" value="xvV1svvhd0iElVke1/Ls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90Zns5LWE+be84GLR0c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Distribution" minOccurs="0" od:jetType="text" od:sqlSType="nvarchar">
              <xsd:annotation>
                <xsd:appinfo>
                  <od:fieldProperty name="Format" type="10" value="@"/>
                  <od:fieldProperty name="GUID" type="9" value="EFIlx8WVmESmIo59YCYK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od:fieldProperty name="GUID" type="9" value="cfdSpgZxD0y4Ud5dYQq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Shelter_x0020_Tracking" minOccurs="0" maxOccurs="unbounded"/>
          </xsd:sequence>
          <xsd:attribute name="generated" type="xsd:dateTime"/>
        </xsd:complexType>
      </xsd:element>
      <xsd:element name="Shelter_x0020_Tracking">
        <xsd:annotation>
          <xsd:appinfo>
            <od:tableProperty name="GUID" type="9" value="YO73FFSW+ECfnr+AeTol5g==&#10;"/>
            <od:tableProperty name="Orientation" type="2" value="0"/>
            <od:tableProperty name="OrderByOn" type="1" value="0"/>
            <od:tableProperty name="NameMap" type="11" value="CswOVQAAAABg7vcUVJb4QJ+ev4B5OiXmAAAAAMLhaACTjuRAAAAAAAAAAABTAGgA&#10;ZQBsAHQAZQByACAAVAByAGEAYwBrAGkAbgBnAAAAAAAAAG388E1NF7dDjS2Wob4K&#10;S2cHAAAAYO73FFSW+ECfnr+AeTol5lUAcABkAGEAdABlACAARABhAHQAZQAAAAAA&#10;AAD/6ip1X4x5R70ifeAHFvcbBwAAAGDu9xRUlvhAn56/gHk6JeZPAHIAZwBhAG4A&#10;aQB6AGEAdABpAG8AbgAAAAAAAADpRsbOITt5ToyvkM+shrYFBwAAAGDu9xRUlvhA&#10;n56/gHk6JeZJAG0AcABsAGUAbQBlAG4AdABpAG4AZwBQAGEAcgB0AG4AZQByAAAA&#10;AAAAAAW0ejRoGrBFtqynbXCKeCoHAAAAYO73FFSW+ECfnr+AeTol5lMAdABhAHQA&#10;ZQAAAAAAAAAEsjOtmHPSQqYLkIlreUdEBwAAAGDu9xRUlvhAn56/gHk6JeZUAG8A&#10;dwBuAHMAaABpAHAAAAAAAAAAMcd3cD+VoUycwTFYazYUPAcAAABg7vcUVJb4QJ+e&#10;v4B5OiXmQwBhAG0AcABOAGEAbQBlAAAAAAAAAF1FB37aMzJKqp3qykVWZKgHAAAA&#10;YO73FFSW+ECfnr+AeTol5kgASABwAGUAcgBTAGgAZQBsAHQAZQByAAAAAAAAAO8f&#10;ylwbVXJIo8SYiJVLvU8HAAAAYO73FFSW+ECfnr+AeTol5iMAbwBmAEYAYQBtAGkA&#10;bAB5AFQAZQBuAHQAUABsAGEAbgBuAGUAZAAoAFQAYQByAGcAZQB0ACkAAAAAAAAA&#10;XNlh419hQECh9iX7YFVsdQcAAABg7vcUVJb4QJ+ev4B5OiXmIwBvAGYARgBhAG0A&#10;aQBsAHkAVABlAG4AdABEAGkAcwB0AHIAaQBiAHUAdABlAGQAAAAAAAAAqmY/fm8d&#10;hEupPMCkvxB9hwcAAABg7vcUVJb4QJ+ev4B5OiXmIwBvAGYAVABlAG0AcABvAHIA&#10;YQByAHkAUwBoAGUAbAB0AGUAcgBVAG4AaQB0AHMAUABsAGEAbgBuAGUAZAAoAFQA&#10;YQByAGcAZQB0ACkAAAAAAAAArgZjs5py5E+5otpreoBGnwcAAABg7vcUVJb4QJ+e&#10;v4B5OiXmIwBvAGYAVABlAG0AcABvAHIAYQByAHkAUwBoAGUAbAB0AGUAcgBVAG4A&#10;aQB0AHMAQgB1AGkAbAB0AAAAAAAAAAm+8np5MG1CqvZbyELeFKEHAAAAYO73FFSW&#10;+ECfnr+AeTol5iMAbwBmAFQAZQBtAHAAbwByAGEAcgB5AFMAaABlAGwAdABlAHIA&#10;VQBuAGQAZQByAEMAbwBuAHMAdAByAHUAYwB0AGkAbwBuAAAAAAAAALzpiGqyMfFK&#10;hiXJakdOZQAHAAAAYO73FFSW+ECfnr+AeTol5iMAbwBmAFAAZQByAG0AYQBuAGUA&#10;bgB0AEgAbwB1AHMAZQBQAGwAYQBuAG4AZQBkACgAVABhAHIAZwBlAHQAKQAAAAAA&#10;AADN8+YOi9T5TqyvSW6Wj4DtBwAAAGDu9xRUlvhAn56/gHk6JeYjAG8AZgBQAGUA&#10;cgBtAGEAbgBlAG4AdABIAG8AdQBzAGUAQgB1AGkAbAB0AAAAAAAAAGicIzVoCG5D&#10;smHzah+JKIoHAAAAYO73FFSW+ECfnr+AeTol5iMAbwBmAFAAZQByAG0AYQBuAGUA&#10;bgB0AEgAbwB1AHMAZQBVAG4AZABlAHIAQwBvAG4AcwB0AHIAdQBjAHQAaQBvAG4A&#10;AAAAAAAA3n3GAbhOfk2NEYszO523CwcAAABg7vcUVJb4QJ+ev4B5OiXmSABIAEMA&#10;bwB2AGUAcgBlAGQAAAAAAAAAOqbmjV0wbk+vF/wzTiDzKAcAAABg7vcUVJb4QJ+e&#10;v4B5OiXmUABsAGEAbgBuAGUAZAAgAFIAZQBuAG8AdgBhAHQAaQBvAG4AAAAAAAAA&#10;F8wsjI8YUkKiy5Gi/ODJYAcAAABg7vcUVJb4QJ+ev4B5OiXmUgBlAG4AbwB2AGEA&#10;dABlAGQAAAAAAAAAYytU2IprSkq+Kbt5ju2mBQcAAABg7vcUVJb4QJ+ev4B5OiXm&#10;UABjAG8AZABlAAAAAAAAAJ4tOSqkrQFIot05SzaZ0N4HAAAAYO73FFSW+ECfnr+A&#10;eTol5lMAdABhAHQAdQBzAAAAAAAAAEVVhwjtxKxErCkaWQAwxVoHAAAAYO73FFSW&#10;+ECfnr+AeTol5kMAbwB2AGUAcgBhAGcAZQAAAAAAAADjR2fivuOPQZzdSAl7hzyv&#10;BwAAAGDu9xRUlvhAn56/gHk6JeZDAG8AbQBtAGUAbgB0AHMAAAAAAAAAAAAAAAAA&#10;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Update_x0020_Date" minOccurs="0" od:jetType="datetime" od:sqlSType="datetime" type="xsd:dateTime">
              <xsd:annotation>
                <xsd:appinfo>
                  <od:fieldProperty name="Format" type="10" value="dd-mmm-yy"/>
                  <od:fieldProperty name="GUID" type="9" value="bfzwTU0Xt0ONLZahvgpLZ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oqdV+MeUe9In3gBxb3G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Partner" minOccurs="0" od:jetType="text" od:sqlSType="nvarchar">
              <xsd:annotation>
                <xsd:appinfo>
                  <od:fieldProperty name="Format" type="10" value="@"/>
                  <od:fieldProperty name="GUID" type="9" value="6UbGziE7eU6Mr5DPrIa2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BbR6NGgasEW2rKdtcIp4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BLIzrZhz0kKmC5CJa3lH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Name" minOccurs="0" od:jetType="text" od:sqlSType="nvarchar">
              <xsd:annotation>
                <xsd:appinfo>
                  <od:fieldProperty name="Format" type="10" value="@"/>
                  <od:fieldProperty name="GUID" type="9" value="Mcd3cD+VoUycwTFYazYU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perShelter" minOccurs="0" od:jetType="double" od:sqlSType="float" type="xsd:double">
              <xsd:annotation>
                <xsd:appinfo>
                  <od:fieldProperty name="Format" type="10" value="General Number"/>
                  <od:fieldProperty name="GUID" type="9" value="XUUHftozMkqqnerKRVZkq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double" od:sqlSType="float" type="xsd:double">
              <xsd:annotation>
                <xsd:appinfo>
                  <od:fieldProperty name="GUID" type="9" value="7x/KXBtVckijxJiIlUu9T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Distributed" minOccurs="0" od:jetType="double" od:sqlSType="float" type="xsd:double">
              <xsd:annotation>
                <xsd:appinfo>
                  <od:fieldProperty name="GUID" type="9" value="XNlh419hQECh9iX7YFVs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Planned_x0028_Target_x0029_" minOccurs="0" od:jetType="double" od:sqlSType="float" type="xsd:double">
              <xsd:annotation>
                <xsd:appinfo>
                  <od:fieldProperty name="GUID" type="9" value="qmY/fm8dhEupPMCkvxB9h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itsBuilt" minOccurs="0" od:jetType="double" od:sqlSType="float" type="xsd:double">
              <xsd:annotation>
                <xsd:appinfo>
                  <od:fieldProperty name="GUID" type="9" value="rgZjs5py5E+5otpreoBGn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TemporaryShelterUnderConstruction" minOccurs="0" od:jetType="text" od:sqlSType="nvarchar">
              <xsd:annotation>
                <xsd:appinfo>
                  <od:fieldProperty name="GUID" type="9" value="Cb7yenkwbUKq9lvIQt4U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Planned_x0028_Target_x0029_" minOccurs="0" od:jetType="text" od:sqlSType="nvarchar">
              <xsd:annotation>
                <xsd:appinfo>
                  <od:fieldProperty name="GUID" type="9" value="vOmIarIx8UqGJclqR05l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Built" minOccurs="0" od:jetType="text" od:sqlSType="nvarchar">
              <xsd:annotation>
                <xsd:appinfo>
                  <od:fieldProperty name="GUID" type="9" value="zfPmDovU+U6sr0lulo+A7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PermanentHouseUnderConstruction" minOccurs="0" od:jetType="text" od:sqlSType="nvarchar">
              <xsd:annotation>
                <xsd:appinfo>
                  <od:fieldProperty name="GUID" type="9" value="aJwjNWgIbkOyYfNqH4koi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Covered" minOccurs="0" od:jetType="double" od:sqlSType="float" type="xsd:double">
              <xsd:annotation>
                <xsd:appinfo>
                  <od:fieldProperty name="Format" type="10" value="General Number"/>
                  <od:fieldProperty name="GUID" type="9" value="3n3GAbhOfk2NEYszO523C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nned_x0020_Renovation" minOccurs="0" od:jetType="double" od:sqlSType="float" type="xsd:double">
              <xsd:annotation>
                <xsd:appinfo>
                  <od:fieldProperty name="Format" type="10" value="General Number"/>
                  <od:fieldProperty name="GUID" type="9" value="OqbmjV0wbk+vF/wzTiDzK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novated" minOccurs="0" od:jetType="text" od:sqlSType="nvarchar">
              <xsd:annotation>
                <xsd:appinfo>
                  <od:fieldProperty name="Format" type="10" value="@"/>
                  <od:fieldProperty name="GUID" type="9" value="F8wsjI8YUkKiy5Gi/ODJY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YytU2IprSkq+Kbt5ju2mB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i05KqStAUii3TlLNpnQ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 minOccurs="0" od:jetType="double" od:sqlSType="float" type="xsd:double">
              <xsd:annotation>
                <xsd:appinfo>
                  <od:fieldProperty name="Format" type="10" value="0%"/>
                  <od:fieldProperty name="GUID" type="9" value="RVWHCO3ErESsKRpZADDFW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ments" minOccurs="0" od:jetType="text" od:sqlSType="nvarchar">
              <xsd:annotation>
                <xsd:appinfo>
                  <od:fieldProperty name="Format" type="10" value="@"/>
                  <od:fieldProperty name="GUID" type="9" value="40dn4r7jj0Gc3UgJe4c8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Camp_x0020_List" minOccurs="0" maxOccurs="unbounded"/>
          </xsd:sequence>
          <xsd:attribute name="generated" type="xsd:dateTime"/>
        </xsd:complexType>
      </xsd:element>
      <xsd:element name="Camp_x0020_List">
        <xsd:annotation>
          <xsd:appinfo>
            <od:tableProperty name="GUID" type="9" value="sZcxHH6uv0WIJLdeMotupA==&#10;"/>
            <od:tableProperty name="Orientation" type="2" value="0"/>
            <od:tableProperty name="OrderByOn" type="1" value="0"/>
            <od:tableProperty name="NameMap" type="11" value="CswOVQAAAACxlzEcfq6/RYgkt14yi26kAAAAAD4bGx7ujuRAAAAAAAAAAABDAGEA&#10;bQBwACAATABpAHMAdAAAAAAAAACCnkck0uuwQ669OqGQ2oERBwAAALGXMRx+rr9F&#10;iCS3XjKLbqRTAHQAYQB0AHUAcwAAAAAAAACD4hezTMJ+QLfyeq1ea7dvBwAAALGX&#10;MRx+rr9FiCS3XjKLbqRTAHQAYQB0AGUAAAAAAAAAj/cXMkH89UWKWd8Un/iBiAcA&#10;AACxlzEcfq6/RYgkt14yi26kUwBfAFAAYwBvAGQAZQAAAAAAAABsv5CPay7kTpOq&#10;+udpLfm4BwAAALGXMRx+rr9FiCS3XjKLbqREAGkAcwB0AHIAaQBjAHQAAAAAAAAA&#10;G/B7TXHkNUqBLVFo7MRFMwcAAACxlzEcfq6/RYgkt14yi26kRABfAFAAYwBvAGQA&#10;ZQAAAAAAAACNrOp3eJBHS7L+ERK6XIIKBwAAALGXMRx+rr9FiCS3XjKLbqRUAG8A&#10;dwBuAHMAaABpAHAAAAAAAAAA6z/QUKs0skyTg5B22v+9wwcAAACxlzEcfq6/RYgk&#10;t14yi26kVABfAFAAYwBvAGQAZQAAAAAAAADAPyFICeRtQaGqi1yQs9EIBwAAALGX&#10;MRx+rr9FiCS3XjKLbqRWAGkAbABsAGEAZwBlAFQAcgBhAGMASwBUAG8AdwBuAAAA&#10;AAAAAFO72Ja+tKJFoDIRE3G8KQoHAAAAsZcxHH6uv0WIJLdeMotupFYAVABUAF8A&#10;UABjAG8AZABlAAAAAAAAAF2ptGHGy6JJgADhZFRieugHAAAAsZcxHH6uv0WIJLde&#10;MotupFYAaQBsAGwAYQBnAGUAVwBhAHIAZABfAE4AYQBtAGUAAAAAAAAAZbV1c/kd&#10;nUGZwTSs90INswcAAACxlzEcfq6/RYgkt14yi26kVgBXAF8AUABjAG8AZABlAAAA&#10;AAAAAO6V0XqayrVEgv4aC38xYacHAAAAsZcxHH6uv0WIJLdeMotupEMAYQBtAHAA&#10;AAAAAAAAWOF92M10Dk+aWDCLeRwL+wcAAACxlzEcfq6/RYgkt14yi26kQwBQAF8A&#10;UABjAG8AZABlAAAAAAAAALhl99q2tppMmJAAEGebhn8HAAAAsZcxHH6uv0WIJLde&#10;MotupEwAbwBuAGcAaQB0AHUAZABlAAAAAAAAAO8dfNeJKuhIn6VxqJK8NfQHAAAA&#10;sZcxHH6uv0WIJLdeMotupEwAYQB0AGkAdAB1AGQAZQAAAAAAAAAwhK4iEWlWRJ8E&#10;TyqXstgABwAAALGXMRx+rr9FiCS3XjKLbqRBAGwAdABpAHQAdQBkAGUAAAAAAAAA&#10;JUqY+KaGwE+ruWNWwPyRLgcAAACxlzEcfq6/RYgkt14yi26kSABIAAAAAAAAAHL2&#10;cffS4BtCszqmRKBp4mkHAAAAsZcxHH6uv0WIJLdeMotupFQAbwB0AGEAbAAAAAAA&#10;AADtHgjW4t/9QJGxJy6KKrEdBwAAALGXMRx+rr9FiCS3XjKLbqRBAHYAZwAAAAAA&#10;AADDdLcrbEaWSY1jpuiCzev1BwAAALGXMRx+rr9FiCS3XjKLbqRBAGMAYwBlAHMA&#10;cwBpAGIAaQBsAGkAdAB5AAAAAAAAAFD5EMGbMklKjtAT9RKcMBEHAAAAsZcxHH6u&#10;v0WIJLdeMotupFQAeQBwAGUAIABvAGYAIABBAGMAYwBvAG0AbwBkAGEAdABpAG8A&#10;bgAAAAAAAAD/uItF+gY3Sr8jZTd2BxbEBwAAALGXMRx+rr9FiCS3XjKLbqRUAHkA&#10;cABlACAAbwBmACAATABvAGMAYQB0AGkAbwBuAAAAAAAAAEaI44BdOF5Mtwi/Wr38&#10;YNMHAAAAsZcxHH6uv0WIJLdeMotupEEAZgBmAGUAYwB0AGUAZAAgAFAAbwBwAHUA&#10;bABhAHQAaQBvAG4AAAAAAAAA3VNebSmIg0qA3MBKUpmDvAcAAACxlzEcfq6/RYgk&#10;t14yi26kTwBwAGUAbgBpAG4AZwAgAEQAYQB0AGUAAAAAAAAAlGSU8E/HTUGYzW1h&#10;16eX6QcAAACxlzEcfq6/RYgkt14yi26kQwBNAC8ARgBQAAAAAAAAAFfbmCwqnwBL&#10;lbjXLOq20kMHAAAAsZcxHH6uv0WIJLdeMotupFIAZQBzAHAAbwBuAHMAaQBiAGwA&#10;ZQAgAEEAZwBlAG4AYwB5AAAAAAAAAC6H/eez6dBKrUyTcmfDEf4HAAAAsZcxHH6u&#10;v0WIJLdeMotupFMAbwB1AHIAYwBlAAAAAAAAAKIE4qy8P+ZEoxyYxqTFPWIHAAAA&#10;sZcxHH6uv0WIJLdeMotupE0AZQB0AGgAbwBkAAAAAAAAAASCI6Eeq4RHsmvuFjvF&#10;XjUHAAAAsZcxHH6uv0WIJLdeMotupFUAcABkAGEAdABlACAARABhAHQAZQAAAAAA&#10;AAAk+/YWEcrVRoxde0XlZQ4kBwAAALGXMRx+rr9FiCS3XjKLbqRDAG8AbQBtAGUA&#10;bgB0AAAAAAAAAOeT/Lwbz8pDpqA1w39iLEsHAAAAsZcxHH6uv0WIJLdeMotupFAA&#10;cgBpAG8AcgBpAHQAeQAAAAAAAABhKEOjGG1yQJwEArvucRs9BwAAALGXMRx+rr9F&#10;iCS3XjKLbqRTAGgAZQBsAHQAZQByACAARwBhAHAAAAAAAAAArgql18D+dEyh9P6f&#10;LIx+IgcAAACxlzEcfq6/RYgkt14yi26kTABhAG4AZAAgAFMAdABhAHQAdQBzAAAA&#10;AAAAAKM0DjXyLnNIkQQgYweznrkHAAAAsZcxHH6uv0WIJLdeMotupFMAaABlAGwA&#10;dABlAHIAIABQAG8AcwBzAGkAYgBsAGUAAAAAAAAAWPPGEsqklkCfYTuIUZYzuAcA&#10;AACxlzEcfq6/RYgkt14yi26kTgBlAGEAcgBlAHMAdABfAFQAbwB3AG4AAAAAAAAA&#10;qLwk7jh/K0mrerNlbU1bGQcAAACxlzEcfq6/RYgkt14yi26kRABpAHMAdABhAG4A&#10;YwBlAAAAAAAAAF04KShzBY9MjSkgZVZ6xMkHAAAAsZcxHH6uv0WIJLdeMotupEQA&#10;aQBzAHQAYQBuAGMAZQBfAEMAYQB0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gp5HJNLrsEOuvTqhkNqBEQ==&#10;"/>
                  <od:fieldProperty name="ColumnWidth" type="3" value="-1"/>
                  <od:fieldProperty name="ColumnOrder" type="3" value="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g+IXs0zCfkC38nqtXmu3bw==&#10;"/>
                  <od:fieldProperty name="ColumnWidth" type="3" value="-1"/>
                  <od:fieldProperty name="ColumnOrder" type="3" value="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_Pcode" minOccurs="0" od:jetType="text" od:sqlSType="nvarchar">
              <xsd:annotation>
                <xsd:appinfo>
                  <od:fieldProperty name="Format" type="10" value="@"/>
                  <od:fieldProperty name="GUID" type="9" value="j/cXMkH89UWKWd8Un/iBiA==&#10;"/>
                  <od:fieldProperty name="ColumnWidth" type="3" value="-1"/>
                  <od:fieldProperty name="ColumnOrder" type="3" value="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bL+Qj2su5E6TqvrnaS35uA==&#10;"/>
                  <od:fieldProperty name="ColumnWidth" type="3" value="-1"/>
                  <od:fieldProperty name="ColumnOrder" type="3" value="4"/>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_Pcode" minOccurs="0" od:jetType="text" od:sqlSType="nvarchar">
              <xsd:annotation>
                <xsd:appinfo>
                  <od:fieldProperty name="Format" type="10" value="@"/>
                  <od:fieldProperty name="GUID" type="9" value="G/B7TXHkNUqBLVFo7MRFMw==&#10;"/>
                  <od:fieldProperty name="ColumnWidth" type="3" value="-1"/>
                  <od:fieldProperty name="ColumnOrder" type="3" value="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azqd3iQR0uy/hESulyCCg==&#10;"/>
                  <od:fieldProperty name="ColumnWidth" type="3" value="-1"/>
                  <od:fieldProperty name="ColumnOrder" type="3" value="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_Pcode" minOccurs="0" od:jetType="text" od:sqlSType="nvarchar">
              <xsd:annotation>
                <xsd:appinfo>
                  <od:fieldProperty name="Format" type="10" value="@"/>
                  <od:fieldProperty name="GUID" type="9" value="6z/QUKs0skyTg5B22v+9ww==&#10;"/>
                  <od:fieldProperty name="ColumnWidth" type="3" value="-1"/>
                  <od:fieldProperty name="ColumnOrder" type="3" value="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 minOccurs="0" od:jetType="text" od:sqlSType="nvarchar">
              <xsd:annotation>
                <xsd:appinfo>
                  <od:fieldProperty name="Format" type="10" value="@"/>
                  <od:fieldProperty name="GUID" type="9" value="wD8hSAnkbUGhqotckLPRCA==&#10;"/>
                  <od:fieldProperty name="ColumnWidth" type="3" value="-1"/>
                  <od:fieldProperty name="ColumnOrder" type="3" value="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TT_Pcode" minOccurs="0" od:jetType="text" od:sqlSType="nvarchar">
              <xsd:annotation>
                <xsd:appinfo>
                  <od:fieldProperty name="Format" type="10" value="@"/>
                  <od:fieldProperty name="GUID" type="9" value="U7vYlr60okWgMhETcbwpCg==&#10;"/>
                  <od:fieldProperty name="ColumnWidth" type="3" value="-1"/>
                  <od:fieldProperty name="ColumnOrder" type="3" value="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Xam0YcbLokmAAOFkVGJ66A==&#10;"/>
                  <od:fieldProperty name="ColumnWidth" type="3" value="-1"/>
                  <od:fieldProperty name="ColumnOrder" type="3" value="1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W_Pcode" minOccurs="0" od:jetType="text" od:sqlSType="nvarchar">
              <xsd:annotation>
                <xsd:appinfo>
                  <od:fieldProperty name="Format" type="10" value="@"/>
                  <od:fieldProperty name="GUID" type="9" value="ZbV1c/kdnUGZwTSs90INsw==&#10;"/>
                  <od:fieldProperty name="ColumnWidth" type="3" value="-1"/>
                  <od:fieldProperty name="ColumnOrder" type="3" value="1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7pXReprKtUSC/hoLfzFhpw==&#10;"/>
                  <od:fieldProperty name="ColumnWidth" type="3" value="-1"/>
                  <od:fieldProperty name="ColumnOrder" type="3" value="1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P_Pcode" minOccurs="0" od:jetType="text" od:sqlSType="nvarchar">
              <xsd:annotation>
                <xsd:appinfo>
                  <od:fieldProperty name="Format" type="10" value="@"/>
                  <od:fieldProperty name="GUID" type="9" value="WOF92M10Dk+aWDCLeRwL+w==&#10;"/>
                  <od:fieldProperty name="ColumnWidth" type="3" value="-1"/>
                  <od:fieldProperty name="ColumnOrder" type="3" value="1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uGX32ra2mkyYkAAQZ5uGfw==&#10;"/>
                  <od:fieldProperty name="ColumnWidth" type="3" value="-1"/>
                  <od:fieldProperty name="ColumnOrder" type="3" value="1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7x1814kq6EifpXGokrw19A==&#10;"/>
                  <od:fieldProperty name="ColumnWidth" type="3" value="-1"/>
                  <od:fieldProperty name="ColumnOrder" type="3" value="1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double" od:sqlSType="float" type="xsd:double">
              <xsd:annotation>
                <xsd:appinfo>
                  <od:fieldProperty name="Format" type="10" value="0"/>
                  <od:fieldProperty name="GUID" type="9" value="MISuIhFpVkSfBE8ql7LYAA==&#10;"/>
                  <od:fieldProperty name="ColumnWidth" type="3" value="-1"/>
                  <od:fieldProperty name="ColumnOrder" type="3" value="16"/>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 minOccurs="0" od:jetType="double" od:sqlSType="float" type="xsd:double">
              <xsd:annotation>
                <xsd:appinfo>
                  <od:fieldProperty name="Format" type="10" value="General Number"/>
                  <od:fieldProperty name="GUID" type="9" value="JUqY+KaGwE+ruWNWwPyRLg==&#10;"/>
                  <od:fieldProperty name="ColumnWidth" type="3" value="-1"/>
                  <od:fieldProperty name="ColumnOrder" type="3" value="17"/>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General Number"/>
                  <od:fieldProperty name="GUID" type="9" value="cvZx99LgG0KzOqZEoGniaQ==&#10;"/>
                  <od:fieldProperty name="ColumnWidth" type="3" value="-1"/>
                  <od:fieldProperty name="ColumnOrder" type="3" value="18"/>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text" od:sqlSType="nvarchar">
              <xsd:annotation>
                <xsd:appinfo>
                  <od:fieldProperty name="Format" type="10" value="Fixed"/>
                  <od:fieldProperty name="GUID" type="9" value="7R4I1uLf/UCRsScuiiqxHQ==&#10;"/>
                  <od:fieldProperty name="ColumnWidth" type="3" value="-1"/>
                  <od:fieldProperty name="ColumnOrder" type="3" value="19"/>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ccessibility" minOccurs="0" od:jetType="text" od:sqlSType="nvarchar">
              <xsd:annotation>
                <xsd:appinfo>
                  <od:fieldProperty name="Format" type="10" value="@"/>
                  <od:fieldProperty name="GUID" type="9" value="w3S3K2xGlkmNY6bogs3r9Q==&#10;"/>
                  <od:fieldProperty name="ColumnWidth" type="3" value="-1"/>
                  <od:fieldProperty name="ColumnOrder" type="3" value="2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UPkQwZsySUqO0BP1EpwwEQ==&#10;"/>
                  <od:fieldProperty name="ColumnWidth" type="3" value="-1"/>
                  <od:fieldProperty name="ColumnOrder" type="3" value="22"/>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Location" minOccurs="0" od:jetType="text" od:sqlSType="nvarchar">
              <xsd:annotation>
                <xsd:appinfo>
                  <od:fieldProperty name="Format" type="10" value="@"/>
                  <od:fieldProperty name="GUID" type="9" value="/7iLRfoGN0q/I2U3dgcWxA==&#10;"/>
                  <od:fieldProperty name="ColumnWidth" type="3" value="-1"/>
                  <od:fieldProperty name="ColumnOrder" type="3" value="2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ojjgF04Xky3CL9avfxg0w==&#10;"/>
                  <od:fieldProperty name="ColumnWidth" type="3" value="2595"/>
                  <od:fieldProperty name="ColumnOrder" type="3" value="2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datetime" od:sqlSType="datetime" type="xsd:dateTime">
              <xsd:annotation>
                <xsd:appinfo>
                  <od:fieldProperty name="Format" type="10" value="yyyy-mm-dd"/>
                  <od:fieldProperty name="GUID" type="9" value="3VNebSmIg0qA3MBKUpmDvA==&#10;"/>
                  <od:fieldProperty name="ColumnWidth" type="3" value="-1"/>
                  <od:fieldProperty name="ColumnOrder" type="3" value="24"/>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M_x002F_FP" minOccurs="0" od:jetType="double" od:sqlSType="float" type="xsd:double">
              <xsd:annotation>
                <xsd:appinfo>
                  <od:fieldProperty name="Format" type="10" value="0"/>
                  <od:fieldProperty name="GUID" type="9" value="lGSU8E/HTUGYzW1h16eX6Q==&#10;"/>
                  <od:fieldProperty name="ColumnWidth" type="3" value="-1"/>
                  <od:fieldProperty name="ColumnOrder" type="3" value="25"/>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Responsible_x0020_Agency" minOccurs="0" od:jetType="text" od:sqlSType="nvarchar">
              <xsd:annotation>
                <xsd:appinfo>
                  <od:fieldProperty name="Format" type="10" value="@"/>
                  <od:fieldProperty name="GUID" type="9" value="V9uYLCqfAEuVuNcs6rbSQw==&#10;"/>
                  <od:fieldProperty name="ColumnWidth" type="3" value="-1"/>
                  <od:fieldProperty name="ColumnOrder" type="3" value="2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Lof957Pp0EqtTJNyZ8MR/g==&#10;"/>
                  <od:fieldProperty name="ColumnWidth" type="3" value="-1"/>
                  <od:fieldProperty name="ColumnOrder" type="3" value="2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ogTirLw/5kSjHJjGpMU9Yg==&#10;"/>
                  <od:fieldProperty name="ColumnWidth" type="3" value="-1"/>
                  <od:fieldProperty name="ColumnOrder" type="3" value="28"/>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IIjoR6rhEeya+4WO8VeNQ==&#10;"/>
                  <od:fieldProperty name="ColumnWidth" type="3" value="-1"/>
                  <od:fieldProperty name="ColumnOrder" type="3" value="29"/>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JPv2FhHK1UaMXXtF5WUOJA==&#10;"/>
                  <od:fieldProperty name="ColumnWidth" type="3" value="-1"/>
                  <od:fieldProperty name="ColumnOrder" type="3" value="3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riority" minOccurs="0" od:jetType="text" od:sqlSType="nvarchar">
              <xsd:annotation>
                <xsd:appinfo>
                  <od:fieldProperty name="Format" type="10" value="0"/>
                  <od:fieldProperty name="GUID" type="9" value="55P8vBvPykOmoDXDf2IsSw==&#10;"/>
                  <od:fieldProperty name="ColumnWidth" type="3" value="-1"/>
                  <od:fieldProperty name="ColumnOrder" type="3" value="31"/>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Gap" minOccurs="0" od:jetType="double" od:sqlSType="float" type="xsd:double">
              <xsd:annotation>
                <xsd:appinfo>
                  <od:fieldProperty name="Format" type="10" value="General Number"/>
                  <od:fieldProperty name="GUID" type="9" value="YShDoxhtckCcBAK77nEbPQ==&#10;"/>
                  <od:fieldProperty name="ColumnWidth" type="3" value="-1"/>
                  <od:fieldProperty name="ColumnOrder" type="3" value="32"/>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nd_x0020_Status" minOccurs="0" od:jetType="text" od:sqlSType="nvarchar">
              <xsd:annotation>
                <xsd:appinfo>
                  <od:fieldProperty name="Format" type="10" value="@"/>
                  <od:fieldProperty name="GUID" type="9" value="rgql18D+dEyh9P6fLIx+Ig==&#10;"/>
                  <od:fieldProperty name="ColumnWidth" type="3" value="-1"/>
                  <od:fieldProperty name="ColumnOrder" type="3" value="33"/>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helter_x0020_Possible" minOccurs="0" od:jetType="double" od:sqlSType="float" type="xsd:double">
              <xsd:annotation>
                <xsd:appinfo>
                  <od:fieldProperty name="Format" type="10" value="General Number"/>
                  <od:fieldProperty name="GUID" type="9" value="ozQONfIuc0iRBCBjB7OeuQ==&#10;"/>
                  <od:fieldProperty name="ColumnWidth" type="3" value="-1"/>
                  <od:fieldProperty name="ColumnOrder" type="3" value="34"/>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earest_Town" minOccurs="0" od:jetType="text" od:sqlSType="nvarchar">
              <xsd:annotation>
                <xsd:appinfo>
                  <od:fieldProperty name="Format" type="10" value="@"/>
                  <od:fieldProperty name="GUID" type="9" value="WPPGEsqklkCfYTuIUZYzuA==&#10;"/>
                  <od:fieldProperty name="ColumnWidth" type="3" value="-1"/>
                  <od:fieldProperty name="ColumnOrder" type="3" value="35"/>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 minOccurs="0" od:jetType="text" od:sqlSType="nvarchar">
              <xsd:annotation>
                <xsd:appinfo>
                  <od:fieldProperty name="Format" type="10" value="* #,##0;-* #,##0;* -00"/>
                  <od:fieldProperty name="GUID" type="9" value="qLwk7jh/K0mrerNlbU1bGQ==&#10;"/>
                  <od:fieldProperty name="ColumnWidth" type="3" value="-1"/>
                  <od:fieldProperty name="ColumnOrder" type="3" value="36"/>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ance_Cat" minOccurs="0" od:jetType="text" od:sqlSType="nvarchar">
              <xsd:annotation>
                <xsd:appinfo>
                  <od:fieldProperty name="Format" type="10" value="@"/>
                  <od:fieldProperty name="GUID" type="9" value="XTgpKHMFj0yNKSBlVnrEyQ==&#10;"/>
                  <od:fieldProperty name="ColumnWidth" type="3" value="-1"/>
                  <od:fieldProperty name="ColumnOrder" type="3" value="37"/>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Map ID="11" Name="CampList_Map" RootElement="dataroot" SchemaID="Schema5" ShowImportExportValidationErrors="false" AutoFit="true" Append="false" PreserveSortAFLayout="true" PreserveFormat="true"/>
  <Map ID="8" Name="NFITracking_Map" RootElement="dataroot" SchemaID="Schema3" ShowImportExportValidationErrors="false" AutoFit="true" Append="false" PreserveSortAFLayout="true" PreserveFormat="true"/>
  <Map ID="9" Name="ShelterTracking_Map" RootElement="dataroot" SchemaID="Schema4"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9" Type="http://schemas.openxmlformats.org/officeDocument/2006/relationships/customXml" Target="../customXml/item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42"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41"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37" Type="http://schemas.openxmlformats.org/officeDocument/2006/relationships/customXml" Target="../customXml/item5.xml"/><Relationship Id="rId40" Type="http://schemas.openxmlformats.org/officeDocument/2006/relationships/customXml" Target="../customXml/item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styles" Target="styles.xml"/><Relationship Id="rId35" Type="http://schemas.openxmlformats.org/officeDocument/2006/relationships/customXml" Target="../customXml/item3.xml"/><Relationship Id="rId43" Type="http://schemas.openxmlformats.org/officeDocument/2006/relationships/customXml" Target="../customXml/item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August 2016.xlsx]Camp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Kachin &amp; Northern Shan States </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manualLayout>
          <c:xMode val="edge"/>
          <c:yMode val="edge"/>
          <c:x val="0.17802355264037256"/>
          <c:y val="2.9020565069248325E-3"/>
        </c:manualLayout>
      </c:layout>
      <c:overlay val="0"/>
    </c:title>
    <c:autoTitleDeleted val="0"/>
    <c:pivotFmts>
      <c:pivotFmt>
        <c:idx val="0"/>
      </c:pivotFmt>
      <c:pivotFmt>
        <c:idx val="1"/>
      </c:pivotFmt>
      <c:pivotFmt>
        <c:idx val="2"/>
      </c:pivotFmt>
      <c:pivotFmt>
        <c:idx val="3"/>
        <c:marker>
          <c:symbol val="none"/>
        </c:marker>
      </c:pivotFmt>
    </c:pivotFmts>
    <c:plotArea>
      <c:layout>
        <c:manualLayout>
          <c:layoutTarget val="inner"/>
          <c:xMode val="edge"/>
          <c:yMode val="edge"/>
          <c:x val="0.18959818142938484"/>
          <c:y val="0.13559827434694499"/>
          <c:w val="0.75948171769126471"/>
          <c:h val="0.77055567472927888"/>
        </c:manualLayout>
      </c:layout>
      <c:barChart>
        <c:barDir val="bar"/>
        <c:grouping val="clustered"/>
        <c:varyColors val="0"/>
        <c:ser>
          <c:idx val="0"/>
          <c:order val="0"/>
          <c:tx>
            <c:strRef>
              <c:f>'Camp Analysis'!$Q$11</c:f>
              <c:strCache>
                <c:ptCount val="1"/>
                <c:pt idx="0">
                  <c:v>Total</c:v>
                </c:pt>
              </c:strCache>
            </c:strRef>
          </c:tx>
          <c:invertIfNegative val="0"/>
          <c:cat>
            <c:multiLvlStrRef>
              <c:f>'Camp Analysis'!$P$12:$P$47</c:f>
              <c:multiLvlStrCache>
                <c:ptCount val="22"/>
                <c:lvl>
                  <c:pt idx="0">
                    <c:v>Bhamo</c:v>
                  </c:pt>
                  <c:pt idx="1">
                    <c:v>Chipwi</c:v>
                  </c:pt>
                  <c:pt idx="2">
                    <c:v>Hpakant</c:v>
                  </c:pt>
                  <c:pt idx="3">
                    <c:v>Hseni</c:v>
                  </c:pt>
                  <c:pt idx="4">
                    <c:v>Injangyang</c:v>
                  </c:pt>
                  <c:pt idx="5">
                    <c:v>Khaunglanhpu</c:v>
                  </c:pt>
                  <c:pt idx="6">
                    <c:v>Machanbaw</c:v>
                  </c:pt>
                  <c:pt idx="7">
                    <c:v>Manton</c:v>
                  </c:pt>
                  <c:pt idx="8">
                    <c:v>Mogaung</c:v>
                  </c:pt>
                  <c:pt idx="9">
                    <c:v>Mohnyin</c:v>
                  </c:pt>
                  <c:pt idx="10">
                    <c:v>Muse</c:v>
                  </c:pt>
                  <c:pt idx="11">
                    <c:v>Namtu</c:v>
                  </c:pt>
                  <c:pt idx="12">
                    <c:v>Puta-O</c:v>
                  </c:pt>
                  <c:pt idx="13">
                    <c:v>Shwegu</c:v>
                  </c:pt>
                  <c:pt idx="14">
                    <c:v>Sumprabum</c:v>
                  </c:pt>
                  <c:pt idx="15">
                    <c:v>Kutkai</c:v>
                  </c:pt>
                  <c:pt idx="16">
                    <c:v>Mansi</c:v>
                  </c:pt>
                  <c:pt idx="17">
                    <c:v>Momauk</c:v>
                  </c:pt>
                  <c:pt idx="18">
                    <c:v>Myitkyina</c:v>
                  </c:pt>
                  <c:pt idx="19">
                    <c:v>Namhkan</c:v>
                  </c:pt>
                  <c:pt idx="20">
                    <c:v>Waingmaw</c:v>
                  </c:pt>
                  <c:pt idx="21">
                    <c:v>Tanai</c:v>
                  </c:pt>
                </c:lvl>
                <c:lvl>
                  <c:pt idx="0">
                    <c:v>Bhamo</c:v>
                  </c:pt>
                  <c:pt idx="1">
                    <c:v>Chipwi</c:v>
                  </c:pt>
                  <c:pt idx="2">
                    <c:v>Hpakant</c:v>
                  </c:pt>
                  <c:pt idx="3">
                    <c:v>Hseni</c:v>
                  </c:pt>
                  <c:pt idx="4">
                    <c:v>Injangyang</c:v>
                  </c:pt>
                  <c:pt idx="5">
                    <c:v>Group1</c:v>
                  </c:pt>
                  <c:pt idx="15">
                    <c:v>Kutkai</c:v>
                  </c:pt>
                  <c:pt idx="16">
                    <c:v>Mansi</c:v>
                  </c:pt>
                  <c:pt idx="17">
                    <c:v>Momauk</c:v>
                  </c:pt>
                  <c:pt idx="18">
                    <c:v>Myitkyina</c:v>
                  </c:pt>
                  <c:pt idx="19">
                    <c:v>Namhkan</c:v>
                  </c:pt>
                  <c:pt idx="20">
                    <c:v>Waingmaw</c:v>
                  </c:pt>
                  <c:pt idx="21">
                    <c:v>Tanai</c:v>
                  </c:pt>
                </c:lvl>
              </c:multiLvlStrCache>
            </c:multiLvlStrRef>
          </c:cat>
          <c:val>
            <c:numRef>
              <c:f>'Camp Analysis'!$Q$12:$Q$47</c:f>
              <c:numCache>
                <c:formatCode>General</c:formatCode>
                <c:ptCount val="22"/>
                <c:pt idx="0">
                  <c:v>8184</c:v>
                </c:pt>
                <c:pt idx="1">
                  <c:v>2609</c:v>
                </c:pt>
                <c:pt idx="2">
                  <c:v>3482</c:v>
                </c:pt>
                <c:pt idx="3">
                  <c:v>669</c:v>
                </c:pt>
                <c:pt idx="4">
                  <c:v>0</c:v>
                </c:pt>
                <c:pt idx="5">
                  <c:v>17</c:v>
                </c:pt>
                <c:pt idx="6">
                  <c:v>0</c:v>
                </c:pt>
                <c:pt idx="7">
                  <c:v>504</c:v>
                </c:pt>
                <c:pt idx="8">
                  <c:v>433</c:v>
                </c:pt>
                <c:pt idx="9">
                  <c:v>378</c:v>
                </c:pt>
                <c:pt idx="10">
                  <c:v>1020</c:v>
                </c:pt>
                <c:pt idx="11">
                  <c:v>639</c:v>
                </c:pt>
                <c:pt idx="12">
                  <c:v>490</c:v>
                </c:pt>
                <c:pt idx="13">
                  <c:v>2186</c:v>
                </c:pt>
                <c:pt idx="14">
                  <c:v>1232</c:v>
                </c:pt>
                <c:pt idx="15">
                  <c:v>5060</c:v>
                </c:pt>
                <c:pt idx="16">
                  <c:v>12630</c:v>
                </c:pt>
                <c:pt idx="17">
                  <c:v>15638</c:v>
                </c:pt>
                <c:pt idx="18">
                  <c:v>7181</c:v>
                </c:pt>
                <c:pt idx="19">
                  <c:v>2805</c:v>
                </c:pt>
                <c:pt idx="20">
                  <c:v>36924</c:v>
                </c:pt>
                <c:pt idx="21">
                  <c:v>9</c:v>
                </c:pt>
              </c:numCache>
            </c:numRef>
          </c:val>
        </c:ser>
        <c:dLbls>
          <c:showLegendKey val="0"/>
          <c:showVal val="0"/>
          <c:showCatName val="0"/>
          <c:showSerName val="0"/>
          <c:showPercent val="0"/>
          <c:showBubbleSize val="0"/>
        </c:dLbls>
        <c:gapWidth val="150"/>
        <c:axId val="153171432"/>
        <c:axId val="153171824"/>
      </c:barChart>
      <c:catAx>
        <c:axId val="153171432"/>
        <c:scaling>
          <c:orientation val="minMax"/>
        </c:scaling>
        <c:delete val="0"/>
        <c:axPos val="l"/>
        <c:numFmt formatCode="General" sourceLinked="0"/>
        <c:majorTickMark val="out"/>
        <c:minorTickMark val="none"/>
        <c:tickLblPos val="nextTo"/>
        <c:crossAx val="153171824"/>
        <c:crosses val="autoZero"/>
        <c:auto val="1"/>
        <c:lblAlgn val="ctr"/>
        <c:lblOffset val="100"/>
        <c:noMultiLvlLbl val="1"/>
      </c:catAx>
      <c:valAx>
        <c:axId val="153171824"/>
        <c:scaling>
          <c:orientation val="minMax"/>
        </c:scaling>
        <c:delete val="0"/>
        <c:axPos val="b"/>
        <c:majorGridlines/>
        <c:numFmt formatCode="General" sourceLinked="1"/>
        <c:majorTickMark val="out"/>
        <c:minorTickMark val="none"/>
        <c:tickLblPos val="nextTo"/>
        <c:crossAx val="153171432"/>
        <c:crosses val="autoZero"/>
        <c:crossBetween val="between"/>
        <c:dispUnits>
          <c:builtInUnit val="thousands"/>
          <c:dispUnitsLbl>
            <c:layout/>
          </c:dispUnitsLbl>
        </c:dispUnits>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0267035245554"/>
          <c:y val="0.12384638035160944"/>
          <c:w val="0.3389589174721096"/>
          <c:h val="0.84739662382217174"/>
        </c:manualLayout>
      </c:layout>
      <c:pieChart>
        <c:varyColors val="1"/>
        <c:ser>
          <c:idx val="0"/>
          <c:order val="0"/>
          <c:dPt>
            <c:idx val="0"/>
            <c:bubble3D val="0"/>
            <c:spPr>
              <a:solidFill>
                <a:schemeClr val="accent6">
                  <a:lumMod val="20000"/>
                  <a:lumOff val="80000"/>
                </a:schemeClr>
              </a:solidFill>
            </c:spPr>
          </c:dPt>
          <c:dPt>
            <c:idx val="1"/>
            <c:bubble3D val="0"/>
            <c:spPr>
              <a:solidFill>
                <a:schemeClr val="accent6">
                  <a:lumMod val="60000"/>
                  <a:lumOff val="40000"/>
                </a:schemeClr>
              </a:solidFill>
            </c:spPr>
          </c:dPt>
          <c:dPt>
            <c:idx val="2"/>
            <c:bubble3D val="0"/>
            <c:spPr>
              <a:solidFill>
                <a:schemeClr val="accent6">
                  <a:lumMod val="75000"/>
                </a:schemeClr>
              </a:solidFill>
            </c:spPr>
          </c:dPt>
          <c:dPt>
            <c:idx val="3"/>
            <c:bubble3D val="0"/>
            <c:spPr>
              <a:solidFill>
                <a:schemeClr val="accent6">
                  <a:lumMod val="50000"/>
                </a:schemeClr>
              </a:solidFill>
            </c:spPr>
          </c:dPt>
          <c:dLbls>
            <c:dLbl>
              <c:idx val="0"/>
              <c:layout>
                <c:manualLayout>
                  <c:x val="6.3457274879298836E-2"/>
                  <c:y val="5.149886733320843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5358433959500667"/>
                  <c:y val="2.774778150602101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170659900033893E-2"/>
                  <c:y val="6.5171773602902355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'CCCM Dashboard'!$AL$6:$AO$6</c:f>
              <c:strCache>
                <c:ptCount val="4"/>
                <c:pt idx="0">
                  <c:v>1-100</c:v>
                </c:pt>
                <c:pt idx="1">
                  <c:v>100-1k</c:v>
                </c:pt>
                <c:pt idx="2">
                  <c:v>1k-5k</c:v>
                </c:pt>
                <c:pt idx="3">
                  <c:v>5k-10k</c:v>
                </c:pt>
              </c:strCache>
            </c:strRef>
          </c:cat>
          <c:val>
            <c:numRef>
              <c:f>'CCCM Dashboard'!$AL$29:$AO$29</c:f>
              <c:numCache>
                <c:formatCode>0%</c:formatCode>
                <c:ptCount val="4"/>
                <c:pt idx="0">
                  <c:v>2.3127899949811022E-2</c:v>
                </c:pt>
                <c:pt idx="1">
                  <c:v>0.405209410945294</c:v>
                </c:pt>
                <c:pt idx="2">
                  <c:v>0.41610758877815446</c:v>
                </c:pt>
                <c:pt idx="3">
                  <c:v>0.15555510032674047</c:v>
                </c:pt>
              </c:numCache>
            </c:numRef>
          </c:val>
        </c:ser>
        <c:dLbls>
          <c:showLegendKey val="0"/>
          <c:showVal val="0"/>
          <c:showCatName val="0"/>
          <c:showSerName val="0"/>
          <c:showPercent val="1"/>
          <c:showBubbleSize val="0"/>
          <c:showLeaderLines val="1"/>
        </c:dLbls>
        <c:firstSliceAng val="0"/>
      </c:pieChart>
      <c:spPr>
        <a:noFill/>
      </c:spPr>
    </c:plotArea>
    <c:legend>
      <c:legendPos val="t"/>
      <c:layout>
        <c:manualLayout>
          <c:xMode val="edge"/>
          <c:yMode val="edge"/>
          <c:x val="0.5423475469625233"/>
          <c:y val="0.15856269275199508"/>
          <c:w val="0.41963903879643244"/>
          <c:h val="0.78717706568002177"/>
        </c:manualLayout>
      </c:layout>
      <c:overlay val="0"/>
      <c:txPr>
        <a:bodyPr/>
        <a:lstStyle/>
        <a:p>
          <a:pPr rtl="0">
            <a:defRPr/>
          </a:pPr>
          <a:endParaRPr lang="en-US"/>
        </a:p>
      </c:txPr>
    </c:legend>
    <c:plotVisOnly val="1"/>
    <c:dispBlanksAs val="gap"/>
    <c:showDLblsOverMax val="0"/>
  </c:chart>
  <c:spPr>
    <a:solidFill>
      <a:schemeClr val="bg1">
        <a:alpha val="50000"/>
      </a:schemeClr>
    </a:solidFill>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5031407086608"/>
          <c:y val="0.15663962176887972"/>
          <c:w val="0.8588819417282495"/>
          <c:h val="0.5499497192339885"/>
        </c:manualLayout>
      </c:layout>
      <c:barChart>
        <c:barDir val="col"/>
        <c:grouping val="stacked"/>
        <c:varyColors val="0"/>
        <c:ser>
          <c:idx val="3"/>
          <c:order val="0"/>
          <c:tx>
            <c:strRef>
              <c:f>'CCCM Dashboard'!$AL$36</c:f>
              <c:strCache>
                <c:ptCount val="1"/>
                <c:pt idx="0">
                  <c:v>1-100</c:v>
                </c:pt>
              </c:strCache>
            </c:strRef>
          </c:tx>
          <c:invertIfNegative val="0"/>
          <c:cat>
            <c:strRef>
              <c:f>'CCCM Dashboard'!$AK$37:$AK$57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Dashboard'!$AL$37:$AL$57</c:f>
              <c:numCache>
                <c:formatCode>_-* #,##0_-;\-* #,##0_-;_-* "-"??_-;_-@_-</c:formatCode>
                <c:ptCount val="21"/>
                <c:pt idx="0">
                  <c:v>4</c:v>
                </c:pt>
                <c:pt idx="1">
                  <c:v>0</c:v>
                </c:pt>
                <c:pt idx="2">
                  <c:v>10</c:v>
                </c:pt>
                <c:pt idx="3">
                  <c:v>1</c:v>
                </c:pt>
                <c:pt idx="4">
                  <c:v>0</c:v>
                </c:pt>
                <c:pt idx="5">
                  <c:v>1</c:v>
                </c:pt>
                <c:pt idx="6">
                  <c:v>0</c:v>
                </c:pt>
                <c:pt idx="7">
                  <c:v>0</c:v>
                </c:pt>
                <c:pt idx="8">
                  <c:v>0</c:v>
                </c:pt>
                <c:pt idx="9">
                  <c:v>0</c:v>
                </c:pt>
                <c:pt idx="10">
                  <c:v>5</c:v>
                </c:pt>
                <c:pt idx="11">
                  <c:v>3</c:v>
                </c:pt>
                <c:pt idx="12">
                  <c:v>5</c:v>
                </c:pt>
                <c:pt idx="13">
                  <c:v>0</c:v>
                </c:pt>
                <c:pt idx="14">
                  <c:v>6</c:v>
                </c:pt>
                <c:pt idx="15">
                  <c:v>0</c:v>
                </c:pt>
                <c:pt idx="16">
                  <c:v>2</c:v>
                </c:pt>
                <c:pt idx="17">
                  <c:v>2</c:v>
                </c:pt>
                <c:pt idx="18">
                  <c:v>1</c:v>
                </c:pt>
                <c:pt idx="19">
                  <c:v>1</c:v>
                </c:pt>
                <c:pt idx="20">
                  <c:v>1</c:v>
                </c:pt>
              </c:numCache>
            </c:numRef>
          </c:val>
        </c:ser>
        <c:ser>
          <c:idx val="0"/>
          <c:order val="1"/>
          <c:tx>
            <c:strRef>
              <c:f>'CCCM Dashboard'!$AM$36</c:f>
              <c:strCache>
                <c:ptCount val="1"/>
                <c:pt idx="0">
                  <c:v>100-1k</c:v>
                </c:pt>
              </c:strCache>
            </c:strRef>
          </c:tx>
          <c:spPr>
            <a:solidFill>
              <a:srgbClr val="FFC000"/>
            </a:solidFill>
          </c:spPr>
          <c:invertIfNegative val="0"/>
          <c:cat>
            <c:strRef>
              <c:f>'CCCM Dashboard'!$AK$37:$AK$57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Dashboard'!$AM$37:$AM$57</c:f>
              <c:numCache>
                <c:formatCode>_-* #,##0_-;\-* #,##0_-;_-* "-"??_-;_-@_-</c:formatCode>
                <c:ptCount val="21"/>
                <c:pt idx="0">
                  <c:v>5</c:v>
                </c:pt>
                <c:pt idx="1">
                  <c:v>4</c:v>
                </c:pt>
                <c:pt idx="2">
                  <c:v>10</c:v>
                </c:pt>
                <c:pt idx="3">
                  <c:v>2</c:v>
                </c:pt>
                <c:pt idx="4">
                  <c:v>0</c:v>
                </c:pt>
                <c:pt idx="5">
                  <c:v>0</c:v>
                </c:pt>
                <c:pt idx="6">
                  <c:v>12</c:v>
                </c:pt>
                <c:pt idx="7">
                  <c:v>0</c:v>
                </c:pt>
                <c:pt idx="8">
                  <c:v>8</c:v>
                </c:pt>
                <c:pt idx="9">
                  <c:v>3</c:v>
                </c:pt>
                <c:pt idx="10">
                  <c:v>1</c:v>
                </c:pt>
                <c:pt idx="11">
                  <c:v>1</c:v>
                </c:pt>
                <c:pt idx="12">
                  <c:v>7</c:v>
                </c:pt>
                <c:pt idx="13">
                  <c:v>4</c:v>
                </c:pt>
                <c:pt idx="14">
                  <c:v>17</c:v>
                </c:pt>
                <c:pt idx="15">
                  <c:v>7</c:v>
                </c:pt>
                <c:pt idx="16">
                  <c:v>1</c:v>
                </c:pt>
                <c:pt idx="17">
                  <c:v>1</c:v>
                </c:pt>
                <c:pt idx="18">
                  <c:v>2</c:v>
                </c:pt>
                <c:pt idx="19">
                  <c:v>2</c:v>
                </c:pt>
                <c:pt idx="20">
                  <c:v>14</c:v>
                </c:pt>
              </c:numCache>
            </c:numRef>
          </c:val>
        </c:ser>
        <c:ser>
          <c:idx val="1"/>
          <c:order val="2"/>
          <c:tx>
            <c:strRef>
              <c:f>'CCCM Dashboard'!$AN$36</c:f>
              <c:strCache>
                <c:ptCount val="1"/>
                <c:pt idx="0">
                  <c:v>1k - 5k</c:v>
                </c:pt>
              </c:strCache>
            </c:strRef>
          </c:tx>
          <c:invertIfNegative val="0"/>
          <c:cat>
            <c:strRef>
              <c:f>'CCCM Dashboard'!$AK$37:$AK$57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Dashboard'!$AN$37:$AN$57</c:f>
              <c:numCache>
                <c:formatCode>_-* #,##0_-;\-* #,##0_-;_-* "-"??_-;_-@_-</c:formatCode>
                <c:ptCount val="21"/>
                <c:pt idx="0">
                  <c:v>2</c:v>
                </c:pt>
                <c:pt idx="1">
                  <c:v>1</c:v>
                </c:pt>
                <c:pt idx="2">
                  <c:v>0</c:v>
                </c:pt>
                <c:pt idx="3">
                  <c:v>0</c:v>
                </c:pt>
                <c:pt idx="4">
                  <c:v>0</c:v>
                </c:pt>
                <c:pt idx="5">
                  <c:v>0</c:v>
                </c:pt>
                <c:pt idx="6">
                  <c:v>0</c:v>
                </c:pt>
                <c:pt idx="7">
                  <c:v>0</c:v>
                </c:pt>
                <c:pt idx="8">
                  <c:v>4</c:v>
                </c:pt>
                <c:pt idx="9">
                  <c:v>0</c:v>
                </c:pt>
                <c:pt idx="10">
                  <c:v>0</c:v>
                </c:pt>
                <c:pt idx="11">
                  <c:v>0</c:v>
                </c:pt>
                <c:pt idx="12">
                  <c:v>7</c:v>
                </c:pt>
                <c:pt idx="13">
                  <c:v>0</c:v>
                </c:pt>
                <c:pt idx="14">
                  <c:v>1</c:v>
                </c:pt>
                <c:pt idx="15">
                  <c:v>0</c:v>
                </c:pt>
                <c:pt idx="16">
                  <c:v>0</c:v>
                </c:pt>
                <c:pt idx="17">
                  <c:v>0</c:v>
                </c:pt>
                <c:pt idx="18">
                  <c:v>1</c:v>
                </c:pt>
                <c:pt idx="19">
                  <c:v>0</c:v>
                </c:pt>
                <c:pt idx="20">
                  <c:v>6</c:v>
                </c:pt>
              </c:numCache>
            </c:numRef>
          </c:val>
        </c:ser>
        <c:ser>
          <c:idx val="2"/>
          <c:order val="3"/>
          <c:tx>
            <c:strRef>
              <c:f>'CCCM Dashboard'!$AO$36</c:f>
              <c:strCache>
                <c:ptCount val="1"/>
                <c:pt idx="0">
                  <c:v>5k-10k</c:v>
                </c:pt>
              </c:strCache>
            </c:strRef>
          </c:tx>
          <c:invertIfNegative val="0"/>
          <c:cat>
            <c:strRef>
              <c:f>'CCCM Dashboard'!$AK$37:$AK$57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Dashboard'!$AO$37:$AO$57</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numCache>
            </c:numRef>
          </c:val>
        </c:ser>
        <c:ser>
          <c:idx val="4"/>
          <c:order val="4"/>
          <c:tx>
            <c:strRef>
              <c:f>'CCCM Dashboard'!$AP$36</c:f>
              <c:strCache>
                <c:ptCount val="1"/>
                <c:pt idx="0">
                  <c:v>Unknown</c:v>
                </c:pt>
              </c:strCache>
            </c:strRef>
          </c:tx>
          <c:spPr>
            <a:solidFill>
              <a:schemeClr val="tx1"/>
            </a:solidFill>
          </c:spPr>
          <c:invertIfNegative val="0"/>
          <c:cat>
            <c:strRef>
              <c:f>'CCCM Dashboard'!$AK$37:$AK$57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'CCCM Dashboard'!$AP$37:$AP$57</c:f>
              <c:numCache>
                <c:formatCode>General</c:formatCode>
                <c:ptCount val="21"/>
                <c:pt idx="0">
                  <c:v>1</c:v>
                </c:pt>
                <c:pt idx="1">
                  <c:v>0</c:v>
                </c:pt>
                <c:pt idx="2">
                  <c:v>0</c:v>
                </c:pt>
                <c:pt idx="3">
                  <c:v>0</c:v>
                </c:pt>
                <c:pt idx="4">
                  <c:v>0</c:v>
                </c:pt>
                <c:pt idx="5">
                  <c:v>0</c:v>
                </c:pt>
                <c:pt idx="6">
                  <c:v>0</c:v>
                </c:pt>
                <c:pt idx="7">
                  <c:v>0</c:v>
                </c:pt>
                <c:pt idx="8">
                  <c:v>0</c:v>
                </c:pt>
                <c:pt idx="9">
                  <c:v>0</c:v>
                </c:pt>
                <c:pt idx="10">
                  <c:v>0</c:v>
                </c:pt>
                <c:pt idx="11">
                  <c:v>1</c:v>
                </c:pt>
                <c:pt idx="12">
                  <c:v>2</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overlap val="100"/>
        <c:axId val="311379120"/>
        <c:axId val="311379512"/>
      </c:barChart>
      <c:catAx>
        <c:axId val="311379120"/>
        <c:scaling>
          <c:orientation val="minMax"/>
        </c:scaling>
        <c:delete val="0"/>
        <c:axPos val="b"/>
        <c:numFmt formatCode="General" sourceLinked="0"/>
        <c:majorTickMark val="out"/>
        <c:minorTickMark val="none"/>
        <c:tickLblPos val="nextTo"/>
        <c:txPr>
          <a:bodyPr/>
          <a:lstStyle/>
          <a:p>
            <a:pPr>
              <a:defRPr sz="900"/>
            </a:pPr>
            <a:endParaRPr lang="en-US"/>
          </a:p>
        </c:txPr>
        <c:crossAx val="311379512"/>
        <c:crosses val="autoZero"/>
        <c:auto val="1"/>
        <c:lblAlgn val="ctr"/>
        <c:lblOffset val="100"/>
        <c:noMultiLvlLbl val="0"/>
      </c:catAx>
      <c:valAx>
        <c:axId val="311379512"/>
        <c:scaling>
          <c:orientation val="minMax"/>
        </c:scaling>
        <c:delete val="0"/>
        <c:axPos val="l"/>
        <c:majorGridlines/>
        <c:numFmt formatCode="_-* #,##0_-;\-* #,##0_-;_-* &quot;-&quot;??_-;_-@_-" sourceLinked="1"/>
        <c:majorTickMark val="out"/>
        <c:minorTickMark val="none"/>
        <c:tickLblPos val="nextTo"/>
        <c:crossAx val="311379120"/>
        <c:crosses val="autoZero"/>
        <c:crossBetween val="between"/>
      </c:valAx>
    </c:plotArea>
    <c:legend>
      <c:legendPos val="b"/>
      <c:layout>
        <c:manualLayout>
          <c:xMode val="edge"/>
          <c:yMode val="edge"/>
          <c:x val="5.0000065859752973E-2"/>
          <c:y val="0.9084422693848786"/>
          <c:w val="0.89999978021446669"/>
          <c:h val="6.0339219428528192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val>
            <c:numRef>
              <c:f>Shelter_Progress!#REF!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Shelter_Progress!#REF!</c15:sqref>
                        </c15:formulaRef>
                      </c:ext>
                    </c:extLst>
                  </c:multiLvlStrRef>
                </c15:cat>
              </c15:filteredCategoryTitle>
            </c:ext>
          </c:extLst>
        </c:ser>
        <c:dLbls>
          <c:showLegendKey val="0"/>
          <c:showVal val="0"/>
          <c:showCatName val="0"/>
          <c:showSerName val="0"/>
          <c:showPercent val="0"/>
          <c:showBubbleSize val="0"/>
        </c:dLbls>
        <c:gapWidth val="75"/>
        <c:axId val="306652320"/>
        <c:axId val="306652712"/>
      </c:barChart>
      <c:catAx>
        <c:axId val="306652320"/>
        <c:scaling>
          <c:orientation val="minMax"/>
        </c:scaling>
        <c:delete val="0"/>
        <c:axPos val="b"/>
        <c:majorTickMark val="none"/>
        <c:minorTickMark val="none"/>
        <c:tickLblPos val="nextTo"/>
        <c:crossAx val="306652712"/>
        <c:crosses val="autoZero"/>
        <c:auto val="1"/>
        <c:lblAlgn val="ctr"/>
        <c:lblOffset val="100"/>
        <c:noMultiLvlLbl val="0"/>
      </c:catAx>
      <c:valAx>
        <c:axId val="306652712"/>
        <c:scaling>
          <c:orientation val="minMax"/>
        </c:scaling>
        <c:delete val="0"/>
        <c:axPos val="l"/>
        <c:majorGridlines/>
        <c:numFmt formatCode="General" sourceLinked="1"/>
        <c:majorTickMark val="none"/>
        <c:minorTickMark val="none"/>
        <c:tickLblPos val="nextTo"/>
        <c:spPr>
          <a:ln w="9525">
            <a:noFill/>
          </a:ln>
        </c:spPr>
        <c:crossAx val="30665232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pop covered) in Kachin  &amp; Northern Shan State  by township</a:t>
            </a:r>
          </a:p>
        </c:rich>
      </c:tx>
      <c:layout/>
      <c:overlay val="0"/>
    </c:title>
    <c:autoTitleDeleted val="0"/>
    <c:plotArea>
      <c:layout/>
      <c:barChart>
        <c:barDir val="col"/>
        <c:grouping val="clustered"/>
        <c:varyColors val="0"/>
        <c:ser>
          <c:idx val="5"/>
          <c:order val="0"/>
          <c:tx>
            <c:strRef>
              <c:f>'Shelter Progress'!$N$6</c:f>
              <c:strCache>
                <c:ptCount val="1"/>
                <c:pt idx="0">
                  <c:v>Covered</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Progress'!$N$7:$N$27</c:f>
              <c:numCache>
                <c:formatCode>0%</c:formatCode>
                <c:ptCount val="21"/>
                <c:pt idx="0">
                  <c:v>0.80852713178294577</c:v>
                </c:pt>
                <c:pt idx="1">
                  <c:v>0.36437246963562753</c:v>
                </c:pt>
                <c:pt idx="2">
                  <c:v>0.61671469740634011</c:v>
                </c:pt>
                <c:pt idx="3">
                  <c:v>0.60344827586206895</c:v>
                </c:pt>
                <c:pt idx="4">
                  <c:v>0</c:v>
                </c:pt>
                <c:pt idx="5">
                  <c:v>0</c:v>
                </c:pt>
                <c:pt idx="6">
                  <c:v>0.4224548049476689</c:v>
                </c:pt>
                <c:pt idx="7">
                  <c:v>0</c:v>
                </c:pt>
                <c:pt idx="8">
                  <c:v>0.61214767764986111</c:v>
                </c:pt>
                <c:pt idx="9">
                  <c:v>0.78431372549019607</c:v>
                </c:pt>
                <c:pt idx="10">
                  <c:v>1</c:v>
                </c:pt>
                <c:pt idx="11">
                  <c:v>1</c:v>
                </c:pt>
                <c:pt idx="12">
                  <c:v>1</c:v>
                </c:pt>
                <c:pt idx="13">
                  <c:v>1</c:v>
                </c:pt>
                <c:pt idx="14">
                  <c:v>0.78921220723917673</c:v>
                </c:pt>
                <c:pt idx="15">
                  <c:v>0.39434276206322794</c:v>
                </c:pt>
                <c:pt idx="16">
                  <c:v>0.35714285714285715</c:v>
                </c:pt>
                <c:pt idx="17">
                  <c:v>1</c:v>
                </c:pt>
                <c:pt idx="18">
                  <c:v>0.69291338582677164</c:v>
                </c:pt>
                <c:pt idx="19">
                  <c:v>0</c:v>
                </c:pt>
                <c:pt idx="20">
                  <c:v>0.54874563353445538</c:v>
                </c:pt>
              </c:numCache>
            </c:numRef>
          </c:val>
        </c:ser>
        <c:dLbls>
          <c:showLegendKey val="0"/>
          <c:showVal val="0"/>
          <c:showCatName val="0"/>
          <c:showSerName val="0"/>
          <c:showPercent val="0"/>
          <c:showBubbleSize val="0"/>
        </c:dLbls>
        <c:gapWidth val="75"/>
        <c:axId val="306653496"/>
        <c:axId val="306653888"/>
      </c:barChart>
      <c:catAx>
        <c:axId val="306653496"/>
        <c:scaling>
          <c:orientation val="minMax"/>
        </c:scaling>
        <c:delete val="0"/>
        <c:axPos val="b"/>
        <c:numFmt formatCode="General" sourceLinked="0"/>
        <c:majorTickMark val="none"/>
        <c:minorTickMark val="none"/>
        <c:tickLblPos val="nextTo"/>
        <c:crossAx val="306653888"/>
        <c:crosses val="autoZero"/>
        <c:auto val="1"/>
        <c:lblAlgn val="ctr"/>
        <c:lblOffset val="100"/>
        <c:noMultiLvlLbl val="0"/>
      </c:catAx>
      <c:valAx>
        <c:axId val="306653888"/>
        <c:scaling>
          <c:orientation val="minMax"/>
        </c:scaling>
        <c:delete val="0"/>
        <c:axPos val="l"/>
        <c:majorGridlines/>
        <c:numFmt formatCode="0%" sourceLinked="1"/>
        <c:majorTickMark val="none"/>
        <c:minorTickMark val="none"/>
        <c:tickLblPos val="nextTo"/>
        <c:spPr>
          <a:ln w="9525">
            <a:noFill/>
          </a:ln>
        </c:spPr>
        <c:crossAx val="306653496"/>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[Myanmar_Shelter_NFI_CCCM_Cluster_Analysis Report_Kachin_V03 01-Apr-14.xlsm]Shelter_Progress!PivotTable3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s>
    <c:plotArea>
      <c:layout/>
      <c:barChart>
        <c:barDir val="col"/>
        <c:grouping val="stacked"/>
        <c:varyColors val="0"/>
        <c:ser>
          <c:idx val="0"/>
          <c:order val="0"/>
          <c:tx>
            <c:strRef>
              <c:f>Shelter_Progress!$B$83</c:f>
              <c:strCache>
                <c:ptCount val="1"/>
                <c:pt idx="0">
                  <c:v>Total</c:v>
                </c:pt>
              </c:strCache>
            </c:strRef>
          </c:tx>
          <c:invertIfNegative val="0"/>
          <c:cat>
            <c:strRef>
              <c:f>Shelter_Progress!$A$84:$A$97</c:f>
              <c:strCache>
                <c:ptCount val="13"/>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strCache>
            </c:strRef>
          </c:cat>
          <c:val>
            <c:numRef>
              <c:f>Shelter_Progress!$B$84:$B$97</c:f>
              <c:numCache>
                <c:formatCode>General</c:formatCode>
                <c:ptCount val="13"/>
                <c:pt idx="0">
                  <c:v>2144</c:v>
                </c:pt>
                <c:pt idx="1">
                  <c:v>5097</c:v>
                </c:pt>
                <c:pt idx="2">
                  <c:v>87</c:v>
                </c:pt>
                <c:pt idx="3">
                  <c:v>385</c:v>
                </c:pt>
                <c:pt idx="4">
                  <c:v>356</c:v>
                </c:pt>
                <c:pt idx="5">
                  <c:v>901</c:v>
                </c:pt>
                <c:pt idx="6">
                  <c:v>724</c:v>
                </c:pt>
                <c:pt idx="7">
                  <c:v>155</c:v>
                </c:pt>
                <c:pt idx="8">
                  <c:v>32</c:v>
                </c:pt>
                <c:pt idx="9">
                  <c:v>12</c:v>
                </c:pt>
                <c:pt idx="10">
                  <c:v>10</c:v>
                </c:pt>
                <c:pt idx="11">
                  <c:v>0</c:v>
                </c:pt>
                <c:pt idx="12">
                  <c:v>122</c:v>
                </c:pt>
              </c:numCache>
            </c:numRef>
          </c:val>
        </c:ser>
        <c:dLbls>
          <c:showLegendKey val="0"/>
          <c:showVal val="0"/>
          <c:showCatName val="0"/>
          <c:showSerName val="0"/>
          <c:showPercent val="0"/>
          <c:showBubbleSize val="0"/>
        </c:dLbls>
        <c:gapWidth val="150"/>
        <c:overlap val="100"/>
        <c:axId val="342564624"/>
        <c:axId val="342565016"/>
      </c:barChart>
      <c:catAx>
        <c:axId val="342564624"/>
        <c:scaling>
          <c:orientation val="minMax"/>
        </c:scaling>
        <c:delete val="0"/>
        <c:axPos val="b"/>
        <c:numFmt formatCode="General" sourceLinked="0"/>
        <c:majorTickMark val="out"/>
        <c:minorTickMark val="none"/>
        <c:tickLblPos val="nextTo"/>
        <c:crossAx val="342565016"/>
        <c:crosses val="autoZero"/>
        <c:auto val="1"/>
        <c:lblAlgn val="ctr"/>
        <c:lblOffset val="100"/>
        <c:noMultiLvlLbl val="0"/>
      </c:catAx>
      <c:valAx>
        <c:axId val="342565016"/>
        <c:scaling>
          <c:orientation val="minMax"/>
        </c:scaling>
        <c:delete val="0"/>
        <c:axPos val="l"/>
        <c:majorGridlines/>
        <c:numFmt formatCode="General" sourceLinked="1"/>
        <c:majorTickMark val="out"/>
        <c:minorTickMark val="none"/>
        <c:tickLblPos val="nextTo"/>
        <c:crossAx val="3425646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August 2016.xlsx]Shelter Progress!PivotTable3</c:name>
    <c:fmtId val="6"/>
  </c:pivotSource>
  <c:chart>
    <c:title>
      <c:tx>
        <c:rich>
          <a:bodyPr/>
          <a:lstStyle/>
          <a:p>
            <a:pPr>
              <a:defRPr/>
            </a:pPr>
            <a:r>
              <a:rPr lang="en-US" sz="1800" b="1" i="0" baseline="0">
                <a:effectLst/>
              </a:rPr>
              <a:t>Temporary Shelter Built in Kachin   &amp; Northern Shan States by Agency</a:t>
            </a:r>
            <a:r>
              <a:rPr lang="en-US" sz="1800" b="0" i="0" baseline="0">
                <a:effectLst/>
              </a:rPr>
              <a:t> </a:t>
            </a:r>
            <a:endParaRPr lang="en-US">
              <a:effectLst/>
            </a:endParaRP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92D050"/>
          </a:solidFill>
        </c:spPr>
        <c:marker>
          <c:symbol val="none"/>
        </c:marker>
      </c:pivotFmt>
      <c:pivotFmt>
        <c:idx val="7"/>
        <c:marker>
          <c:symbol val="none"/>
        </c:marker>
      </c:pivotFmt>
      <c:pivotFmt>
        <c:idx val="8"/>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s>
    <c:plotArea>
      <c:layout/>
      <c:barChart>
        <c:barDir val="col"/>
        <c:grouping val="stacked"/>
        <c:varyColors val="0"/>
        <c:ser>
          <c:idx val="0"/>
          <c:order val="0"/>
          <c:tx>
            <c:strRef>
              <c:f>'Shelter Progress'!$B$83</c:f>
              <c:strCache>
                <c:ptCount val="1"/>
                <c:pt idx="0">
                  <c:v>Total</c:v>
                </c:pt>
              </c:strCache>
            </c:strRef>
          </c:tx>
          <c:invertIfNegative val="0"/>
          <c:cat>
            <c:strRef>
              <c:f>'Shelter Progress'!$A$84:$A$100</c:f>
              <c:strCache>
                <c:ptCount val="16"/>
                <c:pt idx="0">
                  <c:v>DRC</c:v>
                </c:pt>
                <c:pt idx="1">
                  <c:v>UNHCR</c:v>
                </c:pt>
                <c:pt idx="2">
                  <c:v>World Vision</c:v>
                </c:pt>
                <c:pt idx="3">
                  <c:v>Oxfam</c:v>
                </c:pt>
                <c:pt idx="4">
                  <c:v>IRRC</c:v>
                </c:pt>
                <c:pt idx="5">
                  <c:v>Caritas</c:v>
                </c:pt>
                <c:pt idx="6">
                  <c:v>Metta</c:v>
                </c:pt>
                <c:pt idx="7">
                  <c:v>CC</c:v>
                </c:pt>
                <c:pt idx="8">
                  <c:v>KBC Zonal</c:v>
                </c:pt>
                <c:pt idx="9">
                  <c:v>Misereor</c:v>
                </c:pt>
                <c:pt idx="10">
                  <c:v>Yedai Foundation</c:v>
                </c:pt>
                <c:pt idx="11">
                  <c:v>ACTED</c:v>
                </c:pt>
                <c:pt idx="12">
                  <c:v>(blank)</c:v>
                </c:pt>
                <c:pt idx="13">
                  <c:v>COC</c:v>
                </c:pt>
                <c:pt idx="14">
                  <c:v>FSD</c:v>
                </c:pt>
                <c:pt idx="15">
                  <c:v>DFID</c:v>
                </c:pt>
              </c:strCache>
            </c:strRef>
          </c:cat>
          <c:val>
            <c:numRef>
              <c:f>'Shelter Progress'!$B$84:$B$100</c:f>
              <c:numCache>
                <c:formatCode>General</c:formatCode>
                <c:ptCount val="16"/>
                <c:pt idx="0">
                  <c:v>2603</c:v>
                </c:pt>
                <c:pt idx="1">
                  <c:v>7061</c:v>
                </c:pt>
                <c:pt idx="2">
                  <c:v>77</c:v>
                </c:pt>
                <c:pt idx="3">
                  <c:v>405</c:v>
                </c:pt>
                <c:pt idx="4">
                  <c:v>32</c:v>
                </c:pt>
                <c:pt idx="5">
                  <c:v>725</c:v>
                </c:pt>
                <c:pt idx="6">
                  <c:v>900</c:v>
                </c:pt>
                <c:pt idx="7">
                  <c:v>279</c:v>
                </c:pt>
                <c:pt idx="8">
                  <c:v>205</c:v>
                </c:pt>
                <c:pt idx="9">
                  <c:v>12</c:v>
                </c:pt>
                <c:pt idx="10">
                  <c:v>10</c:v>
                </c:pt>
                <c:pt idx="11">
                  <c:v>0</c:v>
                </c:pt>
                <c:pt idx="12">
                  <c:v>122</c:v>
                </c:pt>
                <c:pt idx="13">
                  <c:v>20</c:v>
                </c:pt>
                <c:pt idx="14">
                  <c:v>269</c:v>
                </c:pt>
                <c:pt idx="15">
                  <c:v>350</c:v>
                </c:pt>
              </c:numCache>
            </c:numRef>
          </c:val>
        </c:ser>
        <c:dLbls>
          <c:showLegendKey val="0"/>
          <c:showVal val="0"/>
          <c:showCatName val="0"/>
          <c:showSerName val="0"/>
          <c:showPercent val="0"/>
          <c:showBubbleSize val="0"/>
        </c:dLbls>
        <c:gapWidth val="150"/>
        <c:overlap val="100"/>
        <c:axId val="342565800"/>
        <c:axId val="342566192"/>
      </c:barChart>
      <c:catAx>
        <c:axId val="342565800"/>
        <c:scaling>
          <c:orientation val="minMax"/>
        </c:scaling>
        <c:delete val="0"/>
        <c:axPos val="b"/>
        <c:numFmt formatCode="General" sourceLinked="0"/>
        <c:majorTickMark val="out"/>
        <c:minorTickMark val="none"/>
        <c:tickLblPos val="nextTo"/>
        <c:crossAx val="342566192"/>
        <c:crosses val="autoZero"/>
        <c:auto val="1"/>
        <c:lblAlgn val="ctr"/>
        <c:lblOffset val="100"/>
        <c:noMultiLvlLbl val="0"/>
      </c:catAx>
      <c:valAx>
        <c:axId val="342566192"/>
        <c:scaling>
          <c:orientation val="minMax"/>
        </c:scaling>
        <c:delete val="0"/>
        <c:axPos val="l"/>
        <c:majorGridlines/>
        <c:numFmt formatCode="General" sourceLinked="1"/>
        <c:majorTickMark val="out"/>
        <c:minorTickMark val="none"/>
        <c:tickLblPos val="nextTo"/>
        <c:crossAx val="3425658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autoTitleDeleted val="1"/>
    <c:pivotFmts>
      <c:pivotFmt>
        <c:idx val="0"/>
        <c:spPr>
          <a:solidFill>
            <a:srgbClr val="FF0000">
              <a:alpha val="45000"/>
            </a:srgbClr>
          </a:solidFill>
        </c:spPr>
        <c:marker>
          <c:symbol val="none"/>
        </c:marker>
      </c:pivotFmt>
      <c:pivotFmt>
        <c:idx val="1"/>
        <c:spPr>
          <a:solidFill>
            <a:srgbClr val="00B0F0">
              <a:alpha val="45000"/>
            </a:srgbClr>
          </a:solidFill>
        </c:spPr>
        <c:marker>
          <c:symbol val="none"/>
        </c:marker>
      </c:pivotFmt>
      <c:pivotFmt>
        <c:idx val="2"/>
        <c:spPr>
          <a:solidFill>
            <a:srgbClr val="00B0F0">
              <a:alpha val="45000"/>
            </a:srgbClr>
          </a:solidFill>
          <a:ln>
            <a:solidFill>
              <a:schemeClr val="tx1">
                <a:alpha val="20000"/>
              </a:schemeClr>
            </a:solidFill>
          </a:ln>
        </c:spPr>
        <c:marker>
          <c:symbol val="none"/>
        </c:marker>
      </c:pivotFmt>
      <c:pivotFmt>
        <c:idx val="3"/>
        <c:spPr>
          <a:solidFill>
            <a:srgbClr val="FF0000">
              <a:alpha val="45000"/>
            </a:srgbClr>
          </a:solidFill>
          <a:ln>
            <a:solidFill>
              <a:schemeClr val="tx1">
                <a:alpha val="20000"/>
              </a:schemeClr>
            </a:solidFill>
          </a:ln>
        </c:spPr>
        <c:marker>
          <c:symbol val="none"/>
        </c:marker>
      </c:pivotFmt>
    </c:pivotFmts>
    <c:plotArea>
      <c:layout>
        <c:manualLayout>
          <c:layoutTarget val="inner"/>
          <c:xMode val="edge"/>
          <c:yMode val="edge"/>
          <c:x val="0.17247844331587769"/>
          <c:y val="0.12886224083038805"/>
          <c:w val="0.76165896262398292"/>
          <c:h val="0.66512276873211684"/>
        </c:manualLayout>
      </c:layout>
      <c:barChart>
        <c:barDir val="bar"/>
        <c:grouping val="stacked"/>
        <c:varyColors val="0"/>
        <c:ser>
          <c:idx val="10"/>
          <c:order val="0"/>
          <c:tx>
            <c:strRef>
              <c:f>'Shelter Progress'!$L$6</c:f>
              <c:strCache>
                <c:ptCount val="1"/>
                <c:pt idx="0">
                  <c:v> Coverage (in Pop)</c:v>
                </c:pt>
              </c:strCache>
            </c:strRef>
          </c:tx>
          <c:spPr>
            <a:solidFill>
              <a:srgbClr val="92D050"/>
            </a:solidFill>
          </c:spPr>
          <c:invertIfNegative val="0"/>
          <c:cat>
            <c:strRef>
              <c:f>'Shelter Progress'!$A$7:$A$27</c:f>
              <c:strCache>
                <c:ptCount val="21"/>
                <c:pt idx="0">
                  <c:v>Bhamo</c:v>
                </c:pt>
                <c:pt idx="1">
                  <c:v>Chipwi</c:v>
                </c:pt>
                <c:pt idx="2">
                  <c:v>Hpakant</c:v>
                </c:pt>
                <c:pt idx="3">
                  <c:v>Hseni</c:v>
                </c:pt>
                <c:pt idx="4">
                  <c:v>Injangyang</c:v>
                </c:pt>
                <c:pt idx="5">
                  <c:v>Khaunglanhpu</c:v>
                </c:pt>
                <c:pt idx="6">
                  <c:v>Kutkai</c:v>
                </c:pt>
                <c:pt idx="7">
                  <c:v>Machanbaw</c:v>
                </c:pt>
                <c:pt idx="8">
                  <c:v>Mansi</c:v>
                </c:pt>
                <c:pt idx="9">
                  <c:v>Manton</c:v>
                </c:pt>
                <c:pt idx="10">
                  <c:v>Mogaung</c:v>
                </c:pt>
                <c:pt idx="11">
                  <c:v>Mohnyin</c:v>
                </c:pt>
                <c:pt idx="12">
                  <c:v>Momauk</c:v>
                </c:pt>
                <c:pt idx="13">
                  <c:v>Muse</c:v>
                </c:pt>
                <c:pt idx="14">
                  <c:v>Myitkyina</c:v>
                </c:pt>
                <c:pt idx="15">
                  <c:v>Namhkan</c:v>
                </c:pt>
                <c:pt idx="16">
                  <c:v>Namtu</c:v>
                </c:pt>
                <c:pt idx="17">
                  <c:v>Puta-O</c:v>
                </c:pt>
                <c:pt idx="18">
                  <c:v>Shwegu</c:v>
                </c:pt>
                <c:pt idx="19">
                  <c:v>Sumprabum</c:v>
                </c:pt>
                <c:pt idx="20">
                  <c:v>Waingmaw</c:v>
                </c:pt>
              </c:strCache>
            </c:strRef>
          </c:cat>
          <c:val>
            <c:numRef>
              <c:f>'Shelter Progress'!$L$7:$L$27</c:f>
              <c:numCache>
                <c:formatCode>_(* #,##0_);_(* \(#,##0\);_(* "-"??_);_(@_)</c:formatCode>
                <c:ptCount val="21"/>
                <c:pt idx="0">
                  <c:v>5817.3527131782948</c:v>
                </c:pt>
                <c:pt idx="1">
                  <c:v>950.64777327935224</c:v>
                </c:pt>
                <c:pt idx="2">
                  <c:v>2147.400576368876</c:v>
                </c:pt>
                <c:pt idx="3">
                  <c:v>167.15517241379308</c:v>
                </c:pt>
                <c:pt idx="4">
                  <c:v>0</c:v>
                </c:pt>
                <c:pt idx="5">
                  <c:v>0</c:v>
                </c:pt>
                <c:pt idx="6">
                  <c:v>2137.6213130352048</c:v>
                </c:pt>
                <c:pt idx="7">
                  <c:v>0</c:v>
                </c:pt>
                <c:pt idx="8">
                  <c:v>7064.1842000793968</c:v>
                </c:pt>
                <c:pt idx="9">
                  <c:v>395.29411764705884</c:v>
                </c:pt>
                <c:pt idx="10">
                  <c:v>358.97435897435901</c:v>
                </c:pt>
                <c:pt idx="11">
                  <c:v>218.12903225806451</c:v>
                </c:pt>
                <c:pt idx="12">
                  <c:v>21569.263899184578</c:v>
                </c:pt>
                <c:pt idx="13">
                  <c:v>355.38461538461542</c:v>
                </c:pt>
                <c:pt idx="14">
                  <c:v>5667.3328601845278</c:v>
                </c:pt>
                <c:pt idx="15">
                  <c:v>1106.1314475873544</c:v>
                </c:pt>
                <c:pt idx="16">
                  <c:v>42.5</c:v>
                </c:pt>
                <c:pt idx="17">
                  <c:v>376.27118644067798</c:v>
                </c:pt>
                <c:pt idx="18">
                  <c:v>322.20472440944883</c:v>
                </c:pt>
                <c:pt idx="19">
                  <c:v>0</c:v>
                </c:pt>
                <c:pt idx="20">
                  <c:v>17245.429025087327</c:v>
                </c:pt>
              </c:numCache>
            </c:numRef>
          </c:val>
        </c:ser>
        <c:dLbls>
          <c:showLegendKey val="0"/>
          <c:showVal val="0"/>
          <c:showCatName val="0"/>
          <c:showSerName val="0"/>
          <c:showPercent val="0"/>
          <c:showBubbleSize val="0"/>
        </c:dLbls>
        <c:gapWidth val="75"/>
        <c:overlap val="100"/>
        <c:axId val="342566976"/>
        <c:axId val="342567368"/>
      </c:barChart>
      <c:catAx>
        <c:axId val="342566976"/>
        <c:scaling>
          <c:orientation val="minMax"/>
        </c:scaling>
        <c:delete val="0"/>
        <c:axPos val="l"/>
        <c:numFmt formatCode="General" sourceLinked="0"/>
        <c:majorTickMark val="none"/>
        <c:minorTickMark val="none"/>
        <c:tickLblPos val="nextTo"/>
        <c:crossAx val="342567368"/>
        <c:crosses val="autoZero"/>
        <c:auto val="1"/>
        <c:lblAlgn val="ctr"/>
        <c:lblOffset val="100"/>
        <c:noMultiLvlLbl val="0"/>
      </c:catAx>
      <c:valAx>
        <c:axId val="342567368"/>
        <c:scaling>
          <c:orientation val="minMax"/>
          <c:min val="0"/>
        </c:scaling>
        <c:delete val="0"/>
        <c:axPos val="b"/>
        <c:numFmt formatCode="#,##0" sourceLinked="0"/>
        <c:majorTickMark val="cross"/>
        <c:minorTickMark val="none"/>
        <c:tickLblPos val="low"/>
        <c:spPr>
          <a:ln w="9525">
            <a:solidFill>
              <a:schemeClr val="accent1"/>
            </a:solidFill>
          </a:ln>
        </c:spPr>
        <c:crossAx val="342566976"/>
        <c:crosses val="autoZero"/>
        <c:crossBetween val="between"/>
        <c:dispUnits>
          <c:builtInUnit val="thousands"/>
          <c:dispUnitsLbl>
            <c:layout/>
          </c:dispUnitsLbl>
        </c:dispUnits>
      </c:valAx>
    </c:plotArea>
    <c:legend>
      <c:legendPos val="b"/>
      <c:layout>
        <c:manualLayout>
          <c:xMode val="edge"/>
          <c:yMode val="edge"/>
          <c:x val="0.37403278363789433"/>
          <c:y val="0.86115636330036516"/>
          <c:w val="0.27160766532401082"/>
          <c:h val="4.1467779513830266E-2"/>
        </c:manualLayout>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orientation="portrait"/>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August 2016.xlsx]Shelter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s>
    <c:plotArea>
      <c:layout>
        <c:manualLayout>
          <c:layoutTarget val="inner"/>
          <c:xMode val="edge"/>
          <c:yMode val="edge"/>
          <c:x val="0.21971330435638536"/>
          <c:y val="0.10400020189783968"/>
          <c:w val="0.75070251906783347"/>
          <c:h val="0.82603028467595385"/>
        </c:manualLayout>
      </c:layout>
      <c:barChart>
        <c:barDir val="bar"/>
        <c:grouping val="cluster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7061</c:v>
                </c:pt>
                <c:pt idx="12">
                  <c:v>77</c:v>
                </c:pt>
                <c:pt idx="13">
                  <c:v>10</c:v>
                </c:pt>
              </c:numCache>
            </c:numRef>
          </c:val>
        </c:ser>
        <c:dLbls>
          <c:showLegendKey val="0"/>
          <c:showVal val="0"/>
          <c:showCatName val="0"/>
          <c:showSerName val="0"/>
          <c:showPercent val="0"/>
          <c:showBubbleSize val="0"/>
        </c:dLbls>
        <c:gapWidth val="55"/>
        <c:axId val="306651536"/>
        <c:axId val="342568152"/>
      </c:barChart>
      <c:catAx>
        <c:axId val="306651536"/>
        <c:scaling>
          <c:orientation val="minMax"/>
        </c:scaling>
        <c:delete val="0"/>
        <c:axPos val="l"/>
        <c:numFmt formatCode="General" sourceLinked="0"/>
        <c:majorTickMark val="out"/>
        <c:minorTickMark val="none"/>
        <c:tickLblPos val="nextTo"/>
        <c:spPr>
          <a:ln>
            <a:noFill/>
          </a:ln>
        </c:spPr>
        <c:crossAx val="342568152"/>
        <c:crosses val="autoZero"/>
        <c:auto val="1"/>
        <c:lblAlgn val="ctr"/>
        <c:lblOffset val="100"/>
        <c:noMultiLvlLbl val="0"/>
      </c:catAx>
      <c:valAx>
        <c:axId val="342568152"/>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5.4807767597606596E-2"/>
              <c:y val="0.91077615298087744"/>
            </c:manualLayout>
          </c:layout>
          <c:overlay val="0"/>
        </c:title>
        <c:numFmt formatCode="#,##0" sourceLinked="0"/>
        <c:majorTickMark val="out"/>
        <c:minorTickMark val="none"/>
        <c:tickLblPos val="nextTo"/>
        <c:crossAx val="306651536"/>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August 2016.xlsx]Shelter Summary (by Agency)!PivotTable3</c:name>
    <c:fmtId val="4"/>
  </c:pivotSource>
  <c:chart>
    <c:title>
      <c:tx>
        <c:rich>
          <a:bodyPr/>
          <a:lstStyle/>
          <a:p>
            <a:pPr>
              <a:defRPr/>
            </a:pPr>
            <a:r>
              <a:rPr lang="en-US"/>
              <a:t># Shelters built/Agency</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pivotFmt>
      <c:pivotFmt>
        <c:idx val="13"/>
      </c:pivotFmt>
      <c:pivotFmt>
        <c:idx val="14"/>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5"/>
        <c:dLbl>
          <c:idx val="0"/>
          <c:layout>
            <c:manualLayout>
              <c:x val="-5.1282061635788741E-3"/>
              <c:y val="-0.24119857774587364"/>
            </c:manualLayout>
          </c:layout>
          <c:showLegendKey val="0"/>
          <c:showVal val="1"/>
          <c:showCatName val="0"/>
          <c:showSerName val="0"/>
          <c:showPercent val="0"/>
          <c:showBubbleSize val="0"/>
          <c:extLst>
            <c:ext xmlns:c15="http://schemas.microsoft.com/office/drawing/2012/chart" uri="{CE6537A1-D6FC-4f65-9D91-7224C49458BB}"/>
          </c:extLst>
        </c:dLbl>
      </c:pivotFmt>
      <c:pivotFmt>
        <c:idx val="16"/>
        <c:dLbl>
          <c:idx val="0"/>
          <c:layout>
            <c:manualLayout>
              <c:x val="2.564103081789437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7"/>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8"/>
        <c:dLbl>
          <c:idx val="0"/>
          <c:layout>
            <c:manualLayout>
              <c:x val="5.1282061635788741E-3"/>
              <c:y val="-6.641699966915361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19"/>
        <c:dLbl>
          <c:idx val="0"/>
          <c:layout>
            <c:manualLayout>
              <c:x val="0"/>
              <c:y val="-9.438205216142882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0"/>
        <c:dLbl>
          <c:idx val="0"/>
          <c:layout>
            <c:manualLayout>
              <c:x val="0"/>
              <c:y val="-5.593010498455040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1"/>
        <c:dLbl>
          <c:idx val="0"/>
          <c:layout>
            <c:manualLayout>
              <c:x val="-2.0189788045586118E-7"/>
              <c:y val="-4.89388418614816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2"/>
        <c:dLbl>
          <c:idx val="0"/>
          <c:layout>
            <c:manualLayout>
              <c:x val="-7.6923092453684049E-3"/>
              <c:y val="-6.991263123068801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3"/>
        <c:dLbl>
          <c:idx val="0"/>
          <c:layout>
            <c:manualLayout>
              <c:x val="-5.1282061635788741E-3"/>
              <c:y val="-4.544321029994721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
              <c:y val="-4.1947578738412809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4.7008013458890184E-17"/>
              <c:y val="-5.243447342301600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0"/>
              <c:y val="-0.13632963089984163"/>
            </c:manualLayout>
          </c:layout>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
              <c:y val="-7.340826279222234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2.5643049796698928E-3"/>
              <c:y val="-7.690389435375681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0"/>
              <c:y val="-2.96296382705273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0"/>
        <c:dLbl>
          <c:idx val="0"/>
          <c:layout>
            <c:manualLayout>
              <c:x val="0"/>
              <c:y val="-3.703704783815925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1"/>
        <c:dLbl>
          <c:idx val="0"/>
          <c:layout>
            <c:manualLayout>
              <c:x val="-2.5672373615106838E-3"/>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dLbl>
          <c:idx val="0"/>
          <c:layout>
            <c:manualLayout>
              <c:x val="0"/>
              <c:y val="-4.814816218960693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3"/>
        <c:dLbl>
          <c:idx val="0"/>
          <c:layout>
            <c:manualLayout>
              <c:x val="-2.5672373615106838E-3"/>
              <c:y val="-3.333334305434326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4"/>
        <c:dLbl>
          <c:idx val="0"/>
          <c:layout>
            <c:manualLayout>
              <c:x val="0"/>
              <c:y val="-3.703704783815918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5"/>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2.5732932683053345E-3"/>
              <c:y val="-7.7348088730757603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7"/>
        <c:dLbl>
          <c:idx val="0"/>
          <c:layout>
            <c:manualLayout>
              <c:x val="0"/>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8"/>
        <c:dLbl>
          <c:idx val="0"/>
          <c:layout>
            <c:manualLayout>
              <c:x val="0"/>
              <c:y val="-0.1325967235384416"/>
            </c:manualLayout>
          </c:layout>
          <c:showLegendKey val="0"/>
          <c:showVal val="1"/>
          <c:showCatName val="0"/>
          <c:showSerName val="0"/>
          <c:showPercent val="0"/>
          <c:showBubbleSize val="0"/>
          <c:extLst>
            <c:ext xmlns:c15="http://schemas.microsoft.com/office/drawing/2012/chart" uri="{CE6537A1-D6FC-4f65-9D91-7224C49458BB}"/>
          </c:extLst>
        </c:dLbl>
      </c:pivotFmt>
      <c:pivotFmt>
        <c:idx val="39"/>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0"/>
        <c:dLbl>
          <c:idx val="0"/>
          <c:layout>
            <c:manualLayout>
              <c:x val="0"/>
              <c:y val="-3.683242320512266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1"/>
        <c:dLbl>
          <c:idx val="0"/>
          <c:layout>
            <c:manualLayout>
              <c:x val="0"/>
              <c:y val="-6.6298361769220798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2"/>
        <c:dLbl>
          <c:idx val="0"/>
          <c:layout>
            <c:manualLayout>
              <c:x val="0"/>
              <c:y val="-3.6832423205122596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3"/>
        <c:dLbl>
          <c:idx val="0"/>
          <c:layout>
            <c:manualLayout>
              <c:x val="9.4352996530661547E-17"/>
              <c:y val="-4.7882150166659532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4"/>
        <c:dLbl>
          <c:idx val="0"/>
          <c:layout>
            <c:manualLayout>
              <c:x val="-2.5732932683053345E-3"/>
              <c:y val="-0.24309399315380956"/>
            </c:manualLayout>
          </c:layout>
          <c:showLegendKey val="0"/>
          <c:showVal val="1"/>
          <c:showCatName val="0"/>
          <c:showSerName val="0"/>
          <c:showPercent val="0"/>
          <c:showBubbleSize val="0"/>
          <c:extLst>
            <c:ext xmlns:c15="http://schemas.microsoft.com/office/drawing/2012/chart" uri="{CE6537A1-D6FC-4f65-9D91-7224C49458BB}"/>
          </c:extLst>
        </c:dLbl>
      </c:pivotFmt>
      <c:pivotFmt>
        <c:idx val="45"/>
        <c:dLbl>
          <c:idx val="0"/>
          <c:layout>
            <c:manualLayout>
              <c:x val="-9.4352996530661547E-17"/>
              <c:y val="-4.419890784614719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6"/>
        <c:dLbl>
          <c:idx val="0"/>
          <c:layout>
            <c:manualLayout>
              <c:x val="0"/>
              <c:y val="-4.0515665525634861E-2"/>
            </c:manualLayout>
          </c:layout>
          <c:showLegendKey val="0"/>
          <c:showVal val="1"/>
          <c:showCatName val="0"/>
          <c:showSerName val="0"/>
          <c:showPercent val="0"/>
          <c:showBubbleSize val="0"/>
          <c:extLst>
            <c:ext xmlns:c15="http://schemas.microsoft.com/office/drawing/2012/chart" uri="{CE6537A1-D6FC-4f65-9D91-7224C49458BB}"/>
          </c:extLst>
        </c:dLbl>
      </c:pivotFmt>
      <c:pivotFmt>
        <c:idx val="47"/>
        <c:marker>
          <c:symbol val="none"/>
        </c:marker>
      </c:pivotFmt>
    </c:pivotFmts>
    <c:plotArea>
      <c:layout/>
      <c:barChart>
        <c:barDir val="col"/>
        <c:grouping val="stacked"/>
        <c:varyColors val="0"/>
        <c:ser>
          <c:idx val="0"/>
          <c:order val="0"/>
          <c:tx>
            <c:strRef>
              <c:f>'Shelter Summary (by Agency)'!$F$7</c:f>
              <c:strCache>
                <c:ptCount val="1"/>
                <c:pt idx="0">
                  <c:v>Total</c:v>
                </c:pt>
              </c:strCache>
            </c:strRef>
          </c:tx>
          <c:invertIfNegative val="0"/>
          <c:cat>
            <c:strRef>
              <c:f>'Shelter Summary (by Agency)'!$E$8:$E$22</c:f>
              <c:strCache>
                <c:ptCount val="14"/>
                <c:pt idx="0">
                  <c:v>Caritas</c:v>
                </c:pt>
                <c:pt idx="1">
                  <c:v>CC</c:v>
                </c:pt>
                <c:pt idx="2">
                  <c:v>COC</c:v>
                </c:pt>
                <c:pt idx="3">
                  <c:v>DFID</c:v>
                </c:pt>
                <c:pt idx="4">
                  <c:v>DRC</c:v>
                </c:pt>
                <c:pt idx="5">
                  <c:v>FSD</c:v>
                </c:pt>
                <c:pt idx="6">
                  <c:v>IRRC</c:v>
                </c:pt>
                <c:pt idx="7">
                  <c:v>KBC Zonal</c:v>
                </c:pt>
                <c:pt idx="8">
                  <c:v>Metta</c:v>
                </c:pt>
                <c:pt idx="9">
                  <c:v>Misereor</c:v>
                </c:pt>
                <c:pt idx="10">
                  <c:v>Oxfam</c:v>
                </c:pt>
                <c:pt idx="11">
                  <c:v>UNHCR</c:v>
                </c:pt>
                <c:pt idx="12">
                  <c:v>World Vision</c:v>
                </c:pt>
                <c:pt idx="13">
                  <c:v>Yedai Foundation</c:v>
                </c:pt>
              </c:strCache>
            </c:strRef>
          </c:cat>
          <c:val>
            <c:numRef>
              <c:f>'Shelter Summary (by Agency)'!$F$8:$F$22</c:f>
              <c:numCache>
                <c:formatCode>_-* #,##0_-;\-* #,##0_-;_-* "-"??_-;_-@_-</c:formatCode>
                <c:ptCount val="14"/>
                <c:pt idx="0">
                  <c:v>725</c:v>
                </c:pt>
                <c:pt idx="1">
                  <c:v>279</c:v>
                </c:pt>
                <c:pt idx="2">
                  <c:v>20</c:v>
                </c:pt>
                <c:pt idx="3">
                  <c:v>350</c:v>
                </c:pt>
                <c:pt idx="4">
                  <c:v>2603</c:v>
                </c:pt>
                <c:pt idx="5">
                  <c:v>269</c:v>
                </c:pt>
                <c:pt idx="6">
                  <c:v>32</c:v>
                </c:pt>
                <c:pt idx="7">
                  <c:v>205</c:v>
                </c:pt>
                <c:pt idx="8">
                  <c:v>900</c:v>
                </c:pt>
                <c:pt idx="9">
                  <c:v>12</c:v>
                </c:pt>
                <c:pt idx="10">
                  <c:v>405</c:v>
                </c:pt>
                <c:pt idx="11">
                  <c:v>7061</c:v>
                </c:pt>
                <c:pt idx="12">
                  <c:v>77</c:v>
                </c:pt>
                <c:pt idx="13">
                  <c:v>10</c:v>
                </c:pt>
              </c:numCache>
            </c:numRef>
          </c:val>
        </c:ser>
        <c:dLbls>
          <c:showLegendKey val="0"/>
          <c:showVal val="0"/>
          <c:showCatName val="0"/>
          <c:showSerName val="0"/>
          <c:showPercent val="0"/>
          <c:showBubbleSize val="0"/>
        </c:dLbls>
        <c:gapWidth val="150"/>
        <c:overlap val="100"/>
        <c:axId val="311378336"/>
        <c:axId val="311377944"/>
      </c:barChart>
      <c:catAx>
        <c:axId val="311378336"/>
        <c:scaling>
          <c:orientation val="minMax"/>
        </c:scaling>
        <c:delete val="0"/>
        <c:axPos val="b"/>
        <c:numFmt formatCode="General" sourceLinked="0"/>
        <c:majorTickMark val="out"/>
        <c:minorTickMark val="none"/>
        <c:tickLblPos val="nextTo"/>
        <c:crossAx val="311377944"/>
        <c:crosses val="autoZero"/>
        <c:auto val="1"/>
        <c:lblAlgn val="ctr"/>
        <c:lblOffset val="100"/>
        <c:noMultiLvlLbl val="0"/>
      </c:catAx>
      <c:valAx>
        <c:axId val="311377944"/>
        <c:scaling>
          <c:orientation val="minMax"/>
        </c:scaling>
        <c:delete val="0"/>
        <c:axPos val="l"/>
        <c:majorGridlines/>
        <c:title>
          <c:tx>
            <c:rich>
              <a:bodyPr rot="-5400000" vert="horz"/>
              <a:lstStyle/>
              <a:p>
                <a:pPr>
                  <a:defRPr/>
                </a:pPr>
                <a:r>
                  <a:rPr lang="en-US"/>
                  <a:t># of Individual Units</a:t>
                </a:r>
              </a:p>
            </c:rich>
          </c:tx>
          <c:layout/>
          <c:overlay val="0"/>
        </c:title>
        <c:numFmt formatCode="_-* #,##0_-;\-* #,##0_-;_-* &quot;-&quot;??_-;_-@_-" sourceLinked="1"/>
        <c:majorTickMark val="out"/>
        <c:minorTickMark val="none"/>
        <c:tickLblPos val="nextTo"/>
        <c:crossAx val="311378336"/>
        <c:crosses val="autoZero"/>
        <c:crossBetween val="between"/>
        <c:majorUnit val="1000"/>
      </c:valAx>
    </c:plotArea>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Shelter Situation</a:t>
            </a:r>
          </a:p>
        </c:rich>
      </c:tx>
      <c:layout/>
      <c:overlay val="0"/>
    </c:title>
    <c:autoTitleDeleted val="0"/>
    <c:plotArea>
      <c:layout/>
      <c:pieChart>
        <c:varyColors val="1"/>
        <c:ser>
          <c:idx val="0"/>
          <c:order val="0"/>
          <c:dPt>
            <c:idx val="0"/>
            <c:bubble3D val="0"/>
            <c:spPr>
              <a:solidFill>
                <a:schemeClr val="accent3">
                  <a:lumMod val="75000"/>
                </a:schemeClr>
              </a:solidFill>
            </c:spPr>
          </c:dPt>
          <c:dPt>
            <c:idx val="2"/>
            <c:bubble3D val="0"/>
            <c:spPr>
              <a:solidFill>
                <a:schemeClr val="tx1"/>
              </a:solidFill>
            </c:spPr>
          </c:dPt>
          <c:dLbls>
            <c:dLbl>
              <c:idx val="2"/>
              <c:layout>
                <c:manualLayout>
                  <c:x val="9.1333642619478878E-2"/>
                  <c:y val="0.15205101261867501"/>
                </c:manualLayout>
              </c:layout>
              <c:tx>
                <c:rich>
                  <a:bodyPr/>
                  <a:lstStyle/>
                  <a:p>
                    <a:fld id="{53C078C3-0957-4512-B9DF-1CDBA5886DF5}" type="PERCENTAGE">
                      <a:rPr lang="en-US">
                        <a:solidFill>
                          <a:sysClr val="windowText" lastClr="000000"/>
                        </a:solidFill>
                      </a:rPr>
                      <a:pPr/>
                      <a:t>[PERCENTAGE]</a:t>
                    </a:fld>
                    <a:endParaRPr lang="en-GB"/>
                  </a:p>
                </c:rich>
              </c:tx>
              <c:showLegendKey val="0"/>
              <c:showVal val="0"/>
              <c:showCatName val="0"/>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a:lstStyle/>
              <a:p>
                <a:pPr>
                  <a:defRPr sz="800">
                    <a:solidFill>
                      <a:schemeClr val="bg1"/>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multiLvlStrRef>
              <c:f>('[1]Shelter Coverage &amp; Gaps'!$S$7,'[1]Shelter Coverage &amp; Gaps'!$S$9:$S$10)</c:f>
            </c:multiLvlStrRef>
          </c:cat>
          <c:val>
            <c:numRef>
              <c:f>('[1]Shelter Coverage &amp; Gaps'!$T$7,'[1]Shelter Coverage &amp; Gaps'!$T$9:$T$10)</c:f>
              <c:numCache>
                <c:formatCode>General</c:formatCode>
                <c:ptCount val="3"/>
                <c:pt idx="0">
                  <c:v>11764</c:v>
                </c:pt>
                <c:pt idx="1">
                  <c:v>5677</c:v>
                </c:pt>
                <c:pt idx="2">
                  <c:v>84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5840681863257957"/>
          <c:y val="0.36150408145732416"/>
          <c:w val="0.43437583290758552"/>
          <c:h val="0.51831633036161839"/>
        </c:manualLayout>
      </c:layout>
      <c:overlay val="0"/>
    </c:legend>
    <c:plotVisOnly val="1"/>
    <c:dispBlanksAs val="gap"/>
    <c:showDLblsOverMax val="0"/>
  </c:chart>
  <c:spPr>
    <a:solidFill>
      <a:schemeClr val="bg1">
        <a:lumMod val="95000"/>
      </a:schemeClr>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barChart>
        <c:barDir val="bar"/>
        <c:grouping val="clustered"/>
        <c:varyColors val="0"/>
        <c:ser>
          <c:idx val="0"/>
          <c:order val="0"/>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5"/>
          <c:order val="5"/>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6"/>
          <c:order val="6"/>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7"/>
          <c:order val="7"/>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344287856"/>
        <c:axId val="344288248"/>
      </c:barChart>
      <c:catAx>
        <c:axId val="344287856"/>
        <c:scaling>
          <c:orientation val="minMax"/>
        </c:scaling>
        <c:delete val="0"/>
        <c:axPos val="l"/>
        <c:majorTickMark val="none"/>
        <c:minorTickMark val="none"/>
        <c:tickLblPos val="nextTo"/>
        <c:crossAx val="344288248"/>
        <c:crosses val="autoZero"/>
        <c:auto val="1"/>
        <c:lblAlgn val="ctr"/>
        <c:lblOffset val="100"/>
        <c:noMultiLvlLbl val="0"/>
      </c:catAx>
      <c:valAx>
        <c:axId val="344288248"/>
        <c:scaling>
          <c:orientation val="minMax"/>
        </c:scaling>
        <c:delete val="0"/>
        <c:axPos val="b"/>
        <c:majorGridlines/>
        <c:numFmt formatCode="General" sourceLinked="1"/>
        <c:majorTickMark val="none"/>
        <c:minorTickMark val="none"/>
        <c:tickLblPos val="nextTo"/>
        <c:crossAx val="344287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Summary'!$G$12</c:f>
              <c:strCache>
                <c:ptCount val="1"/>
                <c:pt idx="0">
                  <c:v>% Distributed</c:v>
                </c:pt>
              </c:strCache>
            </c:strRef>
          </c:tx>
          <c:spPr>
            <a:solidFill>
              <a:srgbClr val="25FF88"/>
            </a:solidFill>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Summary'!$G$13:$G$19</c:f>
              <c:numCache>
                <c:formatCode>0%</c:formatCode>
                <c:ptCount val="7"/>
                <c:pt idx="0">
                  <c:v>3.5135135135135136E-3</c:v>
                </c:pt>
                <c:pt idx="1">
                  <c:v>3.7837837837837837E-3</c:v>
                </c:pt>
                <c:pt idx="2">
                  <c:v>3.5135135135135136E-3</c:v>
                </c:pt>
                <c:pt idx="3">
                  <c:v>3.7837837837837837E-3</c:v>
                </c:pt>
                <c:pt idx="4">
                  <c:v>3.7837837837837837E-3</c:v>
                </c:pt>
                <c:pt idx="5">
                  <c:v>7.0270270270270272E-3</c:v>
                </c:pt>
                <c:pt idx="6">
                  <c:v>0</c:v>
                </c:pt>
              </c:numCache>
            </c:numRef>
          </c:val>
        </c:ser>
        <c:ser>
          <c:idx val="3"/>
          <c:order val="1"/>
          <c:tx>
            <c:strRef>
              <c:f>'NFI Summary'!$I$12</c:f>
              <c:strCache>
                <c:ptCount val="1"/>
                <c:pt idx="0">
                  <c:v>% In Stock</c:v>
                </c:pt>
              </c:strCache>
            </c:strRef>
          </c:tx>
          <c:spPr>
            <a:solidFill>
              <a:schemeClr val="accent1">
                <a:lumMod val="40000"/>
                <a:lumOff val="60000"/>
              </a:schemeClr>
            </a:solidFill>
            <a:ln>
              <a:noFill/>
            </a:ln>
          </c:spPr>
          <c:invertIfNegative val="0"/>
          <c:cat>
            <c:strRef>
              <c:f>'NFI Summary'!$C$13:$C$19</c:f>
              <c:strCache>
                <c:ptCount val="7"/>
                <c:pt idx="0">
                  <c:v>Mosquito net</c:v>
                </c:pt>
                <c:pt idx="1">
                  <c:v>Tarpaulin</c:v>
                </c:pt>
                <c:pt idx="2">
                  <c:v>Blanket</c:v>
                </c:pt>
                <c:pt idx="3">
                  <c:v>Kitchen Set</c:v>
                </c:pt>
                <c:pt idx="4">
                  <c:v>Clothes Kit</c:v>
                </c:pt>
                <c:pt idx="5">
                  <c:v>Plastic Bucket</c:v>
                </c:pt>
                <c:pt idx="6">
                  <c:v>Plastic Mat</c:v>
                </c:pt>
              </c:strCache>
            </c:strRef>
          </c:cat>
          <c:val>
            <c:numRef>
              <c:f>'NFI Summary'!$I$13:$I$19</c:f>
              <c:numCache>
                <c:formatCode>0%</c:formatCode>
                <c:ptCount val="7"/>
                <c:pt idx="0">
                  <c:v>2.3578378378378377</c:v>
                </c:pt>
                <c:pt idx="1">
                  <c:v>2.3735135135135135</c:v>
                </c:pt>
                <c:pt idx="2">
                  <c:v>4.0464864864864865</c:v>
                </c:pt>
                <c:pt idx="3">
                  <c:v>1.9091891891891892</c:v>
                </c:pt>
                <c:pt idx="4">
                  <c:v>0</c:v>
                </c:pt>
                <c:pt idx="5">
                  <c:v>1.6567567567567567</c:v>
                </c:pt>
                <c:pt idx="6">
                  <c:v>1.7105945945945946</c:v>
                </c:pt>
              </c:numCache>
            </c:numRef>
          </c:val>
        </c:ser>
        <c:ser>
          <c:idx val="0"/>
          <c:order val="2"/>
          <c:tx>
            <c:strRef>
              <c:f>'NFI Summary'!$J$12</c:f>
              <c:strCache>
                <c:ptCount val="1"/>
                <c:pt idx="0">
                  <c:v>% Gap</c:v>
                </c:pt>
              </c:strCache>
            </c:strRef>
          </c:tx>
          <c:spPr>
            <a:solidFill>
              <a:srgbClr val="FD2361"/>
            </a:solidFill>
          </c:spPr>
          <c:invertIfNegative val="0"/>
          <c:val>
            <c:numRef>
              <c:f>'NFI Summary'!$J$13:$J$19</c:f>
              <c:numCache>
                <c:formatCode>0%</c:formatCode>
                <c:ptCount val="7"/>
                <c:pt idx="0">
                  <c:v>0</c:v>
                </c:pt>
                <c:pt idx="1">
                  <c:v>0</c:v>
                </c:pt>
                <c:pt idx="2">
                  <c:v>0</c:v>
                </c:pt>
                <c:pt idx="3">
                  <c:v>0</c:v>
                </c:pt>
                <c:pt idx="4">
                  <c:v>0.99621621621621625</c:v>
                </c:pt>
                <c:pt idx="5">
                  <c:v>0</c:v>
                </c:pt>
                <c:pt idx="6">
                  <c:v>0</c:v>
                </c:pt>
              </c:numCache>
            </c:numRef>
          </c:val>
        </c:ser>
        <c:dLbls>
          <c:showLegendKey val="0"/>
          <c:showVal val="0"/>
          <c:showCatName val="0"/>
          <c:showSerName val="0"/>
          <c:showPercent val="0"/>
          <c:showBubbleSize val="0"/>
        </c:dLbls>
        <c:gapWidth val="55"/>
        <c:overlap val="100"/>
        <c:axId val="344289032"/>
        <c:axId val="344289424"/>
      </c:barChart>
      <c:catAx>
        <c:axId val="344289032"/>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44289424"/>
        <c:crosses val="autoZero"/>
        <c:auto val="1"/>
        <c:lblAlgn val="ctr"/>
        <c:lblOffset val="0"/>
        <c:noMultiLvlLbl val="0"/>
      </c:catAx>
      <c:valAx>
        <c:axId val="344289424"/>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44289032"/>
        <c:crosses val="autoZero"/>
        <c:crossBetween val="between"/>
        <c:majorUnit val="0.2"/>
      </c:valAx>
      <c:spPr>
        <a:noFill/>
        <a:ln w="25400">
          <a:noFill/>
        </a:ln>
      </c:spPr>
    </c:plotArea>
    <c:legend>
      <c:legendPos val="r"/>
      <c:layout/>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August 2016.xlsx]NFI Distribution (by Tship)!PivotTable3</c:name>
    <c:fmtId val="5"/>
  </c:pivotSource>
  <c:chart>
    <c:title>
      <c:tx>
        <c:rich>
          <a:bodyPr/>
          <a:lstStyle/>
          <a:p>
            <a:pPr>
              <a:defRPr/>
            </a:pPr>
            <a:r>
              <a:rPr lang="en-US"/>
              <a:t>Per Oraganization</a:t>
            </a:r>
          </a:p>
        </c:rich>
      </c:tx>
      <c:layout>
        <c:manualLayout>
          <c:xMode val="edge"/>
          <c:yMode val="edge"/>
          <c:x val="0.30904386990904809"/>
          <c:y val="3.2689095681221664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s>
    <c:plotArea>
      <c:layout>
        <c:manualLayout>
          <c:layoutTarget val="inner"/>
          <c:xMode val="edge"/>
          <c:yMode val="edge"/>
          <c:x val="0.13372460706783282"/>
          <c:y val="0.1712043664996421"/>
          <c:w val="0.56123337707786525"/>
          <c:h val="0.68340359530308714"/>
        </c:manualLayout>
      </c:layout>
      <c:barChart>
        <c:barDir val="col"/>
        <c:grouping val="clustered"/>
        <c:varyColors val="0"/>
        <c:ser>
          <c:idx val="0"/>
          <c:order val="0"/>
          <c:tx>
            <c:strRef>
              <c:f>'NFI Distribution (by Tship)'!$B$62</c:f>
              <c:strCache>
                <c:ptCount val="1"/>
                <c:pt idx="0">
                  <c:v>Mosquito net </c:v>
                </c:pt>
              </c:strCache>
            </c:strRef>
          </c:tx>
          <c:invertIfNegative val="0"/>
          <c:cat>
            <c:strRef>
              <c:f>'NFI Distribution (by Tship)'!$A$63:$A$65</c:f>
              <c:strCache>
                <c:ptCount val="2"/>
                <c:pt idx="0">
                  <c:v>Solidarities</c:v>
                </c:pt>
                <c:pt idx="1">
                  <c:v>UNHCR</c:v>
                </c:pt>
              </c:strCache>
            </c:strRef>
          </c:cat>
          <c:val>
            <c:numRef>
              <c:f>'NFI Distribution (by Tship)'!$B$63:$B$65</c:f>
              <c:numCache>
                <c:formatCode>_-* #,##0_-;\-* #,##0_-;_-* "-"??_-;_-@_-</c:formatCode>
                <c:ptCount val="2"/>
                <c:pt idx="1">
                  <c:v>753</c:v>
                </c:pt>
              </c:numCache>
            </c:numRef>
          </c:val>
        </c:ser>
        <c:ser>
          <c:idx val="1"/>
          <c:order val="1"/>
          <c:tx>
            <c:strRef>
              <c:f>'NFI Distribution (by Tship)'!$C$62</c:f>
              <c:strCache>
                <c:ptCount val="1"/>
                <c:pt idx="0">
                  <c:v>Tarpaulin</c:v>
                </c:pt>
              </c:strCache>
            </c:strRef>
          </c:tx>
          <c:invertIfNegative val="0"/>
          <c:cat>
            <c:strRef>
              <c:f>'NFI Distribution (by Tship)'!$A$63:$A$65</c:f>
              <c:strCache>
                <c:ptCount val="2"/>
                <c:pt idx="0">
                  <c:v>Solidarities</c:v>
                </c:pt>
                <c:pt idx="1">
                  <c:v>UNHCR</c:v>
                </c:pt>
              </c:strCache>
            </c:strRef>
          </c:cat>
          <c:val>
            <c:numRef>
              <c:f>'NFI Distribution (by Tship)'!$C$63:$C$65</c:f>
              <c:numCache>
                <c:formatCode>_-* #,##0_-;\-* #,##0_-;_-* "-"??_-;_-@_-</c:formatCode>
                <c:ptCount val="2"/>
                <c:pt idx="1">
                  <c:v>407</c:v>
                </c:pt>
              </c:numCache>
            </c:numRef>
          </c:val>
        </c:ser>
        <c:ser>
          <c:idx val="2"/>
          <c:order val="2"/>
          <c:tx>
            <c:strRef>
              <c:f>'NFI Distribution (by Tship)'!$D$62</c:f>
              <c:strCache>
                <c:ptCount val="1"/>
                <c:pt idx="0">
                  <c:v>Blanket</c:v>
                </c:pt>
              </c:strCache>
            </c:strRef>
          </c:tx>
          <c:invertIfNegative val="0"/>
          <c:cat>
            <c:strRef>
              <c:f>'NFI Distribution (by Tship)'!$A$63:$A$65</c:f>
              <c:strCache>
                <c:ptCount val="2"/>
                <c:pt idx="0">
                  <c:v>Solidarities</c:v>
                </c:pt>
                <c:pt idx="1">
                  <c:v>UNHCR</c:v>
                </c:pt>
              </c:strCache>
            </c:strRef>
          </c:cat>
          <c:val>
            <c:numRef>
              <c:f>'NFI Distribution (by Tship)'!$D$63:$D$65</c:f>
              <c:numCache>
                <c:formatCode>_-* #,##0_-;\-* #,##0_-;_-* "-"??_-;_-@_-</c:formatCode>
                <c:ptCount val="2"/>
                <c:pt idx="1">
                  <c:v>878</c:v>
                </c:pt>
              </c:numCache>
            </c:numRef>
          </c:val>
        </c:ser>
        <c:ser>
          <c:idx val="3"/>
          <c:order val="3"/>
          <c:tx>
            <c:strRef>
              <c:f>'NFI Distribution (by Tship)'!$E$62</c:f>
              <c:strCache>
                <c:ptCount val="1"/>
                <c:pt idx="0">
                  <c:v>Kitchen Set</c:v>
                </c:pt>
              </c:strCache>
            </c:strRef>
          </c:tx>
          <c:invertIfNegative val="0"/>
          <c:cat>
            <c:strRef>
              <c:f>'NFI Distribution (by Tship)'!$A$63:$A$65</c:f>
              <c:strCache>
                <c:ptCount val="2"/>
                <c:pt idx="0">
                  <c:v>Solidarities</c:v>
                </c:pt>
                <c:pt idx="1">
                  <c:v>UNHCR</c:v>
                </c:pt>
              </c:strCache>
            </c:strRef>
          </c:cat>
          <c:val>
            <c:numRef>
              <c:f>'NFI Distribution (by Tship)'!$E$63:$E$65</c:f>
              <c:numCache>
                <c:formatCode>_-* #,##0_-;\-* #,##0_-;_-* "-"??_-;_-@_-</c:formatCode>
                <c:ptCount val="2"/>
                <c:pt idx="1">
                  <c:v>207</c:v>
                </c:pt>
              </c:numCache>
            </c:numRef>
          </c:val>
        </c:ser>
        <c:ser>
          <c:idx val="4"/>
          <c:order val="4"/>
          <c:tx>
            <c:strRef>
              <c:f>'NFI Distribution (by Tship)'!$F$62</c:f>
              <c:strCache>
                <c:ptCount val="1"/>
                <c:pt idx="0">
                  <c:v>Plastic Bucket </c:v>
                </c:pt>
              </c:strCache>
            </c:strRef>
          </c:tx>
          <c:invertIfNegative val="0"/>
          <c:cat>
            <c:strRef>
              <c:f>'NFI Distribution (by Tship)'!$A$63:$A$65</c:f>
              <c:strCache>
                <c:ptCount val="2"/>
                <c:pt idx="0">
                  <c:v>Solidarities</c:v>
                </c:pt>
                <c:pt idx="1">
                  <c:v>UNHCR</c:v>
                </c:pt>
              </c:strCache>
            </c:strRef>
          </c:cat>
          <c:val>
            <c:numRef>
              <c:f>'NFI Distribution (by Tship)'!$F$63:$F$65</c:f>
              <c:numCache>
                <c:formatCode>_-* #,##0_-;\-* #,##0_-;_-* "-"??_-;_-@_-</c:formatCode>
                <c:ptCount val="2"/>
                <c:pt idx="1">
                  <c:v>213</c:v>
                </c:pt>
              </c:numCache>
            </c:numRef>
          </c:val>
        </c:ser>
        <c:ser>
          <c:idx val="5"/>
          <c:order val="5"/>
          <c:tx>
            <c:strRef>
              <c:f>'NFI Distribution (by Tship)'!$G$62</c:f>
              <c:strCache>
                <c:ptCount val="1"/>
                <c:pt idx="0">
                  <c:v>Plastic Mat </c:v>
                </c:pt>
              </c:strCache>
            </c:strRef>
          </c:tx>
          <c:invertIfNegative val="0"/>
          <c:cat>
            <c:strRef>
              <c:f>'NFI Distribution (by Tship)'!$A$63:$A$65</c:f>
              <c:strCache>
                <c:ptCount val="2"/>
                <c:pt idx="0">
                  <c:v>Solidarities</c:v>
                </c:pt>
                <c:pt idx="1">
                  <c:v>UNHCR</c:v>
                </c:pt>
              </c:strCache>
            </c:strRef>
          </c:cat>
          <c:val>
            <c:numRef>
              <c:f>'NFI Distribution (by Tship)'!$G$63:$G$65</c:f>
              <c:numCache>
                <c:formatCode>_-* #,##0_-;\-* #,##0_-;_-* "-"??_-;_-@_-</c:formatCode>
                <c:ptCount val="2"/>
                <c:pt idx="1">
                  <c:v>975</c:v>
                </c:pt>
              </c:numCache>
            </c:numRef>
          </c:val>
        </c:ser>
        <c:dLbls>
          <c:showLegendKey val="0"/>
          <c:showVal val="0"/>
          <c:showCatName val="0"/>
          <c:showSerName val="0"/>
          <c:showPercent val="0"/>
          <c:showBubbleSize val="0"/>
        </c:dLbls>
        <c:gapWidth val="150"/>
        <c:axId val="365431544"/>
        <c:axId val="365431936"/>
      </c:barChart>
      <c:catAx>
        <c:axId val="365431544"/>
        <c:scaling>
          <c:orientation val="minMax"/>
        </c:scaling>
        <c:delete val="0"/>
        <c:axPos val="b"/>
        <c:numFmt formatCode="General" sourceLinked="0"/>
        <c:majorTickMark val="out"/>
        <c:minorTickMark val="none"/>
        <c:tickLblPos val="nextTo"/>
        <c:crossAx val="365431936"/>
        <c:crosses val="autoZero"/>
        <c:auto val="1"/>
        <c:lblAlgn val="ctr"/>
        <c:lblOffset val="100"/>
        <c:noMultiLvlLbl val="0"/>
      </c:catAx>
      <c:valAx>
        <c:axId val="365431936"/>
        <c:scaling>
          <c:orientation val="minMax"/>
          <c:max val="1200"/>
          <c:min val="0"/>
        </c:scaling>
        <c:delete val="0"/>
        <c:axPos val="l"/>
        <c:majorGridlines/>
        <c:numFmt formatCode="_-* #,##0_-;\-* #,##0_-;_-* &quot;-&quot;??_-;_-@_-" sourceLinked="1"/>
        <c:majorTickMark val="out"/>
        <c:minorTickMark val="none"/>
        <c:tickLblPos val="nextTo"/>
        <c:crossAx val="365431544"/>
        <c:crosses val="autoZero"/>
        <c:crossBetween val="between"/>
      </c:valAx>
    </c:plotArea>
    <c:legend>
      <c:legendPos val="r"/>
      <c:layout>
        <c:manualLayout>
          <c:xMode val="edge"/>
          <c:yMode val="edge"/>
          <c:x val="0.70043357218032565"/>
          <c:y val="2.6869178193169082E-2"/>
          <c:w val="0.29690288713910762"/>
          <c:h val="0.9391539292882507"/>
        </c:manualLayout>
      </c:layout>
      <c:overlay val="0"/>
    </c:legend>
    <c:plotVisOnly val="1"/>
    <c:dispBlanksAs val="gap"/>
    <c:showDLblsOverMax val="0"/>
  </c:chart>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Kachin Northern Shan Cluster Analysis Report 1st August 2016.xlsx]NFI Distribution (by Tship)!PivotTable4</c:name>
    <c:fmtId val="10"/>
  </c:pivotSource>
  <c:chart>
    <c:title>
      <c:tx>
        <c:rich>
          <a:bodyPr/>
          <a:lstStyle/>
          <a:p>
            <a:pPr algn="ctr" rtl="0">
              <a:defRPr lang="en-US" sz="960" b="1" i="0" u="none" strike="noStrike" kern="1200" baseline="0">
                <a:solidFill>
                  <a:sysClr val="windowText" lastClr="000000"/>
                </a:solidFill>
                <a:latin typeface="+mn-lt"/>
                <a:ea typeface="+mn-ea"/>
                <a:cs typeface="+mn-cs"/>
              </a:defRPr>
            </a:pPr>
            <a:r>
              <a:rPr lang="en-US" sz="960" b="1" i="0" u="none" strike="noStrike" kern="1200" baseline="0">
                <a:solidFill>
                  <a:sysClr val="windowText" lastClr="000000"/>
                </a:solidFill>
                <a:latin typeface="+mn-lt"/>
                <a:ea typeface="+mn-ea"/>
                <a:cs typeface="+mn-cs"/>
              </a:rPr>
              <a:t>Per Organization</a:t>
            </a:r>
          </a:p>
        </c:rich>
      </c:tx>
      <c:layout>
        <c:manualLayout>
          <c:xMode val="edge"/>
          <c:yMode val="edge"/>
          <c:x val="0.28193757716714046"/>
          <c:y val="1.8491995650205377E-3"/>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plotArea>
      <c:layout>
        <c:manualLayout>
          <c:layoutTarget val="inner"/>
          <c:xMode val="edge"/>
          <c:yMode val="edge"/>
          <c:x val="0.10722761076176529"/>
          <c:y val="0.12121204890715288"/>
          <c:w val="0.57053297728773655"/>
          <c:h val="0.51973841580862812"/>
        </c:manualLayout>
      </c:layout>
      <c:barChart>
        <c:barDir val="col"/>
        <c:grouping val="clustered"/>
        <c:varyColors val="0"/>
        <c:ser>
          <c:idx val="0"/>
          <c:order val="0"/>
          <c:tx>
            <c:strRef>
              <c:f>'NFI Distribution (by Tship)'!$B$72</c:f>
              <c:strCache>
                <c:ptCount val="1"/>
                <c:pt idx="0">
                  <c:v>Winter Clothes Adult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Tship)'!$B$73:$B$79</c:f>
              <c:numCache>
                <c:formatCode>_-* #,##0_-;\-* #,##0_-;_-* "-"??_-;_-@_-</c:formatCode>
                <c:ptCount val="6"/>
                <c:pt idx="1">
                  <c:v>944</c:v>
                </c:pt>
                <c:pt idx="2">
                  <c:v>941</c:v>
                </c:pt>
                <c:pt idx="4">
                  <c:v>1155</c:v>
                </c:pt>
                <c:pt idx="5">
                  <c:v>2342</c:v>
                </c:pt>
              </c:numCache>
            </c:numRef>
          </c:val>
        </c:ser>
        <c:ser>
          <c:idx val="1"/>
          <c:order val="1"/>
          <c:tx>
            <c:strRef>
              <c:f>'NFI Distribution (by Tship)'!$C$72</c:f>
              <c:strCache>
                <c:ptCount val="1"/>
                <c:pt idx="0">
                  <c:v>Winter Clothes Children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Tship)'!$C$73:$C$79</c:f>
              <c:numCache>
                <c:formatCode>_-* #,##0_-;\-* #,##0_-;_-* "-"??_-;_-@_-</c:formatCode>
                <c:ptCount val="6"/>
                <c:pt idx="1">
                  <c:v>553</c:v>
                </c:pt>
                <c:pt idx="2">
                  <c:v>619</c:v>
                </c:pt>
                <c:pt idx="3">
                  <c:v>1333</c:v>
                </c:pt>
                <c:pt idx="4">
                  <c:v>2263</c:v>
                </c:pt>
                <c:pt idx="5">
                  <c:v>4566</c:v>
                </c:pt>
              </c:numCache>
            </c:numRef>
          </c:val>
        </c:ser>
        <c:ser>
          <c:idx val="2"/>
          <c:order val="2"/>
          <c:tx>
            <c:strRef>
              <c:f>'NFI Distribution (by Tship)'!$D$72</c:f>
              <c:strCache>
                <c:ptCount val="1"/>
                <c:pt idx="0">
                  <c:v>Winter Blanket </c:v>
                </c:pt>
              </c:strCache>
            </c:strRef>
          </c:tx>
          <c:invertIfNegative val="0"/>
          <c:cat>
            <c:strRef>
              <c:f>'NFI Distribution (by Tship)'!$A$73:$A$79</c:f>
              <c:strCache>
                <c:ptCount val="6"/>
                <c:pt idx="0">
                  <c:v>CRCS</c:v>
                </c:pt>
                <c:pt idx="1">
                  <c:v>DRC</c:v>
                </c:pt>
                <c:pt idx="2">
                  <c:v>ICRC</c:v>
                </c:pt>
                <c:pt idx="3">
                  <c:v>Plan-Myanmar</c:v>
                </c:pt>
                <c:pt idx="4">
                  <c:v>Solidarities</c:v>
                </c:pt>
                <c:pt idx="5">
                  <c:v>UNHCR</c:v>
                </c:pt>
              </c:strCache>
            </c:strRef>
          </c:cat>
          <c:val>
            <c:numRef>
              <c:f>'NFI Distribution (by Tship)'!$D$73:$D$79</c:f>
              <c:numCache>
                <c:formatCode>_-* #,##0_-;\-* #,##0_-;_-* "-"??_-;_-@_-</c:formatCode>
                <c:ptCount val="6"/>
                <c:pt idx="0">
                  <c:v>684</c:v>
                </c:pt>
                <c:pt idx="2">
                  <c:v>549</c:v>
                </c:pt>
                <c:pt idx="4">
                  <c:v>3418</c:v>
                </c:pt>
                <c:pt idx="5">
                  <c:v>3416</c:v>
                </c:pt>
              </c:numCache>
            </c:numRef>
          </c:val>
        </c:ser>
        <c:dLbls>
          <c:showLegendKey val="0"/>
          <c:showVal val="0"/>
          <c:showCatName val="0"/>
          <c:showSerName val="0"/>
          <c:showPercent val="0"/>
          <c:showBubbleSize val="0"/>
        </c:dLbls>
        <c:gapWidth val="150"/>
        <c:axId val="365432720"/>
        <c:axId val="365433112"/>
      </c:barChart>
      <c:catAx>
        <c:axId val="365432720"/>
        <c:scaling>
          <c:orientation val="minMax"/>
        </c:scaling>
        <c:delete val="0"/>
        <c:axPos val="b"/>
        <c:numFmt formatCode="General" sourceLinked="0"/>
        <c:majorTickMark val="out"/>
        <c:minorTickMark val="none"/>
        <c:tickLblPos val="nextTo"/>
        <c:txPr>
          <a:bodyPr/>
          <a:lstStyle/>
          <a:p>
            <a:pPr>
              <a:defRPr sz="800"/>
            </a:pPr>
            <a:endParaRPr lang="en-US"/>
          </a:p>
        </c:txPr>
        <c:crossAx val="365433112"/>
        <c:crosses val="autoZero"/>
        <c:auto val="1"/>
        <c:lblAlgn val="ctr"/>
        <c:lblOffset val="100"/>
        <c:noMultiLvlLbl val="0"/>
      </c:catAx>
      <c:valAx>
        <c:axId val="365433112"/>
        <c:scaling>
          <c:orientation val="minMax"/>
        </c:scaling>
        <c:delete val="0"/>
        <c:axPos val="l"/>
        <c:majorGridlines/>
        <c:numFmt formatCode="_-* #,##0_-;\-* #,##0_-;_-* &quot;-&quot;??_-;_-@_-" sourceLinked="1"/>
        <c:majorTickMark val="out"/>
        <c:minorTickMark val="none"/>
        <c:tickLblPos val="nextTo"/>
        <c:txPr>
          <a:bodyPr/>
          <a:lstStyle/>
          <a:p>
            <a:pPr>
              <a:defRPr sz="800"/>
            </a:pPr>
            <a:endParaRPr lang="en-US"/>
          </a:p>
        </c:txPr>
        <c:crossAx val="365432720"/>
        <c:crosses val="autoZero"/>
        <c:crossBetween val="between"/>
        <c:majorUnit val="1000"/>
      </c:valAx>
    </c:plotArea>
    <c:legend>
      <c:legendPos val="r"/>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100" b="1">
                <a:latin typeface="+mn-lt"/>
              </a:defRPr>
            </a:pPr>
            <a:r>
              <a:rPr lang="en-US" sz="1100" b="1">
                <a:latin typeface="+mn-lt"/>
              </a:rPr>
              <a:t>Coverage</a:t>
            </a:r>
            <a:r>
              <a:rPr lang="en-US" sz="1100" b="1" baseline="0">
                <a:latin typeface="+mn-lt"/>
              </a:rPr>
              <a:t> &amp; Gaps / Items</a:t>
            </a:r>
            <a:endParaRPr lang="en-US" sz="1100" b="1">
              <a:latin typeface="+mn-lt"/>
            </a:endParaRPr>
          </a:p>
        </c:rich>
      </c:tx>
      <c:layout>
        <c:manualLayout>
          <c:xMode val="edge"/>
          <c:yMode val="edge"/>
          <c:x val="0.2306514653125229"/>
          <c:y val="0"/>
        </c:manualLayout>
      </c:layout>
      <c:overlay val="0"/>
    </c:title>
    <c:autoTitleDeleted val="0"/>
    <c:plotArea>
      <c:layout>
        <c:manualLayout>
          <c:layoutTarget val="inner"/>
          <c:xMode val="edge"/>
          <c:yMode val="edge"/>
          <c:x val="0.14939203728374265"/>
          <c:y val="0.20269797903419415"/>
          <c:w val="0.6339556147360994"/>
          <c:h val="0.32959123111299371"/>
        </c:manualLayout>
      </c:layout>
      <c:barChart>
        <c:barDir val="col"/>
        <c:grouping val="stacked"/>
        <c:varyColors val="0"/>
        <c:ser>
          <c:idx val="1"/>
          <c:order val="0"/>
          <c:tx>
            <c:strRef>
              <c:f>'NFI Summary'!$P$12</c:f>
              <c:strCache>
                <c:ptCount val="1"/>
                <c:pt idx="0">
                  <c:v>% Distributed</c:v>
                </c:pt>
              </c:strCache>
            </c:strRef>
          </c:tx>
          <c:spPr>
            <a:solidFill>
              <a:srgbClr val="25FF88"/>
            </a:solidFill>
          </c:spPr>
          <c:invertIfNegative val="0"/>
          <c:cat>
            <c:strRef>
              <c:f>'NFI Summary'!$L$13:$L$15</c:f>
              <c:strCache>
                <c:ptCount val="3"/>
                <c:pt idx="0">
                  <c:v>Winter Clothes Adult</c:v>
                </c:pt>
                <c:pt idx="1">
                  <c:v>Winter Clothes Children</c:v>
                </c:pt>
                <c:pt idx="2">
                  <c:v>Winter Blanket</c:v>
                </c:pt>
              </c:strCache>
            </c:strRef>
          </c:cat>
          <c:val>
            <c:numRef>
              <c:f>'NFI Summary'!$P$13:$P$15</c:f>
              <c:numCache>
                <c:formatCode>0%</c:formatCode>
                <c:ptCount val="3"/>
                <c:pt idx="0">
                  <c:v>0.19570011025358325</c:v>
                </c:pt>
                <c:pt idx="1">
                  <c:v>0.39415656008820288</c:v>
                </c:pt>
                <c:pt idx="2">
                  <c:v>9.5369349503858877E-2</c:v>
                </c:pt>
              </c:numCache>
            </c:numRef>
          </c:val>
        </c:ser>
        <c:ser>
          <c:idx val="3"/>
          <c:order val="1"/>
          <c:tx>
            <c:strRef>
              <c:f>'NFI Summary'!$R$12</c:f>
              <c:strCache>
                <c:ptCount val="1"/>
                <c:pt idx="0">
                  <c:v>% In Stock</c:v>
                </c:pt>
              </c:strCache>
            </c:strRef>
          </c:tx>
          <c:spPr>
            <a:solidFill>
              <a:schemeClr val="accent1">
                <a:lumMod val="40000"/>
                <a:lumOff val="60000"/>
              </a:schemeClr>
            </a:solidFill>
            <a:ln>
              <a:noFill/>
            </a:ln>
          </c:spPr>
          <c:invertIfNegative val="0"/>
          <c:cat>
            <c:strRef>
              <c:f>'NFI Summary'!$L$13:$L$15</c:f>
              <c:strCache>
                <c:ptCount val="3"/>
                <c:pt idx="0">
                  <c:v>Winter Clothes Adult</c:v>
                </c:pt>
                <c:pt idx="1">
                  <c:v>Winter Clothes Children</c:v>
                </c:pt>
                <c:pt idx="2">
                  <c:v>Winter Blanket</c:v>
                </c:pt>
              </c:strCache>
            </c:strRef>
          </c:cat>
          <c:val>
            <c:numRef>
              <c:f>'NFI Summary'!$R$13:$R$15</c:f>
              <c:numCache>
                <c:formatCode>0%</c:formatCode>
                <c:ptCount val="3"/>
                <c:pt idx="0">
                  <c:v>0</c:v>
                </c:pt>
                <c:pt idx="1">
                  <c:v>8.544652701212789E-2</c:v>
                </c:pt>
                <c:pt idx="2">
                  <c:v>0.55154355016538037</c:v>
                </c:pt>
              </c:numCache>
            </c:numRef>
          </c:val>
        </c:ser>
        <c:ser>
          <c:idx val="0"/>
          <c:order val="2"/>
          <c:tx>
            <c:strRef>
              <c:f>'NFI Summary'!$S$12</c:f>
              <c:strCache>
                <c:ptCount val="1"/>
                <c:pt idx="0">
                  <c:v>% Gap</c:v>
                </c:pt>
              </c:strCache>
            </c:strRef>
          </c:tx>
          <c:spPr>
            <a:solidFill>
              <a:srgbClr val="FD2361"/>
            </a:solidFill>
          </c:spPr>
          <c:invertIfNegative val="0"/>
          <c:cat>
            <c:strRef>
              <c:f>'NFI Summary'!$L$13:$L$15</c:f>
              <c:strCache>
                <c:ptCount val="3"/>
                <c:pt idx="0">
                  <c:v>Winter Clothes Adult</c:v>
                </c:pt>
                <c:pt idx="1">
                  <c:v>Winter Clothes Children</c:v>
                </c:pt>
                <c:pt idx="2">
                  <c:v>Winter Blanket</c:v>
                </c:pt>
              </c:strCache>
            </c:strRef>
          </c:cat>
          <c:val>
            <c:numRef>
              <c:f>'NFI Summary'!$S$13:$S$15</c:f>
              <c:numCache>
                <c:formatCode>0%</c:formatCode>
                <c:ptCount val="3"/>
                <c:pt idx="0">
                  <c:v>0.80429988974641675</c:v>
                </c:pt>
                <c:pt idx="1">
                  <c:v>0.52039691289966927</c:v>
                </c:pt>
                <c:pt idx="2">
                  <c:v>0.35308710033076074</c:v>
                </c:pt>
              </c:numCache>
            </c:numRef>
          </c:val>
        </c:ser>
        <c:dLbls>
          <c:showLegendKey val="0"/>
          <c:showVal val="0"/>
          <c:showCatName val="0"/>
          <c:showSerName val="0"/>
          <c:showPercent val="0"/>
          <c:showBubbleSize val="0"/>
        </c:dLbls>
        <c:gapWidth val="55"/>
        <c:overlap val="100"/>
        <c:axId val="365433896"/>
        <c:axId val="365434288"/>
      </c:barChart>
      <c:catAx>
        <c:axId val="365433896"/>
        <c:scaling>
          <c:orientation val="minMax"/>
        </c:scaling>
        <c:delete val="0"/>
        <c:axPos val="b"/>
        <c:numFmt formatCode="General" sourceLinked="1"/>
        <c:majorTickMark val="none"/>
        <c:minorTickMark val="none"/>
        <c:tickLblPos val="nextTo"/>
        <c:txPr>
          <a:bodyPr rot="-5400000" vert="horz" anchor="t" anchorCtr="0"/>
          <a:lstStyle/>
          <a:p>
            <a:pPr>
              <a:defRPr sz="800" b="0" i="0" u="none" strike="noStrike" baseline="0">
                <a:solidFill>
                  <a:srgbClr val="000000"/>
                </a:solidFill>
                <a:latin typeface="Calibri"/>
                <a:ea typeface="Calibri"/>
                <a:cs typeface="Calibri"/>
              </a:defRPr>
            </a:pPr>
            <a:endParaRPr lang="en-US"/>
          </a:p>
        </c:txPr>
        <c:crossAx val="365434288"/>
        <c:crosses val="autoZero"/>
        <c:auto val="1"/>
        <c:lblAlgn val="ctr"/>
        <c:lblOffset val="0"/>
        <c:noMultiLvlLbl val="0"/>
      </c:catAx>
      <c:valAx>
        <c:axId val="365434288"/>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365433896"/>
        <c:crosses val="autoZero"/>
        <c:crossBetween val="between"/>
        <c:majorUnit val="0.2"/>
      </c:valAx>
      <c:spPr>
        <a:noFill/>
        <a:ln w="25400">
          <a:noFill/>
        </a:ln>
      </c:spPr>
    </c:plotArea>
    <c:legend>
      <c:legendPos val="r"/>
      <c:layout/>
      <c:overlay val="0"/>
      <c:txPr>
        <a:bodyPr/>
        <a:lstStyle/>
        <a:p>
          <a:pPr>
            <a:defRPr sz="80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 Tracking'!A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2" Type="http://schemas.openxmlformats.org/officeDocument/2006/relationships/hyperlink" Target="#'Camp List'!A1"/><Relationship Id="rId1" Type="http://schemas.openxmlformats.org/officeDocument/2006/relationships/hyperlink" Target="#'Camp 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0" Type="http://schemas.openxmlformats.org/officeDocument/2006/relationships/hyperlink" Target="#'Shelter Summary (by Agency)'!A1"/><Relationship Id="rId4" Type="http://schemas.openxmlformats.org/officeDocument/2006/relationships/hyperlink" Target="#'Shelter Progress'!A1"/><Relationship Id="rId9" Type="http://schemas.openxmlformats.org/officeDocument/2006/relationships/hyperlink" Target="#'NFI Distribution (by Tship)'!A1"/></Relationships>
</file>

<file path=xl/drawings/_rels/drawing2.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8.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3.xml.rels><?xml version="1.0" encoding="UTF-8" standalone="yes"?>
<Relationships xmlns="http://schemas.openxmlformats.org/package/2006/relationships"><Relationship Id="rId8" Type="http://schemas.openxmlformats.org/officeDocument/2006/relationships/hyperlink" Target="#'Camp Analysis'!A1"/><Relationship Id="rId3" Type="http://schemas.openxmlformats.org/officeDocument/2006/relationships/image" Target="../media/image9.png"/><Relationship Id="rId7" Type="http://schemas.openxmlformats.org/officeDocument/2006/relationships/hyperlink" Target="#'Camp List (printable)'!A1"/><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hyperlink" Target="#'Camp List'!A1"/><Relationship Id="rId5" Type="http://schemas.openxmlformats.org/officeDocument/2006/relationships/hyperlink" Target="#Home!A1"/><Relationship Id="rId4" Type="http://schemas.openxmlformats.org/officeDocument/2006/relationships/hyperlink" Target="#'CCCM Dashboard'!A1"/></Relationships>
</file>

<file path=xl/drawings/_rels/drawing4.xml.rels><?xml version="1.0" encoding="UTF-8" standalone="yes"?>
<Relationships xmlns="http://schemas.openxmlformats.org/package/2006/relationships"><Relationship Id="rId3" Type="http://schemas.openxmlformats.org/officeDocument/2006/relationships/hyperlink" Target="#'CCCM Dashboard'!A1"/><Relationship Id="rId7" Type="http://schemas.openxmlformats.org/officeDocument/2006/relationships/hyperlink" Target="#'Camp Analysis'!A1"/><Relationship Id="rId2" Type="http://schemas.openxmlformats.org/officeDocument/2006/relationships/image" Target="../media/image10.png"/><Relationship Id="rId1" Type="http://schemas.openxmlformats.org/officeDocument/2006/relationships/image" Target="../media/image6.png"/><Relationship Id="rId6" Type="http://schemas.openxmlformats.org/officeDocument/2006/relationships/hyperlink" Target="#'Camp List (printable)'!A1"/><Relationship Id="rId5" Type="http://schemas.openxmlformats.org/officeDocument/2006/relationships/hyperlink" Target="#'Camp List'!A1"/><Relationship Id="rId4" Type="http://schemas.openxmlformats.org/officeDocument/2006/relationships/hyperlink" Target="#Home!A1"/></Relationships>
</file>

<file path=xl/drawings/_rels/drawing5.xml.rels><?xml version="1.0" encoding="UTF-8" standalone="yes"?>
<Relationships xmlns="http://schemas.openxmlformats.org/package/2006/relationships"><Relationship Id="rId8" Type="http://schemas.openxmlformats.org/officeDocument/2006/relationships/hyperlink" Target="#'Camp List (printable)'!A1"/><Relationship Id="rId3" Type="http://schemas.openxmlformats.org/officeDocument/2006/relationships/image" Target="../media/image9.png"/><Relationship Id="rId7" Type="http://schemas.openxmlformats.org/officeDocument/2006/relationships/hyperlink" Target="#'Camp List'!A1"/><Relationship Id="rId2" Type="http://schemas.openxmlformats.org/officeDocument/2006/relationships/image" Target="../media/image6.png"/><Relationship Id="rId1" Type="http://schemas.openxmlformats.org/officeDocument/2006/relationships/chart" Target="../charts/chart2.xml"/><Relationship Id="rId6" Type="http://schemas.openxmlformats.org/officeDocument/2006/relationships/hyperlink" Target="#Home!A1"/><Relationship Id="rId5" Type="http://schemas.openxmlformats.org/officeDocument/2006/relationships/hyperlink" Target="#'CCCM Dashboard'!A1"/><Relationship Id="rId10" Type="http://schemas.openxmlformats.org/officeDocument/2006/relationships/image" Target="../media/image11.png"/><Relationship Id="rId4" Type="http://schemas.openxmlformats.org/officeDocument/2006/relationships/chart" Target="../charts/chart3.xml"/><Relationship Id="rId9" Type="http://schemas.openxmlformats.org/officeDocument/2006/relationships/hyperlink" Target="#'Camp Analysis'!A1"/></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hyperlink" Target="#'Shelter Coverage &amp; Gaps'!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Summary (by Agency)'!A1"/><Relationship Id="rId5" Type="http://schemas.openxmlformats.org/officeDocument/2006/relationships/hyperlink" Target="#'Shelter Tracking'!A1"/><Relationship Id="rId4" Type="http://schemas.openxmlformats.org/officeDocument/2006/relationships/hyperlink" Target="#'Shelter Progress'!A1"/></Relationships>
</file>

<file path=xl/drawings/_rels/drawing9.xml.rels><?xml version="1.0" encoding="UTF-8" standalone="yes"?>
<Relationships xmlns="http://schemas.openxmlformats.org/package/2006/relationships"><Relationship Id="rId8" Type="http://schemas.openxmlformats.org/officeDocument/2006/relationships/hyperlink" Target="#'Shelter Tracking'!A1"/><Relationship Id="rId3" Type="http://schemas.openxmlformats.org/officeDocument/2006/relationships/chart" Target="../charts/chart6.xml"/><Relationship Id="rId7" Type="http://schemas.openxmlformats.org/officeDocument/2006/relationships/hyperlink" Target="#'Shelter Progress'!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ome!A1"/><Relationship Id="rId11" Type="http://schemas.openxmlformats.org/officeDocument/2006/relationships/chart" Target="../charts/chart7.xml"/><Relationship Id="rId5" Type="http://schemas.openxmlformats.org/officeDocument/2006/relationships/image" Target="../media/image9.png"/><Relationship Id="rId10" Type="http://schemas.openxmlformats.org/officeDocument/2006/relationships/hyperlink" Target="#'Shelter Coverage &amp; Gaps'!A1"/><Relationship Id="rId4" Type="http://schemas.openxmlformats.org/officeDocument/2006/relationships/image" Target="../media/image6.png"/><Relationship Id="rId9" Type="http://schemas.openxmlformats.org/officeDocument/2006/relationships/hyperlink" Target="#'Shelter Summary (by Agency)'!A1"/></Relationships>
</file>

<file path=xl/drawings/_rels/drawing10.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chart" Target="../charts/chart8.xml"/><Relationship Id="rId7" Type="http://schemas.openxmlformats.org/officeDocument/2006/relationships/hyperlink" Target="#'Shelter Summary (by Agency)'!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Shelter Tracking'!A1"/><Relationship Id="rId5" Type="http://schemas.openxmlformats.org/officeDocument/2006/relationships/hyperlink" Target="#'Shelter Progress'!A1"/><Relationship Id="rId4" Type="http://schemas.openxmlformats.org/officeDocument/2006/relationships/hyperlink" Target="#Home!A1"/><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9.png"/><Relationship Id="rId7" Type="http://schemas.openxmlformats.org/officeDocument/2006/relationships/hyperlink" Target="#'Shelter Summary (by Agency)'!A1"/><Relationship Id="rId2" Type="http://schemas.openxmlformats.org/officeDocument/2006/relationships/image" Target="../media/image6.png"/><Relationship Id="rId1" Type="http://schemas.openxmlformats.org/officeDocument/2006/relationships/image" Target="../media/image20.jpg"/><Relationship Id="rId6" Type="http://schemas.openxmlformats.org/officeDocument/2006/relationships/hyperlink" Target="#'Shelter Tracking'!A1"/><Relationship Id="rId5" Type="http://schemas.openxmlformats.org/officeDocument/2006/relationships/hyperlink" Target="#'Shelter Progress'!A1"/><Relationship Id="rId10" Type="http://schemas.openxmlformats.org/officeDocument/2006/relationships/chart" Target="../charts/chart11.xml"/><Relationship Id="rId4" Type="http://schemas.openxmlformats.org/officeDocument/2006/relationships/hyperlink" Target="#Home!A1"/><Relationship Id="rId9"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NFI Distribution (by Tship)'!A1"/><Relationship Id="rId5" Type="http://schemas.openxmlformats.org/officeDocument/2006/relationships/hyperlink" Target="#'NFI Summary'!A1"/><Relationship Id="rId4" Type="http://schemas.openxmlformats.org/officeDocument/2006/relationships/hyperlink" Target="#'NFI Tracking'!A1"/></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hyperlink" Target="#'NFI Distribution (by Tship)'!A1"/><Relationship Id="rId2" Type="http://schemas.openxmlformats.org/officeDocument/2006/relationships/image" Target="../media/image6.png"/><Relationship Id="rId1" Type="http://schemas.openxmlformats.org/officeDocument/2006/relationships/chart" Target="../charts/chart12.xml"/><Relationship Id="rId6" Type="http://schemas.openxmlformats.org/officeDocument/2006/relationships/hyperlink" Target="#'NFI Summary'!A1"/><Relationship Id="rId5" Type="http://schemas.openxmlformats.org/officeDocument/2006/relationships/hyperlink" Target="#'NFI Tracking'!A1"/><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8" Type="http://schemas.openxmlformats.org/officeDocument/2006/relationships/hyperlink" Target="#'NFI Distribution (by Tship)'!A1"/><Relationship Id="rId3" Type="http://schemas.openxmlformats.org/officeDocument/2006/relationships/image" Target="../media/image9.png"/><Relationship Id="rId7" Type="http://schemas.openxmlformats.org/officeDocument/2006/relationships/hyperlink" Target="#'NFI Summary'!A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NFI Tracking'!A1"/><Relationship Id="rId11" Type="http://schemas.openxmlformats.org/officeDocument/2006/relationships/chart" Target="../charts/chart16.xml"/><Relationship Id="rId5" Type="http://schemas.openxmlformats.org/officeDocument/2006/relationships/hyperlink" Target="#Home!A1"/><Relationship Id="rId10" Type="http://schemas.openxmlformats.org/officeDocument/2006/relationships/chart" Target="../charts/chart15.xml"/><Relationship Id="rId4" Type="http://schemas.openxmlformats.org/officeDocument/2006/relationships/hyperlink" Target="http://www.sheltercluster.org/library/standards-and-guidelines-nfi" TargetMode="External"/><Relationship Id="rId9"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t>
          </a:r>
          <a:r>
            <a:rPr lang="en-US" sz="1100" b="1" i="1" baseline="0"/>
            <a:t>Township</a:t>
          </a:r>
          <a:endParaRPr lang="en-US" sz="1100" b="1" i="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3</xdr:row>
      <xdr:rowOff>11906</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0</xdr:rowOff>
        </xdr:from>
        <xdr:to>
          <xdr:col>27</xdr:col>
          <xdr:colOff>476250</xdr:colOff>
          <xdr:row>8</xdr:row>
          <xdr:rowOff>57150</xdr:rowOff>
        </xdr:to>
        <xdr:sp macro="" textlink="">
          <xdr:nvSpPr>
            <xdr:cNvPr id="1025" name="Main_Export_Data"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xdr:row>
          <xdr:rowOff>9525</xdr:rowOff>
        </xdr:from>
        <xdr:to>
          <xdr:col>27</xdr:col>
          <xdr:colOff>504825</xdr:colOff>
          <xdr:row>11</xdr:row>
          <xdr:rowOff>142875</xdr:rowOff>
        </xdr:to>
        <xdr:sp macro="" textlink="">
          <xdr:nvSpPr>
            <xdr:cNvPr id="1026" name="Print_Report"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700353</xdr:colOff>
      <xdr:row>1</xdr:row>
      <xdr:rowOff>31856</xdr:rowOff>
    </xdr:from>
    <xdr:to>
      <xdr:col>7</xdr:col>
      <xdr:colOff>1166813</xdr:colOff>
      <xdr:row>2</xdr:row>
      <xdr:rowOff>67469</xdr:rowOff>
    </xdr:to>
    <xdr:grpSp>
      <xdr:nvGrpSpPr>
        <xdr:cNvPr id="6" name="Group 5"/>
        <xdr:cNvGrpSpPr/>
      </xdr:nvGrpSpPr>
      <xdr:grpSpPr>
        <a:xfrm>
          <a:off x="4555177" y="558532"/>
          <a:ext cx="2875724" cy="226113"/>
          <a:chOff x="6500812" y="296130"/>
          <a:chExt cx="6668867" cy="596839"/>
        </a:xfrm>
      </xdr:grpSpPr>
      <xdr:pic>
        <xdr:nvPicPr>
          <xdr:cNvPr id="4" name="Picture 3"/>
          <xdr:cNvPicPr>
            <a:picLocks noChangeAspect="1"/>
          </xdr:cNvPicPr>
        </xdr:nvPicPr>
        <xdr:blipFill>
          <a:blip xmlns:r="http://schemas.openxmlformats.org/officeDocument/2006/relationships" r:embed="rId1"/>
          <a:stretch>
            <a:fillRect/>
          </a:stretch>
        </xdr:blipFill>
        <xdr:spPr>
          <a:xfrm>
            <a:off x="9226312" y="296130"/>
            <a:ext cx="3943367" cy="594384"/>
          </a:xfrm>
          <a:prstGeom prst="rect">
            <a:avLst/>
          </a:prstGeom>
        </xdr:spPr>
      </xdr:pic>
      <xdr:pic>
        <xdr:nvPicPr>
          <xdr:cNvPr id="5" name="Picture 4"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5482</xdr:colOff>
      <xdr:row>0</xdr:row>
      <xdr:rowOff>16402</xdr:rowOff>
    </xdr:from>
    <xdr:to>
      <xdr:col>10</xdr:col>
      <xdr:colOff>267607</xdr:colOff>
      <xdr:row>0</xdr:row>
      <xdr:rowOff>376991</xdr:rowOff>
    </xdr:to>
    <xdr:sp macro="" textlink="">
      <xdr:nvSpPr>
        <xdr:cNvPr id="12" name="Rounded Rectangle 11">
          <a:hlinkClick xmlns:r="http://schemas.openxmlformats.org/officeDocument/2006/relationships" r:id="rId3"/>
        </xdr:cNvPr>
        <xdr:cNvSpPr/>
      </xdr:nvSpPr>
      <xdr:spPr>
        <a:xfrm>
          <a:off x="8577982" y="1640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47626</xdr:colOff>
      <xdr:row>0</xdr:row>
      <xdr:rowOff>33262</xdr:rowOff>
    </xdr:from>
    <xdr:to>
      <xdr:col>5</xdr:col>
      <xdr:colOff>35907</xdr:colOff>
      <xdr:row>0</xdr:row>
      <xdr:rowOff>393851</xdr:rowOff>
    </xdr:to>
    <xdr:sp macro="" textlink="">
      <xdr:nvSpPr>
        <xdr:cNvPr id="13" name="Rounded Rectangle 12">
          <a:hlinkClick xmlns:r="http://schemas.openxmlformats.org/officeDocument/2006/relationships" r:id="rId4"/>
        </xdr:cNvPr>
        <xdr:cNvSpPr/>
      </xdr:nvSpPr>
      <xdr:spPr>
        <a:xfrm>
          <a:off x="47626" y="33262"/>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346793</xdr:colOff>
      <xdr:row>0</xdr:row>
      <xdr:rowOff>28310</xdr:rowOff>
    </xdr:from>
    <xdr:to>
      <xdr:col>6</xdr:col>
      <xdr:colOff>1047747</xdr:colOff>
      <xdr:row>0</xdr:row>
      <xdr:rowOff>388899</xdr:rowOff>
    </xdr:to>
    <xdr:sp macro="" textlink="">
      <xdr:nvSpPr>
        <xdr:cNvPr id="14" name="Rounded Rectangle 13">
          <a:hlinkClick xmlns:r="http://schemas.openxmlformats.org/officeDocument/2006/relationships" r:id="rId5"/>
        </xdr:cNvPr>
        <xdr:cNvSpPr/>
      </xdr:nvSpPr>
      <xdr:spPr>
        <a:xfrm>
          <a:off x="2001762" y="28310"/>
          <a:ext cx="198682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7</xdr:col>
      <xdr:colOff>71438</xdr:colOff>
      <xdr:row>0</xdr:row>
      <xdr:rowOff>28309</xdr:rowOff>
    </xdr:from>
    <xdr:to>
      <xdr:col>7</xdr:col>
      <xdr:colOff>1619438</xdr:colOff>
      <xdr:row>0</xdr:row>
      <xdr:rowOff>388898</xdr:rowOff>
    </xdr:to>
    <xdr:sp macro="" textlink="">
      <xdr:nvSpPr>
        <xdr:cNvPr id="15" name="Rounded Rectangle 14">
          <a:hlinkClick xmlns:r="http://schemas.openxmlformats.org/officeDocument/2006/relationships" r:id="rId6"/>
        </xdr:cNvPr>
        <xdr:cNvSpPr/>
      </xdr:nvSpPr>
      <xdr:spPr>
        <a:xfrm>
          <a:off x="4298157" y="28309"/>
          <a:ext cx="1548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7</xdr:col>
      <xdr:colOff>1993913</xdr:colOff>
      <xdr:row>0</xdr:row>
      <xdr:rowOff>28308</xdr:rowOff>
    </xdr:from>
    <xdr:to>
      <xdr:col>8</xdr:col>
      <xdr:colOff>869156</xdr:colOff>
      <xdr:row>0</xdr:row>
      <xdr:rowOff>388897</xdr:rowOff>
    </xdr:to>
    <xdr:sp macro="" textlink="">
      <xdr:nvSpPr>
        <xdr:cNvPr id="16" name="Rounded Rectangle 15">
          <a:hlinkClick xmlns:r="http://schemas.openxmlformats.org/officeDocument/2006/relationships" r:id="rId7"/>
        </xdr:cNvPr>
        <xdr:cNvSpPr/>
      </xdr:nvSpPr>
      <xdr:spPr>
        <a:xfrm>
          <a:off x="6220632" y="28308"/>
          <a:ext cx="1935149"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133071</xdr:colOff>
      <xdr:row>5</xdr:row>
      <xdr:rowOff>52667</xdr:rowOff>
    </xdr:from>
    <xdr:to>
      <xdr:col>10</xdr:col>
      <xdr:colOff>487176</xdr:colOff>
      <xdr:row>42</xdr:row>
      <xdr:rowOff>78441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1</xdr:row>
      <xdr:rowOff>412750</xdr:rowOff>
    </xdr:from>
    <xdr:to>
      <xdr:col>10</xdr:col>
      <xdr:colOff>714375</xdr:colOff>
      <xdr:row>2</xdr:row>
      <xdr:rowOff>31750</xdr:rowOff>
    </xdr:to>
    <xdr:grpSp>
      <xdr:nvGrpSpPr>
        <xdr:cNvPr id="7" name="Group 6"/>
        <xdr:cNvGrpSpPr/>
      </xdr:nvGrpSpPr>
      <xdr:grpSpPr>
        <a:xfrm>
          <a:off x="3892176" y="872191"/>
          <a:ext cx="4757084" cy="425824"/>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285145</xdr:colOff>
      <xdr:row>0</xdr:row>
      <xdr:rowOff>21166</xdr:rowOff>
    </xdr:from>
    <xdr:to>
      <xdr:col>10</xdr:col>
      <xdr:colOff>491657</xdr:colOff>
      <xdr:row>0</xdr:row>
      <xdr:rowOff>381755</xdr:rowOff>
    </xdr:to>
    <xdr:sp macro="" textlink="">
      <xdr:nvSpPr>
        <xdr:cNvPr id="10" name="Rounded Rectangle 9">
          <a:hlinkClick xmlns:r="http://schemas.openxmlformats.org/officeDocument/2006/relationships" r:id="rId4"/>
        </xdr:cNvPr>
        <xdr:cNvSpPr/>
      </xdr:nvSpPr>
      <xdr:spPr>
        <a:xfrm>
          <a:off x="7000270" y="21166"/>
          <a:ext cx="1444762"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499406</xdr:colOff>
      <xdr:row>0</xdr:row>
      <xdr:rowOff>393851</xdr:rowOff>
    </xdr:to>
    <xdr:sp macro="" textlink="">
      <xdr:nvSpPr>
        <xdr:cNvPr id="11" name="Rounded Rectangle 10">
          <a:hlinkClick xmlns:r="http://schemas.openxmlformats.org/officeDocument/2006/relationships" r:id="rId5"/>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777535</xdr:colOff>
      <xdr:row>0</xdr:row>
      <xdr:rowOff>30691</xdr:rowOff>
    </xdr:from>
    <xdr:to>
      <xdr:col>3</xdr:col>
      <xdr:colOff>707823</xdr:colOff>
      <xdr:row>0</xdr:row>
      <xdr:rowOff>391280</xdr:rowOff>
    </xdr:to>
    <xdr:sp macro="" textlink="">
      <xdr:nvSpPr>
        <xdr:cNvPr id="12" name="Rounded Rectangle 11">
          <a:hlinkClick xmlns:r="http://schemas.openxmlformats.org/officeDocument/2006/relationships" r:id="rId6"/>
        </xdr:cNvPr>
        <xdr:cNvSpPr/>
      </xdr:nvSpPr>
      <xdr:spPr>
        <a:xfrm>
          <a:off x="1749085" y="30691"/>
          <a:ext cx="1740038"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4</xdr:col>
      <xdr:colOff>47625</xdr:colOff>
      <xdr:row>0</xdr:row>
      <xdr:rowOff>11641</xdr:rowOff>
    </xdr:from>
    <xdr:to>
      <xdr:col>6</xdr:col>
      <xdr:colOff>35915</xdr:colOff>
      <xdr:row>0</xdr:row>
      <xdr:rowOff>372230</xdr:rowOff>
    </xdr:to>
    <xdr:sp macro="" textlink="">
      <xdr:nvSpPr>
        <xdr:cNvPr id="13" name="Rounded Rectangle 12">
          <a:hlinkClick xmlns:r="http://schemas.openxmlformats.org/officeDocument/2006/relationships" r:id="rId7"/>
        </xdr:cNvPr>
        <xdr:cNvSpPr/>
      </xdr:nvSpPr>
      <xdr:spPr>
        <a:xfrm>
          <a:off x="3724275" y="11641"/>
          <a:ext cx="120749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lang="en-US" sz="1100" b="1"/>
            <a:t>Camp List - Printable</a:t>
          </a:r>
        </a:p>
      </xdr:txBody>
    </xdr:sp>
    <xdr:clientData/>
  </xdr:twoCellAnchor>
  <xdr:twoCellAnchor>
    <xdr:from>
      <xdr:col>6</xdr:col>
      <xdr:colOff>229914</xdr:colOff>
      <xdr:row>0</xdr:row>
      <xdr:rowOff>21166</xdr:rowOff>
    </xdr:from>
    <xdr:to>
      <xdr:col>8</xdr:col>
      <xdr:colOff>176870</xdr:colOff>
      <xdr:row>0</xdr:row>
      <xdr:rowOff>381755</xdr:rowOff>
    </xdr:to>
    <xdr:sp macro="" textlink="">
      <xdr:nvSpPr>
        <xdr:cNvPr id="14" name="Rounded Rectangle 13">
          <a:hlinkClick xmlns:r="http://schemas.openxmlformats.org/officeDocument/2006/relationships" r:id="rId8"/>
        </xdr:cNvPr>
        <xdr:cNvSpPr/>
      </xdr:nvSpPr>
      <xdr:spPr>
        <a:xfrm>
          <a:off x="5449614" y="21166"/>
          <a:ext cx="1442381"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1009650</xdr:colOff>
      <xdr:row>1</xdr:row>
      <xdr:rowOff>333376</xdr:rowOff>
    </xdr:from>
    <xdr:to>
      <xdr:col>7</xdr:col>
      <xdr:colOff>428625</xdr:colOff>
      <xdr:row>2</xdr:row>
      <xdr:rowOff>295275</xdr:rowOff>
    </xdr:to>
    <xdr:grpSp>
      <xdr:nvGrpSpPr>
        <xdr:cNvPr id="2" name="Group 1"/>
        <xdr:cNvGrpSpPr/>
      </xdr:nvGrpSpPr>
      <xdr:grpSpPr>
        <a:xfrm>
          <a:off x="5740400" y="523876"/>
          <a:ext cx="3228975" cy="32173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599470</xdr:colOff>
      <xdr:row>0</xdr:row>
      <xdr:rowOff>21166</xdr:rowOff>
    </xdr:from>
    <xdr:to>
      <xdr:col>6</xdr:col>
      <xdr:colOff>382120</xdr:colOff>
      <xdr:row>1</xdr:row>
      <xdr:rowOff>755</xdr:rowOff>
    </xdr:to>
    <xdr:sp macro="" textlink="">
      <xdr:nvSpPr>
        <xdr:cNvPr id="5" name="Rounded Rectangle 4">
          <a:hlinkClick xmlns:r="http://schemas.openxmlformats.org/officeDocument/2006/relationships" r:id="rId3"/>
        </xdr:cNvPr>
        <xdr:cNvSpPr/>
      </xdr:nvSpPr>
      <xdr:spPr>
        <a:xfrm>
          <a:off x="6609745" y="21166"/>
          <a:ext cx="15828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0</xdr:col>
      <xdr:colOff>0</xdr:colOff>
      <xdr:row>0</xdr:row>
      <xdr:rowOff>33262</xdr:rowOff>
    </xdr:from>
    <xdr:to>
      <xdr:col>1</xdr:col>
      <xdr:colOff>687525</xdr:colOff>
      <xdr:row>0</xdr:row>
      <xdr:rowOff>393851</xdr:rowOff>
    </xdr:to>
    <xdr:sp macro="" textlink="">
      <xdr:nvSpPr>
        <xdr:cNvPr id="6" name="Rounded Rectangle 5">
          <a:hlinkClick xmlns:r="http://schemas.openxmlformats.org/officeDocument/2006/relationships" r:id="rId4"/>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822779</xdr:colOff>
      <xdr:row>0</xdr:row>
      <xdr:rowOff>21166</xdr:rowOff>
    </xdr:from>
    <xdr:to>
      <xdr:col>2</xdr:col>
      <xdr:colOff>1524000</xdr:colOff>
      <xdr:row>1</xdr:row>
      <xdr:rowOff>9525</xdr:rowOff>
    </xdr:to>
    <xdr:sp macro="" textlink="">
      <xdr:nvSpPr>
        <xdr:cNvPr id="7" name="Rounded Rectangle 6">
          <a:hlinkClick xmlns:r="http://schemas.openxmlformats.org/officeDocument/2006/relationships" r:id="rId5"/>
        </xdr:cNvPr>
        <xdr:cNvSpPr/>
      </xdr:nvSpPr>
      <xdr:spPr>
        <a:xfrm>
          <a:off x="1575254" y="21166"/>
          <a:ext cx="1548946" cy="17885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2</xdr:col>
      <xdr:colOff>1700843</xdr:colOff>
      <xdr:row>0</xdr:row>
      <xdr:rowOff>21166</xdr:rowOff>
    </xdr:from>
    <xdr:to>
      <xdr:col>3</xdr:col>
      <xdr:colOff>7118</xdr:colOff>
      <xdr:row>1</xdr:row>
      <xdr:rowOff>755</xdr:rowOff>
    </xdr:to>
    <xdr:sp macro="" textlink="">
      <xdr:nvSpPr>
        <xdr:cNvPr id="8" name="Rounded Rectangle 7">
          <a:hlinkClick xmlns:r="http://schemas.openxmlformats.org/officeDocument/2006/relationships" r:id="rId6"/>
        </xdr:cNvPr>
        <xdr:cNvSpPr/>
      </xdr:nvSpPr>
      <xdr:spPr>
        <a:xfrm>
          <a:off x="3301043" y="21166"/>
          <a:ext cx="1440000"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3</xdr:col>
      <xdr:colOff>178607</xdr:colOff>
      <xdr:row>0</xdr:row>
      <xdr:rowOff>21166</xdr:rowOff>
    </xdr:from>
    <xdr:to>
      <xdr:col>4</xdr:col>
      <xdr:colOff>408932</xdr:colOff>
      <xdr:row>1</xdr:row>
      <xdr:rowOff>755</xdr:rowOff>
    </xdr:to>
    <xdr:sp macro="" textlink="">
      <xdr:nvSpPr>
        <xdr:cNvPr id="9" name="Rounded Rectangle 8">
          <a:hlinkClick xmlns:r="http://schemas.openxmlformats.org/officeDocument/2006/relationships" r:id="rId7"/>
        </xdr:cNvPr>
        <xdr:cNvSpPr/>
      </xdr:nvSpPr>
      <xdr:spPr>
        <a:xfrm>
          <a:off x="4912532" y="21166"/>
          <a:ext cx="1506675" cy="1700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504825</xdr:colOff>
      <xdr:row>10</xdr:row>
      <xdr:rowOff>0</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104775</xdr:colOff>
      <xdr:row>5</xdr:row>
      <xdr:rowOff>41282</xdr:rowOff>
    </xdr:from>
    <xdr:to>
      <xdr:col>9</xdr:col>
      <xdr:colOff>85724</xdr:colOff>
      <xdr:row>10</xdr:row>
      <xdr:rowOff>9525</xdr:rowOff>
    </xdr:to>
    <xdr:grpSp>
      <xdr:nvGrpSpPr>
        <xdr:cNvPr id="2" name="Group 1"/>
        <xdr:cNvGrpSpPr/>
      </xdr:nvGrpSpPr>
      <xdr:grpSpPr>
        <a:xfrm>
          <a:off x="231775" y="1268949"/>
          <a:ext cx="5092699" cy="1037159"/>
          <a:chOff x="15065375" y="1682751"/>
          <a:chExt cx="3508375" cy="896015"/>
        </a:xfrm>
      </xdr:grpSpPr>
      <xdr:grpSp>
        <xdr:nvGrpSpPr>
          <xdr:cNvPr id="3" name="Group 2"/>
          <xdr:cNvGrpSpPr/>
        </xdr:nvGrpSpPr>
        <xdr:grpSpPr>
          <a:xfrm>
            <a:off x="15065376" y="2147039"/>
            <a:ext cx="3508374" cy="431727"/>
            <a:chOff x="3977473" y="11269983"/>
            <a:chExt cx="1965263" cy="24907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3"/>
              <a:ext cx="1202466"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Estimated</a:t>
              </a:r>
              <a:r>
                <a:rPr lang="en-GB" sz="1100" b="1" baseline="0">
                  <a:solidFill>
                    <a:schemeClr val="dk1"/>
                  </a:solidFill>
                  <a:effectLst/>
                  <a:latin typeface="+mn-lt"/>
                  <a:ea typeface="+mn-ea"/>
                  <a:cs typeface="Calibri" pitchFamily="34" charset="0"/>
                </a:rPr>
                <a:t> number of </a:t>
              </a:r>
              <a:r>
                <a:rPr lang="en-GB" sz="1100" b="1">
                  <a:solidFill>
                    <a:schemeClr val="dk1"/>
                  </a:solidFill>
                  <a:effectLst/>
                  <a:latin typeface="+mn-lt"/>
                  <a:ea typeface="+mn-ea"/>
                  <a:cs typeface="Calibri" pitchFamily="34" charset="0"/>
                </a:rPr>
                <a:t>IDPs</a:t>
              </a:r>
              <a:r>
                <a:rPr lang="en-GB" sz="1100" b="1" baseline="0">
                  <a:solidFill>
                    <a:schemeClr val="dk1"/>
                  </a:solidFill>
                  <a:effectLst/>
                  <a:latin typeface="+mn-lt"/>
                  <a:ea typeface="+mn-ea"/>
                  <a:cs typeface="Calibri" pitchFamily="34" charset="0"/>
                </a:rPr>
                <a:t> </a:t>
              </a:r>
              <a:endParaRPr lang="en-GB" sz="1100" b="1">
                <a:effectLst/>
                <a:latin typeface="+mn-lt"/>
                <a:cs typeface="Calibri" pitchFamily="34" charset="0"/>
              </a:endParaRPr>
            </a:p>
          </xdr:txBody>
        </xdr:sp>
        <xdr:sp macro="" textlink="$E$34">
          <xdr:nvSpPr>
            <xdr:cNvPr id="6" name="Rectangle 5"/>
            <xdr:cNvSpPr/>
          </xdr:nvSpPr>
          <xdr:spPr>
            <a:xfrm>
              <a:off x="5158544" y="11296634"/>
              <a:ext cx="78419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6EB59508-310A-4848-8A83-84EE70A9C7EB}" type="TxLink">
                <a:rPr lang="en-US" sz="1800" b="1">
                  <a:latin typeface="+mn-lt"/>
                </a:rPr>
                <a:pPr algn="ctr"/>
                <a:t> 97,640 </a:t>
              </a:fld>
              <a:endParaRPr lang="en-US" sz="1800" b="1">
                <a:latin typeface="+mn-lt"/>
              </a:endParaRPr>
            </a:p>
          </xdr:txBody>
        </xdr:sp>
      </xdr:grpSp>
      <xdr:grpSp>
        <xdr:nvGrpSpPr>
          <xdr:cNvPr id="15" name="Group 14"/>
          <xdr:cNvGrpSpPr/>
        </xdr:nvGrpSpPr>
        <xdr:grpSpPr>
          <a:xfrm>
            <a:off x="15065375" y="1682751"/>
            <a:ext cx="3499842" cy="476259"/>
            <a:chOff x="3977473" y="11269985"/>
            <a:chExt cx="1978388" cy="234969"/>
          </a:xfrm>
          <a:effectLst>
            <a:outerShdw blurRad="63500" sx="102000" sy="102000" algn="ctr" rotWithShape="0">
              <a:prstClr val="black">
                <a:alpha val="40000"/>
              </a:prstClr>
            </a:outerShdw>
          </a:effectLst>
        </xdr:grpSpPr>
        <xdr:sp macro="" textlink="$F$34">
          <xdr:nvSpPr>
            <xdr:cNvPr id="16" name="Rectangle 15"/>
            <xdr:cNvSpPr/>
          </xdr:nvSpPr>
          <xdr:spPr>
            <a:xfrm>
              <a:off x="5174156" y="11296623"/>
              <a:ext cx="78170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fld id="{90C0CD4D-F895-4D26-8AF1-0F097E483D17}" type="TxLink">
                <a:rPr lang="en-US" sz="1800" b="1">
                  <a:latin typeface="+mn-lt"/>
                </a:rPr>
                <a:pPr algn="ctr"/>
                <a:t> 172 </a:t>
              </a:fld>
              <a:endParaRPr lang="en-US" sz="1800" b="1">
                <a:latin typeface="+mn-lt"/>
              </a:endParaRPr>
            </a:p>
          </xdr:txBody>
        </xdr:sp>
        <xdr:sp macro="" textlink="">
          <xdr:nvSpPr>
            <xdr:cNvPr id="17" name="Rectangle 16"/>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8" name="TextBox 17"/>
            <xdr:cNvSpPr txBox="1"/>
          </xdr:nvSpPr>
          <xdr:spPr>
            <a:xfrm>
              <a:off x="3977473" y="11269985"/>
              <a:ext cx="1208678"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1100" b="1">
                  <a:solidFill>
                    <a:schemeClr val="dk1"/>
                  </a:solidFill>
                  <a:effectLst/>
                  <a:latin typeface="+mn-lt"/>
                  <a:ea typeface="+mn-ea"/>
                  <a:cs typeface="Calibri" pitchFamily="34" charset="0"/>
                </a:rPr>
                <a:t># of IDP</a:t>
              </a:r>
              <a:r>
                <a:rPr lang="en-GB" sz="1100" b="1" baseline="0">
                  <a:solidFill>
                    <a:schemeClr val="dk1"/>
                  </a:solidFill>
                  <a:effectLst/>
                  <a:latin typeface="+mn-lt"/>
                  <a:ea typeface="+mn-ea"/>
                  <a:cs typeface="Calibri" pitchFamily="34" charset="0"/>
                </a:rPr>
                <a:t> Locations</a:t>
              </a:r>
              <a:endParaRPr lang="en-GB" sz="1100" b="1">
                <a:solidFill>
                  <a:schemeClr val="dk1"/>
                </a:solidFill>
                <a:effectLst/>
                <a:latin typeface="+mn-lt"/>
                <a:ea typeface="+mn-ea"/>
                <a:cs typeface="Calibri" pitchFamily="34" charset="0"/>
              </a:endParaRPr>
            </a:p>
            <a:p>
              <a:r>
                <a:rPr lang="en-GB" sz="1100" b="1">
                  <a:solidFill>
                    <a:schemeClr val="dk1"/>
                  </a:solidFill>
                  <a:effectLst/>
                  <a:latin typeface="+mn-lt"/>
                  <a:ea typeface="+mn-ea"/>
                  <a:cs typeface="Calibri" pitchFamily="34" charset="0"/>
                </a:rPr>
                <a:t>(host families &amp; Camps)</a:t>
              </a:r>
              <a:endParaRPr lang="en-GB" sz="1100" b="1">
                <a:effectLst/>
                <a:latin typeface="+mn-lt"/>
                <a:cs typeface="Calibri" pitchFamily="34" charset="0"/>
              </a:endParaRPr>
            </a:p>
          </xdr:txBody>
        </xdr:sp>
      </xdr:grpSp>
    </xdr:grpSp>
    <xdr:clientData/>
  </xdr:twoCellAnchor>
  <xdr:twoCellAnchor>
    <xdr:from>
      <xdr:col>1</xdr:col>
      <xdr:colOff>106545</xdr:colOff>
      <xdr:row>41</xdr:row>
      <xdr:rowOff>48673</xdr:rowOff>
    </xdr:from>
    <xdr:to>
      <xdr:col>20</xdr:col>
      <xdr:colOff>21168</xdr:colOff>
      <xdr:row>43</xdr:row>
      <xdr:rowOff>76117</xdr:rowOff>
    </xdr:to>
    <xdr:grpSp>
      <xdr:nvGrpSpPr>
        <xdr:cNvPr id="11" name="Group 10"/>
        <xdr:cNvGrpSpPr/>
      </xdr:nvGrpSpPr>
      <xdr:grpSpPr>
        <a:xfrm>
          <a:off x="233545" y="9330256"/>
          <a:ext cx="10826040" cy="292028"/>
          <a:chOff x="3920" y="7462411"/>
          <a:chExt cx="8941594" cy="477310"/>
        </a:xfrm>
      </xdr:grpSpPr>
      <xdr:sp macro="" textlink="">
        <xdr:nvSpPr>
          <xdr:cNvPr id="13" name="Line 2"/>
          <xdr:cNvSpPr>
            <a:spLocks noChangeShapeType="1"/>
          </xdr:cNvSpPr>
        </xdr:nvSpPr>
        <xdr:spPr bwMode="auto">
          <a:xfrm>
            <a:off x="3920" y="7462411"/>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19" name="Group 18"/>
          <xdr:cNvGrpSpPr/>
        </xdr:nvGrpSpPr>
        <xdr:grpSpPr>
          <a:xfrm>
            <a:off x="29557" y="7485478"/>
            <a:ext cx="8847152" cy="454243"/>
            <a:chOff x="6097729" y="9161610"/>
            <a:chExt cx="7232549" cy="343954"/>
          </a:xfrm>
        </xdr:grpSpPr>
        <xdr:sp macro="" textlink="">
          <xdr:nvSpPr>
            <xdr:cNvPr id="20" name="TextBox 19"/>
            <xdr:cNvSpPr txBox="1"/>
          </xdr:nvSpPr>
          <xdr:spPr>
            <a:xfrm>
              <a:off x="6097729" y="9168683"/>
              <a:ext cx="4022110" cy="210430"/>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21" name="TextBox 20"/>
            <xdr:cNvSpPr txBox="1">
              <a:spLocks/>
            </xdr:cNvSpPr>
          </xdr:nvSpPr>
          <xdr:spPr>
            <a:xfrm>
              <a:off x="10114247" y="9161610"/>
              <a:ext cx="2285845" cy="343954"/>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22" name="TextBox 21"/>
            <xdr:cNvSpPr txBox="1"/>
          </xdr:nvSpPr>
          <xdr:spPr>
            <a:xfrm>
              <a:off x="12478336" y="9178273"/>
              <a:ext cx="851942" cy="324773"/>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9</xdr:col>
      <xdr:colOff>212725</xdr:colOff>
      <xdr:row>5</xdr:row>
      <xdr:rowOff>87313</xdr:rowOff>
    </xdr:from>
    <xdr:to>
      <xdr:col>13</xdr:col>
      <xdr:colOff>19049</xdr:colOff>
      <xdr:row>10</xdr:row>
      <xdr:rowOff>139700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380999</xdr:colOff>
      <xdr:row>3</xdr:row>
      <xdr:rowOff>111125</xdr:rowOff>
    </xdr:from>
    <xdr:to>
      <xdr:col>19</xdr:col>
      <xdr:colOff>327024</xdr:colOff>
      <xdr:row>4</xdr:row>
      <xdr:rowOff>120650</xdr:rowOff>
    </xdr:to>
    <xdr:grpSp>
      <xdr:nvGrpSpPr>
        <xdr:cNvPr id="223" name="Group 222"/>
        <xdr:cNvGrpSpPr/>
      </xdr:nvGrpSpPr>
      <xdr:grpSpPr>
        <a:xfrm>
          <a:off x="7186082" y="841375"/>
          <a:ext cx="3703109" cy="337608"/>
          <a:chOff x="6500812" y="317500"/>
          <a:chExt cx="6186806" cy="575469"/>
        </a:xfrm>
      </xdr:grpSpPr>
      <xdr:pic>
        <xdr:nvPicPr>
          <xdr:cNvPr id="224" name="Picture 223"/>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13</xdr:col>
      <xdr:colOff>186530</xdr:colOff>
      <xdr:row>29</xdr:row>
      <xdr:rowOff>201083</xdr:rowOff>
    </xdr:from>
    <xdr:to>
      <xdr:col>19</xdr:col>
      <xdr:colOff>298449</xdr:colOff>
      <xdr:row>40</xdr:row>
      <xdr:rowOff>10584</xdr:rowOff>
    </xdr:to>
    <xdr:sp macro="" textlink="">
      <xdr:nvSpPr>
        <xdr:cNvPr id="8" name="Rounded Rectangle 7"/>
        <xdr:cNvSpPr/>
      </xdr:nvSpPr>
      <xdr:spPr>
        <a:xfrm>
          <a:off x="7510197" y="6921500"/>
          <a:ext cx="3350419" cy="2338917"/>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Displacement started in June 2011 due to the fighting between the Government and the Kachin Independence Organization. The majority of IDPs live in camps along the Myanmar-China Border. Approximately 43% of IDPs live in camps in non-Government Controlled areas (NGCA).</a:t>
          </a:r>
          <a:endParaRPr lang="en-US" sz="1100">
            <a:solidFill>
              <a:schemeClr val="lt1"/>
            </a:solidFill>
            <a:effectLst/>
            <a:latin typeface="+mn-lt"/>
            <a:ea typeface="+mn-ea"/>
            <a:cs typeface="+mn-cs"/>
          </a:endParaRPr>
        </a:p>
      </xdr:txBody>
    </xdr:sp>
    <xdr:clientData/>
  </xdr:twoCellAnchor>
  <xdr:twoCellAnchor>
    <xdr:from>
      <xdr:col>7</xdr:col>
      <xdr:colOff>55959</xdr:colOff>
      <xdr:row>10</xdr:row>
      <xdr:rowOff>0</xdr:rowOff>
    </xdr:from>
    <xdr:to>
      <xdr:col>12</xdr:col>
      <xdr:colOff>391584</xdr:colOff>
      <xdr:row>23</xdr:row>
      <xdr:rowOff>63500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285145</xdr:colOff>
      <xdr:row>2</xdr:row>
      <xdr:rowOff>21166</xdr:rowOff>
    </xdr:from>
    <xdr:to>
      <xdr:col>17</xdr:col>
      <xdr:colOff>429745</xdr:colOff>
      <xdr:row>2</xdr:row>
      <xdr:rowOff>381755</xdr:rowOff>
    </xdr:to>
    <xdr:sp macro="" textlink="">
      <xdr:nvSpPr>
        <xdr:cNvPr id="27" name="Rounded Rectangle 26">
          <a:hlinkClick xmlns:r="http://schemas.openxmlformats.org/officeDocument/2006/relationships" r:id="rId5"/>
        </xdr:cNvPr>
        <xdr:cNvSpPr/>
      </xdr:nvSpPr>
      <xdr:spPr>
        <a:xfrm>
          <a:off x="7457470" y="21166"/>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a:t>
          </a:r>
          <a:r>
            <a:rPr lang="en-US" sz="1100" b="1" baseline="0"/>
            <a:t> Dashboard</a:t>
          </a:r>
          <a:endParaRPr lang="en-US" sz="1100" b="1"/>
        </a:p>
      </xdr:txBody>
    </xdr:sp>
    <xdr:clientData/>
  </xdr:twoCellAnchor>
  <xdr:twoCellAnchor>
    <xdr:from>
      <xdr:col>2</xdr:col>
      <xdr:colOff>0</xdr:colOff>
      <xdr:row>2</xdr:row>
      <xdr:rowOff>33262</xdr:rowOff>
    </xdr:from>
    <xdr:to>
      <xdr:col>4</xdr:col>
      <xdr:colOff>144600</xdr:colOff>
      <xdr:row>2</xdr:row>
      <xdr:rowOff>393851</xdr:rowOff>
    </xdr:to>
    <xdr:sp macro="" textlink="">
      <xdr:nvSpPr>
        <xdr:cNvPr id="28" name="Rounded Rectangle 27">
          <a:hlinkClick xmlns:r="http://schemas.openxmlformats.org/officeDocument/2006/relationships" r:id="rId6"/>
        </xdr:cNvPr>
        <xdr:cNvSpPr/>
      </xdr:nvSpPr>
      <xdr:spPr>
        <a:xfrm>
          <a:off x="0" y="33262"/>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537029</xdr:colOff>
      <xdr:row>2</xdr:row>
      <xdr:rowOff>21166</xdr:rowOff>
    </xdr:from>
    <xdr:to>
      <xdr:col>7</xdr:col>
      <xdr:colOff>395879</xdr:colOff>
      <xdr:row>2</xdr:row>
      <xdr:rowOff>381755</xdr:rowOff>
    </xdr:to>
    <xdr:sp macro="" textlink="">
      <xdr:nvSpPr>
        <xdr:cNvPr id="29" name="Rounded Rectangle 28">
          <a:hlinkClick xmlns:r="http://schemas.openxmlformats.org/officeDocument/2006/relationships" r:id="rId7"/>
        </xdr:cNvPr>
        <xdr:cNvSpPr/>
      </xdr:nvSpPr>
      <xdr:spPr>
        <a:xfrm>
          <a:off x="2070554" y="297391"/>
          <a:ext cx="12114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300668</xdr:colOff>
      <xdr:row>2</xdr:row>
      <xdr:rowOff>21166</xdr:rowOff>
    </xdr:from>
    <xdr:to>
      <xdr:col>11</xdr:col>
      <xdr:colOff>254768</xdr:colOff>
      <xdr:row>2</xdr:row>
      <xdr:rowOff>381755</xdr:rowOff>
    </xdr:to>
    <xdr:sp macro="" textlink="">
      <xdr:nvSpPr>
        <xdr:cNvPr id="32" name="Rounded Rectangle 31">
          <a:hlinkClick xmlns:r="http://schemas.openxmlformats.org/officeDocument/2006/relationships" r:id="rId8"/>
        </xdr:cNvPr>
        <xdr:cNvSpPr/>
      </xdr:nvSpPr>
      <xdr:spPr>
        <a:xfrm>
          <a:off x="3672518" y="297391"/>
          <a:ext cx="1449525"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 - Printable</a:t>
          </a:r>
        </a:p>
      </xdr:txBody>
    </xdr:sp>
    <xdr:clientData/>
  </xdr:twoCellAnchor>
  <xdr:twoCellAnchor>
    <xdr:from>
      <xdr:col>12</xdr:col>
      <xdr:colOff>150032</xdr:colOff>
      <xdr:row>2</xdr:row>
      <xdr:rowOff>21166</xdr:rowOff>
    </xdr:from>
    <xdr:to>
      <xdr:col>14</xdr:col>
      <xdr:colOff>427982</xdr:colOff>
      <xdr:row>2</xdr:row>
      <xdr:rowOff>381755</xdr:rowOff>
    </xdr:to>
    <xdr:sp macro="" textlink="">
      <xdr:nvSpPr>
        <xdr:cNvPr id="33" name="Rounded Rectangle 32">
          <a:hlinkClick xmlns:r="http://schemas.openxmlformats.org/officeDocument/2006/relationships" r:id="rId9"/>
        </xdr:cNvPr>
        <xdr:cNvSpPr/>
      </xdr:nvSpPr>
      <xdr:spPr>
        <a:xfrm>
          <a:off x="5531657" y="297391"/>
          <a:ext cx="1440000" cy="360589"/>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10</xdr:col>
      <xdr:colOff>151338</xdr:colOff>
      <xdr:row>29</xdr:row>
      <xdr:rowOff>211667</xdr:rowOff>
    </xdr:from>
    <xdr:to>
      <xdr:col>12</xdr:col>
      <xdr:colOff>494238</xdr:colOff>
      <xdr:row>40</xdr:row>
      <xdr:rowOff>31750</xdr:rowOff>
    </xdr:to>
    <xdr:sp macro="" textlink="">
      <xdr:nvSpPr>
        <xdr:cNvPr id="36" name="Rounded Rectangle 35"/>
        <xdr:cNvSpPr/>
      </xdr:nvSpPr>
      <xdr:spPr>
        <a:xfrm>
          <a:off x="5919255" y="6932084"/>
          <a:ext cx="1380066" cy="2349499"/>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a:t>
          </a:r>
          <a:r>
            <a:rPr lang="en-US" sz="1100" baseline="0">
              <a:solidFill>
                <a:sysClr val="windowText" lastClr="000000"/>
              </a:solidFill>
              <a:effectLst/>
              <a:latin typeface="+mn-lt"/>
              <a:ea typeface="+mn-ea"/>
              <a:cs typeface="+mn-cs"/>
            </a:rPr>
            <a:t> majority of IDP locations are in or near (less than 5km) urban areas.</a:t>
          </a:r>
          <a:endParaRPr lang="en-US" sz="1100">
            <a:solidFill>
              <a:sysClr val="windowText" lastClr="000000"/>
            </a:solidFill>
            <a:effectLst/>
            <a:latin typeface="+mn-lt"/>
            <a:ea typeface="+mn-ea"/>
            <a:cs typeface="+mn-cs"/>
          </a:endParaRPr>
        </a:p>
      </xdr:txBody>
    </xdr:sp>
    <xdr:clientData/>
  </xdr:twoCellAnchor>
  <xdr:twoCellAnchor>
    <xdr:from>
      <xdr:col>7</xdr:col>
      <xdr:colOff>4231</xdr:colOff>
      <xdr:row>28</xdr:row>
      <xdr:rowOff>117474</xdr:rowOff>
    </xdr:from>
    <xdr:to>
      <xdr:col>12</xdr:col>
      <xdr:colOff>504824</xdr:colOff>
      <xdr:row>29</xdr:row>
      <xdr:rowOff>117475</xdr:rowOff>
    </xdr:to>
    <xdr:sp macro="" textlink="">
      <xdr:nvSpPr>
        <xdr:cNvPr id="37" name="Rounded Rectangle 36"/>
        <xdr:cNvSpPr/>
      </xdr:nvSpPr>
      <xdr:spPr>
        <a:xfrm>
          <a:off x="3962398" y="6816724"/>
          <a:ext cx="3347509" cy="23283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Distance</a:t>
          </a:r>
          <a:r>
            <a:rPr lang="en-US" sz="900" b="1" baseline="0">
              <a:solidFill>
                <a:sysClr val="windowText" lastClr="000000"/>
              </a:solidFill>
              <a:effectLst/>
              <a:latin typeface="+mn-lt"/>
              <a:ea typeface="+mn-ea"/>
              <a:cs typeface="+mn-cs"/>
            </a:rPr>
            <a:t> to the nearest town</a:t>
          </a:r>
          <a:endParaRPr lang="en-US" sz="900" b="1">
            <a:solidFill>
              <a:sysClr val="windowText" lastClr="000000"/>
            </a:solidFill>
            <a:effectLst/>
            <a:latin typeface="+mn-lt"/>
            <a:ea typeface="+mn-ea"/>
            <a:cs typeface="+mn-cs"/>
          </a:endParaRPr>
        </a:p>
      </xdr:txBody>
    </xdr:sp>
    <xdr:clientData/>
  </xdr:twoCellAnchor>
  <xdr:twoCellAnchor>
    <xdr:from>
      <xdr:col>7</xdr:col>
      <xdr:colOff>84666</xdr:colOff>
      <xdr:row>10</xdr:row>
      <xdr:rowOff>66675</xdr:rowOff>
    </xdr:from>
    <xdr:to>
      <xdr:col>12</xdr:col>
      <xdr:colOff>381000</xdr:colOff>
      <xdr:row>11</xdr:row>
      <xdr:rowOff>104774</xdr:rowOff>
    </xdr:to>
    <xdr:sp macro="" textlink="">
      <xdr:nvSpPr>
        <xdr:cNvPr id="39" name="Rounded Rectangle 38"/>
        <xdr:cNvSpPr/>
      </xdr:nvSpPr>
      <xdr:spPr>
        <a:xfrm>
          <a:off x="4434416" y="2574925"/>
          <a:ext cx="2868084" cy="27093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 of camps by size of population in different townships</a:t>
          </a:r>
        </a:p>
      </xdr:txBody>
    </xdr:sp>
    <xdr:clientData/>
  </xdr:twoCellAnchor>
  <xdr:twoCellAnchor>
    <xdr:from>
      <xdr:col>7</xdr:col>
      <xdr:colOff>0</xdr:colOff>
      <xdr:row>23</xdr:row>
      <xdr:rowOff>171451</xdr:rowOff>
    </xdr:from>
    <xdr:to>
      <xdr:col>13</xdr:col>
      <xdr:colOff>0</xdr:colOff>
      <xdr:row>24</xdr:row>
      <xdr:rowOff>190499</xdr:rowOff>
    </xdr:to>
    <xdr:sp macro="" textlink="">
      <xdr:nvSpPr>
        <xdr:cNvPr id="40" name="Rounded Rectangle 39"/>
        <xdr:cNvSpPr/>
      </xdr:nvSpPr>
      <xdr:spPr>
        <a:xfrm>
          <a:off x="3958167" y="5706534"/>
          <a:ext cx="3365500" cy="251882"/>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ysClr val="windowText" lastClr="000000"/>
              </a:solidFill>
              <a:effectLst/>
              <a:latin typeface="+mn-lt"/>
              <a:ea typeface="+mn-ea"/>
              <a:cs typeface="+mn-cs"/>
            </a:rPr>
            <a:t>Size of Locations</a:t>
          </a:r>
        </a:p>
      </xdr:txBody>
    </xdr:sp>
    <xdr:clientData/>
  </xdr:twoCellAnchor>
  <xdr:twoCellAnchor>
    <xdr:from>
      <xdr:col>13</xdr:col>
      <xdr:colOff>105834</xdr:colOff>
      <xdr:row>5</xdr:row>
      <xdr:rowOff>76255</xdr:rowOff>
    </xdr:from>
    <xdr:to>
      <xdr:col>19</xdr:col>
      <xdr:colOff>285750</xdr:colOff>
      <xdr:row>6</xdr:row>
      <xdr:rowOff>71790</xdr:rowOff>
    </xdr:to>
    <xdr:sp macro="" textlink="">
      <xdr:nvSpPr>
        <xdr:cNvPr id="35" name="TextBox 1"/>
        <xdr:cNvSpPr txBox="1">
          <a:spLocks/>
        </xdr:cNvSpPr>
      </xdr:nvSpPr>
      <xdr:spPr>
        <a:xfrm>
          <a:off x="7545917" y="1462672"/>
          <a:ext cx="3418416" cy="450618"/>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000" b="1" baseline="0">
              <a:latin typeface="+mn-lt"/>
            </a:rPr>
            <a:t>Kachin and Northern Shan</a:t>
          </a:r>
        </a:p>
        <a:p>
          <a:pPr algn="ctr"/>
          <a:r>
            <a:rPr lang="en-GB" sz="1000" b="1" baseline="0">
              <a:latin typeface="+mn-lt"/>
            </a:rPr>
            <a:t># of IDPs by Towship</a:t>
          </a:r>
          <a:endParaRPr lang="en-GB" sz="1000" b="1">
            <a:latin typeface="+mn-lt"/>
          </a:endParaRPr>
        </a:p>
      </xdr:txBody>
    </xdr:sp>
    <xdr:clientData/>
  </xdr:twoCellAnchor>
  <xdr:twoCellAnchor editAs="oneCell">
    <xdr:from>
      <xdr:col>13</xdr:col>
      <xdr:colOff>52918</xdr:colOff>
      <xdr:row>6</xdr:row>
      <xdr:rowOff>158751</xdr:rowOff>
    </xdr:from>
    <xdr:to>
      <xdr:col>19</xdr:col>
      <xdr:colOff>462808</xdr:colOff>
      <xdr:row>29</xdr:row>
      <xdr:rowOff>59692</xdr:rowOff>
    </xdr:to>
    <xdr:pic>
      <xdr:nvPicPr>
        <xdr:cNvPr id="49" name="Picture 4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76585" y="2000251"/>
          <a:ext cx="3648390" cy="496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absSizeAnchor xmlns:cdr="http://schemas.openxmlformats.org/drawingml/2006/chartDrawing">
    <cdr:from>
      <cdr:x>0</cdr:x>
      <cdr:y>0.01286</cdr:y>
    </cdr:from>
    <cdr:ext cx="1891241" cy="88087"/>
    <cdr:sp macro="" textlink="">
      <cdr:nvSpPr>
        <cdr:cNvPr id="4" name="TextBox 3"/>
        <cdr:cNvSpPr txBox="1">
          <a:spLocks xmlns:a="http://schemas.openxmlformats.org/drawingml/2006/main"/>
        </cdr:cNvSpPr>
      </cdr:nvSpPr>
      <cdr:spPr>
        <a:xfrm xmlns:a="http://schemas.openxmlformats.org/drawingml/2006/main">
          <a:off x="0" y="15100"/>
          <a:ext cx="1891241" cy="8808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baseline="0">
              <a:latin typeface="Franklin Gothic Medium Cond" pitchFamily="34" charset="0"/>
            </a:rPr>
            <a:t>IDP Camp Sizes by %</a:t>
          </a:r>
          <a:endParaRPr lang="en-GB" sz="1000">
            <a:latin typeface="Franklin Gothic Medium Cond" pitchFamily="34" charset="0"/>
          </a:endParaRPr>
        </a:p>
      </cdr:txBody>
    </cdr:sp>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136525</xdr:colOff>
      <xdr:row>38</xdr:row>
      <xdr:rowOff>29333</xdr:rowOff>
    </xdr:to>
    <xdr:pic>
      <xdr:nvPicPr>
        <xdr:cNvPr id="9" name="Kachin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85000" cy="9078083"/>
        </a:xfrm>
        <a:prstGeom prst="rect">
          <a:avLst/>
        </a:prstGeom>
        <a:ln>
          <a:solidFill>
            <a:srgbClr val="C00000"/>
          </a:solidFill>
        </a:ln>
      </xdr:spPr>
    </xdr:pic>
    <xdr:clientData/>
  </xdr:twoCellAnchor>
  <xdr:twoCellAnchor>
    <xdr:from>
      <xdr:col>33</xdr:col>
      <xdr:colOff>752908</xdr:colOff>
      <xdr:row>0</xdr:row>
      <xdr:rowOff>132306</xdr:rowOff>
    </xdr:from>
    <xdr:to>
      <xdr:col>37</xdr:col>
      <xdr:colOff>326930</xdr:colOff>
      <xdr:row>6</xdr:row>
      <xdr:rowOff>4045</xdr:rowOff>
    </xdr:to>
    <xdr:grpSp>
      <xdr:nvGrpSpPr>
        <xdr:cNvPr id="3" name="Group 2"/>
        <xdr:cNvGrpSpPr/>
      </xdr:nvGrpSpPr>
      <xdr:grpSpPr>
        <a:xfrm>
          <a:off x="26660908" y="132306"/>
          <a:ext cx="3536422" cy="133477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8" name="TextBox 7"/>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133350</xdr:rowOff>
        </xdr:from>
        <xdr:to>
          <xdr:col>18</xdr:col>
          <xdr:colOff>1419225</xdr:colOff>
          <xdr:row>5</xdr:row>
          <xdr:rowOff>47625</xdr:rowOff>
        </xdr:to>
        <xdr:sp macro="" textlink="">
          <xdr:nvSpPr>
            <xdr:cNvPr id="64513" name="CommandButton1" hidden="1">
              <a:extLst>
                <a:ext uri="{63B3BB69-23CF-44E3-9099-C40C66FF867C}">
                  <a14:compatExt spid="_x0000_s6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881413</xdr:colOff>
      <xdr:row>24</xdr:row>
      <xdr:rowOff>26908</xdr:rowOff>
    </xdr:from>
    <xdr:to>
      <xdr:col>18</xdr:col>
      <xdr:colOff>2151413</xdr:colOff>
      <xdr:row>25</xdr:row>
      <xdr:rowOff>169783</xdr:rowOff>
    </xdr:to>
    <xdr:grpSp>
      <xdr:nvGrpSpPr>
        <xdr:cNvPr id="10" name="Location"/>
        <xdr:cNvGrpSpPr/>
      </xdr:nvGrpSpPr>
      <xdr:grpSpPr>
        <a:xfrm>
          <a:off x="10177813" y="5879068"/>
          <a:ext cx="1270000" cy="386715"/>
          <a:chOff x="12380951" y="1905577"/>
          <a:chExt cx="1893717" cy="1135005"/>
        </a:xfrm>
      </xdr:grpSpPr>
      <xdr:sp macro="" textlink="">
        <xdr:nvSpPr>
          <xdr:cNvPr id="11"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2" name="Pop"/>
          <xdr:cNvSpPr txBox="1"/>
        </xdr:nvSpPr>
        <xdr:spPr>
          <a:xfrm>
            <a:off x="12959414" y="2665372"/>
            <a:ext cx="708965" cy="366811"/>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3" name="N_Camp"/>
          <xdr:cNvSpPr txBox="1"/>
        </xdr:nvSpPr>
        <xdr:spPr>
          <a:xfrm>
            <a:off x="13337143" y="2673771"/>
            <a:ext cx="836058" cy="36681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4" name="Site"/>
          <xdr:cNvSpPr txBox="1"/>
        </xdr:nvSpPr>
        <xdr:spPr>
          <a:xfrm>
            <a:off x="12380951" y="1905577"/>
            <a:ext cx="1893717" cy="54041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5" name="Cluster"/>
          <xdr:cNvGrpSpPr/>
        </xdr:nvGrpSpPr>
        <xdr:grpSpPr>
          <a:xfrm>
            <a:off x="12477748" y="2348604"/>
            <a:ext cx="1732609" cy="380242"/>
            <a:chOff x="12477748" y="2348604"/>
            <a:chExt cx="1732609" cy="380242"/>
          </a:xfrm>
        </xdr:grpSpPr>
        <xdr:grpSp>
          <xdr:nvGrpSpPr>
            <xdr:cNvPr id="16" name="Shelter_G"/>
            <xdr:cNvGrpSpPr/>
          </xdr:nvGrpSpPr>
          <xdr:grpSpPr>
            <a:xfrm>
              <a:off x="12477748" y="2367654"/>
              <a:ext cx="332972" cy="361192"/>
              <a:chOff x="8585625" y="4782769"/>
              <a:chExt cx="147154" cy="166659"/>
            </a:xfrm>
          </xdr:grpSpPr>
          <xdr:pic>
            <xdr:nvPicPr>
              <xdr:cNvPr id="20"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1"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7" name="NFI_G"/>
            <xdr:cNvGrpSpPr/>
          </xdr:nvGrpSpPr>
          <xdr:grpSpPr>
            <a:xfrm>
              <a:off x="13877376" y="2348604"/>
              <a:ext cx="332981" cy="361192"/>
              <a:chOff x="8250078" y="5375644"/>
              <a:chExt cx="147158" cy="166659"/>
            </a:xfrm>
          </xdr:grpSpPr>
          <xdr:pic>
            <xdr:nvPicPr>
              <xdr:cNvPr id="18"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9"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170393</xdr:colOff>
      <xdr:row>0</xdr:row>
      <xdr:rowOff>154517</xdr:rowOff>
    </xdr:from>
    <xdr:to>
      <xdr:col>2</xdr:col>
      <xdr:colOff>513293</xdr:colOff>
      <xdr:row>6</xdr:row>
      <xdr:rowOff>87842</xdr:rowOff>
    </xdr:to>
    <xdr:grpSp>
      <xdr:nvGrpSpPr>
        <xdr:cNvPr id="7" name="Group 6"/>
        <xdr:cNvGrpSpPr/>
      </xdr:nvGrpSpPr>
      <xdr:grpSpPr>
        <a:xfrm>
          <a:off x="170393" y="154517"/>
          <a:ext cx="2065020" cy="1396365"/>
          <a:chOff x="8172450" y="9248775"/>
          <a:chExt cx="2009775" cy="1362075"/>
        </a:xfrm>
      </xdr:grpSpPr>
      <xdr:sp macro="" textlink="">
        <xdr:nvSpPr>
          <xdr:cNvPr id="2" name="Rounded Rectangle 1"/>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705"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6"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707"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4514" name="Label 2" hidden="1">
                <a:extLst>
                  <a:ext uri="{63B3BB69-23CF-44E3-9099-C40C66FF867C}">
                    <a14:compatExt spid="_x0000_s64514"/>
                  </a:ext>
                </a:extLst>
              </xdr:cNvPr>
              <xdr:cNvSpPr/>
            </xdr:nvSpPr>
            <xdr:spPr bwMode="auto">
              <a:xfrm>
                <a:off x="8286750"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5" name="Label 3" hidden="1">
                <a:extLst>
                  <a:ext uri="{63B3BB69-23CF-44E3-9099-C40C66FF867C}">
                    <a14:compatExt spid="_x0000_s64515"/>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6" name="Label 4" hidden="1">
                <a:extLst>
                  <a:ext uri="{63B3BB69-23CF-44E3-9099-C40C66FF867C}">
                    <a14:compatExt spid="_x0000_s64516"/>
                  </a:ext>
                </a:extLst>
              </xdr:cNvPr>
              <xdr:cNvSpPr/>
            </xdr:nvSpPr>
            <xdr:spPr bwMode="auto">
              <a:xfrm>
                <a:off x="9553575" y="1032510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4518" name="Label 6" hidden="1">
                <a:extLst>
                  <a:ext uri="{63B3BB69-23CF-44E3-9099-C40C66FF867C}">
                    <a14:compatExt spid="_x0000_s64518"/>
                  </a:ext>
                </a:extLst>
              </xdr:cNvPr>
              <xdr:cNvSpPr/>
            </xdr:nvSpPr>
            <xdr:spPr bwMode="auto">
              <a:xfrm>
                <a:off x="8696325" y="9334500"/>
                <a:ext cx="9334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xdr:twoCellAnchor>
    <xdr:from>
      <xdr:col>3</xdr:col>
      <xdr:colOff>60325</xdr:colOff>
      <xdr:row>26</xdr:row>
      <xdr:rowOff>102235</xdr:rowOff>
    </xdr:from>
    <xdr:to>
      <xdr:col>5</xdr:col>
      <xdr:colOff>120650</xdr:colOff>
      <xdr:row>29</xdr:row>
      <xdr:rowOff>158426</xdr:rowOff>
    </xdr:to>
    <xdr:grpSp>
      <xdr:nvGrpSpPr>
        <xdr:cNvPr id="294" name="Bhamo_G"/>
        <xdr:cNvGrpSpPr/>
      </xdr:nvGrpSpPr>
      <xdr:grpSpPr>
        <a:xfrm>
          <a:off x="2376805" y="6442075"/>
          <a:ext cx="1310005" cy="787711"/>
          <a:chOff x="12380951" y="1658202"/>
          <a:chExt cx="1893717" cy="2381154"/>
        </a:xfrm>
      </xdr:grpSpPr>
      <xdr:sp macro="" textlink="">
        <xdr:nvSpPr>
          <xdr:cNvPr id="295" name="Oval"/>
          <xdr:cNvSpPr/>
        </xdr:nvSpPr>
        <xdr:spPr>
          <a:xfrm>
            <a:off x="13054955" y="2287380"/>
            <a:ext cx="545709" cy="112279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3">
        <xdr:nvSpPr>
          <xdr:cNvPr id="296"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273BA99-35D0-4BB9-8F42-CC06738440FC}"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8,184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297"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C42A23B-2DF2-4863-8133-53944486F123}" type="TxLink">
              <a:rPr lang="en-US" sz="1600" b="0" i="0" u="none" strike="noStrike">
                <a:solidFill>
                  <a:srgbClr val="000000"/>
                </a:solidFill>
                <a:latin typeface="Calibri"/>
                <a:cs typeface="Arial" pitchFamily="34" charset="0"/>
              </a:rPr>
              <a:pPr algn="r"/>
              <a:t>11 cps</a:t>
            </a:fld>
            <a:endParaRPr lang="en-US" sz="600" i="1">
              <a:solidFill>
                <a:schemeClr val="tx1"/>
              </a:solidFill>
              <a:latin typeface="Arial" pitchFamily="34" charset="0"/>
              <a:cs typeface="Arial" pitchFamily="34" charset="0"/>
            </a:endParaRPr>
          </a:p>
        </xdr:txBody>
      </xdr:sp>
      <xdr:sp macro="" textlink="U3">
        <xdr:nvSpPr>
          <xdr:cNvPr id="29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799850D-7B89-4F18-806B-B80FE2056D55}"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Bhamo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99" name="Cluster"/>
          <xdr:cNvGrpSpPr/>
        </xdr:nvGrpSpPr>
        <xdr:grpSpPr>
          <a:xfrm>
            <a:off x="12477748" y="2348604"/>
            <a:ext cx="1732609" cy="380242"/>
            <a:chOff x="12477748" y="2348604"/>
            <a:chExt cx="1732609" cy="380242"/>
          </a:xfrm>
        </xdr:grpSpPr>
        <xdr:grpSp>
          <xdr:nvGrpSpPr>
            <xdr:cNvPr id="300" name="Shelter_G"/>
            <xdr:cNvGrpSpPr/>
          </xdr:nvGrpSpPr>
          <xdr:grpSpPr>
            <a:xfrm>
              <a:off x="12477748" y="2367654"/>
              <a:ext cx="332972" cy="361192"/>
              <a:chOff x="8585625" y="4782769"/>
              <a:chExt cx="147154" cy="166659"/>
            </a:xfrm>
          </xdr:grpSpPr>
          <xdr:pic>
            <xdr:nvPicPr>
              <xdr:cNvPr id="30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0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01" name="NFI_G"/>
            <xdr:cNvGrpSpPr/>
          </xdr:nvGrpSpPr>
          <xdr:grpSpPr>
            <a:xfrm>
              <a:off x="13877376" y="2348604"/>
              <a:ext cx="332981" cy="361192"/>
              <a:chOff x="8250078" y="5375644"/>
              <a:chExt cx="147158" cy="166659"/>
            </a:xfrm>
          </xdr:grpSpPr>
          <xdr:pic>
            <xdr:nvPicPr>
              <xdr:cNvPr id="30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0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184150</xdr:colOff>
      <xdr:row>15</xdr:row>
      <xdr:rowOff>54610</xdr:rowOff>
    </xdr:from>
    <xdr:to>
      <xdr:col>8</xdr:col>
      <xdr:colOff>339725</xdr:colOff>
      <xdr:row>18</xdr:row>
      <xdr:rowOff>110801</xdr:rowOff>
    </xdr:to>
    <xdr:grpSp>
      <xdr:nvGrpSpPr>
        <xdr:cNvPr id="306" name="Chipwi_G"/>
        <xdr:cNvGrpSpPr/>
      </xdr:nvGrpSpPr>
      <xdr:grpSpPr>
        <a:xfrm>
          <a:off x="4436110" y="3712210"/>
          <a:ext cx="1298575" cy="787711"/>
          <a:chOff x="12380951" y="1658202"/>
          <a:chExt cx="1893717" cy="2381154"/>
        </a:xfrm>
      </xdr:grpSpPr>
      <xdr:sp macro="" textlink="">
        <xdr:nvSpPr>
          <xdr:cNvPr id="307" name="Oval"/>
          <xdr:cNvSpPr/>
        </xdr:nvSpPr>
        <xdr:spPr>
          <a:xfrm>
            <a:off x="13176636" y="2537739"/>
            <a:ext cx="302349" cy="62208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4">
        <xdr:nvSpPr>
          <xdr:cNvPr id="308" name="Pop" hidden="1"/>
          <xdr:cNvSpPr txBox="1"/>
        </xdr:nvSpPr>
        <xdr:spPr>
          <a:xfrm>
            <a:off x="12959413" y="1658202"/>
            <a:ext cx="708965"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78EA4B-D679-4915-AB8F-5A3D0489AE74}"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2,609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309" name="N_Camp" hidden="1"/>
          <xdr:cNvSpPr txBox="1"/>
        </xdr:nvSpPr>
        <xdr:spPr>
          <a:xfrm>
            <a:off x="13337142" y="2423689"/>
            <a:ext cx="83605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F36904A-63C6-4AA7-B666-E490224A523D}"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4">
        <xdr:nvSpPr>
          <xdr:cNvPr id="31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D6F3DDB-E7D0-4E0D-A69C-AD2A728D88CF}"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Chipwi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11" name="Cluster"/>
          <xdr:cNvGrpSpPr/>
        </xdr:nvGrpSpPr>
        <xdr:grpSpPr>
          <a:xfrm>
            <a:off x="12477748" y="2348604"/>
            <a:ext cx="1732609" cy="380242"/>
            <a:chOff x="12477748" y="2348604"/>
            <a:chExt cx="1732609" cy="380242"/>
          </a:xfrm>
        </xdr:grpSpPr>
        <xdr:grpSp>
          <xdr:nvGrpSpPr>
            <xdr:cNvPr id="312" name="Shelter_G"/>
            <xdr:cNvGrpSpPr/>
          </xdr:nvGrpSpPr>
          <xdr:grpSpPr>
            <a:xfrm>
              <a:off x="12477748" y="2367654"/>
              <a:ext cx="332972" cy="361192"/>
              <a:chOff x="8585625" y="4782769"/>
              <a:chExt cx="147154" cy="166659"/>
            </a:xfrm>
          </xdr:grpSpPr>
          <xdr:pic>
            <xdr:nvPicPr>
              <xdr:cNvPr id="31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1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13" name="NFI_G"/>
            <xdr:cNvGrpSpPr/>
          </xdr:nvGrpSpPr>
          <xdr:grpSpPr>
            <a:xfrm>
              <a:off x="13877376" y="2348604"/>
              <a:ext cx="332981" cy="361192"/>
              <a:chOff x="8250078" y="5375644"/>
              <a:chExt cx="147158" cy="166659"/>
            </a:xfrm>
          </xdr:grpSpPr>
          <xdr:pic>
            <xdr:nvPicPr>
              <xdr:cNvPr id="31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1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15</xdr:row>
      <xdr:rowOff>80010</xdr:rowOff>
    </xdr:from>
    <xdr:to>
      <xdr:col>3</xdr:col>
      <xdr:colOff>88900</xdr:colOff>
      <xdr:row>18</xdr:row>
      <xdr:rowOff>136201</xdr:rowOff>
    </xdr:to>
    <xdr:grpSp>
      <xdr:nvGrpSpPr>
        <xdr:cNvPr id="318" name="Hpakant_G"/>
        <xdr:cNvGrpSpPr/>
      </xdr:nvGrpSpPr>
      <xdr:grpSpPr>
        <a:xfrm>
          <a:off x="1087755" y="3737610"/>
          <a:ext cx="1317625" cy="787711"/>
          <a:chOff x="12380951" y="1658202"/>
          <a:chExt cx="1893717" cy="2381154"/>
        </a:xfrm>
      </xdr:grpSpPr>
      <xdr:sp macro="" textlink="">
        <xdr:nvSpPr>
          <xdr:cNvPr id="319" name="Oval"/>
          <xdr:cNvSpPr/>
        </xdr:nvSpPr>
        <xdr:spPr>
          <a:xfrm>
            <a:off x="13148668" y="2480197"/>
            <a:ext cx="358282" cy="7371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5">
        <xdr:nvSpPr>
          <xdr:cNvPr id="320" name="Pop" hidden="1"/>
          <xdr:cNvSpPr txBox="1"/>
        </xdr:nvSpPr>
        <xdr:spPr>
          <a:xfrm>
            <a:off x="12959413"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E2ADA57-BD98-4C51-952F-15622A29B7C5}"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3,482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32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666F59-CCC9-4969-A589-D8EDCA998D08}" type="TxLink">
              <a:rPr lang="en-US" sz="1600" b="0" i="0" u="none" strike="noStrike">
                <a:solidFill>
                  <a:srgbClr val="000000"/>
                </a:solidFill>
                <a:latin typeface="Calibri"/>
                <a:cs typeface="Arial" pitchFamily="34" charset="0"/>
              </a:rPr>
              <a:pPr algn="r"/>
              <a:t>20 cps</a:t>
            </a:fld>
            <a:endParaRPr lang="en-US" sz="600" i="1">
              <a:solidFill>
                <a:schemeClr val="tx1"/>
              </a:solidFill>
              <a:latin typeface="Arial" pitchFamily="34" charset="0"/>
              <a:cs typeface="Arial" pitchFamily="34" charset="0"/>
            </a:endParaRPr>
          </a:p>
        </xdr:txBody>
      </xdr:sp>
      <xdr:sp macro="" textlink="U5">
        <xdr:nvSpPr>
          <xdr:cNvPr id="32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981D535-3090-48D8-8735-6310CA7A62FC}"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Hpakant</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23" name="Cluster"/>
          <xdr:cNvGrpSpPr/>
        </xdr:nvGrpSpPr>
        <xdr:grpSpPr>
          <a:xfrm>
            <a:off x="12477748" y="2348604"/>
            <a:ext cx="1732609" cy="380242"/>
            <a:chOff x="12477748" y="2348604"/>
            <a:chExt cx="1732609" cy="380242"/>
          </a:xfrm>
        </xdr:grpSpPr>
        <xdr:grpSp>
          <xdr:nvGrpSpPr>
            <xdr:cNvPr id="324" name="Shelter_G"/>
            <xdr:cNvGrpSpPr/>
          </xdr:nvGrpSpPr>
          <xdr:grpSpPr>
            <a:xfrm>
              <a:off x="12477748" y="2367654"/>
              <a:ext cx="332972" cy="361192"/>
              <a:chOff x="8585625" y="4782769"/>
              <a:chExt cx="147154" cy="166659"/>
            </a:xfrm>
          </xdr:grpSpPr>
          <xdr:pic>
            <xdr:nvPicPr>
              <xdr:cNvPr id="32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2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25" name="NFI_G"/>
            <xdr:cNvGrpSpPr/>
          </xdr:nvGrpSpPr>
          <xdr:grpSpPr>
            <a:xfrm>
              <a:off x="13877376" y="2348604"/>
              <a:ext cx="332981" cy="361192"/>
              <a:chOff x="8250078" y="5375644"/>
              <a:chExt cx="147158" cy="166659"/>
            </a:xfrm>
          </xdr:grpSpPr>
          <xdr:pic>
            <xdr:nvPicPr>
              <xdr:cNvPr id="32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2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33</xdr:row>
      <xdr:rowOff>130175</xdr:rowOff>
    </xdr:from>
    <xdr:to>
      <xdr:col>7</xdr:col>
      <xdr:colOff>533400</xdr:colOff>
      <xdr:row>36</xdr:row>
      <xdr:rowOff>34692</xdr:rowOff>
    </xdr:to>
    <xdr:grpSp>
      <xdr:nvGrpSpPr>
        <xdr:cNvPr id="330" name="Hseni_G"/>
        <xdr:cNvGrpSpPr/>
      </xdr:nvGrpSpPr>
      <xdr:grpSpPr>
        <a:xfrm>
          <a:off x="4039235" y="8176895"/>
          <a:ext cx="1310005" cy="636037"/>
          <a:chOff x="12380951" y="1748589"/>
          <a:chExt cx="1893717" cy="1900439"/>
        </a:xfrm>
      </xdr:grpSpPr>
      <xdr:sp macro="" textlink="">
        <xdr:nvSpPr>
          <xdr:cNvPr id="331" name="Oval"/>
          <xdr:cNvSpPr/>
        </xdr:nvSpPr>
        <xdr:spPr>
          <a:xfrm>
            <a:off x="13256163" y="2552372"/>
            <a:ext cx="143293" cy="2928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6">
        <xdr:nvSpPr>
          <xdr:cNvPr id="332"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FA05A17-44EA-4A65-984E-CFCA4E4E723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669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333"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98AC4AF-437C-41AF-8C64-E5C8A980E40F}"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6">
        <xdr:nvSpPr>
          <xdr:cNvPr id="334"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E3BB1E8-7AF1-4E4B-8A50-705FC252EE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Hseni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35" name="Cluster"/>
          <xdr:cNvGrpSpPr/>
        </xdr:nvGrpSpPr>
        <xdr:grpSpPr>
          <a:xfrm>
            <a:off x="12477748" y="2348604"/>
            <a:ext cx="1732609" cy="380242"/>
            <a:chOff x="12477748" y="2348604"/>
            <a:chExt cx="1732609" cy="380242"/>
          </a:xfrm>
        </xdr:grpSpPr>
        <xdr:grpSp>
          <xdr:nvGrpSpPr>
            <xdr:cNvPr id="336" name="Shelter_G"/>
            <xdr:cNvGrpSpPr/>
          </xdr:nvGrpSpPr>
          <xdr:grpSpPr>
            <a:xfrm>
              <a:off x="12477748" y="2367654"/>
              <a:ext cx="332972" cy="361192"/>
              <a:chOff x="8585625" y="4782769"/>
              <a:chExt cx="147154" cy="166659"/>
            </a:xfrm>
          </xdr:grpSpPr>
          <xdr:pic>
            <xdr:nvPicPr>
              <xdr:cNvPr id="34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4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37" name="NFI_G"/>
            <xdr:cNvGrpSpPr/>
          </xdr:nvGrpSpPr>
          <xdr:grpSpPr>
            <a:xfrm>
              <a:off x="13877376" y="2348604"/>
              <a:ext cx="332981" cy="361192"/>
              <a:chOff x="8250078" y="5375644"/>
              <a:chExt cx="147158" cy="166659"/>
            </a:xfrm>
          </xdr:grpSpPr>
          <xdr:pic>
            <xdr:nvPicPr>
              <xdr:cNvPr id="33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3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130175</xdr:colOff>
      <xdr:row>13</xdr:row>
      <xdr:rowOff>13756</xdr:rowOff>
    </xdr:from>
    <xdr:to>
      <xdr:col>7</xdr:col>
      <xdr:colOff>190500</xdr:colOff>
      <xdr:row>15</xdr:row>
      <xdr:rowOff>38231</xdr:rowOff>
    </xdr:to>
    <xdr:grpSp>
      <xdr:nvGrpSpPr>
        <xdr:cNvPr id="342" name="Injangyang_G"/>
        <xdr:cNvGrpSpPr/>
      </xdr:nvGrpSpPr>
      <xdr:grpSpPr>
        <a:xfrm>
          <a:off x="3696335" y="3183676"/>
          <a:ext cx="1310005" cy="512155"/>
          <a:chOff x="12380951" y="1742182"/>
          <a:chExt cx="1893717" cy="1548606"/>
        </a:xfrm>
      </xdr:grpSpPr>
      <xdr:sp macro="" textlink="">
        <xdr:nvSpPr>
          <xdr:cNvPr id="343" name="Oval"/>
          <xdr:cNvSpPr/>
        </xdr:nvSpPr>
        <xdr:spPr>
          <a:xfrm>
            <a:off x="13327810" y="2516484"/>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7">
        <xdr:nvSpPr>
          <xdr:cNvPr id="344" name="Pop" hidden="1"/>
          <xdr:cNvSpPr txBox="1"/>
        </xdr:nvSpPr>
        <xdr:spPr>
          <a:xfrm>
            <a:off x="12959414" y="2415174"/>
            <a:ext cx="708964" cy="86721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E154C8BB-DB81-4D26-9446-29926BA608BD}"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345" name="N_Camp" hidden="1"/>
          <xdr:cNvSpPr txBox="1"/>
        </xdr:nvSpPr>
        <xdr:spPr>
          <a:xfrm>
            <a:off x="13337141" y="2423574"/>
            <a:ext cx="836058"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5704D7C-F784-4D49-8B35-70ECAD78DDC8}" type="TxLink">
              <a:rPr lang="en-US" sz="1600" b="0" i="0" u="none" strike="noStrike">
                <a:solidFill>
                  <a:srgbClr val="000000"/>
                </a:solidFill>
                <a:latin typeface="Calibri"/>
                <a:cs typeface="Arial" pitchFamily="34" charset="0"/>
              </a:rPr>
              <a:pPr algn="r"/>
              <a:t>0 cp</a:t>
            </a:fld>
            <a:endParaRPr lang="en-US" sz="600" i="1">
              <a:solidFill>
                <a:schemeClr val="tx1"/>
              </a:solidFill>
              <a:latin typeface="Arial" pitchFamily="34" charset="0"/>
              <a:cs typeface="Arial" pitchFamily="34" charset="0"/>
            </a:endParaRPr>
          </a:p>
        </xdr:txBody>
      </xdr:sp>
      <xdr:sp macro="" textlink="U7">
        <xdr:nvSpPr>
          <xdr:cNvPr id="346" name="Site"/>
          <xdr:cNvSpPr txBox="1"/>
        </xdr:nvSpPr>
        <xdr:spPr>
          <a:xfrm>
            <a:off x="12380951" y="1742182"/>
            <a:ext cx="1893717" cy="867214"/>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2DAE86-425B-4532-8937-40A0EC43A1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Injangyang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47" name="Cluster"/>
          <xdr:cNvGrpSpPr/>
        </xdr:nvGrpSpPr>
        <xdr:grpSpPr>
          <a:xfrm>
            <a:off x="12477748" y="2348604"/>
            <a:ext cx="1732609" cy="380242"/>
            <a:chOff x="12477748" y="2348604"/>
            <a:chExt cx="1732609" cy="380242"/>
          </a:xfrm>
        </xdr:grpSpPr>
        <xdr:grpSp>
          <xdr:nvGrpSpPr>
            <xdr:cNvPr id="348" name="Shelter_G"/>
            <xdr:cNvGrpSpPr/>
          </xdr:nvGrpSpPr>
          <xdr:grpSpPr>
            <a:xfrm>
              <a:off x="12477748" y="2367654"/>
              <a:ext cx="332972" cy="361192"/>
              <a:chOff x="8585625" y="4782769"/>
              <a:chExt cx="147154" cy="166659"/>
            </a:xfrm>
          </xdr:grpSpPr>
          <xdr:pic>
            <xdr:nvPicPr>
              <xdr:cNvPr id="35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5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49" name="NFI_G"/>
            <xdr:cNvGrpSpPr/>
          </xdr:nvGrpSpPr>
          <xdr:grpSpPr>
            <a:xfrm>
              <a:off x="13877376" y="2348604"/>
              <a:ext cx="332981" cy="361192"/>
              <a:chOff x="8250078" y="5375644"/>
              <a:chExt cx="147158" cy="166659"/>
            </a:xfrm>
          </xdr:grpSpPr>
          <xdr:pic>
            <xdr:nvPicPr>
              <xdr:cNvPr id="35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5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6</xdr:col>
      <xdr:colOff>237490</xdr:colOff>
      <xdr:row>7</xdr:row>
      <xdr:rowOff>32202</xdr:rowOff>
    </xdr:from>
    <xdr:to>
      <xdr:col>8</xdr:col>
      <xdr:colOff>374015</xdr:colOff>
      <xdr:row>9</xdr:row>
      <xdr:rowOff>181885</xdr:rowOff>
    </xdr:to>
    <xdr:grpSp>
      <xdr:nvGrpSpPr>
        <xdr:cNvPr id="354" name="Khaunglanhpu_G"/>
        <xdr:cNvGrpSpPr/>
      </xdr:nvGrpSpPr>
      <xdr:grpSpPr>
        <a:xfrm>
          <a:off x="4489450" y="1739082"/>
          <a:ext cx="1279525" cy="637363"/>
          <a:chOff x="12380951" y="1363461"/>
          <a:chExt cx="1893717" cy="1927365"/>
        </a:xfrm>
      </xdr:grpSpPr>
      <xdr:sp macro="" textlink="">
        <xdr:nvSpPr>
          <xdr:cNvPr id="355" name="Oval"/>
          <xdr:cNvSpPr/>
        </xdr:nvSpPr>
        <xdr:spPr>
          <a:xfrm>
            <a:off x="13315371" y="2304143"/>
            <a:ext cx="24878" cy="5163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8">
        <xdr:nvSpPr>
          <xdr:cNvPr id="356" name="Pop" hidden="1"/>
          <xdr:cNvSpPr txBox="1"/>
        </xdr:nvSpPr>
        <xdr:spPr>
          <a:xfrm>
            <a:off x="12959414" y="2415133"/>
            <a:ext cx="708964" cy="86728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209EFBD-2612-4A2A-93E7-81A834783C73}"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357" name="N_Camp" hidden="1"/>
          <xdr:cNvSpPr txBox="1"/>
        </xdr:nvSpPr>
        <xdr:spPr>
          <a:xfrm>
            <a:off x="13337142" y="2423537"/>
            <a:ext cx="836058" cy="86728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E3D3C4E-8817-4DE6-B09A-9206B31BDA85}" type="TxLink">
              <a:rPr lang="en-US" sz="1600" b="0" i="0" u="none" strike="noStrike">
                <a:solidFill>
                  <a:srgbClr val="000000"/>
                </a:solidFill>
                <a:latin typeface="Calibri"/>
                <a:cs typeface="Arial" pitchFamily="34" charset="0"/>
              </a:rPr>
              <a:pPr algn="r"/>
              <a:t>1 cp</a:t>
            </a:fld>
            <a:endParaRPr lang="en-US" sz="600" i="1">
              <a:solidFill>
                <a:schemeClr val="tx1"/>
              </a:solidFill>
              <a:latin typeface="Arial" pitchFamily="34" charset="0"/>
              <a:cs typeface="Arial" pitchFamily="34" charset="0"/>
            </a:endParaRPr>
          </a:p>
        </xdr:txBody>
      </xdr:sp>
      <xdr:sp macro="" textlink="U8">
        <xdr:nvSpPr>
          <xdr:cNvPr id="358" name="Site"/>
          <xdr:cNvSpPr txBox="1"/>
        </xdr:nvSpPr>
        <xdr:spPr>
          <a:xfrm>
            <a:off x="12380951" y="1363461"/>
            <a:ext cx="1893717" cy="162465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87CE569-387A-4BD7-8936-E7DC52A87378}"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Khaunglanhpu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59" name="Cluster"/>
          <xdr:cNvGrpSpPr/>
        </xdr:nvGrpSpPr>
        <xdr:grpSpPr>
          <a:xfrm>
            <a:off x="12477748" y="2348604"/>
            <a:ext cx="1732609" cy="380242"/>
            <a:chOff x="12477748" y="2348604"/>
            <a:chExt cx="1732609" cy="380242"/>
          </a:xfrm>
        </xdr:grpSpPr>
        <xdr:grpSp>
          <xdr:nvGrpSpPr>
            <xdr:cNvPr id="360" name="Shelter_G"/>
            <xdr:cNvGrpSpPr/>
          </xdr:nvGrpSpPr>
          <xdr:grpSpPr>
            <a:xfrm>
              <a:off x="12477748" y="2367654"/>
              <a:ext cx="332972" cy="361192"/>
              <a:chOff x="8585625" y="4782769"/>
              <a:chExt cx="147154" cy="166659"/>
            </a:xfrm>
          </xdr:grpSpPr>
          <xdr:pic>
            <xdr:nvPicPr>
              <xdr:cNvPr id="36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6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61" name="NFI_G"/>
            <xdr:cNvGrpSpPr/>
          </xdr:nvGrpSpPr>
          <xdr:grpSpPr>
            <a:xfrm>
              <a:off x="13877376" y="2348604"/>
              <a:ext cx="332981" cy="361192"/>
              <a:chOff x="8250078" y="5375644"/>
              <a:chExt cx="147158" cy="166659"/>
            </a:xfrm>
          </xdr:grpSpPr>
          <xdr:pic>
            <xdr:nvPicPr>
              <xdr:cNvPr id="36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6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473075</xdr:colOff>
      <xdr:row>31</xdr:row>
      <xdr:rowOff>143510</xdr:rowOff>
    </xdr:from>
    <xdr:to>
      <xdr:col>7</xdr:col>
      <xdr:colOff>533400</xdr:colOff>
      <xdr:row>34</xdr:row>
      <xdr:rowOff>199701</xdr:rowOff>
    </xdr:to>
    <xdr:grpSp>
      <xdr:nvGrpSpPr>
        <xdr:cNvPr id="366" name="Kutkai_G"/>
        <xdr:cNvGrpSpPr/>
      </xdr:nvGrpSpPr>
      <xdr:grpSpPr>
        <a:xfrm>
          <a:off x="4039235" y="7702550"/>
          <a:ext cx="1310005" cy="787711"/>
          <a:chOff x="12380951" y="1658202"/>
          <a:chExt cx="1893717" cy="2381154"/>
        </a:xfrm>
      </xdr:grpSpPr>
      <xdr:sp macro="" textlink="">
        <xdr:nvSpPr>
          <xdr:cNvPr id="367" name="Oval"/>
          <xdr:cNvSpPr/>
        </xdr:nvSpPr>
        <xdr:spPr>
          <a:xfrm>
            <a:off x="13152494" y="2488067"/>
            <a:ext cx="350631" cy="7214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9">
        <xdr:nvSpPr>
          <xdr:cNvPr id="368"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C21CCCB-597E-419F-B643-0A3F40DDAC20}"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5,060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369"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D79E92-A487-4336-A586-BF1F75BEA5E8}" type="TxLink">
              <a:rPr lang="en-US" sz="1600" b="0" i="0" u="none" strike="noStrike">
                <a:solidFill>
                  <a:srgbClr val="000000"/>
                </a:solidFill>
                <a:latin typeface="Calibri"/>
                <a:cs typeface="Arial" pitchFamily="34" charset="0"/>
              </a:rPr>
              <a:pPr algn="r"/>
              <a:t>12 cps</a:t>
            </a:fld>
            <a:endParaRPr lang="en-US" sz="600" i="1">
              <a:solidFill>
                <a:schemeClr val="tx1"/>
              </a:solidFill>
              <a:latin typeface="Arial" pitchFamily="34" charset="0"/>
              <a:cs typeface="Arial" pitchFamily="34" charset="0"/>
            </a:endParaRPr>
          </a:p>
        </xdr:txBody>
      </xdr:sp>
      <xdr:sp macro="" textlink="U9">
        <xdr:nvSpPr>
          <xdr:cNvPr id="370"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C5C76600-EBC3-44AE-86E9-B08BC527DE6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Kutkai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71" name="Cluster"/>
          <xdr:cNvGrpSpPr/>
        </xdr:nvGrpSpPr>
        <xdr:grpSpPr>
          <a:xfrm>
            <a:off x="12477748" y="2348604"/>
            <a:ext cx="1732609" cy="380242"/>
            <a:chOff x="12477748" y="2348604"/>
            <a:chExt cx="1732609" cy="380242"/>
          </a:xfrm>
        </xdr:grpSpPr>
        <xdr:grpSp>
          <xdr:nvGrpSpPr>
            <xdr:cNvPr id="372" name="Shelter_G"/>
            <xdr:cNvGrpSpPr/>
          </xdr:nvGrpSpPr>
          <xdr:grpSpPr>
            <a:xfrm>
              <a:off x="12477748" y="2367654"/>
              <a:ext cx="332972" cy="361192"/>
              <a:chOff x="8585625" y="4782769"/>
              <a:chExt cx="147154" cy="166659"/>
            </a:xfrm>
          </xdr:grpSpPr>
          <xdr:pic>
            <xdr:nvPicPr>
              <xdr:cNvPr id="37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7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73" name="NFI_G"/>
            <xdr:cNvGrpSpPr/>
          </xdr:nvGrpSpPr>
          <xdr:grpSpPr>
            <a:xfrm>
              <a:off x="13877376" y="2348604"/>
              <a:ext cx="332981" cy="361192"/>
              <a:chOff x="8250078" y="5375644"/>
              <a:chExt cx="147158" cy="166659"/>
            </a:xfrm>
          </xdr:grpSpPr>
          <xdr:pic>
            <xdr:nvPicPr>
              <xdr:cNvPr id="37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7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104775</xdr:colOff>
      <xdr:row>6</xdr:row>
      <xdr:rowOff>80845</xdr:rowOff>
    </xdr:from>
    <xdr:to>
      <xdr:col>7</xdr:col>
      <xdr:colOff>165100</xdr:colOff>
      <xdr:row>8</xdr:row>
      <xdr:rowOff>231207</xdr:rowOff>
    </xdr:to>
    <xdr:grpSp>
      <xdr:nvGrpSpPr>
        <xdr:cNvPr id="378" name="Machanbaw_G"/>
        <xdr:cNvGrpSpPr/>
      </xdr:nvGrpSpPr>
      <xdr:grpSpPr>
        <a:xfrm>
          <a:off x="3670935" y="1543885"/>
          <a:ext cx="1310005" cy="638042"/>
          <a:chOff x="12380951" y="1743449"/>
          <a:chExt cx="1893717" cy="1923611"/>
        </a:xfrm>
      </xdr:grpSpPr>
      <xdr:sp macro="" textlink="">
        <xdr:nvSpPr>
          <xdr:cNvPr id="379" name="Oval"/>
          <xdr:cNvSpPr/>
        </xdr:nvSpPr>
        <xdr:spPr>
          <a:xfrm>
            <a:off x="13327810" y="2703009"/>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0">
        <xdr:nvSpPr>
          <xdr:cNvPr id="380" name="Pop" hidden="1"/>
          <xdr:cNvSpPr txBox="1"/>
        </xdr:nvSpPr>
        <xdr:spPr>
          <a:xfrm>
            <a:off x="12959414" y="2416439"/>
            <a:ext cx="708964" cy="8646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A0F6553B-0D4D-4E9F-8358-322F36CBB6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381" name="N_Camp" hidden="1"/>
          <xdr:cNvSpPr txBox="1"/>
        </xdr:nvSpPr>
        <xdr:spPr>
          <a:xfrm>
            <a:off x="13337141" y="2047299"/>
            <a:ext cx="836058" cy="161976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C565053-30C0-4F00-9F0B-D9AD3FE9DD8F}" type="TxLink">
              <a:rPr lang="en-US" sz="1600" b="0" i="0" u="none" strike="noStrike">
                <a:solidFill>
                  <a:srgbClr val="000000"/>
                </a:solidFill>
                <a:latin typeface="Calibri"/>
                <a:cs typeface="Arial" pitchFamily="34" charset="0"/>
              </a:rPr>
              <a:pPr algn="r"/>
              <a:t>Bhamo</a:t>
            </a:fld>
            <a:endParaRPr lang="en-US" sz="600" i="1">
              <a:solidFill>
                <a:schemeClr val="tx1"/>
              </a:solidFill>
              <a:latin typeface="Arial" pitchFamily="34" charset="0"/>
              <a:cs typeface="Arial" pitchFamily="34" charset="0"/>
            </a:endParaRPr>
          </a:p>
        </xdr:txBody>
      </xdr:sp>
      <xdr:sp macro="" textlink="U10">
        <xdr:nvSpPr>
          <xdr:cNvPr id="382" name="Site"/>
          <xdr:cNvSpPr txBox="1"/>
        </xdr:nvSpPr>
        <xdr:spPr>
          <a:xfrm>
            <a:off x="12380951" y="1743449"/>
            <a:ext cx="1893717" cy="86467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425D6CF-9F5C-4528-AF6D-171A9A443D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Machanbaw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83" name="Cluster"/>
          <xdr:cNvGrpSpPr/>
        </xdr:nvGrpSpPr>
        <xdr:grpSpPr>
          <a:xfrm>
            <a:off x="12477748" y="2348604"/>
            <a:ext cx="1732609" cy="380242"/>
            <a:chOff x="12477748" y="2348604"/>
            <a:chExt cx="1732609" cy="380242"/>
          </a:xfrm>
        </xdr:grpSpPr>
        <xdr:grpSp>
          <xdr:nvGrpSpPr>
            <xdr:cNvPr id="384" name="Shelter_G"/>
            <xdr:cNvGrpSpPr/>
          </xdr:nvGrpSpPr>
          <xdr:grpSpPr>
            <a:xfrm>
              <a:off x="12477748" y="2367654"/>
              <a:ext cx="332972" cy="361192"/>
              <a:chOff x="8585625" y="4782769"/>
              <a:chExt cx="147154" cy="166659"/>
            </a:xfrm>
          </xdr:grpSpPr>
          <xdr:pic>
            <xdr:nvPicPr>
              <xdr:cNvPr id="38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38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85" name="NFI_G"/>
            <xdr:cNvGrpSpPr/>
          </xdr:nvGrpSpPr>
          <xdr:grpSpPr>
            <a:xfrm>
              <a:off x="13877376" y="2348604"/>
              <a:ext cx="332981" cy="361192"/>
              <a:chOff x="8250078" y="5375644"/>
              <a:chExt cx="147158" cy="166659"/>
            </a:xfrm>
          </xdr:grpSpPr>
          <xdr:pic>
            <xdr:nvPicPr>
              <xdr:cNvPr id="38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8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466725</xdr:colOff>
      <xdr:row>28</xdr:row>
      <xdr:rowOff>121285</xdr:rowOff>
    </xdr:from>
    <xdr:to>
      <xdr:col>5</xdr:col>
      <xdr:colOff>527050</xdr:colOff>
      <xdr:row>31</xdr:row>
      <xdr:rowOff>177476</xdr:rowOff>
    </xdr:to>
    <xdr:grpSp>
      <xdr:nvGrpSpPr>
        <xdr:cNvPr id="390" name="Mansi_G"/>
        <xdr:cNvGrpSpPr/>
      </xdr:nvGrpSpPr>
      <xdr:grpSpPr>
        <a:xfrm>
          <a:off x="2783205" y="6948805"/>
          <a:ext cx="1310005" cy="787711"/>
          <a:chOff x="12380951" y="1658202"/>
          <a:chExt cx="1893717" cy="2381154"/>
        </a:xfrm>
      </xdr:grpSpPr>
      <xdr:sp macro="" textlink="">
        <xdr:nvSpPr>
          <xdr:cNvPr id="391" name="Oval"/>
          <xdr:cNvSpPr/>
        </xdr:nvSpPr>
        <xdr:spPr>
          <a:xfrm>
            <a:off x="12987466" y="2148526"/>
            <a:ext cx="680688" cy="140051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1">
        <xdr:nvSpPr>
          <xdr:cNvPr id="39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00E090D-4D79-403D-8E45-D6D1D744A4F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12,630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39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A05BDB6-6366-489D-A742-E65D239C4F16}" type="TxLink">
              <a:rPr lang="en-US" sz="1600" b="0" i="0" u="none" strike="noStrike">
                <a:solidFill>
                  <a:srgbClr val="000000"/>
                </a:solidFill>
                <a:latin typeface="Calibri"/>
                <a:cs typeface="Arial" pitchFamily="34" charset="0"/>
              </a:rPr>
              <a:pPr algn="r"/>
              <a:t>12 cps</a:t>
            </a:fld>
            <a:endParaRPr lang="en-US" sz="600" i="1">
              <a:solidFill>
                <a:schemeClr val="tx1"/>
              </a:solidFill>
              <a:latin typeface="Arial" pitchFamily="34" charset="0"/>
              <a:cs typeface="Arial" pitchFamily="34" charset="0"/>
            </a:endParaRPr>
          </a:p>
        </xdr:txBody>
      </xdr:sp>
      <xdr:sp macro="" textlink="U11">
        <xdr:nvSpPr>
          <xdr:cNvPr id="39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EE1E35F-AF0A-4A79-B6DD-91A6587DB193}"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Mansi</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395" name="Cluster"/>
          <xdr:cNvGrpSpPr/>
        </xdr:nvGrpSpPr>
        <xdr:grpSpPr>
          <a:xfrm>
            <a:off x="12477748" y="2348604"/>
            <a:ext cx="1732609" cy="380242"/>
            <a:chOff x="12477748" y="2348604"/>
            <a:chExt cx="1732609" cy="380242"/>
          </a:xfrm>
        </xdr:grpSpPr>
        <xdr:grpSp>
          <xdr:nvGrpSpPr>
            <xdr:cNvPr id="396" name="Shelter_G"/>
            <xdr:cNvGrpSpPr/>
          </xdr:nvGrpSpPr>
          <xdr:grpSpPr>
            <a:xfrm>
              <a:off x="12477748" y="2367654"/>
              <a:ext cx="332972" cy="361192"/>
              <a:chOff x="8585625" y="4782769"/>
              <a:chExt cx="147154" cy="166659"/>
            </a:xfrm>
          </xdr:grpSpPr>
          <xdr:pic>
            <xdr:nvPicPr>
              <xdr:cNvPr id="40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0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397" name="NFI_G"/>
            <xdr:cNvGrpSpPr/>
          </xdr:nvGrpSpPr>
          <xdr:grpSpPr>
            <a:xfrm>
              <a:off x="13877376" y="2348604"/>
              <a:ext cx="332981" cy="361192"/>
              <a:chOff x="8250078" y="5375644"/>
              <a:chExt cx="147158" cy="166659"/>
            </a:xfrm>
          </xdr:grpSpPr>
          <xdr:pic>
            <xdr:nvPicPr>
              <xdr:cNvPr id="39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39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301625</xdr:colOff>
      <xdr:row>33</xdr:row>
      <xdr:rowOff>14162</xdr:rowOff>
    </xdr:from>
    <xdr:to>
      <xdr:col>5</xdr:col>
      <xdr:colOff>361950</xdr:colOff>
      <xdr:row>35</xdr:row>
      <xdr:rowOff>161726</xdr:rowOff>
    </xdr:to>
    <xdr:grpSp>
      <xdr:nvGrpSpPr>
        <xdr:cNvPr id="402" name="Manton_G"/>
        <xdr:cNvGrpSpPr/>
      </xdr:nvGrpSpPr>
      <xdr:grpSpPr>
        <a:xfrm>
          <a:off x="2618105" y="8060882"/>
          <a:ext cx="1310005" cy="635244"/>
          <a:chOff x="12380951" y="1743424"/>
          <a:chExt cx="1893717" cy="1915280"/>
        </a:xfrm>
      </xdr:grpSpPr>
      <xdr:sp macro="" textlink="">
        <xdr:nvSpPr>
          <xdr:cNvPr id="403" name="Oval"/>
          <xdr:cNvSpPr/>
        </xdr:nvSpPr>
        <xdr:spPr>
          <a:xfrm>
            <a:off x="13272018" y="2584778"/>
            <a:ext cx="111584" cy="22806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404" name="Pop" hidden="1"/>
          <xdr:cNvSpPr txBox="1"/>
        </xdr:nvSpPr>
        <xdr:spPr>
          <a:xfrm>
            <a:off x="12959414"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A3C2285-B6C3-482D-9AD6-8E904E32D7C9}"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504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405" name="N_Camp" hidden="1"/>
          <xdr:cNvSpPr txBox="1"/>
        </xdr:nvSpPr>
        <xdr:spPr>
          <a:xfrm>
            <a:off x="13337141"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E61D1FE-5A7F-4C58-95BD-A37D9870D813}"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2">
        <xdr:nvSpPr>
          <xdr:cNvPr id="406"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BD80E13-EA6B-478D-A6F6-42A2A7AFB5B0}"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Manton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07" name="Cluster"/>
          <xdr:cNvGrpSpPr/>
        </xdr:nvGrpSpPr>
        <xdr:grpSpPr>
          <a:xfrm>
            <a:off x="12477748" y="2348604"/>
            <a:ext cx="1732609" cy="380242"/>
            <a:chOff x="12477748" y="2348604"/>
            <a:chExt cx="1732609" cy="380242"/>
          </a:xfrm>
        </xdr:grpSpPr>
        <xdr:grpSp>
          <xdr:nvGrpSpPr>
            <xdr:cNvPr id="408" name="Shelter_G"/>
            <xdr:cNvGrpSpPr/>
          </xdr:nvGrpSpPr>
          <xdr:grpSpPr>
            <a:xfrm>
              <a:off x="12477748" y="2367654"/>
              <a:ext cx="332972" cy="361192"/>
              <a:chOff x="8585625" y="4782769"/>
              <a:chExt cx="147154" cy="166659"/>
            </a:xfrm>
          </xdr:grpSpPr>
          <xdr:pic>
            <xdr:nvPicPr>
              <xdr:cNvPr id="41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1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09" name="NFI_G"/>
            <xdr:cNvGrpSpPr/>
          </xdr:nvGrpSpPr>
          <xdr:grpSpPr>
            <a:xfrm>
              <a:off x="13877376" y="2348604"/>
              <a:ext cx="332981" cy="361192"/>
              <a:chOff x="8250078" y="5375644"/>
              <a:chExt cx="147158" cy="166659"/>
            </a:xfrm>
          </xdr:grpSpPr>
          <xdr:pic>
            <xdr:nvPicPr>
              <xdr:cNvPr id="41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1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263525</xdr:colOff>
      <xdr:row>18</xdr:row>
      <xdr:rowOff>196850</xdr:rowOff>
    </xdr:from>
    <xdr:to>
      <xdr:col>4</xdr:col>
      <xdr:colOff>381000</xdr:colOff>
      <xdr:row>21</xdr:row>
      <xdr:rowOff>101367</xdr:rowOff>
    </xdr:to>
    <xdr:grpSp>
      <xdr:nvGrpSpPr>
        <xdr:cNvPr id="414" name="Mogaung_G"/>
        <xdr:cNvGrpSpPr/>
      </xdr:nvGrpSpPr>
      <xdr:grpSpPr>
        <a:xfrm>
          <a:off x="1985645" y="4585970"/>
          <a:ext cx="1306195" cy="636037"/>
          <a:chOff x="12380951" y="1748589"/>
          <a:chExt cx="1893717" cy="1900439"/>
        </a:xfrm>
      </xdr:grpSpPr>
      <xdr:sp macro="" textlink="">
        <xdr:nvSpPr>
          <xdr:cNvPr id="415" name="Oval"/>
          <xdr:cNvSpPr/>
        </xdr:nvSpPr>
        <xdr:spPr>
          <a:xfrm>
            <a:off x="13264384" y="2569172"/>
            <a:ext cx="126852" cy="25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416"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20819632-6E9F-46B6-90A8-D7966FD2EA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433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417"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54A35EC-F181-4D82-ACAC-55D07E62E091}"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3">
        <xdr:nvSpPr>
          <xdr:cNvPr id="418"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2E4D2EB-50B3-479E-B6E1-50BD1D00DA87}"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Mogaung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19" name="Cluster"/>
          <xdr:cNvGrpSpPr/>
        </xdr:nvGrpSpPr>
        <xdr:grpSpPr>
          <a:xfrm>
            <a:off x="12477748" y="2348604"/>
            <a:ext cx="1732609" cy="380242"/>
            <a:chOff x="12477748" y="2348604"/>
            <a:chExt cx="1732609" cy="380242"/>
          </a:xfrm>
        </xdr:grpSpPr>
        <xdr:grpSp>
          <xdr:nvGrpSpPr>
            <xdr:cNvPr id="420" name="Shelter_G"/>
            <xdr:cNvGrpSpPr/>
          </xdr:nvGrpSpPr>
          <xdr:grpSpPr>
            <a:xfrm>
              <a:off x="12477748" y="2367654"/>
              <a:ext cx="332972" cy="361192"/>
              <a:chOff x="8585625" y="4782769"/>
              <a:chExt cx="147154" cy="166659"/>
            </a:xfrm>
          </xdr:grpSpPr>
          <xdr:pic>
            <xdr:nvPicPr>
              <xdr:cNvPr id="42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2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21" name="NFI_G"/>
            <xdr:cNvGrpSpPr/>
          </xdr:nvGrpSpPr>
          <xdr:grpSpPr>
            <a:xfrm>
              <a:off x="13877376" y="2348604"/>
              <a:ext cx="332981" cy="361192"/>
              <a:chOff x="8250078" y="5375644"/>
              <a:chExt cx="147158" cy="166659"/>
            </a:xfrm>
          </xdr:grpSpPr>
          <xdr:pic>
            <xdr:nvPicPr>
              <xdr:cNvPr id="42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2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1</xdr:col>
      <xdr:colOff>219075</xdr:colOff>
      <xdr:row>21</xdr:row>
      <xdr:rowOff>219075</xdr:rowOff>
    </xdr:from>
    <xdr:to>
      <xdr:col>3</xdr:col>
      <xdr:colOff>88900</xdr:colOff>
      <xdr:row>24</xdr:row>
      <xdr:rowOff>123592</xdr:rowOff>
    </xdr:to>
    <xdr:grpSp>
      <xdr:nvGrpSpPr>
        <xdr:cNvPr id="426" name="Mohnyin_G"/>
        <xdr:cNvGrpSpPr/>
      </xdr:nvGrpSpPr>
      <xdr:grpSpPr>
        <a:xfrm>
          <a:off x="1087755" y="5339715"/>
          <a:ext cx="1317625" cy="636037"/>
          <a:chOff x="12380951" y="1748589"/>
          <a:chExt cx="1893717" cy="1900439"/>
        </a:xfrm>
      </xdr:grpSpPr>
      <xdr:sp macro="" textlink="">
        <xdr:nvSpPr>
          <xdr:cNvPr id="427" name="Oval"/>
          <xdr:cNvSpPr/>
        </xdr:nvSpPr>
        <xdr:spPr>
          <a:xfrm>
            <a:off x="13269623" y="2579880"/>
            <a:ext cx="116375" cy="23785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4">
        <xdr:nvSpPr>
          <xdr:cNvPr id="428"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A7EB202-13DF-4C19-955F-EEEC32D876B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378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4">
        <xdr:nvSpPr>
          <xdr:cNvPr id="429"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97EB979-1E78-4DAC-BE30-C4ADEB4D6842}"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14">
        <xdr:nvSpPr>
          <xdr:cNvPr id="430"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63DA4D7-9FAA-4B9F-9F4F-F73C78FDC2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Mohnyin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31" name="Cluster"/>
          <xdr:cNvGrpSpPr/>
        </xdr:nvGrpSpPr>
        <xdr:grpSpPr>
          <a:xfrm>
            <a:off x="12477748" y="2348604"/>
            <a:ext cx="1732609" cy="380242"/>
            <a:chOff x="12477748" y="2348604"/>
            <a:chExt cx="1732609" cy="380242"/>
          </a:xfrm>
        </xdr:grpSpPr>
        <xdr:grpSp>
          <xdr:nvGrpSpPr>
            <xdr:cNvPr id="432" name="Shelter_G"/>
            <xdr:cNvGrpSpPr/>
          </xdr:nvGrpSpPr>
          <xdr:grpSpPr>
            <a:xfrm>
              <a:off x="12477748" y="2367654"/>
              <a:ext cx="332972" cy="361192"/>
              <a:chOff x="8585625" y="4782769"/>
              <a:chExt cx="147154" cy="166659"/>
            </a:xfrm>
          </xdr:grpSpPr>
          <xdr:pic>
            <xdr:nvPicPr>
              <xdr:cNvPr id="43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3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33" name="NFI_G"/>
            <xdr:cNvGrpSpPr/>
          </xdr:nvGrpSpPr>
          <xdr:grpSpPr>
            <a:xfrm>
              <a:off x="13877376" y="2348604"/>
              <a:ext cx="332981" cy="361192"/>
              <a:chOff x="8250078" y="5375644"/>
              <a:chExt cx="147158" cy="166659"/>
            </a:xfrm>
          </xdr:grpSpPr>
          <xdr:pic>
            <xdr:nvPicPr>
              <xdr:cNvPr id="43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3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22225</xdr:colOff>
      <xdr:row>24</xdr:row>
      <xdr:rowOff>83185</xdr:rowOff>
    </xdr:from>
    <xdr:to>
      <xdr:col>5</xdr:col>
      <xdr:colOff>654050</xdr:colOff>
      <xdr:row>27</xdr:row>
      <xdr:rowOff>139376</xdr:rowOff>
    </xdr:to>
    <xdr:grpSp>
      <xdr:nvGrpSpPr>
        <xdr:cNvPr id="438" name="Momauk_G"/>
        <xdr:cNvGrpSpPr/>
      </xdr:nvGrpSpPr>
      <xdr:grpSpPr>
        <a:xfrm>
          <a:off x="2933065" y="5935345"/>
          <a:ext cx="1287145" cy="787711"/>
          <a:chOff x="12380951" y="1658202"/>
          <a:chExt cx="1893717" cy="2381154"/>
        </a:xfrm>
      </xdr:grpSpPr>
      <xdr:sp macro="" textlink="">
        <xdr:nvSpPr>
          <xdr:cNvPr id="439" name="Oval"/>
          <xdr:cNvSpPr/>
        </xdr:nvSpPr>
        <xdr:spPr>
          <a:xfrm>
            <a:off x="12952310" y="2076193"/>
            <a:ext cx="750997" cy="15451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5">
        <xdr:nvSpPr>
          <xdr:cNvPr id="440"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D9FDB76-CA73-4706-AE25-A6B14A5CCAB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15,638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5">
        <xdr:nvSpPr>
          <xdr:cNvPr id="441"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19F351D-7854-4EFE-9622-44A9B06C74A1}" type="TxLink">
              <a:rPr lang="en-US" sz="1600" b="0" i="0" u="none" strike="noStrike">
                <a:solidFill>
                  <a:srgbClr val="000000"/>
                </a:solidFill>
                <a:latin typeface="Calibri"/>
                <a:cs typeface="Arial" pitchFamily="34" charset="0"/>
              </a:rPr>
              <a:pPr algn="r"/>
              <a:t>20 cps</a:t>
            </a:fld>
            <a:endParaRPr lang="en-US" sz="600" i="1">
              <a:solidFill>
                <a:schemeClr val="tx1"/>
              </a:solidFill>
              <a:latin typeface="Arial" pitchFamily="34" charset="0"/>
              <a:cs typeface="Arial" pitchFamily="34" charset="0"/>
            </a:endParaRPr>
          </a:p>
        </xdr:txBody>
      </xdr:sp>
      <xdr:sp macro="" textlink="U15">
        <xdr:nvSpPr>
          <xdr:cNvPr id="442"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9CD2D33-424F-4A57-BC67-2F7932368809}"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Momauk</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3" name="Cluster"/>
          <xdr:cNvGrpSpPr/>
        </xdr:nvGrpSpPr>
        <xdr:grpSpPr>
          <a:xfrm>
            <a:off x="12477748" y="2348604"/>
            <a:ext cx="1732609" cy="380242"/>
            <a:chOff x="12477748" y="2348604"/>
            <a:chExt cx="1732609" cy="380242"/>
          </a:xfrm>
        </xdr:grpSpPr>
        <xdr:grpSp>
          <xdr:nvGrpSpPr>
            <xdr:cNvPr id="444" name="Shelter_G"/>
            <xdr:cNvGrpSpPr/>
          </xdr:nvGrpSpPr>
          <xdr:grpSpPr>
            <a:xfrm>
              <a:off x="12477748" y="2367654"/>
              <a:ext cx="332972" cy="361192"/>
              <a:chOff x="8585625" y="4782769"/>
              <a:chExt cx="147154" cy="166659"/>
            </a:xfrm>
          </xdr:grpSpPr>
          <xdr:pic>
            <xdr:nvPicPr>
              <xdr:cNvPr id="44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4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45" name="NFI_G"/>
            <xdr:cNvGrpSpPr/>
          </xdr:nvGrpSpPr>
          <xdr:grpSpPr>
            <a:xfrm>
              <a:off x="13877376" y="2348604"/>
              <a:ext cx="332981" cy="361192"/>
              <a:chOff x="8250078" y="5375644"/>
              <a:chExt cx="147158" cy="166659"/>
            </a:xfrm>
          </xdr:grpSpPr>
          <xdr:pic>
            <xdr:nvPicPr>
              <xdr:cNvPr id="44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511175</xdr:colOff>
      <xdr:row>28</xdr:row>
      <xdr:rowOff>172085</xdr:rowOff>
    </xdr:from>
    <xdr:to>
      <xdr:col>8</xdr:col>
      <xdr:colOff>9525</xdr:colOff>
      <xdr:row>31</xdr:row>
      <xdr:rowOff>228276</xdr:rowOff>
    </xdr:to>
    <xdr:grpSp>
      <xdr:nvGrpSpPr>
        <xdr:cNvPr id="450" name="Muse_G"/>
        <xdr:cNvGrpSpPr/>
      </xdr:nvGrpSpPr>
      <xdr:grpSpPr>
        <a:xfrm>
          <a:off x="4077335" y="6999605"/>
          <a:ext cx="1327150" cy="787711"/>
          <a:chOff x="12380951" y="1658202"/>
          <a:chExt cx="1893717" cy="2381154"/>
        </a:xfrm>
      </xdr:grpSpPr>
      <xdr:sp macro="" textlink="">
        <xdr:nvSpPr>
          <xdr:cNvPr id="451" name="Oval"/>
          <xdr:cNvSpPr/>
        </xdr:nvSpPr>
        <xdr:spPr>
          <a:xfrm>
            <a:off x="13231790" y="2651221"/>
            <a:ext cx="192039" cy="395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6">
        <xdr:nvSpPr>
          <xdr:cNvPr id="452" name="Pop" hidden="1"/>
          <xdr:cNvSpPr txBox="1"/>
        </xdr:nvSpPr>
        <xdr:spPr>
          <a:xfrm>
            <a:off x="12959414" y="1658202"/>
            <a:ext cx="708963"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1763F66-929D-400E-989B-BD6833374E3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1,020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6">
        <xdr:nvSpPr>
          <xdr:cNvPr id="453" name="N_Camp" hidden="1"/>
          <xdr:cNvSpPr txBox="1"/>
        </xdr:nvSpPr>
        <xdr:spPr>
          <a:xfrm>
            <a:off x="13337141"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2556CFBA-5EE3-4350-85E3-4564BF771167}" type="TxLink">
              <a:rPr lang="en-US" sz="1600" b="0" i="0" u="none" strike="noStrike">
                <a:solidFill>
                  <a:srgbClr val="000000"/>
                </a:solidFill>
                <a:latin typeface="Calibri"/>
                <a:cs typeface="Arial" pitchFamily="34" charset="0"/>
              </a:rPr>
              <a:pPr algn="r"/>
              <a:t>6 cps</a:t>
            </a:fld>
            <a:endParaRPr lang="en-US" sz="600" i="1">
              <a:solidFill>
                <a:schemeClr val="tx1"/>
              </a:solidFill>
              <a:latin typeface="Arial" pitchFamily="34" charset="0"/>
              <a:cs typeface="Arial" pitchFamily="34" charset="0"/>
            </a:endParaRPr>
          </a:p>
        </xdr:txBody>
      </xdr:sp>
      <xdr:sp macro="" textlink="U16">
        <xdr:nvSpPr>
          <xdr:cNvPr id="45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041007B-BB24-4605-8256-C7FEAB06C8F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Muse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5" name="Cluster"/>
          <xdr:cNvGrpSpPr/>
        </xdr:nvGrpSpPr>
        <xdr:grpSpPr>
          <a:xfrm>
            <a:off x="12477748" y="2348604"/>
            <a:ext cx="1732609" cy="380242"/>
            <a:chOff x="12477748" y="2348604"/>
            <a:chExt cx="1732609" cy="380242"/>
          </a:xfrm>
        </xdr:grpSpPr>
        <xdr:grpSp>
          <xdr:nvGrpSpPr>
            <xdr:cNvPr id="456" name="Shelter_G"/>
            <xdr:cNvGrpSpPr/>
          </xdr:nvGrpSpPr>
          <xdr:grpSpPr>
            <a:xfrm>
              <a:off x="12477748" y="2367654"/>
              <a:ext cx="332972" cy="361192"/>
              <a:chOff x="8585625" y="4782769"/>
              <a:chExt cx="147154" cy="166659"/>
            </a:xfrm>
          </xdr:grpSpPr>
          <xdr:pic>
            <xdr:nvPicPr>
              <xdr:cNvPr id="46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57" name="NFI_G"/>
            <xdr:cNvGrpSpPr/>
          </xdr:nvGrpSpPr>
          <xdr:grpSpPr>
            <a:xfrm>
              <a:off x="13877376" y="2348604"/>
              <a:ext cx="332981" cy="361192"/>
              <a:chOff x="8250078" y="5375644"/>
              <a:chExt cx="147158" cy="166659"/>
            </a:xfrm>
          </xdr:grpSpPr>
          <xdr:pic>
            <xdr:nvPicPr>
              <xdr:cNvPr id="45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5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352425</xdr:colOff>
      <xdr:row>19</xdr:row>
      <xdr:rowOff>225425</xdr:rowOff>
    </xdr:from>
    <xdr:to>
      <xdr:col>5</xdr:col>
      <xdr:colOff>412750</xdr:colOff>
      <xdr:row>23</xdr:row>
      <xdr:rowOff>32061</xdr:rowOff>
    </xdr:to>
    <xdr:grpSp>
      <xdr:nvGrpSpPr>
        <xdr:cNvPr id="462" name="Myitkyina_G"/>
        <xdr:cNvGrpSpPr/>
      </xdr:nvGrpSpPr>
      <xdr:grpSpPr>
        <a:xfrm>
          <a:off x="2668905" y="4858385"/>
          <a:ext cx="1310005" cy="781996"/>
          <a:chOff x="12380951" y="1675478"/>
          <a:chExt cx="1893717" cy="2346603"/>
        </a:xfrm>
      </xdr:grpSpPr>
      <xdr:sp macro="" textlink="">
        <xdr:nvSpPr>
          <xdr:cNvPr id="463" name="Oval"/>
          <xdr:cNvSpPr/>
        </xdr:nvSpPr>
        <xdr:spPr>
          <a:xfrm>
            <a:off x="13072195" y="2322851"/>
            <a:ext cx="511230" cy="105185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7">
        <xdr:nvSpPr>
          <xdr:cNvPr id="464" name="Pop" hidden="1"/>
          <xdr:cNvSpPr txBox="1"/>
        </xdr:nvSpPr>
        <xdr:spPr>
          <a:xfrm>
            <a:off x="12959414" y="1675478"/>
            <a:ext cx="708964" cy="234660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8FC295D-A524-4874-8E91-C337A0124E0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7,181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7">
        <xdr:nvSpPr>
          <xdr:cNvPr id="465"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8639554-9367-403C-940B-334DA2D232B2}" type="TxLink">
              <a:rPr lang="en-US" sz="1600" b="0" i="0" u="none" strike="noStrike">
                <a:solidFill>
                  <a:srgbClr val="000000"/>
                </a:solidFill>
                <a:latin typeface="Calibri"/>
                <a:cs typeface="Arial" pitchFamily="34" charset="0"/>
              </a:rPr>
              <a:pPr algn="r"/>
              <a:t>24 cps</a:t>
            </a:fld>
            <a:endParaRPr lang="en-US" sz="600" i="1">
              <a:solidFill>
                <a:schemeClr val="tx1"/>
              </a:solidFill>
              <a:latin typeface="Arial" pitchFamily="34" charset="0"/>
              <a:cs typeface="Arial" pitchFamily="34" charset="0"/>
            </a:endParaRPr>
          </a:p>
        </xdr:txBody>
      </xdr:sp>
      <xdr:sp macro="" textlink="U17">
        <xdr:nvSpPr>
          <xdr:cNvPr id="466"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3F6B1EB-88B0-4469-9267-E0E0C9D59DA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Myitkyina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7" name="Cluster"/>
          <xdr:cNvGrpSpPr/>
        </xdr:nvGrpSpPr>
        <xdr:grpSpPr>
          <a:xfrm>
            <a:off x="12477748" y="2348604"/>
            <a:ext cx="1732609" cy="380242"/>
            <a:chOff x="12477748" y="2348604"/>
            <a:chExt cx="1732609" cy="380242"/>
          </a:xfrm>
        </xdr:grpSpPr>
        <xdr:grpSp>
          <xdr:nvGrpSpPr>
            <xdr:cNvPr id="468" name="Shelter_G"/>
            <xdr:cNvGrpSpPr/>
          </xdr:nvGrpSpPr>
          <xdr:grpSpPr>
            <a:xfrm>
              <a:off x="12477748" y="2367654"/>
              <a:ext cx="332972" cy="361192"/>
              <a:chOff x="8585625" y="4782769"/>
              <a:chExt cx="147154" cy="166659"/>
            </a:xfrm>
          </xdr:grpSpPr>
          <xdr:pic>
            <xdr:nvPicPr>
              <xdr:cNvPr id="47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69" name="NFI_G"/>
            <xdr:cNvGrpSpPr/>
          </xdr:nvGrpSpPr>
          <xdr:grpSpPr>
            <a:xfrm>
              <a:off x="13877376" y="2348604"/>
              <a:ext cx="332981" cy="361192"/>
              <a:chOff x="8250078" y="5375644"/>
              <a:chExt cx="147158" cy="166659"/>
            </a:xfrm>
          </xdr:grpSpPr>
          <xdr:pic>
            <xdr:nvPicPr>
              <xdr:cNvPr id="47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314325</xdr:colOff>
      <xdr:row>30</xdr:row>
      <xdr:rowOff>140335</xdr:rowOff>
    </xdr:from>
    <xdr:to>
      <xdr:col>6</xdr:col>
      <xdr:colOff>288925</xdr:colOff>
      <xdr:row>33</xdr:row>
      <xdr:rowOff>196526</xdr:rowOff>
    </xdr:to>
    <xdr:grpSp>
      <xdr:nvGrpSpPr>
        <xdr:cNvPr id="474" name="Namhkan_G"/>
        <xdr:cNvGrpSpPr/>
      </xdr:nvGrpSpPr>
      <xdr:grpSpPr>
        <a:xfrm>
          <a:off x="3225165" y="7455535"/>
          <a:ext cx="1315720" cy="787711"/>
          <a:chOff x="12380951" y="1658202"/>
          <a:chExt cx="1893717" cy="2381154"/>
        </a:xfrm>
      </xdr:grpSpPr>
      <xdr:sp macro="" textlink="">
        <xdr:nvSpPr>
          <xdr:cNvPr id="475" name="Oval"/>
          <xdr:cNvSpPr/>
        </xdr:nvSpPr>
        <xdr:spPr>
          <a:xfrm>
            <a:off x="13202002" y="2589933"/>
            <a:ext cx="251613" cy="51769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8">
        <xdr:nvSpPr>
          <xdr:cNvPr id="47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5137A44-FED8-4CB9-93B7-F766FC80441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2,805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8">
        <xdr:nvSpPr>
          <xdr:cNvPr id="47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AF5849F-4C78-44A2-BB4A-7CEE5837CEDD}" type="TxLink">
              <a:rPr lang="en-US" sz="1600" b="0" i="0" u="none" strike="noStrike">
                <a:solidFill>
                  <a:srgbClr val="000000"/>
                </a:solidFill>
                <a:latin typeface="Calibri"/>
                <a:cs typeface="Arial" pitchFamily="34" charset="0"/>
              </a:rPr>
              <a:pPr algn="r"/>
              <a:t>7 cps</a:t>
            </a:fld>
            <a:endParaRPr lang="en-US" sz="600" i="1">
              <a:solidFill>
                <a:schemeClr val="tx1"/>
              </a:solidFill>
              <a:latin typeface="Arial" pitchFamily="34" charset="0"/>
              <a:cs typeface="Arial" pitchFamily="34" charset="0"/>
            </a:endParaRPr>
          </a:p>
        </xdr:txBody>
      </xdr:sp>
      <xdr:sp macro="" textlink="U18">
        <xdr:nvSpPr>
          <xdr:cNvPr id="47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B1DE833-B89A-4817-82DE-624589FC96B2}"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Namhkan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79" name="Cluster"/>
          <xdr:cNvGrpSpPr/>
        </xdr:nvGrpSpPr>
        <xdr:grpSpPr>
          <a:xfrm>
            <a:off x="12477748" y="2348604"/>
            <a:ext cx="1732609" cy="380242"/>
            <a:chOff x="12477748" y="2348604"/>
            <a:chExt cx="1732609" cy="380242"/>
          </a:xfrm>
        </xdr:grpSpPr>
        <xdr:grpSp>
          <xdr:nvGrpSpPr>
            <xdr:cNvPr id="480" name="Shelter_G"/>
            <xdr:cNvGrpSpPr/>
          </xdr:nvGrpSpPr>
          <xdr:grpSpPr>
            <a:xfrm>
              <a:off x="12477748" y="2367654"/>
              <a:ext cx="332972" cy="361192"/>
              <a:chOff x="8585625" y="4782769"/>
              <a:chExt cx="147154" cy="166659"/>
            </a:xfrm>
          </xdr:grpSpPr>
          <xdr:pic>
            <xdr:nvPicPr>
              <xdr:cNvPr id="48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81" name="NFI_G"/>
            <xdr:cNvGrpSpPr/>
          </xdr:nvGrpSpPr>
          <xdr:grpSpPr>
            <a:xfrm>
              <a:off x="13877376" y="2348604"/>
              <a:ext cx="332981" cy="361192"/>
              <a:chOff x="8250078" y="5375644"/>
              <a:chExt cx="147158" cy="166659"/>
            </a:xfrm>
          </xdr:grpSpPr>
          <xdr:pic>
            <xdr:nvPicPr>
              <xdr:cNvPr id="48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73025</xdr:colOff>
      <xdr:row>35</xdr:row>
      <xdr:rowOff>84012</xdr:rowOff>
    </xdr:from>
    <xdr:to>
      <xdr:col>6</xdr:col>
      <xdr:colOff>47625</xdr:colOff>
      <xdr:row>37</xdr:row>
      <xdr:rowOff>231576</xdr:rowOff>
    </xdr:to>
    <xdr:grpSp>
      <xdr:nvGrpSpPr>
        <xdr:cNvPr id="486" name="Namtu_G"/>
        <xdr:cNvGrpSpPr/>
      </xdr:nvGrpSpPr>
      <xdr:grpSpPr>
        <a:xfrm>
          <a:off x="2983865" y="8618412"/>
          <a:ext cx="1315720" cy="635244"/>
          <a:chOff x="12380951" y="1743424"/>
          <a:chExt cx="1893717" cy="1915280"/>
        </a:xfrm>
      </xdr:grpSpPr>
      <xdr:sp macro="" textlink="">
        <xdr:nvSpPr>
          <xdr:cNvPr id="487" name="Oval"/>
          <xdr:cNvSpPr/>
        </xdr:nvSpPr>
        <xdr:spPr>
          <a:xfrm>
            <a:off x="13256609" y="2553284"/>
            <a:ext cx="142400" cy="29105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9">
        <xdr:nvSpPr>
          <xdr:cNvPr id="488" name="Pop" hidden="1"/>
          <xdr:cNvSpPr txBox="1"/>
        </xdr:nvSpPr>
        <xdr:spPr>
          <a:xfrm>
            <a:off x="12959415" y="2038855"/>
            <a:ext cx="708964" cy="161984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00E13C5-A2F3-48F3-9819-075D179A217F}"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639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9">
        <xdr:nvSpPr>
          <xdr:cNvPr id="489" name="N_Camp" hidden="1"/>
          <xdr:cNvSpPr txBox="1"/>
        </xdr:nvSpPr>
        <xdr:spPr>
          <a:xfrm>
            <a:off x="13337142" y="2424815"/>
            <a:ext cx="836058"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03874BE3-F5C7-4FCC-B31B-25271B68CEC7}"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19">
        <xdr:nvSpPr>
          <xdr:cNvPr id="490" name="Site"/>
          <xdr:cNvSpPr txBox="1"/>
        </xdr:nvSpPr>
        <xdr:spPr>
          <a:xfrm>
            <a:off x="12380951" y="1743424"/>
            <a:ext cx="1893717" cy="86472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43138C5-D66B-44CD-A9FF-43A2A9CAC026}"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Namtu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1" name="Cluster"/>
          <xdr:cNvGrpSpPr/>
        </xdr:nvGrpSpPr>
        <xdr:grpSpPr>
          <a:xfrm>
            <a:off x="12477748" y="2348604"/>
            <a:ext cx="1732609" cy="380242"/>
            <a:chOff x="12477748" y="2348604"/>
            <a:chExt cx="1732609" cy="380242"/>
          </a:xfrm>
        </xdr:grpSpPr>
        <xdr:grpSp>
          <xdr:nvGrpSpPr>
            <xdr:cNvPr id="492" name="Shelter_G"/>
            <xdr:cNvGrpSpPr/>
          </xdr:nvGrpSpPr>
          <xdr:grpSpPr>
            <a:xfrm>
              <a:off x="12477748" y="2367654"/>
              <a:ext cx="332972" cy="361192"/>
              <a:chOff x="8585625" y="4782769"/>
              <a:chExt cx="147154" cy="166659"/>
            </a:xfrm>
          </xdr:grpSpPr>
          <xdr:pic>
            <xdr:nvPicPr>
              <xdr:cNvPr id="49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493" name="NFI_G"/>
            <xdr:cNvGrpSpPr/>
          </xdr:nvGrpSpPr>
          <xdr:grpSpPr>
            <a:xfrm>
              <a:off x="13877376" y="2348604"/>
              <a:ext cx="332981" cy="361192"/>
              <a:chOff x="8250078" y="5375644"/>
              <a:chExt cx="147158" cy="166659"/>
            </a:xfrm>
          </xdr:grpSpPr>
          <xdr:pic>
            <xdr:nvPicPr>
              <xdr:cNvPr id="49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9525</xdr:colOff>
      <xdr:row>5</xdr:row>
      <xdr:rowOff>104775</xdr:rowOff>
    </xdr:from>
    <xdr:to>
      <xdr:col>5</xdr:col>
      <xdr:colOff>641350</xdr:colOff>
      <xdr:row>8</xdr:row>
      <xdr:rowOff>9292</xdr:rowOff>
    </xdr:to>
    <xdr:grpSp>
      <xdr:nvGrpSpPr>
        <xdr:cNvPr id="498" name="Puta-O_G"/>
        <xdr:cNvGrpSpPr/>
      </xdr:nvGrpSpPr>
      <xdr:grpSpPr>
        <a:xfrm>
          <a:off x="2920365" y="1323975"/>
          <a:ext cx="1287145" cy="636037"/>
          <a:chOff x="12380951" y="1748589"/>
          <a:chExt cx="1893717" cy="1900439"/>
        </a:xfrm>
      </xdr:grpSpPr>
      <xdr:sp macro="" textlink="">
        <xdr:nvSpPr>
          <xdr:cNvPr id="499" name="Oval"/>
          <xdr:cNvSpPr/>
        </xdr:nvSpPr>
        <xdr:spPr>
          <a:xfrm>
            <a:off x="13270968" y="2582631"/>
            <a:ext cx="113684" cy="23235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0">
        <xdr:nvSpPr>
          <xdr:cNvPr id="500" name="Pop" hidden="1"/>
          <xdr:cNvSpPr txBox="1"/>
        </xdr:nvSpPr>
        <xdr:spPr>
          <a:xfrm>
            <a:off x="12959414" y="2048528"/>
            <a:ext cx="708964" cy="160050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E946F4D-8A17-4DA2-9EB9-BFD18621849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490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0">
        <xdr:nvSpPr>
          <xdr:cNvPr id="501" name="N_Camp" hidden="1"/>
          <xdr:cNvSpPr txBox="1"/>
        </xdr:nvSpPr>
        <xdr:spPr>
          <a:xfrm>
            <a:off x="13337142" y="2429979"/>
            <a:ext cx="836058" cy="8543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DCAF1E-8C8F-4374-B5D0-EE8C95FD621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0">
        <xdr:nvSpPr>
          <xdr:cNvPr id="502" name="Site"/>
          <xdr:cNvSpPr txBox="1"/>
        </xdr:nvSpPr>
        <xdr:spPr>
          <a:xfrm>
            <a:off x="12380951" y="1748589"/>
            <a:ext cx="1893717" cy="85439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3FD74A0-B647-4E03-B2B2-C11359086B0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Puta-O</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3" name="Cluster"/>
          <xdr:cNvGrpSpPr/>
        </xdr:nvGrpSpPr>
        <xdr:grpSpPr>
          <a:xfrm>
            <a:off x="12477748" y="2348604"/>
            <a:ext cx="1732609" cy="380242"/>
            <a:chOff x="12477748" y="2348604"/>
            <a:chExt cx="1732609" cy="380242"/>
          </a:xfrm>
        </xdr:grpSpPr>
        <xdr:grpSp>
          <xdr:nvGrpSpPr>
            <xdr:cNvPr id="504" name="Shelter_G"/>
            <xdr:cNvGrpSpPr/>
          </xdr:nvGrpSpPr>
          <xdr:grpSpPr>
            <a:xfrm>
              <a:off x="12477748" y="2367654"/>
              <a:ext cx="332972" cy="361192"/>
              <a:chOff x="8585625" y="4782769"/>
              <a:chExt cx="147154" cy="166659"/>
            </a:xfrm>
          </xdr:grpSpPr>
          <xdr:pic>
            <xdr:nvPicPr>
              <xdr:cNvPr id="508"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09"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05" name="NFI_G"/>
            <xdr:cNvGrpSpPr/>
          </xdr:nvGrpSpPr>
          <xdr:grpSpPr>
            <a:xfrm>
              <a:off x="13877376" y="2348604"/>
              <a:ext cx="332981" cy="361192"/>
              <a:chOff x="8250078" y="5375644"/>
              <a:chExt cx="147158" cy="166659"/>
            </a:xfrm>
          </xdr:grpSpPr>
          <xdr:pic>
            <xdr:nvPicPr>
              <xdr:cNvPr id="506"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7"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2</xdr:col>
      <xdr:colOff>22225</xdr:colOff>
      <xdr:row>25</xdr:row>
      <xdr:rowOff>175260</xdr:rowOff>
    </xdr:from>
    <xdr:to>
      <xdr:col>4</xdr:col>
      <xdr:colOff>139700</xdr:colOff>
      <xdr:row>28</xdr:row>
      <xdr:rowOff>231451</xdr:rowOff>
    </xdr:to>
    <xdr:grpSp>
      <xdr:nvGrpSpPr>
        <xdr:cNvPr id="510" name="Shwegu_G"/>
        <xdr:cNvGrpSpPr/>
      </xdr:nvGrpSpPr>
      <xdr:grpSpPr>
        <a:xfrm>
          <a:off x="1744345" y="6271260"/>
          <a:ext cx="1306195" cy="787711"/>
          <a:chOff x="12380951" y="1658202"/>
          <a:chExt cx="1893717" cy="2381154"/>
        </a:xfrm>
      </xdr:grpSpPr>
      <xdr:sp macro="" textlink="">
        <xdr:nvSpPr>
          <xdr:cNvPr id="511" name="Oval"/>
          <xdr:cNvSpPr/>
        </xdr:nvSpPr>
        <xdr:spPr>
          <a:xfrm>
            <a:off x="13186887" y="2558830"/>
            <a:ext cx="281846" cy="5798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1">
        <xdr:nvSpPr>
          <xdr:cNvPr id="512" name="Pop" hidden="1"/>
          <xdr:cNvSpPr txBox="1"/>
        </xdr:nvSpPr>
        <xdr:spPr>
          <a:xfrm>
            <a:off x="12959414"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7E36E41-45E6-4C28-B056-058AC9FAF7CB}"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2,186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1">
        <xdr:nvSpPr>
          <xdr:cNvPr id="513" name="N_Camp" hidden="1"/>
          <xdr:cNvSpPr txBox="1"/>
        </xdr:nvSpPr>
        <xdr:spPr>
          <a:xfrm>
            <a:off x="13337143" y="2423689"/>
            <a:ext cx="836059"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CE1AB00-952B-4A47-B2CB-65C20DA4CED1}" type="TxLink">
              <a:rPr lang="en-US" sz="1600" b="0" i="0" u="none" strike="noStrike">
                <a:solidFill>
                  <a:srgbClr val="000000"/>
                </a:solidFill>
                <a:latin typeface="Calibri"/>
                <a:cs typeface="Arial" pitchFamily="34" charset="0"/>
              </a:rPr>
              <a:pPr algn="r"/>
              <a:t>4 cps</a:t>
            </a:fld>
            <a:endParaRPr lang="en-US" sz="600" i="1">
              <a:solidFill>
                <a:schemeClr val="tx1"/>
              </a:solidFill>
              <a:latin typeface="Arial" pitchFamily="34" charset="0"/>
              <a:cs typeface="Arial" pitchFamily="34" charset="0"/>
            </a:endParaRPr>
          </a:p>
        </xdr:txBody>
      </xdr:sp>
      <xdr:sp macro="" textlink="U21">
        <xdr:nvSpPr>
          <xdr:cNvPr id="514"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5B0F8E2A-1062-4AC3-9375-407D88B651FA}"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Shwegu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5" name="Cluster"/>
          <xdr:cNvGrpSpPr/>
        </xdr:nvGrpSpPr>
        <xdr:grpSpPr>
          <a:xfrm>
            <a:off x="12477748" y="2348604"/>
            <a:ext cx="1732609" cy="380242"/>
            <a:chOff x="12477748" y="2348604"/>
            <a:chExt cx="1732609" cy="380242"/>
          </a:xfrm>
        </xdr:grpSpPr>
        <xdr:grpSp>
          <xdr:nvGrpSpPr>
            <xdr:cNvPr id="516" name="Shelter_G"/>
            <xdr:cNvGrpSpPr/>
          </xdr:nvGrpSpPr>
          <xdr:grpSpPr>
            <a:xfrm>
              <a:off x="12477748" y="2367654"/>
              <a:ext cx="332972" cy="361192"/>
              <a:chOff x="8585625" y="4782769"/>
              <a:chExt cx="147154" cy="166659"/>
            </a:xfrm>
          </xdr:grpSpPr>
          <xdr:pic>
            <xdr:nvPicPr>
              <xdr:cNvPr id="520"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1"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17" name="NFI_G"/>
            <xdr:cNvGrpSpPr/>
          </xdr:nvGrpSpPr>
          <xdr:grpSpPr>
            <a:xfrm>
              <a:off x="13877376" y="2348604"/>
              <a:ext cx="332981" cy="361192"/>
              <a:chOff x="8250078" y="5375644"/>
              <a:chExt cx="147158" cy="166659"/>
            </a:xfrm>
          </xdr:grpSpPr>
          <xdr:pic>
            <xdr:nvPicPr>
              <xdr:cNvPr id="518"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19"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111125</xdr:colOff>
      <xdr:row>11</xdr:row>
      <xdr:rowOff>41910</xdr:rowOff>
    </xdr:from>
    <xdr:to>
      <xdr:col>6</xdr:col>
      <xdr:colOff>85725</xdr:colOff>
      <xdr:row>14</xdr:row>
      <xdr:rowOff>98101</xdr:rowOff>
    </xdr:to>
    <xdr:grpSp>
      <xdr:nvGrpSpPr>
        <xdr:cNvPr id="522" name="Sumprabum_G"/>
        <xdr:cNvGrpSpPr/>
      </xdr:nvGrpSpPr>
      <xdr:grpSpPr>
        <a:xfrm>
          <a:off x="3021965" y="2724150"/>
          <a:ext cx="1315720" cy="787711"/>
          <a:chOff x="12380951" y="1658202"/>
          <a:chExt cx="1893717" cy="2381154"/>
        </a:xfrm>
      </xdr:grpSpPr>
      <xdr:sp macro="" textlink="">
        <xdr:nvSpPr>
          <xdr:cNvPr id="523" name="Oval"/>
          <xdr:cNvSpPr/>
        </xdr:nvSpPr>
        <xdr:spPr>
          <a:xfrm>
            <a:off x="13221918" y="2630909"/>
            <a:ext cx="211782" cy="435741"/>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2">
        <xdr:nvSpPr>
          <xdr:cNvPr id="524"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C0A70E0-F4E4-44FB-9229-CAF5E578F5A7}"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1,232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2">
        <xdr:nvSpPr>
          <xdr:cNvPr id="525"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E33C1306-DAF7-44EA-80F8-172B64DC504C}" type="TxLink">
              <a:rPr lang="en-US" sz="1600" b="0" i="0" u="none" strike="noStrike">
                <a:solidFill>
                  <a:srgbClr val="000000"/>
                </a:solidFill>
                <a:latin typeface="Calibri"/>
                <a:cs typeface="Arial" pitchFamily="34" charset="0"/>
              </a:rPr>
              <a:pPr algn="r"/>
              <a:t>3 cps</a:t>
            </a:fld>
            <a:endParaRPr lang="en-US" sz="600" i="1">
              <a:solidFill>
                <a:schemeClr val="tx1"/>
              </a:solidFill>
              <a:latin typeface="Arial" pitchFamily="34" charset="0"/>
              <a:cs typeface="Arial" pitchFamily="34" charset="0"/>
            </a:endParaRPr>
          </a:p>
        </xdr:txBody>
      </xdr:sp>
      <xdr:sp macro="" textlink="U22">
        <xdr:nvSpPr>
          <xdr:cNvPr id="526"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33187E28-A528-40F0-9FA8-53A6DC5B1BB1}"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Sumprabum</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7" name="Cluster"/>
          <xdr:cNvGrpSpPr/>
        </xdr:nvGrpSpPr>
        <xdr:grpSpPr>
          <a:xfrm>
            <a:off x="12477748" y="2348604"/>
            <a:ext cx="1732609" cy="380242"/>
            <a:chOff x="12477748" y="2348604"/>
            <a:chExt cx="1732609" cy="380242"/>
          </a:xfrm>
        </xdr:grpSpPr>
        <xdr:grpSp>
          <xdr:nvGrpSpPr>
            <xdr:cNvPr id="528" name="Shelter_G"/>
            <xdr:cNvGrpSpPr/>
          </xdr:nvGrpSpPr>
          <xdr:grpSpPr>
            <a:xfrm>
              <a:off x="12477748" y="2367654"/>
              <a:ext cx="332972" cy="361192"/>
              <a:chOff x="8585625" y="4782769"/>
              <a:chExt cx="147154" cy="166659"/>
            </a:xfrm>
          </xdr:grpSpPr>
          <xdr:pic>
            <xdr:nvPicPr>
              <xdr:cNvPr id="532"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3"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29" name="NFI_G"/>
            <xdr:cNvGrpSpPr/>
          </xdr:nvGrpSpPr>
          <xdr:grpSpPr>
            <a:xfrm>
              <a:off x="13877376" y="2348604"/>
              <a:ext cx="332981" cy="361192"/>
              <a:chOff x="8250078" y="5375644"/>
              <a:chExt cx="147158" cy="166659"/>
            </a:xfrm>
          </xdr:grpSpPr>
          <xdr:pic>
            <xdr:nvPicPr>
              <xdr:cNvPr id="530"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1"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4</xdr:col>
      <xdr:colOff>606425</xdr:colOff>
      <xdr:row>18</xdr:row>
      <xdr:rowOff>26035</xdr:rowOff>
    </xdr:from>
    <xdr:to>
      <xdr:col>7</xdr:col>
      <xdr:colOff>38100</xdr:colOff>
      <xdr:row>21</xdr:row>
      <xdr:rowOff>82226</xdr:rowOff>
    </xdr:to>
    <xdr:grpSp>
      <xdr:nvGrpSpPr>
        <xdr:cNvPr id="534" name="Waingmaw_G"/>
        <xdr:cNvGrpSpPr/>
      </xdr:nvGrpSpPr>
      <xdr:grpSpPr>
        <a:xfrm>
          <a:off x="3517265" y="4415155"/>
          <a:ext cx="1336675" cy="787711"/>
          <a:chOff x="12380951" y="1658202"/>
          <a:chExt cx="1893717" cy="2381154"/>
        </a:xfrm>
      </xdr:grpSpPr>
      <xdr:sp macro="" textlink="">
        <xdr:nvSpPr>
          <xdr:cNvPr id="535" name="Oval"/>
          <xdr:cNvSpPr/>
        </xdr:nvSpPr>
        <xdr:spPr>
          <a:xfrm>
            <a:off x="12782326" y="1726448"/>
            <a:ext cx="1090968" cy="224466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3">
        <xdr:nvSpPr>
          <xdr:cNvPr id="536" name="Pop" hidden="1"/>
          <xdr:cNvSpPr txBox="1"/>
        </xdr:nvSpPr>
        <xdr:spPr>
          <a:xfrm>
            <a:off x="12959415" y="1658202"/>
            <a:ext cx="708964" cy="2381154"/>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8FE780A-96D8-4C34-8D1E-F6FCCF960D41}"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32,474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3">
        <xdr:nvSpPr>
          <xdr:cNvPr id="537" name="N_Camp" hidden="1"/>
          <xdr:cNvSpPr txBox="1"/>
        </xdr:nvSpPr>
        <xdr:spPr>
          <a:xfrm>
            <a:off x="13337142" y="2423689"/>
            <a:ext cx="836058"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1BC6D6-5D6C-4F00-A01A-0AF72FF53391}" type="TxLink">
              <a:rPr lang="en-US" sz="1600" b="0" i="0" u="none" strike="noStrike">
                <a:solidFill>
                  <a:srgbClr val="000000"/>
                </a:solidFill>
                <a:latin typeface="Calibri"/>
                <a:cs typeface="Arial" pitchFamily="34" charset="0"/>
              </a:rPr>
              <a:pPr algn="r"/>
              <a:t>23 cps</a:t>
            </a:fld>
            <a:endParaRPr lang="en-US" sz="600" i="1">
              <a:solidFill>
                <a:schemeClr val="tx1"/>
              </a:solidFill>
              <a:latin typeface="Arial" pitchFamily="34" charset="0"/>
              <a:cs typeface="Arial" pitchFamily="34" charset="0"/>
            </a:endParaRPr>
          </a:p>
        </xdr:txBody>
      </xdr:sp>
      <xdr:sp macro="" textlink="U23">
        <xdr:nvSpPr>
          <xdr:cNvPr id="538" name="Site"/>
          <xdr:cNvSpPr txBox="1"/>
        </xdr:nvSpPr>
        <xdr:spPr>
          <a:xfrm>
            <a:off x="12380951" y="1742302"/>
            <a:ext cx="1893717" cy="86697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C997E84-61B6-4855-AF83-FA7A27F3591B}"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Waingmaw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39" name="Cluster"/>
          <xdr:cNvGrpSpPr/>
        </xdr:nvGrpSpPr>
        <xdr:grpSpPr>
          <a:xfrm>
            <a:off x="12477748" y="2348604"/>
            <a:ext cx="1732609" cy="380242"/>
            <a:chOff x="12477748" y="2348604"/>
            <a:chExt cx="1732609" cy="380242"/>
          </a:xfrm>
        </xdr:grpSpPr>
        <xdr:grpSp>
          <xdr:nvGrpSpPr>
            <xdr:cNvPr id="540" name="Shelter_G"/>
            <xdr:cNvGrpSpPr/>
          </xdr:nvGrpSpPr>
          <xdr:grpSpPr>
            <a:xfrm>
              <a:off x="12477748" y="2367654"/>
              <a:ext cx="332972" cy="361192"/>
              <a:chOff x="8585625" y="4782769"/>
              <a:chExt cx="147154" cy="166659"/>
            </a:xfrm>
          </xdr:grpSpPr>
          <xdr:pic>
            <xdr:nvPicPr>
              <xdr:cNvPr id="544"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5"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41" name="NFI_G"/>
            <xdr:cNvGrpSpPr/>
          </xdr:nvGrpSpPr>
          <xdr:grpSpPr>
            <a:xfrm>
              <a:off x="13877376" y="2348604"/>
              <a:ext cx="332981" cy="361192"/>
              <a:chOff x="8250078" y="5375644"/>
              <a:chExt cx="147158" cy="166659"/>
            </a:xfrm>
          </xdr:grpSpPr>
          <xdr:pic>
            <xdr:nvPicPr>
              <xdr:cNvPr id="542"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3"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0</xdr:col>
      <xdr:colOff>330200</xdr:colOff>
      <xdr:row>28</xdr:row>
      <xdr:rowOff>237257</xdr:rowOff>
    </xdr:from>
    <xdr:to>
      <xdr:col>1</xdr:col>
      <xdr:colOff>742950</xdr:colOff>
      <xdr:row>34</xdr:row>
      <xdr:rowOff>41183</xdr:rowOff>
    </xdr:to>
    <xdr:grpSp>
      <xdr:nvGrpSpPr>
        <xdr:cNvPr id="546" name="Kachin/Shan_G"/>
        <xdr:cNvGrpSpPr/>
      </xdr:nvGrpSpPr>
      <xdr:grpSpPr>
        <a:xfrm>
          <a:off x="330200" y="7064777"/>
          <a:ext cx="1281430" cy="1266966"/>
          <a:chOff x="12380951" y="940641"/>
          <a:chExt cx="1893717" cy="3816275"/>
        </a:xfrm>
      </xdr:grpSpPr>
      <xdr:sp macro="" textlink="">
        <xdr:nvSpPr>
          <xdr:cNvPr id="547" name="Oval"/>
          <xdr:cNvSpPr/>
        </xdr:nvSpPr>
        <xdr:spPr>
          <a:xfrm>
            <a:off x="12400401" y="940641"/>
            <a:ext cx="1854814" cy="3816275"/>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4">
        <xdr:nvSpPr>
          <xdr:cNvPr id="548" name="Pop" hidden="1"/>
          <xdr:cNvSpPr txBox="1"/>
        </xdr:nvSpPr>
        <xdr:spPr>
          <a:xfrm>
            <a:off x="12959414" y="1662433"/>
            <a:ext cx="708964" cy="2372693"/>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F65F049-7D2E-4F1B-A560-F02AC8D70746}" type="TxLink">
              <a:rPr lang="en-US" sz="16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97,631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4">
        <xdr:nvSpPr>
          <xdr:cNvPr id="549" name="N_Camp" hidden="1"/>
          <xdr:cNvSpPr txBox="1"/>
        </xdr:nvSpPr>
        <xdr:spPr>
          <a:xfrm>
            <a:off x="13337142" y="2048029"/>
            <a:ext cx="836058" cy="1618295"/>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B638263-BC3C-45F6-9ECD-584A92CFBCD4}" type="TxLink">
              <a:rPr lang="en-US" sz="1600" b="0" i="0" u="none" strike="noStrike">
                <a:solidFill>
                  <a:srgbClr val="000000"/>
                </a:solidFill>
                <a:latin typeface="Calibri"/>
                <a:cs typeface="Arial" pitchFamily="34" charset="0"/>
              </a:rPr>
              <a:pPr algn="r"/>
              <a:t>171 camps</a:t>
            </a:fld>
            <a:endParaRPr lang="en-US" sz="600" i="1">
              <a:solidFill>
                <a:schemeClr val="tx1"/>
              </a:solidFill>
              <a:latin typeface="Arial" pitchFamily="34" charset="0"/>
              <a:cs typeface="Arial" pitchFamily="34" charset="0"/>
            </a:endParaRPr>
          </a:p>
        </xdr:txBody>
      </xdr:sp>
      <xdr:sp macro="" textlink="U24">
        <xdr:nvSpPr>
          <xdr:cNvPr id="550" name="Site"/>
          <xdr:cNvSpPr txBox="1"/>
        </xdr:nvSpPr>
        <xdr:spPr>
          <a:xfrm>
            <a:off x="12380951" y="1743839"/>
            <a:ext cx="1893717" cy="863896"/>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4DF677A-AB44-48B8-AB19-00629A9739D4}" type="TxLink">
              <a:rPr lang="en-US" sz="16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Kachin/Shan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1" name="Cluster"/>
          <xdr:cNvGrpSpPr/>
        </xdr:nvGrpSpPr>
        <xdr:grpSpPr>
          <a:xfrm>
            <a:off x="12477748" y="2348604"/>
            <a:ext cx="1732609" cy="380242"/>
            <a:chOff x="12477748" y="2348604"/>
            <a:chExt cx="1732609" cy="380242"/>
          </a:xfrm>
        </xdr:grpSpPr>
        <xdr:grpSp>
          <xdr:nvGrpSpPr>
            <xdr:cNvPr id="552" name="Shelter_G"/>
            <xdr:cNvGrpSpPr/>
          </xdr:nvGrpSpPr>
          <xdr:grpSpPr>
            <a:xfrm>
              <a:off x="12477748" y="2367654"/>
              <a:ext cx="332972" cy="361192"/>
              <a:chOff x="8585625" y="4782769"/>
              <a:chExt cx="147154" cy="166659"/>
            </a:xfrm>
          </xdr:grpSpPr>
          <xdr:pic>
            <xdr:nvPicPr>
              <xdr:cNvPr id="556"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7" name="Shelter_F" hidden="1"/>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3" name="NFI_G"/>
            <xdr:cNvGrpSpPr/>
          </xdr:nvGrpSpPr>
          <xdr:grpSpPr>
            <a:xfrm>
              <a:off x="13877376" y="2348604"/>
              <a:ext cx="332981" cy="361192"/>
              <a:chOff x="8250078" y="5375644"/>
              <a:chExt cx="147158" cy="166659"/>
            </a:xfrm>
          </xdr:grpSpPr>
          <xdr:pic>
            <xdr:nvPicPr>
              <xdr:cNvPr id="554"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5"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108857</xdr:colOff>
      <xdr:row>0</xdr:row>
      <xdr:rowOff>340179</xdr:rowOff>
    </xdr:from>
    <xdr:to>
      <xdr:col>15</xdr:col>
      <xdr:colOff>1288235</xdr:colOff>
      <xdr:row>1</xdr:row>
      <xdr:rowOff>453005</xdr:rowOff>
    </xdr:to>
    <xdr:grpSp>
      <xdr:nvGrpSpPr>
        <xdr:cNvPr id="5" name="Group 4"/>
        <xdr:cNvGrpSpPr/>
      </xdr:nvGrpSpPr>
      <xdr:grpSpPr>
        <a:xfrm>
          <a:off x="11774181" y="340179"/>
          <a:ext cx="8528755" cy="572267"/>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392250</xdr:colOff>
      <xdr:row>0</xdr:row>
      <xdr:rowOff>384810</xdr:rowOff>
    </xdr:to>
    <xdr:sp macro="" textlink="">
      <xdr:nvSpPr>
        <xdr:cNvPr id="8" name="Rounded Rectangle 7">
          <a:hlinkClick xmlns:r="http://schemas.openxmlformats.org/officeDocument/2006/relationships" r:id="rId3"/>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595311</xdr:colOff>
      <xdr:row>0</xdr:row>
      <xdr:rowOff>11907</xdr:rowOff>
    </xdr:from>
    <xdr:to>
      <xdr:col>3</xdr:col>
      <xdr:colOff>292236</xdr:colOff>
      <xdr:row>0</xdr:row>
      <xdr:rowOff>377667</xdr:rowOff>
    </xdr:to>
    <xdr:sp macro="" textlink="">
      <xdr:nvSpPr>
        <xdr:cNvPr id="9" name="Rounded Rectangle 8">
          <a:hlinkClick xmlns:r="http://schemas.openxmlformats.org/officeDocument/2006/relationships" r:id="rId4"/>
        </xdr:cNvPr>
        <xdr:cNvSpPr/>
      </xdr:nvSpPr>
      <xdr:spPr>
        <a:xfrm>
          <a:off x="2047874" y="11907"/>
          <a:ext cx="1732893"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5</xdr:col>
      <xdr:colOff>71437</xdr:colOff>
      <xdr:row>0</xdr:row>
      <xdr:rowOff>0</xdr:rowOff>
    </xdr:from>
    <xdr:to>
      <xdr:col>5</xdr:col>
      <xdr:colOff>1511437</xdr:colOff>
      <xdr:row>0</xdr:row>
      <xdr:rowOff>367738</xdr:rowOff>
    </xdr:to>
    <xdr:sp macro="" textlink="">
      <xdr:nvSpPr>
        <xdr:cNvPr id="10" name="Rounded Rectangle 9">
          <a:hlinkClick xmlns:r="http://schemas.openxmlformats.org/officeDocument/2006/relationships" r:id="rId5"/>
        </xdr:cNvPr>
        <xdr:cNvSpPr/>
      </xdr:nvSpPr>
      <xdr:spPr>
        <a:xfrm>
          <a:off x="5110162" y="0"/>
          <a:ext cx="1440000"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3</xdr:col>
      <xdr:colOff>552452</xdr:colOff>
      <xdr:row>0</xdr:row>
      <xdr:rowOff>11908</xdr:rowOff>
    </xdr:from>
    <xdr:to>
      <xdr:col>4</xdr:col>
      <xdr:colOff>1097102</xdr:colOff>
      <xdr:row>0</xdr:row>
      <xdr:rowOff>381002</xdr:rowOff>
    </xdr:to>
    <xdr:sp macro="" textlink="">
      <xdr:nvSpPr>
        <xdr:cNvPr id="11" name="Rounded Rectangle 10">
          <a:hlinkClick xmlns:r="http://schemas.openxmlformats.org/officeDocument/2006/relationships" r:id="rId6"/>
        </xdr:cNvPr>
        <xdr:cNvSpPr/>
      </xdr:nvSpPr>
      <xdr:spPr>
        <a:xfrm>
          <a:off x="3552827" y="11908"/>
          <a:ext cx="1440000"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5</xdr:col>
      <xdr:colOff>1633539</xdr:colOff>
      <xdr:row>0</xdr:row>
      <xdr:rowOff>0</xdr:rowOff>
    </xdr:from>
    <xdr:to>
      <xdr:col>6</xdr:col>
      <xdr:colOff>539889</xdr:colOff>
      <xdr:row>0</xdr:row>
      <xdr:rowOff>365760</xdr:rowOff>
    </xdr:to>
    <xdr:sp macro="" textlink="">
      <xdr:nvSpPr>
        <xdr:cNvPr id="12" name="Rounded Rectangle 11">
          <a:hlinkClick xmlns:r="http://schemas.openxmlformats.org/officeDocument/2006/relationships" r:id="rId7"/>
        </xdr:cNvPr>
        <xdr:cNvSpPr/>
      </xdr:nvSpPr>
      <xdr:spPr>
        <a:xfrm>
          <a:off x="6672264" y="0"/>
          <a:ext cx="23925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171450</xdr:colOff>
      <xdr:row>32</xdr:row>
      <xdr:rowOff>57149</xdr:rowOff>
    </xdr:from>
    <xdr:to>
      <xdr:col>16</xdr:col>
      <xdr:colOff>9525</xdr:colOff>
      <xdr:row>51</xdr:row>
      <xdr:rowOff>28574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107157</xdr:colOff>
      <xdr:row>56</xdr:row>
      <xdr:rowOff>357188</xdr:rowOff>
    </xdr:from>
    <xdr:to>
      <xdr:col>16</xdr:col>
      <xdr:colOff>11906</xdr:colOff>
      <xdr:row>74</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32</xdr:row>
      <xdr:rowOff>71437</xdr:rowOff>
    </xdr:from>
    <xdr:to>
      <xdr:col>7</xdr:col>
      <xdr:colOff>154781</xdr:colOff>
      <xdr:row>51</xdr:row>
      <xdr:rowOff>47625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2063750</xdr:colOff>
      <xdr:row>1</xdr:row>
      <xdr:rowOff>127000</xdr:rowOff>
    </xdr:from>
    <xdr:to>
      <xdr:col>14</xdr:col>
      <xdr:colOff>773431</xdr:colOff>
      <xdr:row>1</xdr:row>
      <xdr:rowOff>702469</xdr:rowOff>
    </xdr:to>
    <xdr:grpSp>
      <xdr:nvGrpSpPr>
        <xdr:cNvPr id="11" name="Group 10"/>
        <xdr:cNvGrpSpPr/>
      </xdr:nvGrpSpPr>
      <xdr:grpSpPr>
        <a:xfrm>
          <a:off x="9638506" y="579438"/>
          <a:ext cx="4958081" cy="327819"/>
          <a:chOff x="6500812" y="317500"/>
          <a:chExt cx="6186806" cy="575469"/>
        </a:xfrm>
      </xdr:grpSpPr>
      <xdr:pic>
        <xdr:nvPicPr>
          <xdr:cNvPr id="12" name="Picture 11"/>
          <xdr:cNvPicPr>
            <a:picLocks noChangeAspect="1"/>
          </xdr:cNvPicPr>
        </xdr:nvPicPr>
        <xdr:blipFill>
          <a:blip xmlns:r="http://schemas.openxmlformats.org/officeDocument/2006/relationships" r:embed="rId4"/>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122375</xdr:colOff>
      <xdr:row>0</xdr:row>
      <xdr:rowOff>384810</xdr:rowOff>
    </xdr:to>
    <xdr:sp macro="" textlink="">
      <xdr:nvSpPr>
        <xdr:cNvPr id="24" name="Rounded Rectangle 23">
          <a:hlinkClick xmlns:r="http://schemas.openxmlformats.org/officeDocument/2006/relationships" r:id="rId6"/>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670832</xdr:colOff>
      <xdr:row>0</xdr:row>
      <xdr:rowOff>19050</xdr:rowOff>
    </xdr:from>
    <xdr:to>
      <xdr:col>2</xdr:col>
      <xdr:colOff>569143</xdr:colOff>
      <xdr:row>0</xdr:row>
      <xdr:rowOff>384810</xdr:rowOff>
    </xdr:to>
    <xdr:sp macro="" textlink="">
      <xdr:nvSpPr>
        <xdr:cNvPr id="18" name="Rounded Rectangle 17">
          <a:hlinkClick xmlns:r="http://schemas.openxmlformats.org/officeDocument/2006/relationships" r:id="rId7"/>
        </xdr:cNvPr>
        <xdr:cNvSpPr/>
      </xdr:nvSpPr>
      <xdr:spPr>
        <a:xfrm>
          <a:off x="1895475" y="19050"/>
          <a:ext cx="143591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4</xdr:col>
      <xdr:colOff>519795</xdr:colOff>
      <xdr:row>0</xdr:row>
      <xdr:rowOff>0</xdr:rowOff>
    </xdr:from>
    <xdr:to>
      <xdr:col>6</xdr:col>
      <xdr:colOff>9891</xdr:colOff>
      <xdr:row>0</xdr:row>
      <xdr:rowOff>367738</xdr:rowOff>
    </xdr:to>
    <xdr:sp macro="" textlink="">
      <xdr:nvSpPr>
        <xdr:cNvPr id="19" name="Rounded Rectangle 18">
          <a:hlinkClick xmlns:r="http://schemas.openxmlformats.org/officeDocument/2006/relationships" r:id="rId8"/>
        </xdr:cNvPr>
        <xdr:cNvSpPr/>
      </xdr:nvSpPr>
      <xdr:spPr>
        <a:xfrm>
          <a:off x="5704116" y="0"/>
          <a:ext cx="1435918"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1040270</xdr:colOff>
      <xdr:row>0</xdr:row>
      <xdr:rowOff>11908</xdr:rowOff>
    </xdr:from>
    <xdr:to>
      <xdr:col>4</xdr:col>
      <xdr:colOff>55477</xdr:colOff>
      <xdr:row>0</xdr:row>
      <xdr:rowOff>381002</xdr:rowOff>
    </xdr:to>
    <xdr:sp macro="" textlink="">
      <xdr:nvSpPr>
        <xdr:cNvPr id="20" name="Rounded Rectangle 19">
          <a:hlinkClick xmlns:r="http://schemas.openxmlformats.org/officeDocument/2006/relationships" r:id="rId9"/>
        </xdr:cNvPr>
        <xdr:cNvSpPr/>
      </xdr:nvSpPr>
      <xdr:spPr>
        <a:xfrm>
          <a:off x="3802520" y="11908"/>
          <a:ext cx="1437278"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6</xdr:col>
      <xdr:colOff>472171</xdr:colOff>
      <xdr:row>0</xdr:row>
      <xdr:rowOff>13608</xdr:rowOff>
    </xdr:from>
    <xdr:to>
      <xdr:col>8</xdr:col>
      <xdr:colOff>835846</xdr:colOff>
      <xdr:row>0</xdr:row>
      <xdr:rowOff>379368</xdr:rowOff>
    </xdr:to>
    <xdr:sp macro="" textlink="">
      <xdr:nvSpPr>
        <xdr:cNvPr id="21" name="Rounded Rectangle 20">
          <a:hlinkClick xmlns:r="http://schemas.openxmlformats.org/officeDocument/2006/relationships" r:id="rId10"/>
        </xdr:cNvPr>
        <xdr:cNvSpPr/>
      </xdr:nvSpPr>
      <xdr:spPr>
        <a:xfrm>
          <a:off x="7602314" y="13608"/>
          <a:ext cx="236392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0</xdr:col>
      <xdr:colOff>0</xdr:colOff>
      <xdr:row>57</xdr:row>
      <xdr:rowOff>13607</xdr:rowOff>
    </xdr:from>
    <xdr:to>
      <xdr:col>5</xdr:col>
      <xdr:colOff>59531</xdr:colOff>
      <xdr:row>74</xdr:row>
      <xdr:rowOff>180295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4569619" y="722313"/>
          <a:ext cx="4006375" cy="44211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95250</xdr:colOff>
      <xdr:row>25</xdr:row>
      <xdr:rowOff>174625</xdr:rowOff>
    </xdr:from>
    <xdr:to>
      <xdr:col>3</xdr:col>
      <xdr:colOff>11906</xdr:colOff>
      <xdr:row>54</xdr:row>
      <xdr:rowOff>5763</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19050</xdr:rowOff>
    </xdr:from>
    <xdr:to>
      <xdr:col>1</xdr:col>
      <xdr:colOff>46969</xdr:colOff>
      <xdr:row>0</xdr:row>
      <xdr:rowOff>384810</xdr:rowOff>
    </xdr:to>
    <xdr:sp macro="" textlink="">
      <xdr:nvSpPr>
        <xdr:cNvPr id="16" name="Rounded Rectangle 15">
          <a:hlinkClick xmlns:r="http://schemas.openxmlformats.org/officeDocument/2006/relationships" r:id="rId4"/>
        </xdr:cNvPr>
        <xdr:cNvSpPr/>
      </xdr:nvSpPr>
      <xdr:spPr>
        <a:xfrm>
          <a:off x="0" y="19050"/>
          <a:ext cx="1440000"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266711</xdr:colOff>
      <xdr:row>0</xdr:row>
      <xdr:rowOff>19050</xdr:rowOff>
    </xdr:from>
    <xdr:to>
      <xdr:col>2</xdr:col>
      <xdr:colOff>373211</xdr:colOff>
      <xdr:row>0</xdr:row>
      <xdr:rowOff>384810</xdr:rowOff>
    </xdr:to>
    <xdr:sp macro="" textlink="">
      <xdr:nvSpPr>
        <xdr:cNvPr id="12" name="Rounded Rectangle 11">
          <a:hlinkClick xmlns:r="http://schemas.openxmlformats.org/officeDocument/2006/relationships" r:id="rId5"/>
        </xdr:cNvPr>
        <xdr:cNvSpPr/>
      </xdr:nvSpPr>
      <xdr:spPr>
        <a:xfrm>
          <a:off x="1659742" y="19050"/>
          <a:ext cx="1606688"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3</xdr:col>
      <xdr:colOff>752479</xdr:colOff>
      <xdr:row>0</xdr:row>
      <xdr:rowOff>11906</xdr:rowOff>
    </xdr:from>
    <xdr:to>
      <xdr:col>4</xdr:col>
      <xdr:colOff>516079</xdr:colOff>
      <xdr:row>0</xdr:row>
      <xdr:rowOff>379644</xdr:rowOff>
    </xdr:to>
    <xdr:sp macro="" textlink="">
      <xdr:nvSpPr>
        <xdr:cNvPr id="13" name="Rounded Rectangle 12">
          <a:hlinkClick xmlns:r="http://schemas.openxmlformats.org/officeDocument/2006/relationships" r:id="rId6"/>
        </xdr:cNvPr>
        <xdr:cNvSpPr/>
      </xdr:nvSpPr>
      <xdr:spPr>
        <a:xfrm>
          <a:off x="5324479" y="11906"/>
          <a:ext cx="1442381" cy="3677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2</xdr:col>
      <xdr:colOff>645330</xdr:colOff>
      <xdr:row>0</xdr:row>
      <xdr:rowOff>11908</xdr:rowOff>
    </xdr:from>
    <xdr:to>
      <xdr:col>3</xdr:col>
      <xdr:colOff>408930</xdr:colOff>
      <xdr:row>0</xdr:row>
      <xdr:rowOff>381002</xdr:rowOff>
    </xdr:to>
    <xdr:sp macro="" textlink="">
      <xdr:nvSpPr>
        <xdr:cNvPr id="14" name="Rounded Rectangle 13">
          <a:hlinkClick xmlns:r="http://schemas.openxmlformats.org/officeDocument/2006/relationships" r:id="rId7"/>
        </xdr:cNvPr>
        <xdr:cNvSpPr/>
      </xdr:nvSpPr>
      <xdr:spPr>
        <a:xfrm>
          <a:off x="3538549" y="11908"/>
          <a:ext cx="1442381" cy="369094"/>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4</xdr:col>
      <xdr:colOff>821543</xdr:colOff>
      <xdr:row>0</xdr:row>
      <xdr:rowOff>0</xdr:rowOff>
    </xdr:from>
    <xdr:to>
      <xdr:col>5</xdr:col>
      <xdr:colOff>889946</xdr:colOff>
      <xdr:row>0</xdr:row>
      <xdr:rowOff>365760</xdr:rowOff>
    </xdr:to>
    <xdr:sp macro="" textlink="">
      <xdr:nvSpPr>
        <xdr:cNvPr id="15" name="Rounded Rectangle 14">
          <a:hlinkClick xmlns:r="http://schemas.openxmlformats.org/officeDocument/2006/relationships" r:id="rId8"/>
        </xdr:cNvPr>
        <xdr:cNvSpPr/>
      </xdr:nvSpPr>
      <xdr:spPr>
        <a:xfrm>
          <a:off x="7072324" y="0"/>
          <a:ext cx="1747185"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3</xdr:col>
      <xdr:colOff>785812</xdr:colOff>
      <xdr:row>26</xdr:row>
      <xdr:rowOff>11906</xdr:rowOff>
    </xdr:from>
    <xdr:to>
      <xdr:col>6</xdr:col>
      <xdr:colOff>396874</xdr:colOff>
      <xdr:row>54</xdr:row>
      <xdr:rowOff>11906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0.00597</cdr:y>
    </cdr:from>
    <cdr:ext cx="4304506" cy="228598"/>
    <cdr:sp macro="" textlink="">
      <cdr:nvSpPr>
        <cdr:cNvPr id="4" name="TextBox 3"/>
        <cdr:cNvSpPr txBox="1">
          <a:spLocks xmlns:a="http://schemas.openxmlformats.org/drawingml/2006/main"/>
        </cdr:cNvSpPr>
      </cdr:nvSpPr>
      <cdr:spPr>
        <a:xfrm xmlns:a="http://schemas.openxmlformats.org/drawingml/2006/main">
          <a:off x="0" y="31859"/>
          <a:ext cx="4304506" cy="228598"/>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Shelter coverage by township (# of people)</a:t>
          </a:r>
          <a:endParaRPr lang="en-GB" sz="1400">
            <a:latin typeface="Franklin Gothic Medium Cond" pitchFamily="34" charset="0"/>
          </a:endParaRPr>
        </a:p>
      </cdr:txBody>
    </cdr:sp>
  </cdr:absSizeAnchor>
</c:userShapes>
</file>

<file path=xl/drawings/drawing12.xml><?xml version="1.0" encoding="utf-8"?>
<c:userShapes xmlns:c="http://schemas.openxmlformats.org/drawingml/2006/chart">
  <cdr:absSizeAnchor xmlns:cdr="http://schemas.openxmlformats.org/drawingml/2006/chartDrawing">
    <cdr:from>
      <cdr:x>0</cdr:x>
      <cdr:y>0.00923</cdr:y>
    </cdr:from>
    <cdr:ext cx="4416424" cy="240486"/>
    <cdr:sp macro="" textlink="">
      <cdr:nvSpPr>
        <cdr:cNvPr id="2" name="TextBox 3"/>
        <cdr:cNvSpPr txBox="1">
          <a:spLocks xmlns:a="http://schemas.openxmlformats.org/drawingml/2006/main"/>
        </cdr:cNvSpPr>
      </cdr:nvSpPr>
      <cdr:spPr>
        <a:xfrm xmlns:a="http://schemas.openxmlformats.org/drawingml/2006/main">
          <a:off x="0" y="49233"/>
          <a:ext cx="4416424" cy="240486"/>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3.xml><?xml version="1.0" encoding="utf-8"?>
<xdr:wsDr xmlns:xdr="http://schemas.openxmlformats.org/drawingml/2006/spreadsheetDrawing" xmlns:a="http://schemas.openxmlformats.org/drawingml/2006/main">
  <xdr:twoCellAnchor editAs="oneCell">
    <xdr:from>
      <xdr:col>8</xdr:col>
      <xdr:colOff>183599</xdr:colOff>
      <xdr:row>11</xdr:row>
      <xdr:rowOff>62700</xdr:rowOff>
    </xdr:from>
    <xdr:to>
      <xdr:col>14</xdr:col>
      <xdr:colOff>90859</xdr:colOff>
      <xdr:row>47</xdr:row>
      <xdr:rowOff>60511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1787" y="1792888"/>
          <a:ext cx="4748201" cy="5403529"/>
        </a:xfrm>
        <a:prstGeom prst="rect">
          <a:avLst/>
        </a:prstGeom>
        <a:ln w="28575">
          <a:solidFill>
            <a:schemeClr val="tx2">
              <a:lumMod val="40000"/>
              <a:lumOff val="60000"/>
            </a:schemeClr>
          </a:solidFill>
        </a:ln>
      </xdr:spPr>
    </xdr:pic>
    <xdr:clientData/>
  </xdr:twoCellAnchor>
  <xdr:oneCellAnchor>
    <xdr:from>
      <xdr:col>9</xdr:col>
      <xdr:colOff>504825</xdr:colOff>
      <xdr:row>15</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79648</xdr:colOff>
      <xdr:row>3</xdr:row>
      <xdr:rowOff>163114</xdr:rowOff>
    </xdr:from>
    <xdr:to>
      <xdr:col>13</xdr:col>
      <xdr:colOff>346576</xdr:colOff>
      <xdr:row>4</xdr:row>
      <xdr:rowOff>172639</xdr:rowOff>
    </xdr:to>
    <xdr:grpSp>
      <xdr:nvGrpSpPr>
        <xdr:cNvPr id="35" name="Group 34"/>
        <xdr:cNvGrpSpPr/>
      </xdr:nvGrpSpPr>
      <xdr:grpSpPr>
        <a:xfrm>
          <a:off x="5514501" y="667379"/>
          <a:ext cx="3583869" cy="300878"/>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139701</xdr:colOff>
      <xdr:row>6</xdr:row>
      <xdr:rowOff>47625</xdr:rowOff>
    </xdr:from>
    <xdr:to>
      <xdr:col>14</xdr:col>
      <xdr:colOff>90238</xdr:colOff>
      <xdr:row>10</xdr:row>
      <xdr:rowOff>44904</xdr:rowOff>
    </xdr:to>
    <xdr:sp macro="" textlink="">
      <xdr:nvSpPr>
        <xdr:cNvPr id="43" name="Rounded Rectangle 42"/>
        <xdr:cNvSpPr/>
      </xdr:nvSpPr>
      <xdr:spPr>
        <a:xfrm>
          <a:off x="6149976" y="1647825"/>
          <a:ext cx="4665412" cy="730704"/>
        </a:xfrm>
        <a:prstGeom prst="roundRect">
          <a:avLst/>
        </a:prstGeom>
        <a:solidFill>
          <a:schemeClr val="bg1">
            <a:lumMod val="95000"/>
          </a:schemeClr>
        </a:solidFill>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lIns="18000" tIns="18000" rIns="18000" bIns="18000" rtlCol="0" anchor="t"/>
        <a:lstStyle/>
        <a:p>
          <a:pPr algn="l"/>
          <a:r>
            <a:rPr lang="en-US" sz="950">
              <a:solidFill>
                <a:sysClr val="windowText" lastClr="000000"/>
              </a:solidFill>
              <a:effectLst/>
              <a:latin typeface="+mn-lt"/>
              <a:ea typeface="+mn-ea"/>
              <a:cs typeface="+mn-cs"/>
            </a:rPr>
            <a:t>Shelter Cluster coverage is approximately 60% in Kachin and Northern Shan States. Churches and private organizations also built shelters. Some managed to build their own shelters. Due to these reasons,  the dispersal of sites and access issues, the total numbers of shelters built is not deemed totally exhaustive.</a:t>
          </a:r>
        </a:p>
        <a:p>
          <a:pPr algn="l"/>
          <a:r>
            <a:rPr lang="en-US" sz="1000">
              <a:solidFill>
                <a:schemeClr val="lt1"/>
              </a:solidFill>
              <a:effectLst/>
              <a:latin typeface="+mn-lt"/>
              <a:ea typeface="+mn-ea"/>
              <a:cs typeface="+mn-cs"/>
            </a:rPr>
            <a:t>.</a:t>
          </a:r>
          <a:endParaRPr lang="en-US" sz="1000">
            <a:solidFill>
              <a:sysClr val="windowText" lastClr="000000"/>
            </a:solidFill>
          </a:endParaRPr>
        </a:p>
      </xdr:txBody>
    </xdr:sp>
    <xdr:clientData/>
  </xdr:twoCellAnchor>
  <xdr:twoCellAnchor>
    <xdr:from>
      <xdr:col>2</xdr:col>
      <xdr:colOff>94555</xdr:colOff>
      <xdr:row>48</xdr:row>
      <xdr:rowOff>2107</xdr:rowOff>
    </xdr:from>
    <xdr:to>
      <xdr:col>14</xdr:col>
      <xdr:colOff>136071</xdr:colOff>
      <xdr:row>49</xdr:row>
      <xdr:rowOff>367549</xdr:rowOff>
    </xdr:to>
    <xdr:grpSp>
      <xdr:nvGrpSpPr>
        <xdr:cNvPr id="6" name="Group 5"/>
        <xdr:cNvGrpSpPr/>
      </xdr:nvGrpSpPr>
      <xdr:grpSpPr>
        <a:xfrm>
          <a:off x="374702" y="7173872"/>
          <a:ext cx="8905369" cy="410265"/>
          <a:chOff x="57611" y="11352338"/>
          <a:chExt cx="9057814" cy="216285"/>
        </a:xfrm>
      </xdr:grpSpPr>
      <xdr:sp macro="" textlink="">
        <xdr:nvSpPr>
          <xdr:cNvPr id="45" name="Line 2"/>
          <xdr:cNvSpPr>
            <a:spLocks noChangeShapeType="1"/>
          </xdr:cNvSpPr>
        </xdr:nvSpPr>
        <xdr:spPr bwMode="auto">
          <a:xfrm flipV="1">
            <a:off x="196277" y="11352338"/>
            <a:ext cx="8919148" cy="20407"/>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5" name="Group 4"/>
          <xdr:cNvGrpSpPr/>
        </xdr:nvGrpSpPr>
        <xdr:grpSpPr>
          <a:xfrm>
            <a:off x="57611" y="11374127"/>
            <a:ext cx="8866396" cy="194496"/>
            <a:chOff x="57611" y="11269352"/>
            <a:chExt cx="8866396" cy="194496"/>
          </a:xfrm>
        </xdr:grpSpPr>
        <xdr:sp macro="" textlink="">
          <xdr:nvSpPr>
            <xdr:cNvPr id="48" name="TextBox 47"/>
            <xdr:cNvSpPr txBox="1"/>
          </xdr:nvSpPr>
          <xdr:spPr>
            <a:xfrm>
              <a:off x="57611" y="11269352"/>
              <a:ext cx="3125422" cy="19449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3144146" y="11314991"/>
              <a:ext cx="3891302" cy="97987"/>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7328407" y="11314992"/>
              <a:ext cx="1595600" cy="12332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28575</xdr:rowOff>
    </xdr:from>
    <xdr:to>
      <xdr:col>3</xdr:col>
      <xdr:colOff>293775</xdr:colOff>
      <xdr:row>2</xdr:row>
      <xdr:rowOff>352575</xdr:rowOff>
    </xdr:to>
    <xdr:sp macro="" textlink="">
      <xdr:nvSpPr>
        <xdr:cNvPr id="60" name="Rounded Rectangle 59">
          <a:hlinkClick xmlns:r="http://schemas.openxmlformats.org/officeDocument/2006/relationships" r:id="rId4"/>
        </xdr:cNvPr>
        <xdr:cNvSpPr/>
      </xdr:nvSpPr>
      <xdr:spPr>
        <a:xfrm>
          <a:off x="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293775</xdr:colOff>
      <xdr:row>2</xdr:row>
      <xdr:rowOff>28575</xdr:rowOff>
    </xdr:from>
    <xdr:to>
      <xdr:col>5</xdr:col>
      <xdr:colOff>139875</xdr:colOff>
      <xdr:row>2</xdr:row>
      <xdr:rowOff>352575</xdr:rowOff>
    </xdr:to>
    <xdr:sp macro="" textlink="">
      <xdr:nvSpPr>
        <xdr:cNvPr id="34" name="Rounded Rectangle 33">
          <a:hlinkClick xmlns:r="http://schemas.openxmlformats.org/officeDocument/2006/relationships" r:id="rId5"/>
        </xdr:cNvPr>
        <xdr:cNvSpPr/>
      </xdr:nvSpPr>
      <xdr:spPr>
        <a:xfrm>
          <a:off x="1332000" y="28575"/>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6</xdr:col>
      <xdr:colOff>643200</xdr:colOff>
      <xdr:row>2</xdr:row>
      <xdr:rowOff>26597</xdr:rowOff>
    </xdr:from>
    <xdr:to>
      <xdr:col>7</xdr:col>
      <xdr:colOff>689325</xdr:colOff>
      <xdr:row>2</xdr:row>
      <xdr:rowOff>350597</xdr:rowOff>
    </xdr:to>
    <xdr:sp macro="" textlink="">
      <xdr:nvSpPr>
        <xdr:cNvPr id="37" name="Rounded Rectangle 36">
          <a:hlinkClick xmlns:r="http://schemas.openxmlformats.org/officeDocument/2006/relationships" r:id="rId6"/>
        </xdr:cNvPr>
        <xdr:cNvSpPr/>
      </xdr:nvSpPr>
      <xdr:spPr>
        <a:xfrm>
          <a:off x="3996000" y="26597"/>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139875</xdr:colOff>
      <xdr:row>2</xdr:row>
      <xdr:rowOff>25241</xdr:rowOff>
    </xdr:from>
    <xdr:to>
      <xdr:col>6</xdr:col>
      <xdr:colOff>643200</xdr:colOff>
      <xdr:row>2</xdr:row>
      <xdr:rowOff>349241</xdr:rowOff>
    </xdr:to>
    <xdr:sp macro="" textlink="">
      <xdr:nvSpPr>
        <xdr:cNvPr id="38" name="Rounded Rectangle 37">
          <a:hlinkClick xmlns:r="http://schemas.openxmlformats.org/officeDocument/2006/relationships" r:id="rId7"/>
        </xdr:cNvPr>
        <xdr:cNvSpPr/>
      </xdr:nvSpPr>
      <xdr:spPr>
        <a:xfrm>
          <a:off x="2664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xdr:from>
      <xdr:col>7</xdr:col>
      <xdr:colOff>689325</xdr:colOff>
      <xdr:row>2</xdr:row>
      <xdr:rowOff>25241</xdr:rowOff>
    </xdr:from>
    <xdr:to>
      <xdr:col>8</xdr:col>
      <xdr:colOff>525900</xdr:colOff>
      <xdr:row>2</xdr:row>
      <xdr:rowOff>349241</xdr:rowOff>
    </xdr:to>
    <xdr:sp macro="" textlink="">
      <xdr:nvSpPr>
        <xdr:cNvPr id="39" name="Rounded Rectangle 38">
          <a:hlinkClick xmlns:r="http://schemas.openxmlformats.org/officeDocument/2006/relationships" r:id="rId8"/>
        </xdr:cNvPr>
        <xdr:cNvSpPr/>
      </xdr:nvSpPr>
      <xdr:spPr>
        <a:xfrm>
          <a:off x="5328000" y="25241"/>
          <a:ext cx="1332000" cy="324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Shelter Summary</a:t>
          </a:r>
          <a:endParaRPr lang="en-US" sz="1100" b="1"/>
        </a:p>
      </xdr:txBody>
    </xdr:sp>
    <xdr:clientData/>
  </xdr:twoCellAnchor>
  <xdr:twoCellAnchor>
    <xdr:from>
      <xdr:col>1</xdr:col>
      <xdr:colOff>116418</xdr:colOff>
      <xdr:row>33</xdr:row>
      <xdr:rowOff>52920</xdr:rowOff>
    </xdr:from>
    <xdr:to>
      <xdr:col>7</xdr:col>
      <xdr:colOff>518585</xdr:colOff>
      <xdr:row>45</xdr:row>
      <xdr:rowOff>80682</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95250</xdr:colOff>
      <xdr:row>6</xdr:row>
      <xdr:rowOff>45893</xdr:rowOff>
    </xdr:from>
    <xdr:to>
      <xdr:col>7</xdr:col>
      <xdr:colOff>482601</xdr:colOff>
      <xdr:row>14</xdr:row>
      <xdr:rowOff>9163</xdr:rowOff>
    </xdr:to>
    <xdr:grpSp>
      <xdr:nvGrpSpPr>
        <xdr:cNvPr id="4" name="Group 3"/>
        <xdr:cNvGrpSpPr/>
      </xdr:nvGrpSpPr>
      <xdr:grpSpPr>
        <a:xfrm>
          <a:off x="252132" y="1099246"/>
          <a:ext cx="4130116" cy="949388"/>
          <a:chOff x="13464536" y="3170464"/>
          <a:chExt cx="5303561" cy="1295551"/>
        </a:xfrm>
      </xdr:grpSpPr>
      <xdr:grpSp>
        <xdr:nvGrpSpPr>
          <xdr:cNvPr id="3" name="Group 2"/>
          <xdr:cNvGrpSpPr/>
        </xdr:nvGrpSpPr>
        <xdr:grpSpPr>
          <a:xfrm>
            <a:off x="13464536" y="3170464"/>
            <a:ext cx="4320000" cy="1295551"/>
            <a:chOff x="13299490" y="3238499"/>
            <a:chExt cx="4320000" cy="1295551"/>
          </a:xfrm>
        </xdr:grpSpPr>
        <xdr:sp macro="" textlink="">
          <xdr:nvSpPr>
            <xdr:cNvPr id="54" name="Rectangle 53"/>
            <xdr:cNvSpPr/>
          </xdr:nvSpPr>
          <xdr:spPr>
            <a:xfrm>
              <a:off x="13299490" y="32384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Camps</a:t>
              </a:r>
            </a:p>
          </xdr:txBody>
        </xdr:sp>
        <xdr:sp macro="" textlink="">
          <xdr:nvSpPr>
            <xdr:cNvPr id="62" name="Rectangle 61"/>
            <xdr:cNvSpPr/>
          </xdr:nvSpPr>
          <xdr:spPr>
            <a:xfrm>
              <a:off x="13299490" y="356234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Households</a:t>
              </a:r>
            </a:p>
          </xdr:txBody>
        </xdr:sp>
        <xdr:sp macro="" textlink="">
          <xdr:nvSpPr>
            <xdr:cNvPr id="63" name="Rectangle 62"/>
            <xdr:cNvSpPr/>
          </xdr:nvSpPr>
          <xdr:spPr>
            <a:xfrm>
              <a:off x="13299490" y="3886199"/>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Ins="0" rtlCol="0" anchor="ctr"/>
            <a:lstStyle/>
            <a:p>
              <a:pPr marL="0" indent="0" algn="l"/>
              <a:r>
                <a:rPr lang="en-GB" sz="1400" b="1">
                  <a:solidFill>
                    <a:schemeClr val="dk1"/>
                  </a:solidFill>
                  <a:latin typeface="+mn-lt"/>
                  <a:ea typeface="+mn-ea"/>
                  <a:cs typeface="+mn-cs"/>
                </a:rPr>
                <a:t>#</a:t>
              </a:r>
              <a:r>
                <a:rPr lang="en-GB" sz="1400" b="1" baseline="0">
                  <a:solidFill>
                    <a:schemeClr val="dk1"/>
                  </a:solidFill>
                  <a:latin typeface="+mn-lt"/>
                  <a:ea typeface="+mn-ea"/>
                  <a:cs typeface="+mn-cs"/>
                </a:rPr>
                <a:t> Households still not covered by the Cluster</a:t>
              </a:r>
              <a:endParaRPr lang="en-GB" sz="1400" b="1">
                <a:solidFill>
                  <a:schemeClr val="dk1"/>
                </a:solidFill>
                <a:latin typeface="+mn-lt"/>
                <a:ea typeface="+mn-ea"/>
                <a:cs typeface="+mn-cs"/>
              </a:endParaRPr>
            </a:p>
          </xdr:txBody>
        </xdr:sp>
        <xdr:sp macro="" textlink="">
          <xdr:nvSpPr>
            <xdr:cNvPr id="64" name="Rectangle 63"/>
            <xdr:cNvSpPr/>
          </xdr:nvSpPr>
          <xdr:spPr>
            <a:xfrm>
              <a:off x="13299490" y="4210050"/>
              <a:ext cx="4320000"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l"/>
              <a:r>
                <a:rPr lang="en-GB" sz="1400" b="1">
                  <a:solidFill>
                    <a:schemeClr val="dk1"/>
                  </a:solidFill>
                  <a:latin typeface="+mn-lt"/>
                  <a:ea typeface="+mn-ea"/>
                  <a:cs typeface="+mn-cs"/>
                </a:rPr>
                <a:t># Identified shelters to be built</a:t>
              </a:r>
              <a:r>
                <a:rPr lang="en-GB" sz="1400" b="1" baseline="0">
                  <a:solidFill>
                    <a:schemeClr val="dk1"/>
                  </a:solidFill>
                  <a:latin typeface="+mn-lt"/>
                  <a:ea typeface="+mn-ea"/>
                  <a:cs typeface="+mn-cs"/>
                </a:rPr>
                <a:t> </a:t>
              </a:r>
              <a:endParaRPr lang="en-GB" sz="1400" b="1">
                <a:solidFill>
                  <a:schemeClr val="dk1"/>
                </a:solidFill>
                <a:latin typeface="+mn-lt"/>
                <a:ea typeface="+mn-ea"/>
                <a:cs typeface="+mn-cs"/>
              </a:endParaRPr>
            </a:p>
          </xdr:txBody>
        </xdr:sp>
      </xdr:grpSp>
      <xdr:grpSp>
        <xdr:nvGrpSpPr>
          <xdr:cNvPr id="65" name="Group 64"/>
          <xdr:cNvGrpSpPr/>
        </xdr:nvGrpSpPr>
        <xdr:grpSpPr>
          <a:xfrm>
            <a:off x="17784536" y="3170464"/>
            <a:ext cx="983561" cy="1295551"/>
            <a:chOff x="13299490" y="3238499"/>
            <a:chExt cx="983561" cy="1295551"/>
          </a:xfrm>
        </xdr:grpSpPr>
        <xdr:sp macro="" textlink="$T$5">
          <xdr:nvSpPr>
            <xdr:cNvPr id="66" name="Rectangle 65"/>
            <xdr:cNvSpPr/>
          </xdr:nvSpPr>
          <xdr:spPr>
            <a:xfrm>
              <a:off x="13299490" y="32384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DBCCC494-A7D7-4F64-A0D4-1D5F0C8B219D}" type="TxLink">
                <a:rPr lang="en-GB" sz="1400" b="1">
                  <a:solidFill>
                    <a:schemeClr val="dk1"/>
                  </a:solidFill>
                  <a:latin typeface="+mn-lt"/>
                  <a:ea typeface="+mn-ea"/>
                  <a:cs typeface="+mn-cs"/>
                </a:rPr>
                <a:pPr marL="0" indent="0" algn="r"/>
                <a:t> 145 </a:t>
              </a:fld>
              <a:endParaRPr lang="en-GB" sz="1400" b="1">
                <a:solidFill>
                  <a:schemeClr val="dk1"/>
                </a:solidFill>
                <a:latin typeface="+mn-lt"/>
                <a:ea typeface="+mn-ea"/>
                <a:cs typeface="+mn-cs"/>
              </a:endParaRPr>
            </a:p>
          </xdr:txBody>
        </xdr:sp>
        <xdr:sp macro="" textlink="$T$4">
          <xdr:nvSpPr>
            <xdr:cNvPr id="67" name="Rectangle 66"/>
            <xdr:cNvSpPr/>
          </xdr:nvSpPr>
          <xdr:spPr>
            <a:xfrm>
              <a:off x="13299490" y="356234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F2E79470-5447-4600-A2E1-F8E30C0A7E02}" type="TxLink">
                <a:rPr lang="en-GB" sz="1400" b="1">
                  <a:solidFill>
                    <a:schemeClr val="dk1"/>
                  </a:solidFill>
                  <a:latin typeface="+mn-lt"/>
                  <a:ea typeface="+mn-ea"/>
                  <a:cs typeface="+mn-cs"/>
                </a:rPr>
                <a:pPr marL="0" indent="0" algn="r"/>
                <a:t> 17,798 </a:t>
              </a:fld>
              <a:endParaRPr lang="en-GB" sz="1400" b="1">
                <a:solidFill>
                  <a:schemeClr val="dk1"/>
                </a:solidFill>
                <a:latin typeface="+mn-lt"/>
                <a:ea typeface="+mn-ea"/>
                <a:cs typeface="+mn-cs"/>
              </a:endParaRPr>
            </a:p>
          </xdr:txBody>
        </xdr:sp>
        <xdr:sp macro="" textlink="$T$8">
          <xdr:nvSpPr>
            <xdr:cNvPr id="68" name="Rectangle 67"/>
            <xdr:cNvSpPr/>
          </xdr:nvSpPr>
          <xdr:spPr>
            <a:xfrm>
              <a:off x="13299490" y="3886199"/>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2F401146-2B21-436F-8867-1B210D59D5EE}" type="TxLink">
                <a:rPr lang="en-GB" sz="1400" b="1">
                  <a:solidFill>
                    <a:schemeClr val="dk1"/>
                  </a:solidFill>
                  <a:latin typeface="+mn-lt"/>
                  <a:ea typeface="+mn-ea"/>
                  <a:cs typeface="+mn-cs"/>
                </a:rPr>
                <a:pPr marL="0" indent="0" algn="r"/>
                <a:t> 5,998 </a:t>
              </a:fld>
              <a:endParaRPr lang="en-GB" sz="1400" b="1">
                <a:solidFill>
                  <a:schemeClr val="dk1"/>
                </a:solidFill>
                <a:latin typeface="+mn-lt"/>
                <a:ea typeface="+mn-ea"/>
                <a:cs typeface="+mn-cs"/>
              </a:endParaRPr>
            </a:p>
          </xdr:txBody>
        </xdr:sp>
        <xdr:sp macro="" textlink="$T$9">
          <xdr:nvSpPr>
            <xdr:cNvPr id="69" name="Rectangle 68"/>
            <xdr:cNvSpPr/>
          </xdr:nvSpPr>
          <xdr:spPr>
            <a:xfrm>
              <a:off x="13299490" y="4210050"/>
              <a:ext cx="983561" cy="324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tIns="0" rtlCol="0" anchor="ctr"/>
            <a:lstStyle/>
            <a:p>
              <a:pPr marL="0" indent="0" algn="r"/>
              <a:fld id="{10044934-3A2E-4F32-A429-28F138646F7A}" type="TxLink">
                <a:rPr lang="en-GB" sz="1400" b="1">
                  <a:solidFill>
                    <a:schemeClr val="dk1"/>
                  </a:solidFill>
                  <a:latin typeface="+mn-lt"/>
                  <a:ea typeface="+mn-ea"/>
                  <a:cs typeface="+mn-cs"/>
                </a:rPr>
                <a:pPr marL="0" indent="0" algn="r"/>
                <a:t> 5,914 </a:t>
              </a:fld>
              <a:endParaRPr lang="en-GB" sz="1400" b="1">
                <a:solidFill>
                  <a:schemeClr val="dk1"/>
                </a:solidFill>
                <a:latin typeface="+mn-lt"/>
                <a:ea typeface="+mn-ea"/>
                <a:cs typeface="+mn-cs"/>
              </a:endParaRPr>
            </a:p>
          </xdr:txBody>
        </xdr:sp>
      </xdr:grpSp>
    </xdr:grpSp>
    <xdr:clientData/>
  </xdr:twoCellAnchor>
  <mc:AlternateContent xmlns:mc="http://schemas.openxmlformats.org/markup-compatibility/2006">
    <mc:Choice xmlns:a14="http://schemas.microsoft.com/office/drawing/2010/main" Requires="a14">
      <xdr:twoCellAnchor editAs="oneCell">
        <xdr:from>
          <xdr:col>23</xdr:col>
          <xdr:colOff>19050</xdr:colOff>
          <xdr:row>32</xdr:row>
          <xdr:rowOff>66675</xdr:rowOff>
        </xdr:from>
        <xdr:to>
          <xdr:col>24</xdr:col>
          <xdr:colOff>523875</xdr:colOff>
          <xdr:row>33</xdr:row>
          <xdr:rowOff>171450</xdr:rowOff>
        </xdr:to>
        <xdr:sp macro="" textlink="">
          <xdr:nvSpPr>
            <xdr:cNvPr id="9217" name="CommandButton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972059</xdr:colOff>
      <xdr:row>36</xdr:row>
      <xdr:rowOff>180056</xdr:rowOff>
    </xdr:from>
    <xdr:to>
      <xdr:col>10</xdr:col>
      <xdr:colOff>87333</xdr:colOff>
      <xdr:row>39</xdr:row>
      <xdr:rowOff>26386</xdr:rowOff>
    </xdr:to>
    <xdr:grpSp>
      <xdr:nvGrpSpPr>
        <xdr:cNvPr id="78" name="Bhamo"/>
        <xdr:cNvGrpSpPr/>
      </xdr:nvGrpSpPr>
      <xdr:grpSpPr>
        <a:xfrm>
          <a:off x="6406912" y="5323556"/>
          <a:ext cx="179833" cy="417830"/>
          <a:chOff x="13959520" y="6538156"/>
          <a:chExt cx="235841" cy="492448"/>
        </a:xfrm>
      </xdr:grpSpPr>
      <xdr:sp macro="" textlink="">
        <xdr:nvSpPr>
          <xdr:cNvPr id="79" name="V_1"/>
          <xdr:cNvSpPr/>
        </xdr:nvSpPr>
        <xdr:spPr>
          <a:xfrm>
            <a:off x="13959520" y="6538156"/>
            <a:ext cx="54002" cy="49244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0" name="V_2"/>
          <xdr:cNvSpPr/>
        </xdr:nvSpPr>
        <xdr:spPr>
          <a:xfrm flipH="1">
            <a:off x="14050442" y="6886509"/>
            <a:ext cx="54002" cy="14409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1" name="V_3"/>
          <xdr:cNvSpPr/>
        </xdr:nvSpPr>
        <xdr:spPr>
          <a:xfrm>
            <a:off x="14141359" y="6986267"/>
            <a:ext cx="54002" cy="4433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513774</xdr:colOff>
      <xdr:row>26</xdr:row>
      <xdr:rowOff>85224</xdr:rowOff>
    </xdr:from>
    <xdr:to>
      <xdr:col>12</xdr:col>
      <xdr:colOff>123869</xdr:colOff>
      <xdr:row>27</xdr:row>
      <xdr:rowOff>74211</xdr:rowOff>
    </xdr:to>
    <xdr:grpSp>
      <xdr:nvGrpSpPr>
        <xdr:cNvPr id="82" name="Chipwi"/>
        <xdr:cNvGrpSpPr/>
      </xdr:nvGrpSpPr>
      <xdr:grpSpPr>
        <a:xfrm>
          <a:off x="8077745" y="3435783"/>
          <a:ext cx="215212" cy="157075"/>
          <a:chOff x="13959520" y="7741279"/>
          <a:chExt cx="235841" cy="158487"/>
        </a:xfrm>
      </xdr:grpSpPr>
      <xdr:sp macro="" textlink="">
        <xdr:nvSpPr>
          <xdr:cNvPr id="83" name="V_1"/>
          <xdr:cNvSpPr/>
        </xdr:nvSpPr>
        <xdr:spPr>
          <a:xfrm>
            <a:off x="13959520" y="7796012"/>
            <a:ext cx="53999" cy="7352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4" name="V_2"/>
          <xdr:cNvSpPr/>
        </xdr:nvSpPr>
        <xdr:spPr>
          <a:xfrm flipH="1">
            <a:off x="14050441" y="7741279"/>
            <a:ext cx="53999" cy="12826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5" name="V_3"/>
          <xdr:cNvSpPr/>
        </xdr:nvSpPr>
        <xdr:spPr>
          <a:xfrm>
            <a:off x="14141362" y="7898234"/>
            <a:ext cx="53999" cy="153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9</xdr:col>
      <xdr:colOff>134193</xdr:colOff>
      <xdr:row>28</xdr:row>
      <xdr:rowOff>75145</xdr:rowOff>
    </xdr:from>
    <xdr:to>
      <xdr:col>9</xdr:col>
      <xdr:colOff>386489</xdr:colOff>
      <xdr:row>29</xdr:row>
      <xdr:rowOff>92413</xdr:rowOff>
    </xdr:to>
    <xdr:grpSp>
      <xdr:nvGrpSpPr>
        <xdr:cNvPr id="86" name="Hpakant"/>
        <xdr:cNvGrpSpPr/>
      </xdr:nvGrpSpPr>
      <xdr:grpSpPr>
        <a:xfrm>
          <a:off x="5569046" y="3761880"/>
          <a:ext cx="252296" cy="185357"/>
          <a:chOff x="13959520" y="11587607"/>
          <a:chExt cx="235841" cy="239917"/>
        </a:xfrm>
      </xdr:grpSpPr>
      <xdr:sp macro="" textlink="">
        <xdr:nvSpPr>
          <xdr:cNvPr id="87" name="V_1"/>
          <xdr:cNvSpPr/>
        </xdr:nvSpPr>
        <xdr:spPr>
          <a:xfrm>
            <a:off x="13959520" y="11587607"/>
            <a:ext cx="54000" cy="2131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88" name="V_2"/>
          <xdr:cNvSpPr/>
        </xdr:nvSpPr>
        <xdr:spPr>
          <a:xfrm flipH="1">
            <a:off x="14050441" y="11647751"/>
            <a:ext cx="54000" cy="15298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89" name="V_3"/>
          <xdr:cNvSpPr/>
        </xdr:nvSpPr>
        <xdr:spPr>
          <a:xfrm>
            <a:off x="14141361" y="11825545"/>
            <a:ext cx="54000" cy="197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184907</xdr:colOff>
      <xdr:row>41</xdr:row>
      <xdr:rowOff>24540</xdr:rowOff>
    </xdr:from>
    <xdr:to>
      <xdr:col>11</xdr:col>
      <xdr:colOff>416442</xdr:colOff>
      <xdr:row>42</xdr:row>
      <xdr:rowOff>154792</xdr:rowOff>
    </xdr:to>
    <xdr:grpSp>
      <xdr:nvGrpSpPr>
        <xdr:cNvPr id="90" name="Kutkai"/>
        <xdr:cNvGrpSpPr/>
      </xdr:nvGrpSpPr>
      <xdr:grpSpPr>
        <a:xfrm>
          <a:off x="7748878" y="6120540"/>
          <a:ext cx="231535" cy="320752"/>
          <a:chOff x="13959520" y="3952947"/>
          <a:chExt cx="235841" cy="461739"/>
        </a:xfrm>
      </xdr:grpSpPr>
      <xdr:sp macro="" textlink="">
        <xdr:nvSpPr>
          <xdr:cNvPr id="91" name="V_1"/>
          <xdr:cNvSpPr/>
        </xdr:nvSpPr>
        <xdr:spPr>
          <a:xfrm>
            <a:off x="13959520" y="4145210"/>
            <a:ext cx="54000" cy="23471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2" name="V_2"/>
          <xdr:cNvSpPr/>
        </xdr:nvSpPr>
        <xdr:spPr>
          <a:xfrm flipH="1">
            <a:off x="14050442" y="3952947"/>
            <a:ext cx="54000" cy="42698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3" name="V_3"/>
          <xdr:cNvSpPr/>
        </xdr:nvSpPr>
        <xdr:spPr>
          <a:xfrm>
            <a:off x="14141361" y="4412344"/>
            <a:ext cx="54000" cy="234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136571</xdr:colOff>
      <xdr:row>37</xdr:row>
      <xdr:rowOff>5180</xdr:rowOff>
    </xdr:from>
    <xdr:to>
      <xdr:col>10</xdr:col>
      <xdr:colOff>375890</xdr:colOff>
      <xdr:row>40</xdr:row>
      <xdr:rowOff>119881</xdr:rowOff>
    </xdr:to>
    <xdr:grpSp>
      <xdr:nvGrpSpPr>
        <xdr:cNvPr id="94" name="mansi"/>
        <xdr:cNvGrpSpPr/>
      </xdr:nvGrpSpPr>
      <xdr:grpSpPr>
        <a:xfrm>
          <a:off x="6635983" y="5339180"/>
          <a:ext cx="239319" cy="686201"/>
          <a:chOff x="13959520" y="7607429"/>
          <a:chExt cx="235841" cy="777439"/>
        </a:xfrm>
      </xdr:grpSpPr>
      <xdr:sp macro="" textlink="">
        <xdr:nvSpPr>
          <xdr:cNvPr id="95" name="V_1"/>
          <xdr:cNvSpPr/>
        </xdr:nvSpPr>
        <xdr:spPr>
          <a:xfrm>
            <a:off x="13959520" y="7607429"/>
            <a:ext cx="54000" cy="76506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6" name="V_2"/>
          <xdr:cNvSpPr/>
        </xdr:nvSpPr>
        <xdr:spPr>
          <a:xfrm flipH="1">
            <a:off x="14050441" y="7887756"/>
            <a:ext cx="54000" cy="484738"/>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97" name="V_3"/>
          <xdr:cNvSpPr/>
        </xdr:nvSpPr>
        <xdr:spPr>
          <a:xfrm>
            <a:off x="14141361" y="8383007"/>
            <a:ext cx="54000" cy="186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257383</xdr:colOff>
      <xdr:row>31</xdr:row>
      <xdr:rowOff>128232</xdr:rowOff>
    </xdr:from>
    <xdr:to>
      <xdr:col>10</xdr:col>
      <xdr:colOff>501015</xdr:colOff>
      <xdr:row>37</xdr:row>
      <xdr:rowOff>51033</xdr:rowOff>
    </xdr:to>
    <xdr:grpSp>
      <xdr:nvGrpSpPr>
        <xdr:cNvPr id="98" name="Momauk"/>
        <xdr:cNvGrpSpPr/>
      </xdr:nvGrpSpPr>
      <xdr:grpSpPr>
        <a:xfrm>
          <a:off x="6756795" y="4319232"/>
          <a:ext cx="243632" cy="1065801"/>
          <a:chOff x="13959520" y="7730560"/>
          <a:chExt cx="235841" cy="1170116"/>
        </a:xfrm>
      </xdr:grpSpPr>
      <xdr:sp macro="" textlink="">
        <xdr:nvSpPr>
          <xdr:cNvPr id="99" name="V_1"/>
          <xdr:cNvSpPr/>
        </xdr:nvSpPr>
        <xdr:spPr>
          <a:xfrm>
            <a:off x="13959520" y="7730560"/>
            <a:ext cx="54000" cy="115784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0" name="V_2"/>
          <xdr:cNvSpPr/>
        </xdr:nvSpPr>
        <xdr:spPr>
          <a:xfrm flipH="1">
            <a:off x="14050441" y="8755408"/>
            <a:ext cx="54000" cy="13300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1" name="V_3"/>
          <xdr:cNvSpPr/>
        </xdr:nvSpPr>
        <xdr:spPr>
          <a:xfrm>
            <a:off x="14141361" y="8898881"/>
            <a:ext cx="54000" cy="179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107626</xdr:colOff>
      <xdr:row>29</xdr:row>
      <xdr:rowOff>8334</xdr:rowOff>
    </xdr:from>
    <xdr:to>
      <xdr:col>10</xdr:col>
      <xdr:colOff>346450</xdr:colOff>
      <xdr:row>31</xdr:row>
      <xdr:rowOff>107685</xdr:rowOff>
    </xdr:to>
    <xdr:grpSp>
      <xdr:nvGrpSpPr>
        <xdr:cNvPr id="102" name="Myitkyina"/>
        <xdr:cNvGrpSpPr/>
      </xdr:nvGrpSpPr>
      <xdr:grpSpPr>
        <a:xfrm>
          <a:off x="6607038" y="3863158"/>
          <a:ext cx="238824" cy="435527"/>
          <a:chOff x="13959520" y="12576649"/>
          <a:chExt cx="235841" cy="419004"/>
        </a:xfrm>
      </xdr:grpSpPr>
      <xdr:sp macro="" textlink="">
        <xdr:nvSpPr>
          <xdr:cNvPr id="103" name="V_1"/>
          <xdr:cNvSpPr/>
        </xdr:nvSpPr>
        <xdr:spPr>
          <a:xfrm>
            <a:off x="13959520" y="12576649"/>
            <a:ext cx="54000" cy="39310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4" name="V_2"/>
          <xdr:cNvSpPr/>
        </xdr:nvSpPr>
        <xdr:spPr>
          <a:xfrm flipH="1">
            <a:off x="14050441" y="12807301"/>
            <a:ext cx="54000" cy="162446"/>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5" name="V_3"/>
          <xdr:cNvSpPr/>
        </xdr:nvSpPr>
        <xdr:spPr>
          <a:xfrm>
            <a:off x="14141361" y="12994174"/>
            <a:ext cx="54000" cy="147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434113</xdr:colOff>
      <xdr:row>41</xdr:row>
      <xdr:rowOff>13998</xdr:rowOff>
    </xdr:from>
    <xdr:to>
      <xdr:col>10</xdr:col>
      <xdr:colOff>669954</xdr:colOff>
      <xdr:row>42</xdr:row>
      <xdr:rowOff>7899</xdr:rowOff>
    </xdr:to>
    <xdr:grpSp>
      <xdr:nvGrpSpPr>
        <xdr:cNvPr id="106" name="Namhkan"/>
        <xdr:cNvGrpSpPr/>
      </xdr:nvGrpSpPr>
      <xdr:grpSpPr>
        <a:xfrm>
          <a:off x="6933525" y="6109998"/>
          <a:ext cx="235841" cy="184401"/>
          <a:chOff x="13959520" y="4344713"/>
          <a:chExt cx="235841" cy="220879"/>
        </a:xfrm>
      </xdr:grpSpPr>
      <xdr:sp macro="" textlink="">
        <xdr:nvSpPr>
          <xdr:cNvPr id="107" name="V_1"/>
          <xdr:cNvSpPr/>
        </xdr:nvSpPr>
        <xdr:spPr>
          <a:xfrm>
            <a:off x="13959520" y="4443621"/>
            <a:ext cx="54000" cy="109489"/>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08" name="V_2"/>
          <xdr:cNvSpPr/>
        </xdr:nvSpPr>
        <xdr:spPr>
          <a:xfrm flipH="1">
            <a:off x="14050441" y="4344713"/>
            <a:ext cx="54000" cy="20839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09" name="V_3"/>
          <xdr:cNvSpPr/>
        </xdr:nvSpPr>
        <xdr:spPr>
          <a:xfrm>
            <a:off x="14141361" y="4563608"/>
            <a:ext cx="54000" cy="19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10</xdr:col>
      <xdr:colOff>670574</xdr:colOff>
      <xdr:row>21</xdr:row>
      <xdr:rowOff>125778</xdr:rowOff>
    </xdr:from>
    <xdr:to>
      <xdr:col>10</xdr:col>
      <xdr:colOff>906415</xdr:colOff>
      <xdr:row>32</xdr:row>
      <xdr:rowOff>39598</xdr:rowOff>
    </xdr:to>
    <xdr:grpSp>
      <xdr:nvGrpSpPr>
        <xdr:cNvPr id="110" name="Waingmaw"/>
        <xdr:cNvGrpSpPr/>
      </xdr:nvGrpSpPr>
      <xdr:grpSpPr>
        <a:xfrm>
          <a:off x="7169986" y="2635896"/>
          <a:ext cx="235841" cy="1762790"/>
          <a:chOff x="13959520" y="9306664"/>
          <a:chExt cx="235841" cy="1790498"/>
        </a:xfrm>
      </xdr:grpSpPr>
      <xdr:sp macro="" textlink="">
        <xdr:nvSpPr>
          <xdr:cNvPr id="111" name="V_1"/>
          <xdr:cNvSpPr/>
        </xdr:nvSpPr>
        <xdr:spPr>
          <a:xfrm>
            <a:off x="13959520" y="9306664"/>
            <a:ext cx="54000" cy="177921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2" name="V_2"/>
          <xdr:cNvSpPr/>
        </xdr:nvSpPr>
        <xdr:spPr>
          <a:xfrm flipH="1">
            <a:off x="14050441" y="10273031"/>
            <a:ext cx="54000" cy="81284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3" name="V_3"/>
          <xdr:cNvSpPr/>
        </xdr:nvSpPr>
        <xdr:spPr>
          <a:xfrm>
            <a:off x="14141361" y="11095618"/>
            <a:ext cx="54000" cy="154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11</xdr:col>
      <xdr:colOff>89334</xdr:colOff>
      <xdr:row>44</xdr:row>
      <xdr:rowOff>114765</xdr:rowOff>
    </xdr:from>
    <xdr:to>
      <xdr:col>11</xdr:col>
      <xdr:colOff>325175</xdr:colOff>
      <xdr:row>44</xdr:row>
      <xdr:rowOff>140394</xdr:rowOff>
    </xdr:to>
    <xdr:grpSp>
      <xdr:nvGrpSpPr>
        <xdr:cNvPr id="74" name="Hseni"/>
        <xdr:cNvGrpSpPr/>
      </xdr:nvGrpSpPr>
      <xdr:grpSpPr>
        <a:xfrm>
          <a:off x="7653305" y="6782265"/>
          <a:ext cx="235841" cy="25629"/>
          <a:chOff x="13959520" y="6046448"/>
          <a:chExt cx="235841" cy="38690"/>
        </a:xfrm>
      </xdr:grpSpPr>
      <xdr:sp macro="" textlink="">
        <xdr:nvSpPr>
          <xdr:cNvPr id="75" name="V_1"/>
          <xdr:cNvSpPr/>
        </xdr:nvSpPr>
        <xdr:spPr>
          <a:xfrm>
            <a:off x="13959520" y="6046448"/>
            <a:ext cx="54000" cy="223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76" name="V_2"/>
          <xdr:cNvSpPr/>
        </xdr:nvSpPr>
        <xdr:spPr>
          <a:xfrm flipH="1">
            <a:off x="14050441" y="6069372"/>
            <a:ext cx="54000" cy="239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77" name="V_3"/>
          <xdr:cNvSpPr/>
        </xdr:nvSpPr>
        <xdr:spPr>
          <a:xfrm>
            <a:off x="14141361" y="6082741"/>
            <a:ext cx="54000" cy="2397"/>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18</xdr:col>
      <xdr:colOff>605118</xdr:colOff>
      <xdr:row>40</xdr:row>
      <xdr:rowOff>150159</xdr:rowOff>
    </xdr:from>
    <xdr:to>
      <xdr:col>18</xdr:col>
      <xdr:colOff>840959</xdr:colOff>
      <xdr:row>42</xdr:row>
      <xdr:rowOff>129160</xdr:rowOff>
    </xdr:to>
    <xdr:grpSp>
      <xdr:nvGrpSpPr>
        <xdr:cNvPr id="73" name="Shelter_Situation_Group"/>
        <xdr:cNvGrpSpPr/>
      </xdr:nvGrpSpPr>
      <xdr:grpSpPr>
        <a:xfrm>
          <a:off x="10587318" y="6192371"/>
          <a:ext cx="0" cy="355518"/>
          <a:chOff x="13959520" y="5708810"/>
          <a:chExt cx="235841" cy="360001"/>
        </a:xfrm>
      </xdr:grpSpPr>
      <xdr:sp macro="" textlink="">
        <xdr:nvSpPr>
          <xdr:cNvPr id="114"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5"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16"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18</xdr:col>
      <xdr:colOff>623047</xdr:colOff>
      <xdr:row>41</xdr:row>
      <xdr:rowOff>0</xdr:rowOff>
    </xdr:from>
    <xdr:to>
      <xdr:col>18</xdr:col>
      <xdr:colOff>853845</xdr:colOff>
      <xdr:row>42</xdr:row>
      <xdr:rowOff>169501</xdr:rowOff>
    </xdr:to>
    <xdr:grpSp>
      <xdr:nvGrpSpPr>
        <xdr:cNvPr id="117" name="Mansi"/>
        <xdr:cNvGrpSpPr/>
      </xdr:nvGrpSpPr>
      <xdr:grpSpPr>
        <a:xfrm>
          <a:off x="10587318" y="6230471"/>
          <a:ext cx="0" cy="357759"/>
          <a:chOff x="13959520" y="5708810"/>
          <a:chExt cx="235841" cy="360001"/>
        </a:xfrm>
      </xdr:grpSpPr>
      <xdr:sp macro="" textlink="">
        <xdr:nvSpPr>
          <xdr:cNvPr id="118" name="V_1"/>
          <xdr:cNvSpPr/>
        </xdr:nvSpPr>
        <xdr:spPr>
          <a:xfrm>
            <a:off x="13959520" y="5708811"/>
            <a:ext cx="54000" cy="360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119" name="V_2"/>
          <xdr:cNvSpPr/>
        </xdr:nvSpPr>
        <xdr:spPr>
          <a:xfrm flipH="1">
            <a:off x="14050441" y="5708810"/>
            <a:ext cx="54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20" name="V_3"/>
          <xdr:cNvSpPr/>
        </xdr:nvSpPr>
        <xdr:spPr>
          <a:xfrm>
            <a:off x="14141361" y="5708810"/>
            <a:ext cx="54000" cy="36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190500</xdr:colOff>
      <xdr:row>11</xdr:row>
      <xdr:rowOff>78441</xdr:rowOff>
    </xdr:from>
    <xdr:to>
      <xdr:col>9</xdr:col>
      <xdr:colOff>947754</xdr:colOff>
      <xdr:row>25</xdr:row>
      <xdr:rowOff>82604</xdr:rowOff>
    </xdr:to>
    <xdr:graphicFrame macro="">
      <xdr:nvGraphicFramePr>
        <xdr:cNvPr id="121" name="Chart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1942042</xdr:colOff>
      <xdr:row>0</xdr:row>
      <xdr:rowOff>285750</xdr:rowOff>
    </xdr:from>
    <xdr:to>
      <xdr:col>17</xdr:col>
      <xdr:colOff>105833</xdr:colOff>
      <xdr:row>2</xdr:row>
      <xdr:rowOff>95250</xdr:rowOff>
    </xdr:to>
    <xdr:grpSp>
      <xdr:nvGrpSpPr>
        <xdr:cNvPr id="10" name="Group 9"/>
        <xdr:cNvGrpSpPr/>
      </xdr:nvGrpSpPr>
      <xdr:grpSpPr>
        <a:xfrm>
          <a:off x="7381875" y="285750"/>
          <a:ext cx="6535208" cy="687917"/>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658939</xdr:colOff>
      <xdr:row>1</xdr:row>
      <xdr:rowOff>50863</xdr:rowOff>
    </xdr:to>
    <xdr:sp macro="" textlink="">
      <xdr:nvSpPr>
        <xdr:cNvPr id="19" name="Rounded Rectangle 18">
          <a:hlinkClick xmlns:r="http://schemas.openxmlformats.org/officeDocument/2006/relationships" r:id="rId3"/>
        </xdr:cNvPr>
        <xdr:cNvSpPr/>
      </xdr:nvSpPr>
      <xdr:spPr>
        <a:xfrm>
          <a:off x="0" y="9525"/>
          <a:ext cx="1439989"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661181</xdr:colOff>
      <xdr:row>0</xdr:row>
      <xdr:rowOff>9525</xdr:rowOff>
    </xdr:from>
    <xdr:to>
      <xdr:col>6</xdr:col>
      <xdr:colOff>1079487</xdr:colOff>
      <xdr:row>1</xdr:row>
      <xdr:rowOff>50863</xdr:rowOff>
    </xdr:to>
    <xdr:sp macro="" textlink="">
      <xdr:nvSpPr>
        <xdr:cNvPr id="20" name="Rounded Rectangle 19">
          <a:hlinkClick xmlns:r="http://schemas.openxmlformats.org/officeDocument/2006/relationships" r:id="rId4"/>
        </xdr:cNvPr>
        <xdr:cNvSpPr/>
      </xdr:nvSpPr>
      <xdr:spPr>
        <a:xfrm>
          <a:off x="5275514" y="9525"/>
          <a:ext cx="1339056"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47095</xdr:colOff>
      <xdr:row>0</xdr:row>
      <xdr:rowOff>9525</xdr:rowOff>
    </xdr:from>
    <xdr:to>
      <xdr:col>3</xdr:col>
      <xdr:colOff>479816</xdr:colOff>
      <xdr:row>1</xdr:row>
      <xdr:rowOff>50863</xdr:rowOff>
    </xdr:to>
    <xdr:sp macro="" textlink="">
      <xdr:nvSpPr>
        <xdr:cNvPr id="21" name="Rounded Rectangle 20">
          <a:hlinkClick xmlns:r="http://schemas.openxmlformats.org/officeDocument/2006/relationships" r:id="rId5"/>
        </xdr:cNvPr>
        <xdr:cNvSpPr/>
      </xdr:nvSpPr>
      <xdr:spPr>
        <a:xfrm>
          <a:off x="1828270" y="9525"/>
          <a:ext cx="1442371" cy="49853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263</xdr:colOff>
      <xdr:row>0</xdr:row>
      <xdr:rowOff>9525</xdr:rowOff>
    </xdr:from>
    <xdr:to>
      <xdr:col>5</xdr:col>
      <xdr:colOff>275166</xdr:colOff>
      <xdr:row>1</xdr:row>
      <xdr:rowOff>50863</xdr:rowOff>
    </xdr:to>
    <xdr:sp macro="" textlink="">
      <xdr:nvSpPr>
        <xdr:cNvPr id="22" name="Rounded Rectangle 21">
          <a:hlinkClick xmlns:r="http://schemas.openxmlformats.org/officeDocument/2006/relationships" r:id="rId6"/>
        </xdr:cNvPr>
        <xdr:cNvSpPr/>
      </xdr:nvSpPr>
      <xdr:spPr>
        <a:xfrm>
          <a:off x="3662096" y="9525"/>
          <a:ext cx="1227403" cy="496421"/>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15</xdr:col>
      <xdr:colOff>202406</xdr:colOff>
      <xdr:row>1</xdr:row>
      <xdr:rowOff>257969</xdr:rowOff>
    </xdr:from>
    <xdr:to>
      <xdr:col>25</xdr:col>
      <xdr:colOff>91281</xdr:colOff>
      <xdr:row>2</xdr:row>
      <xdr:rowOff>37307</xdr:rowOff>
    </xdr:to>
    <xdr:grpSp>
      <xdr:nvGrpSpPr>
        <xdr:cNvPr id="10" name="Group 9"/>
        <xdr:cNvGrpSpPr/>
      </xdr:nvGrpSpPr>
      <xdr:grpSpPr>
        <a:xfrm>
          <a:off x="7643812" y="710407"/>
          <a:ext cx="5449094" cy="6127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19050</xdr:rowOff>
    </xdr:from>
    <xdr:to>
      <xdr:col>1</xdr:col>
      <xdr:colOff>692277</xdr:colOff>
      <xdr:row>1</xdr:row>
      <xdr:rowOff>64770</xdr:rowOff>
    </xdr:to>
    <xdr:sp macro="" textlink="">
      <xdr:nvSpPr>
        <xdr:cNvPr id="17" name="Rounded Rectangle 16">
          <a:hlinkClick xmlns:r="http://schemas.openxmlformats.org/officeDocument/2006/relationships" r:id="rId4"/>
        </xdr:cNvPr>
        <xdr:cNvSpPr/>
      </xdr:nvSpPr>
      <xdr:spPr>
        <a:xfrm>
          <a:off x="0"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16</xdr:col>
      <xdr:colOff>380206</xdr:colOff>
      <xdr:row>0</xdr:row>
      <xdr:rowOff>19050</xdr:rowOff>
    </xdr:from>
    <xdr:to>
      <xdr:col>19</xdr:col>
      <xdr:colOff>53308</xdr:colOff>
      <xdr:row>1</xdr:row>
      <xdr:rowOff>64770</xdr:rowOff>
    </xdr:to>
    <xdr:sp macro="" textlink="">
      <xdr:nvSpPr>
        <xdr:cNvPr id="13" name="Rounded Rectangle 12">
          <a:hlinkClick xmlns:r="http://schemas.openxmlformats.org/officeDocument/2006/relationships" r:id="rId5"/>
        </xdr:cNvPr>
        <xdr:cNvSpPr/>
      </xdr:nvSpPr>
      <xdr:spPr>
        <a:xfrm>
          <a:off x="5609431" y="19050"/>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2</xdr:col>
      <xdr:colOff>286277</xdr:colOff>
      <xdr:row>0</xdr:row>
      <xdr:rowOff>19050</xdr:rowOff>
    </xdr:from>
    <xdr:to>
      <xdr:col>4</xdr:col>
      <xdr:colOff>87967</xdr:colOff>
      <xdr:row>1</xdr:row>
      <xdr:rowOff>64770</xdr:rowOff>
    </xdr:to>
    <xdr:sp macro="" textlink="">
      <xdr:nvSpPr>
        <xdr:cNvPr id="14" name="Rounded Rectangle 13">
          <a:hlinkClick xmlns:r="http://schemas.openxmlformats.org/officeDocument/2006/relationships" r:id="rId6"/>
        </xdr:cNvPr>
        <xdr:cNvSpPr/>
      </xdr:nvSpPr>
      <xdr:spPr>
        <a:xfrm>
          <a:off x="1607871" y="19050"/>
          <a:ext cx="95659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4</xdr:col>
      <xdr:colOff>386817</xdr:colOff>
      <xdr:row>0</xdr:row>
      <xdr:rowOff>19050</xdr:rowOff>
    </xdr:from>
    <xdr:to>
      <xdr:col>16</xdr:col>
      <xdr:colOff>81350</xdr:colOff>
      <xdr:row>1</xdr:row>
      <xdr:rowOff>64770</xdr:rowOff>
    </xdr:to>
    <xdr:sp macro="" textlink="">
      <xdr:nvSpPr>
        <xdr:cNvPr id="15" name="Rounded Rectangle 14">
          <a:hlinkClick xmlns:r="http://schemas.openxmlformats.org/officeDocument/2006/relationships" r:id="rId7"/>
        </xdr:cNvPr>
        <xdr:cNvSpPr/>
      </xdr:nvSpPr>
      <xdr:spPr>
        <a:xfrm>
          <a:off x="2863317" y="19050"/>
          <a:ext cx="1623346" cy="498158"/>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79375</xdr:colOff>
      <xdr:row>4</xdr:row>
      <xdr:rowOff>0</xdr:rowOff>
    </xdr:from>
    <xdr:to>
      <xdr:col>33</xdr:col>
      <xdr:colOff>431799</xdr:colOff>
      <xdr:row>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889000</xdr:colOff>
      <xdr:row>0</xdr:row>
      <xdr:rowOff>317500</xdr:rowOff>
    </xdr:from>
    <xdr:to>
      <xdr:col>13</xdr:col>
      <xdr:colOff>360362</xdr:colOff>
      <xdr:row>2</xdr:row>
      <xdr:rowOff>136071</xdr:rowOff>
    </xdr:to>
    <xdr:grpSp>
      <xdr:nvGrpSpPr>
        <xdr:cNvPr id="16" name="Group 15"/>
        <xdr:cNvGrpSpPr/>
      </xdr:nvGrpSpPr>
      <xdr:grpSpPr>
        <a:xfrm>
          <a:off x="11271250" y="317500"/>
          <a:ext cx="2492148" cy="71664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9525</xdr:rowOff>
    </xdr:from>
    <xdr:to>
      <xdr:col>1</xdr:col>
      <xdr:colOff>130302</xdr:colOff>
      <xdr:row>1</xdr:row>
      <xdr:rowOff>55245</xdr:rowOff>
    </xdr:to>
    <xdr:sp macro="" textlink="">
      <xdr:nvSpPr>
        <xdr:cNvPr id="20" name="Rounded Rectangle 19">
          <a:hlinkClick xmlns:r="http://schemas.openxmlformats.org/officeDocument/2006/relationships" r:id="rId4"/>
        </xdr:cNvPr>
        <xdr:cNvSpPr/>
      </xdr:nvSpPr>
      <xdr:spPr>
        <a:xfrm>
          <a:off x="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208756</xdr:colOff>
      <xdr:row>0</xdr:row>
      <xdr:rowOff>9525</xdr:rowOff>
    </xdr:from>
    <xdr:to>
      <xdr:col>5</xdr:col>
      <xdr:colOff>1653508</xdr:colOff>
      <xdr:row>1</xdr:row>
      <xdr:rowOff>55245</xdr:rowOff>
    </xdr:to>
    <xdr:sp macro="" textlink="">
      <xdr:nvSpPr>
        <xdr:cNvPr id="13" name="Rounded Rectangle 12">
          <a:hlinkClick xmlns:r="http://schemas.openxmlformats.org/officeDocument/2006/relationships" r:id="rId5"/>
        </xdr:cNvPr>
        <xdr:cNvSpPr/>
      </xdr:nvSpPr>
      <xdr:spPr>
        <a:xfrm>
          <a:off x="5657056"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1</xdr:col>
      <xdr:colOff>571235</xdr:colOff>
      <xdr:row>0</xdr:row>
      <xdr:rowOff>9525</xdr:rowOff>
    </xdr:from>
    <xdr:to>
      <xdr:col>2</xdr:col>
      <xdr:colOff>739637</xdr:colOff>
      <xdr:row>1</xdr:row>
      <xdr:rowOff>55245</xdr:rowOff>
    </xdr:to>
    <xdr:sp macro="" textlink="">
      <xdr:nvSpPr>
        <xdr:cNvPr id="14" name="Rounded Rectangle 13">
          <a:hlinkClick xmlns:r="http://schemas.openxmlformats.org/officeDocument/2006/relationships" r:id="rId6"/>
        </xdr:cNvPr>
        <xdr:cNvSpPr/>
      </xdr:nvSpPr>
      <xdr:spPr>
        <a:xfrm>
          <a:off x="1885685"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3</xdr:col>
      <xdr:colOff>247120</xdr:colOff>
      <xdr:row>0</xdr:row>
      <xdr:rowOff>9525</xdr:rowOff>
    </xdr:from>
    <xdr:to>
      <xdr:col>4</xdr:col>
      <xdr:colOff>891772</xdr:colOff>
      <xdr:row>1</xdr:row>
      <xdr:rowOff>55245</xdr:rowOff>
    </xdr:to>
    <xdr:sp macro="" textlink="">
      <xdr:nvSpPr>
        <xdr:cNvPr id="15" name="Rounded Rectangle 14">
          <a:hlinkClick xmlns:r="http://schemas.openxmlformats.org/officeDocument/2006/relationships" r:id="rId7"/>
        </xdr:cNvPr>
        <xdr:cNvSpPr/>
      </xdr:nvSpPr>
      <xdr:spPr>
        <a:xfrm>
          <a:off x="3771370" y="9525"/>
          <a:ext cx="1444752" cy="50292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19</xdr:row>
      <xdr:rowOff>47625</xdr:rowOff>
    </xdr:from>
    <xdr:to>
      <xdr:col>10</xdr:col>
      <xdr:colOff>276676</xdr:colOff>
      <xdr:row>26</xdr:row>
      <xdr:rowOff>177165</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1050925</xdr:colOff>
      <xdr:row>3</xdr:row>
      <xdr:rowOff>92075</xdr:rowOff>
    </xdr:from>
    <xdr:to>
      <xdr:col>18</xdr:col>
      <xdr:colOff>438150</xdr:colOff>
      <xdr:row>4</xdr:row>
      <xdr:rowOff>110671</xdr:rowOff>
    </xdr:to>
    <xdr:grpSp>
      <xdr:nvGrpSpPr>
        <xdr:cNvPr id="22" name="Group 21"/>
        <xdr:cNvGrpSpPr/>
      </xdr:nvGrpSpPr>
      <xdr:grpSpPr>
        <a:xfrm>
          <a:off x="5832475" y="720725"/>
          <a:ext cx="3321050" cy="332921"/>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5</xdr:row>
      <xdr:rowOff>9525</xdr:rowOff>
    </xdr:from>
    <xdr:to>
      <xdr:col>18</xdr:col>
      <xdr:colOff>438150</xdr:colOff>
      <xdr:row>5</xdr:row>
      <xdr:rowOff>504825</xdr:rowOff>
    </xdr:to>
    <xdr:sp macro="" textlink="">
      <xdr:nvSpPr>
        <xdr:cNvPr id="31" name="Rounded Rectangle 30">
          <a:hlinkClick xmlns:r="http://schemas.openxmlformats.org/officeDocument/2006/relationships" r:id="rId4"/>
        </xdr:cNvPr>
        <xdr:cNvSpPr/>
      </xdr:nvSpPr>
      <xdr:spPr>
        <a:xfrm>
          <a:off x="139700" y="1047750"/>
          <a:ext cx="9518650" cy="4953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NFI Standards please consult the</a:t>
          </a:r>
          <a:r>
            <a:rPr lang="en-US" sz="1100" baseline="0">
              <a:solidFill>
                <a:sysClr val="windowText" lastClr="000000"/>
              </a:solidFill>
            </a:rPr>
            <a:t> </a:t>
          </a:r>
          <a:r>
            <a:rPr lang="en-US" sz="1100">
              <a:solidFill>
                <a:sysClr val="windowText" lastClr="000000"/>
              </a:solidFill>
            </a:rPr>
            <a:t>Standard sand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u="sng">
              <a:solidFill>
                <a:schemeClr val="lt1"/>
              </a:solidFill>
              <a:effectLst/>
              <a:latin typeface="+mn-lt"/>
              <a:ea typeface="+mn-ea"/>
              <a:cs typeface="+mn-cs"/>
              <a:hlinkClick xmlns:r="http://schemas.openxmlformats.org/officeDocument/2006/relationships" r:id=""/>
            </a:rPr>
            <a:t>http://www.sheltercluster.org/library/standards-and-guidelines-nfi</a:t>
          </a:r>
          <a:endParaRPr lang="en-US" sz="1100">
            <a:solidFill>
              <a:schemeClr val="lt1"/>
            </a:solidFill>
            <a:effectLst/>
            <a:latin typeface="+mn-lt"/>
            <a:ea typeface="+mn-ea"/>
            <a:cs typeface="+mn-cs"/>
          </a:endParaRPr>
        </a:p>
      </xdr:txBody>
    </xdr:sp>
    <xdr:clientData/>
  </xdr:twoCellAnchor>
  <xdr:twoCellAnchor>
    <xdr:from>
      <xdr:col>2</xdr:col>
      <xdr:colOff>0</xdr:colOff>
      <xdr:row>37</xdr:row>
      <xdr:rowOff>63520</xdr:rowOff>
    </xdr:from>
    <xdr:to>
      <xdr:col>18</xdr:col>
      <xdr:colOff>352425</xdr:colOff>
      <xdr:row>38</xdr:row>
      <xdr:rowOff>225825</xdr:rowOff>
    </xdr:to>
    <xdr:grpSp>
      <xdr:nvGrpSpPr>
        <xdr:cNvPr id="32" name="Group 31"/>
        <xdr:cNvGrpSpPr/>
      </xdr:nvGrpSpPr>
      <xdr:grpSpPr>
        <a:xfrm>
          <a:off x="304800" y="7350145"/>
          <a:ext cx="8763000" cy="352805"/>
          <a:chOff x="11907" y="7524748"/>
          <a:chExt cx="8977312" cy="270043"/>
        </a:xfrm>
        <a:solidFill>
          <a:srgbClr val="FFFFFF"/>
        </a:solidFill>
        <a:effectLst/>
      </xdr:grpSpPr>
      <xdr:sp macro="" textlink="">
        <xdr:nvSpPr>
          <xdr:cNvPr id="33" name="Line 2"/>
          <xdr:cNvSpPr>
            <a:spLocks noChangeShapeType="1"/>
          </xdr:cNvSpPr>
        </xdr:nvSpPr>
        <xdr:spPr bwMode="auto">
          <a:xfrm>
            <a:off x="47625" y="7524748"/>
            <a:ext cx="8941594" cy="1"/>
          </a:xfrm>
          <a:prstGeom prst="line">
            <a:avLst/>
          </a:prstGeom>
          <a:grpFill/>
          <a:ln w="12700">
            <a:solidFill>
              <a:srgbClr val="808080"/>
            </a:solidFill>
            <a:round/>
            <a:headEnd/>
            <a:tailEnd/>
          </a:ln>
          <a:extLst/>
        </xdr:spPr>
      </xdr:sp>
      <xdr:grpSp>
        <xdr:nvGrpSpPr>
          <xdr:cNvPr id="34" name="Group 33"/>
          <xdr:cNvGrpSpPr/>
        </xdr:nvGrpSpPr>
        <xdr:grpSpPr>
          <a:xfrm>
            <a:off x="11907" y="7536625"/>
            <a:ext cx="8941593" cy="258166"/>
            <a:chOff x="6083301" y="9200286"/>
            <a:chExt cx="7309756" cy="195483"/>
          </a:xfrm>
          <a:grpFill/>
        </xdr:grpSpPr>
        <xdr:sp macro="" textlink="">
          <xdr:nvSpPr>
            <xdr:cNvPr id="35" name="TextBox 34"/>
            <xdr:cNvSpPr txBox="1"/>
          </xdr:nvSpPr>
          <xdr:spPr>
            <a:xfrm>
              <a:off x="6083301" y="9200286"/>
              <a:ext cx="3601345" cy="19548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12648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6" y="9207943"/>
              <a:ext cx="1012271" cy="1231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0</xdr:colOff>
      <xdr:row>2</xdr:row>
      <xdr:rowOff>13575</xdr:rowOff>
    </xdr:from>
    <xdr:to>
      <xdr:col>2</xdr:col>
      <xdr:colOff>1263777</xdr:colOff>
      <xdr:row>2</xdr:row>
      <xdr:rowOff>379335</xdr:rowOff>
    </xdr:to>
    <xdr:sp macro="" textlink="">
      <xdr:nvSpPr>
        <xdr:cNvPr id="40" name="Rounded Rectangle 39">
          <a:hlinkClick xmlns:r="http://schemas.openxmlformats.org/officeDocument/2006/relationships" r:id="rId5"/>
        </xdr:cNvPr>
        <xdr:cNvSpPr/>
      </xdr:nvSpPr>
      <xdr:spPr>
        <a:xfrm>
          <a:off x="0" y="13575"/>
          <a:ext cx="14447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9</xdr:col>
      <xdr:colOff>342106</xdr:colOff>
      <xdr:row>2</xdr:row>
      <xdr:rowOff>14979</xdr:rowOff>
    </xdr:from>
    <xdr:to>
      <xdr:col>12</xdr:col>
      <xdr:colOff>424783</xdr:colOff>
      <xdr:row>2</xdr:row>
      <xdr:rowOff>380739</xdr:rowOff>
    </xdr:to>
    <xdr:sp macro="" textlink="">
      <xdr:nvSpPr>
        <xdr:cNvPr id="18" name="Rounded Rectangle 17">
          <a:hlinkClick xmlns:r="http://schemas.openxmlformats.org/officeDocument/2006/relationships" r:id="rId6"/>
        </xdr:cNvPr>
        <xdr:cNvSpPr/>
      </xdr:nvSpPr>
      <xdr:spPr>
        <a:xfrm>
          <a:off x="4266406" y="405504"/>
          <a:ext cx="213055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3</xdr:col>
      <xdr:colOff>344145</xdr:colOff>
      <xdr:row>2</xdr:row>
      <xdr:rowOff>21075</xdr:rowOff>
    </xdr:from>
    <xdr:to>
      <xdr:col>5</xdr:col>
      <xdr:colOff>360147</xdr:colOff>
      <xdr:row>2</xdr:row>
      <xdr:rowOff>386835</xdr:rowOff>
    </xdr:to>
    <xdr:sp macro="" textlink="">
      <xdr:nvSpPr>
        <xdr:cNvPr id="19" name="Rounded Rectangle 18">
          <a:hlinkClick xmlns:r="http://schemas.openxmlformats.org/officeDocument/2006/relationships" r:id="rId7"/>
        </xdr:cNvPr>
        <xdr:cNvSpPr/>
      </xdr:nvSpPr>
      <xdr:spPr>
        <a:xfrm>
          <a:off x="1525245" y="411600"/>
          <a:ext cx="9304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Summary</a:t>
          </a:r>
          <a:endParaRPr lang="en-US" sz="1100" b="1"/>
        </a:p>
      </xdr:txBody>
    </xdr:sp>
    <xdr:clientData/>
  </xdr:twoCellAnchor>
  <xdr:twoCellAnchor>
    <xdr:from>
      <xdr:col>6</xdr:col>
      <xdr:colOff>216919</xdr:colOff>
      <xdr:row>2</xdr:row>
      <xdr:rowOff>14979</xdr:rowOff>
    </xdr:from>
    <xdr:to>
      <xdr:col>8</xdr:col>
      <xdr:colOff>423421</xdr:colOff>
      <xdr:row>2</xdr:row>
      <xdr:rowOff>380739</xdr:rowOff>
    </xdr:to>
    <xdr:sp macro="" textlink="">
      <xdr:nvSpPr>
        <xdr:cNvPr id="20" name="Rounded Rectangle 19">
          <a:hlinkClick xmlns:r="http://schemas.openxmlformats.org/officeDocument/2006/relationships" r:id="rId8"/>
        </xdr:cNvPr>
        <xdr:cNvSpPr/>
      </xdr:nvSpPr>
      <xdr:spPr>
        <a:xfrm>
          <a:off x="2769619" y="405504"/>
          <a:ext cx="1120902" cy="36576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Agency</a:t>
          </a:r>
          <a:endParaRPr lang="en-US" sz="1100" b="1"/>
        </a:p>
      </xdr:txBody>
    </xdr:sp>
    <xdr:clientData/>
  </xdr:twoCellAnchor>
  <xdr:twoCellAnchor>
    <xdr:from>
      <xdr:col>2</xdr:col>
      <xdr:colOff>1</xdr:colOff>
      <xdr:row>27</xdr:row>
      <xdr:rowOff>49530</xdr:rowOff>
    </xdr:from>
    <xdr:to>
      <xdr:col>10</xdr:col>
      <xdr:colOff>276676</xdr:colOff>
      <xdr:row>36</xdr:row>
      <xdr:rowOff>11430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38101</xdr:colOff>
      <xdr:row>27</xdr:row>
      <xdr:rowOff>49529</xdr:rowOff>
    </xdr:from>
    <xdr:to>
      <xdr:col>19</xdr:col>
      <xdr:colOff>451</xdr:colOff>
      <xdr:row>36</xdr:row>
      <xdr:rowOff>11430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7</xdr:row>
      <xdr:rowOff>9524</xdr:rowOff>
    </xdr:from>
    <xdr:to>
      <xdr:col>10</xdr:col>
      <xdr:colOff>0</xdr:colOff>
      <xdr:row>10</xdr:row>
      <xdr:rowOff>67349</xdr:rowOff>
    </xdr:to>
    <xdr:sp macro="" textlink="">
      <xdr:nvSpPr>
        <xdr:cNvPr id="25" name="Rounded Rectangle 24"/>
        <xdr:cNvSpPr/>
      </xdr:nvSpPr>
      <xdr:spPr>
        <a:xfrm>
          <a:off x="38100" y="1609724"/>
          <a:ext cx="3981450"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NFI Core Kit : #  targetted households</a:t>
          </a:r>
          <a:r>
            <a:rPr lang="en-US" sz="800" baseline="0">
              <a:solidFill>
                <a:schemeClr val="tx2">
                  <a:lumMod val="40000"/>
                  <a:lumOff val="60000"/>
                </a:schemeClr>
              </a:solidFill>
              <a:latin typeface="Franklin Gothic Demi" pitchFamily="34" charset="0"/>
            </a:rPr>
            <a:t> </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9525</xdr:colOff>
      <xdr:row>7</xdr:row>
      <xdr:rowOff>38100</xdr:rowOff>
    </xdr:from>
    <xdr:to>
      <xdr:col>18</xdr:col>
      <xdr:colOff>447675</xdr:colOff>
      <xdr:row>10</xdr:row>
      <xdr:rowOff>95925</xdr:rowOff>
    </xdr:to>
    <xdr:sp macro="" textlink="">
      <xdr:nvSpPr>
        <xdr:cNvPr id="28" name="Rounded Rectangle 27"/>
        <xdr:cNvSpPr/>
      </xdr:nvSpPr>
      <xdr:spPr>
        <a:xfrm>
          <a:off x="4486275" y="1638300"/>
          <a:ext cx="4314825" cy="5436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r>
            <a:rPr lang="en-US" sz="800">
              <a:solidFill>
                <a:schemeClr val="tx2">
                  <a:lumMod val="40000"/>
                  <a:lumOff val="60000"/>
                </a:schemeClr>
              </a:solidFill>
              <a:latin typeface="Franklin Gothic Demi" pitchFamily="34" charset="0"/>
            </a:rPr>
            <a:t>Winter</a:t>
          </a:r>
          <a:r>
            <a:rPr lang="en-US" sz="800" baseline="0">
              <a:solidFill>
                <a:schemeClr val="tx2">
                  <a:lumMod val="40000"/>
                  <a:lumOff val="60000"/>
                </a:schemeClr>
              </a:solidFill>
              <a:latin typeface="Franklin Gothic Demi" pitchFamily="34" charset="0"/>
            </a:rPr>
            <a:t> Items : # targetted households</a:t>
          </a:r>
          <a:endParaRPr lang="en-US" sz="800">
            <a:solidFill>
              <a:schemeClr val="tx2">
                <a:lumMod val="40000"/>
                <a:lumOff val="60000"/>
              </a:schemeClr>
            </a:solidFill>
            <a:latin typeface="Franklin Gothic Demi" pitchFamily="34" charset="0"/>
          </a:endParaRPr>
        </a:p>
      </xdr:txBody>
    </xdr:sp>
    <xdr:clientData/>
  </xdr:twoCellAnchor>
  <xdr:twoCellAnchor>
    <xdr:from>
      <xdr:col>11</xdr:col>
      <xdr:colOff>38101</xdr:colOff>
      <xdr:row>19</xdr:row>
      <xdr:rowOff>38100</xdr:rowOff>
    </xdr:from>
    <xdr:to>
      <xdr:col>18</xdr:col>
      <xdr:colOff>468630</xdr:colOff>
      <xdr:row>26</xdr:row>
      <xdr:rowOff>167640</xdr:rowOff>
    </xdr:to>
    <xdr:graphicFrame macro="">
      <xdr:nvGraphicFramePr>
        <xdr:cNvPr id="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152401</xdr:colOff>
      <xdr:row>7</xdr:row>
      <xdr:rowOff>9524</xdr:rowOff>
    </xdr:from>
    <xdr:to>
      <xdr:col>6</xdr:col>
      <xdr:colOff>247651</xdr:colOff>
      <xdr:row>10</xdr:row>
      <xdr:rowOff>67349</xdr:rowOff>
    </xdr:to>
    <xdr:sp macro="" textlink="$W$4">
      <xdr:nvSpPr>
        <xdr:cNvPr id="39" name="Rounded Rectangle 38"/>
        <xdr:cNvSpPr/>
      </xdr:nvSpPr>
      <xdr:spPr>
        <a:xfrm>
          <a:off x="1885951" y="1609724"/>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fld id="{866AAD63-F696-4B61-B8A1-8F667A21ADA1}" type="TxLink">
            <a:rPr lang="en-US" sz="800">
              <a:solidFill>
                <a:schemeClr val="tx2">
                  <a:lumMod val="40000"/>
                  <a:lumOff val="60000"/>
                </a:schemeClr>
              </a:solidFill>
              <a:latin typeface="Franklin Gothic Demi" pitchFamily="34" charset="0"/>
            </a:rPr>
            <a:pPr algn="l"/>
            <a:t> 1,850 </a:t>
          </a:fld>
          <a:endParaRPr lang="en-US" sz="800">
            <a:solidFill>
              <a:schemeClr val="tx2">
                <a:lumMod val="40000"/>
                <a:lumOff val="60000"/>
              </a:schemeClr>
            </a:solidFill>
            <a:latin typeface="Franklin Gothic Demi" pitchFamily="34" charset="0"/>
          </a:endParaRPr>
        </a:p>
      </xdr:txBody>
    </xdr:sp>
    <xdr:clientData/>
  </xdr:twoCellAnchor>
  <xdr:twoCellAnchor>
    <xdr:from>
      <xdr:col>13</xdr:col>
      <xdr:colOff>342900</xdr:colOff>
      <xdr:row>7</xdr:row>
      <xdr:rowOff>38100</xdr:rowOff>
    </xdr:from>
    <xdr:to>
      <xdr:col>14</xdr:col>
      <xdr:colOff>438150</xdr:colOff>
      <xdr:row>10</xdr:row>
      <xdr:rowOff>95925</xdr:rowOff>
    </xdr:to>
    <xdr:sp macro="" textlink="$W$5">
      <xdr:nvSpPr>
        <xdr:cNvPr id="41" name="Rounded Rectangle 40"/>
        <xdr:cNvSpPr/>
      </xdr:nvSpPr>
      <xdr:spPr>
        <a:xfrm>
          <a:off x="6410325" y="1638300"/>
          <a:ext cx="552450" cy="543600"/>
        </a:xfrm>
        <a:prstGeom prst="roundRect">
          <a:avLst/>
        </a:prstGeom>
        <a:no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marL="0" indent="0" algn="l"/>
          <a:fld id="{51CE7971-745A-4014-873E-EC6C604327F5}" type="TxLink">
            <a:rPr lang="en-US" sz="800">
              <a:solidFill>
                <a:schemeClr val="tx2">
                  <a:lumMod val="40000"/>
                  <a:lumOff val="60000"/>
                </a:schemeClr>
              </a:solidFill>
              <a:latin typeface="Franklin Gothic Demi" pitchFamily="34" charset="0"/>
              <a:ea typeface="+mn-ea"/>
              <a:cs typeface="+mn-cs"/>
            </a:rPr>
            <a:pPr marL="0" indent="0" algn="l"/>
            <a:t> 1,814 </a:t>
          </a:fld>
          <a:endParaRPr lang="en-US" sz="800">
            <a:solidFill>
              <a:schemeClr val="tx2">
                <a:lumMod val="40000"/>
                <a:lumOff val="60000"/>
              </a:schemeClr>
            </a:solidFill>
            <a:latin typeface="Franklin Gothic Demi"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wint/Dropbox/MYAYA_IMO/Kachin/Cluster_Report/2016/January/Shelter-NFI-CCCM%20Kachin%20Northern%20Shan%20Cluster%20Analysis%20Report%201st%20Jan%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mp List"/>
      <sheetName val="DistanceToCamp"/>
      <sheetName val="Camp Analysis"/>
      <sheetName val="Camp List (printable)"/>
      <sheetName val="CCCM Dashboard"/>
      <sheetName val="ForGIS"/>
      <sheetName val="Shelter Cross Check"/>
      <sheetName val="Shelter Tracking"/>
      <sheetName val="Shelter Progress"/>
      <sheetName val="Shelter Summary (by Agency)"/>
      <sheetName val="Shelter Coverage Camp"/>
      <sheetName val="Shelter Coverage &amp; Gaps"/>
      <sheetName val="NFI Tracking"/>
      <sheetName val="NFI Pipeline"/>
      <sheetName val="Sheet2"/>
      <sheetName val="NFI Distribution (by Tship)"/>
      <sheetName val="Winter Item"/>
      <sheetName val="NFI Summary"/>
      <sheetName val="Map"/>
      <sheetName val="Define_TCL"/>
      <sheetName val="File_Details"/>
      <sheetName val="Definit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S7" t="str">
            <v>#Covered</v>
          </cell>
          <cell r="T7">
            <v>11764</v>
          </cell>
        </row>
        <row r="9">
          <cell r="S9" t="str">
            <v>#Gap</v>
          </cell>
          <cell r="T9">
            <v>5677</v>
          </cell>
        </row>
        <row r="10">
          <cell r="S10" t="str">
            <v>#Land Issue</v>
          </cell>
          <cell r="T10">
            <v>84</v>
          </cell>
        </row>
      </sheetData>
      <sheetData sheetId="13"/>
      <sheetData sheetId="14"/>
      <sheetData sheetId="15"/>
      <sheetData sheetId="16"/>
      <sheetData sheetId="17"/>
      <sheetData sheetId="18"/>
      <sheetData sheetId="19"/>
      <sheetData sheetId="20"/>
      <sheetData sheetId="21"/>
      <sheetData sheetId="2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Ricouart" refreshedDate="42100.473941087963" createdVersion="4" refreshedVersion="4" minRefreshableVersion="3" recordCount="167">
  <cacheSource type="worksheet">
    <worksheetSource name="Table10"/>
  </cacheSource>
  <cacheFields count="14">
    <cacheField name="Pcode" numFmtId="0">
      <sharedItems/>
    </cacheField>
    <cacheField name="Priority" numFmtId="0">
      <sharedItems count="4">
        <s v="P1"/>
        <s v="P2"/>
        <s v="P3"/>
        <s v="P4"/>
      </sharedItems>
    </cacheField>
    <cacheField name="Camp" numFmtId="0">
      <sharedItems/>
    </cacheField>
    <cacheField name="Township" numFmtId="0">
      <sharedItems/>
    </cacheField>
    <cacheField name="HH" numFmtId="0">
      <sharedItems containsSemiMixedTypes="0" containsString="0" containsNumber="1" containsInteger="1" minValue="0" maxValue="1658"/>
    </cacheField>
    <cacheField name="Ind" numFmtId="0">
      <sharedItems containsSemiMixedTypes="0" containsString="0" containsNumber="1" containsInteger="1" minValue="0" maxValue="8585"/>
    </cacheField>
    <cacheField name="Winter Clothes Adult " numFmtId="0">
      <sharedItems containsSemiMixedTypes="0" containsString="0" containsNumber="1" containsInteger="1" minValue="0" maxValue="2910"/>
    </cacheField>
    <cacheField name="Winter Clothes Children " numFmtId="0">
      <sharedItems containsSemiMixedTypes="0" containsString="0" containsNumber="1" containsInteger="1" minValue="0" maxValue="5160"/>
    </cacheField>
    <cacheField name="Winter Items Other " numFmtId="0">
      <sharedItems containsSemiMixedTypes="0" containsString="0" containsNumber="1" containsInteger="1" minValue="0" maxValue="0"/>
    </cacheField>
    <cacheField name="WC_Adult_Gap" numFmtId="0">
      <sharedItems containsSemiMixedTypes="0" containsString="0" containsNumber="1" containsInteger="1" minValue="0" maxValue="1680"/>
    </cacheField>
    <cacheField name="WC_Child_Gap" numFmtId="0">
      <sharedItems containsSemiMixedTypes="0" containsString="0" containsNumber="1" containsInteger="1" minValue="0" maxValue="2520"/>
    </cacheField>
    <cacheField name="WI_Other_Gap" numFmtId="0">
      <sharedItems containsSemiMixedTypes="0" containsString="0" containsNumber="1" containsInteger="1" minValue="0" maxValue="3316"/>
    </cacheField>
    <cacheField name="Planned Distribution" numFmtId="0">
      <sharedItems/>
    </cacheField>
    <cacheField name="Check1"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NHCRuser" refreshedDate="42571.72319178241" missingItemsLimit="0" createdVersion="4" refreshedVersion="4" minRefreshableVersion="3" recordCount="342">
  <cacheSource type="worksheet">
    <worksheetSource name="Table_Shelter"/>
  </cacheSource>
  <cacheFields count="23">
    <cacheField name="Update Date" numFmtId="0">
      <sharedItems containsNonDate="0" containsDate="1" containsString="0" containsBlank="1" minDate="2013-12-01T00:00:00" maxDate="2016-07-21T00:00:00"/>
    </cacheField>
    <cacheField name="Organization" numFmtId="0">
      <sharedItems containsBlank="1" count="16">
        <s v="UNHCR"/>
        <s v="ACTED"/>
        <s v="IRRC"/>
        <m/>
        <s v="DRC"/>
        <s v="World Vision"/>
        <s v="Metta"/>
        <s v="CC"/>
        <s v="Oxfam"/>
        <s v="Caritas"/>
        <s v="FSD"/>
        <s v="KBC Zonal"/>
        <s v="Yedai Foundation"/>
        <s v="COC"/>
        <s v="DFID"/>
        <s v="Misereor"/>
      </sharedItems>
    </cacheField>
    <cacheField name="Implementing  Partner" numFmtId="0">
      <sharedItems containsBlank="1"/>
    </cacheField>
    <cacheField name="State" numFmtId="0">
      <sharedItems count="2">
        <s v="Kachin"/>
        <s v="Shan_North"/>
      </sharedItems>
    </cacheField>
    <cacheField name="Township" numFmtId="0">
      <sharedItems count="17">
        <s v="Hpakant"/>
        <s v="Bhamo"/>
        <s v="Waingmaw"/>
        <s v="Mansi"/>
        <s v="Chipwi"/>
        <s v="Myitkyina"/>
        <s v="Momauk"/>
        <s v="Manton"/>
        <s v="Kutkai"/>
        <s v="Mogaung"/>
        <s v="Puta-O"/>
        <s v="Muse"/>
        <s v="Namhkan"/>
        <s v="Hseni"/>
        <s v="Namtu"/>
        <s v="Mohnyin"/>
        <s v="Shwegu"/>
      </sharedItems>
    </cacheField>
    <cacheField name="CampName" numFmtId="0">
      <sharedItems containsBlank="1" count="143">
        <s v="5 Ward Baptist Church(lon Khin)"/>
        <s v="5 Ward RC Church(lon Khin)"/>
        <s v="AD-2000 Tharthana Compound"/>
        <s v="AG Church, Hmaw Si Sa"/>
        <s v="AG Church, Maw Wan"/>
        <s v="Aung Thar Church"/>
        <s v="Baptist Church, Hmaw Si Sar(Lon Khin)"/>
        <s v="Baptist Church, Naung Hmee VT"/>
        <s v="Border Post 8"/>
        <s v="Bum Tsit Pa "/>
        <s v="Bum Tsit Pa Camp II"/>
        <s v="Chin Church, Seik Mu"/>
        <s v="Chipwi KBC Camp"/>
        <s v="Dhama Rakhita, Nyein Chan Tar Yar Ward(Lon Khin)"/>
        <s v="Du Kahtawng Qtr. 14"/>
        <s v="Du Kahtawng Qtr. 4"/>
        <s v="Du Kahtawng Qtr. 5"/>
        <s v="Dum Bung "/>
        <s v="Hkat Cho "/>
        <s v="Hkau Shau (BP 12)"/>
        <s v="Hmaw Wan, Anglican"/>
        <s v="Howa"/>
        <s v="Hpare Hkyer - BP6"/>
        <s v="Hpun Lum Yang "/>
        <s v="Htoi San Church"/>
        <s v="Jan Mai Kawng Baptist Church"/>
        <s v="Jan Mai Kawng Catholic Church"/>
        <s v="Je Yang Hka "/>
        <s v="Kone Khem Camp"/>
        <s v="Ku Day Maw KBC"/>
        <s v="Kutkai downtown (KBC Church)"/>
        <s v="Kutkai downtown (RC Church)"/>
        <s v="Kyun Pin Thar Baptist Church"/>
        <s v="Kyun Taw Baptist Church "/>
        <s v="Lagatyan "/>
        <s v="Lana Zup Ja "/>
        <s v="Le Kone Bethlehem Church"/>
        <s v="Le Kone Ziun Baptist Church "/>
        <s v="Lhaovao Baptist Church (LBC)"/>
        <s v="Lisu Baptist Church, Maw Shan Vil,. Seik Mu"/>
        <s v="Lisu Baptist Church, Maw Wan Ward"/>
        <s v="Lisu Boarding-House"/>
        <s v="Loi Je Baptist Church"/>
        <s v="Loi Je Catholic Church"/>
        <s v="Loi Je Lisu Camp"/>
        <s v="Lung Kawk  ( Hka Hkye Zup)"/>
        <s v="Lung Sut"/>
        <s v="Mading Baptist Church"/>
        <s v="Maga Yang "/>
        <s v="Mai Khat "/>
        <s v="Maina AG Church"/>
        <s v="Maina Catholic Church (St. Joseph)"/>
        <s v="Maina KBC (Bawng Ring)"/>
        <s v="Maina Lawang Baptist Church"/>
        <s v="Maing Khaung"/>
        <s v="Maing Khaung Catholic Church"/>
        <s v="Maliyang Baptist Church"/>
        <s v="Man Bung Catholic compound"/>
        <s v="Man Hkring Baptist Church"/>
        <s v="Man Kawng Baptist Church"/>
        <s v="Man Wing Baptist Church"/>
        <s v="Man Wing Catholic Church"/>
        <s v="Mandalay Monestry"/>
        <s v="Mandung - Jinghpaw"/>
        <s v="Mandung - RC"/>
        <s v="Mang Hawng Baptist Church"/>
        <s v="Mansi Baptist Church"/>
        <s v="Mashi Kahtawng Baptist  Church"/>
        <s v="Maw Hpawng Hka Nan Baptist Church"/>
        <s v="Maw Hpawng Lhaovo Baptist Church"/>
        <s v="Maw Wan, Mu-yin Baptist Church"/>
        <s v="Mine Yu Lay village"/>
        <s v="Momauk Baptist Church"/>
        <s v="Momauk Catholic Church (St. Patrick)"/>
        <s v="Mung Baw "/>
        <s v="Mung Ding Pa  (Boarder)"/>
        <s v="Mungji Pa Dabang (Baptist Church)         "/>
        <s v="Muse Baptist Church"/>
        <s v="Muse Catholic Church"/>
        <s v="Mu-yin Baptist Church"/>
        <s v="Nam Hkam - Nay Win Ni (Palawng)"/>
        <s v="Nam Hkam (KBC Jaw Wang)"/>
        <s v="Nam Hkam (KBC Jaw Wang) II"/>
        <s v="Nam Hkawng"/>
        <s v="Nam Hpak Ka Mare "/>
        <s v="Nam Lim Pa"/>
        <s v="Nam Ma Phyit, COC"/>
        <s v="Nam Sa Larp"/>
        <s v="Nam Tu Baptist"/>
        <s v="Namhkan - Pang Long KBC"/>
        <s v="Nan Kway St. John Catholic Church"/>
        <s v="Nant Hlaing Church"/>
        <s v="Nant Ma Hpit Catholic Church"/>
        <s v="Nat Gyi Kone Baptist Church "/>
        <s v="Nawng Hee Village"/>
        <s v="Nawng Ing (Indawgyi) Baptist Church  "/>
        <s v="Nga Pyaw Taw Baptist Nursery School "/>
        <s v="Nhkawng Pa "/>
        <s v="Ni Thaw Ka Monestry"/>
        <s v="Njang Dung Baptist Church "/>
        <s v="Nyaung Na Pin "/>
        <s v="Pa Dauk Myaing(Pa La Na)"/>
        <s v="Pa Kahtawng "/>
        <s v="Pajau - Jan Mai"/>
        <s v="Pan Wa"/>
        <s v="Phan Khar Kone"/>
        <s v="Post 6 Camp"/>
        <s v="Qtr. 2 Lhaovo Baptist Church"/>
        <s v="Qtr. 2 Myoma Baptist Church"/>
        <s v="Qtr. 3 Mu-yin  Baptist Church"/>
        <s v="Qtr. 4 Monestry (Thargaya Thayett Taw)"/>
        <s v="Rawan Baptist Church, Maw Shan Vil., Seik Mu"/>
        <s v="Robert Church"/>
        <s v="RRD Office"/>
        <s v="Sai Nai Baptish Church, Maw Shan Vil., Seki Mu"/>
        <s v="Sar Hmaw - KBC"/>
        <s v="Seng Ja "/>
        <s v="Shatapru Sut Ngai Tawng"/>
        <s v="Shing Jai"/>
        <s v="Shwe Gu Baptist Church"/>
        <s v="Shwe Gu Catholic Church"/>
        <s v="Shwe Zet Baptist Church"/>
        <s v="St. Patrick Catholic Church "/>
        <s v="Ta Gun Taing Monastery (Shwe Kyi Na)"/>
        <s v="Tat Kone Baptist Church"/>
        <s v="Tat Kone COC Baptist - Tat Kone Htoi San"/>
        <s v="Tat Kone Emanuel Church"/>
        <s v="Tat Kone Galile Baptist Church"/>
        <s v="Tat Kone San Pya Baptist Church"/>
        <s v="Thargaya Lisu Baptist Church"/>
        <s v="Tharthana Ahlin Yaung New Monastery"/>
        <s v="Waingmaw AG Church"/>
        <s v="Waingmaw Baptist Zonal Office"/>
        <s v="Ward 2 Cahotlic Church, Seik Mu"/>
        <s v="Ward 2 Sai Taung Baptist Church, Seik Mu "/>
        <s v="Warra Zup"/>
        <s v="Woi Chyai "/>
        <s v="Wun Tho Buddhist Monastery"/>
        <s v="Yoe Kyi Monastery"/>
        <s v="Yumar Baptist Church"/>
        <s v="Zai Awng - Mung Ga Zup"/>
        <s v="Zup Aung Camp"/>
        <m/>
      </sharedItems>
    </cacheField>
    <cacheField name="HH per Shelter" numFmtId="0">
      <sharedItems containsString="0" containsBlank="1" containsNumber="1" containsInteger="1" minValue="1" maxValue="1"/>
    </cacheField>
    <cacheField name="# of Family Tent Planned(Target)" numFmtId="0">
      <sharedItems containsString="0" containsBlank="1" containsNumber="1" containsInteger="1" minValue="1" maxValue="207"/>
    </cacheField>
    <cacheField name="# of Family Tent Distributed" numFmtId="0">
      <sharedItems containsString="0" containsBlank="1" containsNumber="1" containsInteger="1" minValue="1" maxValue="207"/>
    </cacheField>
    <cacheField name="# of Temporary Shelter Units Planned (Target)" numFmtId="0">
      <sharedItems containsString="0" containsBlank="1" containsNumber="1" containsInteger="1" minValue="2" maxValue="700"/>
    </cacheField>
    <cacheField name="# of Temporary Shelter Units Built" numFmtId="0">
      <sharedItems containsString="0" containsBlank="1" containsNumber="1" containsInteger="1" minValue="2" maxValue="700"/>
    </cacheField>
    <cacheField name="# of Temporary Shelter Under  Construction" numFmtId="0">
      <sharedItems containsNonDate="0" containsString="0" containsBlank="1"/>
    </cacheField>
    <cacheField name="# of Permanent House Planned (Target)" numFmtId="0">
      <sharedItems containsNonDate="0" containsString="0" containsBlank="1"/>
    </cacheField>
    <cacheField name="# of Permanent House Built" numFmtId="0">
      <sharedItems containsNonDate="0" containsString="0" containsBlank="1"/>
    </cacheField>
    <cacheField name="# of Permanent House Under Construction" numFmtId="0">
      <sharedItems containsNonDate="0" containsString="0" containsBlank="1"/>
    </cacheField>
    <cacheField name="HH Covered" numFmtId="0">
      <sharedItems containsSemiMixedTypes="0" containsString="0" containsNumber="1" containsInteger="1" minValue="0" maxValue="700"/>
    </cacheField>
    <cacheField name="Planned Renovation" numFmtId="0">
      <sharedItems containsString="0" containsBlank="1" containsNumber="1" containsInteger="1" minValue="2" maxValue="338"/>
    </cacheField>
    <cacheField name="Renovated" numFmtId="0">
      <sharedItems containsString="0" containsBlank="1" containsNumber="1" containsInteger="1" minValue="5" maxValue="338"/>
    </cacheField>
    <cacheField name="Pcode" numFmtId="0">
      <sharedItems count="141">
        <s v="MMR001CMP179"/>
        <s v="MMR001CMP168"/>
        <s v="MMR001CMP050"/>
        <s v="MMR001CMP176"/>
        <s v="MMR001CMP190"/>
        <s v="MMR001CMP194"/>
        <s v="MMR001CMP169"/>
        <s v="MMR001CMP188"/>
        <s v="MMR001CMP113"/>
        <s v="MMR001CMP129"/>
        <s v="MMR001CMP226"/>
        <s v="MMR001CMP109"/>
        <s v="MMR001CMP042"/>
        <s v="MMR001CMP174"/>
        <s v="MMR001CMP012"/>
        <s v="MMR001CMP010"/>
        <s v="MMR001CMP011"/>
        <s v="MMR001CMP123"/>
        <s v="MMR001CMP028"/>
        <s v="MMR001CMP115"/>
        <s v="MMR001CMP191"/>
        <s v="MMR015CMP010"/>
        <s v="MMR001CMP043"/>
        <s v="MMR001CMP122"/>
        <s v="MMR001CMP052"/>
        <s v="MMR001CMP018"/>
        <s v="MMR001CMP019"/>
        <s v="MMR001CMP121"/>
        <s v="MMR015CMP015"/>
        <s v="MMR001CMP231"/>
        <s v="MMR015CMP016"/>
        <s v="MMR015CMP017"/>
        <s v="MMR001CMP013"/>
        <s v="MMR001CMP078"/>
        <s v="MMR001CMP202"/>
        <s v="MMR001CMP128"/>
        <s v="MMR001CMP015"/>
        <s v="MMR001CMP014"/>
        <s v="MMR001CMP195"/>
        <s v="MMR001CMP181"/>
        <s v="MMR001CMP167"/>
        <s v="MMR001CMP049"/>
        <s v="MMR001CMP071"/>
        <s v="MMR001CMP069"/>
        <s v="MMR001CMP070"/>
        <s v="MMR001CMP135"/>
        <s v="MMR001CMP234"/>
        <s v="MMR001CMP027"/>
        <s v="MMR001CMP119"/>
        <s v="MMR001CMP064"/>
        <s v="MMR001CMP031"/>
        <s v="MMR001CMP029"/>
        <s v="MMR001CMP040"/>
        <s v="MMR001CMP039"/>
        <s v="MMR001CMP218"/>
        <s v="MMR001CMP223"/>
        <s v="MMR001CMP016"/>
        <s v="MMR001CMP062"/>
        <s v="MMR001CMP008"/>
        <s v="MMR001CMP212"/>
        <s v="MMR001CMP133"/>
        <s v="MMR001CMP132"/>
        <s v="MMR001CMP058"/>
        <s v="MMR015CMP009"/>
        <s v="MMR015CMP209"/>
        <s v="MMR001CMP077"/>
        <s v="MMR001CMP066"/>
        <s v="MMR001CMP094"/>
        <s v="MMR001CMP020"/>
        <s v="MMR001CMP021"/>
        <s v="MMR001CMP091"/>
        <s v="MMR015CMP018"/>
        <s v="MMR001CMP056"/>
        <s v="MMR001CMP057"/>
        <s v="MMR015CMP005"/>
        <s v="MMR001CMP203"/>
        <s v="MMR015CMP006"/>
        <s v="MMR015CMP213"/>
        <s v="MMR015CMP216"/>
        <s v="MMR001CMP051"/>
        <s v="MMR015CMP004"/>
        <s v="MMR015CMP001"/>
        <s v="MMR015CMP214"/>
        <s v="MMR015CMP139"/>
        <s v="MMR015CMP007"/>
        <s v="MMR001CMP204"/>
        <s v="MMR001CMP192"/>
        <s v="MMR015CMP218"/>
        <s v="MMR015CMP014"/>
        <s v="MMR015CMP215"/>
        <s v="MMR001CMP024"/>
        <s v="MMR001CMP054"/>
        <s v="MMR001CMP103"/>
        <s v="MMR001CMP079"/>
        <s v="MMR001CMP033"/>
        <s v="MMR001CMP152"/>
        <s v="MMR001CMP082"/>
        <s v="MMR001CMP131"/>
        <s v="MMR001CMP059"/>
        <s v="MMR001CMP002"/>
        <s v="MMR001CMP072"/>
        <s v="MMR001CMP162"/>
        <s v="MMR001CMP126"/>
        <s v="MMR001CMP120"/>
        <s v="MMR001CMP210"/>
        <s v="MMR001CMP193"/>
        <s v="MMR001CMP160"/>
        <s v="MMR001CMP032"/>
        <s v="MMR001CMP025"/>
        <s v="MMR001CMP030"/>
        <s v="MMR001CMP026"/>
        <s v="MMR001CMP182"/>
        <s v="MMR001CMP047"/>
        <s v=""/>
        <s v="MMR001CMP183"/>
        <s v="MMR001CMP236"/>
        <s v="MMR001CMP073"/>
        <s v="MMR001CMP006"/>
        <s v="MMR001CMP041"/>
        <s v="MMR001CMP067"/>
        <s v="MMR001CMP068"/>
        <s v="MMR001CMP009"/>
        <s v="MMR001CMP080"/>
        <s v="MMR001CMP055"/>
        <s v="MMR001CMP001"/>
        <s v="MMR001CMP023"/>
        <s v="MMR001CMP004"/>
        <s v="MMR001CMP003"/>
        <s v="MMR001CMP005"/>
        <s v="MMR001CMP037"/>
        <s v="MMR001CMP224"/>
        <s v="MMR001CMP038"/>
        <s v="MMR001CMP036"/>
        <s v="MMR001CMP185"/>
        <s v="MMR001CMP184"/>
        <s v="MMR001CMP116"/>
        <s v="MMR001CMP022"/>
        <s v="MMR001CMP053"/>
        <s v="MMR001CMP105"/>
        <s v="MMR001CMP111"/>
        <s v="MMR015CMP020"/>
      </sharedItems>
    </cacheField>
    <cacheField name="Status" numFmtId="0">
      <sharedItems count="3">
        <s v="Open"/>
        <s v="Closed"/>
        <s v=""/>
      </sharedItems>
    </cacheField>
    <cacheField name="Coverage" numFmtId="9">
      <sharedItems containsMixedTypes="1" containsNumber="1" minValue="0" maxValue="46"/>
    </cacheField>
    <cacheField name="Replacement (YES/NO)" numFmtId="0">
      <sharedItems containsMixedTypes="1" containsNumber="1" containsInteger="1" minValue="21" maxValue="143"/>
    </cacheField>
    <cacheField name="Comments" numFmtId="0">
      <sharedItems containsBlank="1"/>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Thi Thi Lwin" refreshedDate="42604.490551504627" missingItemsLimit="0" createdVersion="4" refreshedVersion="5" minRefreshableVersion="3" recordCount="252">
  <cacheSource type="worksheet">
    <worksheetSource name="AllData_CampList"/>
  </cacheSource>
  <cacheFields count="42">
    <cacheField name="Status" numFmtId="0">
      <sharedItems count="2">
        <s v="Open"/>
        <s v="Closed"/>
      </sharedItems>
    </cacheField>
    <cacheField name="State" numFmtId="0">
      <sharedItems count="2">
        <s v="Kachin"/>
        <s v="Shan_North"/>
      </sharedItems>
    </cacheField>
    <cacheField name="S_Pcode" numFmtId="0">
      <sharedItems/>
    </cacheField>
    <cacheField name="District" numFmtId="0">
      <sharedItems/>
    </cacheField>
    <cacheField name="D_Pcode" numFmtId="0">
      <sharedItems/>
    </cacheField>
    <cacheField name="Township" numFmtId="0">
      <sharedItems count="22">
        <s v="Myitkyina"/>
        <s v="Namhkan"/>
        <s v="Waingmaw"/>
        <s v="Chipwi"/>
        <s v="Bhamo"/>
        <s v="Momauk"/>
        <s v="Mansi"/>
        <s v="Shwegu"/>
        <s v="Khaunglanhpu"/>
        <s v="Puta-O"/>
        <s v="Mogaung"/>
        <s v="Mohnyin"/>
        <s v="Hpakant"/>
        <s v="Injangyang"/>
        <s v="Muse"/>
        <s v="Kutkai"/>
        <s v="Sumprabum"/>
        <s v="Machanbaw"/>
        <s v="Manton"/>
        <s v="Namtu"/>
        <s v="Hseni"/>
        <s v="Tanai"/>
      </sharedItems>
      <fieldGroup par="38"/>
    </cacheField>
    <cacheField name="T_Pcode" numFmtId="0">
      <sharedItems/>
    </cacheField>
    <cacheField name="VillageTracKTown" numFmtId="0">
      <sharedItems containsBlank="1"/>
    </cacheField>
    <cacheField name="VTT_Pcode" numFmtId="0">
      <sharedItems containsBlank="1"/>
    </cacheField>
    <cacheField name="VillageWard_Name" numFmtId="0">
      <sharedItems containsBlank="1"/>
    </cacheField>
    <cacheField name="VW_Pcode" numFmtId="0">
      <sharedItems containsBlank="1" containsMixedTypes="1" containsNumber="1" containsInteger="1" minValue="165685" maxValue="220512"/>
    </cacheField>
    <cacheField name="Camp" numFmtId="0">
      <sharedItems count="249">
        <s v="Tat Kone Baptist Church"/>
        <s v="Njang Dung Baptist Church "/>
        <s v="Tat Kone Galile Baptist Church"/>
        <s v="Tat Kone Emanuel Church"/>
        <s v="Tat Kone San Pya Baptist Church"/>
        <s v="Shatapru Sut Ngai Tawng"/>
        <s v="Shatapru Thida Aye Baptist Church"/>
        <s v="Man Hkring Baptist Church"/>
        <s v="Shwe Zet Baptist Church"/>
        <s v="Du Kahtawng Qtr. 4"/>
        <s v="Du Kahtawng Qtr. 5"/>
        <s v="Du Kahtawng Qtr. 14"/>
        <s v="Kyun Pin Thar Baptist Church"/>
        <s v="Le Kone Ziun Baptist Church "/>
        <s v="Le Kone Bethlehem Church"/>
        <s v="Maliyang Baptist Church"/>
        <s v="Myay Myint Baptist Church"/>
        <s v="Jan Mai Kawng Baptist Church"/>
        <s v="Jan Mai Kawng Catholic Church"/>
        <s v="Nam Hkam (KBC Jaw Wang)"/>
        <s v="Maw Hpawng Hka Nan Baptist Church"/>
        <s v="Maw Hpawng Lhaovo Baptist Church"/>
        <s v="Wun Tho Buddhist Monastery"/>
        <s v="Tat Kone COC Baptist - Tat Kone Htoi San"/>
        <s v="Nan Kway St. John Catholic Church"/>
        <s v="Qtr. 2 Myoma Baptist Church"/>
        <s v="Qtr. 4 Monestry (Thargaya Thayett Taw)"/>
        <s v="Mading Baptist Church"/>
        <s v="Hkat Cho "/>
        <s v="Maina Catholic Church (St. Joseph)"/>
        <s v="Qtr. 3 Mu-yin  Baptist Church"/>
        <s v="Maina AG Church"/>
        <s v="Nam Hkam Malut Jak "/>
        <s v="Nam Hkam Catholic Church ( St. Thomas I)"/>
        <s v="Qtr. 2 Lhaovo Baptist Church"/>
        <s v="Nawng Hee Village"/>
        <s v="Nawng Si Paw Village - Inn Lay"/>
        <s v="Moke Lwe Village - Hkar Shi"/>
        <s v="Waingmaw Baptist Zonal Office"/>
        <s v="Thargaya Lisu Baptist Church"/>
        <s v="Waingmaw AG Church"/>
        <s v="Maina Lawang Baptist Church"/>
        <s v="Maina KBC (Bawng Ring)"/>
        <s v="Shing Jai"/>
        <s v="Chipwi KBC camp"/>
        <s v="Hpare Hkyer - BP6"/>
        <s v="Women's Affairs Association Building"/>
        <s v="Lan Jaw "/>
        <s v="Gant Gwin"/>
        <s v="Robert Church"/>
        <s v="Kannar Yeik Thar"/>
        <s v="Lisu Boarding-House"/>
        <s v="AD-2000 Tharthana Compound"/>
        <s v="Mu-yin Baptist Church"/>
        <s v="Htoi San Church"/>
        <s v="Yoe Kyi Monastery"/>
        <s v="Nant Hlaing Church"/>
        <s v="Ta Gun Taing Monastery (Shwe Kyi Na)"/>
        <s v="Momauk Baptist Church"/>
        <s v="Momauk Catholic Church (St. Patrick)"/>
        <s v="Mandalay Monestry"/>
        <s v="Ni Thaw Ka Monestry"/>
        <s v="Tarli "/>
        <s v="Myo Thit "/>
        <s v="Man Bung Catholic compound"/>
        <s v="Man Nawng "/>
        <s v="Mai Khat "/>
        <s v="Phar Kay/Nant Waing "/>
        <s v="Mansi Baptist Church"/>
        <s v="Shwe Gu Baptist Church"/>
        <s v="Shwe Gu Catholic Church"/>
        <s v="Loi Je Catholic Church"/>
        <s v="Loi Je Lisu Camp"/>
        <s v="Loi Je Baptist Church"/>
        <s v="Nyaung Na Pin "/>
        <s v="Seng Ja "/>
        <s v="La Ja"/>
        <s v="Tote Tan Ward"/>
        <s v="Mang Hawng Baptist Church"/>
        <s v="Kyun Taw Baptist Church "/>
        <s v="Nat Gyi Kone Baptist Church "/>
        <s v="St. Patrick Catholic Church "/>
        <s v="Nant Mun"/>
        <s v="Nga Pyaw Taw Baptist Nursery School "/>
        <s v="Nga Pyaw Taw Roman Catholic Church"/>
        <s v="Maw Wan, Kyauk Hlaing Gu Pagoda Compound"/>
        <s v="Maw Wan, Kachin Baptist Church"/>
        <s v="Chin(Zomi) Baptist Church"/>
        <s v="Maw Wan, Myo Oo Pagoda"/>
        <s v="Maw Wan, Catholic Church"/>
        <s v="Maw Wan, Mu-yin Baptist Church"/>
        <s v="Aye Mya Tharyar Church of Christ "/>
        <s v="Mashi Kahtawng Catholic Church"/>
        <s v="Mashi Kahtawng Baptist  Church"/>
        <s v="Mashi Kahtawng Rakhine traditional group"/>
        <s v="Mashi Kahtawng Evangelical Church"/>
        <s v="Mashi Kahtawng Yaung Chi Oo Thi la shin Monestry"/>
        <s v="Mashi Kahtawng Municipal Dammar Yone"/>
        <s v="Mashi Kahtawng Myo Oo Taw Ya Monestry"/>
        <s v="Mashi Kahtawng Shan Traditional Monestry"/>
        <s v="Thiri Mingalar Manizay Yone, Myoma Quarter"/>
        <s v="Parami, Charity Office, MyoMa Quarter"/>
        <s v="Nant Ma Hpit Catholic Church"/>
        <s v="San Kyel, Masoe Yein Monestry"/>
        <s v="Yumar Baptist Church"/>
        <s v="Maw Si Zar, Thiriyardanar Sein, Damma Compound, Lone Khin"/>
        <s v="Ma Mon Buddhist Monastery"/>
        <s v="Sa Baw Sarsana Parla Monastery"/>
        <s v="Chin Church, Seik Mu"/>
        <s v="Tar Ma Hkan Buddhist Monastery, Haung Par"/>
        <s v="Zai Awng - Mung Ga Zup"/>
        <s v="Border Post 8"/>
        <s v="Border Post 10"/>
        <s v="Hkau Shau (BP 12)"/>
        <s v="Woi Chyai "/>
        <s v="Laiza Market 3 - Laiza Gat"/>
        <s v="Manau Compound"/>
        <s v="Maga Yang "/>
        <s v="Pajau - Jan Mai"/>
        <s v="Je Yang Hka "/>
        <s v="Hpun Lum Yang "/>
        <s v="Dum Bung "/>
        <s v="Pa Kahtawng "/>
        <s v="Lana Zup Ja "/>
        <s v="Bum Tsit Pa "/>
        <s v="Nhkawng Pa "/>
        <s v="Man Wing Catholic Church"/>
        <s v="Man Wing Baptist Church"/>
        <s v="Man Wing Host Families"/>
        <s v="Lung Kawk  ( Hka Hkye Zup)"/>
        <s v="Nam Hka Mare (west of Man Wing)"/>
        <s v="Nam Lim Pa - Scattered IDPs in forest"/>
        <s v="Lawk Hkawng Ginwang"/>
        <s v="Lawk Awng Mare D. (Sinbo Area)"/>
        <s v="Hlaing Naung Baptist"/>
        <s v="Laiza Muklum Hpyen  Yen Mungshawa ni"/>
        <s v="Nawng Ing (Indawgyi) Baptist Church  "/>
        <s v="Daw Hpum Yang Ninghtawn"/>
        <s v="Post 6 Camp"/>
        <s v="Pa Dauk Myaing(Pa La Na)"/>
        <s v="Host Families"/>
        <s v="Lisu Baptist Church, Maw Wan Ward"/>
        <s v="Nam Hkam - Nay Win Ni (Palawng)"/>
        <s v="5 Ward RC Church(lon Khin)"/>
        <s v="Baptist Church, Hmaw Si Sar(Lon Khin)"/>
        <s v="Away Yar Rama Monastery, Ka Day village"/>
        <s v="1 Ward, Sein Yadanar Company(Lon Khin)"/>
        <s v="Baptist Church, Sai Ra village"/>
        <s v="Anglican Church, Hmaw Si Sar"/>
        <s v="Dhama Rakhita, Nyein Chan Tar Yar Ward(Lon Khin)"/>
        <s v="Wrad(5) Christian Association"/>
        <s v="AG Church, Hmaw Si Sa"/>
        <s v="Muring Baptist Church, Awng Ra, Wa Ra Zut VT"/>
        <s v="May Di Ka Rama Monastery(Lon Khin)"/>
        <s v="Mung Baw "/>
        <s v="Mungji Pa Dabang (Baptist Church)         "/>
        <s v="Nam Hpak Ka Mare "/>
        <s v="5 Ward Baptist Church(lon Khin)"/>
        <s v="Ei Wan Gali Asso., Ward 1, Seik Mu"/>
        <s v="Lisu Baptist Church, Maw Shan Vil,. Seik Mu"/>
        <s v="Rawan Baptist Church, Maw Shan Vil., Seik Mu"/>
        <s v="Sai Nai Baptish Church, Maw Shan Vil., Seki Mu"/>
        <s v="Ward 2 Sai Taung Baptist Church, Seik Mu "/>
        <s v="Ward 2 Cahotlic Church, Seik Mu"/>
        <s v="Free Christian Asso., Ward 1, Seik Mu"/>
        <s v="Baptist Church, Naung Hmee VT"/>
        <s v="Hmaw Wan, Baptist Christian Church"/>
        <s v="AG Church, Maw Wan"/>
        <s v="Hmaw Wan, Anglican"/>
        <s v="Nam Ma Phyit, COC"/>
        <s v="Phan Khar Kone"/>
        <s v="Aung Thar Church"/>
        <s v="Lhaovao Baptist Church (LBC)"/>
        <s v="Man Ting"/>
        <s v="Khun Sint Village"/>
        <s v="Zomee Baptist Church camp, Hmaw Wan"/>
        <s v="Lagatyan "/>
        <s v="Mung Ding Pa  (Boarder)"/>
        <s v="Nam Lim Pa"/>
        <s v="Sumprabum"/>
        <s v="IDP Boarding School, A Len Bum"/>
        <s v="Nam Lim Pa    (Boarding School)"/>
        <s v="Pan Wa"/>
        <s v="Thu Kha Waddy"/>
        <s v="Man Kawng Baptist Church"/>
        <s v="Man Kawng Catholic Church"/>
        <s v="Ban Hkung Yang (Boarding School)"/>
        <s v="Ban Hkung (School)"/>
        <s v="Ban Hkung Yang"/>
        <s v="IDPs scattered in South Mansi"/>
        <s v="Maing Khaung"/>
        <s v="Si Hkan Gyi"/>
        <s v="Naung Khaing"/>
        <s v="Machanbaw - KBC"/>
        <s v="St. Patrick Church, Bhamo"/>
        <s v="Maing Khaung Catholic Church"/>
        <s v="Tharthana Ahlin Yaung New Monastery"/>
        <s v="Saw Zam"/>
        <s v="Bum Tsit Pa Camp II"/>
        <s v="Inn Lel Yan - Host Families"/>
        <s v="Man Wing Catholic Church II"/>
        <s v="Hpakant Baptist Church, Nam Ma Hpit"/>
        <s v="Man Wing Baptist Church Cultural Compound"/>
        <s v="Mandung - Jinghpaw"/>
        <s v="Howa"/>
        <s v="Nam Hkyet"/>
        <s v="Munekoe Pa (Giwang) - Hka San (Mung  Go  Pa ) "/>
        <s v="Nam Tu Baptist"/>
        <s v="Kone Khem Camp"/>
        <s v="Kutkai downtown (KBC Church)"/>
        <s v="Ku Day Maw KBC"/>
        <s v="Kutkai downtown (RC Church)"/>
        <s v="Hopin Host Families"/>
        <s v="Mine Yu Lay village"/>
        <s v="Mungji Pa Dabang (RC Church)         "/>
        <s v="Moenyin Host Families"/>
        <s v="Zup Aung Camp"/>
        <s v="Hpai Kawng Mare"/>
        <s v="Nam Hkam Catholic Church ( St. Thomas II)"/>
        <s v="Nam Hkawng"/>
        <s v="Narte"/>
        <s v="Mandung - RC"/>
        <s v="Nam Tu RC"/>
        <s v="Galeng (Kachin)"/>
        <s v="Lung Sut"/>
        <s v="Sar Hmaw - ICM"/>
        <s v="Sar Hmaw - KBC"/>
        <s v="Galeng (Palaung)"/>
        <s v="Muse Baptist Church"/>
        <s v="Ma Hawng RC "/>
        <s v="Ndup Yang"/>
        <s v="Nam Hkam (KBC Jaw Wang) II"/>
        <s v="Namhkan - Pang Long KBC"/>
        <s v="Salang Yang"/>
        <s v="Dawthponeyan Boarding School"/>
        <s v="Muse Catholic Church"/>
        <s v="Mungji Pa Dabang (Catholic Church)"/>
        <s v="Nam Sa Larp"/>
        <s v="New Pang Ku "/>
        <s v="Wara Zup KBC Church"/>
        <s v="Mung Ding Pa "/>
        <s v="Mai Yu Lay Ta'ang"/>
        <s v="Pan Ta Pyae"/>
        <s v="Man Sa"/>
        <s v="Mong Wee Ta'ang"/>
        <s v="Mong Wee Shan"/>
        <s v="Nam Hpak Ka Ta'ang"/>
        <s v="Tsan Lun - Namjarap"/>
        <s v="Mung Hawm "/>
      </sharedItems>
    </cacheField>
    <cacheField name="CP_Pcode" numFmtId="0">
      <sharedItems count="252">
        <s v="MMR001CMP001"/>
        <s v="MMR001CMP002"/>
        <s v="MMR001CMP003"/>
        <s v="MMR001CMP004"/>
        <s v="MMR001CMP005"/>
        <s v="MMR001CMP006"/>
        <s v="MMR001CMP007"/>
        <s v="MMR001CMP008"/>
        <s v="MMR001CMP009"/>
        <s v="MMR001CMP010"/>
        <s v="MMR001CMP011"/>
        <s v="MMR001CMP012"/>
        <s v="MMR001CMP013"/>
        <s v="MMR001CMP014"/>
        <s v="MMR001CMP015"/>
        <s v="MMR001CMP016"/>
        <s v="MMR001CMP017"/>
        <s v="MMR001CMP018"/>
        <s v="MMR001CMP019"/>
        <s v="MMR015CMP001"/>
        <s v="MMR001CMP020"/>
        <s v="MMR001CMP021"/>
        <s v="MMR001CMP022"/>
        <s v="MMR001CMP023"/>
        <s v="MMR001CMP024"/>
        <s v="MMR001CMP025"/>
        <s v="MMR001CMP026"/>
        <s v="MMR001CMP027"/>
        <s v="MMR001CMP028"/>
        <s v="MMR001CMP029"/>
        <s v="MMR001CMP030"/>
        <s v="MMR001CMP031"/>
        <s v="MMR015CMP002"/>
        <s v="MMR015CMP003"/>
        <s v="MMR001CMP032"/>
        <s v="MMR001CMP033"/>
        <s v="MMR001CMP034"/>
        <s v="MMR001CMP035"/>
        <s v="MMR001CMP036"/>
        <s v="MMR001CMP037"/>
        <s v="MMR001CMP038"/>
        <s v="MMR001CMP039"/>
        <s v="MMR001CMP040"/>
        <s v="MMR001CMP041"/>
        <s v="MMR001CMP042"/>
        <s v="MMR001CMP043"/>
        <s v="MMR001CMP044"/>
        <s v="MMR001CMP045"/>
        <s v="MMR001CMP046"/>
        <s v="MMR001CMP047"/>
        <s v="MMR001CMP048"/>
        <s v="MMR001CMP049"/>
        <s v="MMR001CMP050"/>
        <s v="MMR001CMP051"/>
        <s v="MMR001CMP052"/>
        <s v="MMR001CMP053"/>
        <s v="MMR001CMP054"/>
        <s v="MMR001CMP055"/>
        <s v="MMR001CMP056"/>
        <s v="MMR001CMP057"/>
        <s v="MMR001CMP058"/>
        <s v="MMR001CMP059"/>
        <s v="MMR001CMP060"/>
        <s v="MMR001CMP061"/>
        <s v="MMR001CMP062"/>
        <s v="MMR001CMP063"/>
        <s v="MMR001CMP064"/>
        <s v="MMR001CMP065"/>
        <s v="MMR001CMP066"/>
        <s v="MMR001CMP067"/>
        <s v="MMR001CMP068"/>
        <s v="MMR001CMP069"/>
        <s v="MMR001CMP070"/>
        <s v="MMR001CMP071"/>
        <s v="MMR001CMP072"/>
        <s v="MMR001CMP073"/>
        <s v="MMR001CMP074"/>
        <s v="MMR001CMP075"/>
        <s v="MMR001CMP077"/>
        <s v="MMR001CMP078"/>
        <s v="MMR001CMP079"/>
        <s v="MMR001CMP080"/>
        <s v="MMR001CMP081"/>
        <s v="MMR001CMP082"/>
        <s v="MMR001CMP083"/>
        <s v="MMR001CMP084"/>
        <s v="MMR001CMP085"/>
        <s v="MMR001CMP086"/>
        <s v="MMR001CMP088"/>
        <s v="MMR001CMP090"/>
        <s v="MMR001CMP091"/>
        <s v="MMR001CMP092"/>
        <s v="MMR001CMP093"/>
        <s v="MMR001CMP094"/>
        <s v="MMR001CMP095"/>
        <s v="MMR001CMP096"/>
        <s v="MMR001CMP097"/>
        <s v="MMR001CMP098"/>
        <s v="MMR001CMP099"/>
        <s v="MMR001CMP100"/>
        <s v="MMR001CMP101"/>
        <s v="MMR001CMP102"/>
        <s v="MMR001CMP103"/>
        <s v="MMR001CMP104"/>
        <s v="MMR001CMP105"/>
        <s v="MMR001CMP106"/>
        <s v="MMR001CMP107"/>
        <s v="MMR001CMP108"/>
        <s v="MMR001CMP109"/>
        <s v="MMR001CMP110"/>
        <s v="MMR001CMP111"/>
        <s v="MMR001CMP113"/>
        <s v="MMR001CMP114"/>
        <s v="MMR001CMP115"/>
        <s v="MMR001CMP116"/>
        <s v="MMR001CMP117"/>
        <s v="MMR001CMP118"/>
        <s v="MMR001CMP119"/>
        <s v="MMR001CMP120"/>
        <s v="MMR001CMP121"/>
        <s v="MMR001CMP122"/>
        <s v="MMR001CMP123"/>
        <s v="MMR001CMP126"/>
        <s v="MMR001CMP128"/>
        <s v="MMR001CMP129"/>
        <s v="MMR001CMP131"/>
        <s v="MMR001CMP132"/>
        <s v="MMR001CMP133"/>
        <s v="MMR001CMP134"/>
        <s v="MMR001CMP135"/>
        <s v="MMR001CMP136"/>
        <s v="MMR001CMP137"/>
        <s v="MMR001CMP146"/>
        <s v="MMR001CMP147"/>
        <s v="MMR001CMP148"/>
        <s v="MMR001CMP149"/>
        <s v="MMR001CMP152"/>
        <s v="MMR001CMP153"/>
        <s v="MMR001CMP160"/>
        <s v="MMR001CMP162"/>
        <s v="MMR001CMP163"/>
        <s v="MMR001CMP167"/>
        <s v="MMR015CMP004"/>
        <s v="MMR001CMP168"/>
        <s v="MMR001CMP169"/>
        <s v="MMR001CMP170"/>
        <s v="MMR001CMP171"/>
        <s v="MMR001CMP172"/>
        <s v="MMR001CMP173"/>
        <s v="MMR001CMP174"/>
        <s v="MMR001CMP175"/>
        <s v="MMR001CMP176"/>
        <s v="MMR001CMP177"/>
        <s v="MMR001CMP178"/>
        <s v="MMR015CMP005"/>
        <s v="MMR015CMP006"/>
        <s v="MMR015CMP007"/>
        <s v="MMR001CMP179"/>
        <s v="MMR001CMP180"/>
        <s v="MMR001CMP181"/>
        <s v="MMR001CMP182"/>
        <s v="MMR001CMP183"/>
        <s v="MMR001CMP184"/>
        <s v="MMR001CMP185"/>
        <s v="MMR001CMP186"/>
        <s v="MMR001CMP188"/>
        <s v="MMR001CMP189"/>
        <s v="MMR001CMP190"/>
        <s v="MMR001CMP191"/>
        <s v="MMR001CMP192"/>
        <s v="MMR001CMP193"/>
        <s v="MMR001CMP194"/>
        <s v="MMR001CMP195"/>
        <s v="MMR001CMP196"/>
        <s v="MMR001CMP197"/>
        <s v="MMR001CMP198"/>
        <s v="MMR001CMP199"/>
        <s v="MMR001CMP200"/>
        <s v="MMR001CMP201"/>
        <s v="MMR001CMP202"/>
        <s v="MMR001CMP203"/>
        <s v="MMR001CMP204"/>
        <s v="MMR001CMP206"/>
        <s v="MMR001CMP208"/>
        <s v="MMR001CMP209"/>
        <s v="MMR001CMP210"/>
        <s v="MMR001CMP211"/>
        <s v="MMR001CMP212"/>
        <s v="MMR001CMP213"/>
        <s v="MMR001CMP214"/>
        <s v="MMR001CMP215"/>
        <s v="MMR001CMP216"/>
        <s v="MMR001CMP217"/>
        <s v="MMR001CMP218"/>
        <s v="MMR001CMP219"/>
        <s v="MMR001CMP220"/>
        <s v="MMR001CMP221"/>
        <s v="MMR001CMP222"/>
        <s v="MMR001CMP223"/>
        <s v="MMR001CMP224"/>
        <s v="MMR001CMP225"/>
        <s v="MMR001CMP226"/>
        <s v="MMR001CMP227"/>
        <s v="MMR001CMP228"/>
        <s v="MMR001CMP229"/>
        <s v="MMR001CMP230"/>
        <s v="MMR015CMP009"/>
        <s v="MMR015CMP010"/>
        <s v="MMR015CMP011"/>
        <s v="MMR015CMP012"/>
        <s v="MMR015CMP014"/>
        <s v="MMR015CMP015"/>
        <s v="MMR015CMP016"/>
        <s v="MMR001CMP231"/>
        <s v="MMR015CMP017"/>
        <s v="MMR001CMP232"/>
        <s v="MMR015CMP018"/>
        <s v="MMR015CMP019"/>
        <s v="MMR001CMP233"/>
        <s v="MMR015CMP020"/>
        <s v="MMR015CMP022"/>
        <s v="MMR015CMP024"/>
        <s v="MMR015CMP139"/>
        <s v="MMR015CMP207"/>
        <s v="MMR015CMP209"/>
        <s v="MMR015CMP210"/>
        <s v="MMR015CMP211"/>
        <s v="MMR001CMP234"/>
        <s v="MMR001CMP235"/>
        <s v="MMR001CMP236"/>
        <s v="MMR015CMP212"/>
        <s v="MMR015CMP213"/>
        <s v="MMR001CMP237"/>
        <s v="MMR001CMP238"/>
        <s v="MMR015CMP214"/>
        <s v="MMR015CMP215"/>
        <s v="MMR001CMP239"/>
        <s v="MMR001CMP240"/>
        <s v="MMR015CMP216"/>
        <s v="MMR015CMP217"/>
        <s v="MMR015CMP218"/>
        <s v="MMR015CMP219"/>
        <s v="MMR001CMP242"/>
        <s v="MMR001CMP241"/>
        <s v="MMR015CMP220"/>
        <s v="MMR015CMP221"/>
        <s v="MMR015CMP222"/>
        <s v="MMR015CMP223"/>
        <s v="MMR015CMP224"/>
        <s v="MMR015CMP225"/>
        <s v="MMR015CMP226"/>
        <s v="MMR015CMP227"/>
      </sharedItems>
    </cacheField>
    <cacheField name="Longitude" numFmtId="0">
      <sharedItems containsBlank="1" containsMixedTypes="1" containsNumber="1" minValue="96.269199999999998" maxValue="98.475719999999995" count="190">
        <n v="97.386718999999999"/>
        <n v="97.394547000000003"/>
        <n v="97.377662999999998"/>
        <n v="97.389778000000007"/>
        <n v="97.382192000000003"/>
        <n v="97.399628000000007"/>
        <n v="97.418004999999994"/>
        <n v="97.418694000000002"/>
        <n v="97.419403000000003"/>
        <n v="97.382997575757599"/>
        <n v="97.381325000000004"/>
        <n v="97.384729629629604"/>
        <n v="97.405202777777802"/>
        <n v="97.403402307692303"/>
        <n v="97.409035000000003"/>
        <n v="97.4113064583333"/>
        <n v="97.376671999999999"/>
        <n v="97.373361000000003"/>
        <n v="97.379594999999995"/>
        <n v="97.669557999999995"/>
        <n v="97.2843958974359"/>
        <n v="97.290952037037002"/>
        <n v="97.403878500000005"/>
        <s v="97°22'48.10"/>
        <n v="97.359320179999997"/>
        <n v="97.438432380952406"/>
        <n v="97.432495000000003"/>
        <n v="97.451965000000001"/>
        <n v="97.404195925926004"/>
        <n v="97.437782499999997"/>
        <n v="97.437472666666693"/>
        <n v="97.433419259259296"/>
        <m/>
        <n v="97.670360000000002"/>
        <n v="97.441166388888902"/>
        <n v="97.345039"/>
        <n v="97.421104"/>
        <n v="97.438259000000002"/>
        <n v="97.428251153846105"/>
        <n v="97.444283730158702"/>
        <n v="97.426536944444507"/>
        <n v="97.434855869565197"/>
        <n v="98.025662999999994"/>
        <n v="98.131550000000004"/>
        <n v="98.475719999999995"/>
        <n v="98.354146999999998"/>
        <n v="97.229116811594196"/>
        <n v="97.221556500999995"/>
        <n v="97.240183461538507"/>
        <n v="97.238829999999993"/>
        <n v="97.234200000000001"/>
        <n v="97.236919999999998"/>
        <n v="97.240639999999999"/>
        <n v="97.315860000000001"/>
        <n v="97.227789999999999"/>
        <n v="97.344359999999995"/>
        <n v="97.346950000000007"/>
        <n v="97.346940000000004"/>
        <n v="97.347740000000002"/>
        <n v="97.416826999999998"/>
        <n v="97.407787999999996"/>
        <n v="97.325019999999995"/>
        <n v="97.321659999999994"/>
        <n v="97.409474000000003"/>
        <n v="97.429860000000005"/>
        <n v="97.291820000000001"/>
        <n v="96.807353000000006"/>
        <n v="97.724566999999993"/>
        <n v="97.717133000000004"/>
        <n v="97.718582999999995"/>
        <n v="97.724483000000006"/>
        <n v="97.710864000000001"/>
        <n v="98.144502500000002"/>
        <n v="97.415289999999999"/>
        <n v="96.942279999999997"/>
        <n v="96.922619999999995"/>
        <n v="96.948740000000001"/>
        <n v="96.367059999999995"/>
        <n v="96.364949999999993"/>
        <n v="96.312790000000007"/>
        <n v="96.31326"/>
        <n v="96.316210999999996"/>
        <n v="96.319829999999996"/>
        <n v="96.310928000000004"/>
        <n v="96.341352999999998"/>
        <n v="96.306910999999999"/>
        <n v="96.343350000000001"/>
        <n v="96.283377000000002"/>
        <n v="97.756789999999995"/>
        <n v="97.915833000000006"/>
        <n v="97.837778"/>
        <n v="97.807182999999995"/>
        <n v="97.546893999999995"/>
        <n v="97.551507000000001"/>
        <n v="97.550267000000005"/>
        <n v="97.715230000000005"/>
        <n v="97.751389000000003"/>
        <n v="97.568331999999998"/>
        <n v="97.573126000000002"/>
        <n v="97.537099999999995"/>
        <n v="97.752667000000002"/>
        <n v="97.625617000000005"/>
        <n v="97.609832999999995"/>
        <n v="97.669366999999994"/>
        <n v="97.578490000000002"/>
        <n v="97.589979999999997"/>
        <n v="97.588291999999996"/>
        <n v="97.585667000000001"/>
        <n v="97.132339999999999"/>
        <n v="96.705960000000005"/>
        <n v="97.718008999999995"/>
        <n v="97.990555999999998"/>
        <n v="97.4345"/>
        <n v="97.228835000000004"/>
        <n v="96.316400000000002"/>
        <n v="97.681970000000007"/>
        <n v="96.353070000000002"/>
        <n v="96.346469999999997"/>
        <n v="96.339870000000005"/>
        <n v="96.359549999999999"/>
        <n v="96.35257"/>
        <n v="96.345569999999995"/>
        <n v="96.354159999999993"/>
        <n v="96.359309999999994"/>
        <n v="98.054946000000001"/>
        <n v="98.220614999999995"/>
        <n v="97.818979999999996"/>
        <n v="96.355270000000004"/>
        <n v="96.269199999999998"/>
        <n v="96.279200000000003"/>
        <n v="96.353030000000004"/>
        <n v="96.286680000000004"/>
        <n v="96.288250000000005"/>
        <n v="96.673805000000002"/>
        <n v="96.317350000000005"/>
        <n v="96.316564"/>
        <n v="96.339590000000001"/>
        <n v="97.252650000000003"/>
        <n v="98.129990000000006"/>
        <n v="97.298055000000005"/>
        <n v="97.348405"/>
        <n v="97.276591999999994"/>
        <n v="96.793177"/>
        <n v="97.343406999999999"/>
        <n v="96.315601999999998"/>
        <n v="97.601243999999994"/>
        <n v="96.808850000000007"/>
        <n v="97.568836000000005"/>
        <n v="97.541793999999996"/>
        <n v="98.377780000000001"/>
        <n v="97.710989999999995"/>
        <n v="97.225881000000001"/>
        <n v="97.58184"/>
        <n v="97.586470000000006"/>
        <n v="97.227057000000002"/>
        <n v="97.239130000000003"/>
        <n v="98.356260000000006"/>
        <n v="97.608249999999998"/>
        <n v="97.561105999999995"/>
        <n v="97.578367"/>
        <n v="97.590767"/>
        <n v="97.124403000000001"/>
        <n v="98.116817999999995"/>
        <n v="98.129380999999995"/>
        <n v="98.320651999999995"/>
        <n v="97.404089999999997"/>
        <n v="97.848529999999997"/>
        <n v="97.926813999999993"/>
        <n v="97.947360000000003"/>
        <n v="96.52534"/>
        <n v="97.793019999999999"/>
        <n v="98.213958000000005"/>
        <n v="96.366919999999993"/>
        <n v="97.837040000000002"/>
        <n v="98.115809999999996"/>
        <n v="97.678299999999993"/>
        <n v="98.352670000000003"/>
        <n v="97.116680000000002"/>
        <n v="97.398989"/>
        <n v="97.416121000000004"/>
        <n v="97.909400000000005"/>
        <n v="97.745480999999998"/>
        <n v="97.700940000000003"/>
        <n v="97.709879999999998"/>
        <n v="97.75609"/>
        <n v="97.461271999999994"/>
        <n v="97.911647000000002"/>
        <n v="98.218626999999998"/>
        <n v="97.868876999999998"/>
        <n v="97.174999999999997"/>
      </sharedItems>
    </cacheField>
    <cacheField name="Latitude" numFmtId="0">
      <sharedItems containsBlank="1" containsMixedTypes="1" containsNumber="1" minValue="23.088058" maxValue="27.337499999999999"/>
    </cacheField>
    <cacheField name="Altitude" numFmtId="0">
      <sharedItems containsString="0" containsBlank="1" containsNumber="1" minValue="0" maxValue="4430"/>
    </cacheField>
    <cacheField name="HH" numFmtId="0">
      <sharedItems containsString="0" containsBlank="1" containsNumber="1" containsInteger="1" minValue="0" maxValue="1658"/>
    </cacheField>
    <cacheField name="Total" numFmtId="0">
      <sharedItems containsString="0" containsBlank="1" containsNumber="1" containsInteger="1" minValue="0" maxValue="8585"/>
    </cacheField>
    <cacheField name="Avg" numFmtId="2">
      <sharedItems containsMixedTypes="1" containsNumber="1" minValue="0" maxValue="12.535211267605634"/>
    </cacheField>
    <cacheField name="Accessibility" numFmtId="0">
      <sharedItems containsBlank="1" count="3">
        <s v="GCA"/>
        <s v="NGCA"/>
        <m/>
      </sharedItems>
    </cacheField>
    <cacheField name="Affected Population" numFmtId="49">
      <sharedItems count="2">
        <s v="IDP"/>
        <s v="Crisis Affected"/>
      </sharedItems>
    </cacheField>
    <cacheField name="Type of Accomodation" numFmtId="0">
      <sharedItems count="5">
        <s v="Camp"/>
        <s v="Boarding School"/>
        <s v="Host Families"/>
        <s v="Village"/>
        <s v="Rural"/>
      </sharedItems>
    </cacheField>
    <cacheField name="Type of Location" numFmtId="0">
      <sharedItems containsBlank="1" count="4">
        <s v="Urban"/>
        <s v="Rural"/>
        <m/>
        <s v="Forest/bush"/>
      </sharedItems>
    </cacheField>
    <cacheField name="Opening Date" numFmtId="14">
      <sharedItems containsNonDate="0" containsDate="1" containsString="0" containsBlank="1" minDate="2011-03-01T00:00:00" maxDate="2016-03-07T00:00:00"/>
    </cacheField>
    <cacheField name="CM/FP" numFmtId="1">
      <sharedItems containsString="0" containsBlank="1" containsNumber="1" containsInteger="1" minValue="1" maxValue="7"/>
    </cacheField>
    <cacheField name="Responsible Agency" numFmtId="0">
      <sharedItems containsBlank="1" count="6">
        <s v="KBC"/>
        <s v="Shalom"/>
        <s v="KMSS-MYT"/>
        <m/>
        <s v="KMSS-LSO"/>
        <s v="KMSS-BMO"/>
      </sharedItems>
    </cacheField>
    <cacheField name="Source" numFmtId="0">
      <sharedItems containsBlank="1"/>
    </cacheField>
    <cacheField name="Method" numFmtId="0">
      <sharedItems containsBlank="1"/>
    </cacheField>
    <cacheField name="Update Date" numFmtId="0">
      <sharedItems containsNonDate="0" containsDate="1" containsString="0" containsBlank="1" minDate="2013-01-15T00:00:00" maxDate="2016-07-26T00:00:00"/>
    </cacheField>
    <cacheField name="Comment" numFmtId="0">
      <sharedItems containsBlank="1" longText="1"/>
    </cacheField>
    <cacheField name="Priority" numFmtId="1">
      <sharedItems containsBlank="1"/>
    </cacheField>
    <cacheField name="Shelter Gap" numFmtId="0">
      <sharedItems containsSemiMixedTypes="0" containsString="0" containsNumber="1" containsInteger="1" minValue="0" maxValue="1195"/>
    </cacheField>
    <cacheField name="Land Status" numFmtId="0">
      <sharedItems containsString="0" containsBlank="1" containsNumber="1" containsInteger="1" minValue="0" maxValue="20"/>
    </cacheField>
    <cacheField name="Shelter Possible" numFmtId="0">
      <sharedItems containsSemiMixedTypes="0" containsString="0" containsNumber="1" containsInteger="1" minValue="0" maxValue="1195"/>
    </cacheField>
    <cacheField name="Nearest_Town" numFmtId="0">
      <sharedItems containsBlank="1"/>
    </cacheField>
    <cacheField name="Distance" numFmtId="165">
      <sharedItems containsBlank="1" containsMixedTypes="1" containsNumber="1" minValue="0" maxValue="34.344689881690819"/>
    </cacheField>
    <cacheField name="Distance_Cat" numFmtId="0">
      <sharedItems containsBlank="1" containsMixedTypes="1" containsNumber="1" containsInteger="1" minValue="1" maxValue="7"/>
    </cacheField>
    <cacheField name="Field2" numFmtId="0" formula="'Shelter Possible'/HH" databaseField="0"/>
    <cacheField name="Township2" numFmtId="0" databaseField="0">
      <fieldGroup base="5">
        <discretePr count="22">
          <x v="9"/>
          <x v="7"/>
          <x v="2"/>
          <x v="8"/>
          <x v="3"/>
          <x v="6"/>
          <x v="1"/>
          <x v="11"/>
          <x v="11"/>
          <x v="11"/>
          <x v="11"/>
          <x v="11"/>
          <x v="0"/>
          <x v="5"/>
          <x v="11"/>
          <x v="4"/>
          <x v="11"/>
          <x v="11"/>
          <x v="11"/>
          <x v="11"/>
          <x v="10"/>
          <x v="12"/>
        </discretePr>
        <groupItems count="13">
          <s v="Hpakant"/>
          <s v="Mansi"/>
          <s v="Waingmaw"/>
          <s v="Bhamo"/>
          <s v="Kutkai"/>
          <s v="Injangyang"/>
          <s v="Momauk"/>
          <s v="Namhkan"/>
          <s v="Chipwi"/>
          <s v="Myitkyina"/>
          <s v="Hseni"/>
          <s v="Group1"/>
          <s v="Tanai"/>
        </groupItems>
      </fieldGroup>
    </cacheField>
    <cacheField name="Field1" numFmtId="0" formula="'Shelter Gap'/HH" databaseField="0"/>
    <cacheField name="Coverage" numFmtId="0" formula="HH-'Shelter Gap'" databaseField="0"/>
    <cacheField name="Field3" numFmtId="0" formula="'Shelter Gap'-'Shelter Possible'" databaseField="0"/>
  </cacheFields>
  <extLst>
    <ext xmlns:x14="http://schemas.microsoft.com/office/spreadsheetml/2009/9/main" uri="{725AE2AE-9491-48be-B2B4-4EB974FC3084}">
      <x14:pivotCacheDefinition pivotCacheId="1"/>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604.490554398151" missingItemsLimit="0" createdVersion="4" refreshedVersion="5" minRefreshableVersion="3" recordCount="1335">
  <cacheSource type="worksheet">
    <worksheetSource name="Table_NFI"/>
  </cacheSource>
  <cacheFields count="47">
    <cacheField name="Months" numFmtId="1">
      <sharedItems containsMixedTypes="1" containsNumber="1" minValue="1.4333333333333333" maxValue="57.4"/>
    </cacheField>
    <cacheField name="Distribution Date" numFmtId="169">
      <sharedItems containsNonDate="0" containsDate="1" containsString="0" containsBlank="1" minDate="2011-11-02T00:00:00" maxDate="2016-06-08T00:00:00"/>
    </cacheField>
    <cacheField name="Organization" numFmtId="0">
      <sharedItems containsBlank="1" count="13">
        <s v="UNHCR"/>
        <s v="ICRC"/>
        <s v="MRCS"/>
        <s v="DRC"/>
        <s v="FSD"/>
        <s v="Solidarities"/>
        <s v="CRCS"/>
        <s v="World Vision"/>
        <s v="DFID"/>
        <s v="Save the Children"/>
        <s v="Plan-Myanmar"/>
        <s v="CRC"/>
        <m/>
      </sharedItems>
    </cacheField>
    <cacheField name="Implementing Partner" numFmtId="0">
      <sharedItems containsBlank="1"/>
    </cacheField>
    <cacheField name="State" numFmtId="0">
      <sharedItems containsBlank="1"/>
    </cacheField>
    <cacheField name="Township" numFmtId="0">
      <sharedItems containsBlank="1"/>
    </cacheField>
    <cacheField name="Camp Name" numFmtId="0">
      <sharedItems containsBlank="1"/>
    </cacheField>
    <cacheField name="Hygiene Kit" numFmtId="0">
      <sharedItems containsString="0" containsBlank="1" containsNumber="1" containsInteger="1" minValue="1" maxValue="5228"/>
    </cacheField>
    <cacheField name="NFI Core Kit" numFmtId="0">
      <sharedItems containsString="0" containsBlank="1" containsNumber="1" containsInteger="1" minValue="7" maxValue="200"/>
    </cacheField>
    <cacheField name="Sanitary Kit" numFmtId="0">
      <sharedItems containsString="0" containsBlank="1" containsNumber="1" containsInteger="1" minValue="1" maxValue="2350"/>
    </cacheField>
    <cacheField name="Mosquito net" numFmtId="0">
      <sharedItems containsString="0" containsBlank="1" containsNumber="1" containsInteger="1" minValue="0" maxValue="3256"/>
    </cacheField>
    <cacheField name="Tarpaulin" numFmtId="0">
      <sharedItems containsString="0" containsBlank="1" containsNumber="1" containsInteger="1" minValue="0" maxValue="1628"/>
    </cacheField>
    <cacheField name="Blanket" numFmtId="0">
      <sharedItems containsString="0" containsBlank="1" containsNumber="1" containsInteger="1" minValue="0" maxValue="3256"/>
    </cacheField>
    <cacheField name="Kitchen Set" numFmtId="0">
      <sharedItems containsString="0" containsBlank="1" containsNumber="1" containsInteger="1" minValue="0" maxValue="1628"/>
    </cacheField>
    <cacheField name="Clothes Kit" numFmtId="0">
      <sharedItems containsString="0" containsBlank="1" containsNumber="1" containsInteger="1" minValue="0" maxValue="760"/>
    </cacheField>
    <cacheField name="Plastic Bucket" numFmtId="0">
      <sharedItems containsString="0" containsBlank="1" containsNumber="1" containsInteger="1" minValue="0" maxValue="1628"/>
    </cacheField>
    <cacheField name="Plastic Mat" numFmtId="0">
      <sharedItems containsString="0" containsBlank="1" containsNumber="1" containsInteger="1" minValue="0" maxValue="5268"/>
    </cacheField>
    <cacheField name="Winter Clothes Adult" numFmtId="0">
      <sharedItems containsString="0" containsBlank="1" containsNumber="1" containsInteger="1" minValue="2" maxValue="2676"/>
    </cacheField>
    <cacheField name="Winter Clothes Children" numFmtId="0">
      <sharedItems containsString="0" containsBlank="1" containsNumber="1" containsInteger="1" minValue="8" maxValue="3600"/>
    </cacheField>
    <cacheField name="Winter Items Other" numFmtId="0">
      <sharedItems containsString="0" containsBlank="1" containsNumber="1" containsInteger="1" minValue="0" maxValue="3816"/>
    </cacheField>
    <cacheField name="Winter Blanket" numFmtId="0">
      <sharedItems containsString="0" containsBlank="1" containsNumber="1" containsInteger="1" minValue="10" maxValue="3186"/>
    </cacheField>
    <cacheField name="Jerry Can" numFmtId="0">
      <sharedItems containsString="0" containsBlank="1" containsNumber="1" containsInteger="1" minValue="1" maxValue="405"/>
    </cacheField>
    <cacheField name="Shelter Tool kit" numFmtId="0">
      <sharedItems containsString="0" containsBlank="1" containsNumber="1" containsInteger="1" minValue="1" maxValue="394"/>
    </cacheField>
    <cacheField name="Tent" numFmtId="0">
      <sharedItems containsString="0" containsBlank="1" containsNumber="1" containsInteger="1" minValue="6" maxValue="90"/>
    </cacheField>
    <cacheField name="Hygiene Kit_LS" numFmtId="0">
      <sharedItems containsSemiMixedTypes="0" containsString="0" containsNumber="1" containsInteger="1" minValue="0" maxValue="25"/>
    </cacheField>
    <cacheField name="NFI Core Kit_LS" numFmtId="0">
      <sharedItems containsSemiMixedTypes="0" containsString="0" containsNumber="1" containsInteger="1" minValue="0" maxValue="77"/>
    </cacheField>
    <cacheField name="Sanitary Kit_LS" numFmtId="0">
      <sharedItems containsSemiMixedTypes="0" containsString="0" containsNumber="1" containsInteger="1" minValue="0" maxValue="1807"/>
    </cacheField>
    <cacheField name="Mosquito net_LS" numFmtId="0">
      <sharedItems containsSemiMixedTypes="0" containsString="0" containsNumber="1" containsInteger="1" minValue="0" maxValue="600"/>
    </cacheField>
    <cacheField name="Tarpaulin_LS" numFmtId="0">
      <sharedItems containsSemiMixedTypes="0" containsString="0" containsNumber="1" containsInteger="1" minValue="0" maxValue="89"/>
    </cacheField>
    <cacheField name="Blanket_LS" numFmtId="0">
      <sharedItems containsSemiMixedTypes="0" containsString="0" containsNumber="1" containsInteger="1" minValue="0" maxValue="345"/>
    </cacheField>
    <cacheField name="Kitchen Set_LS" numFmtId="0">
      <sharedItems containsSemiMixedTypes="0" containsString="0" containsNumber="1" containsInteger="1" minValue="0" maxValue="119"/>
    </cacheField>
    <cacheField name="Clothes Kit_LS" numFmtId="0">
      <sharedItems containsSemiMixedTypes="0" containsString="0" containsNumber="1" containsInteger="1" minValue="0" maxValue="7"/>
    </cacheField>
    <cacheField name="Plastic Bucket _LS" numFmtId="0">
      <sharedItems containsSemiMixedTypes="0" containsString="0" containsNumber="1" containsInteger="1" minValue="0" maxValue="119"/>
    </cacheField>
    <cacheField name="Plastic  Mat_LS" numFmtId="0">
      <sharedItems containsSemiMixedTypes="0" containsString="0" containsNumber="1" minValue="0" maxValue="862.5"/>
    </cacheField>
    <cacheField name="Winter Clothes Adult_LS" numFmtId="0">
      <sharedItems containsSemiMixedTypes="0" containsString="0" containsNumber="1" containsInteger="1" minValue="0" maxValue="380"/>
    </cacheField>
    <cacheField name="Winter Clothes Children_LS" numFmtId="0">
      <sharedItems containsSemiMixedTypes="0" containsString="0" containsNumber="1" containsInteger="1" minValue="0" maxValue="765"/>
    </cacheField>
    <cacheField name="Winter Items Other_LS" numFmtId="0">
      <sharedItems containsSemiMixedTypes="0" containsString="0" containsNumber="1" containsInteger="1" minValue="0" maxValue="0"/>
    </cacheField>
    <cacheField name="Winter Blanket_LS" numFmtId="0">
      <sharedItems containsSemiMixedTypes="0" containsString="0" containsNumber="1" containsInteger="1" minValue="0" maxValue="346"/>
    </cacheField>
    <cacheField name="Winter" numFmtId="0">
      <sharedItems containsSemiMixedTypes="0" containsString="0" containsNumber="1" containsInteger="1" minValue="0" maxValue="1" count="2">
        <n v="0"/>
        <n v="1"/>
      </sharedItems>
    </cacheField>
    <cacheField name="Jerry Can_LS" numFmtId="0">
      <sharedItems containsSemiMixedTypes="0" containsString="0" containsNumber="1" containsInteger="1" minValue="0" maxValue="119"/>
    </cacheField>
    <cacheField name="Pcode" numFmtId="0">
      <sharedItems/>
    </cacheField>
    <cacheField name="opening_date" numFmtId="0">
      <sharedItems containsMixedTypes="1" containsNumber="1" containsInteger="1" minValue="0" maxValue="1" count="3">
        <s v=""/>
        <n v="1"/>
        <n v="0"/>
      </sharedItems>
    </cacheField>
    <cacheField name="Status" numFmtId="0">
      <sharedItems count="3">
        <s v=""/>
        <s v="Open"/>
        <s v="Closed"/>
      </sharedItems>
    </cacheField>
    <cacheField name="Priority" numFmtId="0">
      <sharedItems containsMixedTypes="1" containsNumber="1" containsInteger="1" minValue="0" maxValue="0" count="6">
        <s v=""/>
        <n v="0"/>
        <s v="P4"/>
        <s v="P1"/>
        <s v="P3"/>
        <s v="P2"/>
      </sharedItems>
    </cacheField>
    <cacheField name="Coverage" numFmtId="0">
      <sharedItems containsMixedTypes="1" containsNumber="1" minValue="0" maxValue="3.4857142857142858"/>
    </cacheField>
    <cacheField name="Planned Distribution" numFmtId="0">
      <sharedItems containsBlank="1"/>
    </cacheField>
    <cacheField name="Comment"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
  <r>
    <s v="MMR001CMP042"/>
    <x v="0"/>
    <s v="Chipwi KBC camp"/>
    <s v="Chipwi"/>
    <n v="105"/>
    <n v="523"/>
    <n v="293"/>
    <n v="190"/>
    <n v="0"/>
    <n v="0"/>
    <n v="125"/>
    <n v="210"/>
    <s v="No"/>
    <n v="0"/>
  </r>
  <r>
    <s v="MMR001CMP046"/>
    <x v="0"/>
    <s v="Gant Gwin"/>
    <s v="Chipwi"/>
    <n v="0"/>
    <n v="0"/>
    <n v="0"/>
    <n v="0"/>
    <n v="0"/>
    <n v="0"/>
    <n v="0"/>
    <n v="0"/>
    <s v=""/>
    <n v="0"/>
  </r>
  <r>
    <s v="MMR001CMP043"/>
    <x v="0"/>
    <s v="Hpare Hkyer - BP6"/>
    <s v="Chipwi"/>
    <n v="155"/>
    <n v="885"/>
    <n v="320"/>
    <n v="465"/>
    <n v="0"/>
    <n v="0"/>
    <n v="0"/>
    <n v="310"/>
    <s v="No"/>
    <n v="0"/>
  </r>
  <r>
    <s v="MMR001CMP045"/>
    <x v="0"/>
    <s v="Lan Jaw "/>
    <s v="Chipwi"/>
    <n v="0"/>
    <n v="0"/>
    <n v="0"/>
    <n v="0"/>
    <n v="0"/>
    <n v="0"/>
    <n v="0"/>
    <n v="0"/>
    <s v=""/>
    <n v="0"/>
  </r>
  <r>
    <s v="MMR001CMP195"/>
    <x v="0"/>
    <s v="Lhaovao Baptist Church (LBC)"/>
    <s v="Chipwi"/>
    <n v="139"/>
    <n v="605"/>
    <n v="350"/>
    <n v="236"/>
    <n v="0"/>
    <n v="0"/>
    <n v="181"/>
    <n v="278"/>
    <s v="No"/>
    <n v="0"/>
  </r>
  <r>
    <s v="MMR001CMP225"/>
    <x v="0"/>
    <s v="Saw Zam"/>
    <s v="Chipwi"/>
    <n v="30"/>
    <n v="163"/>
    <n v="111"/>
    <n v="56"/>
    <n v="0"/>
    <n v="0"/>
    <n v="34"/>
    <n v="60"/>
    <s v="No"/>
    <n v="0"/>
  </r>
  <r>
    <s v="MMR001CMP210"/>
    <x v="0"/>
    <s v="Pan Wa"/>
    <s v="Chipwi"/>
    <n v="68"/>
    <n v="323"/>
    <n v="187"/>
    <n v="137"/>
    <n v="0"/>
    <n v="0"/>
    <n v="67"/>
    <n v="136"/>
    <s v="No"/>
    <n v="0"/>
  </r>
  <r>
    <s v="MMR001CMP115"/>
    <x v="0"/>
    <s v="Hkau Shau (BP 12)"/>
    <s v="Waingmaw"/>
    <n v="181"/>
    <n v="1226"/>
    <n v="728"/>
    <n v="1086"/>
    <n v="0"/>
    <n v="0"/>
    <n v="0"/>
    <n v="362"/>
    <s v="No"/>
    <n v="0"/>
  </r>
  <r>
    <s v="MMR001CMP120"/>
    <x v="0"/>
    <s v="Pajau - Jan Mai"/>
    <s v="Waingmaw"/>
    <n v="191"/>
    <n v="770"/>
    <n v="0"/>
    <n v="0"/>
    <n v="0"/>
    <n v="382"/>
    <n v="573"/>
    <n v="382"/>
    <s v=""/>
    <n v="0"/>
  </r>
  <r>
    <s v="MMR001CMP160"/>
    <x v="0"/>
    <s v="Post 6 Camp"/>
    <s v="Waingmaw"/>
    <n v="144"/>
    <n v="862"/>
    <n v="262"/>
    <n v="400"/>
    <n v="0"/>
    <n v="26"/>
    <n v="32"/>
    <n v="288"/>
    <s v="No"/>
    <n v="0"/>
  </r>
  <r>
    <s v="MMR001CMP113"/>
    <x v="0"/>
    <s v="Border Post 8"/>
    <s v="Waingmaw"/>
    <n v="166"/>
    <n v="720"/>
    <n v="302"/>
    <n v="440"/>
    <n v="0"/>
    <n v="30"/>
    <n v="58"/>
    <n v="332"/>
    <s v="No"/>
    <n v="0"/>
  </r>
  <r>
    <s v="MMR001CMP041"/>
    <x v="0"/>
    <s v="Shing Jai"/>
    <s v="Waingmaw"/>
    <n v="198"/>
    <n v="1017"/>
    <n v="0"/>
    <n v="0"/>
    <n v="0"/>
    <n v="396"/>
    <n v="594"/>
    <n v="396"/>
    <s v=""/>
    <n v="0"/>
  </r>
  <r>
    <s v="MMR001CMP131"/>
    <x v="0"/>
    <s v="Nhkawng Pa "/>
    <s v="Momauk"/>
    <n v="385"/>
    <n v="1699"/>
    <n v="0"/>
    <n v="0"/>
    <n v="0"/>
    <n v="770"/>
    <n v="1155"/>
    <n v="770"/>
    <s v=""/>
    <n v="0"/>
  </r>
  <r>
    <s v="MMR015CMP006"/>
    <x v="0"/>
    <s v="Mungji Pa Dabang (Baptist Church)         "/>
    <s v="Kutkai"/>
    <n v="45"/>
    <n v="211"/>
    <n v="0"/>
    <n v="0"/>
    <n v="0"/>
    <n v="90"/>
    <n v="135"/>
    <n v="90"/>
    <s v=""/>
    <n v="0"/>
  </r>
  <r>
    <s v="MMR015CMP005"/>
    <x v="0"/>
    <s v="Mung Baw "/>
    <s v="Muse"/>
    <n v="123"/>
    <n v="503"/>
    <n v="0"/>
    <n v="0"/>
    <n v="0"/>
    <n v="246"/>
    <n v="369"/>
    <n v="246"/>
    <s v=""/>
    <n v="0"/>
  </r>
  <r>
    <s v="MMR015CMP012"/>
    <x v="0"/>
    <s v="Munekoe Pa (Giwang) - Hka San (Mung  Go  Pa ) "/>
    <s v="Muse"/>
    <n v="21"/>
    <n v="88"/>
    <n v="0"/>
    <n v="0"/>
    <n v="0"/>
    <n v="42"/>
    <n v="63"/>
    <n v="42"/>
    <s v=""/>
    <n v="0"/>
  </r>
  <r>
    <s v="MMR001CMP129"/>
    <x v="1"/>
    <s v="Bum Tsit Pa "/>
    <s v="Mansi"/>
    <n v="174"/>
    <n v="738"/>
    <n v="0"/>
    <n v="0"/>
    <n v="0"/>
    <n v="348"/>
    <n v="522"/>
    <n v="348"/>
    <s v=""/>
    <n v="0"/>
  </r>
  <r>
    <s v="MMR001CMP226"/>
    <x v="1"/>
    <s v="Bum Tsit Pa Camp II"/>
    <s v="Mansi"/>
    <n v="219"/>
    <n v="891"/>
    <n v="0"/>
    <n v="0"/>
    <n v="0"/>
    <n v="438"/>
    <n v="657"/>
    <n v="438"/>
    <s v=""/>
    <n v="0"/>
  </r>
  <r>
    <s v="MMR001CMP128"/>
    <x v="1"/>
    <s v="Lana Zup Ja "/>
    <s v="Mansi"/>
    <n v="543"/>
    <n v="2950"/>
    <n v="0"/>
    <n v="0"/>
    <n v="0"/>
    <n v="1086"/>
    <n v="1629"/>
    <n v="1086"/>
    <s v=""/>
    <n v="0"/>
  </r>
  <r>
    <s v="MMR001CMP135"/>
    <x v="1"/>
    <s v="Lung Kawk  ( Hka Hkye Zup)"/>
    <s v="Mansi"/>
    <n v="83"/>
    <n v="310"/>
    <n v="0"/>
    <n v="0"/>
    <n v="0"/>
    <n v="166"/>
    <n v="249"/>
    <n v="166"/>
    <s v=""/>
    <n v="0"/>
  </r>
  <r>
    <s v="MMR001CMP122"/>
    <x v="1"/>
    <s v="Hpun Lum Yang "/>
    <s v="Momauk"/>
    <n v="479"/>
    <n v="2388"/>
    <n v="850"/>
    <n v="1474"/>
    <n v="0"/>
    <n v="108"/>
    <n v="0"/>
    <n v="958"/>
    <s v="No"/>
    <n v="0"/>
  </r>
  <r>
    <s v="MMR001CMP121"/>
    <x v="1"/>
    <s v="Je Yang Hka "/>
    <s v="Momauk"/>
    <n v="1658"/>
    <n v="8585"/>
    <n v="2910"/>
    <n v="5160"/>
    <n v="0"/>
    <n v="406"/>
    <n v="0"/>
    <n v="3316"/>
    <s v="No"/>
    <n v="0"/>
  </r>
  <r>
    <s v="MMR001CMP126"/>
    <x v="1"/>
    <s v="Pa Kahtawng "/>
    <s v="Momauk"/>
    <n v="840"/>
    <n v="3249"/>
    <n v="0"/>
    <n v="0"/>
    <n v="0"/>
    <n v="1680"/>
    <n v="2520"/>
    <n v="1680"/>
    <s v=""/>
    <n v="0"/>
  </r>
  <r>
    <s v="MMR001CMP123"/>
    <x v="1"/>
    <s v="Dum Bung "/>
    <s v="Momauk"/>
    <n v="116"/>
    <n v="602"/>
    <n v="0"/>
    <n v="0"/>
    <n v="0"/>
    <n v="232"/>
    <n v="348"/>
    <n v="232"/>
    <s v=""/>
    <n v="0"/>
  </r>
  <r>
    <s v="MMR001CMP208"/>
    <x v="1"/>
    <s v="IDP Boarding School, A Len Bum"/>
    <s v="Waingmaw"/>
    <n v="0"/>
    <n v="1047"/>
    <n v="0"/>
    <n v="0"/>
    <n v="0"/>
    <n v="0"/>
    <n v="0"/>
    <n v="0"/>
    <s v=""/>
    <n v="0"/>
  </r>
  <r>
    <s v="MMR001CMP117"/>
    <x v="1"/>
    <s v="Laiza Market 3 - Laiza Gat"/>
    <s v="Waingmaw"/>
    <n v="497"/>
    <n v="2299"/>
    <n v="0"/>
    <n v="0"/>
    <n v="0"/>
    <n v="994"/>
    <n v="1491"/>
    <n v="994"/>
    <s v=""/>
    <n v="0"/>
  </r>
  <r>
    <s v="MMR001CMP111"/>
    <x v="1"/>
    <s v="Zai Awng - Mung Ga Zup"/>
    <s v="Waingmaw"/>
    <n v="646"/>
    <n v="2440"/>
    <n v="0"/>
    <n v="0"/>
    <n v="0"/>
    <n v="1292"/>
    <n v="1938"/>
    <n v="1292"/>
    <s v=""/>
    <n v="0"/>
  </r>
  <r>
    <s v="MMR001CMP119"/>
    <x v="1"/>
    <s v="Maga Yang "/>
    <s v="Waingmaw"/>
    <n v="645"/>
    <n v="2934"/>
    <n v="0"/>
    <n v="0"/>
    <n v="0"/>
    <n v="1290"/>
    <n v="1935"/>
    <n v="1290"/>
    <s v=""/>
    <n v="0"/>
  </r>
  <r>
    <s v="MMR015CMP009"/>
    <x v="1"/>
    <s v="Mandung - Jinghpaw"/>
    <s v="Manton"/>
    <n v="38"/>
    <n v="143"/>
    <n v="0"/>
    <n v="0"/>
    <n v="0"/>
    <n v="76"/>
    <n v="114"/>
    <n v="76"/>
    <s v=""/>
    <n v="0"/>
  </r>
  <r>
    <s v="MMR015CMP139"/>
    <x v="1"/>
    <s v="Nam Hkawng"/>
    <s v="Muse"/>
    <n v="11"/>
    <n v="32"/>
    <n v="0"/>
    <n v="0"/>
    <n v="0"/>
    <n v="22"/>
    <n v="33"/>
    <n v="22"/>
    <s v=""/>
    <n v="0"/>
  </r>
  <r>
    <s v="MMR001CMP071"/>
    <x v="2"/>
    <s v="Loi Je Baptist Church"/>
    <s v="Momauk"/>
    <n v="29"/>
    <n v="137"/>
    <n v="112"/>
    <n v="59"/>
    <n v="0"/>
    <n v="0"/>
    <n v="28"/>
    <n v="58"/>
    <s v="No"/>
    <n v="0"/>
  </r>
  <r>
    <s v="MMR001CMP069"/>
    <x v="2"/>
    <s v="Loi Je Catholic Church"/>
    <s v="Momauk"/>
    <n v="100"/>
    <n v="516"/>
    <n v="203"/>
    <n v="102"/>
    <n v="0"/>
    <n v="0"/>
    <n v="198"/>
    <n v="200"/>
    <s v="No"/>
    <n v="0"/>
  </r>
  <r>
    <s v="MMR001CMP070"/>
    <x v="2"/>
    <s v="Loi Je Lisu Camp"/>
    <s v="Momauk"/>
    <n v="150"/>
    <n v="912"/>
    <n v="591"/>
    <n v="347"/>
    <n v="0"/>
    <n v="0"/>
    <n v="103"/>
    <n v="300"/>
    <s v="No"/>
    <n v="0"/>
  </r>
  <r>
    <s v="MMR001CMP073"/>
    <x v="2"/>
    <s v="Seng Ja "/>
    <s v="Momauk"/>
    <n v="33"/>
    <n v="195"/>
    <n v="155"/>
    <n v="73"/>
    <n v="0"/>
    <n v="0"/>
    <n v="26"/>
    <n v="66"/>
    <s v="No"/>
    <n v="0"/>
  </r>
  <r>
    <s v="MMR001CMP072"/>
    <x v="2"/>
    <s v="Nyaung Na Pin "/>
    <s v="Momauk"/>
    <n v="47"/>
    <n v="274"/>
    <n v="195"/>
    <n v="91"/>
    <n v="0"/>
    <n v="0"/>
    <n v="50"/>
    <n v="94"/>
    <s v="No"/>
    <n v="0"/>
  </r>
  <r>
    <s v="MMR001CMP221"/>
    <x v="2"/>
    <s v="Machanbaw - KBC"/>
    <s v="Machanbaw"/>
    <n v="8"/>
    <n v="37"/>
    <n v="20"/>
    <n v="8"/>
    <n v="0"/>
    <n v="0"/>
    <n v="16"/>
    <n v="16"/>
    <s v="No"/>
    <n v="0"/>
  </r>
  <r>
    <s v="MMR001CMP227"/>
    <x v="2"/>
    <s v="Inn Lel Yan - Host Families"/>
    <s v="Puta-O"/>
    <n v="10"/>
    <n v="56"/>
    <n v="0"/>
    <n v="0"/>
    <n v="0"/>
    <n v="20"/>
    <n v="30"/>
    <n v="20"/>
    <s v=""/>
    <n v="0"/>
  </r>
  <r>
    <s v="MMR001CMP220"/>
    <x v="2"/>
    <s v="Naung Khaing"/>
    <s v="Puta-O"/>
    <n v="23"/>
    <n v="91"/>
    <n v="52"/>
    <n v="16"/>
    <n v="0"/>
    <n v="0"/>
    <n v="53"/>
    <n v="46"/>
    <s v="No"/>
    <n v="0"/>
  </r>
  <r>
    <s v="MMR001CMP075"/>
    <x v="2"/>
    <s v="Tote Tan Ward"/>
    <s v="Puta-O"/>
    <n v="14"/>
    <n v="64"/>
    <n v="72"/>
    <n v="11"/>
    <n v="0"/>
    <n v="0"/>
    <n v="31"/>
    <n v="28"/>
    <s v="No"/>
    <n v="0"/>
  </r>
  <r>
    <s v="MMR015CMP015"/>
    <x v="2"/>
    <s v="Kone Khem Camp"/>
    <s v="Kutkai"/>
    <n v="85"/>
    <n v="325"/>
    <n v="0"/>
    <n v="0"/>
    <n v="0"/>
    <n v="170"/>
    <n v="255"/>
    <n v="170"/>
    <s v=""/>
    <n v="0"/>
  </r>
  <r>
    <s v="MMR015CMP016"/>
    <x v="2"/>
    <s v="Kutkai downtown (KBC Church)"/>
    <s v="Kutkai"/>
    <n v="84"/>
    <n v="355"/>
    <n v="0"/>
    <n v="0"/>
    <n v="0"/>
    <n v="168"/>
    <n v="252"/>
    <n v="168"/>
    <s v=""/>
    <n v="0"/>
  </r>
  <r>
    <s v="MMR015CMP017"/>
    <x v="2"/>
    <s v="Kutkai downtown (RC Church)"/>
    <s v="Kutkai"/>
    <n v="41"/>
    <n v="172"/>
    <n v="0"/>
    <n v="0"/>
    <n v="0"/>
    <n v="82"/>
    <n v="123"/>
    <n v="82"/>
    <s v=""/>
    <n v="0"/>
  </r>
  <r>
    <s v="MMR015CMP018"/>
    <x v="2"/>
    <s v="Mine Yu Lay village"/>
    <s v="Kutkai"/>
    <n v="76"/>
    <n v="403"/>
    <n v="0"/>
    <n v="0"/>
    <n v="0"/>
    <n v="152"/>
    <n v="228"/>
    <n v="152"/>
    <s v=""/>
    <n v="0"/>
  </r>
  <r>
    <s v="MMR015CMP007"/>
    <x v="2"/>
    <s v="Nam Hpak Ka Mare "/>
    <s v="Kutkai"/>
    <n v="75"/>
    <n v="269"/>
    <n v="0"/>
    <n v="0"/>
    <n v="0"/>
    <n v="150"/>
    <n v="225"/>
    <n v="150"/>
    <s v=""/>
    <n v="0"/>
  </r>
  <r>
    <s v="MMR015CMP020"/>
    <x v="2"/>
    <s v="Zup Aung Camp"/>
    <s v="Kutkai"/>
    <n v="118"/>
    <n v="649"/>
    <n v="0"/>
    <n v="0"/>
    <n v="0"/>
    <n v="236"/>
    <n v="354"/>
    <n v="236"/>
    <s v=""/>
    <n v="0"/>
  </r>
  <r>
    <s v="MMR015CMP209"/>
    <x v="2"/>
    <s v="Mandung - RC"/>
    <s v="Manton"/>
    <n v="26"/>
    <n v="147"/>
    <n v="0"/>
    <n v="0"/>
    <n v="0"/>
    <n v="52"/>
    <n v="78"/>
    <n v="52"/>
    <s v=""/>
    <n v="0"/>
  </r>
  <r>
    <s v="MMR015CMP010"/>
    <x v="2"/>
    <s v="Howa"/>
    <s v="Muse"/>
    <n v="32"/>
    <n v="0"/>
    <n v="0"/>
    <n v="0"/>
    <n v="0"/>
    <n v="64"/>
    <n v="96"/>
    <n v="64"/>
    <s v=""/>
    <n v="0"/>
  </r>
  <r>
    <s v="MMR015CMP011"/>
    <x v="2"/>
    <s v="Nam Hkyet"/>
    <s v="Muse"/>
    <n v="6"/>
    <n v="0"/>
    <n v="0"/>
    <n v="0"/>
    <n v="0"/>
    <n v="12"/>
    <n v="18"/>
    <n v="12"/>
    <s v=""/>
    <n v="0"/>
  </r>
  <r>
    <s v="MMR015CMP004"/>
    <x v="2"/>
    <s v="Nam Hkam - Nay Win Ni (Palawng)"/>
    <s v="Namhkan"/>
    <n v="76"/>
    <n v="302"/>
    <n v="0"/>
    <n v="0"/>
    <n v="0"/>
    <n v="152"/>
    <n v="228"/>
    <n v="152"/>
    <s v=""/>
    <n v="0"/>
  </r>
  <r>
    <s v="MMR015CMP001"/>
    <x v="2"/>
    <s v="Nam Hkam (KBC Jaw Wang)"/>
    <s v="Namhkan"/>
    <n v="73"/>
    <n v="410"/>
    <n v="0"/>
    <n v="0"/>
    <n v="0"/>
    <n v="146"/>
    <n v="219"/>
    <n v="146"/>
    <s v=""/>
    <n v="0"/>
  </r>
  <r>
    <s v="MMR015CMP003"/>
    <x v="2"/>
    <s v="Nam Hkam Catholic Church ( St. Thomas I)"/>
    <s v="Namhkan"/>
    <n v="93"/>
    <n v="337"/>
    <n v="0"/>
    <n v="0"/>
    <n v="0"/>
    <n v="186"/>
    <n v="279"/>
    <n v="186"/>
    <s v=""/>
    <n v="0"/>
  </r>
  <r>
    <s v="MMR015CMP014"/>
    <x v="2"/>
    <s v="Nam Tu Baptist"/>
    <s v="Namtu"/>
    <n v="12"/>
    <n v="51"/>
    <n v="0"/>
    <n v="0"/>
    <n v="0"/>
    <n v="24"/>
    <n v="36"/>
    <n v="24"/>
    <s v=""/>
    <n v="0"/>
  </r>
  <r>
    <s v="MMR015CMP210"/>
    <x v="2"/>
    <s v="Nam Tu RC"/>
    <s v="Namtu"/>
    <n v="118"/>
    <n v="520"/>
    <n v="0"/>
    <n v="0"/>
    <n v="0"/>
    <n v="236"/>
    <n v="354"/>
    <n v="236"/>
    <s v=""/>
    <n v="0"/>
  </r>
  <r>
    <s v="MMR001CMP179"/>
    <x v="3"/>
    <s v="5 Ward Baptist Church(lon Khin)"/>
    <s v="Hpakant"/>
    <n v="77"/>
    <n v="357"/>
    <n v="229"/>
    <n v="126"/>
    <n v="0"/>
    <n v="0"/>
    <n v="105"/>
    <n v="154"/>
    <s v="No"/>
    <n v="0"/>
  </r>
  <r>
    <s v="MMR001CMP168"/>
    <x v="3"/>
    <s v="5 Ward RC Church(lon Khin)"/>
    <s v="Hpakant"/>
    <n v="83"/>
    <n v="424"/>
    <n v="223"/>
    <n v="96"/>
    <n v="0"/>
    <n v="0"/>
    <n v="153"/>
    <n v="166"/>
    <s v="No"/>
    <n v="0"/>
  </r>
  <r>
    <s v="MMR001CMP050"/>
    <x v="3"/>
    <s v="AD-2000 Tharthana Compound"/>
    <s v="Bhamo"/>
    <n v="280"/>
    <n v="1262"/>
    <n v="0"/>
    <n v="0"/>
    <n v="0"/>
    <n v="560"/>
    <n v="840"/>
    <n v="560"/>
    <s v=""/>
    <n v="0"/>
  </r>
  <r>
    <s v="MMR001CMP176"/>
    <x v="3"/>
    <s v="AG Church, Hmaw Si Sa"/>
    <s v="Hpakant"/>
    <n v="67"/>
    <n v="338"/>
    <n v="232"/>
    <n v="105"/>
    <n v="0"/>
    <n v="0"/>
    <n v="96"/>
    <n v="134"/>
    <s v="No"/>
    <n v="0"/>
  </r>
  <r>
    <s v="MMR001CMP190"/>
    <x v="3"/>
    <s v="AG Church, Maw Wan"/>
    <s v="Hpakant"/>
    <n v="15"/>
    <n v="82"/>
    <n v="55"/>
    <n v="27"/>
    <n v="0"/>
    <n v="0"/>
    <n v="18"/>
    <n v="30"/>
    <s v="No"/>
    <n v="0"/>
  </r>
  <r>
    <s v="MMR001CMP194"/>
    <x v="3"/>
    <s v="Aung Thar Church"/>
    <s v="Bhamo"/>
    <n v="13"/>
    <n v="59"/>
    <n v="0"/>
    <n v="0"/>
    <n v="0"/>
    <n v="26"/>
    <n v="39"/>
    <n v="26"/>
    <s v=""/>
    <n v="0"/>
  </r>
  <r>
    <s v="MMR001CMP216"/>
    <x v="3"/>
    <s v="Ban Hkung Yang"/>
    <s v="Mansi"/>
    <n v="0"/>
    <n v="0"/>
    <n v="0"/>
    <n v="0"/>
    <n v="0"/>
    <n v="0"/>
    <n v="0"/>
    <n v="0"/>
    <s v=""/>
    <n v="0"/>
  </r>
  <r>
    <s v="MMR001CMP169"/>
    <x v="3"/>
    <s v="Baptist Church, Hmaw Si Sar(Lon Khin)"/>
    <s v="Hpakant"/>
    <n v="38"/>
    <n v="211"/>
    <n v="123"/>
    <n v="104"/>
    <n v="0"/>
    <n v="0"/>
    <n v="10"/>
    <n v="76"/>
    <s v="No"/>
    <n v="0"/>
  </r>
  <r>
    <s v="MMR001CMP188"/>
    <x v="3"/>
    <s v="Baptist Church, Naung Hmee VT"/>
    <s v="Hpakant"/>
    <n v="15"/>
    <n v="78"/>
    <n v="48"/>
    <n v="30"/>
    <n v="0"/>
    <n v="0"/>
    <n v="15"/>
    <n v="30"/>
    <s v="No"/>
    <n v="0"/>
  </r>
  <r>
    <s v="MMR001CMP109"/>
    <x v="3"/>
    <s v="Chin Church, Seik Mu"/>
    <s v="Hpakant"/>
    <n v="5"/>
    <n v="26"/>
    <n v="15"/>
    <n v="10"/>
    <n v="0"/>
    <n v="0"/>
    <n v="5"/>
    <n v="10"/>
    <s v="No"/>
    <n v="0"/>
  </r>
  <r>
    <s v="MMR001CMP174"/>
    <x v="3"/>
    <s v="Dhama Rakhita, Nyein Chan Tar Yar Ward(Lon Khin)"/>
    <s v="Hpakant"/>
    <n v="65"/>
    <n v="329"/>
    <n v="214"/>
    <n v="112"/>
    <n v="0"/>
    <n v="0"/>
    <n v="83"/>
    <n v="130"/>
    <s v="No"/>
    <n v="0"/>
  </r>
  <r>
    <s v="MMR001CMP012"/>
    <x v="3"/>
    <s v="Du Kahtawng Qtr. 14"/>
    <s v="Myitkyina"/>
    <n v="6"/>
    <n v="28"/>
    <n v="0"/>
    <n v="0"/>
    <n v="0"/>
    <n v="12"/>
    <n v="18"/>
    <n v="12"/>
    <s v=""/>
    <n v="0"/>
  </r>
  <r>
    <s v="MMR001CMP010"/>
    <x v="3"/>
    <s v="Du Kahtawng Qtr. 4"/>
    <s v="Myitkyina"/>
    <n v="6"/>
    <n v="39"/>
    <n v="0"/>
    <n v="0"/>
    <n v="0"/>
    <n v="12"/>
    <n v="18"/>
    <n v="12"/>
    <s v=""/>
    <n v="0"/>
  </r>
  <r>
    <s v="MMR001CMP011"/>
    <x v="3"/>
    <s v="Du Kahtawng Qtr. 5"/>
    <s v="Myitkyina"/>
    <n v="8"/>
    <n v="30"/>
    <n v="0"/>
    <n v="0"/>
    <n v="0"/>
    <n v="16"/>
    <n v="24"/>
    <n v="16"/>
    <s v=""/>
    <n v="0"/>
  </r>
  <r>
    <s v="MMR001CMP028"/>
    <x v="3"/>
    <s v="Hkat Cho "/>
    <s v="Waingmaw"/>
    <n v="134"/>
    <n v="591"/>
    <n v="0"/>
    <n v="0"/>
    <n v="0"/>
    <n v="268"/>
    <n v="402"/>
    <n v="268"/>
    <s v=""/>
    <n v="0"/>
  </r>
  <r>
    <s v="MMR001CMP148"/>
    <x v="3"/>
    <s v="Hlaing Naung Baptist"/>
    <s v="Hpakant"/>
    <n v="23"/>
    <n v="67"/>
    <n v="37"/>
    <n v="24"/>
    <n v="0"/>
    <n v="9"/>
    <n v="45"/>
    <n v="46"/>
    <s v="No"/>
    <n v="0"/>
  </r>
  <r>
    <s v="MMR001CMP191"/>
    <x v="3"/>
    <s v="Hmaw Wan, Anglican"/>
    <s v="Hpakant"/>
    <n v="10"/>
    <n v="57"/>
    <n v="33"/>
    <n v="24"/>
    <n v="0"/>
    <n v="0"/>
    <n v="6"/>
    <n v="20"/>
    <s v="No"/>
    <n v="0"/>
  </r>
  <r>
    <s v="MMR001CMP163"/>
    <x v="3"/>
    <s v="Host Families"/>
    <s v="Bhamo"/>
    <n v="335"/>
    <n v="1475"/>
    <n v="0"/>
    <n v="0"/>
    <n v="0"/>
    <n v="670"/>
    <n v="1005"/>
    <n v="670"/>
    <s v=""/>
    <n v="0"/>
  </r>
  <r>
    <s v="MMR001CMP196"/>
    <x v="3"/>
    <s v="Host Families"/>
    <s v="Mansi"/>
    <n v="279"/>
    <n v="1031"/>
    <n v="0"/>
    <n v="0"/>
    <n v="0"/>
    <n v="558"/>
    <n v="837"/>
    <n v="558"/>
    <s v=""/>
    <n v="0"/>
  </r>
  <r>
    <s v="MMR001CMP197"/>
    <x v="3"/>
    <s v="Host Families"/>
    <s v="Momauk"/>
    <n v="278"/>
    <n v="1031"/>
    <n v="0"/>
    <n v="0"/>
    <n v="0"/>
    <n v="556"/>
    <n v="834"/>
    <n v="556"/>
    <s v=""/>
    <n v="0"/>
  </r>
  <r>
    <s v="MMR001CMP199"/>
    <x v="3"/>
    <s v="Host Families"/>
    <s v="Shwegu"/>
    <n v="9"/>
    <n v="30"/>
    <n v="0"/>
    <n v="0"/>
    <n v="0"/>
    <n v="18"/>
    <n v="27"/>
    <n v="18"/>
    <s v=""/>
    <n v="0"/>
  </r>
  <r>
    <s v="MMR015CMP022"/>
    <x v="3"/>
    <s v="Hpai Kawng Mare"/>
    <s v="Muse"/>
    <n v="32"/>
    <n v="187"/>
    <n v="0"/>
    <n v="0"/>
    <n v="0"/>
    <n v="64"/>
    <n v="96"/>
    <n v="64"/>
    <s v=""/>
    <n v="0"/>
  </r>
  <r>
    <s v="MMR001CMP229"/>
    <x v="3"/>
    <s v="Hpakant Baptist Church, Nam Ma Hpit"/>
    <s v="Hpakant"/>
    <n v="66"/>
    <n v="309"/>
    <n v="186"/>
    <n v="125"/>
    <n v="0"/>
    <n v="0"/>
    <n v="73"/>
    <n v="132"/>
    <s v="No"/>
    <n v="0"/>
  </r>
  <r>
    <s v="MMR001CMP052"/>
    <x v="3"/>
    <s v="Htoi San Church"/>
    <s v="Bhamo"/>
    <n v="44"/>
    <n v="217"/>
    <n v="0"/>
    <n v="0"/>
    <n v="0"/>
    <n v="88"/>
    <n v="132"/>
    <n v="88"/>
    <s v=""/>
    <n v="0"/>
  </r>
  <r>
    <s v="MMR001CMP018"/>
    <x v="3"/>
    <s v="Jan Mai Kawng Baptist Church"/>
    <s v="Myitkyina"/>
    <n v="203"/>
    <n v="974"/>
    <n v="0"/>
    <n v="0"/>
    <n v="0"/>
    <n v="406"/>
    <n v="609"/>
    <n v="406"/>
    <s v=""/>
    <n v="0"/>
  </r>
  <r>
    <s v="MMR001CMP019"/>
    <x v="3"/>
    <s v="Jan Mai Kawng Catholic Church"/>
    <s v="Myitkyina"/>
    <n v="108"/>
    <n v="482"/>
    <n v="0"/>
    <n v="0"/>
    <n v="0"/>
    <n v="216"/>
    <n v="324"/>
    <n v="216"/>
    <s v=""/>
    <n v="0"/>
  </r>
  <r>
    <s v="MMR001CMP200"/>
    <x v="3"/>
    <s v="Khun Sint Village"/>
    <s v="Momauk"/>
    <n v="4"/>
    <n v="26"/>
    <n v="0"/>
    <n v="0"/>
    <n v="0"/>
    <n v="8"/>
    <n v="12"/>
    <n v="8"/>
    <s v=""/>
    <n v="0"/>
  </r>
  <r>
    <s v="MMR001CMP013"/>
    <x v="3"/>
    <s v="Kyun Pin Thar Baptist Church"/>
    <s v="Myitkyina"/>
    <n v="45"/>
    <n v="187"/>
    <n v="0"/>
    <n v="0"/>
    <n v="0"/>
    <n v="90"/>
    <n v="135"/>
    <n v="90"/>
    <s v=""/>
    <n v="0"/>
  </r>
  <r>
    <s v="MMR001CMP078"/>
    <x v="3"/>
    <s v="Kyun Taw Baptist Church "/>
    <s v="Mogaung"/>
    <n v="13"/>
    <n v="50"/>
    <n v="0"/>
    <n v="0"/>
    <n v="0"/>
    <n v="26"/>
    <n v="39"/>
    <n v="26"/>
    <s v=""/>
    <n v="0"/>
  </r>
  <r>
    <s v="MMR001CMP074"/>
    <x v="3"/>
    <s v="La Ja"/>
    <s v="Khaunglanhpu"/>
    <n v="11"/>
    <n v="17"/>
    <n v="0"/>
    <n v="0"/>
    <n v="0"/>
    <n v="22"/>
    <n v="33"/>
    <n v="22"/>
    <s v=""/>
    <n v="0"/>
  </r>
  <r>
    <s v="MMR001CMP202"/>
    <x v="3"/>
    <s v="Lagatyan "/>
    <s v="Mansi"/>
    <n v="0"/>
    <n v="0"/>
    <n v="0"/>
    <n v="0"/>
    <n v="0"/>
    <n v="0"/>
    <n v="0"/>
    <n v="0"/>
    <s v=""/>
    <n v="0"/>
  </r>
  <r>
    <s v="MMR001CMP149"/>
    <x v="3"/>
    <s v="Laiza Muklum Hpyen  Yen Mungshawa ni"/>
    <s v="Waingmaw"/>
    <n v="355"/>
    <n v="4450"/>
    <n v="0"/>
    <n v="0"/>
    <n v="0"/>
    <n v="710"/>
    <n v="1065"/>
    <n v="710"/>
    <s v=""/>
    <n v="0"/>
  </r>
  <r>
    <s v="MMR001CMP147"/>
    <x v="3"/>
    <s v="Lawk Awng Mare D. (Sinbo Area)"/>
    <s v="Shwegu"/>
    <n v="375"/>
    <n v="1691"/>
    <n v="0"/>
    <n v="0"/>
    <n v="0"/>
    <n v="750"/>
    <n v="1125"/>
    <n v="750"/>
    <s v=""/>
    <n v="0"/>
  </r>
  <r>
    <s v="MMR001CMP015"/>
    <x v="3"/>
    <s v="Le Kone Bethlehem Church"/>
    <s v="Myitkyina"/>
    <n v="87"/>
    <n v="467"/>
    <n v="0"/>
    <n v="0"/>
    <n v="0"/>
    <n v="174"/>
    <n v="261"/>
    <n v="174"/>
    <s v=""/>
    <n v="0"/>
  </r>
  <r>
    <s v="MMR001CMP014"/>
    <x v="3"/>
    <s v="Le Kone Ziun Baptist Church "/>
    <s v="Myitkyina"/>
    <n v="146"/>
    <n v="751"/>
    <n v="0"/>
    <n v="0"/>
    <n v="0"/>
    <n v="292"/>
    <n v="438"/>
    <n v="292"/>
    <s v=""/>
    <n v="0"/>
  </r>
  <r>
    <s v="MMR001CMP181"/>
    <x v="3"/>
    <s v="Lisu Baptist Church, Maw Shan Vil,. Seik Mu"/>
    <s v="Hpakant"/>
    <n v="25"/>
    <n v="137"/>
    <n v="90"/>
    <n v="39"/>
    <n v="0"/>
    <n v="0"/>
    <n v="36"/>
    <n v="50"/>
    <s v="No"/>
    <n v="0"/>
  </r>
  <r>
    <s v="MMR001CMP167"/>
    <x v="3"/>
    <s v="Lisu Baptist Church, Maw Wan Ward"/>
    <s v="Hpakant"/>
    <n v="15"/>
    <n v="72"/>
    <n v="48"/>
    <n v="23"/>
    <n v="0"/>
    <n v="0"/>
    <n v="22"/>
    <n v="30"/>
    <s v="No"/>
    <n v="0"/>
  </r>
  <r>
    <s v="MMR001CMP049"/>
    <x v="3"/>
    <s v="Lisu Boarding-House"/>
    <s v="Bhamo"/>
    <n v="80"/>
    <n v="422"/>
    <n v="0"/>
    <n v="0"/>
    <n v="0"/>
    <n v="160"/>
    <n v="240"/>
    <n v="160"/>
    <s v=""/>
    <n v="0"/>
  </r>
  <r>
    <s v="MMR001CMP027"/>
    <x v="3"/>
    <s v="Mading Baptist Church"/>
    <s v="Waingmaw"/>
    <n v="23"/>
    <n v="120"/>
    <n v="0"/>
    <n v="0"/>
    <n v="0"/>
    <n v="46"/>
    <n v="69"/>
    <n v="46"/>
    <s v=""/>
    <n v="0"/>
  </r>
  <r>
    <s v="MMR001CMP064"/>
    <x v="3"/>
    <s v="Mai Khat "/>
    <s v="Momauk"/>
    <n v="2"/>
    <n v="9"/>
    <n v="0"/>
    <n v="0"/>
    <n v="0"/>
    <n v="4"/>
    <n v="6"/>
    <n v="4"/>
    <s v=""/>
    <n v="0"/>
  </r>
  <r>
    <s v="MMR001CMP031"/>
    <x v="3"/>
    <s v="Maina AG Church"/>
    <s v="Waingmaw"/>
    <n v="143"/>
    <n v="724"/>
    <n v="0"/>
    <n v="0"/>
    <n v="0"/>
    <n v="286"/>
    <n v="429"/>
    <n v="286"/>
    <s v=""/>
    <n v="0"/>
  </r>
  <r>
    <s v="MMR001CMP029"/>
    <x v="3"/>
    <s v="Maina Catholic Church (St. Joseph)"/>
    <s v="Waingmaw"/>
    <n v="238"/>
    <n v="1234"/>
    <n v="0"/>
    <n v="0"/>
    <n v="0"/>
    <n v="476"/>
    <n v="714"/>
    <n v="476"/>
    <s v=""/>
    <n v="0"/>
  </r>
  <r>
    <s v="MMR001CMP040"/>
    <x v="3"/>
    <s v="Maina KBC (Bawng Ring)"/>
    <s v="Waingmaw"/>
    <n v="420"/>
    <n v="1845"/>
    <n v="0"/>
    <n v="0"/>
    <n v="0"/>
    <n v="840"/>
    <n v="1260"/>
    <n v="840"/>
    <s v=""/>
    <n v="0"/>
  </r>
  <r>
    <s v="MMR001CMP039"/>
    <x v="3"/>
    <s v="Maina Lawang Baptist Church"/>
    <s v="Waingmaw"/>
    <n v="49"/>
    <n v="197"/>
    <n v="0"/>
    <n v="0"/>
    <n v="0"/>
    <n v="98"/>
    <n v="147"/>
    <n v="98"/>
    <s v=""/>
    <n v="0"/>
  </r>
  <r>
    <s v="MMR001CMP218"/>
    <x v="3"/>
    <s v="Maing Khaung"/>
    <s v="Mansi"/>
    <n v="241"/>
    <n v="912"/>
    <n v="0"/>
    <n v="0"/>
    <n v="0"/>
    <n v="482"/>
    <n v="723"/>
    <n v="482"/>
    <s v=""/>
    <n v="0"/>
  </r>
  <r>
    <s v="MMR001CMP223"/>
    <x v="3"/>
    <s v="Maing Khaung Catholic Church"/>
    <s v="Mansi"/>
    <n v="63"/>
    <n v="120"/>
    <n v="0"/>
    <n v="0"/>
    <n v="0"/>
    <n v="126"/>
    <n v="189"/>
    <n v="126"/>
    <s v=""/>
    <n v="0"/>
  </r>
  <r>
    <s v="MMR001CMP016"/>
    <x v="3"/>
    <s v="Maliyang Baptist Church"/>
    <s v="Myitkyina"/>
    <n v="72"/>
    <n v="316"/>
    <n v="0"/>
    <n v="0"/>
    <n v="0"/>
    <n v="144"/>
    <n v="216"/>
    <n v="144"/>
    <s v=""/>
    <n v="0"/>
  </r>
  <r>
    <s v="MMR001CMP062"/>
    <x v="3"/>
    <s v="Man Bung Catholic compound"/>
    <s v="Momauk"/>
    <n v="401"/>
    <n v="1596"/>
    <n v="0"/>
    <n v="0"/>
    <n v="0"/>
    <n v="802"/>
    <n v="1203"/>
    <n v="802"/>
    <s v=""/>
    <n v="0"/>
  </r>
  <r>
    <s v="MMR001CMP008"/>
    <x v="3"/>
    <s v="Man Hkring Baptist Church"/>
    <s v="Myitkyina"/>
    <n v="95"/>
    <n v="411"/>
    <n v="0"/>
    <n v="0"/>
    <n v="0"/>
    <n v="190"/>
    <n v="285"/>
    <n v="190"/>
    <s v=""/>
    <n v="0"/>
  </r>
  <r>
    <s v="MMR001CMP063"/>
    <x v="3"/>
    <s v="Man Nawng "/>
    <s v="Momauk"/>
    <n v="28"/>
    <n v="136"/>
    <n v="0"/>
    <n v="0"/>
    <n v="0"/>
    <n v="56"/>
    <n v="84"/>
    <n v="56"/>
    <s v=""/>
    <n v="0"/>
  </r>
  <r>
    <s v="MMR001CMP198"/>
    <x v="3"/>
    <s v="Man Ting"/>
    <s v="Momauk"/>
    <n v="0"/>
    <n v="0"/>
    <n v="0"/>
    <n v="0"/>
    <n v="0"/>
    <n v="0"/>
    <n v="0"/>
    <n v="0"/>
    <s v=""/>
    <n v="0"/>
  </r>
  <r>
    <s v="MMR001CMP133"/>
    <x v="3"/>
    <s v="Man Wing Baptist Church"/>
    <s v="Mansi"/>
    <n v="115"/>
    <n v="559"/>
    <n v="0"/>
    <n v="0"/>
    <n v="0"/>
    <n v="230"/>
    <n v="345"/>
    <n v="230"/>
    <s v=""/>
    <n v="0"/>
  </r>
  <r>
    <s v="MMR001CMP132"/>
    <x v="3"/>
    <s v="Man Wing Catholic Church"/>
    <s v="Mansi"/>
    <n v="575"/>
    <n v="2617"/>
    <n v="0"/>
    <n v="0"/>
    <n v="0"/>
    <n v="1150"/>
    <n v="1725"/>
    <n v="1150"/>
    <s v=""/>
    <n v="0"/>
  </r>
  <r>
    <s v="MMR001CMP228"/>
    <x v="3"/>
    <s v="Man Wing Catholic Church II"/>
    <s v="Mansi"/>
    <n v="167"/>
    <n v="840"/>
    <n v="0"/>
    <n v="0"/>
    <n v="0"/>
    <n v="334"/>
    <n v="501"/>
    <n v="334"/>
    <s v=""/>
    <n v="0"/>
  </r>
  <r>
    <s v="MMR001CMP134"/>
    <x v="3"/>
    <s v="Man Wing Host Families"/>
    <s v="Mansi"/>
    <n v="183"/>
    <n v="741"/>
    <n v="0"/>
    <n v="0"/>
    <n v="0"/>
    <n v="366"/>
    <n v="549"/>
    <n v="366"/>
    <s v=""/>
    <n v="0"/>
  </r>
  <r>
    <s v="MMR001CMP058"/>
    <x v="3"/>
    <s v="Mandalay Monestry"/>
    <s v="Momauk"/>
    <n v="4"/>
    <n v="16"/>
    <n v="0"/>
    <n v="0"/>
    <n v="0"/>
    <n v="8"/>
    <n v="12"/>
    <n v="8"/>
    <s v=""/>
    <n v="0"/>
  </r>
  <r>
    <s v="MMR001CMP077"/>
    <x v="3"/>
    <s v="Mang Hawng Baptist Church"/>
    <s v="Mogaung"/>
    <n v="14"/>
    <n v="61"/>
    <n v="0"/>
    <n v="0"/>
    <n v="0"/>
    <n v="28"/>
    <n v="42"/>
    <n v="28"/>
    <s v=""/>
    <n v="0"/>
  </r>
  <r>
    <s v="MMR001CMP066"/>
    <x v="3"/>
    <s v="Mansi Baptist Church"/>
    <s v="Mansi"/>
    <n v="130"/>
    <n v="563"/>
    <n v="0"/>
    <n v="0"/>
    <n v="0"/>
    <n v="260"/>
    <n v="390"/>
    <n v="260"/>
    <s v=""/>
    <n v="0"/>
  </r>
  <r>
    <s v="MMR001CMP020"/>
    <x v="3"/>
    <s v="Maw Hpawng Hka Nan Baptist Church"/>
    <s v="Myitkyina"/>
    <n v="26"/>
    <n v="110"/>
    <n v="0"/>
    <n v="0"/>
    <n v="0"/>
    <n v="52"/>
    <n v="78"/>
    <n v="52"/>
    <s v=""/>
    <n v="0"/>
  </r>
  <r>
    <s v="MMR001CMP021"/>
    <x v="3"/>
    <s v="Maw Hpawng Lhaovo Baptist Church"/>
    <s v="Myitkyina"/>
    <n v="21"/>
    <n v="103"/>
    <n v="0"/>
    <n v="0"/>
    <n v="0"/>
    <n v="42"/>
    <n v="63"/>
    <n v="42"/>
    <s v=""/>
    <n v="0"/>
  </r>
  <r>
    <s v="MMR001CMP091"/>
    <x v="3"/>
    <s v="Maw Wan, Mu-yin Baptist Church"/>
    <s v="Hpakant"/>
    <n v="5"/>
    <n v="23"/>
    <n v="11"/>
    <n v="15"/>
    <n v="0"/>
    <n v="0"/>
    <n v="0"/>
    <n v="10"/>
    <s v="No"/>
    <n v="0"/>
  </r>
  <r>
    <s v="MMR001CMP056"/>
    <x v="3"/>
    <s v="Momauk Baptist Church"/>
    <s v="Momauk"/>
    <n v="403"/>
    <n v="1798"/>
    <n v="0"/>
    <n v="0"/>
    <n v="0"/>
    <n v="806"/>
    <n v="1209"/>
    <n v="806"/>
    <s v=""/>
    <n v="0"/>
  </r>
  <r>
    <s v="MMR001CMP057"/>
    <x v="3"/>
    <s v="Momauk Catholic Church (St. Patrick)"/>
    <s v="Momauk"/>
    <n v="0"/>
    <n v="0"/>
    <n v="0"/>
    <n v="0"/>
    <n v="0"/>
    <n v="0"/>
    <n v="0"/>
    <n v="0"/>
    <s v=""/>
    <n v="0"/>
  </r>
  <r>
    <s v="MMR015CMP213"/>
    <x v="3"/>
    <s v="Muse Baptist Church"/>
    <s v="Muse"/>
    <n v="81"/>
    <n v="306"/>
    <n v="0"/>
    <n v="0"/>
    <n v="0"/>
    <n v="162"/>
    <n v="243"/>
    <n v="162"/>
    <s v=""/>
    <n v="0"/>
  </r>
  <r>
    <s v="MMR015CMP216"/>
    <x v="3"/>
    <s v="Muse Catholic Church"/>
    <s v="Muse"/>
    <n v="41"/>
    <n v="151"/>
    <n v="0"/>
    <n v="0"/>
    <n v="0"/>
    <n v="82"/>
    <n v="123"/>
    <n v="82"/>
    <s v=""/>
    <n v="0"/>
  </r>
  <r>
    <s v="MMR001CMP051"/>
    <x v="3"/>
    <s v="Mu-yin Baptist Church"/>
    <s v="Bhamo"/>
    <n v="16"/>
    <n v="66"/>
    <n v="0"/>
    <n v="0"/>
    <n v="0"/>
    <n v="32"/>
    <n v="48"/>
    <n v="32"/>
    <s v=""/>
    <n v="0"/>
  </r>
  <r>
    <s v="MMR001CMP017"/>
    <x v="3"/>
    <s v="Myay Myint Baptist Church"/>
    <s v="Myitkyina"/>
    <n v="12"/>
    <n v="53"/>
    <n v="0"/>
    <n v="0"/>
    <n v="0"/>
    <n v="24"/>
    <n v="36"/>
    <n v="24"/>
    <s v=""/>
    <n v="0"/>
  </r>
  <r>
    <s v="MMR001CMP061"/>
    <x v="3"/>
    <s v="Myo Thit "/>
    <s v="Momauk"/>
    <n v="13"/>
    <n v="53"/>
    <n v="0"/>
    <n v="0"/>
    <n v="0"/>
    <n v="26"/>
    <n v="39"/>
    <n v="26"/>
    <s v=""/>
    <n v="0"/>
  </r>
  <r>
    <s v="MMR015CMP214"/>
    <x v="3"/>
    <s v="Nam Hkam (KBC Jaw Wang) II"/>
    <s v="Namhkan"/>
    <n v="49"/>
    <n v="232"/>
    <n v="0"/>
    <n v="0"/>
    <n v="0"/>
    <n v="98"/>
    <n v="147"/>
    <n v="98"/>
    <s v=""/>
    <n v="0"/>
  </r>
  <r>
    <s v="MMR001CMP192"/>
    <x v="3"/>
    <s v="Nam Ma Phyit, COC"/>
    <s v="Hpakant"/>
    <n v="17"/>
    <n v="63"/>
    <n v="50"/>
    <n v="17"/>
    <n v="0"/>
    <n v="0"/>
    <n v="34"/>
    <n v="34"/>
    <s v="No"/>
    <n v="0"/>
  </r>
  <r>
    <s v="MMR015CMP215"/>
    <x v="3"/>
    <s v="Namhkan - Pang Long KBC"/>
    <s v="Namhkan"/>
    <n v="148"/>
    <n v="563"/>
    <n v="0"/>
    <n v="0"/>
    <n v="0"/>
    <n v="296"/>
    <n v="444"/>
    <n v="296"/>
    <s v=""/>
    <n v="0"/>
  </r>
  <r>
    <s v="MMR001CMP024"/>
    <x v="3"/>
    <s v="Nan Kway St. John Catholic Church"/>
    <s v="Myitkyina"/>
    <n v="72"/>
    <n v="359"/>
    <n v="0"/>
    <n v="0"/>
    <n v="0"/>
    <n v="144"/>
    <n v="216"/>
    <n v="144"/>
    <s v=""/>
    <n v="0"/>
  </r>
  <r>
    <s v="MMR001CMP054"/>
    <x v="3"/>
    <s v="Nant Hlaing Church"/>
    <s v="Bhamo"/>
    <n v="23"/>
    <n v="117"/>
    <n v="0"/>
    <n v="0"/>
    <n v="0"/>
    <n v="46"/>
    <n v="69"/>
    <n v="46"/>
    <s v=""/>
    <n v="0"/>
  </r>
  <r>
    <s v="MMR001CMP103"/>
    <x v="3"/>
    <s v="Nant Ma Hpit Catholic Church"/>
    <s v="Hpakant"/>
    <n v="55"/>
    <n v="267"/>
    <n v="117"/>
    <n v="65"/>
    <n v="0"/>
    <n v="0"/>
    <n v="100"/>
    <n v="110"/>
    <s v="No"/>
    <n v="0"/>
  </r>
  <r>
    <s v="MMR001CMP081"/>
    <x v="3"/>
    <s v="Nant Mun"/>
    <s v="Mohnyin"/>
    <n v="0"/>
    <n v="0"/>
    <n v="0"/>
    <n v="0"/>
    <n v="0"/>
    <n v="0"/>
    <n v="0"/>
    <n v="0"/>
    <s v=""/>
    <n v="0"/>
  </r>
  <r>
    <s v="MMR015CMP207"/>
    <x v="3"/>
    <s v="Narte"/>
    <s v="Hseni"/>
    <n v="67"/>
    <n v="392"/>
    <n v="0"/>
    <n v="0"/>
    <n v="0"/>
    <n v="134"/>
    <n v="201"/>
    <n v="134"/>
    <s v=""/>
    <n v="0"/>
  </r>
  <r>
    <s v="MMR001CMP079"/>
    <x v="3"/>
    <s v="Nat Gyi Kone Baptist Church "/>
    <s v="Mogaung"/>
    <n v="12"/>
    <n v="37"/>
    <n v="0"/>
    <n v="0"/>
    <n v="0"/>
    <n v="24"/>
    <n v="36"/>
    <n v="24"/>
    <s v=""/>
    <n v="0"/>
  </r>
  <r>
    <s v="MMR001CMP033"/>
    <x v="3"/>
    <s v="Nawng Hee Village"/>
    <s v="Waingmaw"/>
    <n v="18"/>
    <n v="77"/>
    <n v="0"/>
    <n v="0"/>
    <n v="0"/>
    <n v="36"/>
    <n v="54"/>
    <n v="36"/>
    <s v=""/>
    <n v="0"/>
  </r>
  <r>
    <s v="MMR001CMP152"/>
    <x v="3"/>
    <s v="Nawng Ing (Indawgyi) Baptist Church  "/>
    <s v="Mohnyin"/>
    <n v="21"/>
    <n v="97"/>
    <n v="0"/>
    <n v="0"/>
    <n v="0"/>
    <n v="42"/>
    <n v="63"/>
    <n v="42"/>
    <s v=""/>
    <n v="0"/>
  </r>
  <r>
    <s v="MMR001CMP059"/>
    <x v="3"/>
    <s v="Ni Thaw Ka Monestry"/>
    <s v="Momauk"/>
    <n v="23"/>
    <n v="86"/>
    <n v="0"/>
    <n v="0"/>
    <n v="0"/>
    <n v="46"/>
    <n v="69"/>
    <n v="46"/>
    <s v=""/>
    <n v="0"/>
  </r>
  <r>
    <s v="MMR001CMP002"/>
    <x v="3"/>
    <s v="Njang Dung Baptist Church "/>
    <s v="Myitkyina"/>
    <n v="57"/>
    <n v="233"/>
    <n v="0"/>
    <n v="0"/>
    <n v="0"/>
    <n v="114"/>
    <n v="171"/>
    <n v="114"/>
    <s v=""/>
    <n v="0"/>
  </r>
  <r>
    <s v="MMR001CMP162"/>
    <x v="3"/>
    <s v="Pa Dauk Myaing(Pa La Na)"/>
    <s v="Myitkyina"/>
    <n v="29"/>
    <n v="176"/>
    <n v="323"/>
    <n v="178"/>
    <n v="0"/>
    <n v="0"/>
    <n v="0"/>
    <n v="58"/>
    <s v="No"/>
    <n v="0"/>
  </r>
  <r>
    <s v="MMR001CMP193"/>
    <x v="3"/>
    <s v="Phan Khar Kone"/>
    <s v="Bhamo"/>
    <n v="180"/>
    <n v="819"/>
    <n v="0"/>
    <n v="0"/>
    <n v="0"/>
    <n v="360"/>
    <n v="540"/>
    <n v="360"/>
    <s v=""/>
    <n v="0"/>
  </r>
  <r>
    <s v="MMR001CMP065"/>
    <x v="3"/>
    <s v="Phar Kay/Nant Waing "/>
    <s v="Momauk"/>
    <n v="39"/>
    <n v="176"/>
    <n v="0"/>
    <n v="0"/>
    <n v="0"/>
    <n v="78"/>
    <n v="117"/>
    <n v="78"/>
    <s v=""/>
    <n v="0"/>
  </r>
  <r>
    <s v="MMR001CMP032"/>
    <x v="3"/>
    <s v="Qtr. 2 Lhaovo Baptist Church"/>
    <s v="Waingmaw"/>
    <n v="120"/>
    <n v="378"/>
    <n v="0"/>
    <n v="0"/>
    <n v="0"/>
    <n v="240"/>
    <n v="360"/>
    <n v="240"/>
    <s v=""/>
    <n v="0"/>
  </r>
  <r>
    <s v="MMR001CMP025"/>
    <x v="3"/>
    <s v="Qtr. 2 Myoma Baptist Church"/>
    <s v="Waingmaw"/>
    <n v="83"/>
    <n v="373"/>
    <n v="0"/>
    <n v="0"/>
    <n v="0"/>
    <n v="166"/>
    <n v="249"/>
    <n v="166"/>
    <s v=""/>
    <n v="0"/>
  </r>
  <r>
    <s v="MMR001CMP030"/>
    <x v="3"/>
    <s v="Qtr. 3 Mu-yin  Baptist Church"/>
    <s v="Waingmaw"/>
    <n v="23"/>
    <n v="153"/>
    <n v="0"/>
    <n v="0"/>
    <n v="0"/>
    <n v="46"/>
    <n v="69"/>
    <n v="46"/>
    <s v=""/>
    <n v="0"/>
  </r>
  <r>
    <s v="MMR001CMP026"/>
    <x v="3"/>
    <s v="Qtr. 4 Monestry (Thargaya Thayett Taw)"/>
    <s v="Waingmaw"/>
    <n v="102"/>
    <n v="552"/>
    <n v="0"/>
    <n v="0"/>
    <n v="0"/>
    <n v="204"/>
    <n v="306"/>
    <n v="204"/>
    <s v=""/>
    <n v="0"/>
  </r>
  <r>
    <s v="MMR001CMP182"/>
    <x v="3"/>
    <s v="Rawan Baptist Church, Maw Shan Vil., Seik Mu"/>
    <s v="Hpakant"/>
    <n v="12"/>
    <n v="51"/>
    <n v="26"/>
    <n v="14"/>
    <n v="0"/>
    <n v="0"/>
    <n v="22"/>
    <n v="24"/>
    <s v="No"/>
    <n v="0"/>
  </r>
  <r>
    <s v="MMR001CMP047"/>
    <x v="3"/>
    <s v="Robert Church"/>
    <s v="Bhamo"/>
    <n v="646"/>
    <n v="3609"/>
    <n v="0"/>
    <n v="0"/>
    <n v="0"/>
    <n v="1292"/>
    <n v="1938"/>
    <n v="1292"/>
    <s v=""/>
    <n v="0"/>
  </r>
  <r>
    <s v="MMR001CMP183"/>
    <x v="3"/>
    <s v="Sai Nai Baptish Church, Maw Shan Vil., Seki Mu"/>
    <s v="Hpakant"/>
    <n v="9"/>
    <n v="40"/>
    <n v="34"/>
    <n v="9"/>
    <n v="0"/>
    <n v="0"/>
    <n v="18"/>
    <n v="18"/>
    <s v="No"/>
    <n v="0"/>
  </r>
  <r>
    <s v="MMR001CMP006"/>
    <x v="3"/>
    <s v="Shatapru Sut Ngai Tawng"/>
    <s v="Myitkyina"/>
    <n v="106"/>
    <n v="390"/>
    <n v="0"/>
    <n v="0"/>
    <n v="0"/>
    <n v="212"/>
    <n v="318"/>
    <n v="212"/>
    <s v=""/>
    <n v="0"/>
  </r>
  <r>
    <s v="MMR001CMP007"/>
    <x v="3"/>
    <s v="Shatapru Thida Aye Baptist Church"/>
    <s v="Myitkyina"/>
    <n v="15"/>
    <n v="73"/>
    <n v="0"/>
    <n v="0"/>
    <n v="0"/>
    <n v="30"/>
    <n v="45"/>
    <n v="30"/>
    <s v=""/>
    <n v="0"/>
  </r>
  <r>
    <s v="MMR001CMP067"/>
    <x v="3"/>
    <s v="Shwe Gu Baptist Church"/>
    <s v="Shwegu"/>
    <n v="79"/>
    <n v="552"/>
    <n v="0"/>
    <n v="0"/>
    <n v="0"/>
    <n v="158"/>
    <n v="237"/>
    <n v="158"/>
    <s v=""/>
    <n v="0"/>
  </r>
  <r>
    <s v="MMR001CMP068"/>
    <x v="3"/>
    <s v="Shwe Gu Catholic Church"/>
    <s v="Shwegu"/>
    <n v="42"/>
    <n v="150"/>
    <n v="0"/>
    <n v="0"/>
    <n v="0"/>
    <n v="84"/>
    <n v="126"/>
    <n v="84"/>
    <s v=""/>
    <n v="0"/>
  </r>
  <r>
    <s v="MMR001CMP009"/>
    <x v="3"/>
    <s v="Shwe Zet Baptist Church"/>
    <s v="Myitkyina"/>
    <n v="84"/>
    <n v="401"/>
    <n v="0"/>
    <n v="0"/>
    <n v="0"/>
    <n v="168"/>
    <n v="252"/>
    <n v="168"/>
    <s v=""/>
    <n v="0"/>
  </r>
  <r>
    <s v="MMR001CMP080"/>
    <x v="3"/>
    <s v="St. Patrick Catholic Church "/>
    <s v="Mohnyin"/>
    <n v="12"/>
    <n v="53"/>
    <n v="0"/>
    <n v="0"/>
    <n v="0"/>
    <n v="24"/>
    <n v="36"/>
    <n v="24"/>
    <s v=""/>
    <n v="0"/>
  </r>
  <r>
    <s v="MMR001CMP206"/>
    <x v="3"/>
    <s v="Sumprabum"/>
    <s v="Sumprabum"/>
    <n v="5"/>
    <n v="32"/>
    <n v="91"/>
    <n v="32"/>
    <n v="0"/>
    <n v="0"/>
    <n v="0"/>
    <n v="10"/>
    <s v="No"/>
    <n v="0"/>
  </r>
  <r>
    <s v="MMR001CMP055"/>
    <x v="3"/>
    <s v="Ta Gun Taing Monastery (Shwe Kyi Na)"/>
    <s v="Bhamo"/>
    <n v="55"/>
    <n v="276"/>
    <n v="0"/>
    <n v="0"/>
    <n v="0"/>
    <n v="110"/>
    <n v="165"/>
    <n v="110"/>
    <s v=""/>
    <n v="0"/>
  </r>
  <r>
    <s v="MMR001CMP060"/>
    <x v="3"/>
    <s v="Tarli "/>
    <s v="Momauk"/>
    <n v="10"/>
    <n v="38"/>
    <n v="0"/>
    <n v="0"/>
    <n v="0"/>
    <n v="20"/>
    <n v="30"/>
    <n v="20"/>
    <s v=""/>
    <n v="0"/>
  </r>
  <r>
    <s v="MMR001CMP001"/>
    <x v="3"/>
    <s v="Tat Kone Baptist Church"/>
    <s v="Myitkyina"/>
    <n v="56"/>
    <n v="262"/>
    <n v="0"/>
    <n v="0"/>
    <n v="0"/>
    <n v="112"/>
    <n v="168"/>
    <n v="112"/>
    <s v=""/>
    <n v="0"/>
  </r>
  <r>
    <s v="MMR001CMP023"/>
    <x v="3"/>
    <s v="Tat Kone COC Baptist - Tat Kone Htoi San"/>
    <s v="Myitkyina"/>
    <n v="69"/>
    <n v="333"/>
    <n v="0"/>
    <n v="0"/>
    <n v="0"/>
    <n v="138"/>
    <n v="207"/>
    <n v="138"/>
    <s v=""/>
    <n v="0"/>
  </r>
  <r>
    <s v="MMR001CMP004"/>
    <x v="3"/>
    <s v="Tat Kone Emanuel Church"/>
    <s v="Myitkyina"/>
    <n v="13"/>
    <n v="60"/>
    <n v="0"/>
    <n v="0"/>
    <n v="0"/>
    <n v="26"/>
    <n v="39"/>
    <n v="26"/>
    <s v=""/>
    <n v="0"/>
  </r>
  <r>
    <s v="MMR001CMP003"/>
    <x v="3"/>
    <s v="Tat Kone Galile Baptist Church"/>
    <s v="Myitkyina"/>
    <n v="30"/>
    <n v="134"/>
    <n v="0"/>
    <n v="0"/>
    <n v="0"/>
    <n v="60"/>
    <n v="90"/>
    <n v="60"/>
    <s v=""/>
    <n v="0"/>
  </r>
  <r>
    <s v="MMR001CMP005"/>
    <x v="3"/>
    <s v="Tat Kone San Pya Baptist Church"/>
    <s v="Myitkyina"/>
    <n v="43"/>
    <n v="198"/>
    <n v="0"/>
    <n v="0"/>
    <n v="0"/>
    <n v="86"/>
    <n v="129"/>
    <n v="86"/>
    <s v=""/>
    <n v="0"/>
  </r>
  <r>
    <s v="MMR001CMP037"/>
    <x v="3"/>
    <s v="Thargaya Lisu Baptist Church"/>
    <s v="Waingmaw"/>
    <n v="72"/>
    <n v="338"/>
    <n v="0"/>
    <n v="0"/>
    <n v="0"/>
    <n v="144"/>
    <n v="216"/>
    <n v="144"/>
    <s v=""/>
    <n v="0"/>
  </r>
  <r>
    <s v="MMR001CMP224"/>
    <x v="3"/>
    <s v="Tharthana Ahlin Yaung New Monastery"/>
    <s v="Bhamo"/>
    <n v="0"/>
    <n v="0"/>
    <n v="0"/>
    <n v="0"/>
    <n v="0"/>
    <n v="0"/>
    <n v="0"/>
    <n v="0"/>
    <s v=""/>
    <n v="0"/>
  </r>
  <r>
    <s v="MMR001CMP038"/>
    <x v="3"/>
    <s v="Waingmaw AG Church"/>
    <s v="Waingmaw"/>
    <n v="75"/>
    <n v="395"/>
    <n v="0"/>
    <n v="0"/>
    <n v="0"/>
    <n v="150"/>
    <n v="225"/>
    <n v="150"/>
    <s v=""/>
    <n v="0"/>
  </r>
  <r>
    <s v="MMR001CMP036"/>
    <x v="3"/>
    <s v="Waingmaw Baptist Zonal Office"/>
    <s v="Waingmaw"/>
    <n v="0"/>
    <n v="150"/>
    <n v="0"/>
    <n v="0"/>
    <n v="0"/>
    <n v="0"/>
    <n v="0"/>
    <n v="0"/>
    <s v=""/>
    <n v="0"/>
  </r>
  <r>
    <s v="MMR001CMP184"/>
    <x v="3"/>
    <s v="Ward 2 Sai Taung Baptist Church, Seik Mu "/>
    <s v="Hpakant"/>
    <n v="39"/>
    <n v="186"/>
    <n v="94"/>
    <n v="58"/>
    <n v="0"/>
    <n v="0"/>
    <n v="59"/>
    <n v="78"/>
    <s v="No"/>
    <n v="0"/>
  </r>
  <r>
    <s v="MMR001CMP116"/>
    <x v="3"/>
    <s v="Woi Chyai "/>
    <s v="Waingmaw"/>
    <n v="880"/>
    <n v="4659"/>
    <n v="1620"/>
    <n v="2840"/>
    <n v="0"/>
    <n v="140"/>
    <n v="0"/>
    <n v="1760"/>
    <s v="No"/>
    <n v="0"/>
  </r>
  <r>
    <s v="MMR001CMP022"/>
    <x v="3"/>
    <s v="Wun Tho Buddhist Monastery"/>
    <s v="Myitkyina"/>
    <n v="6"/>
    <n v="34"/>
    <n v="0"/>
    <n v="0"/>
    <n v="0"/>
    <n v="12"/>
    <n v="18"/>
    <n v="12"/>
    <s v=""/>
    <n v="0"/>
  </r>
  <r>
    <s v="MMR001CMP053"/>
    <x v="3"/>
    <s v="Yoe Kyi Monastery"/>
    <s v="Bhamo"/>
    <n v="19"/>
    <n v="82"/>
    <n v="0"/>
    <n v="0"/>
    <n v="0"/>
    <n v="38"/>
    <n v="57"/>
    <n v="38"/>
    <s v=""/>
    <n v="0"/>
  </r>
  <r>
    <s v="MMR001CMP105"/>
    <x v="3"/>
    <s v="Yumar Baptist Church"/>
    <s v="Hpakant"/>
    <n v="17"/>
    <n v="65"/>
    <n v="33"/>
    <n v="8"/>
    <n v="0"/>
    <n v="1"/>
    <n v="43"/>
    <n v="34"/>
    <s v="No"/>
    <n v="0"/>
  </r>
</pivotCacheRecords>
</file>

<file path=xl/pivotCache/pivotCacheRecords2.xml><?xml version="1.0" encoding="utf-8"?>
<pivotCacheRecords xmlns="http://schemas.openxmlformats.org/spreadsheetml/2006/main" xmlns:r="http://schemas.openxmlformats.org/officeDocument/2006/relationships" count="342">
  <r>
    <d v="2013-12-01T00:00:00"/>
    <x v="0"/>
    <s v="KBC"/>
    <x v="0"/>
    <x v="0"/>
    <x v="0"/>
    <n v="1"/>
    <m/>
    <m/>
    <n v="20"/>
    <n v="20"/>
    <m/>
    <m/>
    <m/>
    <m/>
    <n v="20"/>
    <m/>
    <m/>
    <x v="0"/>
    <x v="0"/>
    <n v="0.27397260273972601"/>
    <s v="NO"/>
    <m/>
  </r>
  <r>
    <m/>
    <x v="1"/>
    <m/>
    <x v="0"/>
    <x v="0"/>
    <x v="0"/>
    <n v="1"/>
    <n v="25"/>
    <n v="25"/>
    <m/>
    <m/>
    <m/>
    <m/>
    <m/>
    <m/>
    <n v="0"/>
    <m/>
    <m/>
    <x v="0"/>
    <x v="0"/>
    <n v="0"/>
    <s v="NO"/>
    <m/>
  </r>
  <r>
    <m/>
    <x v="0"/>
    <s v="KMSS"/>
    <x v="0"/>
    <x v="0"/>
    <x v="0"/>
    <n v="1"/>
    <m/>
    <m/>
    <m/>
    <m/>
    <m/>
    <m/>
    <m/>
    <m/>
    <n v="0"/>
    <n v="44"/>
    <m/>
    <x v="0"/>
    <x v="0"/>
    <n v="0"/>
    <s v="NO"/>
    <m/>
  </r>
  <r>
    <d v="2016-02-16T00:00:00"/>
    <x v="0"/>
    <s v="KMSS"/>
    <x v="0"/>
    <x v="0"/>
    <x v="1"/>
    <n v="1"/>
    <m/>
    <m/>
    <n v="12"/>
    <n v="12"/>
    <m/>
    <m/>
    <m/>
    <m/>
    <n v="12"/>
    <m/>
    <m/>
    <x v="1"/>
    <x v="0"/>
    <n v="0.15584415584415584"/>
    <s v="NO"/>
    <m/>
  </r>
  <r>
    <m/>
    <x v="2"/>
    <s v="KBSS"/>
    <x v="0"/>
    <x v="1"/>
    <x v="2"/>
    <n v="1"/>
    <m/>
    <m/>
    <n v="6"/>
    <n v="6"/>
    <m/>
    <m/>
    <m/>
    <m/>
    <n v="6"/>
    <m/>
    <m/>
    <x v="2"/>
    <x v="0"/>
    <n v="2.1897810218978103E-2"/>
    <s v="NO"/>
    <m/>
  </r>
  <r>
    <m/>
    <x v="0"/>
    <s v="KBSS"/>
    <x v="0"/>
    <x v="1"/>
    <x v="2"/>
    <n v="1"/>
    <m/>
    <m/>
    <n v="144"/>
    <n v="144"/>
    <m/>
    <m/>
    <m/>
    <m/>
    <n v="144"/>
    <m/>
    <m/>
    <x v="2"/>
    <x v="0"/>
    <n v="0.52554744525547448"/>
    <s v="NO"/>
    <m/>
  </r>
  <r>
    <m/>
    <x v="0"/>
    <m/>
    <x v="0"/>
    <x v="1"/>
    <x v="2"/>
    <n v="1"/>
    <m/>
    <m/>
    <n v="20"/>
    <n v="20"/>
    <m/>
    <m/>
    <m/>
    <m/>
    <n v="20"/>
    <m/>
    <m/>
    <x v="2"/>
    <x v="0"/>
    <n v="7.2992700729927001E-2"/>
    <s v="NO"/>
    <m/>
  </r>
  <r>
    <d v="2016-02-16T00:00:00"/>
    <x v="0"/>
    <s v="Shalom"/>
    <x v="0"/>
    <x v="0"/>
    <x v="3"/>
    <n v="1"/>
    <m/>
    <m/>
    <n v="15"/>
    <n v="15"/>
    <m/>
    <m/>
    <m/>
    <m/>
    <n v="15"/>
    <m/>
    <m/>
    <x v="3"/>
    <x v="0"/>
    <n v="0.22388059701492538"/>
    <s v="NO"/>
    <m/>
  </r>
  <r>
    <d v="2014-12-01T00:00:00"/>
    <x v="0"/>
    <s v="Shalom"/>
    <x v="0"/>
    <x v="0"/>
    <x v="3"/>
    <n v="1"/>
    <m/>
    <m/>
    <n v="15"/>
    <n v="15"/>
    <m/>
    <m/>
    <m/>
    <m/>
    <n v="15"/>
    <m/>
    <m/>
    <x v="3"/>
    <x v="0"/>
    <n v="0.22388059701492538"/>
    <s v="NO"/>
    <m/>
  </r>
  <r>
    <d v="2013-12-01T00:00:00"/>
    <x v="0"/>
    <s v="Shalom"/>
    <x v="0"/>
    <x v="0"/>
    <x v="3"/>
    <n v="1"/>
    <m/>
    <m/>
    <n v="25"/>
    <n v="25"/>
    <m/>
    <m/>
    <m/>
    <m/>
    <n v="25"/>
    <m/>
    <m/>
    <x v="3"/>
    <x v="0"/>
    <n v="0.37313432835820898"/>
    <s v="NO"/>
    <m/>
  </r>
  <r>
    <m/>
    <x v="1"/>
    <m/>
    <x v="0"/>
    <x v="0"/>
    <x v="3"/>
    <n v="1"/>
    <n v="10"/>
    <n v="10"/>
    <m/>
    <m/>
    <m/>
    <m/>
    <m/>
    <m/>
    <n v="0"/>
    <m/>
    <m/>
    <x v="3"/>
    <x v="0"/>
    <n v="0"/>
    <s v="NO"/>
    <m/>
  </r>
  <r>
    <m/>
    <x v="0"/>
    <s v="Shalom"/>
    <x v="0"/>
    <x v="0"/>
    <x v="3"/>
    <n v="1"/>
    <m/>
    <m/>
    <n v="5"/>
    <n v="5"/>
    <m/>
    <m/>
    <m/>
    <m/>
    <n v="5"/>
    <m/>
    <m/>
    <x v="3"/>
    <x v="0"/>
    <n v="7.4626865671641784E-2"/>
    <s v="NO"/>
    <m/>
  </r>
  <r>
    <d v="2014-12-01T00:00:00"/>
    <x v="0"/>
    <s v="Shalom"/>
    <x v="0"/>
    <x v="0"/>
    <x v="4"/>
    <n v="1"/>
    <m/>
    <m/>
    <n v="5"/>
    <n v="5"/>
    <m/>
    <m/>
    <m/>
    <m/>
    <n v="5"/>
    <m/>
    <m/>
    <x v="4"/>
    <x v="0"/>
    <n v="0.35714285714285715"/>
    <s v="NO"/>
    <m/>
  </r>
  <r>
    <d v="2013-12-01T00:00:00"/>
    <x v="0"/>
    <s v="Shalom"/>
    <x v="0"/>
    <x v="0"/>
    <x v="4"/>
    <n v="1"/>
    <m/>
    <m/>
    <n v="5"/>
    <n v="5"/>
    <m/>
    <m/>
    <m/>
    <m/>
    <n v="5"/>
    <m/>
    <m/>
    <x v="4"/>
    <x v="0"/>
    <n v="0.35714285714285715"/>
    <s v="NO"/>
    <m/>
  </r>
  <r>
    <m/>
    <x v="0"/>
    <s v="KBSS"/>
    <x v="0"/>
    <x v="1"/>
    <x v="5"/>
    <n v="1"/>
    <m/>
    <m/>
    <n v="32"/>
    <n v="32"/>
    <m/>
    <m/>
    <m/>
    <m/>
    <n v="32"/>
    <m/>
    <m/>
    <x v="5"/>
    <x v="0"/>
    <n v="2.6666666666666665"/>
    <s v="NO"/>
    <m/>
  </r>
  <r>
    <m/>
    <x v="0"/>
    <m/>
    <x v="0"/>
    <x v="1"/>
    <x v="5"/>
    <n v="1"/>
    <m/>
    <m/>
    <n v="10"/>
    <n v="10"/>
    <m/>
    <m/>
    <m/>
    <m/>
    <n v="10"/>
    <m/>
    <m/>
    <x v="5"/>
    <x v="0"/>
    <n v="0.83333333333333337"/>
    <s v="NO"/>
    <m/>
  </r>
  <r>
    <d v="2013-12-01T00:00:00"/>
    <x v="0"/>
    <s v="KBC"/>
    <x v="0"/>
    <x v="0"/>
    <x v="6"/>
    <n v="1"/>
    <m/>
    <m/>
    <n v="20"/>
    <n v="20"/>
    <m/>
    <m/>
    <m/>
    <m/>
    <n v="20"/>
    <m/>
    <m/>
    <x v="6"/>
    <x v="0"/>
    <n v="0.5714285714285714"/>
    <s v="NO"/>
    <m/>
  </r>
  <r>
    <m/>
    <x v="1"/>
    <m/>
    <x v="0"/>
    <x v="0"/>
    <x v="6"/>
    <n v="1"/>
    <n v="10"/>
    <n v="10"/>
    <m/>
    <m/>
    <m/>
    <m/>
    <m/>
    <m/>
    <n v="0"/>
    <m/>
    <m/>
    <x v="6"/>
    <x v="0"/>
    <n v="0"/>
    <s v="NO"/>
    <m/>
  </r>
  <r>
    <d v="2014-12-01T00:00:00"/>
    <x v="0"/>
    <s v="Shalom"/>
    <x v="0"/>
    <x v="0"/>
    <x v="7"/>
    <n v="1"/>
    <m/>
    <m/>
    <n v="5"/>
    <n v="5"/>
    <m/>
    <m/>
    <m/>
    <m/>
    <n v="0"/>
    <m/>
    <m/>
    <x v="7"/>
    <x v="1"/>
    <s v=""/>
    <s v="NO"/>
    <m/>
  </r>
  <r>
    <d v="2013-12-01T00:00:00"/>
    <x v="0"/>
    <s v="Shalom"/>
    <x v="0"/>
    <x v="0"/>
    <x v="7"/>
    <n v="1"/>
    <m/>
    <m/>
    <n v="10"/>
    <n v="10"/>
    <m/>
    <m/>
    <m/>
    <m/>
    <n v="0"/>
    <m/>
    <m/>
    <x v="7"/>
    <x v="1"/>
    <s v=""/>
    <s v="NO"/>
    <m/>
  </r>
  <r>
    <m/>
    <x v="3"/>
    <m/>
    <x v="0"/>
    <x v="0"/>
    <x v="7"/>
    <n v="1"/>
    <m/>
    <m/>
    <n v="10"/>
    <n v="10"/>
    <m/>
    <m/>
    <m/>
    <m/>
    <n v="0"/>
    <m/>
    <m/>
    <x v="7"/>
    <x v="1"/>
    <s v=""/>
    <s v="NO"/>
    <m/>
  </r>
  <r>
    <d v="2013-12-01T00:00:00"/>
    <x v="0"/>
    <s v="KMSS"/>
    <x v="0"/>
    <x v="2"/>
    <x v="8"/>
    <n v="1"/>
    <m/>
    <m/>
    <n v="35"/>
    <n v="35"/>
    <m/>
    <m/>
    <m/>
    <m/>
    <n v="35"/>
    <m/>
    <m/>
    <x v="8"/>
    <x v="0"/>
    <n v="0.21875"/>
    <s v="NO"/>
    <m/>
  </r>
  <r>
    <m/>
    <x v="1"/>
    <m/>
    <x v="0"/>
    <x v="2"/>
    <x v="8"/>
    <n v="1"/>
    <n v="41"/>
    <n v="41"/>
    <m/>
    <m/>
    <m/>
    <m/>
    <m/>
    <m/>
    <n v="0"/>
    <m/>
    <m/>
    <x v="8"/>
    <x v="0"/>
    <n v="0"/>
    <s v="NO"/>
    <m/>
  </r>
  <r>
    <d v="2016-07-14T00:00:00"/>
    <x v="0"/>
    <s v="KMSS"/>
    <x v="0"/>
    <x v="2"/>
    <x v="8"/>
    <n v="1"/>
    <m/>
    <m/>
    <n v="130"/>
    <n v="130"/>
    <m/>
    <m/>
    <m/>
    <m/>
    <n v="0"/>
    <m/>
    <m/>
    <x v="8"/>
    <x v="0"/>
    <n v="0"/>
    <s v="YES"/>
    <m/>
  </r>
  <r>
    <m/>
    <x v="0"/>
    <s v="KMSS"/>
    <x v="0"/>
    <x v="2"/>
    <x v="8"/>
    <n v="1"/>
    <m/>
    <m/>
    <n v="202"/>
    <n v="202"/>
    <m/>
    <m/>
    <m/>
    <m/>
    <n v="202"/>
    <m/>
    <m/>
    <x v="8"/>
    <x v="0"/>
    <n v="1.2625"/>
    <s v="NO"/>
    <m/>
  </r>
  <r>
    <d v="2014-12-01T00:00:00"/>
    <x v="0"/>
    <s v="KBC"/>
    <x v="0"/>
    <x v="3"/>
    <x v="9"/>
    <n v="1"/>
    <m/>
    <m/>
    <n v="90"/>
    <n v="90"/>
    <m/>
    <m/>
    <m/>
    <m/>
    <n v="90"/>
    <m/>
    <m/>
    <x v="9"/>
    <x v="0"/>
    <n v="0.36734693877551022"/>
    <s v="NO"/>
    <m/>
  </r>
  <r>
    <d v="2014-06-01T00:00:00"/>
    <x v="0"/>
    <s v="KMSS"/>
    <x v="0"/>
    <x v="3"/>
    <x v="9"/>
    <n v="1"/>
    <m/>
    <m/>
    <n v="100"/>
    <n v="100"/>
    <m/>
    <m/>
    <m/>
    <m/>
    <n v="100"/>
    <m/>
    <m/>
    <x v="9"/>
    <x v="0"/>
    <n v="0.40816326530612246"/>
    <s v="NO"/>
    <m/>
  </r>
  <r>
    <m/>
    <x v="0"/>
    <m/>
    <x v="0"/>
    <x v="3"/>
    <x v="9"/>
    <n v="1"/>
    <m/>
    <m/>
    <n v="150"/>
    <m/>
    <m/>
    <m/>
    <m/>
    <m/>
    <n v="0"/>
    <m/>
    <m/>
    <x v="9"/>
    <x v="0"/>
    <n v="0"/>
    <s v="NO"/>
    <m/>
  </r>
  <r>
    <d v="2014-12-01T00:00:00"/>
    <x v="0"/>
    <s v="KBC"/>
    <x v="0"/>
    <x v="3"/>
    <x v="10"/>
    <n v="1"/>
    <m/>
    <m/>
    <n v="120"/>
    <n v="120"/>
    <m/>
    <m/>
    <m/>
    <m/>
    <n v="120"/>
    <m/>
    <m/>
    <x v="10"/>
    <x v="0"/>
    <n v="0.54794520547945202"/>
    <s v="NO"/>
    <m/>
  </r>
  <r>
    <d v="2014-12-01T00:00:00"/>
    <x v="0"/>
    <s v="Shalom"/>
    <x v="0"/>
    <x v="0"/>
    <x v="11"/>
    <n v="1"/>
    <m/>
    <m/>
    <n v="2"/>
    <n v="2"/>
    <m/>
    <m/>
    <m/>
    <m/>
    <n v="2"/>
    <m/>
    <m/>
    <x v="11"/>
    <x v="0"/>
    <n v="0.33333333333333331"/>
    <s v="NO"/>
    <m/>
  </r>
  <r>
    <d v="2013-12-01T00:00:00"/>
    <x v="0"/>
    <s v="Shalom"/>
    <x v="0"/>
    <x v="0"/>
    <x v="11"/>
    <n v="1"/>
    <m/>
    <m/>
    <n v="4"/>
    <n v="4"/>
    <m/>
    <m/>
    <m/>
    <m/>
    <n v="4"/>
    <m/>
    <m/>
    <x v="11"/>
    <x v="0"/>
    <n v="0.66666666666666663"/>
    <s v="NO"/>
    <m/>
  </r>
  <r>
    <d v="2014-12-01T00:00:00"/>
    <x v="0"/>
    <s v="Shalom"/>
    <x v="0"/>
    <x v="4"/>
    <x v="12"/>
    <n v="1"/>
    <m/>
    <m/>
    <n v="5"/>
    <n v="5"/>
    <m/>
    <m/>
    <m/>
    <m/>
    <n v="5"/>
    <m/>
    <m/>
    <x v="12"/>
    <x v="0"/>
    <n v="4.5871559633027525E-2"/>
    <s v="NO"/>
    <m/>
  </r>
  <r>
    <d v="2016-07-20T00:00:00"/>
    <x v="0"/>
    <s v="Shalom"/>
    <x v="0"/>
    <x v="4"/>
    <x v="12"/>
    <m/>
    <m/>
    <m/>
    <m/>
    <m/>
    <m/>
    <m/>
    <m/>
    <m/>
    <n v="0"/>
    <n v="10"/>
    <m/>
    <x v="12"/>
    <x v="0"/>
    <n v="0"/>
    <n v="109"/>
    <m/>
  </r>
  <r>
    <m/>
    <x v="4"/>
    <s v="Shalom"/>
    <x v="0"/>
    <x v="4"/>
    <x v="12"/>
    <n v="1"/>
    <m/>
    <m/>
    <n v="82"/>
    <n v="82"/>
    <m/>
    <m/>
    <m/>
    <m/>
    <n v="82"/>
    <m/>
    <m/>
    <x v="12"/>
    <x v="0"/>
    <n v="0.75229357798165142"/>
    <s v="NO"/>
    <m/>
  </r>
  <r>
    <m/>
    <x v="0"/>
    <s v="Shalom"/>
    <x v="0"/>
    <x v="4"/>
    <x v="12"/>
    <n v="1"/>
    <m/>
    <m/>
    <n v="20"/>
    <n v="20"/>
    <m/>
    <m/>
    <m/>
    <m/>
    <n v="20"/>
    <m/>
    <m/>
    <x v="12"/>
    <x v="0"/>
    <n v="0.1834862385321101"/>
    <s v="NO"/>
    <m/>
  </r>
  <r>
    <d v="2014-12-01T00:00:00"/>
    <x v="0"/>
    <s v="Shalom"/>
    <x v="0"/>
    <x v="0"/>
    <x v="13"/>
    <n v="1"/>
    <m/>
    <m/>
    <n v="45"/>
    <n v="45"/>
    <m/>
    <m/>
    <m/>
    <m/>
    <n v="45"/>
    <m/>
    <m/>
    <x v="13"/>
    <x v="0"/>
    <n v="0.68181818181818177"/>
    <s v="NO"/>
    <m/>
  </r>
  <r>
    <d v="2014-06-01T00:00:00"/>
    <x v="0"/>
    <s v="Shalom"/>
    <x v="0"/>
    <x v="0"/>
    <x v="13"/>
    <n v="1"/>
    <m/>
    <m/>
    <n v="20"/>
    <n v="20"/>
    <m/>
    <m/>
    <m/>
    <m/>
    <n v="20"/>
    <m/>
    <m/>
    <x v="13"/>
    <x v="0"/>
    <n v="0.30303030303030304"/>
    <s v="NO"/>
    <m/>
  </r>
  <r>
    <m/>
    <x v="1"/>
    <m/>
    <x v="0"/>
    <x v="0"/>
    <x v="13"/>
    <n v="1"/>
    <n v="5"/>
    <n v="5"/>
    <m/>
    <m/>
    <m/>
    <m/>
    <m/>
    <m/>
    <n v="0"/>
    <m/>
    <m/>
    <x v="13"/>
    <x v="0"/>
    <n v="0"/>
    <s v="NO"/>
    <m/>
  </r>
  <r>
    <m/>
    <x v="0"/>
    <s v="Shalom"/>
    <x v="0"/>
    <x v="0"/>
    <x v="13"/>
    <n v="1"/>
    <m/>
    <m/>
    <n v="10"/>
    <n v="10"/>
    <m/>
    <m/>
    <m/>
    <m/>
    <n v="10"/>
    <m/>
    <m/>
    <x v="13"/>
    <x v="0"/>
    <n v="0.15151515151515152"/>
    <s v="NO"/>
    <m/>
  </r>
  <r>
    <d v="2016-02-16T00:00:00"/>
    <x v="0"/>
    <s v="KBC"/>
    <x v="0"/>
    <x v="5"/>
    <x v="14"/>
    <n v="1"/>
    <m/>
    <m/>
    <m/>
    <m/>
    <m/>
    <m/>
    <m/>
    <m/>
    <n v="0"/>
    <n v="13"/>
    <n v="13"/>
    <x v="14"/>
    <x v="0"/>
    <n v="0"/>
    <s v="NO"/>
    <s v="Du Kahtawng Qtr. 14,4,5 (combined as one camp)"/>
  </r>
  <r>
    <m/>
    <x v="0"/>
    <m/>
    <x v="0"/>
    <x v="5"/>
    <x v="14"/>
    <n v="1"/>
    <m/>
    <m/>
    <n v="3"/>
    <n v="3"/>
    <m/>
    <m/>
    <m/>
    <m/>
    <n v="3"/>
    <m/>
    <m/>
    <x v="14"/>
    <x v="0"/>
    <n v="0.5"/>
    <s v="NO"/>
    <m/>
  </r>
  <r>
    <m/>
    <x v="0"/>
    <m/>
    <x v="0"/>
    <x v="5"/>
    <x v="15"/>
    <n v="1"/>
    <m/>
    <m/>
    <n v="6"/>
    <n v="6"/>
    <m/>
    <m/>
    <m/>
    <m/>
    <n v="6"/>
    <m/>
    <m/>
    <x v="15"/>
    <x v="0"/>
    <n v="1"/>
    <s v="NO"/>
    <m/>
  </r>
  <r>
    <m/>
    <x v="0"/>
    <m/>
    <x v="0"/>
    <x v="5"/>
    <x v="16"/>
    <n v="1"/>
    <m/>
    <m/>
    <n v="3"/>
    <n v="3"/>
    <m/>
    <m/>
    <m/>
    <m/>
    <n v="3"/>
    <m/>
    <m/>
    <x v="16"/>
    <x v="0"/>
    <n v="6.8181818181818177E-2"/>
    <s v="NO"/>
    <m/>
  </r>
  <r>
    <d v="2016-02-16T00:00:00"/>
    <x v="0"/>
    <s v="KMSS"/>
    <x v="0"/>
    <x v="6"/>
    <x v="17"/>
    <n v="1"/>
    <m/>
    <m/>
    <n v="82"/>
    <n v="82"/>
    <m/>
    <m/>
    <m/>
    <m/>
    <n v="82"/>
    <m/>
    <m/>
    <x v="17"/>
    <x v="0"/>
    <n v="0.7068965517241379"/>
    <s v="NO"/>
    <m/>
  </r>
  <r>
    <d v="2016-07-14T00:00:00"/>
    <x v="0"/>
    <s v="KMSS"/>
    <x v="0"/>
    <x v="6"/>
    <x v="17"/>
    <n v="1"/>
    <m/>
    <m/>
    <n v="42"/>
    <n v="42"/>
    <m/>
    <m/>
    <m/>
    <m/>
    <n v="0"/>
    <m/>
    <m/>
    <x v="17"/>
    <x v="0"/>
    <n v="0"/>
    <s v="YES"/>
    <s v="21 twin shelters = 42 units"/>
  </r>
  <r>
    <m/>
    <x v="0"/>
    <s v="KMSS"/>
    <x v="0"/>
    <x v="6"/>
    <x v="17"/>
    <n v="1"/>
    <m/>
    <m/>
    <n v="123"/>
    <n v="123"/>
    <m/>
    <m/>
    <m/>
    <m/>
    <n v="123"/>
    <m/>
    <m/>
    <x v="17"/>
    <x v="0"/>
    <n v="1.0603448275862069"/>
    <s v="NO"/>
    <m/>
  </r>
  <r>
    <d v="2014-06-19T00:00:00"/>
    <x v="4"/>
    <s v="Shalom"/>
    <x v="0"/>
    <x v="2"/>
    <x v="18"/>
    <n v="1"/>
    <m/>
    <m/>
    <n v="50"/>
    <n v="55"/>
    <m/>
    <m/>
    <m/>
    <m/>
    <n v="55"/>
    <m/>
    <m/>
    <x v="18"/>
    <x v="0"/>
    <n v="0.55555555555555558"/>
    <s v="NO"/>
    <m/>
  </r>
  <r>
    <d v="2013-12-01T00:00:00"/>
    <x v="0"/>
    <s v="Shalom"/>
    <x v="0"/>
    <x v="2"/>
    <x v="18"/>
    <n v="1"/>
    <m/>
    <m/>
    <n v="5"/>
    <n v="5"/>
    <m/>
    <m/>
    <m/>
    <m/>
    <n v="5"/>
    <m/>
    <m/>
    <x v="18"/>
    <x v="0"/>
    <n v="5.0505050505050504E-2"/>
    <s v="NO"/>
    <m/>
  </r>
  <r>
    <m/>
    <x v="0"/>
    <s v="Shalom"/>
    <x v="0"/>
    <x v="2"/>
    <x v="18"/>
    <n v="1"/>
    <m/>
    <m/>
    <n v="45"/>
    <n v="45"/>
    <m/>
    <m/>
    <m/>
    <m/>
    <n v="45"/>
    <m/>
    <m/>
    <x v="18"/>
    <x v="0"/>
    <n v="0.45454545454545453"/>
    <s v="NO"/>
    <m/>
  </r>
  <r>
    <d v="2016-07-18T00:00:00"/>
    <x v="5"/>
    <s v="KBC"/>
    <x v="0"/>
    <x v="2"/>
    <x v="19"/>
    <n v="1"/>
    <m/>
    <m/>
    <m/>
    <m/>
    <m/>
    <m/>
    <m/>
    <m/>
    <n v="0"/>
    <n v="18"/>
    <n v="18"/>
    <x v="19"/>
    <x v="0"/>
    <n v="0"/>
    <s v="NO"/>
    <m/>
  </r>
  <r>
    <m/>
    <x v="4"/>
    <s v="Shalom"/>
    <x v="0"/>
    <x v="2"/>
    <x v="19"/>
    <n v="1"/>
    <m/>
    <m/>
    <n v="100"/>
    <n v="100"/>
    <m/>
    <m/>
    <m/>
    <m/>
    <n v="100"/>
    <m/>
    <m/>
    <x v="19"/>
    <x v="0"/>
    <n v="0.68493150684931503"/>
    <s v="NO"/>
    <m/>
  </r>
  <r>
    <d v="2013-12-01T00:00:00"/>
    <x v="0"/>
    <s v="Shalom"/>
    <x v="0"/>
    <x v="0"/>
    <x v="20"/>
    <n v="1"/>
    <m/>
    <m/>
    <n v="10"/>
    <n v="10"/>
    <m/>
    <m/>
    <m/>
    <m/>
    <n v="10"/>
    <m/>
    <m/>
    <x v="20"/>
    <x v="0"/>
    <n v="1.25"/>
    <s v="NO"/>
    <m/>
  </r>
  <r>
    <m/>
    <x v="1"/>
    <m/>
    <x v="0"/>
    <x v="0"/>
    <x v="20"/>
    <n v="1"/>
    <n v="20"/>
    <n v="20"/>
    <m/>
    <m/>
    <m/>
    <m/>
    <m/>
    <m/>
    <n v="0"/>
    <m/>
    <m/>
    <x v="20"/>
    <x v="0"/>
    <n v="0"/>
    <s v="NO"/>
    <m/>
  </r>
  <r>
    <m/>
    <x v="0"/>
    <s v="Shalom"/>
    <x v="0"/>
    <x v="0"/>
    <x v="20"/>
    <n v="1"/>
    <m/>
    <m/>
    <n v="5"/>
    <n v="5"/>
    <m/>
    <m/>
    <m/>
    <m/>
    <n v="5"/>
    <m/>
    <m/>
    <x v="20"/>
    <x v="0"/>
    <n v="0.625"/>
    <s v="NO"/>
    <m/>
  </r>
  <r>
    <m/>
    <x v="0"/>
    <s v="KBC"/>
    <x v="1"/>
    <x v="7"/>
    <x v="21"/>
    <n v="1"/>
    <m/>
    <m/>
    <n v="10"/>
    <n v="10"/>
    <m/>
    <m/>
    <m/>
    <m/>
    <n v="10"/>
    <m/>
    <m/>
    <x v="21"/>
    <x v="0"/>
    <n v="0.3125"/>
    <s v="NO"/>
    <m/>
  </r>
  <r>
    <d v="2016-07-18T00:00:00"/>
    <x v="5"/>
    <s v="KBC"/>
    <x v="0"/>
    <x v="4"/>
    <x v="22"/>
    <n v="1"/>
    <m/>
    <m/>
    <m/>
    <m/>
    <m/>
    <m/>
    <m/>
    <m/>
    <n v="0"/>
    <n v="51"/>
    <n v="51"/>
    <x v="22"/>
    <x v="0"/>
    <n v="0"/>
    <s v="NO"/>
    <m/>
  </r>
  <r>
    <d v="2016-02-16T00:00:00"/>
    <x v="0"/>
    <s v="KMSS"/>
    <x v="0"/>
    <x v="6"/>
    <x v="23"/>
    <n v="1"/>
    <m/>
    <m/>
    <m/>
    <m/>
    <m/>
    <m/>
    <m/>
    <m/>
    <n v="0"/>
    <n v="338"/>
    <n v="338"/>
    <x v="23"/>
    <x v="0"/>
    <n v="0"/>
    <s v="NO"/>
    <m/>
  </r>
  <r>
    <d v="2014-12-01T00:00:00"/>
    <x v="0"/>
    <s v="KMSS"/>
    <x v="0"/>
    <x v="6"/>
    <x v="23"/>
    <n v="1"/>
    <m/>
    <m/>
    <n v="280"/>
    <n v="280"/>
    <m/>
    <m/>
    <m/>
    <m/>
    <n v="280"/>
    <m/>
    <m/>
    <x v="23"/>
    <x v="0"/>
    <n v="0.46357615894039733"/>
    <s v="NO"/>
    <m/>
  </r>
  <r>
    <m/>
    <x v="4"/>
    <s v="KMSS"/>
    <x v="0"/>
    <x v="6"/>
    <x v="23"/>
    <n v="1"/>
    <m/>
    <m/>
    <n v="338"/>
    <n v="338"/>
    <m/>
    <m/>
    <m/>
    <m/>
    <n v="338"/>
    <m/>
    <m/>
    <x v="23"/>
    <x v="0"/>
    <n v="0.55960264900662249"/>
    <s v="NO"/>
    <m/>
  </r>
  <r>
    <m/>
    <x v="6"/>
    <m/>
    <x v="0"/>
    <x v="1"/>
    <x v="24"/>
    <n v="1"/>
    <m/>
    <m/>
    <n v="38"/>
    <n v="38"/>
    <m/>
    <m/>
    <m/>
    <m/>
    <n v="38"/>
    <m/>
    <m/>
    <x v="24"/>
    <x v="0"/>
    <n v="0.97435897435897434"/>
    <s v="NO"/>
    <m/>
  </r>
  <r>
    <m/>
    <x v="0"/>
    <m/>
    <x v="0"/>
    <x v="1"/>
    <x v="24"/>
    <n v="1"/>
    <m/>
    <m/>
    <n v="5"/>
    <m/>
    <m/>
    <m/>
    <m/>
    <m/>
    <n v="0"/>
    <m/>
    <m/>
    <x v="24"/>
    <x v="0"/>
    <n v="0"/>
    <s v="NO"/>
    <m/>
  </r>
  <r>
    <d v="2016-05-12T00:00:00"/>
    <x v="0"/>
    <s v="KBC"/>
    <x v="0"/>
    <x v="5"/>
    <x v="25"/>
    <n v="1"/>
    <m/>
    <m/>
    <m/>
    <m/>
    <m/>
    <m/>
    <m/>
    <m/>
    <n v="0"/>
    <n v="10"/>
    <m/>
    <x v="25"/>
    <x v="0"/>
    <n v="0"/>
    <s v="NO"/>
    <m/>
  </r>
  <r>
    <d v="2013-12-01T00:00:00"/>
    <x v="0"/>
    <s v="KBC"/>
    <x v="0"/>
    <x v="5"/>
    <x v="25"/>
    <n v="1"/>
    <m/>
    <m/>
    <n v="30"/>
    <n v="30"/>
    <m/>
    <m/>
    <m/>
    <m/>
    <n v="30"/>
    <m/>
    <m/>
    <x v="25"/>
    <x v="0"/>
    <n v="0.15151515151515152"/>
    <s v="NO"/>
    <m/>
  </r>
  <r>
    <m/>
    <x v="7"/>
    <s v="KMSS"/>
    <x v="0"/>
    <x v="5"/>
    <x v="25"/>
    <n v="1"/>
    <m/>
    <m/>
    <n v="20"/>
    <n v="20"/>
    <m/>
    <m/>
    <m/>
    <m/>
    <n v="20"/>
    <m/>
    <m/>
    <x v="25"/>
    <x v="0"/>
    <n v="0.10101010101010101"/>
    <s v="NO"/>
    <m/>
  </r>
  <r>
    <m/>
    <x v="8"/>
    <s v="KBC"/>
    <x v="0"/>
    <x v="5"/>
    <x v="25"/>
    <n v="1"/>
    <m/>
    <m/>
    <n v="60"/>
    <n v="60"/>
    <m/>
    <m/>
    <m/>
    <m/>
    <n v="60"/>
    <m/>
    <m/>
    <x v="25"/>
    <x v="0"/>
    <n v="0.30303030303030304"/>
    <s v="NO"/>
    <m/>
  </r>
  <r>
    <m/>
    <x v="0"/>
    <m/>
    <x v="0"/>
    <x v="5"/>
    <x v="25"/>
    <n v="1"/>
    <m/>
    <m/>
    <n v="50"/>
    <n v="50"/>
    <m/>
    <m/>
    <m/>
    <m/>
    <n v="50"/>
    <m/>
    <m/>
    <x v="25"/>
    <x v="0"/>
    <n v="0.25252525252525254"/>
    <s v="NO"/>
    <m/>
  </r>
  <r>
    <m/>
    <x v="9"/>
    <s v="KMSS"/>
    <x v="0"/>
    <x v="5"/>
    <x v="26"/>
    <n v="1"/>
    <m/>
    <m/>
    <n v="60"/>
    <n v="60"/>
    <m/>
    <m/>
    <m/>
    <m/>
    <n v="60"/>
    <m/>
    <m/>
    <x v="26"/>
    <x v="0"/>
    <n v="0.59405940594059403"/>
    <s v="NO"/>
    <m/>
  </r>
  <r>
    <m/>
    <x v="0"/>
    <s v="KMSS"/>
    <x v="0"/>
    <x v="5"/>
    <x v="26"/>
    <n v="1"/>
    <m/>
    <m/>
    <n v="20"/>
    <n v="20"/>
    <m/>
    <m/>
    <m/>
    <m/>
    <n v="20"/>
    <m/>
    <m/>
    <x v="26"/>
    <x v="0"/>
    <n v="0.19801980198019803"/>
    <s v="NO"/>
    <m/>
  </r>
  <r>
    <d v="2016-02-22T00:00:00"/>
    <x v="4"/>
    <m/>
    <x v="0"/>
    <x v="6"/>
    <x v="27"/>
    <n v="1"/>
    <m/>
    <m/>
    <n v="118"/>
    <n v="118"/>
    <m/>
    <m/>
    <m/>
    <m/>
    <n v="0"/>
    <m/>
    <m/>
    <x v="27"/>
    <x v="0"/>
    <n v="0"/>
    <s v="YES"/>
    <m/>
  </r>
  <r>
    <d v="2016-02-16T00:00:00"/>
    <x v="0"/>
    <s v="KMSS"/>
    <x v="0"/>
    <x v="6"/>
    <x v="27"/>
    <n v="1"/>
    <m/>
    <m/>
    <m/>
    <m/>
    <m/>
    <m/>
    <m/>
    <m/>
    <n v="0"/>
    <n v="220"/>
    <n v="220"/>
    <x v="27"/>
    <x v="0"/>
    <n v="0"/>
    <s v="NO"/>
    <m/>
  </r>
  <r>
    <d v="2014-12-01T00:00:00"/>
    <x v="0"/>
    <s v="KMSS"/>
    <x v="0"/>
    <x v="6"/>
    <x v="27"/>
    <n v="1"/>
    <m/>
    <m/>
    <n v="278"/>
    <n v="278"/>
    <m/>
    <m/>
    <m/>
    <m/>
    <n v="278"/>
    <m/>
    <m/>
    <x v="27"/>
    <x v="0"/>
    <n v="0.16767189384800965"/>
    <s v="NO"/>
    <m/>
  </r>
  <r>
    <m/>
    <x v="4"/>
    <s v="KMSS"/>
    <x v="0"/>
    <x v="6"/>
    <x v="27"/>
    <n v="1"/>
    <m/>
    <m/>
    <n v="700"/>
    <n v="700"/>
    <m/>
    <m/>
    <m/>
    <m/>
    <n v="700"/>
    <m/>
    <m/>
    <x v="27"/>
    <x v="0"/>
    <n v="0.42219541616405309"/>
    <s v="NO"/>
    <m/>
  </r>
  <r>
    <m/>
    <x v="0"/>
    <s v="KBSS"/>
    <x v="0"/>
    <x v="6"/>
    <x v="27"/>
    <n v="1"/>
    <m/>
    <m/>
    <n v="217"/>
    <n v="217"/>
    <m/>
    <m/>
    <m/>
    <m/>
    <n v="217"/>
    <m/>
    <m/>
    <x v="27"/>
    <x v="0"/>
    <n v="0.13088057901085645"/>
    <s v="NO"/>
    <m/>
  </r>
  <r>
    <m/>
    <x v="10"/>
    <s v="MDCG"/>
    <x v="1"/>
    <x v="8"/>
    <x v="28"/>
    <n v="1"/>
    <m/>
    <m/>
    <n v="121"/>
    <n v="121"/>
    <m/>
    <m/>
    <m/>
    <m/>
    <n v="121"/>
    <m/>
    <m/>
    <x v="28"/>
    <x v="0"/>
    <n v="1.375"/>
    <s v="NO"/>
    <m/>
  </r>
  <r>
    <m/>
    <x v="0"/>
    <s v="KBC"/>
    <x v="0"/>
    <x v="0"/>
    <x v="29"/>
    <n v="1"/>
    <m/>
    <m/>
    <n v="50"/>
    <n v="50"/>
    <m/>
    <m/>
    <m/>
    <m/>
    <n v="50"/>
    <m/>
    <m/>
    <x v="29"/>
    <x v="0"/>
    <n v="1"/>
    <s v="NO"/>
    <m/>
  </r>
  <r>
    <m/>
    <x v="6"/>
    <m/>
    <x v="1"/>
    <x v="8"/>
    <x v="30"/>
    <n v="1"/>
    <m/>
    <m/>
    <n v="80"/>
    <n v="80"/>
    <m/>
    <m/>
    <m/>
    <m/>
    <n v="80"/>
    <m/>
    <m/>
    <x v="30"/>
    <x v="0"/>
    <n v="1.2698412698412698"/>
    <s v="NO"/>
    <m/>
  </r>
  <r>
    <m/>
    <x v="6"/>
    <m/>
    <x v="1"/>
    <x v="8"/>
    <x v="31"/>
    <n v="1"/>
    <m/>
    <m/>
    <n v="48"/>
    <n v="48"/>
    <m/>
    <m/>
    <m/>
    <m/>
    <n v="48"/>
    <m/>
    <m/>
    <x v="31"/>
    <x v="0"/>
    <n v="1.6"/>
    <s v="NO"/>
    <m/>
  </r>
  <r>
    <m/>
    <x v="0"/>
    <s v="KBC"/>
    <x v="0"/>
    <x v="5"/>
    <x v="32"/>
    <n v="1"/>
    <m/>
    <m/>
    <n v="5"/>
    <n v="5"/>
    <m/>
    <m/>
    <m/>
    <m/>
    <n v="5"/>
    <m/>
    <m/>
    <x v="32"/>
    <x v="0"/>
    <n v="0.11363636363636363"/>
    <s v="NO"/>
    <m/>
  </r>
  <r>
    <m/>
    <x v="0"/>
    <s v="KBC"/>
    <x v="0"/>
    <x v="9"/>
    <x v="33"/>
    <n v="1"/>
    <m/>
    <m/>
    <n v="15"/>
    <n v="15"/>
    <m/>
    <m/>
    <m/>
    <m/>
    <n v="15"/>
    <m/>
    <m/>
    <x v="33"/>
    <x v="0"/>
    <n v="1.1538461538461537"/>
    <s v="NO"/>
    <m/>
  </r>
  <r>
    <d v="2013-12-01T00:00:00"/>
    <x v="0"/>
    <s v="KBSS"/>
    <x v="0"/>
    <x v="3"/>
    <x v="34"/>
    <n v="1"/>
    <m/>
    <m/>
    <n v="60"/>
    <n v="60"/>
    <m/>
    <m/>
    <m/>
    <m/>
    <n v="0"/>
    <m/>
    <m/>
    <x v="34"/>
    <x v="1"/>
    <s v=""/>
    <s v="NO"/>
    <m/>
  </r>
  <r>
    <m/>
    <x v="9"/>
    <s v="KBSS"/>
    <x v="0"/>
    <x v="3"/>
    <x v="34"/>
    <n v="1"/>
    <m/>
    <m/>
    <n v="100"/>
    <n v="100"/>
    <m/>
    <m/>
    <m/>
    <m/>
    <n v="0"/>
    <m/>
    <m/>
    <x v="34"/>
    <x v="1"/>
    <s v=""/>
    <s v="NO"/>
    <m/>
  </r>
  <r>
    <d v="2014-12-01T00:00:00"/>
    <x v="0"/>
    <s v="KBC"/>
    <x v="0"/>
    <x v="3"/>
    <x v="35"/>
    <n v="1"/>
    <m/>
    <m/>
    <n v="118"/>
    <n v="118"/>
    <m/>
    <m/>
    <m/>
    <m/>
    <n v="118"/>
    <m/>
    <m/>
    <x v="35"/>
    <x v="0"/>
    <n v="0.21651376146788992"/>
    <s v="NO"/>
    <m/>
  </r>
  <r>
    <m/>
    <x v="2"/>
    <m/>
    <x v="0"/>
    <x v="3"/>
    <x v="35"/>
    <n v="1"/>
    <m/>
    <m/>
    <n v="26"/>
    <n v="26"/>
    <m/>
    <m/>
    <m/>
    <m/>
    <n v="26"/>
    <m/>
    <m/>
    <x v="35"/>
    <x v="0"/>
    <n v="4.7706422018348627E-2"/>
    <s v="NO"/>
    <m/>
  </r>
  <r>
    <m/>
    <x v="0"/>
    <s v="KBSS"/>
    <x v="0"/>
    <x v="3"/>
    <x v="35"/>
    <n v="1"/>
    <m/>
    <m/>
    <n v="350"/>
    <n v="350"/>
    <m/>
    <m/>
    <m/>
    <m/>
    <n v="350"/>
    <m/>
    <m/>
    <x v="35"/>
    <x v="0"/>
    <n v="0.64220183486238536"/>
    <s v="NO"/>
    <m/>
  </r>
  <r>
    <m/>
    <x v="0"/>
    <m/>
    <x v="0"/>
    <x v="3"/>
    <x v="35"/>
    <n v="1"/>
    <m/>
    <m/>
    <n v="150"/>
    <m/>
    <m/>
    <m/>
    <m/>
    <m/>
    <n v="0"/>
    <m/>
    <m/>
    <x v="35"/>
    <x v="0"/>
    <n v="0"/>
    <s v="NO"/>
    <m/>
  </r>
  <r>
    <m/>
    <x v="7"/>
    <s v="KBC"/>
    <x v="0"/>
    <x v="5"/>
    <x v="36"/>
    <n v="1"/>
    <m/>
    <m/>
    <n v="9"/>
    <n v="9"/>
    <m/>
    <m/>
    <m/>
    <m/>
    <n v="9"/>
    <m/>
    <m/>
    <x v="36"/>
    <x v="0"/>
    <n v="9.375E-2"/>
    <s v="NO"/>
    <m/>
  </r>
  <r>
    <m/>
    <x v="8"/>
    <s v="KBC"/>
    <x v="0"/>
    <x v="5"/>
    <x v="36"/>
    <n v="1"/>
    <m/>
    <m/>
    <n v="5"/>
    <n v="5"/>
    <m/>
    <m/>
    <m/>
    <m/>
    <n v="5"/>
    <m/>
    <m/>
    <x v="36"/>
    <x v="0"/>
    <n v="5.2083333333333336E-2"/>
    <s v="NO"/>
    <m/>
  </r>
  <r>
    <m/>
    <x v="0"/>
    <s v="KBC"/>
    <x v="0"/>
    <x v="5"/>
    <x v="36"/>
    <n v="1"/>
    <m/>
    <m/>
    <n v="10"/>
    <n v="10"/>
    <m/>
    <m/>
    <m/>
    <m/>
    <n v="10"/>
    <m/>
    <m/>
    <x v="36"/>
    <x v="0"/>
    <n v="0.10416666666666667"/>
    <s v="NO"/>
    <m/>
  </r>
  <r>
    <d v="2016-02-16T00:00:00"/>
    <x v="0"/>
    <s v="KBC"/>
    <x v="0"/>
    <x v="5"/>
    <x v="37"/>
    <n v="1"/>
    <m/>
    <m/>
    <m/>
    <m/>
    <m/>
    <m/>
    <m/>
    <m/>
    <n v="0"/>
    <n v="5"/>
    <n v="5"/>
    <x v="37"/>
    <x v="0"/>
    <n v="0"/>
    <s v="NO"/>
    <m/>
  </r>
  <r>
    <m/>
    <x v="8"/>
    <s v="KBC"/>
    <x v="0"/>
    <x v="5"/>
    <x v="37"/>
    <n v="1"/>
    <m/>
    <m/>
    <n v="60"/>
    <n v="60"/>
    <m/>
    <m/>
    <m/>
    <m/>
    <n v="60"/>
    <m/>
    <m/>
    <x v="37"/>
    <x v="0"/>
    <n v="0.43478260869565216"/>
    <s v="NO"/>
    <m/>
  </r>
  <r>
    <m/>
    <x v="0"/>
    <s v="KBC"/>
    <x v="0"/>
    <x v="5"/>
    <x v="37"/>
    <n v="1"/>
    <m/>
    <m/>
    <n v="60"/>
    <n v="60"/>
    <m/>
    <m/>
    <m/>
    <m/>
    <n v="60"/>
    <m/>
    <m/>
    <x v="37"/>
    <x v="0"/>
    <n v="0.43478260869565216"/>
    <s v="NO"/>
    <m/>
  </r>
  <r>
    <m/>
    <x v="0"/>
    <m/>
    <x v="0"/>
    <x v="5"/>
    <x v="37"/>
    <n v="1"/>
    <m/>
    <m/>
    <n v="5"/>
    <n v="5"/>
    <m/>
    <m/>
    <m/>
    <m/>
    <n v="5"/>
    <m/>
    <m/>
    <x v="37"/>
    <x v="0"/>
    <n v="3.6231884057971016E-2"/>
    <s v="NO"/>
    <m/>
  </r>
  <r>
    <d v="2014-12-01T00:00:00"/>
    <x v="0"/>
    <s v="Shalom"/>
    <x v="0"/>
    <x v="4"/>
    <x v="38"/>
    <n v="1"/>
    <m/>
    <m/>
    <n v="35"/>
    <n v="35"/>
    <m/>
    <m/>
    <m/>
    <m/>
    <n v="35"/>
    <m/>
    <m/>
    <x v="38"/>
    <x v="0"/>
    <n v="0.24475524475524477"/>
    <s v="NO"/>
    <m/>
  </r>
  <r>
    <d v="2016-07-20T00:00:00"/>
    <x v="0"/>
    <s v="Shalom"/>
    <x v="0"/>
    <x v="4"/>
    <x v="38"/>
    <m/>
    <m/>
    <m/>
    <m/>
    <m/>
    <m/>
    <m/>
    <m/>
    <m/>
    <n v="0"/>
    <n v="30"/>
    <m/>
    <x v="38"/>
    <x v="0"/>
    <n v="0"/>
    <n v="143"/>
    <m/>
  </r>
  <r>
    <d v="2014-06-01T00:00:00"/>
    <x v="0"/>
    <s v="Shalom"/>
    <x v="0"/>
    <x v="4"/>
    <x v="38"/>
    <n v="1"/>
    <m/>
    <m/>
    <n v="5"/>
    <n v="5"/>
    <m/>
    <m/>
    <m/>
    <m/>
    <n v="5"/>
    <m/>
    <m/>
    <x v="38"/>
    <x v="0"/>
    <n v="3.4965034965034968E-2"/>
    <s v="NO"/>
    <m/>
  </r>
  <r>
    <m/>
    <x v="0"/>
    <s v="Shalom"/>
    <x v="0"/>
    <x v="4"/>
    <x v="38"/>
    <n v="1"/>
    <m/>
    <m/>
    <n v="33"/>
    <n v="33"/>
    <m/>
    <m/>
    <m/>
    <m/>
    <n v="33"/>
    <m/>
    <m/>
    <x v="38"/>
    <x v="0"/>
    <n v="0.23076923076923078"/>
    <s v="NO"/>
    <m/>
  </r>
  <r>
    <d v="2014-12-01T00:00:00"/>
    <x v="0"/>
    <s v="Shalom"/>
    <x v="0"/>
    <x v="0"/>
    <x v="39"/>
    <n v="1"/>
    <m/>
    <m/>
    <n v="5"/>
    <n v="5"/>
    <m/>
    <m/>
    <m/>
    <m/>
    <n v="5"/>
    <m/>
    <m/>
    <x v="39"/>
    <x v="0"/>
    <n v="0.2"/>
    <s v="NO"/>
    <m/>
  </r>
  <r>
    <d v="2014-06-01T00:00:00"/>
    <x v="0"/>
    <s v="Shalom"/>
    <x v="0"/>
    <x v="0"/>
    <x v="39"/>
    <n v="1"/>
    <m/>
    <m/>
    <n v="2"/>
    <n v="2"/>
    <m/>
    <m/>
    <m/>
    <m/>
    <n v="2"/>
    <m/>
    <m/>
    <x v="39"/>
    <x v="0"/>
    <n v="0.08"/>
    <s v="NO"/>
    <m/>
  </r>
  <r>
    <d v="2013-12-01T00:00:00"/>
    <x v="0"/>
    <s v="Shalom"/>
    <x v="0"/>
    <x v="0"/>
    <x v="39"/>
    <n v="1"/>
    <m/>
    <m/>
    <n v="18"/>
    <n v="18"/>
    <m/>
    <m/>
    <m/>
    <m/>
    <n v="18"/>
    <m/>
    <m/>
    <x v="39"/>
    <x v="0"/>
    <n v="0.72"/>
    <s v="NO"/>
    <m/>
  </r>
  <r>
    <d v="2014-12-01T00:00:00"/>
    <x v="0"/>
    <s v="Shalom"/>
    <x v="0"/>
    <x v="0"/>
    <x v="40"/>
    <n v="1"/>
    <m/>
    <m/>
    <n v="15"/>
    <n v="15"/>
    <m/>
    <m/>
    <m/>
    <m/>
    <n v="15"/>
    <m/>
    <m/>
    <x v="40"/>
    <x v="0"/>
    <n v="1"/>
    <s v="NO"/>
    <m/>
  </r>
  <r>
    <d v="2016-02-16T00:00:00"/>
    <x v="0"/>
    <s v="Shalom"/>
    <x v="0"/>
    <x v="1"/>
    <x v="41"/>
    <n v="1"/>
    <m/>
    <m/>
    <n v="15"/>
    <n v="15"/>
    <m/>
    <m/>
    <m/>
    <m/>
    <n v="15"/>
    <m/>
    <m/>
    <x v="41"/>
    <x v="0"/>
    <n v="0.12931034482758622"/>
    <s v="NO"/>
    <m/>
  </r>
  <r>
    <d v="2014-12-01T00:00:00"/>
    <x v="0"/>
    <s v="Shalom"/>
    <x v="0"/>
    <x v="1"/>
    <x v="41"/>
    <n v="1"/>
    <m/>
    <m/>
    <n v="15"/>
    <n v="15"/>
    <m/>
    <m/>
    <m/>
    <m/>
    <n v="15"/>
    <n v="8"/>
    <m/>
    <x v="41"/>
    <x v="0"/>
    <n v="0.12931034482758622"/>
    <s v="NO"/>
    <m/>
  </r>
  <r>
    <d v="2013-12-01T00:00:00"/>
    <x v="0"/>
    <s v="Shalom"/>
    <x v="0"/>
    <x v="1"/>
    <x v="41"/>
    <n v="1"/>
    <m/>
    <m/>
    <n v="10"/>
    <n v="10"/>
    <m/>
    <m/>
    <m/>
    <m/>
    <n v="10"/>
    <m/>
    <m/>
    <x v="41"/>
    <x v="0"/>
    <n v="8.6206896551724144E-2"/>
    <s v="NO"/>
    <m/>
  </r>
  <r>
    <m/>
    <x v="6"/>
    <m/>
    <x v="0"/>
    <x v="1"/>
    <x v="41"/>
    <n v="1"/>
    <m/>
    <m/>
    <n v="12"/>
    <n v="12"/>
    <m/>
    <m/>
    <m/>
    <m/>
    <n v="12"/>
    <m/>
    <m/>
    <x v="41"/>
    <x v="0"/>
    <n v="0.10344827586206896"/>
    <s v="NO"/>
    <m/>
  </r>
  <r>
    <m/>
    <x v="0"/>
    <s v="Metta"/>
    <x v="0"/>
    <x v="1"/>
    <x v="41"/>
    <n v="1"/>
    <m/>
    <m/>
    <n v="30"/>
    <n v="30"/>
    <m/>
    <m/>
    <m/>
    <m/>
    <n v="30"/>
    <m/>
    <m/>
    <x v="41"/>
    <x v="0"/>
    <n v="0.25862068965517243"/>
    <s v="NO"/>
    <m/>
  </r>
  <r>
    <m/>
    <x v="0"/>
    <m/>
    <x v="0"/>
    <x v="1"/>
    <x v="41"/>
    <n v="1"/>
    <m/>
    <m/>
    <n v="15"/>
    <n v="15"/>
    <m/>
    <m/>
    <m/>
    <m/>
    <n v="15"/>
    <m/>
    <m/>
    <x v="41"/>
    <x v="0"/>
    <n v="0.12931034482758622"/>
    <s v="NO"/>
    <m/>
  </r>
  <r>
    <m/>
    <x v="0"/>
    <s v="Shalom"/>
    <x v="0"/>
    <x v="1"/>
    <x v="41"/>
    <n v="1"/>
    <m/>
    <m/>
    <n v="5"/>
    <n v="5"/>
    <m/>
    <m/>
    <m/>
    <m/>
    <n v="5"/>
    <m/>
    <m/>
    <x v="41"/>
    <x v="0"/>
    <n v="4.3103448275862072E-2"/>
    <s v="NO"/>
    <m/>
  </r>
  <r>
    <m/>
    <x v="0"/>
    <m/>
    <x v="0"/>
    <x v="6"/>
    <x v="42"/>
    <n v="1"/>
    <m/>
    <m/>
    <n v="12"/>
    <n v="12"/>
    <m/>
    <m/>
    <m/>
    <m/>
    <n v="12"/>
    <m/>
    <m/>
    <x v="42"/>
    <x v="0"/>
    <n v="0.33333333333333331"/>
    <s v="NO"/>
    <m/>
  </r>
  <r>
    <m/>
    <x v="0"/>
    <s v="KBC"/>
    <x v="0"/>
    <x v="6"/>
    <x v="42"/>
    <n v="1"/>
    <m/>
    <m/>
    <n v="27"/>
    <n v="27"/>
    <m/>
    <m/>
    <m/>
    <m/>
    <n v="27"/>
    <m/>
    <m/>
    <x v="42"/>
    <x v="0"/>
    <n v="0.75"/>
    <s v="NO"/>
    <m/>
  </r>
  <r>
    <d v="2014-12-01T00:00:00"/>
    <x v="0"/>
    <s v="KBC"/>
    <x v="0"/>
    <x v="6"/>
    <x v="43"/>
    <n v="1"/>
    <m/>
    <m/>
    <n v="21"/>
    <n v="21"/>
    <m/>
    <m/>
    <m/>
    <m/>
    <n v="21"/>
    <m/>
    <m/>
    <x v="43"/>
    <x v="0"/>
    <n v="0.16935483870967741"/>
    <s v="NO"/>
    <m/>
  </r>
  <r>
    <m/>
    <x v="9"/>
    <m/>
    <x v="0"/>
    <x v="6"/>
    <x v="43"/>
    <n v="1"/>
    <m/>
    <m/>
    <n v="40"/>
    <n v="40"/>
    <m/>
    <m/>
    <m/>
    <m/>
    <n v="40"/>
    <m/>
    <m/>
    <x v="43"/>
    <x v="0"/>
    <n v="0.32258064516129031"/>
    <s v="NO"/>
    <m/>
  </r>
  <r>
    <m/>
    <x v="0"/>
    <m/>
    <x v="0"/>
    <x v="6"/>
    <x v="43"/>
    <n v="1"/>
    <m/>
    <m/>
    <n v="6"/>
    <n v="6"/>
    <m/>
    <m/>
    <m/>
    <m/>
    <n v="6"/>
    <m/>
    <m/>
    <x v="43"/>
    <x v="0"/>
    <n v="4.8387096774193547E-2"/>
    <s v="NO"/>
    <m/>
  </r>
  <r>
    <d v="2014-06-01T00:00:00"/>
    <x v="0"/>
    <s v="KBC"/>
    <x v="0"/>
    <x v="6"/>
    <x v="44"/>
    <n v="1"/>
    <m/>
    <m/>
    <n v="25"/>
    <n v="25"/>
    <m/>
    <m/>
    <m/>
    <m/>
    <n v="25"/>
    <m/>
    <m/>
    <x v="44"/>
    <x v="0"/>
    <n v="0.13157894736842105"/>
    <s v="NO"/>
    <m/>
  </r>
  <r>
    <m/>
    <x v="0"/>
    <m/>
    <x v="0"/>
    <x v="6"/>
    <x v="44"/>
    <n v="1"/>
    <m/>
    <m/>
    <n v="5"/>
    <n v="57"/>
    <m/>
    <m/>
    <m/>
    <m/>
    <n v="57"/>
    <m/>
    <m/>
    <x v="44"/>
    <x v="0"/>
    <n v="0.3"/>
    <s v="NO"/>
    <m/>
  </r>
  <r>
    <m/>
    <x v="9"/>
    <s v="KBSS"/>
    <x v="0"/>
    <x v="3"/>
    <x v="45"/>
    <n v="1"/>
    <m/>
    <m/>
    <n v="100"/>
    <n v="100"/>
    <m/>
    <m/>
    <m/>
    <m/>
    <n v="0"/>
    <m/>
    <m/>
    <x v="45"/>
    <x v="1"/>
    <s v=""/>
    <s v="NO"/>
    <m/>
  </r>
  <r>
    <d v="2016-05-12T00:00:00"/>
    <x v="0"/>
    <s v="KBC"/>
    <x v="0"/>
    <x v="10"/>
    <x v="46"/>
    <n v="1"/>
    <m/>
    <m/>
    <m/>
    <m/>
    <m/>
    <m/>
    <m/>
    <m/>
    <n v="0"/>
    <n v="2"/>
    <m/>
    <x v="46"/>
    <x v="0"/>
    <n v="0"/>
    <s v="NO"/>
    <m/>
  </r>
  <r>
    <d v="2016-02-16T00:00:00"/>
    <x v="11"/>
    <m/>
    <x v="0"/>
    <x v="10"/>
    <x v="46"/>
    <n v="1"/>
    <m/>
    <m/>
    <n v="60"/>
    <n v="60"/>
    <m/>
    <m/>
    <m/>
    <m/>
    <n v="60"/>
    <m/>
    <m/>
    <x v="46"/>
    <x v="0"/>
    <n v="1.0169491525423728"/>
    <s v="NO"/>
    <m/>
  </r>
  <r>
    <m/>
    <x v="0"/>
    <s v="Shalom"/>
    <x v="0"/>
    <x v="2"/>
    <x v="47"/>
    <n v="1"/>
    <m/>
    <m/>
    <n v="25"/>
    <n v="25"/>
    <m/>
    <m/>
    <m/>
    <m/>
    <n v="25"/>
    <m/>
    <m/>
    <x v="47"/>
    <x v="0"/>
    <n v="1.1363636363636365"/>
    <s v="NO"/>
    <m/>
  </r>
  <r>
    <m/>
    <x v="4"/>
    <s v="KMSS"/>
    <x v="0"/>
    <x v="2"/>
    <x v="48"/>
    <n v="1"/>
    <m/>
    <m/>
    <n v="604"/>
    <n v="604"/>
    <m/>
    <m/>
    <m/>
    <m/>
    <n v="604"/>
    <m/>
    <m/>
    <x v="48"/>
    <x v="0"/>
    <n v="1.0307167235494881"/>
    <s v="NO"/>
    <m/>
  </r>
  <r>
    <m/>
    <x v="3"/>
    <m/>
    <x v="0"/>
    <x v="6"/>
    <x v="49"/>
    <n v="1"/>
    <m/>
    <m/>
    <n v="92"/>
    <n v="92"/>
    <m/>
    <m/>
    <m/>
    <m/>
    <n v="92"/>
    <m/>
    <m/>
    <x v="49"/>
    <x v="0"/>
    <n v="46"/>
    <s v="NO"/>
    <m/>
  </r>
  <r>
    <d v="2013-12-01T00:00:00"/>
    <x v="0"/>
    <s v="Shalom"/>
    <x v="0"/>
    <x v="2"/>
    <x v="50"/>
    <n v="1"/>
    <m/>
    <m/>
    <n v="35"/>
    <n v="35"/>
    <m/>
    <m/>
    <m/>
    <m/>
    <n v="35"/>
    <m/>
    <m/>
    <x v="50"/>
    <x v="0"/>
    <n v="0.24475524475524477"/>
    <s v="NO"/>
    <m/>
  </r>
  <r>
    <m/>
    <x v="0"/>
    <s v="Shalom"/>
    <x v="0"/>
    <x v="2"/>
    <x v="50"/>
    <n v="1"/>
    <m/>
    <m/>
    <n v="54"/>
    <n v="54"/>
    <m/>
    <m/>
    <m/>
    <m/>
    <n v="54"/>
    <m/>
    <m/>
    <x v="50"/>
    <x v="0"/>
    <n v="0.3776223776223776"/>
    <s v="NO"/>
    <m/>
  </r>
  <r>
    <m/>
    <x v="5"/>
    <m/>
    <x v="0"/>
    <x v="2"/>
    <x v="50"/>
    <n v="1"/>
    <m/>
    <m/>
    <n v="18"/>
    <n v="18"/>
    <m/>
    <m/>
    <m/>
    <m/>
    <n v="18"/>
    <m/>
    <m/>
    <x v="50"/>
    <x v="0"/>
    <n v="0.12587412587412589"/>
    <s v="NO"/>
    <m/>
  </r>
  <r>
    <m/>
    <x v="4"/>
    <s v="KMSS"/>
    <x v="0"/>
    <x v="2"/>
    <x v="51"/>
    <n v="1"/>
    <m/>
    <m/>
    <n v="12"/>
    <n v="12"/>
    <m/>
    <m/>
    <m/>
    <m/>
    <n v="12"/>
    <m/>
    <m/>
    <x v="51"/>
    <x v="0"/>
    <n v="5.4054054054054057E-2"/>
    <s v="NO"/>
    <m/>
  </r>
  <r>
    <m/>
    <x v="0"/>
    <s v="KMSS"/>
    <x v="0"/>
    <x v="2"/>
    <x v="51"/>
    <n v="1"/>
    <m/>
    <m/>
    <n v="78"/>
    <n v="78"/>
    <m/>
    <m/>
    <m/>
    <m/>
    <n v="78"/>
    <n v="138"/>
    <m/>
    <x v="51"/>
    <x v="0"/>
    <n v="0.35135135135135137"/>
    <s v="NO"/>
    <m/>
  </r>
  <r>
    <m/>
    <x v="0"/>
    <m/>
    <x v="0"/>
    <x v="2"/>
    <x v="51"/>
    <n v="1"/>
    <m/>
    <m/>
    <n v="120"/>
    <n v="120"/>
    <m/>
    <m/>
    <m/>
    <m/>
    <n v="120"/>
    <m/>
    <m/>
    <x v="51"/>
    <x v="0"/>
    <n v="0.54054054054054057"/>
    <s v="NO"/>
    <m/>
  </r>
  <r>
    <m/>
    <x v="8"/>
    <s v="KBC"/>
    <x v="0"/>
    <x v="2"/>
    <x v="52"/>
    <n v="1"/>
    <m/>
    <m/>
    <n v="50"/>
    <n v="50"/>
    <m/>
    <m/>
    <m/>
    <m/>
    <n v="50"/>
    <m/>
    <m/>
    <x v="52"/>
    <x v="0"/>
    <n v="0.12626262626262627"/>
    <s v="NO"/>
    <m/>
  </r>
  <r>
    <m/>
    <x v="0"/>
    <s v="KBC"/>
    <x v="0"/>
    <x v="2"/>
    <x v="52"/>
    <n v="1"/>
    <m/>
    <m/>
    <n v="400"/>
    <n v="400"/>
    <m/>
    <m/>
    <m/>
    <m/>
    <n v="400"/>
    <m/>
    <m/>
    <x v="52"/>
    <x v="0"/>
    <n v="1.0101010101010102"/>
    <s v="NO"/>
    <m/>
  </r>
  <r>
    <m/>
    <x v="12"/>
    <s v="KBC"/>
    <x v="0"/>
    <x v="2"/>
    <x v="52"/>
    <n v="1"/>
    <m/>
    <m/>
    <n v="10"/>
    <n v="10"/>
    <m/>
    <m/>
    <m/>
    <m/>
    <n v="10"/>
    <m/>
    <m/>
    <x v="52"/>
    <x v="0"/>
    <n v="2.5252525252525252E-2"/>
    <s v="NO"/>
    <m/>
  </r>
  <r>
    <d v="2016-05-12T00:00:00"/>
    <x v="0"/>
    <s v="KBC"/>
    <x v="0"/>
    <x v="2"/>
    <x v="53"/>
    <n v="1"/>
    <m/>
    <m/>
    <m/>
    <m/>
    <m/>
    <m/>
    <m/>
    <m/>
    <n v="0"/>
    <n v="30"/>
    <m/>
    <x v="53"/>
    <x v="0"/>
    <n v="0"/>
    <s v="NO"/>
    <m/>
  </r>
  <r>
    <m/>
    <x v="0"/>
    <s v="KBC"/>
    <x v="0"/>
    <x v="2"/>
    <x v="53"/>
    <n v="1"/>
    <m/>
    <m/>
    <n v="30"/>
    <n v="30"/>
    <m/>
    <m/>
    <m/>
    <m/>
    <n v="30"/>
    <m/>
    <m/>
    <x v="53"/>
    <x v="0"/>
    <n v="0.65217391304347827"/>
    <s v="NO"/>
    <m/>
  </r>
  <r>
    <m/>
    <x v="5"/>
    <m/>
    <x v="0"/>
    <x v="2"/>
    <x v="53"/>
    <n v="1"/>
    <m/>
    <m/>
    <n v="10"/>
    <n v="10"/>
    <m/>
    <m/>
    <m/>
    <m/>
    <n v="10"/>
    <m/>
    <m/>
    <x v="53"/>
    <x v="0"/>
    <n v="0.21739130434782608"/>
    <s v="NO"/>
    <m/>
  </r>
  <r>
    <d v="2016-05-12T00:00:00"/>
    <x v="0"/>
    <s v="KBC"/>
    <x v="0"/>
    <x v="3"/>
    <x v="54"/>
    <n v="1"/>
    <m/>
    <m/>
    <n v="85"/>
    <n v="85"/>
    <m/>
    <m/>
    <m/>
    <m/>
    <n v="85"/>
    <m/>
    <m/>
    <x v="54"/>
    <x v="0"/>
    <n v="0.21794871794871795"/>
    <s v="NO"/>
    <m/>
  </r>
  <r>
    <d v="2014-06-01T00:00:00"/>
    <x v="0"/>
    <s v="KBC"/>
    <x v="0"/>
    <x v="3"/>
    <x v="54"/>
    <n v="1"/>
    <m/>
    <m/>
    <n v="60"/>
    <n v="60"/>
    <m/>
    <m/>
    <m/>
    <m/>
    <n v="60"/>
    <m/>
    <m/>
    <x v="54"/>
    <x v="0"/>
    <n v="0.15384615384615385"/>
    <s v="NO"/>
    <m/>
  </r>
  <r>
    <m/>
    <x v="7"/>
    <s v="KBC"/>
    <x v="0"/>
    <x v="3"/>
    <x v="54"/>
    <n v="1"/>
    <m/>
    <m/>
    <n v="20"/>
    <n v="20"/>
    <m/>
    <m/>
    <m/>
    <m/>
    <n v="20"/>
    <m/>
    <m/>
    <x v="54"/>
    <x v="0"/>
    <n v="5.128205128205128E-2"/>
    <s v="NO"/>
    <m/>
  </r>
  <r>
    <m/>
    <x v="4"/>
    <m/>
    <x v="0"/>
    <x v="3"/>
    <x v="54"/>
    <n v="1"/>
    <m/>
    <m/>
    <n v="144"/>
    <n v="144"/>
    <m/>
    <m/>
    <m/>
    <m/>
    <n v="144"/>
    <m/>
    <m/>
    <x v="54"/>
    <x v="0"/>
    <n v="0.36923076923076925"/>
    <s v="NO"/>
    <m/>
  </r>
  <r>
    <m/>
    <x v="13"/>
    <m/>
    <x v="0"/>
    <x v="3"/>
    <x v="55"/>
    <n v="1"/>
    <m/>
    <m/>
    <n v="20"/>
    <n v="20"/>
    <m/>
    <m/>
    <m/>
    <m/>
    <n v="20"/>
    <m/>
    <m/>
    <x v="55"/>
    <x v="0"/>
    <n v="0.16260162601626016"/>
    <s v="NO"/>
    <m/>
  </r>
  <r>
    <m/>
    <x v="3"/>
    <m/>
    <x v="0"/>
    <x v="3"/>
    <x v="55"/>
    <n v="1"/>
    <m/>
    <m/>
    <n v="30"/>
    <n v="30"/>
    <m/>
    <m/>
    <m/>
    <m/>
    <n v="30"/>
    <m/>
    <m/>
    <x v="55"/>
    <x v="0"/>
    <n v="0.24390243902439024"/>
    <s v="NO"/>
    <m/>
  </r>
  <r>
    <m/>
    <x v="0"/>
    <s v="KBC"/>
    <x v="0"/>
    <x v="5"/>
    <x v="56"/>
    <n v="1"/>
    <m/>
    <m/>
    <n v="20"/>
    <n v="20"/>
    <m/>
    <m/>
    <m/>
    <m/>
    <n v="20"/>
    <m/>
    <m/>
    <x v="56"/>
    <x v="0"/>
    <n v="0.33333333333333331"/>
    <s v="NO"/>
    <m/>
  </r>
  <r>
    <d v="2014-06-19T00:00:00"/>
    <x v="0"/>
    <s v="KBSS"/>
    <x v="0"/>
    <x v="6"/>
    <x v="57"/>
    <n v="1"/>
    <m/>
    <m/>
    <n v="80"/>
    <n v="80"/>
    <m/>
    <m/>
    <m/>
    <m/>
    <n v="80"/>
    <m/>
    <m/>
    <x v="57"/>
    <x v="0"/>
    <n v="0.3065134099616858"/>
    <s v="NO"/>
    <m/>
  </r>
  <r>
    <m/>
    <x v="6"/>
    <m/>
    <x v="0"/>
    <x v="6"/>
    <x v="57"/>
    <n v="1"/>
    <m/>
    <m/>
    <n v="18"/>
    <n v="18"/>
    <m/>
    <m/>
    <m/>
    <m/>
    <n v="18"/>
    <m/>
    <m/>
    <x v="57"/>
    <x v="0"/>
    <n v="6.8965517241379309E-2"/>
    <s v="NO"/>
    <m/>
  </r>
  <r>
    <m/>
    <x v="0"/>
    <m/>
    <x v="0"/>
    <x v="6"/>
    <x v="57"/>
    <n v="1"/>
    <m/>
    <m/>
    <n v="55"/>
    <n v="55"/>
    <m/>
    <m/>
    <m/>
    <m/>
    <n v="55"/>
    <m/>
    <m/>
    <x v="57"/>
    <x v="0"/>
    <n v="0.21072796934865901"/>
    <s v="NO"/>
    <m/>
  </r>
  <r>
    <m/>
    <x v="0"/>
    <s v="KBC"/>
    <x v="0"/>
    <x v="5"/>
    <x v="58"/>
    <n v="1"/>
    <m/>
    <m/>
    <n v="60"/>
    <n v="60"/>
    <m/>
    <m/>
    <m/>
    <m/>
    <n v="60"/>
    <m/>
    <m/>
    <x v="58"/>
    <x v="0"/>
    <n v="0.60606060606060608"/>
    <s v="NO"/>
    <m/>
  </r>
  <r>
    <m/>
    <x v="0"/>
    <m/>
    <x v="0"/>
    <x v="5"/>
    <x v="58"/>
    <n v="1"/>
    <m/>
    <m/>
    <n v="20"/>
    <n v="20"/>
    <m/>
    <m/>
    <m/>
    <m/>
    <n v="20"/>
    <m/>
    <m/>
    <x v="58"/>
    <x v="0"/>
    <n v="0.20202020202020202"/>
    <s v="NO"/>
    <m/>
  </r>
  <r>
    <d v="2014-04-20T00:00:00"/>
    <x v="0"/>
    <m/>
    <x v="0"/>
    <x v="3"/>
    <x v="59"/>
    <n v="1"/>
    <n v="200"/>
    <n v="200"/>
    <m/>
    <m/>
    <m/>
    <m/>
    <m/>
    <m/>
    <n v="0"/>
    <m/>
    <m/>
    <x v="59"/>
    <x v="1"/>
    <s v=""/>
    <s v="NO"/>
    <m/>
  </r>
  <r>
    <m/>
    <x v="4"/>
    <s v="KBC"/>
    <x v="0"/>
    <x v="3"/>
    <x v="60"/>
    <n v="1"/>
    <m/>
    <m/>
    <n v="39"/>
    <n v="39"/>
    <m/>
    <m/>
    <m/>
    <m/>
    <n v="39"/>
    <m/>
    <m/>
    <x v="60"/>
    <x v="0"/>
    <n v="0.3644859813084112"/>
    <s v="NO"/>
    <m/>
  </r>
  <r>
    <m/>
    <x v="6"/>
    <m/>
    <x v="0"/>
    <x v="3"/>
    <x v="60"/>
    <n v="1"/>
    <m/>
    <m/>
    <n v="15"/>
    <n v="15"/>
    <m/>
    <m/>
    <m/>
    <m/>
    <n v="15"/>
    <m/>
    <m/>
    <x v="60"/>
    <x v="0"/>
    <n v="0.14018691588785046"/>
    <s v="NO"/>
    <m/>
  </r>
  <r>
    <m/>
    <x v="0"/>
    <s v="KBC"/>
    <x v="0"/>
    <x v="3"/>
    <x v="60"/>
    <n v="1"/>
    <m/>
    <m/>
    <n v="20"/>
    <n v="20"/>
    <m/>
    <m/>
    <m/>
    <m/>
    <n v="20"/>
    <m/>
    <m/>
    <x v="60"/>
    <x v="0"/>
    <n v="0.18691588785046728"/>
    <s v="NO"/>
    <m/>
  </r>
  <r>
    <d v="2014-04-19T00:00:00"/>
    <x v="0"/>
    <m/>
    <x v="0"/>
    <x v="3"/>
    <x v="61"/>
    <n v="1"/>
    <n v="200"/>
    <n v="200"/>
    <m/>
    <m/>
    <m/>
    <m/>
    <m/>
    <m/>
    <n v="0"/>
    <m/>
    <m/>
    <x v="61"/>
    <x v="0"/>
    <n v="0"/>
    <s v="NO"/>
    <m/>
  </r>
  <r>
    <m/>
    <x v="0"/>
    <s v="KBSS"/>
    <x v="0"/>
    <x v="3"/>
    <x v="61"/>
    <n v="1"/>
    <m/>
    <m/>
    <n v="200"/>
    <n v="200"/>
    <m/>
    <m/>
    <m/>
    <m/>
    <n v="200"/>
    <m/>
    <m/>
    <x v="61"/>
    <x v="0"/>
    <n v="0.4366812227074236"/>
    <s v="NO"/>
    <m/>
  </r>
  <r>
    <m/>
    <x v="6"/>
    <m/>
    <x v="0"/>
    <x v="6"/>
    <x v="62"/>
    <n v="1"/>
    <m/>
    <m/>
    <n v="6"/>
    <n v="6"/>
    <m/>
    <m/>
    <m/>
    <m/>
    <n v="0"/>
    <m/>
    <m/>
    <x v="62"/>
    <x v="1"/>
    <s v=""/>
    <s v="NO"/>
    <m/>
  </r>
  <r>
    <m/>
    <x v="0"/>
    <s v="Shalom"/>
    <x v="0"/>
    <x v="6"/>
    <x v="62"/>
    <n v="1"/>
    <m/>
    <m/>
    <m/>
    <m/>
    <m/>
    <m/>
    <m/>
    <m/>
    <n v="0"/>
    <n v="5"/>
    <m/>
    <x v="62"/>
    <x v="1"/>
    <s v=""/>
    <s v="NO"/>
    <m/>
  </r>
  <r>
    <d v="2013-12-01T00:00:00"/>
    <x v="0"/>
    <s v="KBC"/>
    <x v="1"/>
    <x v="7"/>
    <x v="63"/>
    <n v="1"/>
    <m/>
    <m/>
    <n v="10"/>
    <n v="10"/>
    <m/>
    <m/>
    <m/>
    <m/>
    <n v="10"/>
    <m/>
    <m/>
    <x v="63"/>
    <x v="0"/>
    <n v="0.27027027027027029"/>
    <s v="NO"/>
    <m/>
  </r>
  <r>
    <m/>
    <x v="0"/>
    <s v="KBC"/>
    <x v="1"/>
    <x v="7"/>
    <x v="63"/>
    <n v="1"/>
    <m/>
    <m/>
    <n v="30"/>
    <n v="30"/>
    <m/>
    <m/>
    <m/>
    <m/>
    <n v="30"/>
    <m/>
    <m/>
    <x v="63"/>
    <x v="0"/>
    <n v="0.81081081081081086"/>
    <s v="NO"/>
    <m/>
  </r>
  <r>
    <d v="2013-12-01T00:00:00"/>
    <x v="0"/>
    <s v="KMSS"/>
    <x v="1"/>
    <x v="7"/>
    <x v="64"/>
    <n v="1"/>
    <m/>
    <m/>
    <n v="30"/>
    <n v="30"/>
    <m/>
    <m/>
    <m/>
    <m/>
    <n v="30"/>
    <m/>
    <m/>
    <x v="64"/>
    <x v="0"/>
    <n v="1.0344827586206897"/>
    <s v="NO"/>
    <m/>
  </r>
  <r>
    <m/>
    <x v="0"/>
    <s v="KBC"/>
    <x v="0"/>
    <x v="9"/>
    <x v="65"/>
    <n v="1"/>
    <m/>
    <m/>
    <n v="10"/>
    <n v="10"/>
    <m/>
    <m/>
    <m/>
    <m/>
    <n v="10"/>
    <m/>
    <m/>
    <x v="65"/>
    <x v="0"/>
    <n v="0.625"/>
    <s v="NO"/>
    <m/>
  </r>
  <r>
    <d v="2014-06-19T00:00:00"/>
    <x v="6"/>
    <m/>
    <x v="0"/>
    <x v="3"/>
    <x v="66"/>
    <n v="1"/>
    <m/>
    <m/>
    <n v="56"/>
    <n v="60"/>
    <m/>
    <m/>
    <m/>
    <m/>
    <n v="60"/>
    <m/>
    <m/>
    <x v="66"/>
    <x v="0"/>
    <n v="0.30612244897959184"/>
    <s v="NO"/>
    <m/>
  </r>
  <r>
    <d v="2014-06-01T00:00:00"/>
    <x v="0"/>
    <s v="KBC"/>
    <x v="0"/>
    <x v="3"/>
    <x v="66"/>
    <n v="1"/>
    <m/>
    <m/>
    <n v="15"/>
    <n v="15"/>
    <m/>
    <m/>
    <m/>
    <m/>
    <n v="15"/>
    <m/>
    <m/>
    <x v="66"/>
    <x v="0"/>
    <n v="7.6530612244897961E-2"/>
    <s v="NO"/>
    <m/>
  </r>
  <r>
    <d v="2013-12-01T00:00:00"/>
    <x v="0"/>
    <s v="KBC"/>
    <x v="0"/>
    <x v="3"/>
    <x v="66"/>
    <n v="1"/>
    <m/>
    <m/>
    <n v="20"/>
    <n v="20"/>
    <m/>
    <m/>
    <m/>
    <m/>
    <n v="20"/>
    <m/>
    <m/>
    <x v="66"/>
    <x v="0"/>
    <n v="0.10204081632653061"/>
    <s v="NO"/>
    <m/>
  </r>
  <r>
    <m/>
    <x v="0"/>
    <m/>
    <x v="0"/>
    <x v="3"/>
    <x v="66"/>
    <n v="1"/>
    <m/>
    <m/>
    <n v="41"/>
    <n v="10"/>
    <m/>
    <m/>
    <m/>
    <m/>
    <n v="10"/>
    <m/>
    <m/>
    <x v="66"/>
    <x v="0"/>
    <n v="5.1020408163265307E-2"/>
    <s v="NO"/>
    <m/>
  </r>
  <r>
    <m/>
    <x v="7"/>
    <s v="CC"/>
    <x v="0"/>
    <x v="0"/>
    <x v="67"/>
    <n v="1"/>
    <m/>
    <m/>
    <n v="10"/>
    <n v="10"/>
    <m/>
    <m/>
    <m/>
    <m/>
    <n v="0"/>
    <m/>
    <m/>
    <x v="67"/>
    <x v="1"/>
    <s v=""/>
    <s v="NO"/>
    <m/>
  </r>
  <r>
    <m/>
    <x v="0"/>
    <s v="Shalom"/>
    <x v="0"/>
    <x v="0"/>
    <x v="67"/>
    <n v="1"/>
    <m/>
    <m/>
    <n v="10"/>
    <n v="10"/>
    <m/>
    <m/>
    <m/>
    <m/>
    <n v="0"/>
    <m/>
    <m/>
    <x v="67"/>
    <x v="1"/>
    <s v=""/>
    <s v="NO"/>
    <m/>
  </r>
  <r>
    <d v="2014-06-01T00:00:00"/>
    <x v="0"/>
    <s v="Shalom"/>
    <x v="0"/>
    <x v="5"/>
    <x v="68"/>
    <n v="1"/>
    <m/>
    <m/>
    <n v="5"/>
    <n v="5"/>
    <m/>
    <m/>
    <m/>
    <m/>
    <n v="5"/>
    <m/>
    <m/>
    <x v="68"/>
    <x v="0"/>
    <n v="0.23809523809523808"/>
    <s v="NO"/>
    <m/>
  </r>
  <r>
    <d v="2016-07-20T00:00:00"/>
    <x v="0"/>
    <s v="Shalom"/>
    <x v="0"/>
    <x v="5"/>
    <x v="68"/>
    <m/>
    <m/>
    <m/>
    <m/>
    <m/>
    <m/>
    <m/>
    <m/>
    <m/>
    <n v="0"/>
    <n v="10"/>
    <m/>
    <x v="68"/>
    <x v="0"/>
    <n v="0"/>
    <n v="21"/>
    <m/>
  </r>
  <r>
    <m/>
    <x v="0"/>
    <s v="Shalom"/>
    <x v="0"/>
    <x v="5"/>
    <x v="68"/>
    <n v="1"/>
    <m/>
    <m/>
    <n v="27"/>
    <n v="27"/>
    <m/>
    <m/>
    <m/>
    <m/>
    <n v="27"/>
    <m/>
    <m/>
    <x v="68"/>
    <x v="0"/>
    <n v="1.2857142857142858"/>
    <s v="NO"/>
    <m/>
  </r>
  <r>
    <d v="2013-12-01T00:00:00"/>
    <x v="0"/>
    <s v="Shalom"/>
    <x v="0"/>
    <x v="5"/>
    <x v="69"/>
    <n v="1"/>
    <m/>
    <m/>
    <n v="15"/>
    <n v="15"/>
    <m/>
    <m/>
    <m/>
    <m/>
    <n v="15"/>
    <m/>
    <m/>
    <x v="69"/>
    <x v="0"/>
    <n v="1.0714285714285714"/>
    <s v="NO"/>
    <m/>
  </r>
  <r>
    <m/>
    <x v="0"/>
    <s v="Shalom"/>
    <x v="0"/>
    <x v="5"/>
    <x v="69"/>
    <n v="1"/>
    <m/>
    <m/>
    <n v="4"/>
    <n v="4"/>
    <m/>
    <m/>
    <m/>
    <m/>
    <n v="4"/>
    <m/>
    <m/>
    <x v="69"/>
    <x v="0"/>
    <n v="0.2857142857142857"/>
    <s v="NO"/>
    <m/>
  </r>
  <r>
    <d v="2013-12-01T00:00:00"/>
    <x v="0"/>
    <s v="Shalom"/>
    <x v="0"/>
    <x v="0"/>
    <x v="70"/>
    <n v="1"/>
    <m/>
    <m/>
    <n v="5"/>
    <n v="5"/>
    <m/>
    <m/>
    <m/>
    <m/>
    <n v="5"/>
    <m/>
    <m/>
    <x v="70"/>
    <x v="0"/>
    <n v="1"/>
    <s v="NO"/>
    <m/>
  </r>
  <r>
    <m/>
    <x v="0"/>
    <s v="Shalom"/>
    <x v="0"/>
    <x v="0"/>
    <x v="70"/>
    <n v="1"/>
    <m/>
    <m/>
    <n v="5"/>
    <n v="5"/>
    <m/>
    <m/>
    <m/>
    <m/>
    <n v="5"/>
    <m/>
    <m/>
    <x v="70"/>
    <x v="0"/>
    <n v="1"/>
    <s v="NO"/>
    <m/>
  </r>
  <r>
    <m/>
    <x v="10"/>
    <s v="MDCG"/>
    <x v="1"/>
    <x v="8"/>
    <x v="71"/>
    <n v="1"/>
    <m/>
    <m/>
    <n v="63"/>
    <n v="63"/>
    <m/>
    <m/>
    <m/>
    <m/>
    <n v="63"/>
    <m/>
    <m/>
    <x v="71"/>
    <x v="0"/>
    <n v="0.91304347826086951"/>
    <s v="NO"/>
    <m/>
  </r>
  <r>
    <d v="2014-06-01T00:00:00"/>
    <x v="0"/>
    <s v="KBC"/>
    <x v="0"/>
    <x v="6"/>
    <x v="72"/>
    <n v="1"/>
    <m/>
    <m/>
    <n v="10"/>
    <n v="10"/>
    <m/>
    <m/>
    <m/>
    <m/>
    <n v="10"/>
    <m/>
    <m/>
    <x v="72"/>
    <x v="0"/>
    <n v="4.4247787610619468E-2"/>
    <s v="NO"/>
    <m/>
  </r>
  <r>
    <d v="2013-12-01T00:00:00"/>
    <x v="0"/>
    <m/>
    <x v="0"/>
    <x v="6"/>
    <x v="72"/>
    <n v="1"/>
    <m/>
    <m/>
    <n v="50"/>
    <n v="50"/>
    <m/>
    <m/>
    <m/>
    <m/>
    <n v="50"/>
    <m/>
    <m/>
    <x v="72"/>
    <x v="0"/>
    <n v="0.22123893805309736"/>
    <s v="NO"/>
    <m/>
  </r>
  <r>
    <m/>
    <x v="7"/>
    <s v="Metta"/>
    <x v="0"/>
    <x v="6"/>
    <x v="72"/>
    <n v="1"/>
    <m/>
    <m/>
    <n v="32"/>
    <n v="32"/>
    <m/>
    <m/>
    <m/>
    <m/>
    <n v="32"/>
    <m/>
    <m/>
    <x v="72"/>
    <x v="0"/>
    <n v="0.1415929203539823"/>
    <s v="NO"/>
    <m/>
  </r>
  <r>
    <m/>
    <x v="6"/>
    <m/>
    <x v="0"/>
    <x v="6"/>
    <x v="72"/>
    <n v="1"/>
    <m/>
    <m/>
    <n v="144"/>
    <n v="144"/>
    <m/>
    <m/>
    <m/>
    <m/>
    <n v="144"/>
    <m/>
    <m/>
    <x v="72"/>
    <x v="0"/>
    <n v="0.63716814159292035"/>
    <s v="NO"/>
    <m/>
  </r>
  <r>
    <m/>
    <x v="0"/>
    <s v="KBC"/>
    <x v="0"/>
    <x v="6"/>
    <x v="72"/>
    <n v="1"/>
    <m/>
    <m/>
    <n v="40"/>
    <n v="40"/>
    <m/>
    <m/>
    <m/>
    <m/>
    <n v="40"/>
    <m/>
    <m/>
    <x v="72"/>
    <x v="0"/>
    <n v="0.17699115044247787"/>
    <s v="NO"/>
    <m/>
  </r>
  <r>
    <m/>
    <x v="9"/>
    <s v="KBSS"/>
    <x v="0"/>
    <x v="6"/>
    <x v="73"/>
    <n v="1"/>
    <m/>
    <m/>
    <n v="92"/>
    <n v="92"/>
    <m/>
    <m/>
    <m/>
    <m/>
    <n v="0"/>
    <m/>
    <m/>
    <x v="73"/>
    <x v="1"/>
    <s v=""/>
    <s v="NO"/>
    <m/>
  </r>
  <r>
    <m/>
    <x v="0"/>
    <s v="KBC"/>
    <x v="1"/>
    <x v="11"/>
    <x v="74"/>
    <n v="1"/>
    <m/>
    <m/>
    <n v="10"/>
    <n v="10"/>
    <m/>
    <m/>
    <m/>
    <m/>
    <n v="10"/>
    <m/>
    <m/>
    <x v="74"/>
    <x v="0"/>
    <n v="8.1300813008130079E-2"/>
    <s v="NO"/>
    <m/>
  </r>
  <r>
    <m/>
    <x v="9"/>
    <s v="KBSS"/>
    <x v="0"/>
    <x v="3"/>
    <x v="75"/>
    <n v="1"/>
    <m/>
    <m/>
    <n v="24"/>
    <n v="24"/>
    <m/>
    <m/>
    <m/>
    <m/>
    <n v="0"/>
    <m/>
    <m/>
    <x v="75"/>
    <x v="1"/>
    <s v=""/>
    <s v="NO"/>
    <m/>
  </r>
  <r>
    <d v="2013-12-01T00:00:00"/>
    <x v="0"/>
    <s v="KBC"/>
    <x v="1"/>
    <x v="8"/>
    <x v="76"/>
    <n v="1"/>
    <m/>
    <m/>
    <n v="5"/>
    <n v="5"/>
    <m/>
    <m/>
    <m/>
    <m/>
    <n v="5"/>
    <m/>
    <m/>
    <x v="76"/>
    <x v="0"/>
    <n v="8.0645161290322578E-2"/>
    <s v="NO"/>
    <m/>
  </r>
  <r>
    <d v="2014-12-01T00:00:00"/>
    <x v="6"/>
    <m/>
    <x v="1"/>
    <x v="11"/>
    <x v="77"/>
    <n v="1"/>
    <m/>
    <m/>
    <n v="44"/>
    <n v="44"/>
    <m/>
    <m/>
    <m/>
    <m/>
    <n v="44"/>
    <m/>
    <m/>
    <x v="77"/>
    <x v="0"/>
    <n v="0.84615384615384615"/>
    <s v="NO"/>
    <m/>
  </r>
  <r>
    <d v="2014-05-11T00:00:00"/>
    <x v="0"/>
    <m/>
    <x v="1"/>
    <x v="11"/>
    <x v="77"/>
    <n v="1"/>
    <n v="110"/>
    <n v="110"/>
    <m/>
    <m/>
    <m/>
    <m/>
    <m/>
    <m/>
    <n v="0"/>
    <m/>
    <m/>
    <x v="77"/>
    <x v="0"/>
    <n v="0"/>
    <s v="NO"/>
    <m/>
  </r>
  <r>
    <m/>
    <x v="6"/>
    <m/>
    <x v="1"/>
    <x v="11"/>
    <x v="78"/>
    <n v="1"/>
    <m/>
    <m/>
    <n v="20"/>
    <n v="20"/>
    <m/>
    <m/>
    <m/>
    <m/>
    <n v="20"/>
    <m/>
    <m/>
    <x v="78"/>
    <x v="0"/>
    <n v="0.76923076923076927"/>
    <s v="NO"/>
    <m/>
  </r>
  <r>
    <m/>
    <x v="0"/>
    <s v="KMSS-LSO"/>
    <x v="1"/>
    <x v="11"/>
    <x v="78"/>
    <n v="1"/>
    <m/>
    <m/>
    <n v="10"/>
    <n v="10"/>
    <m/>
    <m/>
    <m/>
    <m/>
    <n v="10"/>
    <m/>
    <m/>
    <x v="78"/>
    <x v="0"/>
    <n v="0.38461538461538464"/>
    <s v="NO"/>
    <m/>
  </r>
  <r>
    <d v="2014-06-01T00:00:00"/>
    <x v="0"/>
    <s v="Shalom"/>
    <x v="0"/>
    <x v="1"/>
    <x v="79"/>
    <n v="1"/>
    <m/>
    <m/>
    <n v="5"/>
    <n v="5"/>
    <m/>
    <m/>
    <m/>
    <m/>
    <n v="5"/>
    <m/>
    <m/>
    <x v="79"/>
    <x v="0"/>
    <n v="0.35714285714285715"/>
    <s v="NO"/>
    <m/>
  </r>
  <r>
    <d v="2013-12-01T00:00:00"/>
    <x v="0"/>
    <s v="Shalom"/>
    <x v="0"/>
    <x v="1"/>
    <x v="79"/>
    <n v="1"/>
    <m/>
    <m/>
    <n v="13"/>
    <n v="13"/>
    <m/>
    <m/>
    <m/>
    <m/>
    <n v="13"/>
    <m/>
    <m/>
    <x v="79"/>
    <x v="0"/>
    <n v="0.9285714285714286"/>
    <s v="NO"/>
    <m/>
  </r>
  <r>
    <m/>
    <x v="4"/>
    <s v="KBC"/>
    <x v="1"/>
    <x v="12"/>
    <x v="80"/>
    <n v="1"/>
    <m/>
    <m/>
    <n v="78"/>
    <n v="78"/>
    <m/>
    <m/>
    <m/>
    <m/>
    <n v="78"/>
    <m/>
    <m/>
    <x v="80"/>
    <x v="0"/>
    <n v="1.1142857142857143"/>
    <s v="NO"/>
    <m/>
  </r>
  <r>
    <m/>
    <x v="0"/>
    <s v="KBC"/>
    <x v="1"/>
    <x v="12"/>
    <x v="80"/>
    <n v="1"/>
    <m/>
    <m/>
    <n v="20"/>
    <n v="20"/>
    <m/>
    <m/>
    <m/>
    <m/>
    <n v="20"/>
    <m/>
    <m/>
    <x v="80"/>
    <x v="0"/>
    <n v="0.2857142857142857"/>
    <s v="NO"/>
    <m/>
  </r>
  <r>
    <m/>
    <x v="4"/>
    <s v="KBC"/>
    <x v="1"/>
    <x v="12"/>
    <x v="81"/>
    <n v="1"/>
    <m/>
    <m/>
    <n v="30"/>
    <n v="30"/>
    <m/>
    <m/>
    <m/>
    <m/>
    <n v="30"/>
    <m/>
    <m/>
    <x v="81"/>
    <x v="0"/>
    <n v="0.44117647058823528"/>
    <s v="NO"/>
    <m/>
  </r>
  <r>
    <d v="2016-02-16T00:00:00"/>
    <x v="6"/>
    <m/>
    <x v="1"/>
    <x v="12"/>
    <x v="82"/>
    <n v="1"/>
    <m/>
    <m/>
    <n v="25"/>
    <n v="25"/>
    <m/>
    <m/>
    <m/>
    <m/>
    <n v="25"/>
    <m/>
    <m/>
    <x v="82"/>
    <x v="0"/>
    <n v="0.7142857142857143"/>
    <s v="NO"/>
    <m/>
  </r>
  <r>
    <m/>
    <x v="6"/>
    <m/>
    <x v="1"/>
    <x v="12"/>
    <x v="82"/>
    <n v="1"/>
    <m/>
    <m/>
    <n v="24"/>
    <n v="12"/>
    <m/>
    <m/>
    <m/>
    <m/>
    <n v="12"/>
    <m/>
    <m/>
    <x v="82"/>
    <x v="0"/>
    <n v="0.34285714285714286"/>
    <s v="NO"/>
    <m/>
  </r>
  <r>
    <d v="2016-02-16T00:00:00"/>
    <x v="6"/>
    <m/>
    <x v="1"/>
    <x v="11"/>
    <x v="83"/>
    <n v="1"/>
    <m/>
    <m/>
    <n v="9"/>
    <n v="9"/>
    <m/>
    <m/>
    <m/>
    <m/>
    <n v="0"/>
    <m/>
    <m/>
    <x v="83"/>
    <x v="1"/>
    <s v=""/>
    <s v="NO"/>
    <m/>
  </r>
  <r>
    <m/>
    <x v="0"/>
    <s v="KBC"/>
    <x v="1"/>
    <x v="8"/>
    <x v="84"/>
    <n v="1"/>
    <m/>
    <m/>
    <n v="20"/>
    <n v="20"/>
    <m/>
    <m/>
    <m/>
    <m/>
    <n v="20"/>
    <m/>
    <m/>
    <x v="84"/>
    <x v="0"/>
    <n v="0.32258064516129031"/>
    <s v="NO"/>
    <m/>
  </r>
  <r>
    <m/>
    <x v="0"/>
    <s v="Metta"/>
    <x v="1"/>
    <x v="8"/>
    <x v="84"/>
    <n v="1"/>
    <m/>
    <m/>
    <n v="6"/>
    <n v="6"/>
    <m/>
    <m/>
    <m/>
    <m/>
    <n v="6"/>
    <m/>
    <m/>
    <x v="84"/>
    <x v="0"/>
    <n v="9.6774193548387094E-2"/>
    <s v="NO"/>
    <m/>
  </r>
  <r>
    <m/>
    <x v="0"/>
    <s v="KBSS"/>
    <x v="0"/>
    <x v="3"/>
    <x v="85"/>
    <n v="1"/>
    <m/>
    <m/>
    <n v="36"/>
    <n v="36"/>
    <m/>
    <m/>
    <m/>
    <m/>
    <n v="0"/>
    <m/>
    <m/>
    <x v="85"/>
    <x v="1"/>
    <s v=""/>
    <s v="NO"/>
    <m/>
  </r>
  <r>
    <d v="2014-12-01T00:00:00"/>
    <x v="0"/>
    <s v="Shalom"/>
    <x v="0"/>
    <x v="0"/>
    <x v="86"/>
    <n v="1"/>
    <m/>
    <m/>
    <n v="5"/>
    <n v="5"/>
    <m/>
    <m/>
    <m/>
    <m/>
    <n v="5"/>
    <m/>
    <m/>
    <x v="86"/>
    <x v="0"/>
    <n v="0.29411764705882354"/>
    <s v="NO"/>
    <m/>
  </r>
  <r>
    <d v="2013-12-01T00:00:00"/>
    <x v="0"/>
    <s v="Shalom"/>
    <x v="0"/>
    <x v="0"/>
    <x v="86"/>
    <n v="1"/>
    <m/>
    <m/>
    <n v="10"/>
    <n v="10"/>
    <m/>
    <m/>
    <m/>
    <m/>
    <n v="10"/>
    <m/>
    <m/>
    <x v="86"/>
    <x v="0"/>
    <n v="0.58823529411764708"/>
    <s v="NO"/>
    <m/>
  </r>
  <r>
    <m/>
    <x v="1"/>
    <m/>
    <x v="0"/>
    <x v="0"/>
    <x v="86"/>
    <n v="1"/>
    <n v="8"/>
    <n v="8"/>
    <m/>
    <m/>
    <m/>
    <m/>
    <m/>
    <m/>
    <n v="0"/>
    <m/>
    <m/>
    <x v="86"/>
    <x v="0"/>
    <n v="0"/>
    <s v="NO"/>
    <m/>
  </r>
  <r>
    <d v="2016-02-16T00:00:00"/>
    <x v="6"/>
    <m/>
    <x v="1"/>
    <x v="13"/>
    <x v="87"/>
    <n v="1"/>
    <m/>
    <m/>
    <n v="25"/>
    <n v="25"/>
    <m/>
    <m/>
    <m/>
    <m/>
    <n v="25"/>
    <m/>
    <m/>
    <x v="87"/>
    <x v="0"/>
    <n v="0.65789473684210531"/>
    <s v="NO"/>
    <m/>
  </r>
  <r>
    <m/>
    <x v="0"/>
    <s v="KBC"/>
    <x v="1"/>
    <x v="13"/>
    <x v="87"/>
    <n v="1"/>
    <m/>
    <m/>
    <n v="10"/>
    <n v="10"/>
    <m/>
    <m/>
    <m/>
    <m/>
    <n v="10"/>
    <m/>
    <m/>
    <x v="87"/>
    <x v="0"/>
    <n v="0.26315789473684209"/>
    <s v="NO"/>
    <m/>
  </r>
  <r>
    <m/>
    <x v="0"/>
    <s v="KBC"/>
    <x v="1"/>
    <x v="14"/>
    <x v="88"/>
    <n v="1"/>
    <m/>
    <m/>
    <n v="10"/>
    <n v="10"/>
    <m/>
    <m/>
    <m/>
    <m/>
    <n v="10"/>
    <m/>
    <m/>
    <x v="88"/>
    <x v="0"/>
    <n v="1.1111111111111112"/>
    <s v="NO"/>
    <m/>
  </r>
  <r>
    <d v="2016-02-16T00:00:00"/>
    <x v="6"/>
    <m/>
    <x v="1"/>
    <x v="12"/>
    <x v="89"/>
    <n v="1"/>
    <m/>
    <m/>
    <n v="36"/>
    <n v="36"/>
    <m/>
    <m/>
    <m/>
    <m/>
    <n v="36"/>
    <m/>
    <m/>
    <x v="89"/>
    <x v="0"/>
    <n v="0.29268292682926828"/>
    <s v="NO"/>
    <m/>
  </r>
  <r>
    <m/>
    <x v="6"/>
    <m/>
    <x v="1"/>
    <x v="12"/>
    <x v="89"/>
    <n v="1"/>
    <m/>
    <m/>
    <n v="50"/>
    <n v="36"/>
    <m/>
    <m/>
    <m/>
    <m/>
    <n v="36"/>
    <m/>
    <m/>
    <x v="89"/>
    <x v="0"/>
    <n v="0.29268292682926828"/>
    <s v="NO"/>
    <m/>
  </r>
  <r>
    <m/>
    <x v="1"/>
    <m/>
    <x v="0"/>
    <x v="5"/>
    <x v="90"/>
    <n v="1"/>
    <n v="1"/>
    <n v="1"/>
    <m/>
    <m/>
    <m/>
    <m/>
    <m/>
    <m/>
    <n v="0"/>
    <m/>
    <m/>
    <x v="90"/>
    <x v="0"/>
    <n v="0"/>
    <s v="NO"/>
    <m/>
  </r>
  <r>
    <m/>
    <x v="4"/>
    <s v="KMSS"/>
    <x v="0"/>
    <x v="5"/>
    <x v="90"/>
    <n v="1"/>
    <m/>
    <m/>
    <n v="46"/>
    <n v="46"/>
    <m/>
    <m/>
    <m/>
    <m/>
    <n v="46"/>
    <m/>
    <m/>
    <x v="90"/>
    <x v="0"/>
    <n v="0.67647058823529416"/>
    <s v="NO"/>
    <m/>
  </r>
  <r>
    <m/>
    <x v="0"/>
    <s v="KMSS"/>
    <x v="0"/>
    <x v="5"/>
    <x v="90"/>
    <n v="1"/>
    <m/>
    <m/>
    <n v="21"/>
    <n v="21"/>
    <m/>
    <m/>
    <m/>
    <m/>
    <n v="21"/>
    <n v="21"/>
    <m/>
    <x v="90"/>
    <x v="0"/>
    <n v="0.30882352941176472"/>
    <s v="NO"/>
    <m/>
  </r>
  <r>
    <m/>
    <x v="0"/>
    <m/>
    <x v="0"/>
    <x v="1"/>
    <x v="91"/>
    <n v="1"/>
    <m/>
    <m/>
    <n v="10"/>
    <n v="10"/>
    <m/>
    <m/>
    <m/>
    <m/>
    <n v="10"/>
    <m/>
    <m/>
    <x v="91"/>
    <x v="0"/>
    <n v="0.5"/>
    <s v="NO"/>
    <m/>
  </r>
  <r>
    <m/>
    <x v="0"/>
    <s v="KBC"/>
    <x v="0"/>
    <x v="0"/>
    <x v="92"/>
    <n v="1"/>
    <m/>
    <m/>
    <n v="40"/>
    <n v="40"/>
    <m/>
    <m/>
    <m/>
    <m/>
    <n v="40"/>
    <m/>
    <m/>
    <x v="92"/>
    <x v="0"/>
    <n v="0.76923076923076927"/>
    <s v="NO"/>
    <m/>
  </r>
  <r>
    <m/>
    <x v="0"/>
    <s v="Shalom"/>
    <x v="0"/>
    <x v="0"/>
    <x v="92"/>
    <n v="1"/>
    <m/>
    <m/>
    <n v="15"/>
    <n v="15"/>
    <m/>
    <m/>
    <m/>
    <m/>
    <n v="15"/>
    <m/>
    <m/>
    <x v="92"/>
    <x v="0"/>
    <n v="0.28846153846153844"/>
    <s v="NO"/>
    <m/>
  </r>
  <r>
    <m/>
    <x v="0"/>
    <s v="KBC"/>
    <x v="0"/>
    <x v="9"/>
    <x v="93"/>
    <n v="1"/>
    <m/>
    <m/>
    <n v="15"/>
    <n v="15"/>
    <m/>
    <m/>
    <m/>
    <m/>
    <n v="15"/>
    <m/>
    <m/>
    <x v="93"/>
    <x v="0"/>
    <n v="1.25"/>
    <s v="NO"/>
    <m/>
  </r>
  <r>
    <d v="2014-12-01T00:00:00"/>
    <x v="0"/>
    <s v="Shalom"/>
    <x v="0"/>
    <x v="2"/>
    <x v="94"/>
    <n v="1"/>
    <m/>
    <m/>
    <n v="9"/>
    <n v="9"/>
    <m/>
    <m/>
    <m/>
    <m/>
    <n v="9"/>
    <m/>
    <m/>
    <x v="94"/>
    <x v="0"/>
    <n v="0.5"/>
    <s v="NO"/>
    <m/>
  </r>
  <r>
    <d v="2013-12-01T00:00:00"/>
    <x v="0"/>
    <s v="Shalom"/>
    <x v="0"/>
    <x v="2"/>
    <x v="94"/>
    <n v="1"/>
    <m/>
    <m/>
    <n v="10"/>
    <n v="10"/>
    <m/>
    <m/>
    <m/>
    <m/>
    <n v="10"/>
    <m/>
    <m/>
    <x v="94"/>
    <x v="0"/>
    <n v="0.55555555555555558"/>
    <s v="NO"/>
    <m/>
  </r>
  <r>
    <m/>
    <x v="8"/>
    <s v="KBC"/>
    <x v="0"/>
    <x v="15"/>
    <x v="95"/>
    <n v="1"/>
    <m/>
    <m/>
    <n v="10"/>
    <n v="10"/>
    <m/>
    <m/>
    <m/>
    <m/>
    <n v="10"/>
    <m/>
    <m/>
    <x v="95"/>
    <x v="0"/>
    <n v="0.52631578947368418"/>
    <s v="NO"/>
    <m/>
  </r>
  <r>
    <m/>
    <x v="0"/>
    <s v="KBC"/>
    <x v="0"/>
    <x v="15"/>
    <x v="95"/>
    <n v="1"/>
    <m/>
    <m/>
    <n v="20"/>
    <n v="20"/>
    <m/>
    <m/>
    <m/>
    <m/>
    <n v="20"/>
    <m/>
    <m/>
    <x v="95"/>
    <x v="0"/>
    <n v="1.0526315789473684"/>
    <s v="NO"/>
    <m/>
  </r>
  <r>
    <d v="2013-12-01T00:00:00"/>
    <x v="0"/>
    <s v="Shalom"/>
    <x v="0"/>
    <x v="0"/>
    <x v="96"/>
    <n v="1"/>
    <m/>
    <m/>
    <n v="40"/>
    <n v="40"/>
    <m/>
    <m/>
    <m/>
    <m/>
    <n v="0"/>
    <m/>
    <m/>
    <x v="96"/>
    <x v="1"/>
    <s v=""/>
    <s v="NO"/>
    <m/>
  </r>
  <r>
    <m/>
    <x v="1"/>
    <m/>
    <x v="0"/>
    <x v="0"/>
    <x v="96"/>
    <n v="1"/>
    <n v="50"/>
    <n v="50"/>
    <m/>
    <m/>
    <m/>
    <m/>
    <m/>
    <m/>
    <n v="0"/>
    <m/>
    <m/>
    <x v="96"/>
    <x v="1"/>
    <s v=""/>
    <s v="NO"/>
    <m/>
  </r>
  <r>
    <m/>
    <x v="0"/>
    <s v="Shalom"/>
    <x v="0"/>
    <x v="0"/>
    <x v="96"/>
    <n v="1"/>
    <m/>
    <m/>
    <n v="20"/>
    <n v="20"/>
    <m/>
    <m/>
    <m/>
    <m/>
    <n v="0"/>
    <m/>
    <m/>
    <x v="96"/>
    <x v="1"/>
    <s v=""/>
    <s v="NO"/>
    <m/>
  </r>
  <r>
    <m/>
    <x v="0"/>
    <s v="KBC"/>
    <x v="0"/>
    <x v="0"/>
    <x v="96"/>
    <n v="1"/>
    <m/>
    <m/>
    <n v="15"/>
    <n v="15"/>
    <m/>
    <m/>
    <m/>
    <m/>
    <n v="0"/>
    <m/>
    <m/>
    <x v="96"/>
    <x v="1"/>
    <s v=""/>
    <s v="NO"/>
    <m/>
  </r>
  <r>
    <d v="2016-05-10T00:00:00"/>
    <x v="4"/>
    <s v="DRC"/>
    <x v="0"/>
    <x v="6"/>
    <x v="97"/>
    <n v="1"/>
    <m/>
    <m/>
    <n v="170"/>
    <n v="170"/>
    <m/>
    <m/>
    <m/>
    <m/>
    <n v="170"/>
    <m/>
    <m/>
    <x v="97"/>
    <x v="0"/>
    <n v="0.45333333333333331"/>
    <s v="NO"/>
    <m/>
  </r>
  <r>
    <d v="2016-02-22T00:00:00"/>
    <x v="4"/>
    <m/>
    <x v="0"/>
    <x v="6"/>
    <x v="97"/>
    <n v="1"/>
    <m/>
    <m/>
    <n v="170"/>
    <n v="170"/>
    <m/>
    <m/>
    <m/>
    <m/>
    <n v="0"/>
    <m/>
    <m/>
    <x v="97"/>
    <x v="0"/>
    <n v="0"/>
    <s v="YES"/>
    <m/>
  </r>
  <r>
    <m/>
    <x v="9"/>
    <s v="KBSS"/>
    <x v="0"/>
    <x v="6"/>
    <x v="97"/>
    <n v="1"/>
    <m/>
    <m/>
    <n v="100"/>
    <n v="100"/>
    <m/>
    <m/>
    <m/>
    <m/>
    <n v="100"/>
    <m/>
    <m/>
    <x v="97"/>
    <x v="0"/>
    <n v="0.26666666666666666"/>
    <s v="NO"/>
    <m/>
  </r>
  <r>
    <m/>
    <x v="14"/>
    <s v="KBSS"/>
    <x v="0"/>
    <x v="6"/>
    <x v="97"/>
    <n v="1"/>
    <m/>
    <m/>
    <n v="350"/>
    <n v="350"/>
    <m/>
    <m/>
    <m/>
    <m/>
    <n v="350"/>
    <m/>
    <m/>
    <x v="97"/>
    <x v="0"/>
    <n v="0.93333333333333335"/>
    <s v="NO"/>
    <m/>
  </r>
  <r>
    <d v="2013-12-01T00:00:00"/>
    <x v="0"/>
    <s v="Shalom"/>
    <x v="0"/>
    <x v="6"/>
    <x v="98"/>
    <n v="1"/>
    <m/>
    <m/>
    <n v="4"/>
    <n v="4"/>
    <m/>
    <m/>
    <m/>
    <m/>
    <n v="0"/>
    <n v="5"/>
    <m/>
    <x v="98"/>
    <x v="1"/>
    <s v=""/>
    <s v="NO"/>
    <m/>
  </r>
  <r>
    <m/>
    <x v="6"/>
    <m/>
    <x v="0"/>
    <x v="6"/>
    <x v="98"/>
    <n v="1"/>
    <m/>
    <m/>
    <n v="18"/>
    <n v="18"/>
    <m/>
    <m/>
    <m/>
    <m/>
    <n v="0"/>
    <m/>
    <m/>
    <x v="98"/>
    <x v="1"/>
    <s v=""/>
    <s v="NO"/>
    <m/>
  </r>
  <r>
    <m/>
    <x v="0"/>
    <m/>
    <x v="0"/>
    <x v="6"/>
    <x v="98"/>
    <n v="1"/>
    <m/>
    <m/>
    <n v="9"/>
    <n v="9"/>
    <m/>
    <m/>
    <m/>
    <m/>
    <n v="0"/>
    <m/>
    <m/>
    <x v="98"/>
    <x v="1"/>
    <s v=""/>
    <s v="NO"/>
    <m/>
  </r>
  <r>
    <m/>
    <x v="11"/>
    <s v="KBC"/>
    <x v="0"/>
    <x v="5"/>
    <x v="99"/>
    <n v="1"/>
    <m/>
    <m/>
    <n v="32"/>
    <n v="32"/>
    <m/>
    <m/>
    <m/>
    <m/>
    <n v="32"/>
    <m/>
    <m/>
    <x v="99"/>
    <x v="0"/>
    <n v="0.53333333333333333"/>
    <s v="NO"/>
    <m/>
  </r>
  <r>
    <m/>
    <x v="0"/>
    <s v="KBC"/>
    <x v="0"/>
    <x v="5"/>
    <x v="99"/>
    <n v="1"/>
    <m/>
    <m/>
    <n v="20"/>
    <n v="20"/>
    <m/>
    <m/>
    <m/>
    <m/>
    <n v="20"/>
    <m/>
    <m/>
    <x v="99"/>
    <x v="0"/>
    <n v="0.33333333333333331"/>
    <s v="NO"/>
    <m/>
  </r>
  <r>
    <m/>
    <x v="0"/>
    <m/>
    <x v="0"/>
    <x v="6"/>
    <x v="100"/>
    <n v="1"/>
    <m/>
    <m/>
    <n v="45"/>
    <n v="45"/>
    <m/>
    <m/>
    <m/>
    <m/>
    <n v="45"/>
    <m/>
    <m/>
    <x v="100"/>
    <x v="0"/>
    <n v="0.9"/>
    <s v="NO"/>
    <m/>
  </r>
  <r>
    <d v="2016-02-16T00:00:00"/>
    <x v="0"/>
    <s v="KMSS"/>
    <x v="0"/>
    <x v="5"/>
    <x v="101"/>
    <n v="1"/>
    <m/>
    <m/>
    <n v="14"/>
    <n v="14"/>
    <m/>
    <m/>
    <m/>
    <m/>
    <n v="14"/>
    <m/>
    <m/>
    <x v="101"/>
    <x v="0"/>
    <n v="0.31818181818181818"/>
    <s v="NO"/>
    <m/>
  </r>
  <r>
    <m/>
    <x v="9"/>
    <s v="KMSS"/>
    <x v="0"/>
    <x v="5"/>
    <x v="101"/>
    <n v="1"/>
    <m/>
    <m/>
    <n v="30"/>
    <n v="30"/>
    <m/>
    <m/>
    <m/>
    <m/>
    <n v="30"/>
    <m/>
    <m/>
    <x v="101"/>
    <x v="0"/>
    <n v="0.68181818181818177"/>
    <s v="NO"/>
    <m/>
  </r>
  <r>
    <d v="2016-02-22T00:00:00"/>
    <x v="4"/>
    <m/>
    <x v="0"/>
    <x v="6"/>
    <x v="102"/>
    <n v="1"/>
    <m/>
    <m/>
    <n v="254"/>
    <n v="254"/>
    <m/>
    <m/>
    <m/>
    <m/>
    <n v="0"/>
    <m/>
    <m/>
    <x v="102"/>
    <x v="0"/>
    <n v="0"/>
    <s v="YES"/>
    <m/>
  </r>
  <r>
    <d v="2014-12-01T00:00:00"/>
    <x v="4"/>
    <m/>
    <x v="0"/>
    <x v="6"/>
    <x v="102"/>
    <n v="1"/>
    <m/>
    <m/>
    <n v="394"/>
    <n v="140"/>
    <m/>
    <m/>
    <m/>
    <m/>
    <n v="140"/>
    <m/>
    <m/>
    <x v="102"/>
    <x v="0"/>
    <n v="0.206794682422452"/>
    <s v="NO"/>
    <m/>
  </r>
  <r>
    <m/>
    <x v="9"/>
    <s v="IRRC"/>
    <x v="0"/>
    <x v="6"/>
    <x v="102"/>
    <n v="1"/>
    <m/>
    <m/>
    <n v="447"/>
    <n v="447"/>
    <m/>
    <m/>
    <m/>
    <m/>
    <n v="447"/>
    <m/>
    <m/>
    <x v="102"/>
    <x v="0"/>
    <n v="0.66026587887740029"/>
    <s v="NO"/>
    <m/>
  </r>
  <r>
    <m/>
    <x v="0"/>
    <s v="KBSS"/>
    <x v="0"/>
    <x v="6"/>
    <x v="102"/>
    <n v="1"/>
    <m/>
    <m/>
    <n v="130"/>
    <n v="130"/>
    <m/>
    <m/>
    <m/>
    <m/>
    <n v="130"/>
    <m/>
    <m/>
    <x v="102"/>
    <x v="0"/>
    <n v="0.19202363367799113"/>
    <s v="NO"/>
    <m/>
  </r>
  <r>
    <d v="2013-12-01T00:00:00"/>
    <x v="0"/>
    <s v="KBC"/>
    <x v="0"/>
    <x v="2"/>
    <x v="103"/>
    <n v="1"/>
    <m/>
    <m/>
    <n v="11"/>
    <n v="11"/>
    <m/>
    <m/>
    <m/>
    <m/>
    <n v="11"/>
    <m/>
    <m/>
    <x v="103"/>
    <x v="0"/>
    <n v="6.2146892655367235E-2"/>
    <s v="NO"/>
    <m/>
  </r>
  <r>
    <d v="2016-07-18T00:00:00"/>
    <x v="5"/>
    <s v="KBC"/>
    <x v="0"/>
    <x v="2"/>
    <x v="103"/>
    <n v="1"/>
    <m/>
    <m/>
    <m/>
    <m/>
    <m/>
    <m/>
    <m/>
    <m/>
    <n v="0"/>
    <n v="32"/>
    <n v="32"/>
    <x v="103"/>
    <x v="0"/>
    <n v="0"/>
    <s v="NO"/>
    <m/>
  </r>
  <r>
    <m/>
    <x v="0"/>
    <s v="KBC"/>
    <x v="0"/>
    <x v="2"/>
    <x v="103"/>
    <n v="1"/>
    <m/>
    <m/>
    <n v="24"/>
    <n v="24"/>
    <m/>
    <m/>
    <m/>
    <m/>
    <n v="24"/>
    <m/>
    <m/>
    <x v="103"/>
    <x v="0"/>
    <n v="0.13559322033898305"/>
    <s v="NO"/>
    <m/>
  </r>
  <r>
    <m/>
    <x v="0"/>
    <s v="KMSS"/>
    <x v="0"/>
    <x v="4"/>
    <x v="104"/>
    <n v="1"/>
    <m/>
    <m/>
    <m/>
    <m/>
    <m/>
    <m/>
    <m/>
    <m/>
    <n v="0"/>
    <n v="40"/>
    <m/>
    <x v="104"/>
    <x v="0"/>
    <n v="0"/>
    <s v="NO"/>
    <m/>
  </r>
  <r>
    <d v="2014-06-01T00:00:00"/>
    <x v="0"/>
    <s v="KBC"/>
    <x v="0"/>
    <x v="1"/>
    <x v="105"/>
    <n v="1"/>
    <m/>
    <m/>
    <n v="10"/>
    <n v="10"/>
    <m/>
    <m/>
    <m/>
    <m/>
    <n v="10"/>
    <m/>
    <m/>
    <x v="105"/>
    <x v="0"/>
    <n v="6.6666666666666666E-2"/>
    <s v="NO"/>
    <m/>
  </r>
  <r>
    <d v="2013-12-01T00:00:00"/>
    <x v="0"/>
    <s v="KBC"/>
    <x v="0"/>
    <x v="1"/>
    <x v="105"/>
    <n v="1"/>
    <m/>
    <m/>
    <n v="50"/>
    <n v="50"/>
    <m/>
    <m/>
    <m/>
    <m/>
    <n v="50"/>
    <m/>
    <m/>
    <x v="105"/>
    <x v="0"/>
    <n v="0.33333333333333331"/>
    <s v="NO"/>
    <m/>
  </r>
  <r>
    <m/>
    <x v="6"/>
    <m/>
    <x v="0"/>
    <x v="1"/>
    <x v="105"/>
    <n v="1"/>
    <m/>
    <m/>
    <n v="36"/>
    <n v="36"/>
    <m/>
    <m/>
    <m/>
    <m/>
    <n v="36"/>
    <m/>
    <m/>
    <x v="105"/>
    <x v="0"/>
    <n v="0.24"/>
    <s v="NO"/>
    <m/>
  </r>
  <r>
    <m/>
    <x v="0"/>
    <m/>
    <x v="0"/>
    <x v="1"/>
    <x v="105"/>
    <n v="1"/>
    <m/>
    <m/>
    <n v="30"/>
    <n v="30"/>
    <m/>
    <m/>
    <m/>
    <m/>
    <n v="30"/>
    <m/>
    <m/>
    <x v="105"/>
    <x v="0"/>
    <n v="0.2"/>
    <s v="NO"/>
    <m/>
  </r>
  <r>
    <d v="2016-05-10T00:00:00"/>
    <x v="4"/>
    <s v="KMSS"/>
    <x v="0"/>
    <x v="2"/>
    <x v="106"/>
    <n v="1"/>
    <m/>
    <m/>
    <n v="60"/>
    <n v="65"/>
    <m/>
    <m/>
    <m/>
    <m/>
    <n v="65"/>
    <m/>
    <m/>
    <x v="106"/>
    <x v="0"/>
    <n v="0.66326530612244894"/>
    <s v="NO"/>
    <m/>
  </r>
  <r>
    <d v="2016-02-22T00:00:00"/>
    <x v="4"/>
    <m/>
    <x v="0"/>
    <x v="2"/>
    <x v="106"/>
    <n v="1"/>
    <m/>
    <m/>
    <n v="66"/>
    <n v="66"/>
    <m/>
    <m/>
    <m/>
    <m/>
    <n v="0"/>
    <m/>
    <m/>
    <x v="106"/>
    <x v="0"/>
    <n v="0"/>
    <s v="YES"/>
    <m/>
  </r>
  <r>
    <m/>
    <x v="1"/>
    <m/>
    <x v="0"/>
    <x v="2"/>
    <x v="106"/>
    <n v="1"/>
    <n v="207"/>
    <n v="207"/>
    <m/>
    <m/>
    <m/>
    <m/>
    <m/>
    <m/>
    <n v="0"/>
    <m/>
    <m/>
    <x v="106"/>
    <x v="0"/>
    <n v="0"/>
    <s v="NO"/>
    <m/>
  </r>
  <r>
    <d v="2014-12-01T00:00:00"/>
    <x v="0"/>
    <s v="Shalom"/>
    <x v="0"/>
    <x v="2"/>
    <x v="107"/>
    <n v="1"/>
    <m/>
    <m/>
    <n v="21"/>
    <n v="21"/>
    <m/>
    <m/>
    <m/>
    <m/>
    <n v="21"/>
    <m/>
    <m/>
    <x v="107"/>
    <x v="0"/>
    <n v="0.23076923076923078"/>
    <s v="NO"/>
    <m/>
  </r>
  <r>
    <d v="2013-12-01T00:00:00"/>
    <x v="0"/>
    <s v="Shalom"/>
    <x v="0"/>
    <x v="2"/>
    <x v="107"/>
    <n v="1"/>
    <m/>
    <m/>
    <n v="10"/>
    <n v="10"/>
    <m/>
    <m/>
    <m/>
    <m/>
    <n v="10"/>
    <m/>
    <m/>
    <x v="107"/>
    <x v="0"/>
    <n v="0.10989010989010989"/>
    <s v="NO"/>
    <m/>
  </r>
  <r>
    <m/>
    <x v="0"/>
    <s v="Shalom"/>
    <x v="0"/>
    <x v="2"/>
    <x v="107"/>
    <n v="1"/>
    <m/>
    <m/>
    <n v="45"/>
    <n v="45"/>
    <m/>
    <m/>
    <m/>
    <m/>
    <n v="45"/>
    <n v="10"/>
    <m/>
    <x v="107"/>
    <x v="0"/>
    <n v="0.49450549450549453"/>
    <s v="NO"/>
    <m/>
  </r>
  <r>
    <m/>
    <x v="0"/>
    <m/>
    <x v="0"/>
    <x v="2"/>
    <x v="107"/>
    <n v="1"/>
    <m/>
    <m/>
    <n v="5"/>
    <n v="5"/>
    <m/>
    <m/>
    <m/>
    <m/>
    <n v="5"/>
    <m/>
    <m/>
    <x v="107"/>
    <x v="0"/>
    <n v="5.4945054945054944E-2"/>
    <s v="NO"/>
    <m/>
  </r>
  <r>
    <m/>
    <x v="5"/>
    <m/>
    <x v="0"/>
    <x v="2"/>
    <x v="107"/>
    <n v="1"/>
    <m/>
    <m/>
    <n v="10"/>
    <n v="10"/>
    <m/>
    <m/>
    <m/>
    <m/>
    <n v="10"/>
    <m/>
    <m/>
    <x v="107"/>
    <x v="0"/>
    <n v="0.10989010989010989"/>
    <s v="NO"/>
    <m/>
  </r>
  <r>
    <m/>
    <x v="0"/>
    <s v="Shalom"/>
    <x v="0"/>
    <x v="2"/>
    <x v="107"/>
    <n v="1"/>
    <m/>
    <m/>
    <n v="5"/>
    <n v="5"/>
    <m/>
    <m/>
    <m/>
    <m/>
    <n v="5"/>
    <m/>
    <m/>
    <x v="107"/>
    <x v="0"/>
    <n v="5.4945054945054944E-2"/>
    <s v="NO"/>
    <m/>
  </r>
  <r>
    <d v="2016-05-12T00:00:00"/>
    <x v="0"/>
    <s v="KBC"/>
    <x v="0"/>
    <x v="2"/>
    <x v="108"/>
    <n v="1"/>
    <m/>
    <m/>
    <m/>
    <m/>
    <m/>
    <m/>
    <m/>
    <m/>
    <n v="0"/>
    <n v="20"/>
    <m/>
    <x v="108"/>
    <x v="0"/>
    <n v="0"/>
    <s v="NO"/>
    <m/>
  </r>
  <r>
    <m/>
    <x v="7"/>
    <s v="KBC"/>
    <x v="0"/>
    <x v="2"/>
    <x v="108"/>
    <n v="1"/>
    <m/>
    <m/>
    <n v="8"/>
    <n v="8"/>
    <m/>
    <m/>
    <m/>
    <m/>
    <n v="8"/>
    <m/>
    <m/>
    <x v="108"/>
    <x v="0"/>
    <n v="0.12307692307692308"/>
    <s v="NO"/>
    <m/>
  </r>
  <r>
    <m/>
    <x v="0"/>
    <s v="KBC"/>
    <x v="0"/>
    <x v="2"/>
    <x v="108"/>
    <n v="1"/>
    <m/>
    <m/>
    <n v="10"/>
    <n v="10"/>
    <m/>
    <m/>
    <m/>
    <m/>
    <n v="10"/>
    <m/>
    <m/>
    <x v="108"/>
    <x v="0"/>
    <n v="0.15384615384615385"/>
    <s v="NO"/>
    <m/>
  </r>
  <r>
    <m/>
    <x v="0"/>
    <m/>
    <x v="0"/>
    <x v="2"/>
    <x v="108"/>
    <n v="1"/>
    <m/>
    <m/>
    <n v="20"/>
    <n v="20"/>
    <m/>
    <m/>
    <m/>
    <m/>
    <n v="20"/>
    <m/>
    <m/>
    <x v="108"/>
    <x v="0"/>
    <n v="0.30769230769230771"/>
    <s v="NO"/>
    <m/>
  </r>
  <r>
    <d v="2014-06-01T00:00:00"/>
    <x v="0"/>
    <s v="Shalom"/>
    <x v="0"/>
    <x v="2"/>
    <x v="109"/>
    <n v="1"/>
    <m/>
    <m/>
    <n v="3"/>
    <n v="3"/>
    <m/>
    <m/>
    <m/>
    <m/>
    <n v="3"/>
    <m/>
    <m/>
    <x v="109"/>
    <x v="0"/>
    <n v="9.6774193548387094E-2"/>
    <s v="NO"/>
    <m/>
  </r>
  <r>
    <d v="2013-12-01T00:00:00"/>
    <x v="0"/>
    <s v="Shalom"/>
    <x v="0"/>
    <x v="2"/>
    <x v="109"/>
    <n v="1"/>
    <m/>
    <m/>
    <n v="10"/>
    <n v="10"/>
    <m/>
    <m/>
    <m/>
    <m/>
    <n v="10"/>
    <m/>
    <m/>
    <x v="109"/>
    <x v="0"/>
    <n v="0.32258064516129031"/>
    <s v="NO"/>
    <m/>
  </r>
  <r>
    <m/>
    <x v="0"/>
    <s v="Shalom"/>
    <x v="0"/>
    <x v="2"/>
    <x v="109"/>
    <n v="1"/>
    <m/>
    <m/>
    <n v="23"/>
    <n v="23"/>
    <m/>
    <m/>
    <m/>
    <m/>
    <n v="23"/>
    <m/>
    <m/>
    <x v="109"/>
    <x v="0"/>
    <n v="0.74193548387096775"/>
    <s v="NO"/>
    <m/>
  </r>
  <r>
    <m/>
    <x v="0"/>
    <s v="Shalom"/>
    <x v="0"/>
    <x v="2"/>
    <x v="109"/>
    <n v="1"/>
    <m/>
    <m/>
    <n v="3"/>
    <n v="3"/>
    <m/>
    <m/>
    <m/>
    <m/>
    <n v="3"/>
    <m/>
    <m/>
    <x v="109"/>
    <x v="0"/>
    <n v="9.6774193548387094E-2"/>
    <s v="NO"/>
    <m/>
  </r>
  <r>
    <m/>
    <x v="0"/>
    <s v="Shalom"/>
    <x v="0"/>
    <x v="2"/>
    <x v="110"/>
    <n v="1"/>
    <m/>
    <m/>
    <n v="100"/>
    <n v="100"/>
    <m/>
    <m/>
    <m/>
    <m/>
    <n v="100"/>
    <n v="15"/>
    <m/>
    <x v="110"/>
    <x v="0"/>
    <n v="1.1363636363636365"/>
    <s v="NO"/>
    <m/>
  </r>
  <r>
    <d v="2013-12-01T00:00:00"/>
    <x v="0"/>
    <s v="Shalom"/>
    <x v="0"/>
    <x v="0"/>
    <x v="111"/>
    <n v="1"/>
    <m/>
    <m/>
    <n v="10"/>
    <n v="10"/>
    <m/>
    <m/>
    <m/>
    <m/>
    <n v="10"/>
    <m/>
    <m/>
    <x v="111"/>
    <x v="0"/>
    <n v="1"/>
    <s v="NO"/>
    <m/>
  </r>
  <r>
    <m/>
    <x v="1"/>
    <m/>
    <x v="0"/>
    <x v="0"/>
    <x v="111"/>
    <n v="1"/>
    <n v="9"/>
    <n v="9"/>
    <m/>
    <m/>
    <m/>
    <m/>
    <m/>
    <m/>
    <n v="0"/>
    <m/>
    <m/>
    <x v="111"/>
    <x v="0"/>
    <n v="0"/>
    <s v="NO"/>
    <m/>
  </r>
  <r>
    <d v="2013-12-01T00:00:00"/>
    <x v="0"/>
    <s v="KBC"/>
    <x v="0"/>
    <x v="1"/>
    <x v="112"/>
    <n v="1"/>
    <m/>
    <m/>
    <n v="30"/>
    <n v="30"/>
    <m/>
    <m/>
    <m/>
    <m/>
    <n v="30"/>
    <m/>
    <m/>
    <x v="112"/>
    <x v="0"/>
    <n v="4.7694753577106522E-2"/>
    <s v="NO"/>
    <m/>
  </r>
  <r>
    <m/>
    <x v="7"/>
    <m/>
    <x v="0"/>
    <x v="1"/>
    <x v="112"/>
    <n v="1"/>
    <m/>
    <m/>
    <n v="162"/>
    <n v="162"/>
    <m/>
    <m/>
    <m/>
    <m/>
    <n v="162"/>
    <m/>
    <m/>
    <x v="112"/>
    <x v="0"/>
    <n v="0.25755166931637519"/>
    <s v="NO"/>
    <m/>
  </r>
  <r>
    <m/>
    <x v="6"/>
    <m/>
    <x v="0"/>
    <x v="1"/>
    <x v="112"/>
    <n v="1"/>
    <m/>
    <m/>
    <n v="163"/>
    <n v="163"/>
    <m/>
    <m/>
    <m/>
    <m/>
    <n v="163"/>
    <m/>
    <m/>
    <x v="112"/>
    <x v="0"/>
    <n v="0.25914149443561207"/>
    <s v="NO"/>
    <m/>
  </r>
  <r>
    <d v="2016-07-18T00:00:00"/>
    <x v="0"/>
    <s v="KBC"/>
    <x v="0"/>
    <x v="1"/>
    <x v="112"/>
    <n v="1"/>
    <m/>
    <m/>
    <m/>
    <m/>
    <m/>
    <m/>
    <m/>
    <m/>
    <n v="0"/>
    <n v="20"/>
    <n v="30"/>
    <x v="112"/>
    <x v="0"/>
    <n v="0"/>
    <s v="NO"/>
    <m/>
  </r>
  <r>
    <m/>
    <x v="0"/>
    <m/>
    <x v="0"/>
    <x v="1"/>
    <x v="112"/>
    <n v="1"/>
    <m/>
    <m/>
    <n v="70"/>
    <n v="70"/>
    <m/>
    <m/>
    <m/>
    <m/>
    <n v="70"/>
    <m/>
    <m/>
    <x v="112"/>
    <x v="0"/>
    <n v="0.11128775834658187"/>
    <s v="NO"/>
    <m/>
  </r>
  <r>
    <m/>
    <x v="1"/>
    <m/>
    <x v="0"/>
    <x v="5"/>
    <x v="113"/>
    <n v="1"/>
    <n v="1"/>
    <n v="1"/>
    <m/>
    <m/>
    <m/>
    <m/>
    <m/>
    <m/>
    <n v="0"/>
    <m/>
    <m/>
    <x v="113"/>
    <x v="2"/>
    <s v=""/>
    <s v="NO"/>
    <m/>
  </r>
  <r>
    <d v="2013-12-01T00:00:00"/>
    <x v="0"/>
    <s v="KBC"/>
    <x v="0"/>
    <x v="0"/>
    <x v="114"/>
    <n v="1"/>
    <m/>
    <m/>
    <n v="5"/>
    <n v="5"/>
    <m/>
    <m/>
    <m/>
    <m/>
    <n v="5"/>
    <m/>
    <m/>
    <x v="114"/>
    <x v="0"/>
    <n v="0.625"/>
    <s v="NO"/>
    <m/>
  </r>
  <r>
    <m/>
    <x v="1"/>
    <m/>
    <x v="0"/>
    <x v="0"/>
    <x v="114"/>
    <n v="1"/>
    <n v="7"/>
    <n v="7"/>
    <m/>
    <m/>
    <m/>
    <m/>
    <m/>
    <m/>
    <n v="0"/>
    <m/>
    <m/>
    <x v="114"/>
    <x v="0"/>
    <n v="0"/>
    <s v="NO"/>
    <m/>
  </r>
  <r>
    <d v="2016-02-22T00:00:00"/>
    <x v="11"/>
    <m/>
    <x v="0"/>
    <x v="9"/>
    <x v="115"/>
    <n v="1"/>
    <m/>
    <m/>
    <n v="40"/>
    <n v="40"/>
    <m/>
    <m/>
    <m/>
    <m/>
    <n v="40"/>
    <m/>
    <m/>
    <x v="115"/>
    <x v="0"/>
    <n v="1.3333333333333333"/>
    <s v="NO"/>
    <m/>
  </r>
  <r>
    <m/>
    <x v="0"/>
    <m/>
    <x v="0"/>
    <x v="6"/>
    <x v="116"/>
    <n v="1"/>
    <m/>
    <m/>
    <n v="40"/>
    <n v="40"/>
    <m/>
    <m/>
    <m/>
    <m/>
    <n v="40"/>
    <m/>
    <m/>
    <x v="116"/>
    <x v="0"/>
    <n v="1.0256410256410255"/>
    <s v="NO"/>
    <m/>
  </r>
  <r>
    <d v="2016-02-16T00:00:00"/>
    <x v="0"/>
    <s v="KBC"/>
    <x v="0"/>
    <x v="5"/>
    <x v="117"/>
    <n v="1"/>
    <m/>
    <m/>
    <m/>
    <m/>
    <m/>
    <m/>
    <m/>
    <m/>
    <n v="0"/>
    <n v="30"/>
    <n v="30"/>
    <x v="117"/>
    <x v="0"/>
    <n v="0"/>
    <s v="NO"/>
    <m/>
  </r>
  <r>
    <m/>
    <x v="7"/>
    <s v="Shalom"/>
    <x v="0"/>
    <x v="5"/>
    <x v="117"/>
    <n v="1"/>
    <m/>
    <m/>
    <n v="14"/>
    <n v="14"/>
    <m/>
    <m/>
    <m/>
    <m/>
    <n v="14"/>
    <m/>
    <m/>
    <x v="117"/>
    <x v="0"/>
    <n v="0.15555555555555556"/>
    <s v="NO"/>
    <m/>
  </r>
  <r>
    <m/>
    <x v="0"/>
    <s v="KBC"/>
    <x v="0"/>
    <x v="5"/>
    <x v="117"/>
    <n v="1"/>
    <m/>
    <m/>
    <n v="10"/>
    <n v="10"/>
    <m/>
    <m/>
    <m/>
    <m/>
    <n v="10"/>
    <m/>
    <m/>
    <x v="117"/>
    <x v="0"/>
    <n v="0.1111111111111111"/>
    <s v="NO"/>
    <m/>
  </r>
  <r>
    <m/>
    <x v="0"/>
    <m/>
    <x v="0"/>
    <x v="5"/>
    <x v="117"/>
    <n v="1"/>
    <m/>
    <m/>
    <n v="40"/>
    <n v="40"/>
    <m/>
    <m/>
    <m/>
    <m/>
    <n v="40"/>
    <m/>
    <m/>
    <x v="117"/>
    <x v="0"/>
    <n v="0.44444444444444442"/>
    <s v="NO"/>
    <m/>
  </r>
  <r>
    <d v="2016-07-18T00:00:00"/>
    <x v="5"/>
    <s v="KBC"/>
    <x v="0"/>
    <x v="2"/>
    <x v="118"/>
    <n v="1"/>
    <m/>
    <m/>
    <m/>
    <m/>
    <m/>
    <m/>
    <m/>
    <m/>
    <n v="0"/>
    <n v="5"/>
    <n v="5"/>
    <x v="118"/>
    <x v="0"/>
    <n v="0"/>
    <s v="NO"/>
    <m/>
  </r>
  <r>
    <d v="2016-02-16T00:00:00"/>
    <x v="11"/>
    <m/>
    <x v="0"/>
    <x v="2"/>
    <x v="118"/>
    <n v="1"/>
    <m/>
    <m/>
    <n v="73"/>
    <n v="73"/>
    <m/>
    <m/>
    <m/>
    <m/>
    <n v="73"/>
    <m/>
    <m/>
    <x v="118"/>
    <x v="0"/>
    <n v="0.40782122905027934"/>
    <s v="NO"/>
    <m/>
  </r>
  <r>
    <d v="2014-12-30T00:00:00"/>
    <x v="0"/>
    <s v="KBC"/>
    <x v="0"/>
    <x v="2"/>
    <x v="118"/>
    <n v="1"/>
    <n v="90"/>
    <m/>
    <m/>
    <m/>
    <m/>
    <m/>
    <m/>
    <m/>
    <n v="0"/>
    <m/>
    <m/>
    <x v="118"/>
    <x v="0"/>
    <n v="0"/>
    <s v="NO"/>
    <m/>
  </r>
  <r>
    <d v="2013-12-01T00:00:00"/>
    <x v="0"/>
    <s v="KBC"/>
    <x v="0"/>
    <x v="2"/>
    <x v="118"/>
    <n v="1"/>
    <m/>
    <m/>
    <n v="18"/>
    <n v="18"/>
    <m/>
    <m/>
    <m/>
    <m/>
    <n v="18"/>
    <m/>
    <m/>
    <x v="118"/>
    <x v="0"/>
    <n v="0.1005586592178771"/>
    <s v="NO"/>
    <m/>
  </r>
  <r>
    <m/>
    <x v="0"/>
    <s v="KBC"/>
    <x v="0"/>
    <x v="2"/>
    <x v="118"/>
    <n v="1"/>
    <m/>
    <m/>
    <n v="170"/>
    <n v="170"/>
    <m/>
    <m/>
    <m/>
    <m/>
    <n v="170"/>
    <m/>
    <m/>
    <x v="118"/>
    <x v="0"/>
    <n v="0.94972067039106145"/>
    <s v="NO"/>
    <m/>
  </r>
  <r>
    <m/>
    <x v="6"/>
    <m/>
    <x v="0"/>
    <x v="16"/>
    <x v="119"/>
    <n v="1"/>
    <m/>
    <m/>
    <n v="42"/>
    <n v="42"/>
    <m/>
    <m/>
    <m/>
    <m/>
    <n v="42"/>
    <m/>
    <m/>
    <x v="119"/>
    <x v="0"/>
    <n v="0.48837209302325579"/>
    <s v="NO"/>
    <m/>
  </r>
  <r>
    <m/>
    <x v="9"/>
    <s v="KBSS"/>
    <x v="0"/>
    <x v="16"/>
    <x v="120"/>
    <n v="1"/>
    <m/>
    <m/>
    <n v="36"/>
    <n v="36"/>
    <m/>
    <m/>
    <m/>
    <m/>
    <n v="36"/>
    <m/>
    <m/>
    <x v="120"/>
    <x v="0"/>
    <n v="0.87804878048780488"/>
    <s v="NO"/>
    <m/>
  </r>
  <r>
    <m/>
    <x v="0"/>
    <s v="KBSS"/>
    <x v="0"/>
    <x v="16"/>
    <x v="120"/>
    <n v="1"/>
    <m/>
    <m/>
    <n v="10"/>
    <n v="10"/>
    <m/>
    <m/>
    <m/>
    <m/>
    <n v="10"/>
    <m/>
    <m/>
    <x v="120"/>
    <x v="0"/>
    <n v="0.24390243902439024"/>
    <s v="NO"/>
    <m/>
  </r>
  <r>
    <d v="2016-02-16T00:00:00"/>
    <x v="0"/>
    <s v="KBC"/>
    <x v="0"/>
    <x v="5"/>
    <x v="121"/>
    <n v="1"/>
    <m/>
    <m/>
    <m/>
    <m/>
    <m/>
    <m/>
    <m/>
    <m/>
    <n v="0"/>
    <n v="46"/>
    <n v="46"/>
    <x v="121"/>
    <x v="0"/>
    <n v="0"/>
    <s v="NO"/>
    <m/>
  </r>
  <r>
    <m/>
    <x v="0"/>
    <s v="KBC"/>
    <x v="0"/>
    <x v="5"/>
    <x v="121"/>
    <n v="1"/>
    <m/>
    <m/>
    <n v="50"/>
    <n v="50"/>
    <m/>
    <m/>
    <m/>
    <m/>
    <n v="50"/>
    <m/>
    <m/>
    <x v="121"/>
    <x v="0"/>
    <n v="0.5617977528089888"/>
    <s v="NO"/>
    <m/>
  </r>
  <r>
    <m/>
    <x v="9"/>
    <s v="KMSS"/>
    <x v="0"/>
    <x v="15"/>
    <x v="122"/>
    <n v="1"/>
    <m/>
    <m/>
    <n v="12"/>
    <n v="12"/>
    <m/>
    <m/>
    <m/>
    <m/>
    <n v="12"/>
    <m/>
    <m/>
    <x v="122"/>
    <x v="0"/>
    <n v="1"/>
    <s v="NO"/>
    <m/>
  </r>
  <r>
    <d v="2013-12-01T00:00:00"/>
    <x v="0"/>
    <s v="Shalom"/>
    <x v="0"/>
    <x v="1"/>
    <x v="123"/>
    <n v="1"/>
    <m/>
    <m/>
    <n v="15"/>
    <n v="15"/>
    <m/>
    <m/>
    <m/>
    <m/>
    <n v="15"/>
    <n v="10"/>
    <m/>
    <x v="123"/>
    <x v="0"/>
    <n v="0.7142857142857143"/>
    <s v="NO"/>
    <m/>
  </r>
  <r>
    <m/>
    <x v="0"/>
    <m/>
    <x v="0"/>
    <x v="1"/>
    <x v="123"/>
    <n v="1"/>
    <m/>
    <m/>
    <n v="40"/>
    <n v="40"/>
    <m/>
    <m/>
    <m/>
    <m/>
    <n v="40"/>
    <m/>
    <m/>
    <x v="123"/>
    <x v="0"/>
    <n v="1.9047619047619047"/>
    <s v="NO"/>
    <m/>
  </r>
  <r>
    <d v="2016-05-12T00:00:00"/>
    <x v="0"/>
    <s v="KBC"/>
    <x v="0"/>
    <x v="5"/>
    <x v="124"/>
    <n v="1"/>
    <m/>
    <m/>
    <m/>
    <m/>
    <m/>
    <m/>
    <m/>
    <m/>
    <n v="0"/>
    <n v="10"/>
    <m/>
    <x v="124"/>
    <x v="0"/>
    <n v="0"/>
    <s v="NO"/>
    <m/>
  </r>
  <r>
    <d v="2016-02-16T00:00:00"/>
    <x v="0"/>
    <s v="KBC"/>
    <x v="0"/>
    <x v="5"/>
    <x v="124"/>
    <n v="1"/>
    <m/>
    <m/>
    <m/>
    <m/>
    <m/>
    <m/>
    <m/>
    <m/>
    <n v="0"/>
    <n v="37"/>
    <n v="37"/>
    <x v="124"/>
    <x v="0"/>
    <n v="0"/>
    <s v="NO"/>
    <m/>
  </r>
  <r>
    <m/>
    <x v="0"/>
    <s v="KBC"/>
    <x v="0"/>
    <x v="5"/>
    <x v="124"/>
    <n v="1"/>
    <m/>
    <m/>
    <n v="60"/>
    <n v="60"/>
    <m/>
    <m/>
    <m/>
    <m/>
    <n v="60"/>
    <m/>
    <m/>
    <x v="124"/>
    <x v="0"/>
    <n v="0.89552238805970152"/>
    <s v="NO"/>
    <m/>
  </r>
  <r>
    <d v="2016-02-16T00:00:00"/>
    <x v="0"/>
    <s v="Shalom"/>
    <x v="0"/>
    <x v="5"/>
    <x v="125"/>
    <n v="1"/>
    <m/>
    <m/>
    <n v="10"/>
    <n v="10"/>
    <m/>
    <m/>
    <m/>
    <m/>
    <n v="10"/>
    <m/>
    <m/>
    <x v="125"/>
    <x v="0"/>
    <n v="0.18518518518518517"/>
    <s v="NO"/>
    <m/>
  </r>
  <r>
    <d v="2014-12-01T00:00:00"/>
    <x v="0"/>
    <s v="Shalom"/>
    <x v="0"/>
    <x v="5"/>
    <x v="125"/>
    <n v="1"/>
    <m/>
    <m/>
    <n v="5"/>
    <n v="5"/>
    <m/>
    <m/>
    <m/>
    <m/>
    <n v="5"/>
    <m/>
    <m/>
    <x v="125"/>
    <x v="0"/>
    <n v="9.2592592592592587E-2"/>
    <s v="NO"/>
    <m/>
  </r>
  <r>
    <d v="2014-06-01T00:00:00"/>
    <x v="0"/>
    <s v="Shalom"/>
    <x v="0"/>
    <x v="5"/>
    <x v="125"/>
    <n v="1"/>
    <m/>
    <m/>
    <n v="10"/>
    <n v="10"/>
    <m/>
    <m/>
    <m/>
    <m/>
    <n v="10"/>
    <m/>
    <m/>
    <x v="125"/>
    <x v="0"/>
    <n v="0.18518518518518517"/>
    <s v="NO"/>
    <m/>
  </r>
  <r>
    <d v="2013-12-01T00:00:00"/>
    <x v="0"/>
    <s v="Shalom"/>
    <x v="0"/>
    <x v="5"/>
    <x v="125"/>
    <n v="1"/>
    <m/>
    <m/>
    <n v="30"/>
    <n v="30"/>
    <m/>
    <m/>
    <m/>
    <m/>
    <n v="30"/>
    <m/>
    <m/>
    <x v="125"/>
    <x v="0"/>
    <n v="0.55555555555555558"/>
    <s v="NO"/>
    <m/>
  </r>
  <r>
    <m/>
    <x v="15"/>
    <s v="Shalom"/>
    <x v="0"/>
    <x v="5"/>
    <x v="125"/>
    <n v="1"/>
    <m/>
    <m/>
    <n v="12"/>
    <n v="12"/>
    <m/>
    <m/>
    <m/>
    <m/>
    <n v="12"/>
    <m/>
    <m/>
    <x v="125"/>
    <x v="0"/>
    <n v="0.22222222222222221"/>
    <s v="NO"/>
    <m/>
  </r>
  <r>
    <m/>
    <x v="0"/>
    <s v="Shalom"/>
    <x v="0"/>
    <x v="5"/>
    <x v="125"/>
    <n v="1"/>
    <m/>
    <m/>
    <n v="40"/>
    <n v="40"/>
    <m/>
    <m/>
    <m/>
    <m/>
    <n v="40"/>
    <m/>
    <m/>
    <x v="125"/>
    <x v="0"/>
    <n v="0.7407407407407407"/>
    <s v="NO"/>
    <m/>
  </r>
  <r>
    <m/>
    <x v="0"/>
    <s v="Shalom"/>
    <x v="0"/>
    <x v="5"/>
    <x v="125"/>
    <n v="1"/>
    <m/>
    <m/>
    <n v="20"/>
    <n v="20"/>
    <m/>
    <m/>
    <m/>
    <m/>
    <n v="20"/>
    <m/>
    <m/>
    <x v="125"/>
    <x v="0"/>
    <n v="0.37037037037037035"/>
    <s v="NO"/>
    <m/>
  </r>
  <r>
    <m/>
    <x v="0"/>
    <s v="Shalom"/>
    <x v="0"/>
    <x v="5"/>
    <x v="126"/>
    <n v="1"/>
    <m/>
    <m/>
    <n v="10"/>
    <n v="10"/>
    <m/>
    <m/>
    <m/>
    <m/>
    <n v="10"/>
    <m/>
    <m/>
    <x v="126"/>
    <x v="0"/>
    <n v="1.6666666666666667"/>
    <s v="NO"/>
    <m/>
  </r>
  <r>
    <m/>
    <x v="0"/>
    <m/>
    <x v="0"/>
    <x v="5"/>
    <x v="126"/>
    <n v="1"/>
    <m/>
    <m/>
    <n v="5"/>
    <n v="5"/>
    <m/>
    <m/>
    <m/>
    <m/>
    <n v="5"/>
    <m/>
    <m/>
    <x v="126"/>
    <x v="0"/>
    <n v="0.83333333333333337"/>
    <s v="NO"/>
    <m/>
  </r>
  <r>
    <d v="2016-05-12T00:00:00"/>
    <x v="0"/>
    <s v="KBC"/>
    <x v="0"/>
    <x v="5"/>
    <x v="127"/>
    <n v="1"/>
    <m/>
    <m/>
    <m/>
    <m/>
    <m/>
    <m/>
    <m/>
    <m/>
    <n v="0"/>
    <n v="5"/>
    <m/>
    <x v="127"/>
    <x v="0"/>
    <n v="0"/>
    <s v="NO"/>
    <m/>
  </r>
  <r>
    <m/>
    <x v="0"/>
    <s v="KBC"/>
    <x v="0"/>
    <x v="5"/>
    <x v="127"/>
    <n v="1"/>
    <m/>
    <m/>
    <n v="20"/>
    <n v="20"/>
    <m/>
    <m/>
    <m/>
    <m/>
    <n v="20"/>
    <m/>
    <m/>
    <x v="127"/>
    <x v="0"/>
    <n v="0.625"/>
    <s v="NO"/>
    <m/>
  </r>
  <r>
    <d v="2016-05-12T00:00:00"/>
    <x v="0"/>
    <s v="KBC"/>
    <x v="0"/>
    <x v="5"/>
    <x v="128"/>
    <n v="1"/>
    <m/>
    <m/>
    <m/>
    <m/>
    <m/>
    <m/>
    <m/>
    <m/>
    <n v="0"/>
    <n v="3"/>
    <m/>
    <x v="128"/>
    <x v="0"/>
    <n v="0"/>
    <s v="NO"/>
    <m/>
  </r>
  <r>
    <m/>
    <x v="7"/>
    <s v="KBC"/>
    <x v="0"/>
    <x v="5"/>
    <x v="128"/>
    <n v="1"/>
    <m/>
    <m/>
    <n v="14"/>
    <n v="14"/>
    <m/>
    <m/>
    <m/>
    <m/>
    <n v="14"/>
    <m/>
    <m/>
    <x v="128"/>
    <x v="0"/>
    <n v="0.32558139534883723"/>
    <s v="NO"/>
    <m/>
  </r>
  <r>
    <m/>
    <x v="0"/>
    <s v="KBC"/>
    <x v="0"/>
    <x v="5"/>
    <x v="128"/>
    <n v="1"/>
    <m/>
    <m/>
    <n v="10"/>
    <n v="10"/>
    <m/>
    <m/>
    <m/>
    <m/>
    <n v="10"/>
    <m/>
    <m/>
    <x v="128"/>
    <x v="0"/>
    <n v="0.23255813953488372"/>
    <s v="NO"/>
    <m/>
  </r>
  <r>
    <m/>
    <x v="0"/>
    <s v="KBC"/>
    <x v="0"/>
    <x v="5"/>
    <x v="128"/>
    <n v="1"/>
    <m/>
    <m/>
    <n v="8"/>
    <n v="8"/>
    <m/>
    <m/>
    <m/>
    <m/>
    <n v="8"/>
    <m/>
    <m/>
    <x v="128"/>
    <x v="0"/>
    <n v="0.18604651162790697"/>
    <s v="NO"/>
    <m/>
  </r>
  <r>
    <d v="2014-12-01T00:00:00"/>
    <x v="0"/>
    <s v="Shalom"/>
    <x v="0"/>
    <x v="2"/>
    <x v="129"/>
    <n v="1"/>
    <m/>
    <m/>
    <n v="5"/>
    <n v="5"/>
    <m/>
    <m/>
    <m/>
    <m/>
    <n v="5"/>
    <m/>
    <m/>
    <x v="129"/>
    <x v="0"/>
    <n v="0.11363636363636363"/>
    <s v="NO"/>
    <m/>
  </r>
  <r>
    <d v="2013-12-01T00:00:00"/>
    <x v="0"/>
    <s v="Shalom"/>
    <x v="0"/>
    <x v="2"/>
    <x v="129"/>
    <n v="1"/>
    <m/>
    <m/>
    <n v="5"/>
    <n v="5"/>
    <m/>
    <m/>
    <m/>
    <m/>
    <n v="5"/>
    <m/>
    <m/>
    <x v="129"/>
    <x v="0"/>
    <n v="0.11363636363636363"/>
    <s v="NO"/>
    <m/>
  </r>
  <r>
    <m/>
    <x v="0"/>
    <s v="Shalom"/>
    <x v="0"/>
    <x v="2"/>
    <x v="129"/>
    <n v="1"/>
    <m/>
    <m/>
    <n v="45"/>
    <n v="45"/>
    <m/>
    <m/>
    <m/>
    <m/>
    <n v="45"/>
    <m/>
    <m/>
    <x v="129"/>
    <x v="0"/>
    <n v="1.0227272727272727"/>
    <s v="NO"/>
    <m/>
  </r>
  <r>
    <m/>
    <x v="5"/>
    <m/>
    <x v="0"/>
    <x v="2"/>
    <x v="129"/>
    <n v="1"/>
    <m/>
    <m/>
    <n v="24"/>
    <n v="24"/>
    <m/>
    <m/>
    <m/>
    <m/>
    <n v="24"/>
    <m/>
    <m/>
    <x v="129"/>
    <x v="0"/>
    <n v="0.54545454545454541"/>
    <s v="NO"/>
    <m/>
  </r>
  <r>
    <m/>
    <x v="0"/>
    <s v="Shalom"/>
    <x v="0"/>
    <x v="1"/>
    <x v="130"/>
    <n v="1"/>
    <m/>
    <m/>
    <n v="6"/>
    <m/>
    <m/>
    <m/>
    <m/>
    <m/>
    <n v="0"/>
    <m/>
    <m/>
    <x v="130"/>
    <x v="1"/>
    <s v=""/>
    <s v="NO"/>
    <m/>
  </r>
  <r>
    <m/>
    <x v="0"/>
    <m/>
    <x v="0"/>
    <x v="1"/>
    <x v="130"/>
    <n v="1"/>
    <m/>
    <m/>
    <n v="5"/>
    <m/>
    <m/>
    <m/>
    <m/>
    <m/>
    <n v="0"/>
    <m/>
    <m/>
    <x v="130"/>
    <x v="1"/>
    <s v=""/>
    <s v="NO"/>
    <m/>
  </r>
  <r>
    <d v="2013-12-01T00:00:00"/>
    <x v="0"/>
    <s v="Shalom"/>
    <x v="0"/>
    <x v="2"/>
    <x v="131"/>
    <n v="1"/>
    <m/>
    <m/>
    <n v="6"/>
    <n v="6"/>
    <m/>
    <m/>
    <m/>
    <m/>
    <n v="6"/>
    <m/>
    <m/>
    <x v="131"/>
    <x v="0"/>
    <n v="8.5714285714285715E-2"/>
    <s v="NO"/>
    <m/>
  </r>
  <r>
    <m/>
    <x v="0"/>
    <s v="Shalom"/>
    <x v="0"/>
    <x v="2"/>
    <x v="131"/>
    <n v="1"/>
    <m/>
    <m/>
    <n v="34"/>
    <n v="34"/>
    <m/>
    <m/>
    <m/>
    <m/>
    <n v="34"/>
    <m/>
    <m/>
    <x v="131"/>
    <x v="0"/>
    <n v="0.48571428571428571"/>
    <s v="NO"/>
    <m/>
  </r>
  <r>
    <m/>
    <x v="5"/>
    <m/>
    <x v="0"/>
    <x v="2"/>
    <x v="131"/>
    <n v="1"/>
    <m/>
    <m/>
    <n v="15"/>
    <n v="15"/>
    <m/>
    <m/>
    <m/>
    <m/>
    <n v="15"/>
    <m/>
    <m/>
    <x v="131"/>
    <x v="0"/>
    <n v="0.21428571428571427"/>
    <s v="NO"/>
    <m/>
  </r>
  <r>
    <m/>
    <x v="0"/>
    <s v="KBC"/>
    <x v="0"/>
    <x v="2"/>
    <x v="132"/>
    <n v="1"/>
    <m/>
    <m/>
    <n v="10"/>
    <n v="10"/>
    <m/>
    <m/>
    <m/>
    <m/>
    <n v="0"/>
    <m/>
    <m/>
    <x v="132"/>
    <x v="1"/>
    <s v=""/>
    <s v="NO"/>
    <m/>
  </r>
  <r>
    <m/>
    <x v="0"/>
    <m/>
    <x v="0"/>
    <x v="2"/>
    <x v="132"/>
    <n v="1"/>
    <m/>
    <m/>
    <n v="5"/>
    <n v="5"/>
    <m/>
    <m/>
    <m/>
    <m/>
    <n v="0"/>
    <m/>
    <m/>
    <x v="132"/>
    <x v="1"/>
    <s v=""/>
    <s v="NO"/>
    <m/>
  </r>
  <r>
    <m/>
    <x v="5"/>
    <m/>
    <x v="0"/>
    <x v="2"/>
    <x v="132"/>
    <n v="1"/>
    <m/>
    <m/>
    <n v="10"/>
    <n v="10"/>
    <m/>
    <m/>
    <m/>
    <m/>
    <n v="0"/>
    <m/>
    <m/>
    <x v="132"/>
    <x v="1"/>
    <s v=""/>
    <s v="NO"/>
    <m/>
  </r>
  <r>
    <m/>
    <x v="0"/>
    <s v="KMSS"/>
    <x v="0"/>
    <x v="0"/>
    <x v="133"/>
    <n v="1"/>
    <m/>
    <m/>
    <m/>
    <m/>
    <m/>
    <m/>
    <m/>
    <m/>
    <n v="0"/>
    <n v="14"/>
    <m/>
    <x v="133"/>
    <x v="1"/>
    <s v=""/>
    <s v="NO"/>
    <m/>
  </r>
  <r>
    <d v="2013-12-01T00:00:00"/>
    <x v="0"/>
    <s v="KBC"/>
    <x v="0"/>
    <x v="0"/>
    <x v="134"/>
    <n v="1"/>
    <m/>
    <m/>
    <n v="15"/>
    <n v="15"/>
    <m/>
    <m/>
    <m/>
    <m/>
    <n v="15"/>
    <m/>
    <m/>
    <x v="134"/>
    <x v="0"/>
    <n v="0.42857142857142855"/>
    <s v="NO"/>
    <m/>
  </r>
  <r>
    <m/>
    <x v="1"/>
    <m/>
    <x v="0"/>
    <x v="0"/>
    <x v="134"/>
    <n v="1"/>
    <n v="7"/>
    <n v="7"/>
    <m/>
    <m/>
    <m/>
    <m/>
    <m/>
    <m/>
    <n v="0"/>
    <m/>
    <m/>
    <x v="134"/>
    <x v="0"/>
    <n v="0"/>
    <s v="NO"/>
    <m/>
  </r>
  <r>
    <m/>
    <x v="1"/>
    <m/>
    <x v="0"/>
    <x v="0"/>
    <x v="135"/>
    <n v="1"/>
    <n v="47"/>
    <n v="47"/>
    <m/>
    <m/>
    <m/>
    <m/>
    <m/>
    <m/>
    <n v="0"/>
    <m/>
    <m/>
    <x v="113"/>
    <x v="2"/>
    <s v=""/>
    <s v="NO"/>
    <m/>
  </r>
  <r>
    <d v="2013-12-01T00:00:00"/>
    <x v="0"/>
    <s v="KMSS"/>
    <x v="0"/>
    <x v="2"/>
    <x v="136"/>
    <n v="1"/>
    <m/>
    <m/>
    <n v="160"/>
    <n v="160"/>
    <m/>
    <m/>
    <m/>
    <m/>
    <n v="160"/>
    <m/>
    <m/>
    <x v="135"/>
    <x v="0"/>
    <n v="0.11808118081180811"/>
    <s v="NO"/>
    <m/>
  </r>
  <r>
    <m/>
    <x v="6"/>
    <m/>
    <x v="0"/>
    <x v="2"/>
    <x v="136"/>
    <n v="1"/>
    <m/>
    <m/>
    <n v="300"/>
    <m/>
    <m/>
    <m/>
    <m/>
    <m/>
    <n v="0"/>
    <m/>
    <m/>
    <x v="135"/>
    <x v="0"/>
    <n v="0"/>
    <s v="NO"/>
    <m/>
  </r>
  <r>
    <m/>
    <x v="0"/>
    <s v="Shalom"/>
    <x v="0"/>
    <x v="5"/>
    <x v="137"/>
    <n v="1"/>
    <m/>
    <m/>
    <n v="24"/>
    <n v="24"/>
    <m/>
    <m/>
    <m/>
    <m/>
    <n v="24"/>
    <m/>
    <m/>
    <x v="136"/>
    <x v="0"/>
    <n v="3.4285714285714284"/>
    <s v="NO"/>
    <m/>
  </r>
  <r>
    <d v="2013-12-01T00:00:00"/>
    <x v="0"/>
    <m/>
    <x v="0"/>
    <x v="1"/>
    <x v="138"/>
    <n v="1"/>
    <m/>
    <m/>
    <n v="5"/>
    <n v="5"/>
    <m/>
    <m/>
    <m/>
    <m/>
    <n v="5"/>
    <m/>
    <m/>
    <x v="137"/>
    <x v="0"/>
    <n v="0.33333333333333331"/>
    <s v="NO"/>
    <m/>
  </r>
  <r>
    <m/>
    <x v="6"/>
    <m/>
    <x v="0"/>
    <x v="1"/>
    <x v="138"/>
    <n v="1"/>
    <m/>
    <m/>
    <n v="30"/>
    <n v="30"/>
    <m/>
    <m/>
    <m/>
    <m/>
    <n v="30"/>
    <m/>
    <m/>
    <x v="137"/>
    <x v="0"/>
    <n v="2"/>
    <s v="NO"/>
    <m/>
  </r>
  <r>
    <m/>
    <x v="0"/>
    <s v="Metta"/>
    <x v="0"/>
    <x v="1"/>
    <x v="138"/>
    <n v="1"/>
    <m/>
    <m/>
    <n v="12"/>
    <n v="12"/>
    <m/>
    <m/>
    <m/>
    <m/>
    <n v="12"/>
    <m/>
    <m/>
    <x v="137"/>
    <x v="0"/>
    <n v="0.8"/>
    <s v="NO"/>
    <m/>
  </r>
  <r>
    <m/>
    <x v="0"/>
    <s v="Shalom"/>
    <x v="0"/>
    <x v="1"/>
    <x v="138"/>
    <n v="1"/>
    <m/>
    <m/>
    <n v="10"/>
    <n v="10"/>
    <m/>
    <m/>
    <m/>
    <m/>
    <n v="10"/>
    <m/>
    <m/>
    <x v="137"/>
    <x v="0"/>
    <n v="0.66666666666666663"/>
    <s v="NO"/>
    <m/>
  </r>
  <r>
    <m/>
    <x v="0"/>
    <m/>
    <x v="0"/>
    <x v="1"/>
    <x v="138"/>
    <n v="1"/>
    <m/>
    <m/>
    <n v="6"/>
    <m/>
    <m/>
    <m/>
    <m/>
    <m/>
    <n v="0"/>
    <m/>
    <m/>
    <x v="137"/>
    <x v="0"/>
    <n v="0"/>
    <s v="NO"/>
    <m/>
  </r>
  <r>
    <m/>
    <x v="0"/>
    <s v="Shalom"/>
    <x v="0"/>
    <x v="0"/>
    <x v="139"/>
    <n v="1"/>
    <m/>
    <m/>
    <n v="10"/>
    <n v="10"/>
    <m/>
    <m/>
    <m/>
    <m/>
    <n v="10"/>
    <m/>
    <m/>
    <x v="138"/>
    <x v="0"/>
    <n v="0.83333333333333337"/>
    <s v="NO"/>
    <m/>
  </r>
  <r>
    <d v="2016-05-12T00:00:00"/>
    <x v="0"/>
    <s v="KBC"/>
    <x v="0"/>
    <x v="2"/>
    <x v="140"/>
    <n v="1"/>
    <m/>
    <m/>
    <m/>
    <m/>
    <m/>
    <m/>
    <m/>
    <m/>
    <n v="0"/>
    <n v="40"/>
    <m/>
    <x v="139"/>
    <x v="0"/>
    <n v="0"/>
    <s v="NO"/>
    <m/>
  </r>
  <r>
    <d v="2016-02-16T00:00:00"/>
    <x v="0"/>
    <s v="KBC"/>
    <x v="0"/>
    <x v="2"/>
    <x v="140"/>
    <n v="1"/>
    <m/>
    <m/>
    <m/>
    <m/>
    <m/>
    <m/>
    <m/>
    <m/>
    <n v="0"/>
    <n v="8"/>
    <n v="8"/>
    <x v="139"/>
    <x v="0"/>
    <n v="0"/>
    <s v="NO"/>
    <m/>
  </r>
  <r>
    <d v="2013-12-01T00:00:00"/>
    <x v="0"/>
    <s v="KBC"/>
    <x v="0"/>
    <x v="2"/>
    <x v="140"/>
    <n v="1"/>
    <m/>
    <m/>
    <n v="76"/>
    <n v="76"/>
    <m/>
    <m/>
    <m/>
    <m/>
    <n v="76"/>
    <m/>
    <m/>
    <x v="139"/>
    <x v="0"/>
    <n v="0.12582781456953643"/>
    <s v="NO"/>
    <m/>
  </r>
  <r>
    <m/>
    <x v="8"/>
    <s v="KBC"/>
    <x v="0"/>
    <x v="2"/>
    <x v="140"/>
    <n v="1"/>
    <m/>
    <m/>
    <n v="220"/>
    <n v="220"/>
    <m/>
    <m/>
    <m/>
    <m/>
    <n v="220"/>
    <m/>
    <m/>
    <x v="139"/>
    <x v="0"/>
    <n v="0.36423841059602646"/>
    <s v="NO"/>
    <m/>
  </r>
  <r>
    <d v="2016-07-18T00:00:00"/>
    <x v="5"/>
    <s v="KBC"/>
    <x v="0"/>
    <x v="2"/>
    <x v="140"/>
    <n v="1"/>
    <m/>
    <m/>
    <m/>
    <m/>
    <m/>
    <m/>
    <m/>
    <m/>
    <n v="0"/>
    <n v="40"/>
    <n v="40"/>
    <x v="139"/>
    <x v="0"/>
    <n v="0"/>
    <s v="NO"/>
    <m/>
  </r>
  <r>
    <m/>
    <x v="0"/>
    <s v="KBC"/>
    <x v="0"/>
    <x v="2"/>
    <x v="140"/>
    <n v="1"/>
    <m/>
    <m/>
    <n v="325"/>
    <n v="325"/>
    <m/>
    <m/>
    <m/>
    <m/>
    <n v="325"/>
    <m/>
    <m/>
    <x v="139"/>
    <x v="0"/>
    <n v="0.53807947019867552"/>
    <s v="NO"/>
    <m/>
  </r>
  <r>
    <d v="2016-02-16T00:00:00"/>
    <x v="6"/>
    <m/>
    <x v="1"/>
    <x v="8"/>
    <x v="141"/>
    <n v="1"/>
    <m/>
    <m/>
    <n v="16"/>
    <n v="16"/>
    <m/>
    <m/>
    <m/>
    <m/>
    <n v="16"/>
    <m/>
    <m/>
    <x v="140"/>
    <x v="0"/>
    <n v="7.9207920792079209E-2"/>
    <s v="NO"/>
    <m/>
  </r>
  <r>
    <m/>
    <x v="10"/>
    <s v="MDCG"/>
    <x v="1"/>
    <x v="8"/>
    <x v="141"/>
    <n v="1"/>
    <m/>
    <m/>
    <n v="85"/>
    <n v="85"/>
    <m/>
    <m/>
    <m/>
    <m/>
    <n v="85"/>
    <m/>
    <m/>
    <x v="140"/>
    <x v="0"/>
    <n v="0.42079207920792078"/>
    <s v="NO"/>
    <m/>
  </r>
  <r>
    <m/>
    <x v="0"/>
    <m/>
    <x v="0"/>
    <x v="0"/>
    <x v="142"/>
    <n v="1"/>
    <n v="30"/>
    <n v="30"/>
    <m/>
    <m/>
    <m/>
    <m/>
    <m/>
    <m/>
    <n v="0"/>
    <m/>
    <m/>
    <x v="113"/>
    <x v="2"/>
    <s v=""/>
    <s v="NO"/>
    <m/>
  </r>
  <r>
    <m/>
    <x v="8"/>
    <s v="KBC"/>
    <x v="0"/>
    <x v="5"/>
    <x v="142"/>
    <n v="1"/>
    <m/>
    <m/>
    <n v="15"/>
    <n v="15"/>
    <m/>
    <m/>
    <m/>
    <m/>
    <n v="0"/>
    <m/>
    <m/>
    <x v="113"/>
    <x v="2"/>
    <s v=""/>
    <s v="NO"/>
    <m/>
  </r>
  <r>
    <m/>
    <x v="0"/>
    <m/>
    <x v="0"/>
    <x v="10"/>
    <x v="142"/>
    <n v="1"/>
    <n v="55"/>
    <n v="55"/>
    <m/>
    <m/>
    <m/>
    <m/>
    <m/>
    <m/>
    <n v="0"/>
    <m/>
    <m/>
    <x v="113"/>
    <x v="2"/>
    <s v=""/>
    <s v="NO"/>
    <m/>
  </r>
</pivotCacheRecords>
</file>

<file path=xl/pivotCache/pivotCacheRecords3.xml><?xml version="1.0" encoding="utf-8"?>
<pivotCacheRecords xmlns="http://schemas.openxmlformats.org/spreadsheetml/2006/main" xmlns:r="http://schemas.openxmlformats.org/officeDocument/2006/relationships" count="252">
  <r>
    <x v="0"/>
    <x v="0"/>
    <s v="MMR001"/>
    <s v="Myitkyina"/>
    <s v="MMR001D001"/>
    <x v="0"/>
    <s v="MMR001001"/>
    <s v="Myitkyina Town"/>
    <s v="MMR001001701"/>
    <s v="Tat Kone Ward"/>
    <s v="MMR001001701520"/>
    <x v="0"/>
    <x v="0"/>
    <x v="0"/>
    <n v="25.415482000000001"/>
    <n v="0"/>
    <n v="67"/>
    <n v="365"/>
    <n v="5.4477611940298507"/>
    <x v="0"/>
    <x v="0"/>
    <x v="0"/>
    <x v="0"/>
    <d v="2011-06-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Checked with KBC data"/>
    <s v="P4"/>
    <n v="7"/>
    <m/>
    <n v="7"/>
    <s v="Myitkyina Town"/>
    <n v="3.1341427522963001"/>
    <n v="1"/>
  </r>
  <r>
    <x v="0"/>
    <x v="0"/>
    <s v="MMR001"/>
    <s v="Myitkyina"/>
    <s v="MMR001D001"/>
    <x v="0"/>
    <s v="MMR001001"/>
    <s v="Myitkyina Town"/>
    <s v="MMR001001701"/>
    <s v="N Jang Dung"/>
    <m/>
    <x v="1"/>
    <x v="1"/>
    <x v="1"/>
    <n v="25.422194000000001"/>
    <n v="0"/>
    <n v="60"/>
    <n v="256"/>
    <n v="4.2666666666666666"/>
    <x v="0"/>
    <x v="0"/>
    <x v="0"/>
    <x v="0"/>
    <d v="2011-06-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Checked with KBC data"/>
    <s v="P4"/>
    <n v="8"/>
    <m/>
    <n v="8"/>
    <s v="Myitkyina Town"/>
    <n v="3.8820329084732181"/>
    <n v="1"/>
  </r>
  <r>
    <x v="0"/>
    <x v="0"/>
    <s v="MMR001"/>
    <s v="Myitkyina"/>
    <s v="MMR001D001"/>
    <x v="0"/>
    <s v="MMR001001"/>
    <s v="Myitkyina Town"/>
    <s v="MMR001001701"/>
    <s v="Tat Kone Ward"/>
    <s v="MMR001001701520"/>
    <x v="2"/>
    <x v="2"/>
    <x v="2"/>
    <n v="25.404752999999999"/>
    <n v="0"/>
    <n v="32"/>
    <n v="160"/>
    <n v="5"/>
    <x v="0"/>
    <x v="0"/>
    <x v="0"/>
    <x v="0"/>
    <d v="2011-07-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19-Aug-15 Update pouplation from KBC_x000a_25-Jun-2015 Update population from KBC._x000a_Update population according to KBC data"/>
    <s v="P4"/>
    <n v="12"/>
    <m/>
    <n v="12"/>
    <s v="Myitkyina Town"/>
    <n v="2.3045478259125423"/>
    <n v="1"/>
  </r>
  <r>
    <x v="0"/>
    <x v="0"/>
    <s v="MMR001"/>
    <s v="Myitkyina"/>
    <s v="MMR001D001"/>
    <x v="0"/>
    <s v="MMR001001"/>
    <s v="Myitkyina Town"/>
    <s v="MMR001001701"/>
    <s v="Tat Kone Ward"/>
    <s v="MMR001001701520"/>
    <x v="3"/>
    <x v="3"/>
    <x v="3"/>
    <n v="25.417733999999999"/>
    <n v="0"/>
    <n v="6"/>
    <n v="29"/>
    <n v="4.833333333333333"/>
    <x v="0"/>
    <x v="0"/>
    <x v="0"/>
    <x v="0"/>
    <d v="2011-08-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2015 Update population. Source : Shalom._x000a_Population update: Source: Camp Profile Round 2."/>
    <s v="P4"/>
    <n v="0"/>
    <m/>
    <n v="0"/>
    <s v="Myitkyina Town"/>
    <n v="3.3637010801853577"/>
    <n v="1"/>
  </r>
  <r>
    <x v="0"/>
    <x v="0"/>
    <s v="MMR001"/>
    <s v="Myitkyina"/>
    <s v="MMR001D001"/>
    <x v="0"/>
    <s v="MMR001001"/>
    <s v="Myitkyina Town"/>
    <s v="MMR001001701"/>
    <s v="Tat Kone Ward"/>
    <s v="MMR001001701520"/>
    <x v="4"/>
    <x v="4"/>
    <x v="4"/>
    <n v="25.404015000000001"/>
    <n v="0"/>
    <n v="43"/>
    <n v="225"/>
    <n v="5.2325581395348841"/>
    <x v="0"/>
    <x v="0"/>
    <x v="0"/>
    <x v="0"/>
    <d v="2011-10-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15 Update population from KBC._x000a_25-Jun-2015 Update population from KBC._x000a_Checked with KBC data"/>
    <s v="P4"/>
    <n v="11"/>
    <m/>
    <n v="11"/>
    <s v="Myitkyina Town"/>
    <n v="2.0123527499589278"/>
    <n v="1"/>
  </r>
  <r>
    <x v="0"/>
    <x v="0"/>
    <s v="MMR001"/>
    <s v="Myitkyina"/>
    <s v="MMR001D001"/>
    <x v="0"/>
    <s v="MMR001001"/>
    <s v="Myitkyina Town"/>
    <s v="MMR001001701"/>
    <s v="Si Tar Pu Ward"/>
    <s v="MMR001001701521"/>
    <x v="5"/>
    <x v="5"/>
    <x v="5"/>
    <n v="25.412313000000001"/>
    <n v="0"/>
    <n v="90"/>
    <n v="394"/>
    <n v="4.3777777777777782"/>
    <x v="0"/>
    <x v="0"/>
    <x v="0"/>
    <x v="0"/>
    <d v="2011-08-01T00:00:00"/>
    <n v="2"/>
    <x v="0"/>
    <s v="IP"/>
    <m/>
    <d v="2016-07-18T00:00:00"/>
    <s v="18/Jul/2016: Population updte. Data source: KBC_x000a_15/Jun/2016: Population update. Data source: monthly report by KBC_x000a_28/Jan/2016. Population update. Data source: KBC (mail by maran)_x000a_2/Dec/2015. Population update. Data source: KBC._x000a_19-Aug-2015 Update population from KBC._x000a_25-Jun-2015 Update population from KBC._x000a_Update population according to KBC data"/>
    <s v="P4"/>
    <n v="26"/>
    <m/>
    <n v="26"/>
    <s v="Myitkyina Town"/>
    <n v="2.9133254097712102"/>
    <n v="1"/>
  </r>
  <r>
    <x v="0"/>
    <x v="0"/>
    <s v="MMR001"/>
    <s v="Myitkyina"/>
    <s v="MMR001D001"/>
    <x v="0"/>
    <s v="MMR001001"/>
    <s v="Myitkyina Town"/>
    <s v="MMR001001701"/>
    <s v="Si Tar Pu Ward"/>
    <s v="MMR001001701521"/>
    <x v="6"/>
    <x v="6"/>
    <x v="6"/>
    <n v="25.423817"/>
    <n v="0"/>
    <n v="22"/>
    <n v="111"/>
    <n v="5.0454545454545459"/>
    <x v="0"/>
    <x v="0"/>
    <x v="0"/>
    <x v="0"/>
    <d v="2012-01-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Shalom._x000a_Population update: Source: Camp Profile Round 2."/>
    <s v="P4"/>
    <n v="22"/>
    <m/>
    <n v="22"/>
    <s v="Myitkyina Town"/>
    <n v="4.9021696969220816"/>
    <n v="1"/>
  </r>
  <r>
    <x v="0"/>
    <x v="0"/>
    <s v="MMR001"/>
    <s v="Myitkyina"/>
    <s v="MMR001D001"/>
    <x v="0"/>
    <s v="MMR001001"/>
    <s v="Myitkyina Town"/>
    <s v="MMR001001701"/>
    <s v="Man Khein Ward"/>
    <s v="MMR001001701519"/>
    <x v="7"/>
    <x v="7"/>
    <x v="7"/>
    <n v="25.428910999999999"/>
    <n v="0"/>
    <n v="99"/>
    <n v="537"/>
    <n v="5.4242424242424239"/>
    <x v="0"/>
    <x v="0"/>
    <x v="0"/>
    <x v="0"/>
    <d v="2011-07-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19"/>
    <m/>
    <n v="19"/>
    <s v="Myitkyina Town"/>
    <n v="5.4145379230647226"/>
    <n v="2"/>
  </r>
  <r>
    <x v="0"/>
    <x v="0"/>
    <s v="MMR001"/>
    <s v="Myitkyina"/>
    <s v="MMR001D001"/>
    <x v="0"/>
    <s v="MMR001001"/>
    <s v="Myitkyina Town"/>
    <s v="MMR001001701"/>
    <s v="Shwe Set Ward"/>
    <s v="MMR001001701518"/>
    <x v="8"/>
    <x v="8"/>
    <x v="8"/>
    <n v="25.440928"/>
    <n v="0"/>
    <n v="89"/>
    <n v="492"/>
    <n v="5.5280898876404496"/>
    <x v="0"/>
    <x v="0"/>
    <x v="0"/>
    <x v="0"/>
    <d v="2011-07-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 Update population from KBC._x000a_25-Jun-2015 Update population from KBC._x000a_Update population according to KBC data"/>
    <s v="P4"/>
    <n v="39"/>
    <m/>
    <n v="39"/>
    <s v="Myitkyina Town"/>
    <n v="6.6198004689728469"/>
    <n v="2"/>
  </r>
  <r>
    <x v="0"/>
    <x v="0"/>
    <s v="MMR001"/>
    <s v="Myitkyina"/>
    <s v="MMR001D001"/>
    <x v="0"/>
    <s v="MMR001001"/>
    <s v="Myitkyina Town"/>
    <s v="MMR001001701"/>
    <s v="Du Ka Htaung Ward"/>
    <s v="MMR001001701504"/>
    <x v="9"/>
    <x v="9"/>
    <x v="9"/>
    <n v="25.3959740909091"/>
    <n v="0"/>
    <n v="6"/>
    <n v="39"/>
    <n v="6.5"/>
    <x v="0"/>
    <x v="0"/>
    <x v="0"/>
    <x v="0"/>
    <d v="2011-06-01T00:00:00"/>
    <m/>
    <x v="0"/>
    <s v="RRD"/>
    <m/>
    <m/>
    <s v=" "/>
    <s v="P4"/>
    <n v="0"/>
    <m/>
    <n v="0"/>
    <s v="Myitkyina Town"/>
    <n v="1.1985969617964649"/>
    <n v="1"/>
  </r>
  <r>
    <x v="0"/>
    <x v="0"/>
    <s v="MMR001"/>
    <s v="Myitkyina"/>
    <s v="MMR001D001"/>
    <x v="0"/>
    <s v="MMR001001"/>
    <s v="Myitkyina Town"/>
    <s v="MMR001001701"/>
    <s v="Du Ka Htaung Ward"/>
    <s v="MMR001001701504"/>
    <x v="10"/>
    <x v="10"/>
    <x v="10"/>
    <n v="25.396492500000001"/>
    <n v="0"/>
    <n v="44"/>
    <n v="212"/>
    <n v="4.8181818181818183"/>
    <x v="0"/>
    <x v="0"/>
    <x v="0"/>
    <x v="0"/>
    <d v="2011-06-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Update population according to KBC data"/>
    <s v="P4"/>
    <n v="41"/>
    <m/>
    <n v="41"/>
    <s v="Myitkyina Town"/>
    <n v="1.3510454549069482"/>
    <n v="1"/>
  </r>
  <r>
    <x v="0"/>
    <x v="0"/>
    <s v="MMR001"/>
    <s v="Myitkyina"/>
    <s v="MMR001D001"/>
    <x v="0"/>
    <s v="MMR001001"/>
    <s v="Myitkyina Town"/>
    <s v="MMR001001701"/>
    <s v="Du Ka Htaung Ward"/>
    <s v="MMR001001701504"/>
    <x v="11"/>
    <x v="11"/>
    <x v="11"/>
    <n v="25.4002701851852"/>
    <n v="0"/>
    <n v="6"/>
    <n v="28"/>
    <n v="4.666666666666667"/>
    <x v="0"/>
    <x v="0"/>
    <x v="0"/>
    <x v="0"/>
    <d v="2011-06-01T00:00:00"/>
    <m/>
    <x v="0"/>
    <s v="RRD"/>
    <m/>
    <m/>
    <s v=" "/>
    <s v="P4"/>
    <n v="3"/>
    <m/>
    <n v="3"/>
    <s v="Myitkyina Town"/>
    <n v="1.5295244799681529"/>
    <n v="1"/>
  </r>
  <r>
    <x v="0"/>
    <x v="0"/>
    <s v="MMR001"/>
    <s v="Myitkyina"/>
    <s v="MMR001D001"/>
    <x v="0"/>
    <s v="MMR001001"/>
    <s v="Myitkyina Town"/>
    <s v="MMR001001701"/>
    <s v="Kyun Pin Thar Ward"/>
    <s v="MMR001001701510"/>
    <x v="12"/>
    <x v="12"/>
    <x v="12"/>
    <n v="25.3660036111111"/>
    <n v="0"/>
    <n v="44"/>
    <n v="194"/>
    <n v="4.4090909090909092"/>
    <x v="0"/>
    <x v="0"/>
    <x v="0"/>
    <x v="0"/>
    <d v="2012-01-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2015 Update population from KBC._x000a_25-Jun-2015 Update population from KBC._x000a_Update population according to KBC data"/>
    <s v="P4"/>
    <n v="39"/>
    <m/>
    <n v="39"/>
    <s v="Myitkyina Town"/>
    <n v="2.8164250706222882"/>
    <n v="1"/>
  </r>
  <r>
    <x v="0"/>
    <x v="0"/>
    <s v="MMR001"/>
    <s v="Myitkyina"/>
    <s v="MMR001D001"/>
    <x v="0"/>
    <s v="MMR001001"/>
    <s v="Myitkyina Town"/>
    <s v="MMR001001701"/>
    <s v="Lel Kone Ward"/>
    <s v="MMR001001701525"/>
    <x v="13"/>
    <x v="13"/>
    <x v="13"/>
    <n v="25.3510167948718"/>
    <n v="0"/>
    <n v="138"/>
    <n v="697"/>
    <n v="5.0507246376811592"/>
    <x v="0"/>
    <x v="0"/>
    <x v="0"/>
    <x v="0"/>
    <d v="2011-06-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19-Aug-15 Update population from KBC._x000a_Update population according to KBC data"/>
    <s v="P4"/>
    <n v="13"/>
    <m/>
    <n v="13"/>
    <s v="Myitkyina Town"/>
    <n v="4.262018365878137"/>
    <n v="1"/>
  </r>
  <r>
    <x v="0"/>
    <x v="0"/>
    <s v="MMR001"/>
    <s v="Myitkyina"/>
    <s v="MMR001D001"/>
    <x v="0"/>
    <s v="MMR001001"/>
    <s v="Myitkyina Town"/>
    <s v="MMR001001701"/>
    <s v="Lel Kone Ward"/>
    <s v="MMR001001701525"/>
    <x v="14"/>
    <x v="14"/>
    <x v="14"/>
    <n v="25.362420757575801"/>
    <n v="0"/>
    <n v="96"/>
    <n v="544"/>
    <n v="5.666666666666667"/>
    <x v="0"/>
    <x v="0"/>
    <x v="0"/>
    <x v="0"/>
    <d v="2011-03-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72"/>
    <m/>
    <n v="72"/>
    <s v="Myitkyina Town"/>
    <n v="3.3602711423118103"/>
    <n v="1"/>
  </r>
  <r>
    <x v="0"/>
    <x v="0"/>
    <s v="MMR001"/>
    <s v="Myitkyina"/>
    <s v="MMR001D001"/>
    <x v="0"/>
    <s v="MMR001001"/>
    <s v="Myitkyina Town"/>
    <s v="MMR001001701"/>
    <s v="Maliyang Ward"/>
    <m/>
    <x v="15"/>
    <x v="15"/>
    <x v="15"/>
    <n v="25.360463124999999"/>
    <n v="0"/>
    <n v="60"/>
    <n v="293"/>
    <n v="4.8833333333333337"/>
    <x v="0"/>
    <x v="0"/>
    <x v="0"/>
    <x v="0"/>
    <d v="2011-08-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Update population according to KBC data"/>
    <s v="P4"/>
    <n v="40"/>
    <m/>
    <n v="40"/>
    <s v="Waingmaw Town"/>
    <n v="3.3362307375127798"/>
    <n v="1"/>
  </r>
  <r>
    <x v="1"/>
    <x v="0"/>
    <s v="MMR001"/>
    <s v="Myitkyina"/>
    <s v="MMR001D001"/>
    <x v="0"/>
    <s v="MMR001001"/>
    <s v="Myitkyina Town"/>
    <s v="MMR001001701"/>
    <s v="Myay Myint Ward"/>
    <s v="MMR001001701517"/>
    <x v="16"/>
    <x v="16"/>
    <x v="16"/>
    <n v="25.387862999999999"/>
    <n v="0"/>
    <n v="0"/>
    <n v="0"/>
    <s v="NA"/>
    <x v="0"/>
    <x v="0"/>
    <x v="0"/>
    <x v="0"/>
    <d v="2011-10-01T00:00:00"/>
    <n v="1"/>
    <x v="1"/>
    <s v="IP"/>
    <m/>
    <d v="2015-06-25T00:00:00"/>
    <s v="25-Jun-15 Relocate to Shatapru Thida Aye Baptist Church_x000a_Population update: Source: Camp Profile Round 2."/>
    <s v="P4"/>
    <n v="0"/>
    <m/>
    <n v="0"/>
    <s v="Myitkyina Town"/>
    <n v="1.3751794210741128"/>
    <n v="1"/>
  </r>
  <r>
    <x v="0"/>
    <x v="0"/>
    <s v="MMR001"/>
    <s v="Myitkyina"/>
    <s v="MMR001D001"/>
    <x v="0"/>
    <s v="MMR001001"/>
    <s v="Myitkyina Town"/>
    <s v="MMR001001701"/>
    <s v="Jan Mai Kawng"/>
    <m/>
    <x v="17"/>
    <x v="17"/>
    <x v="17"/>
    <n v="25.403476999999999"/>
    <n v="0"/>
    <n v="198"/>
    <n v="1084"/>
    <n v="5.4747474747474749"/>
    <x v="0"/>
    <x v="0"/>
    <x v="0"/>
    <x v="0"/>
    <d v="2011-07-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from KBC._x000a_Checked with KBC data"/>
    <s v="P4"/>
    <n v="38"/>
    <m/>
    <n v="38"/>
    <s v="Myitkyina Town"/>
    <n v="2.4647367211404561"/>
    <n v="1"/>
  </r>
  <r>
    <x v="0"/>
    <x v="0"/>
    <s v="MMR001"/>
    <s v="Myitkyina"/>
    <s v="MMR001D001"/>
    <x v="0"/>
    <s v="MMR001001"/>
    <s v="Myitkyina Town"/>
    <s v="MMR001001701"/>
    <s v="Jan Mai Kawng"/>
    <m/>
    <x v="18"/>
    <x v="18"/>
    <x v="18"/>
    <n v="25.401061110000001"/>
    <m/>
    <n v="101"/>
    <n v="451"/>
    <n v="4.4653465346534658"/>
    <x v="0"/>
    <x v="0"/>
    <x v="0"/>
    <x v="0"/>
    <d v="2011-07-01T00:00:00"/>
    <n v="3"/>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Dec/2015 (Population update. Data source: Monthly report by KMSS_MYT). Reason for pop changes; Arrived at the camp from daily work._x000a_23-Oct-15 (Population update. Data source: Monthly report by KMSS-MYT). Reason for changes; Arrive from the Daily Work._x000a_2 Oct 15 (Population update. Data Source: KMSS-MYT)_x000a_19-Aug-15 (Population update. Data Source: KMSS-MYT)_x000a_25-Jun-15 (Population update. Source : KMSS-MYT)_x000a_Population Update. Source: KMSS-MYT"/>
    <s v="P4"/>
    <n v="21"/>
    <m/>
    <n v="21"/>
    <s v="Myitkyina Town"/>
    <n v="1.8563710010113432"/>
    <n v="1"/>
  </r>
  <r>
    <x v="0"/>
    <x v="1"/>
    <s v="MMR015"/>
    <s v="Muse"/>
    <s v="MMR015D002"/>
    <x v="1"/>
    <s v="MMR015010"/>
    <s v="Nawng Hkam"/>
    <s v="MMR015010010"/>
    <s v="Nawng Hkam"/>
    <n v="208353"/>
    <x v="19"/>
    <x v="19"/>
    <x v="19"/>
    <n v="23.828520000000001"/>
    <n v="740"/>
    <n v="68"/>
    <n v="380"/>
    <n v="5.5882352941176467"/>
    <x v="0"/>
    <x v="0"/>
    <x v="0"/>
    <x v="0"/>
    <d v="2011-12-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3"/>
    <n v="38"/>
    <m/>
    <n v="38"/>
    <s v="Namhkan Town"/>
    <n v="1.5619149693996526"/>
    <n v="1"/>
  </r>
  <r>
    <x v="0"/>
    <x v="0"/>
    <s v="MMR001"/>
    <s v="Myitkyina"/>
    <s v="MMR001D001"/>
    <x v="0"/>
    <s v="MMR001001"/>
    <s v="Maw Hpawng"/>
    <s v="MMR001001007"/>
    <s v="Maw Hpawng"/>
    <n v="165698"/>
    <x v="20"/>
    <x v="20"/>
    <x v="20"/>
    <n v="25.374343974359"/>
    <n v="0"/>
    <n v="21"/>
    <n v="97"/>
    <n v="4.6190476190476186"/>
    <x v="0"/>
    <x v="0"/>
    <x v="0"/>
    <x v="1"/>
    <d v="2011-10-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ate. Data source: monthly report by HAP._x000a_19-Aug-15 Population update. Source: Shalom_x000a_25-Jun-15 Population update. Source : Shalom._x000a_Population update: Source: Camp Profile Round 2."/>
    <s v="P4"/>
    <n v="0"/>
    <m/>
    <n v="0"/>
    <s v="Myitkyina Town"/>
    <n v="10.744749696609457"/>
    <n v="3"/>
  </r>
  <r>
    <x v="0"/>
    <x v="0"/>
    <s v="MMR001"/>
    <s v="Myitkyina"/>
    <s v="MMR001D001"/>
    <x v="0"/>
    <s v="MMR001001"/>
    <s v="Maw Hpawng"/>
    <s v="MMR001001007"/>
    <s v="Maw Hpawng"/>
    <n v="165698"/>
    <x v="21"/>
    <x v="21"/>
    <x v="21"/>
    <n v="25.371049444444399"/>
    <n v="476"/>
    <n v="14"/>
    <n v="71"/>
    <n v="5.0714285714285712"/>
    <x v="0"/>
    <x v="0"/>
    <x v="0"/>
    <x v="1"/>
    <d v="2011-10-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Myitkyina Town"/>
    <n v="10.15228229456989"/>
    <n v="3"/>
  </r>
  <r>
    <x v="0"/>
    <x v="0"/>
    <s v="MMR001"/>
    <s v="Myitkyina"/>
    <s v="MMR001D001"/>
    <x v="0"/>
    <s v="MMR001001"/>
    <s v="Myitkyina Town"/>
    <s v="MMR001001701"/>
    <s v="Kachin Su Ward"/>
    <s v="MMR001001701509"/>
    <x v="22"/>
    <x v="22"/>
    <x v="22"/>
    <n v="25.377038166666701"/>
    <n v="0"/>
    <n v="7"/>
    <n v="37"/>
    <n v="5.2857142857142856"/>
    <x v="0"/>
    <x v="0"/>
    <x v="0"/>
    <x v="0"/>
    <d v="2012-04-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25-Jun-15 Population update. Source : Shalom._x000a_Population update: Source: Camp Profile Round 2."/>
    <s v="P4"/>
    <n v="0"/>
    <m/>
    <n v="0"/>
    <s v="Myitkyina Town"/>
    <n v="1.7877148351104664"/>
    <n v="1"/>
  </r>
  <r>
    <x v="0"/>
    <x v="0"/>
    <s v="MMR001"/>
    <s v="Myitkyina"/>
    <s v="MMR001D001"/>
    <x v="0"/>
    <s v="MMR001001"/>
    <s v="Myitkyina Town"/>
    <s v="MMR001001701"/>
    <s v="Tat Kone Ward"/>
    <s v="MMR001001701520"/>
    <x v="23"/>
    <x v="23"/>
    <x v="23"/>
    <s v="25°25'23.80"/>
    <n v="0"/>
    <n v="54"/>
    <n v="258"/>
    <n v="4.7777777777777777"/>
    <x v="0"/>
    <x v="0"/>
    <x v="0"/>
    <x v="0"/>
    <d v="2012-04-01T00:00:00"/>
    <n v="1"/>
    <x v="1"/>
    <s v="IP"/>
    <m/>
    <d v="2016-07-20T00:00:00"/>
    <s v="20/Jul/2016: Population update. Data source: Shalom_x000a_27/June/2016: GPS point changes. Data source:WFP_x000a_16/Jun/2016: Population update. Data source: mail by Shalom_x000a_10 May 2016. Population update: Data source_Shalom_x000a_28/Jan/2016. Population update. Data source: KBC (mail by maran)_x000a_9/Nov/15. Population update. Data source: monthly report by HAP._x000a_19-Aug-15 Update population. Source: Shalom_x000a_25-Jun-15 Population update. Source : Shalom._x000a_Population update: Source: Camp Profile Round 2."/>
    <s v="P4"/>
    <n v="0"/>
    <m/>
    <n v="0"/>
    <s v="Myitkyina Town"/>
    <n v="2.6190942927115026"/>
    <n v="1"/>
  </r>
  <r>
    <x v="0"/>
    <x v="0"/>
    <s v="MMR001"/>
    <s v="Myitkyina"/>
    <s v="MMR001D001"/>
    <x v="0"/>
    <s v="MMR001001"/>
    <s v="Nam Koi"/>
    <s v="MMR001001005"/>
    <s v="Nam Koi"/>
    <n v="165695"/>
    <x v="24"/>
    <x v="24"/>
    <x v="24"/>
    <n v="25.410569299999999"/>
    <m/>
    <n v="68"/>
    <n v="333"/>
    <n v="4.8970588235294121"/>
    <x v="0"/>
    <x v="0"/>
    <x v="0"/>
    <x v="0"/>
    <d v="2012-01-01T00:00:00"/>
    <m/>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3-Oct-15 (Population update. Data source: Monthly report by KMSS-MYT). Reason for changes; Arrive from the Daily Work._x000a_19-Aug-15 (Population update. Data Source: KMSS-MYT) _x000a_25-Jun-15 (Population update. Source: KMSS-MYT)"/>
    <s v="P4"/>
    <n v="1"/>
    <m/>
    <n v="1"/>
    <s v="Myitkyina Town"/>
    <n v="4.037940696665812"/>
    <n v="1"/>
  </r>
  <r>
    <x v="0"/>
    <x v="0"/>
    <s v="MMR001"/>
    <s v="Myitkyina"/>
    <s v="MMR001D001"/>
    <x v="2"/>
    <s v="MMR001002"/>
    <s v="Waingmaw Town"/>
    <s v="MMR001002701"/>
    <s v="No (2) Ward"/>
    <s v="MMR001002701502"/>
    <x v="25"/>
    <x v="25"/>
    <x v="25"/>
    <n v="25.351724999999998"/>
    <n v="0"/>
    <n v="65"/>
    <n v="328"/>
    <n v="5.046153846153846"/>
    <x v="0"/>
    <x v="0"/>
    <x v="0"/>
    <x v="0"/>
    <d v="2011-06-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2015 Update population from KBC._x000a_25-Jun-2015 Update population from KBC._x000a_Checked with KBC data"/>
    <s v="P4"/>
    <n v="27"/>
    <m/>
    <n v="27"/>
    <s v="Waingmaw Town"/>
    <n v="0.4474205416025816"/>
    <n v="1"/>
  </r>
  <r>
    <x v="0"/>
    <x v="0"/>
    <s v="MMR001"/>
    <s v="Myitkyina"/>
    <s v="MMR001D001"/>
    <x v="2"/>
    <s v="MMR001002"/>
    <s v="Waingmaw Town"/>
    <s v="MMR001002701"/>
    <s v="No (4) Ward"/>
    <s v="MMR001002701504"/>
    <x v="26"/>
    <x v="26"/>
    <x v="26"/>
    <n v="25.350809000000002"/>
    <n v="0"/>
    <n v="88"/>
    <n v="482"/>
    <n v="5.4772727272727275"/>
    <x v="0"/>
    <x v="0"/>
    <x v="0"/>
    <x v="0"/>
    <d v="2012-02-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1.0367202051285227"/>
    <n v="1"/>
  </r>
  <r>
    <x v="0"/>
    <x v="0"/>
    <s v="MMR001"/>
    <s v="Myitkyina"/>
    <s v="MMR001D001"/>
    <x v="2"/>
    <s v="MMR001002"/>
    <s v="Mading"/>
    <s v="MMR001002001"/>
    <s v="Mading/Hka Kun"/>
    <n v="165730"/>
    <x v="27"/>
    <x v="27"/>
    <x v="27"/>
    <n v="25.356632000000001"/>
    <n v="0"/>
    <n v="22"/>
    <n v="128"/>
    <n v="5.8181818181818183"/>
    <x v="0"/>
    <x v="0"/>
    <x v="0"/>
    <x v="0"/>
    <d v="2012-05-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2015 Update population from KBC._x000a_25-Jun-2015 Update population from KBC._x000a_Population updated. Source: Shelter unit."/>
    <s v="P4"/>
    <n v="0"/>
    <m/>
    <n v="0"/>
    <s v="Waingmaw Town"/>
    <n v="1.1134935940025397"/>
    <n v="1"/>
  </r>
  <r>
    <x v="0"/>
    <x v="0"/>
    <s v="MMR001"/>
    <s v="Myitkyina"/>
    <s v="MMR001D001"/>
    <x v="2"/>
    <s v="MMR001002"/>
    <s v="Hkat Shu"/>
    <s v="MMR001002003"/>
    <s v="Hkat Shu"/>
    <n v="165735"/>
    <x v="28"/>
    <x v="28"/>
    <x v="28"/>
    <n v="25.321710740740698"/>
    <n v="0"/>
    <n v="99"/>
    <n v="480"/>
    <n v="4.8484848484848486"/>
    <x v="0"/>
    <x v="0"/>
    <x v="0"/>
    <x v="1"/>
    <d v="2011-06-01T00:00:00"/>
    <n v="2"/>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5.0655036329811631"/>
    <n v="2"/>
  </r>
  <r>
    <x v="0"/>
    <x v="0"/>
    <s v="MMR001"/>
    <s v="Myitkyina"/>
    <s v="MMR001D001"/>
    <x v="2"/>
    <s v="MMR001002"/>
    <s v="Mai Na"/>
    <s v="MMR001002006"/>
    <s v="Mai Na"/>
    <n v="165740"/>
    <x v="29"/>
    <x v="29"/>
    <x v="29"/>
    <n v="25.415667500000001"/>
    <m/>
    <n v="222"/>
    <n v="1251"/>
    <n v="5.6351351351351351"/>
    <x v="0"/>
    <x v="0"/>
    <x v="0"/>
    <x v="0"/>
    <d v="2013-06-01T00:00:00"/>
    <n v="4"/>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Dec/2015 (Population update. Data source: Monthly report by KMSS_MYT). Reason for pop changes; Arrived at the camp from daily work._x000a_23-Oct-15 (Population update. Data sorce: Monthly report by KMSS-MYT). Reasion for changes; Travelling from the camp for daily worker._x000a_2-Oct-15 (Pupulation update. Data Source: KMSS-MYT) and NFI Distribution List (New arrival)_x000a_19-Aug-15 (Population update. Data Source: KMSS-MYT)_x000a_25-Jun-15 (Population update. Source: KMSS-MYT)_x000a_Population Update. Source: KMSS-MYT"/>
    <s v="P4"/>
    <n v="12"/>
    <m/>
    <n v="12"/>
    <s v="Myitkyina Town"/>
    <n v="5.7019834469756479"/>
    <n v="2"/>
  </r>
  <r>
    <x v="0"/>
    <x v="0"/>
    <s v="MMR001"/>
    <s v="Myitkyina"/>
    <s v="MMR001D001"/>
    <x v="2"/>
    <s v="MMR001002"/>
    <s v="Waingmaw Town"/>
    <s v="MMR001002701"/>
    <s v="No (3) Ward"/>
    <s v="MMR001002701503"/>
    <x v="30"/>
    <x v="30"/>
    <x v="30"/>
    <n v="25.345918166666699"/>
    <m/>
    <n v="31"/>
    <n v="171"/>
    <n v="5.5161290322580649"/>
    <x v="0"/>
    <x v="0"/>
    <x v="0"/>
    <x v="0"/>
    <d v="2011-06-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25-Jun-15 Population update. Source : Shalom._x000a_Population update: Source: Camp Profile Round 2."/>
    <s v="P4"/>
    <n v="0"/>
    <m/>
    <n v="0"/>
    <s v="Waingmaw Town"/>
    <n v="0.77827912736780092"/>
    <n v="1"/>
  </r>
  <r>
    <x v="0"/>
    <x v="0"/>
    <s v="MMR001"/>
    <s v="Myitkyina"/>
    <s v="MMR001D001"/>
    <x v="2"/>
    <s v="MMR001002"/>
    <s v="Mai Na"/>
    <s v="MMR001002006"/>
    <s v="Mai Na"/>
    <n v="165740"/>
    <x v="31"/>
    <x v="31"/>
    <x v="31"/>
    <n v="25.424529444444399"/>
    <n v="0"/>
    <n v="143"/>
    <n v="800"/>
    <n v="5.5944055944055942"/>
    <x v="0"/>
    <x v="0"/>
    <x v="0"/>
    <x v="1"/>
    <d v="2013-07-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Update population. Source: Camp Profile."/>
    <s v="P4"/>
    <n v="36"/>
    <m/>
    <n v="36"/>
    <s v="Myitkyina Town"/>
    <n v="5.9727739497559158"/>
    <n v="2"/>
  </r>
  <r>
    <x v="1"/>
    <x v="1"/>
    <s v="MMR015"/>
    <s v="Muse"/>
    <s v="MMR015D002"/>
    <x v="1"/>
    <s v="MMR015010"/>
    <s v="Nawng Hkam"/>
    <s v="MMR015010010"/>
    <s v="Nawng Hkam"/>
    <n v="208353"/>
    <x v="32"/>
    <x v="32"/>
    <x v="32"/>
    <m/>
    <m/>
    <n v="0"/>
    <n v="0"/>
    <s v="NA"/>
    <x v="1"/>
    <x v="0"/>
    <x v="0"/>
    <x v="2"/>
    <m/>
    <m/>
    <x v="3"/>
    <s v="IP"/>
    <m/>
    <d v="2014-03-03T00:00:00"/>
    <s v="Closed. Same with (Nam Hkam Catholic Church  St. Thomas II)"/>
    <s v=""/>
    <n v="0"/>
    <m/>
    <n v="0"/>
    <s v=""/>
    <s v=""/>
    <s v=""/>
  </r>
  <r>
    <x v="0"/>
    <x v="1"/>
    <s v="MMR015"/>
    <s v="Muse"/>
    <s v="MMR015D002"/>
    <x v="1"/>
    <s v="MMR015010"/>
    <s v="Nawng Hkam"/>
    <s v="MMR015010010"/>
    <s v="Nawng Hkam"/>
    <n v="208353"/>
    <x v="33"/>
    <x v="33"/>
    <x v="33"/>
    <n v="23.828150000000001"/>
    <n v="751.8"/>
    <n v="44"/>
    <n v="215"/>
    <n v="4.8863636363636367"/>
    <x v="0"/>
    <x v="0"/>
    <x v="0"/>
    <x v="0"/>
    <d v="2011-12-01T00:00:00"/>
    <m/>
    <x v="4"/>
    <s v="IP"/>
    <m/>
    <d v="2016-07-14T00:00:00"/>
    <s v="14/Jul/2016: Population update. Data source: KMSS_LSO_x000a_28/Jan/2016. Population update. Data source: KBC (mail by maran)_x000a_19-Aug-15 (Population update. Source: KMSS-LSO)_x000a_25-Jun-15 (Population update. Source: KMSS-LSO)_x000a_Population update. Changed NGCA to GCA. Source: CCCM Unit"/>
    <s v="P3"/>
    <n v="44"/>
    <m/>
    <n v="44"/>
    <s v="Namhkan Town"/>
    <n v="1.5239325151406049"/>
    <n v="1"/>
  </r>
  <r>
    <x v="0"/>
    <x v="0"/>
    <s v="MMR001"/>
    <s v="Myitkyina"/>
    <s v="MMR001D001"/>
    <x v="2"/>
    <s v="MMR001002"/>
    <s v="Waingmaw Town"/>
    <s v="MMR001002701"/>
    <s v="No (2) Ward"/>
    <s v="MMR001002701502"/>
    <x v="34"/>
    <x v="34"/>
    <x v="34"/>
    <n v="25.3540362037037"/>
    <n v="0"/>
    <n v="91"/>
    <n v="329"/>
    <n v="3.6153846153846154"/>
    <x v="0"/>
    <x v="0"/>
    <x v="0"/>
    <x v="0"/>
    <d v="2011-07-01T00:00:00"/>
    <n v="2"/>
    <x v="1"/>
    <s v="IP"/>
    <m/>
    <d v="2016-07-20T00:00:00"/>
    <s v="20/Jul/2016: Population update. Data source: Shalom_x000a_16/Jun/2016: Population update. Data source: mail by Shalom_x000a_10 May 2016. Population update: Data source_Shalom_x000a_28/Jan/2016. Population update. Data source: KBC (mail by maran)_x000a_19-Aug-15 Population update. Source: Shalom._x000a_25-Jun-15 Population update. Source : Shalom."/>
    <s v="P4"/>
    <n v="0"/>
    <m/>
    <n v="0"/>
    <s v="Waingmaw Town"/>
    <n v="0.37684287609457234"/>
    <n v="1"/>
  </r>
  <r>
    <x v="0"/>
    <x v="0"/>
    <s v="MMR001"/>
    <s v="Myitkyina"/>
    <s v="MMR001D001"/>
    <x v="2"/>
    <s v="MMR001002"/>
    <s v="Ma Hkan Tee"/>
    <s v="MMR001002009"/>
    <s v="Nawng Hee"/>
    <n v="165745"/>
    <x v="35"/>
    <x v="35"/>
    <x v="35"/>
    <n v="25.351965"/>
    <m/>
    <n v="18"/>
    <n v="82"/>
    <n v="4.5555555555555554"/>
    <x v="0"/>
    <x v="0"/>
    <x v="0"/>
    <x v="1"/>
    <d v="2012-05-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19-Aug-15 Population update. Source: Shalom._x000a_Update population. Source: Camp Profile."/>
    <s v="P4"/>
    <n v="0"/>
    <m/>
    <n v="0"/>
    <s v="Myitkyina Town"/>
    <n v="6.0275881703713861"/>
    <n v="2"/>
  </r>
  <r>
    <x v="1"/>
    <x v="0"/>
    <s v="MMR001"/>
    <s v="Myitkyina"/>
    <s v="MMR001D001"/>
    <x v="2"/>
    <s v="MMR001002"/>
    <s v="Nawng Si Paw"/>
    <s v="MMR001002013"/>
    <s v="Nawng Si Paw"/>
    <n v="165750"/>
    <x v="36"/>
    <x v="36"/>
    <x v="32"/>
    <m/>
    <m/>
    <n v="0"/>
    <n v="0"/>
    <s v="NA"/>
    <x v="0"/>
    <x v="0"/>
    <x v="0"/>
    <x v="2"/>
    <m/>
    <m/>
    <x v="3"/>
    <m/>
    <m/>
    <m/>
    <s v=" "/>
    <s v=""/>
    <n v="0"/>
    <m/>
    <n v="0"/>
    <s v=""/>
    <s v=""/>
    <s v=""/>
  </r>
  <r>
    <x v="1"/>
    <x v="0"/>
    <s v="MMR001"/>
    <s v="Myitkyina"/>
    <s v="MMR001D001"/>
    <x v="2"/>
    <s v="MMR001002"/>
    <s v="Hkat Shu"/>
    <s v="MMR001002003"/>
    <s v="Hkat Shu"/>
    <n v="165735"/>
    <x v="37"/>
    <x v="37"/>
    <x v="36"/>
    <n v="25.328987000000001"/>
    <m/>
    <n v="0"/>
    <n v="0"/>
    <s v="NA"/>
    <x v="0"/>
    <x v="0"/>
    <x v="0"/>
    <x v="2"/>
    <m/>
    <m/>
    <x v="3"/>
    <m/>
    <m/>
    <m/>
    <s v=" "/>
    <s v=""/>
    <n v="0"/>
    <m/>
    <n v="0"/>
    <s v=""/>
    <s v=""/>
    <s v=""/>
  </r>
  <r>
    <x v="1"/>
    <x v="0"/>
    <s v="MMR001"/>
    <s v="Myitkyina"/>
    <s v="MMR001D001"/>
    <x v="2"/>
    <s v="MMR001002"/>
    <s v="Waingmaw Town"/>
    <s v="MMR001002701"/>
    <s v="No (2) Ward"/>
    <s v="MMR001002701502"/>
    <x v="38"/>
    <x v="38"/>
    <x v="37"/>
    <n v="25.355841999999999"/>
    <n v="0"/>
    <m/>
    <m/>
    <s v="NA"/>
    <x v="0"/>
    <x v="0"/>
    <x v="1"/>
    <x v="0"/>
    <d v="2011-11-01T00:00:00"/>
    <n v="1"/>
    <x v="0"/>
    <s v="IP"/>
    <m/>
    <d v="2016-03-03T00:00:00"/>
    <s v="3/Mar/2016. Closed Camp. Data source: January report from KBC._x000a_28/Jan/2016. Population update. Data source: KBC (mail by maran)_x000a_2/Dec/2015 (Population update. Data source: Monthly report by KBC)._x000a_25-Jun-2015 Update population. Data Source: KBC_x000a_Changed to Boarding School."/>
    <s v="P4"/>
    <n v="0"/>
    <m/>
    <n v="0"/>
    <s v="Waingmaw Town"/>
    <n v="0.70725493400809891"/>
    <n v="1"/>
  </r>
  <r>
    <x v="0"/>
    <x v="0"/>
    <s v="MMR001"/>
    <s v="Myitkyina"/>
    <s v="MMR001D001"/>
    <x v="2"/>
    <s v="MMR001002"/>
    <s v="Waingmaw Town"/>
    <s v="MMR001002701"/>
    <s v="No (4) Ward"/>
    <s v="MMR001002701504"/>
    <x v="39"/>
    <x v="39"/>
    <x v="38"/>
    <n v="25.333683333333301"/>
    <m/>
    <n v="44"/>
    <n v="182"/>
    <n v="4.1363636363636367"/>
    <x v="0"/>
    <x v="0"/>
    <x v="0"/>
    <x v="0"/>
    <d v="2011-11-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0"/>
    <m/>
    <n v="0"/>
    <s v="Waingmaw Town"/>
    <n v="2.4174307716662291"/>
    <n v="1"/>
  </r>
  <r>
    <x v="0"/>
    <x v="0"/>
    <s v="MMR001"/>
    <s v="Myitkyina"/>
    <s v="MMR001D001"/>
    <x v="2"/>
    <s v="MMR001002"/>
    <s v="Waingmaw Town"/>
    <s v="MMR001002701"/>
    <s v="No (3) Ward"/>
    <s v="MMR001002701503"/>
    <x v="40"/>
    <x v="40"/>
    <x v="39"/>
    <n v="25.351250396825399"/>
    <n v="476"/>
    <n v="70"/>
    <n v="278"/>
    <n v="3.9714285714285715"/>
    <x v="0"/>
    <x v="0"/>
    <x v="0"/>
    <x v="0"/>
    <d v="2011-11-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te. Source: Shalom._x000a_25-Jun-15 Population update. Source : Shalom._x000a_Population update: Source: Camp Profile Round 2."/>
    <s v="P4"/>
    <n v="15"/>
    <m/>
    <n v="15"/>
    <s v="Waingmaw Town"/>
    <n v="0.15089472113650237"/>
    <n v="1"/>
  </r>
  <r>
    <x v="0"/>
    <x v="0"/>
    <s v="MMR001"/>
    <s v="Myitkyina"/>
    <s v="MMR001D001"/>
    <x v="2"/>
    <s v="MMR001002"/>
    <s v="Mai Na"/>
    <s v="MMR001002006"/>
    <s v="Mai Na"/>
    <n v="165740"/>
    <x v="41"/>
    <x v="41"/>
    <x v="40"/>
    <n v="25.409612685185198"/>
    <n v="0"/>
    <n v="46"/>
    <n v="192"/>
    <n v="4.1739130434782608"/>
    <x v="0"/>
    <x v="0"/>
    <x v="0"/>
    <x v="0"/>
    <d v="2011-12-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15 Update population from KBC_x000a_25-Jun-2015 Update population. Data Source: KBC_x000a_Update population according to KBC data"/>
    <s v="P4"/>
    <n v="6"/>
    <m/>
    <n v="6"/>
    <s v="Myitkyina Town"/>
    <n v="4.3887485673235673"/>
    <n v="1"/>
  </r>
  <r>
    <x v="0"/>
    <x v="0"/>
    <s v="MMR001"/>
    <s v="Myitkyina"/>
    <s v="MMR001D001"/>
    <x v="2"/>
    <s v="MMR001002"/>
    <s v="Mai Na"/>
    <s v="MMR001002006"/>
    <s v="Mai Na"/>
    <n v="165740"/>
    <x v="42"/>
    <x v="42"/>
    <x v="41"/>
    <n v="25.4118005797101"/>
    <n v="0"/>
    <n v="396"/>
    <n v="2120"/>
    <n v="5.3535353535353538"/>
    <x v="0"/>
    <x v="0"/>
    <x v="0"/>
    <x v="1"/>
    <d v="2012-06-01T00:00:00"/>
    <n v="3"/>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Monthly report by KBC)._x000a_19-Aug-15 Update population from KBC_x000a_25-Jun-2015 Update population. Data Source: KBC_x000a_Update population according to KBC data"/>
    <s v="P4"/>
    <n v="0"/>
    <m/>
    <n v="0"/>
    <s v="Myitkyina Town"/>
    <n v="5.2238983299151851"/>
    <n v="2"/>
  </r>
  <r>
    <x v="0"/>
    <x v="0"/>
    <s v="MMR001"/>
    <s v="Myitkyina"/>
    <s v="MMR001D001"/>
    <x v="2"/>
    <s v="MMR001002"/>
    <s v="Waw Shung (Kan Paik Ti Sub-township)"/>
    <s v="MMR001002035"/>
    <s v="Shan Kyaing"/>
    <n v="165845"/>
    <x v="43"/>
    <x v="43"/>
    <x v="42"/>
    <n v="25.418084"/>
    <m/>
    <n v="179"/>
    <n v="940"/>
    <n v="5.2513966480446923"/>
    <x v="0"/>
    <x v="0"/>
    <x v="0"/>
    <x v="1"/>
    <d v="2011-11-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5-Jun-2015 Update population. Data Source: KBC_x000a_Changed NGCA to GCA. Source: Programme Unit."/>
    <s v="P1"/>
    <n v="0"/>
    <m/>
    <n v="0"/>
    <s v="Kan Paik Ti Town"/>
    <n v="9.3609732231189877"/>
    <n v="2"/>
  </r>
  <r>
    <x v="0"/>
    <x v="0"/>
    <s v="MMR001"/>
    <s v="Myitkyina"/>
    <s v="MMR001D001"/>
    <x v="3"/>
    <s v="MMR001005"/>
    <s v="Chipwi Town"/>
    <s v="MMR001005701"/>
    <s v="Ba Leit Dan Ward"/>
    <s v="MMR001005701503"/>
    <x v="44"/>
    <x v="44"/>
    <x v="43"/>
    <n v="25.889410000000002"/>
    <n v="304"/>
    <n v="109"/>
    <n v="504"/>
    <n v="4.6238532110091741"/>
    <x v="0"/>
    <x v="0"/>
    <x v="0"/>
    <x v="0"/>
    <d v="2012-12-01T00:00:00"/>
    <n v="1"/>
    <x v="1"/>
    <s v="IP"/>
    <m/>
    <d v="2016-07-20T00:00:00"/>
    <s v="20/Jul/2016: Population update. Data source: Shalom_x000a_16/Jun/2016: Population update. Data source: mail by Shalom_x000a_10 May 2016. Population update: Data source_Shalom_x000a_28/Jan/2016. Population update. Data source: KBC (mail by maran)_x000a_9/Nov/15. Population update. Data source: monthly report by HAP._x000a_19-Aug-15 Population updae. Source: Shalom_x000a_25-Jun-15 (Population update. Source : Shalom)_x000a_2-Apr-15 (Population update, Source: UNHCR CCCM Mission)_x000a_Update IDP population from Shalom data (Assistant CCCM Officer)"/>
    <s v="P1"/>
    <n v="2"/>
    <m/>
    <n v="2"/>
    <s v="Chipwi Town"/>
    <n v="0.15809623370782155"/>
    <n v="1"/>
  </r>
  <r>
    <x v="0"/>
    <x v="0"/>
    <s v="MMR001"/>
    <s v="Myitkyina"/>
    <s v="MMR001D001"/>
    <x v="3"/>
    <s v="MMR001005"/>
    <s v="Hpa Re (Pang War Sub-township)"/>
    <s v="MMR001005026"/>
    <s v="Hpa Re Waw Jang"/>
    <n v="166355"/>
    <x v="45"/>
    <x v="45"/>
    <x v="44"/>
    <n v="25.754110000000001"/>
    <n v="2785"/>
    <n v="152"/>
    <n v="1015"/>
    <n v="6.6776315789473681"/>
    <x v="1"/>
    <x v="0"/>
    <x v="0"/>
    <x v="3"/>
    <d v="2012-05-01T00:00:00"/>
    <n v="2"/>
    <x v="0"/>
    <s v="IP"/>
    <m/>
    <d v="2016-07-18T00:00:00"/>
    <s v="18/Jul/2016: Population updte. Data source: KBC_x000a_12/May/2016. Population update. Data source: KBC_x000a_28/Jan/2016. Population update. Data source: KBC (mail by maran)_x000a_2/Dec/2015. Population update. Data source: KBC_x000a_25-Jun-2015 Update population. Data Source: KBC_x000a_Update population according to KBC data"/>
    <s v="P1"/>
    <n v="152"/>
    <m/>
    <n v="152"/>
    <s v="Pang War Town"/>
    <n v="19.834999342466848"/>
    <n v="4"/>
  </r>
  <r>
    <x v="1"/>
    <x v="0"/>
    <s v="MMR001"/>
    <s v="Myitkyina"/>
    <s v="MMR001D001"/>
    <x v="3"/>
    <s v="MMR001005"/>
    <m/>
    <m/>
    <m/>
    <m/>
    <x v="46"/>
    <x v="46"/>
    <x v="32"/>
    <m/>
    <m/>
    <n v="0"/>
    <n v="0"/>
    <s v="NA"/>
    <x v="0"/>
    <x v="0"/>
    <x v="0"/>
    <x v="2"/>
    <m/>
    <m/>
    <x v="3"/>
    <m/>
    <m/>
    <m/>
    <s v=" "/>
    <s v=""/>
    <n v="0"/>
    <m/>
    <n v="0"/>
    <s v=""/>
    <s v=""/>
    <s v=""/>
  </r>
  <r>
    <x v="0"/>
    <x v="0"/>
    <s v="MMR001"/>
    <s v="Myitkyina"/>
    <s v="MMR001D001"/>
    <x v="3"/>
    <s v="MMR001005"/>
    <s v="Lang Jaw (Pang War Sub-township)"/>
    <s v="MMR001005022"/>
    <s v="Lang Jaw"/>
    <n v="166337"/>
    <x v="47"/>
    <x v="47"/>
    <x v="45"/>
    <n v="25.708763000000001"/>
    <m/>
    <m/>
    <m/>
    <s v="NA"/>
    <x v="0"/>
    <x v="0"/>
    <x v="2"/>
    <x v="1"/>
    <m/>
    <m/>
    <x v="3"/>
    <m/>
    <m/>
    <m/>
    <m/>
    <s v="P1"/>
    <n v="0"/>
    <m/>
    <n v="0"/>
    <s v="Pang War Town"/>
    <n v="12.486065224161463"/>
    <n v="3"/>
  </r>
  <r>
    <x v="1"/>
    <x v="0"/>
    <s v="MMR001"/>
    <s v="Myitkyina"/>
    <s v="MMR001D001"/>
    <x v="3"/>
    <s v="MMR001005"/>
    <m/>
    <m/>
    <m/>
    <m/>
    <x v="48"/>
    <x v="48"/>
    <x v="32"/>
    <m/>
    <m/>
    <m/>
    <m/>
    <s v="NA"/>
    <x v="0"/>
    <x v="0"/>
    <x v="0"/>
    <x v="1"/>
    <m/>
    <m/>
    <x v="2"/>
    <s v="IP"/>
    <m/>
    <d v="2015-04-02T00:00:00"/>
    <s v="2-Apr-15 (Closed. Source: GAD)_x000a_Responsible Agency update. KMSS-BMO to KMSS-MYT."/>
    <s v="P1"/>
    <n v="0"/>
    <m/>
    <n v="0"/>
    <s v=""/>
    <s v=""/>
    <s v=""/>
  </r>
  <r>
    <x v="0"/>
    <x v="0"/>
    <s v="MMR001"/>
    <s v="Bhamo"/>
    <s v="MMR001D003"/>
    <x v="4"/>
    <s v="MMR001010"/>
    <s v="Bhamo Town"/>
    <s v="MMR001010701"/>
    <s v="Nyaung Pin Ward"/>
    <s v="MMR001010701508"/>
    <x v="49"/>
    <x v="49"/>
    <x v="46"/>
    <n v="24.268292826086999"/>
    <m/>
    <n v="629"/>
    <n v="3801"/>
    <n v="6.0429252782193963"/>
    <x v="0"/>
    <x v="0"/>
    <x v="0"/>
    <x v="0"/>
    <d v="2011-07-01T00:00:00"/>
    <n v="3"/>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4"/>
    <n v="204"/>
    <m/>
    <n v="204"/>
    <s v="Bhamo Town"/>
    <n v="1.5797992800898704"/>
    <n v="1"/>
  </r>
  <r>
    <x v="1"/>
    <x v="0"/>
    <s v="MMR001"/>
    <s v="Bhamo"/>
    <s v="MMR001D003"/>
    <x v="4"/>
    <s v="MMR001010"/>
    <m/>
    <m/>
    <m/>
    <m/>
    <x v="50"/>
    <x v="50"/>
    <x v="47"/>
    <n v="24.262418020999998"/>
    <m/>
    <n v="0"/>
    <n v="0"/>
    <s v="NA"/>
    <x v="0"/>
    <x v="0"/>
    <x v="0"/>
    <x v="2"/>
    <m/>
    <m/>
    <x v="3"/>
    <s v="IP"/>
    <m/>
    <d v="2014-01-22T00:00:00"/>
    <s v="Closed: Source UNHCR-Bhamo"/>
    <s v=""/>
    <n v="0"/>
    <m/>
    <n v="0"/>
    <s v=""/>
    <s v=""/>
    <s v=""/>
  </r>
  <r>
    <x v="0"/>
    <x v="0"/>
    <s v="MMR001"/>
    <s v="Bhamo"/>
    <s v="MMR001D003"/>
    <x v="4"/>
    <s v="MMR001010"/>
    <s v="Moe Hping"/>
    <s v="MMR001010009"/>
    <s v="Moe Hping"/>
    <n v="166836"/>
    <x v="51"/>
    <x v="51"/>
    <x v="48"/>
    <n v="24.2631743589744"/>
    <n v="0"/>
    <n v="116"/>
    <n v="659"/>
    <n v="5.681034482758621"/>
    <x v="0"/>
    <x v="0"/>
    <x v="0"/>
    <x v="0"/>
    <d v="2011-06-01T00:00:00"/>
    <n v="2"/>
    <x v="1"/>
    <s v="IP"/>
    <m/>
    <d v="2016-07-20T00:00:00"/>
    <s v="20/Jul/2016: Population update. Data source: Shalom_x000a_16/Jun/2016: Population update. Data source: mail by Shalom_x000a_19-Aug-15 Population update. Source: Shalom_x000a_25-Jun-15 (Population update. Source : Shalom)_x000a_Population update: Source: Camp Profile Round 2."/>
    <s v="P4"/>
    <n v="14"/>
    <m/>
    <n v="14"/>
    <s v="Bhamo Town"/>
    <n v="1.0876401420946245"/>
    <n v="1"/>
  </r>
  <r>
    <x v="0"/>
    <x v="0"/>
    <s v="MMR001"/>
    <s v="Bhamo"/>
    <s v="MMR001D003"/>
    <x v="4"/>
    <s v="MMR001010"/>
    <s v="Moe Hping"/>
    <s v="MMR001010009"/>
    <s v="Moe Hping"/>
    <n v="166836"/>
    <x v="52"/>
    <x v="52"/>
    <x v="49"/>
    <n v="24.260719999999999"/>
    <m/>
    <n v="274"/>
    <n v="1349"/>
    <n v="4.9233576642335768"/>
    <x v="0"/>
    <x v="0"/>
    <x v="0"/>
    <x v="0"/>
    <d v="2011-11-01T00:00:00"/>
    <n v="2"/>
    <x v="5"/>
    <s v="IP"/>
    <m/>
    <d v="2016-01-28T00:00:00"/>
    <s v="28/Jan/2016. Population update. Data source: KBC (mail by maran)_x000a_19-Aug-15 (Population Update. Data Source: KMSS-BMO)_x000a_Population update: Source: Camp Profile Round 2."/>
    <s v="P4"/>
    <n v="104"/>
    <n v="20"/>
    <n v="20"/>
    <s v="Bhamo Town"/>
    <n v="0.78440046838596356"/>
    <n v="1"/>
  </r>
  <r>
    <x v="0"/>
    <x v="0"/>
    <s v="MMR001"/>
    <s v="Bhamo"/>
    <s v="MMR001D003"/>
    <x v="4"/>
    <s v="MMR001010"/>
    <s v="Bhamo Town"/>
    <s v="MMR001010701"/>
    <s v="Pauk Kone Ward"/>
    <s v="MMR001010701506"/>
    <x v="53"/>
    <x v="53"/>
    <x v="50"/>
    <n v="24.253067000000001"/>
    <n v="0"/>
    <n v="14"/>
    <n v="65"/>
    <n v="4.6428571428571432"/>
    <x v="0"/>
    <x v="0"/>
    <x v="0"/>
    <x v="0"/>
    <d v="2012-10-01T00:00:00"/>
    <n v="1"/>
    <x v="1"/>
    <s v="IP"/>
    <m/>
    <d v="2016-07-20T00:00:00"/>
    <s v="20/Jul/2016: Population update. Data source: Shalom_x000a_16/Jun/2016: Population update. Data source: mail by Shalom_x000a_9/Nov/15. Population update. Data source: monthly report by HAP._x000a_19-Aug-15 Population update. Source Shalom._x000a_25-Jun-15 Population update. Source Shalom_x000a_Population update: Source: Camp Profile Round 2."/>
    <s v="P4"/>
    <n v="0"/>
    <m/>
    <n v="0"/>
    <s v="Bhamo Town"/>
    <n v="0.20824727902294948"/>
    <n v="1"/>
  </r>
  <r>
    <x v="0"/>
    <x v="0"/>
    <s v="MMR001"/>
    <s v="Bhamo"/>
    <s v="MMR001D003"/>
    <x v="4"/>
    <s v="MMR001010"/>
    <s v="Bhamo Town"/>
    <s v="MMR001010701"/>
    <s v="Pauk Kone Ward"/>
    <s v="MMR001010701506"/>
    <x v="54"/>
    <x v="54"/>
    <x v="51"/>
    <n v="24.24766"/>
    <n v="0"/>
    <n v="39"/>
    <n v="232"/>
    <n v="5.9487179487179489"/>
    <x v="0"/>
    <x v="0"/>
    <x v="0"/>
    <x v="0"/>
    <d v="2011-12-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4"/>
    <n v="1"/>
    <m/>
    <n v="1"/>
    <m/>
    <n v="0.84749304721635399"/>
    <n v="1"/>
  </r>
  <r>
    <x v="0"/>
    <x v="0"/>
    <s v="MMR001"/>
    <s v="Bhamo"/>
    <s v="MMR001D003"/>
    <x v="4"/>
    <s v="MMR001010"/>
    <s v="Han Te"/>
    <s v="MMR001010024"/>
    <s v="Han Te"/>
    <n v="166851"/>
    <x v="55"/>
    <x v="55"/>
    <x v="52"/>
    <n v="24.24953"/>
    <n v="0"/>
    <n v="15"/>
    <n v="73"/>
    <n v="4.8666666666666663"/>
    <x v="0"/>
    <x v="0"/>
    <x v="0"/>
    <x v="0"/>
    <d v="2012-08-01T00:00:00"/>
    <n v="1"/>
    <x v="1"/>
    <s v="IP"/>
    <m/>
    <d v="2016-07-20T00:00:00"/>
    <s v="20/Jul/2016: Population update. Data source: Shalom_x000a_16/Jun/2016: Population update. Data source: mail by Shalom_x000a_9/Nov/15. Population update. Data source: monthly report by HAP._x000a_19-Aug-15 Update population. Data Source: Shalom._x000a_25-Jun-2015 Update population. Data Source: KBC_x000a_Population update: Source: Camp Profile Round 2."/>
    <s v="P4"/>
    <n v="0"/>
    <n v="0"/>
    <n v="0"/>
    <s v="Bhamo Town"/>
    <n v="0.87147615879849294"/>
    <n v="1"/>
  </r>
  <r>
    <x v="0"/>
    <x v="0"/>
    <s v="MMR001"/>
    <s v="Bhamo"/>
    <s v="MMR001D003"/>
    <x v="4"/>
    <s v="MMR001010"/>
    <s v="Nam Hlaing"/>
    <s v="MMR001010015"/>
    <s v="Nam Hlaing"/>
    <n v="166844"/>
    <x v="56"/>
    <x v="56"/>
    <x v="53"/>
    <n v="24.32638"/>
    <m/>
    <n v="20"/>
    <n v="103"/>
    <n v="5.15"/>
    <x v="0"/>
    <x v="0"/>
    <x v="0"/>
    <x v="0"/>
    <d v="2011-11-01T00:00:00"/>
    <n v="2"/>
    <x v="5"/>
    <s v="IP"/>
    <m/>
    <d v="2016-01-28T00:00:00"/>
    <s v="28/Jan/2016. Population update. Data source: KBC (mail by maran)_x000a_19-Aug-2015. Update Population. Data Source; KMSS-BMO_x000a_Update population. Source UNHCR Bhamo"/>
    <s v="P4"/>
    <n v="10"/>
    <m/>
    <n v="10"/>
    <s v="Momauk Town"/>
    <n v="8.3788619521763046"/>
    <n v="2"/>
  </r>
  <r>
    <x v="0"/>
    <x v="0"/>
    <s v="MMR001"/>
    <s v="Bhamo"/>
    <s v="MMR001D003"/>
    <x v="4"/>
    <s v="MMR001010"/>
    <s v="Bhamo Town"/>
    <s v="MMR001010701"/>
    <s v="Shwe Kyee Nar Ward"/>
    <s v="MMR001010701513"/>
    <x v="57"/>
    <x v="57"/>
    <x v="54"/>
    <n v="24.29138"/>
    <n v="0"/>
    <n v="21"/>
    <n v="97"/>
    <n v="4.6190476190476186"/>
    <x v="0"/>
    <x v="0"/>
    <x v="0"/>
    <x v="0"/>
    <d v="2012-05-01T00:00:00"/>
    <n v="2"/>
    <x v="1"/>
    <s v="IP"/>
    <m/>
    <d v="2016-07-20T00:00:00"/>
    <s v="20/Jul/2016: Population update. Data source: Shalom_x000a_16/Jun/2016: Population update. Data source: mail by Shalom_x000a_9/Nov/15. Population update. Data source: monthly report by HAP._x000a_19-Aug-15 Population update. Source: Shalom._x000a_25-Jun-15 (Population update. Source : Shalom)_x000a_Population update: Source: Camp Profile Round 2."/>
    <s v="P4"/>
    <n v="0"/>
    <n v="0"/>
    <n v="0"/>
    <s v="Bhamo Town"/>
    <n v="4.108228790802368"/>
    <n v="1"/>
  </r>
  <r>
    <x v="0"/>
    <x v="0"/>
    <s v="MMR001"/>
    <s v="Bhamo"/>
    <s v="MMR001D003"/>
    <x v="5"/>
    <s v="MMR001012"/>
    <s v="Momauk Town"/>
    <s v="MMR001012701"/>
    <s v="Ah Lin Kawng Ward"/>
    <s v="MMR001012701502"/>
    <x v="58"/>
    <x v="58"/>
    <x v="55"/>
    <n v="24.250689999999999"/>
    <n v="0"/>
    <n v="226"/>
    <n v="1824"/>
    <n v="8.0707964601769913"/>
    <x v="0"/>
    <x v="0"/>
    <x v="0"/>
    <x v="0"/>
    <d v="2011-06-01T00:00:00"/>
    <n v="3"/>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4"/>
    <n v="0"/>
    <m/>
    <n v="0"/>
    <s v="Momauk Town"/>
    <n v="0.62513510418653162"/>
    <n v="1"/>
  </r>
  <r>
    <x v="1"/>
    <x v="0"/>
    <s v="MMR001"/>
    <s v="Bhamo"/>
    <s v="MMR001D003"/>
    <x v="5"/>
    <s v="MMR001012"/>
    <s v="Momauk Town"/>
    <s v="MMR001012701"/>
    <s v="Kyay Nan Waing Ward"/>
    <s v="MMR001012701503"/>
    <x v="59"/>
    <x v="59"/>
    <x v="56"/>
    <n v="24.25177"/>
    <n v="0"/>
    <m/>
    <m/>
    <s v="NA"/>
    <x v="0"/>
    <x v="0"/>
    <x v="0"/>
    <x v="0"/>
    <d v="2011-08-01T00:00:00"/>
    <n v="2"/>
    <x v="5"/>
    <s v="IP"/>
    <m/>
    <d v="2014-11-28T00:00:00"/>
    <s v="Closed. Population relocated to Man Bung Catholic Compound (MMR001CMP062)"/>
    <s v="P4"/>
    <n v="0"/>
    <m/>
    <n v="0"/>
    <s v=""/>
    <s v=""/>
    <s v=""/>
  </r>
  <r>
    <x v="1"/>
    <x v="0"/>
    <s v="MMR001"/>
    <s v="Bhamo"/>
    <s v="MMR001D003"/>
    <x v="5"/>
    <s v="MMR001012"/>
    <s v="Momauk Town"/>
    <s v="MMR001012701"/>
    <s v="Ah Lin Kawng Ward"/>
    <s v="MMR001012701502"/>
    <x v="60"/>
    <x v="60"/>
    <x v="57"/>
    <n v="24.251860000000001"/>
    <n v="0"/>
    <m/>
    <m/>
    <s v="NA"/>
    <x v="0"/>
    <x v="0"/>
    <x v="0"/>
    <x v="0"/>
    <d v="2011-10-01T00:00:00"/>
    <m/>
    <x v="3"/>
    <s v="IP"/>
    <m/>
    <d v="2015-11-09T00:00:00"/>
    <s v="9/Nov/2015. updated camp status (Closed). Data Source; Lu Lu Awng by mail._x000a_19-Aug-15 Population update. Source: Shalom_x000a_25-Jun-15 (Population update. Source : Shalom)_x000a_Checked with Shalom data, IDPs figure do not change"/>
    <s v="P4"/>
    <n v="0"/>
    <m/>
    <n v="0"/>
    <m/>
    <m/>
    <m/>
  </r>
  <r>
    <x v="1"/>
    <x v="0"/>
    <s v="MMR001"/>
    <s v="Bhamo"/>
    <s v="MMR001D003"/>
    <x v="5"/>
    <s v="MMR001012"/>
    <s v="Momauk Town"/>
    <s v="MMR001012701"/>
    <s v="Ah Lin Kawng Ward"/>
    <s v="MMR001012701502"/>
    <x v="61"/>
    <x v="61"/>
    <x v="58"/>
    <n v="24.253769999999999"/>
    <n v="0"/>
    <m/>
    <m/>
    <s v="NA"/>
    <x v="0"/>
    <x v="0"/>
    <x v="0"/>
    <x v="0"/>
    <d v="2011-10-01T00:00:00"/>
    <n v="1"/>
    <x v="1"/>
    <s v="IP"/>
    <m/>
    <d v="2016-06-16T00:00:00"/>
    <s v="16/Jun/2016: Camp Closed. Data source: Shalom. Commnets from Shalom &quot;Household return to Kayuk sa khan village&quot;_x000a_9/Nov/15. Population update. Data source: monthly report by HAP._x000a_19-Aug-15 Population update. Source: Shalom_x000a_25-Jun-15 (Population update. Source : Shalom)_x000a_Population update: Source UNHCR-Bhamo"/>
    <s v="P4"/>
    <n v="0"/>
    <m/>
    <n v="0"/>
    <s v="Momauk Town"/>
    <n v="0.32830807173487342"/>
    <n v="1"/>
  </r>
  <r>
    <x v="0"/>
    <x v="0"/>
    <s v="MMR001"/>
    <s v="Bhamo"/>
    <s v="MMR001D003"/>
    <x v="5"/>
    <s v="MMR001012"/>
    <s v="Tar Li"/>
    <s v="MMR001012021"/>
    <s v="Tar Li"/>
    <n v="167086"/>
    <x v="62"/>
    <x v="62"/>
    <x v="59"/>
    <n v="24.492493"/>
    <m/>
    <n v="10"/>
    <n v="38"/>
    <n v="3.8"/>
    <x v="0"/>
    <x v="0"/>
    <x v="2"/>
    <x v="1"/>
    <m/>
    <m/>
    <x v="3"/>
    <s v="RRD"/>
    <m/>
    <d v="2014-06-13T00:00:00"/>
    <s v="Geo-Info, HH/Pop data was updated from Google Earth."/>
    <s v="P4"/>
    <n v="0"/>
    <m/>
    <n v="0"/>
    <s v="Dawthponeyan  Town"/>
    <n v="14.236592976936194"/>
    <n v="3"/>
  </r>
  <r>
    <x v="0"/>
    <x v="0"/>
    <s v="MMR001"/>
    <s v="Bhamo"/>
    <s v="MMR001D003"/>
    <x v="5"/>
    <s v="MMR001012"/>
    <s v="Myo Thit"/>
    <s v="MMR001012010"/>
    <s v="Myo Thit"/>
    <n v="167048"/>
    <x v="63"/>
    <x v="63"/>
    <x v="60"/>
    <n v="24.404876999999999"/>
    <m/>
    <n v="13"/>
    <n v="53"/>
    <n v="4.0769230769230766"/>
    <x v="0"/>
    <x v="0"/>
    <x v="2"/>
    <x v="1"/>
    <m/>
    <m/>
    <x v="3"/>
    <s v="RRD"/>
    <m/>
    <d v="2014-06-13T00:00:00"/>
    <s v="Geo-Info, HH/Pop data was updated from Google Earth."/>
    <s v="P4"/>
    <n v="0"/>
    <m/>
    <n v="0"/>
    <s v="Momauk Town"/>
    <n v="17.689123339899055"/>
    <n v="4"/>
  </r>
  <r>
    <x v="0"/>
    <x v="0"/>
    <s v="MMR001"/>
    <s v="Bhamo"/>
    <s v="MMR001D003"/>
    <x v="5"/>
    <s v="MMR001012"/>
    <s v="Man Pon"/>
    <s v="MMR001012001"/>
    <s v="Man Pon"/>
    <n v="167009"/>
    <x v="64"/>
    <x v="64"/>
    <x v="61"/>
    <n v="24.245100000000001"/>
    <m/>
    <n v="261"/>
    <n v="1155"/>
    <n v="4.4252873563218387"/>
    <x v="0"/>
    <x v="0"/>
    <x v="0"/>
    <x v="0"/>
    <d v="2012-05-01T00:00:00"/>
    <n v="2"/>
    <x v="5"/>
    <s v="IP"/>
    <m/>
    <d v="2016-01-28T00:00:00"/>
    <s v="28/Jan/2016. Population update. Data source: KBC (mail by maran)_x000a_19-Aug-2015. Population Update. Data Source; KMSS-BMO_x000a_Population increased. Relocated from Momauk Catholic Church (St. Patrick) - MMR001CMP057"/>
    <s v="P4"/>
    <n v="108"/>
    <m/>
    <n v="108"/>
    <s v="Momauk Town"/>
    <n v="2.4411071835305544"/>
    <n v="1"/>
  </r>
  <r>
    <x v="0"/>
    <x v="0"/>
    <s v="MMR001"/>
    <s v="Bhamo"/>
    <s v="MMR001D003"/>
    <x v="5"/>
    <s v="MMR001012"/>
    <s v="Man Nawng"/>
    <s v="MMR001012014"/>
    <s v="Man Nawng"/>
    <n v="167063"/>
    <x v="65"/>
    <x v="65"/>
    <x v="62"/>
    <n v="24.410008999999999"/>
    <m/>
    <n v="28"/>
    <n v="136"/>
    <n v="4.8571428571428568"/>
    <x v="0"/>
    <x v="0"/>
    <x v="2"/>
    <x v="1"/>
    <m/>
    <m/>
    <x v="3"/>
    <s v="RRD"/>
    <m/>
    <m/>
    <m/>
    <s v="P4"/>
    <n v="0"/>
    <m/>
    <n v="0"/>
    <s v="Momauk Town"/>
    <n v="17.282528446236295"/>
    <n v="4"/>
  </r>
  <r>
    <x v="0"/>
    <x v="0"/>
    <s v="MMR001"/>
    <s v="Bhamo"/>
    <s v="MMR001D003"/>
    <x v="5"/>
    <s v="MMR001012"/>
    <s v="Maing Khat"/>
    <s v="MMR001012020"/>
    <s v="Maing Khat"/>
    <n v="167078"/>
    <x v="66"/>
    <x v="66"/>
    <x v="63"/>
    <n v="24.441697000000001"/>
    <m/>
    <n v="2"/>
    <n v="9"/>
    <n v="4.5"/>
    <x v="0"/>
    <x v="0"/>
    <x v="2"/>
    <x v="1"/>
    <m/>
    <m/>
    <x v="3"/>
    <s v="RRD"/>
    <m/>
    <d v="2014-06-13T00:00:00"/>
    <s v="Geo-Info, HH/Pop data was updated from Google Earth."/>
    <s v="P4"/>
    <n v="0"/>
    <m/>
    <n v="0"/>
    <s v="Dawthponeyan  Town"/>
    <n v="19.860265975801305"/>
    <n v="4"/>
  </r>
  <r>
    <x v="0"/>
    <x v="0"/>
    <s v="MMR001"/>
    <s v="Bhamo"/>
    <s v="MMR001D003"/>
    <x v="5"/>
    <s v="MMR001012"/>
    <s v="Hpar Kei (Dawthponeyan Sub-township)"/>
    <s v="MMR001012046"/>
    <s v="Hpar Kei"/>
    <n v="167242"/>
    <x v="67"/>
    <x v="67"/>
    <x v="64"/>
    <n v="24.630859999999998"/>
    <m/>
    <n v="39"/>
    <n v="176"/>
    <n v="4.5128205128205128"/>
    <x v="0"/>
    <x v="0"/>
    <x v="2"/>
    <x v="1"/>
    <m/>
    <m/>
    <x v="3"/>
    <s v="RRD"/>
    <m/>
    <d v="2014-01-07T00:00:00"/>
    <s v="Update from OCHA Data (2 Jan 2014)"/>
    <s v="P4"/>
    <n v="0"/>
    <m/>
    <n v="0"/>
    <s v="Dawthponeyan  Town"/>
    <n v="3.6887624513681017"/>
    <n v="1"/>
  </r>
  <r>
    <x v="0"/>
    <x v="0"/>
    <s v="MMR001"/>
    <s v="Bhamo"/>
    <s v="MMR001D003"/>
    <x v="6"/>
    <s v="MMR001013"/>
    <s v="Mansi Town"/>
    <s v="MMR001013701"/>
    <s v="Kawng Yar Ward"/>
    <s v="MMR001013701504"/>
    <x v="68"/>
    <x v="68"/>
    <x v="65"/>
    <n v="24.129059999999999"/>
    <n v="0"/>
    <n v="196"/>
    <n v="908"/>
    <n v="4.6326530612244898"/>
    <x v="0"/>
    <x v="0"/>
    <x v="0"/>
    <x v="0"/>
    <d v="2013-11-01T00:00:00"/>
    <n v="2"/>
    <x v="0"/>
    <s v="IP"/>
    <m/>
    <d v="2016-07-18T00:00:00"/>
    <s v="18/Jul/2016: Population updte. Data source: KBC_x000a_12/May/2016. Population update. Data source: KBC_x000a_28/Jan/2016. Population update. Data source: KBC (mail by maran)"/>
    <s v="P4"/>
    <n v="91"/>
    <m/>
    <n v="91"/>
    <s v="Mansi Town"/>
    <n v="1.0576516850656514"/>
    <n v="1"/>
  </r>
  <r>
    <x v="0"/>
    <x v="0"/>
    <s v="MMR001"/>
    <s v="Bhamo"/>
    <s v="MMR001D003"/>
    <x v="7"/>
    <s v="MMR001011"/>
    <s v="Shwegu Town"/>
    <s v="MMR001011701"/>
    <s v="Shwegu Town"/>
    <s v="MMR001011701504"/>
    <x v="69"/>
    <x v="69"/>
    <x v="66"/>
    <n v="24.200361000000001"/>
    <n v="0"/>
    <n v="86"/>
    <n v="313"/>
    <n v="3.63953488372093"/>
    <x v="0"/>
    <x v="0"/>
    <x v="0"/>
    <x v="0"/>
    <d v="2011-07-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UNHCR-Bhamo"/>
    <s v="P4"/>
    <n v="44"/>
    <m/>
    <n v="44"/>
    <s v="Shwegu Town"/>
    <n v="0.74396039478864395"/>
    <n v="1"/>
  </r>
  <r>
    <x v="0"/>
    <x v="0"/>
    <s v="MMR001"/>
    <s v="Bhamo"/>
    <s v="MMR001D003"/>
    <x v="7"/>
    <s v="MMR001011"/>
    <s v="Shwegu Town"/>
    <s v="MMR001011701"/>
    <s v="Shwegu Town"/>
    <s v="MMR001011701504"/>
    <x v="70"/>
    <x v="70"/>
    <x v="66"/>
    <n v="24.200367"/>
    <m/>
    <n v="41"/>
    <n v="152"/>
    <n v="3.7073170731707319"/>
    <x v="0"/>
    <x v="0"/>
    <x v="0"/>
    <x v="0"/>
    <d v="2011-07-01T00:00:00"/>
    <n v="2"/>
    <x v="5"/>
    <s v="IP"/>
    <m/>
    <d v="2016-01-28T00:00:00"/>
    <s v="28/Jan/2016. Population update. Data source: KBC (mail by maran)_x000a_19 Aug 2015. Update Population. Data Source; KMSS-BMO_x000a_Population update: Source UNHCR-Bhamo"/>
    <s v="P4"/>
    <n v="0"/>
    <m/>
    <n v="0"/>
    <s v="Shwegu Town"/>
    <n v="0.74330366237812662"/>
    <n v="1"/>
  </r>
  <r>
    <x v="0"/>
    <x v="0"/>
    <s v="MMR001"/>
    <s v="Bhamo"/>
    <s v="MMR001D003"/>
    <x v="5"/>
    <s v="MMR001012"/>
    <s v="Lwegel Town"/>
    <s v="MMR001012702"/>
    <s v="Aung Chan Thar Ward"/>
    <s v="MMR001012702503"/>
    <x v="71"/>
    <x v="71"/>
    <x v="67"/>
    <n v="24.205417000000001"/>
    <m/>
    <n v="124"/>
    <n v="544"/>
    <n v="4.387096774193548"/>
    <x v="0"/>
    <x v="0"/>
    <x v="0"/>
    <x v="0"/>
    <d v="2011-11-01T00:00:00"/>
    <n v="2"/>
    <x v="5"/>
    <s v="IP"/>
    <m/>
    <d v="2016-01-28T00:00:00"/>
    <s v="28/Jan/2016. Population update. Data source: KBC (mail by maran)_x000a_19 Aug 2015. Udate Population. Date Source; KMSS-BMO_x000a_Population update: Source: KMSS-BMO"/>
    <s v="P3"/>
    <n v="57"/>
    <m/>
    <n v="57"/>
    <s v="Lwegel Town"/>
    <n v="0.77978735578277303"/>
    <n v="1"/>
  </r>
  <r>
    <x v="0"/>
    <x v="0"/>
    <s v="MMR001"/>
    <s v="Bhamo"/>
    <s v="MMR001D003"/>
    <x v="5"/>
    <s v="MMR001012"/>
    <s v="Lwegel Town"/>
    <s v="MMR001012702"/>
    <s v="Aung Zay Yar Ward"/>
    <s v="MMR001012702505"/>
    <x v="72"/>
    <x v="72"/>
    <x v="68"/>
    <n v="24.200433"/>
    <n v="0"/>
    <n v="190"/>
    <n v="1021"/>
    <n v="5.3736842105263154"/>
    <x v="0"/>
    <x v="0"/>
    <x v="0"/>
    <x v="0"/>
    <d v="2012-04-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108"/>
    <m/>
    <n v="108"/>
    <s v="Lwegel Town"/>
    <n v="0.38934692601696641"/>
    <n v="1"/>
  </r>
  <r>
    <x v="0"/>
    <x v="0"/>
    <s v="MMR001"/>
    <s v="Bhamo"/>
    <s v="MMR001D003"/>
    <x v="5"/>
    <s v="MMR001012"/>
    <s v="Lwegel Town"/>
    <s v="MMR001012702"/>
    <s v="Aung Chan Thar Ward"/>
    <s v="MMR001012702503"/>
    <x v="73"/>
    <x v="73"/>
    <x v="69"/>
    <n v="24.200972"/>
    <m/>
    <n v="36"/>
    <n v="215"/>
    <n v="5.9722222222222223"/>
    <x v="0"/>
    <x v="0"/>
    <x v="0"/>
    <x v="0"/>
    <d v="2012-05-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0"/>
    <m/>
    <n v="0"/>
    <s v="Lwegel Town"/>
    <n v="0.28829825866869707"/>
    <n v="1"/>
  </r>
  <r>
    <x v="0"/>
    <x v="0"/>
    <s v="MMR001"/>
    <s v="Bhamo"/>
    <s v="MMR001D003"/>
    <x v="5"/>
    <s v="MMR001012"/>
    <s v="Lwegel Town"/>
    <s v="MMR001012039"/>
    <s v="Aung Zay Yar Ward"/>
    <s v="MMR001012702505"/>
    <x v="74"/>
    <x v="74"/>
    <x v="70"/>
    <n v="24.205417000000001"/>
    <n v="0"/>
    <n v="50"/>
    <n v="309"/>
    <n v="6.18"/>
    <x v="0"/>
    <x v="0"/>
    <x v="0"/>
    <x v="0"/>
    <d v="2012-08-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5"/>
    <m/>
    <n v="5"/>
    <s v="Lwegel Town"/>
    <n v="0.77561767807574999"/>
    <n v="1"/>
  </r>
  <r>
    <x v="0"/>
    <x v="0"/>
    <s v="MMR001"/>
    <s v="Bhamo"/>
    <s v="MMR001D003"/>
    <x v="5"/>
    <s v="MMR001012"/>
    <s v="Lwegel Town"/>
    <s v="MMR001012702"/>
    <s v="Saing Gyar Ward"/>
    <s v="MMR001012702506"/>
    <x v="75"/>
    <x v="75"/>
    <x v="71"/>
    <n v="24.207332999999998"/>
    <n v="0"/>
    <n v="39"/>
    <n v="248"/>
    <n v="6.3589743589743586"/>
    <x v="0"/>
    <x v="0"/>
    <x v="0"/>
    <x v="0"/>
    <d v="2012-08-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2015 Update population. Data Source: KBC_x000a_Population update: Source: Camp Profile Round 2."/>
    <s v="P3"/>
    <n v="0"/>
    <m/>
    <n v="0"/>
    <s v="Lwegel Town"/>
    <n v="1.343152344964242"/>
    <n v="1"/>
  </r>
  <r>
    <x v="0"/>
    <x v="0"/>
    <s v="MMR001"/>
    <s v="Puta-O"/>
    <s v="MMR001D004"/>
    <x v="8"/>
    <s v="MMR001018"/>
    <s v="La Ja Ga"/>
    <s v="MMR001018021"/>
    <s v="La Ja"/>
    <n v="168236"/>
    <x v="76"/>
    <x v="76"/>
    <x v="72"/>
    <n v="26.890058"/>
    <n v="1393"/>
    <n v="11"/>
    <n v="17"/>
    <n v="1.5454545454545454"/>
    <x v="0"/>
    <x v="0"/>
    <x v="0"/>
    <x v="1"/>
    <m/>
    <m/>
    <x v="3"/>
    <s v="RRD"/>
    <m/>
    <d v="2014-01-07T00:00:00"/>
    <s v="Update data from OCHA IDPs List"/>
    <s v="P4"/>
    <n v="11"/>
    <m/>
    <n v="11"/>
    <s v="Khaunglanhpu Town"/>
    <n v="28.422357500443528"/>
    <n v="6"/>
  </r>
  <r>
    <x v="0"/>
    <x v="0"/>
    <s v="MMR001"/>
    <s v="Puta-O"/>
    <s v="MMR001D004"/>
    <x v="9"/>
    <s v="MMR001014"/>
    <s v="Puta-O Town"/>
    <s v="MMR001014701"/>
    <s v="Doke Tan Ward"/>
    <s v="MMR001014701509"/>
    <x v="77"/>
    <x v="77"/>
    <x v="73"/>
    <n v="27.311699999999998"/>
    <n v="476.7"/>
    <n v="14"/>
    <n v="64"/>
    <n v="4.5714285714285712"/>
    <x v="0"/>
    <x v="0"/>
    <x v="2"/>
    <x v="1"/>
    <m/>
    <m/>
    <x v="3"/>
    <s v="IP"/>
    <m/>
    <d v="2014-04-07T00:00:00"/>
    <s v="Changed Camp to Host Families. Source: Camp Profile Questionnaire."/>
    <s v="P3"/>
    <n v="0"/>
    <m/>
    <n v="0"/>
    <s v="Puta-O Town"/>
    <n v="1.3759254000531889"/>
    <n v="1"/>
  </r>
  <r>
    <x v="0"/>
    <x v="0"/>
    <s v="MMR001"/>
    <s v="Mohnyin"/>
    <s v="MMR001D002"/>
    <x v="10"/>
    <s v="MMR001008"/>
    <s v="Nawng Kaing Htaw"/>
    <s v="MMR001008002"/>
    <s v="Ma Haung"/>
    <n v="166676"/>
    <x v="78"/>
    <x v="78"/>
    <x v="74"/>
    <n v="25.296579999999999"/>
    <n v="0"/>
    <n v="16"/>
    <n v="71"/>
    <n v="4.4375"/>
    <x v="0"/>
    <x v="0"/>
    <x v="0"/>
    <x v="0"/>
    <d v="2012-05-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Data Source: KBC_x000a_Checked with KBC data"/>
    <s v="P4"/>
    <n v="6"/>
    <m/>
    <n v="6"/>
    <s v="Mogaung Town"/>
    <n v="0.71141459237180937"/>
    <n v="1"/>
  </r>
  <r>
    <x v="0"/>
    <x v="0"/>
    <s v="MMR001"/>
    <s v="Mohnyin"/>
    <s v="MMR001D002"/>
    <x v="10"/>
    <s v="MMR001008"/>
    <s v="Mogaung Town"/>
    <s v="MMR001008701"/>
    <s v="Kyun Taw Ward"/>
    <s v="MMR001008701510"/>
    <x v="79"/>
    <x v="79"/>
    <x v="75"/>
    <n v="25.305669999999999"/>
    <n v="470"/>
    <n v="13"/>
    <n v="64"/>
    <n v="4.9230769230769234"/>
    <x v="0"/>
    <x v="0"/>
    <x v="0"/>
    <x v="0"/>
    <d v="2012-05-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Update population from KBC._x000a_25-Jun-2015 Update population. Data Source: KBC_x000a_Checked with KBC data"/>
    <s v="P4"/>
    <n v="0"/>
    <m/>
    <n v="0"/>
    <s v="Mogaung Town"/>
    <n v="1.815139598767344"/>
    <n v="1"/>
  </r>
  <r>
    <x v="0"/>
    <x v="0"/>
    <s v="MMR001"/>
    <s v="Mohnyin"/>
    <s v="MMR001D002"/>
    <x v="10"/>
    <s v="MMR001008"/>
    <s v="Mogaung Town"/>
    <s v="MMR001008701"/>
    <s v="Nat Gyi Kone Ward"/>
    <s v="MMR001008701506"/>
    <x v="80"/>
    <x v="80"/>
    <x v="76"/>
    <n v="25.30442"/>
    <n v="100"/>
    <n v="12"/>
    <n v="46"/>
    <n v="3.8333333333333335"/>
    <x v="0"/>
    <x v="0"/>
    <x v="0"/>
    <x v="0"/>
    <d v="2012-03-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19-Aug-15 Update population. Data Source: KBC._x000a_25-Jun-2015 Update population. Data Source: KBC_x000a_Update population according to KBC data"/>
    <s v="P4"/>
    <n v="0"/>
    <m/>
    <n v="0"/>
    <s v="Mogaung Town"/>
    <n v="0.86042374061342075"/>
    <n v="1"/>
  </r>
  <r>
    <x v="0"/>
    <x v="0"/>
    <s v="MMR001"/>
    <s v="Mohnyin"/>
    <s v="MMR001D002"/>
    <x v="11"/>
    <s v="MMR001007"/>
    <s v="Mohnyin Town"/>
    <s v="MMR001007701"/>
    <s v="Aung Tha Pyay Ward"/>
    <s v="MMR001007701505"/>
    <x v="81"/>
    <x v="81"/>
    <x v="77"/>
    <n v="24.764800000000001"/>
    <m/>
    <n v="12"/>
    <n v="61"/>
    <n v="5.083333333333333"/>
    <x v="0"/>
    <x v="0"/>
    <x v="0"/>
    <x v="0"/>
    <d v="2012-06-01T00:00:00"/>
    <m/>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Dec/2015 (Population update. Data source: Monthly report by KMSS_MYT). Reasons for population changes; travelling from the camp for daily worker._x000a_2-Oct-15 (Population update. Data Source: Monthly report by KMSS-MYT)_x000a_19-Aug-15 (Population updata. Data Source: KMSS-MYT)_x000a_25-Jun-15 (Population update. Source KMSS-MYT)_x000a_Population Update. Source: KMSS-MYT"/>
    <s v="P4"/>
    <n v="0"/>
    <m/>
    <n v="0"/>
    <s v="Mohnyin Town"/>
    <n v="1.7021273757523427"/>
    <n v="1"/>
  </r>
  <r>
    <x v="1"/>
    <x v="0"/>
    <s v="MMR001"/>
    <s v="Mohnyin"/>
    <s v="MMR001D002"/>
    <x v="11"/>
    <s v="MMR001007"/>
    <s v="Nam Mun"/>
    <s v="MMR001007016"/>
    <s v="Nam Mun"/>
    <n v="166591"/>
    <x v="82"/>
    <x v="82"/>
    <x v="78"/>
    <n v="24.998349999999999"/>
    <n v="0"/>
    <n v="0"/>
    <n v="0"/>
    <s v="NA"/>
    <x v="0"/>
    <x v="0"/>
    <x v="0"/>
    <x v="1"/>
    <d v="2012-03-01T00:00:00"/>
    <m/>
    <x v="0"/>
    <s v="RRD"/>
    <m/>
    <d v="2014-07-17T00:00:00"/>
    <s v="Closed. Duplicate with (Nawng Ing (Indawgyi) Baptist Church)"/>
    <s v="P4"/>
    <n v="0"/>
    <m/>
    <n v="0"/>
    <s v=""/>
    <s v=""/>
    <s v=""/>
  </r>
  <r>
    <x v="1"/>
    <x v="0"/>
    <s v="MMR001"/>
    <s v="Mohnyin"/>
    <s v="MMR001D002"/>
    <x v="12"/>
    <s v="MMR001009"/>
    <s v="Hpakan Town"/>
    <s v="MMR001009701"/>
    <s v="Hnget Pyaw Taw Ward"/>
    <s v="MMR001009701502"/>
    <x v="83"/>
    <x v="83"/>
    <x v="79"/>
    <n v="25.611160000000002"/>
    <n v="0"/>
    <n v="0"/>
    <n v="0"/>
    <s v="NA"/>
    <x v="0"/>
    <x v="0"/>
    <x v="0"/>
    <x v="0"/>
    <d v="2012-08-01T00:00:00"/>
    <n v="2"/>
    <x v="0"/>
    <s v="IP"/>
    <m/>
    <d v="2014-05-15T00:00:00"/>
    <s v="Closed.Moved to Na Ma Pyit KBC."/>
    <s v=""/>
    <n v="0"/>
    <m/>
    <n v="0"/>
    <s v=""/>
    <s v=""/>
    <s v=""/>
  </r>
  <r>
    <x v="1"/>
    <x v="0"/>
    <s v="MMR001"/>
    <s v="Mohnyin"/>
    <s v="MMR001D002"/>
    <x v="12"/>
    <s v="MMR001009"/>
    <s v="Hpakan Town"/>
    <s v="MMR001009701"/>
    <s v="Hnget Pyaw Taw Ward"/>
    <s v="MMR001009701502"/>
    <x v="84"/>
    <x v="84"/>
    <x v="80"/>
    <n v="25.611899999999999"/>
    <m/>
    <n v="0"/>
    <n v="0"/>
    <s v="NA"/>
    <x v="0"/>
    <x v="0"/>
    <x v="0"/>
    <x v="2"/>
    <m/>
    <m/>
    <x v="3"/>
    <m/>
    <m/>
    <m/>
    <s v=" "/>
    <s v=""/>
    <n v="0"/>
    <m/>
    <n v="0"/>
    <s v=""/>
    <s v=""/>
    <s v=""/>
  </r>
  <r>
    <x v="1"/>
    <x v="0"/>
    <s v="MMR001"/>
    <s v="Mohnyin"/>
    <s v="MMR001D002"/>
    <x v="12"/>
    <s v="MMR001009"/>
    <s v="Hpakan Town"/>
    <s v="MMR001009701"/>
    <s v="Maw Wam Ward"/>
    <s v="MMR001009701501"/>
    <x v="85"/>
    <x v="85"/>
    <x v="32"/>
    <m/>
    <m/>
    <n v="0"/>
    <n v="0"/>
    <s v="NA"/>
    <x v="0"/>
    <x v="0"/>
    <x v="0"/>
    <x v="2"/>
    <m/>
    <m/>
    <x v="3"/>
    <m/>
    <m/>
    <m/>
    <s v=" "/>
    <s v=""/>
    <n v="0"/>
    <m/>
    <n v="0"/>
    <s v=""/>
    <s v=""/>
    <s v=""/>
  </r>
  <r>
    <x v="1"/>
    <x v="0"/>
    <s v="MMR001"/>
    <s v="Mohnyin"/>
    <s v="MMR001D002"/>
    <x v="12"/>
    <s v="MMR001009"/>
    <s v="Hpakan Town"/>
    <s v="MMR001009701"/>
    <s v="Maw Wam Ward"/>
    <s v="MMR001009701501"/>
    <x v="86"/>
    <x v="86"/>
    <x v="81"/>
    <n v="25.619221"/>
    <m/>
    <n v="0"/>
    <n v="0"/>
    <s v="NA"/>
    <x v="0"/>
    <x v="0"/>
    <x v="0"/>
    <x v="2"/>
    <m/>
    <m/>
    <x v="3"/>
    <m/>
    <m/>
    <m/>
    <s v=" "/>
    <s v=""/>
    <n v="0"/>
    <m/>
    <n v="0"/>
    <s v=""/>
    <s v=""/>
    <s v=""/>
  </r>
  <r>
    <x v="1"/>
    <x v="0"/>
    <s v="MMR001"/>
    <s v="Mohnyin"/>
    <s v="MMR001D002"/>
    <x v="12"/>
    <s v="MMR001009"/>
    <m/>
    <m/>
    <m/>
    <m/>
    <x v="87"/>
    <x v="87"/>
    <x v="32"/>
    <m/>
    <m/>
    <n v="0"/>
    <n v="0"/>
    <s v="NA"/>
    <x v="0"/>
    <x v="0"/>
    <x v="0"/>
    <x v="2"/>
    <m/>
    <m/>
    <x v="3"/>
    <m/>
    <m/>
    <m/>
    <s v=" "/>
    <s v=""/>
    <n v="0"/>
    <m/>
    <n v="0"/>
    <s v=""/>
    <s v=""/>
    <s v=""/>
  </r>
  <r>
    <x v="1"/>
    <x v="0"/>
    <s v="MMR001"/>
    <s v="Mohnyin"/>
    <s v="MMR001D002"/>
    <x v="12"/>
    <s v="MMR001009"/>
    <s v="Hpakan Town"/>
    <s v="MMR001009701"/>
    <s v="Maw Wam Ward"/>
    <s v="MMR001009701501"/>
    <x v="88"/>
    <x v="88"/>
    <x v="32"/>
    <m/>
    <m/>
    <n v="0"/>
    <n v="0"/>
    <s v="NA"/>
    <x v="0"/>
    <x v="0"/>
    <x v="0"/>
    <x v="2"/>
    <m/>
    <m/>
    <x v="3"/>
    <m/>
    <m/>
    <m/>
    <s v=" "/>
    <s v=""/>
    <n v="0"/>
    <m/>
    <n v="0"/>
    <s v=""/>
    <s v=""/>
    <s v=""/>
  </r>
  <r>
    <x v="1"/>
    <x v="0"/>
    <s v="MMR001"/>
    <s v="Mohnyin"/>
    <s v="MMR001D002"/>
    <x v="12"/>
    <s v="MMR001009"/>
    <s v="Hpakan Town"/>
    <s v="MMR001009701"/>
    <s v="Maw Wam Ward"/>
    <s v="MMR001009701501"/>
    <x v="89"/>
    <x v="89"/>
    <x v="32"/>
    <m/>
    <m/>
    <n v="0"/>
    <n v="0"/>
    <s v="NA"/>
    <x v="0"/>
    <x v="0"/>
    <x v="0"/>
    <x v="2"/>
    <m/>
    <m/>
    <x v="3"/>
    <m/>
    <m/>
    <m/>
    <s v=" "/>
    <s v=""/>
    <n v="0"/>
    <m/>
    <n v="0"/>
    <s v=""/>
    <s v=""/>
    <s v=""/>
  </r>
  <r>
    <x v="0"/>
    <x v="0"/>
    <s v="MMR001"/>
    <s v="Mohnyin"/>
    <s v="MMR001D002"/>
    <x v="12"/>
    <s v="MMR001009"/>
    <s v="Hpakan Town"/>
    <s v="MMR001009701"/>
    <s v="Maw Wam Ward"/>
    <s v="MMR001009701501"/>
    <x v="90"/>
    <x v="90"/>
    <x v="82"/>
    <n v="25.6145"/>
    <n v="65"/>
    <n v="5"/>
    <n v="26"/>
    <n v="5.2"/>
    <x v="0"/>
    <x v="0"/>
    <x v="0"/>
    <x v="0"/>
    <d v="2012-08-01T00:00:00"/>
    <n v="1"/>
    <x v="1"/>
    <s v="IP"/>
    <m/>
    <d v="2016-07-20T00:00:00"/>
    <s v="20/Jul/2016: Population update. Data source: Shalom_x000a_16/Jun/2016: Population update. Data source: mail by Shalom_x000a_25-Jun-15 (Population update. Source : Shalom)_x000a_Population update: Source: Camp Profile Round 2."/>
    <s v="P4"/>
    <n v="0"/>
    <m/>
    <n v="0"/>
    <s v="Hpakant Town"/>
    <n v="0.79577754007276646"/>
    <n v="1"/>
  </r>
  <r>
    <x v="1"/>
    <x v="0"/>
    <s v="MMR001"/>
    <s v="Mohnyin"/>
    <s v="MMR001D002"/>
    <x v="12"/>
    <s v="MMR001009"/>
    <s v="Hpakan Town"/>
    <s v="MMR001009701"/>
    <s v="Aye Mya Thar Yar Ward"/>
    <s v="MMR001009701504"/>
    <x v="91"/>
    <x v="91"/>
    <x v="32"/>
    <m/>
    <m/>
    <n v="0"/>
    <n v="0"/>
    <s v="NA"/>
    <x v="0"/>
    <x v="0"/>
    <x v="0"/>
    <x v="2"/>
    <m/>
    <m/>
    <x v="3"/>
    <m/>
    <m/>
    <m/>
    <s v=" "/>
    <s v=""/>
    <n v="0"/>
    <m/>
    <n v="0"/>
    <s v=""/>
    <s v=""/>
    <s v=""/>
  </r>
  <r>
    <x v="1"/>
    <x v="0"/>
    <s v="MMR001"/>
    <s v="Mohnyin"/>
    <s v="MMR001D002"/>
    <x v="12"/>
    <s v="MMR001009"/>
    <s v="Hpakan Town"/>
    <s v="MMR001009701"/>
    <s v="Ma Shi Ka Htaung Ward"/>
    <s v="MMR001009701505"/>
    <x v="92"/>
    <x v="92"/>
    <x v="32"/>
    <m/>
    <m/>
    <n v="0"/>
    <n v="0"/>
    <s v="NA"/>
    <x v="0"/>
    <x v="0"/>
    <x v="0"/>
    <x v="2"/>
    <m/>
    <m/>
    <x v="3"/>
    <m/>
    <m/>
    <m/>
    <s v=" "/>
    <s v=""/>
    <n v="0"/>
    <m/>
    <n v="0"/>
    <s v=""/>
    <s v=""/>
    <s v=""/>
  </r>
  <r>
    <x v="1"/>
    <x v="0"/>
    <s v="MMR001"/>
    <s v="Mohnyin"/>
    <s v="MMR001D002"/>
    <x v="12"/>
    <s v="MMR001009"/>
    <s v="Hpakan Town"/>
    <s v="MMR001009701"/>
    <s v="Ma Shi Ka Htaung Ward"/>
    <s v="MMR001009701505"/>
    <x v="93"/>
    <x v="93"/>
    <x v="83"/>
    <n v="25.609179999999999"/>
    <m/>
    <n v="0"/>
    <n v="0"/>
    <s v="NA"/>
    <x v="0"/>
    <x v="0"/>
    <x v="0"/>
    <x v="2"/>
    <m/>
    <m/>
    <x v="3"/>
    <m/>
    <m/>
    <m/>
    <s v=" "/>
    <s v=""/>
    <n v="0"/>
    <m/>
    <n v="0"/>
    <s v=""/>
    <s v=""/>
    <s v=""/>
  </r>
  <r>
    <x v="1"/>
    <x v="0"/>
    <s v="MMR001"/>
    <s v="Mohnyin"/>
    <s v="MMR001D002"/>
    <x v="12"/>
    <s v="MMR001009"/>
    <s v="Hpakan Town"/>
    <s v="MMR001009701"/>
    <s v="Ma Shi Ka Htaung Ward"/>
    <s v="MMR001009701505"/>
    <x v="94"/>
    <x v="94"/>
    <x v="32"/>
    <m/>
    <m/>
    <n v="0"/>
    <n v="0"/>
    <s v="NA"/>
    <x v="0"/>
    <x v="0"/>
    <x v="0"/>
    <x v="2"/>
    <m/>
    <m/>
    <x v="3"/>
    <m/>
    <m/>
    <m/>
    <s v=" "/>
    <s v=""/>
    <n v="0"/>
    <m/>
    <n v="0"/>
    <s v=""/>
    <s v=""/>
    <s v=""/>
  </r>
  <r>
    <x v="1"/>
    <x v="0"/>
    <s v="MMR001"/>
    <s v="Mohnyin"/>
    <s v="MMR001D002"/>
    <x v="12"/>
    <s v="MMR001009"/>
    <s v="Hpakan Town"/>
    <s v="MMR001009701"/>
    <s v="Ma Shi Ka Htaung Ward"/>
    <s v="MMR001009701505"/>
    <x v="95"/>
    <x v="95"/>
    <x v="32"/>
    <m/>
    <m/>
    <n v="0"/>
    <n v="0"/>
    <s v="NA"/>
    <x v="0"/>
    <x v="0"/>
    <x v="0"/>
    <x v="2"/>
    <m/>
    <m/>
    <x v="3"/>
    <m/>
    <m/>
    <m/>
    <s v=" "/>
    <s v=""/>
    <n v="0"/>
    <m/>
    <n v="0"/>
    <s v=""/>
    <s v=""/>
    <s v=""/>
  </r>
  <r>
    <x v="1"/>
    <x v="0"/>
    <s v="MMR001"/>
    <s v="Mohnyin"/>
    <s v="MMR001D002"/>
    <x v="12"/>
    <s v="MMR001009"/>
    <s v="Hpakan Town"/>
    <s v="MMR001009701"/>
    <s v="Ma Shi Ka Htaung Ward"/>
    <s v="MMR001009701505"/>
    <x v="96"/>
    <x v="96"/>
    <x v="32"/>
    <m/>
    <m/>
    <n v="0"/>
    <n v="0"/>
    <s v="NA"/>
    <x v="0"/>
    <x v="0"/>
    <x v="0"/>
    <x v="2"/>
    <m/>
    <m/>
    <x v="3"/>
    <m/>
    <m/>
    <m/>
    <s v=" "/>
    <s v=""/>
    <n v="0"/>
    <m/>
    <n v="0"/>
    <s v=""/>
    <s v=""/>
    <s v=""/>
  </r>
  <r>
    <x v="1"/>
    <x v="0"/>
    <s v="MMR001"/>
    <s v="Mohnyin"/>
    <s v="MMR001D002"/>
    <x v="12"/>
    <s v="MMR001009"/>
    <s v="Hpakan Town"/>
    <s v="MMR001009701"/>
    <s v="Ma Shi Ka Htaung Ward"/>
    <s v="MMR001009701505"/>
    <x v="97"/>
    <x v="97"/>
    <x v="32"/>
    <m/>
    <m/>
    <n v="0"/>
    <n v="0"/>
    <s v="NA"/>
    <x v="0"/>
    <x v="0"/>
    <x v="0"/>
    <x v="2"/>
    <m/>
    <m/>
    <x v="3"/>
    <m/>
    <m/>
    <m/>
    <s v=" "/>
    <s v=""/>
    <n v="0"/>
    <m/>
    <n v="0"/>
    <s v=""/>
    <s v=""/>
    <s v=""/>
  </r>
  <r>
    <x v="1"/>
    <x v="0"/>
    <s v="MMR001"/>
    <s v="Mohnyin"/>
    <s v="MMR001D002"/>
    <x v="12"/>
    <s v="MMR001009"/>
    <s v="Hpakan Town"/>
    <s v="MMR001009701"/>
    <s v="Ma Shi Ka Htaung Ward"/>
    <s v="MMR001009701505"/>
    <x v="98"/>
    <x v="98"/>
    <x v="32"/>
    <m/>
    <m/>
    <n v="0"/>
    <n v="0"/>
    <s v="NA"/>
    <x v="0"/>
    <x v="0"/>
    <x v="0"/>
    <x v="2"/>
    <m/>
    <m/>
    <x v="3"/>
    <m/>
    <m/>
    <m/>
    <s v=" "/>
    <s v=""/>
    <n v="0"/>
    <m/>
    <n v="0"/>
    <s v=""/>
    <s v=""/>
    <s v=""/>
  </r>
  <r>
    <x v="1"/>
    <x v="0"/>
    <s v="MMR001"/>
    <s v="Mohnyin"/>
    <s v="MMR001D002"/>
    <x v="12"/>
    <s v="MMR001009"/>
    <s v="Hpakan Town"/>
    <s v="MMR001009701"/>
    <s v="Ma Shi Ka Htaung Ward"/>
    <s v="MMR001009701505"/>
    <x v="99"/>
    <x v="99"/>
    <x v="32"/>
    <m/>
    <m/>
    <n v="0"/>
    <n v="0"/>
    <s v="NA"/>
    <x v="0"/>
    <x v="0"/>
    <x v="0"/>
    <x v="2"/>
    <m/>
    <m/>
    <x v="3"/>
    <m/>
    <m/>
    <m/>
    <s v=" "/>
    <s v=""/>
    <n v="0"/>
    <m/>
    <n v="0"/>
    <s v=""/>
    <s v=""/>
    <s v=""/>
  </r>
  <r>
    <x v="1"/>
    <x v="0"/>
    <s v="MMR001"/>
    <s v="Mohnyin"/>
    <s v="MMR001D002"/>
    <x v="12"/>
    <s v="MMR001009"/>
    <s v="Hpakan Town"/>
    <s v="MMR001009701"/>
    <s v="Myo Ma Ward"/>
    <s v="MMR001009701503"/>
    <x v="100"/>
    <x v="100"/>
    <x v="32"/>
    <m/>
    <m/>
    <n v="0"/>
    <n v="0"/>
    <s v="NA"/>
    <x v="0"/>
    <x v="0"/>
    <x v="0"/>
    <x v="2"/>
    <m/>
    <m/>
    <x v="3"/>
    <m/>
    <m/>
    <m/>
    <s v=" "/>
    <s v=""/>
    <n v="0"/>
    <m/>
    <n v="0"/>
    <s v=""/>
    <s v=""/>
    <s v=""/>
  </r>
  <r>
    <x v="1"/>
    <x v="0"/>
    <s v="MMR001"/>
    <s v="Mohnyin"/>
    <s v="MMR001D002"/>
    <x v="12"/>
    <s v="MMR001009"/>
    <s v="Hpakan Town"/>
    <s v="MMR001009701"/>
    <s v="Myo Ma Ward"/>
    <s v="MMR001009701503"/>
    <x v="101"/>
    <x v="101"/>
    <x v="32"/>
    <m/>
    <m/>
    <n v="0"/>
    <n v="0"/>
    <s v="NA"/>
    <x v="0"/>
    <x v="0"/>
    <x v="0"/>
    <x v="2"/>
    <m/>
    <m/>
    <x v="3"/>
    <m/>
    <m/>
    <m/>
    <s v=" "/>
    <s v=""/>
    <n v="0"/>
    <m/>
    <n v="0"/>
    <s v=""/>
    <s v=""/>
    <s v=""/>
  </r>
  <r>
    <x v="0"/>
    <x v="0"/>
    <s v="MMR001"/>
    <s v="Mohnyin"/>
    <s v="MMR001D002"/>
    <x v="12"/>
    <s v="MMR001009"/>
    <s v="Nam Ma Hpyit"/>
    <s v="MMR001009002"/>
    <s v="Nam Ma Hpyit"/>
    <n v="166776"/>
    <x v="102"/>
    <x v="102"/>
    <x v="84"/>
    <n v="25.613894999999999"/>
    <n v="251"/>
    <n v="52"/>
    <n v="240"/>
    <n v="4.615384615384615"/>
    <x v="0"/>
    <x v="0"/>
    <x v="0"/>
    <x v="0"/>
    <d v="2013-08-01T00:00:00"/>
    <n v="3"/>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3-Oct-15 (Population update. Data source: Monthly report by KMSS-MYT). Reason for changes; Travelling from the camp for Daily Worker._x000a_2-Oct-15 (Population update. Data Source: Monthly report by KMSS-MYT)_x000a_25-Jun-15 (Population update. Source: KMSS-MYT)_x000a_18-May-15 (Population update from field mission)_x000a_2-Apr-15 (Population update, Source: UNHCR CCCM Mission)"/>
    <s v="P4"/>
    <n v="0"/>
    <m/>
    <n v="0"/>
    <s v="Hpakant Town"/>
    <n v="2.9334852607184256"/>
    <n v="1"/>
  </r>
  <r>
    <x v="1"/>
    <x v="0"/>
    <s v="MMR001"/>
    <s v="Mohnyin"/>
    <s v="MMR001D002"/>
    <x v="12"/>
    <s v="MMR001009"/>
    <m/>
    <m/>
    <m/>
    <m/>
    <x v="103"/>
    <x v="103"/>
    <x v="32"/>
    <m/>
    <m/>
    <n v="0"/>
    <n v="0"/>
    <s v="NA"/>
    <x v="0"/>
    <x v="0"/>
    <x v="0"/>
    <x v="2"/>
    <m/>
    <m/>
    <x v="3"/>
    <m/>
    <m/>
    <m/>
    <s v=" "/>
    <s v=""/>
    <n v="0"/>
    <m/>
    <n v="0"/>
    <s v=""/>
    <s v=""/>
    <s v=""/>
  </r>
  <r>
    <x v="0"/>
    <x v="0"/>
    <s v="MMR001"/>
    <s v="Mohnyin"/>
    <s v="MMR001D002"/>
    <x v="12"/>
    <s v="MMR001009"/>
    <s v="Nam Ma Hpyit"/>
    <s v="MMR001009002"/>
    <s v="Nam Ma Hpyit"/>
    <n v="166776"/>
    <x v="104"/>
    <x v="104"/>
    <x v="85"/>
    <n v="25.599250000000001"/>
    <n v="0"/>
    <n v="12"/>
    <n v="48"/>
    <n v="4"/>
    <x v="0"/>
    <x v="0"/>
    <x v="0"/>
    <x v="0"/>
    <d v="2012-08-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4-Oct-15 Population update. Soruce; Hpakant Mission Report_WFP_x000a_25-Jun-15 Population update. Source: KBC_x000a_2-Apr-15 (Population update, Source: UNHCR CCCM Mission)_x000a_Update population according to KBC data."/>
    <s v="P4"/>
    <n v="2"/>
    <m/>
    <n v="2"/>
    <s v="Hpakant Town"/>
    <n v="1.5942018764815451"/>
    <n v="1"/>
  </r>
  <r>
    <x v="1"/>
    <x v="0"/>
    <s v="MMR001"/>
    <s v="Mohnyin"/>
    <s v="MMR001D002"/>
    <x v="12"/>
    <s v="MMR001009"/>
    <m/>
    <m/>
    <m/>
    <m/>
    <x v="105"/>
    <x v="105"/>
    <x v="86"/>
    <n v="25.6447"/>
    <m/>
    <n v="0"/>
    <n v="0"/>
    <s v="NA"/>
    <x v="0"/>
    <x v="0"/>
    <x v="0"/>
    <x v="2"/>
    <m/>
    <m/>
    <x v="3"/>
    <m/>
    <m/>
    <m/>
    <s v=" "/>
    <s v=""/>
    <n v="0"/>
    <m/>
    <n v="0"/>
    <s v=""/>
    <s v=""/>
    <s v=""/>
  </r>
  <r>
    <x v="1"/>
    <x v="0"/>
    <s v="MMR001"/>
    <s v="Mohnyin"/>
    <s v="MMR001D002"/>
    <x v="12"/>
    <s v="MMR001009"/>
    <s v="Seik Mu"/>
    <s v="MMR001009003"/>
    <s v="Ma Mon"/>
    <n v="166790"/>
    <x v="106"/>
    <x v="106"/>
    <x v="32"/>
    <m/>
    <m/>
    <n v="0"/>
    <n v="0"/>
    <s v="NA"/>
    <x v="0"/>
    <x v="0"/>
    <x v="0"/>
    <x v="2"/>
    <m/>
    <m/>
    <x v="3"/>
    <m/>
    <m/>
    <m/>
    <s v=" "/>
    <s v=""/>
    <n v="0"/>
    <m/>
    <n v="0"/>
    <s v=""/>
    <s v=""/>
    <s v=""/>
  </r>
  <r>
    <x v="1"/>
    <x v="0"/>
    <s v="MMR001"/>
    <s v="Mohnyin"/>
    <s v="MMR001D002"/>
    <x v="12"/>
    <s v="MMR001009"/>
    <m/>
    <m/>
    <m/>
    <m/>
    <x v="107"/>
    <x v="107"/>
    <x v="32"/>
    <m/>
    <m/>
    <n v="0"/>
    <n v="0"/>
    <s v="NA"/>
    <x v="0"/>
    <x v="0"/>
    <x v="0"/>
    <x v="2"/>
    <m/>
    <m/>
    <x v="3"/>
    <m/>
    <m/>
    <m/>
    <m/>
    <s v=""/>
    <n v="0"/>
    <m/>
    <n v="0"/>
    <s v=""/>
    <s v=""/>
    <s v=""/>
  </r>
  <r>
    <x v="0"/>
    <x v="0"/>
    <s v="MMR001"/>
    <s v="Mohnyin"/>
    <s v="MMR001D002"/>
    <x v="12"/>
    <s v="MMR001009"/>
    <s v="Seik Mu"/>
    <s v="MMR001009003"/>
    <s v="Seik Mu"/>
    <n v="166783"/>
    <x v="108"/>
    <x v="108"/>
    <x v="87"/>
    <n v="25.582065"/>
    <n v="0"/>
    <n v="6"/>
    <n v="30"/>
    <n v="5"/>
    <x v="0"/>
    <x v="0"/>
    <x v="0"/>
    <x v="0"/>
    <d v="2013-08-01T00:00:00"/>
    <n v="1"/>
    <x v="1"/>
    <s v="IP"/>
    <m/>
    <d v="2016-07-20T00:00:00"/>
    <s v="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4.4704963044882238"/>
    <n v="1"/>
  </r>
  <r>
    <x v="1"/>
    <x v="0"/>
    <s v="MMR001"/>
    <s v="Mohnyin"/>
    <s v="MMR001D002"/>
    <x v="12"/>
    <s v="MMR001009"/>
    <s v="Haung Par"/>
    <s v="MMR001009004"/>
    <s v="Haung Par"/>
    <n v="166794"/>
    <x v="109"/>
    <x v="109"/>
    <x v="32"/>
    <m/>
    <m/>
    <n v="0"/>
    <n v="0"/>
    <s v="NA"/>
    <x v="0"/>
    <x v="0"/>
    <x v="0"/>
    <x v="2"/>
    <m/>
    <m/>
    <x v="3"/>
    <m/>
    <m/>
    <m/>
    <m/>
    <s v=""/>
    <n v="0"/>
    <m/>
    <n v="0"/>
    <s v=""/>
    <s v=""/>
    <s v=""/>
  </r>
  <r>
    <x v="0"/>
    <x v="0"/>
    <s v="MMR001"/>
    <s v="Myitkyina"/>
    <s v="MMR001D001"/>
    <x v="2"/>
    <s v="MMR001002"/>
    <s v="Hpawt Dawt"/>
    <s v="MMR001002032"/>
    <s v="Mon Gar Zut"/>
    <n v="220360"/>
    <x v="110"/>
    <x v="110"/>
    <x v="88"/>
    <n v="25.106670000000001"/>
    <n v="756"/>
    <n v="604"/>
    <n v="2785"/>
    <n v="4.6109271523178812"/>
    <x v="1"/>
    <x v="0"/>
    <x v="0"/>
    <x v="1"/>
    <d v="2011-11-01T00:00:00"/>
    <n v="3"/>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according to KBC data"/>
    <s v="P2"/>
    <n v="0"/>
    <m/>
    <n v="0"/>
    <s v="Sadung Town"/>
    <n v="32.827754639406997"/>
    <n v="7"/>
  </r>
  <r>
    <x v="0"/>
    <x v="0"/>
    <s v="MMR001"/>
    <s v="Myitkyina"/>
    <s v="MMR001D001"/>
    <x v="2"/>
    <s v="MMR001002"/>
    <s v="Saga Pa (Sadung Sub-township)"/>
    <s v="MMR001002040"/>
    <s v="Saga Pa"/>
    <n v="165895"/>
    <x v="111"/>
    <x v="111"/>
    <x v="89"/>
    <n v="25.220278"/>
    <n v="2404"/>
    <n v="160"/>
    <n v="648"/>
    <n v="4.05"/>
    <x v="1"/>
    <x v="0"/>
    <x v="0"/>
    <x v="3"/>
    <d v="2011-11-01T00:00:00"/>
    <n v="3"/>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Dec/2015 (Population update. Data source: Monthly report by KMSS_MYT). Reason for pop changes; Arrived at the camp from daily work._x000a_23-Oct-15 (Population update. Data sorce: Monthly report by KMSS-MYT). Reason for changes; Travelling from the camp for daily worker._x000a_2-Oct-15 (Population update. Data sorce: Monthly report by KMSS-MYT)_x000a_19-Aug-15 (Population update. Data source: KMSS-MYT)_x000a_25-Jun-15 (Population update. KMSS-MYT)_x000a_Population Update. Source: KMSS-MYT"/>
    <s v="P1"/>
    <n v="0"/>
    <m/>
    <n v="0"/>
    <s v="Sadung Town"/>
    <n v="18.198335991626355"/>
    <n v="4"/>
  </r>
  <r>
    <x v="1"/>
    <x v="0"/>
    <s v="MMR001"/>
    <s v="Myitkyina"/>
    <s v="MMR001D001"/>
    <x v="2"/>
    <s v="MMR001002"/>
    <s v="Saga Pa (Sadung Sub-township)"/>
    <m/>
    <m/>
    <m/>
    <x v="112"/>
    <x v="112"/>
    <x v="90"/>
    <n v="25.273333000000001"/>
    <m/>
    <n v="0"/>
    <n v="0"/>
    <s v="NA"/>
    <x v="1"/>
    <x v="0"/>
    <x v="0"/>
    <x v="2"/>
    <m/>
    <m/>
    <x v="3"/>
    <m/>
    <m/>
    <m/>
    <m/>
    <s v=""/>
    <n v="0"/>
    <m/>
    <n v="0"/>
    <s v=""/>
    <s v=""/>
    <s v=""/>
  </r>
  <r>
    <x v="0"/>
    <x v="0"/>
    <s v="MMR001"/>
    <s v="Myitkyina"/>
    <s v="MMR001D001"/>
    <x v="2"/>
    <s v="MMR001002"/>
    <s v="Saga Pa"/>
    <s v="MMR001002040"/>
    <s v="Hkau Shau"/>
    <m/>
    <x v="113"/>
    <x v="113"/>
    <x v="91"/>
    <n v="25.200333000000001"/>
    <n v="1023"/>
    <n v="146"/>
    <n v="1072"/>
    <n v="7.3424657534246576"/>
    <x v="1"/>
    <x v="0"/>
    <x v="0"/>
    <x v="1"/>
    <d v="2011-12-01T00:00:00"/>
    <n v="3"/>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according to KBC data"/>
    <s v="P1"/>
    <n v="46"/>
    <m/>
    <n v="46"/>
    <s v="Sadung Town"/>
    <n v="21.287604662770121"/>
    <n v="5"/>
  </r>
  <r>
    <x v="0"/>
    <x v="0"/>
    <s v="MMR001"/>
    <s v="Myitkyina"/>
    <s v="MMR001D001"/>
    <x v="2"/>
    <s v="MMR001002"/>
    <s v="Nam Sang Yang"/>
    <s v="MMR001002024"/>
    <s v="Nam Sang Yang"/>
    <n v="165772"/>
    <x v="114"/>
    <x v="114"/>
    <x v="92"/>
    <n v="24.755253"/>
    <n v="316"/>
    <n v="1355"/>
    <n v="6602"/>
    <n v="4.8723247232472326"/>
    <x v="1"/>
    <x v="0"/>
    <x v="0"/>
    <x v="0"/>
    <d v="2011-06-01T00:00:00"/>
    <n v="5"/>
    <x v="2"/>
    <s v="IRRC"/>
    <m/>
    <d v="2016-07-14T00:00:00"/>
    <s v="14/Jul/2016: Population update. Data Source:KMSS_Myitkyina_x000a_16/Jun/2016. Population update. Data source: monthly report from KMSS_MYT_x000a_10/May/2016. Population update. Data source:KMSS_x000a_16/Feb/2016. HH and Pop correction_x000a_28/Jan/2016. Population update. Data source: KBC (mail by maran)_x000a_2/Dec/2015 (Population update. Data source: Monthly report by KMSS_MYT). Reason for pop changes; Travelling from the camp for daily work._x000a_23-Oct-15 (Population update. Data sorce: Monthly report by KMSS-MYT). Reason for changes; Arrived from daily work._x000a_2-Oct-15 (Population update. Data Source: Monthly report by KMSS-MYT)_x000a_19-Aug-15 (Population update: Data Source: KMSS-MYT)_x000a_25-Jun-15 (Population update. Source: IRRC)_x000a_Population Update. Source: KMSS-MYT"/>
    <s v="P4"/>
    <n v="1195"/>
    <m/>
    <n v="1195"/>
    <s v="Laiza town"/>
    <n v="1.7420415164460403"/>
    <n v="1"/>
  </r>
  <r>
    <x v="1"/>
    <x v="0"/>
    <s v="MMR001"/>
    <s v="Myitkyina"/>
    <s v="MMR001D001"/>
    <x v="2"/>
    <s v="MMR001002"/>
    <s v="Nam Sang Yang"/>
    <s v="MMR001002024"/>
    <s v="Nam Sang Yang"/>
    <n v="165772"/>
    <x v="115"/>
    <x v="115"/>
    <x v="93"/>
    <n v="24.747212999999999"/>
    <n v="221"/>
    <n v="0"/>
    <n v="0"/>
    <s v="NA"/>
    <x v="1"/>
    <x v="0"/>
    <x v="0"/>
    <x v="1"/>
    <d v="2011-06-01T00:00:00"/>
    <n v="3"/>
    <x v="2"/>
    <s v="IP"/>
    <m/>
    <d v="2015-06-25T00:00:00"/>
    <s v="25-Jun-15 (Relocated to Hpum Lone Yan and Wai Choi)_x000a_Population Update. Source: UNHCR Cross-Line Mission Report. (July 2014)"/>
    <s v="P2"/>
    <n v="0"/>
    <n v="0"/>
    <n v="0"/>
    <s v="Laiza town"/>
    <n v="1.857513522619473"/>
    <n v="1"/>
  </r>
  <r>
    <x v="1"/>
    <x v="0"/>
    <s v="MMR001"/>
    <s v="Myitkyina"/>
    <s v="MMR001D001"/>
    <x v="2"/>
    <s v="MMR001002"/>
    <s v="Nam Sang Yang"/>
    <s v="MMR001002024"/>
    <s v="Nam Sang Yang"/>
    <n v="165772"/>
    <x v="116"/>
    <x v="116"/>
    <x v="94"/>
    <n v="24.747966999999999"/>
    <m/>
    <n v="0"/>
    <n v="0"/>
    <s v="NA"/>
    <x v="0"/>
    <x v="0"/>
    <x v="0"/>
    <x v="2"/>
    <m/>
    <m/>
    <x v="3"/>
    <m/>
    <m/>
    <m/>
    <s v="Changed to closed"/>
    <s v=""/>
    <n v="0"/>
    <m/>
    <n v="0"/>
    <s v=""/>
    <s v=""/>
    <s v=""/>
  </r>
  <r>
    <x v="0"/>
    <x v="0"/>
    <s v="MMR001"/>
    <s v="Myitkyina"/>
    <s v="MMR001D001"/>
    <x v="2"/>
    <s v="MMR001002"/>
    <s v="Sa Ma"/>
    <s v="MMR001002031"/>
    <s v="Nar Gu"/>
    <n v="165790"/>
    <x v="117"/>
    <x v="117"/>
    <x v="95"/>
    <n v="24.980250000000002"/>
    <n v="984"/>
    <n v="586"/>
    <n v="2574"/>
    <n v="4.3924914675767921"/>
    <x v="1"/>
    <x v="0"/>
    <x v="0"/>
    <x v="1"/>
    <d v="2011-06-01T00:00:00"/>
    <n v="5"/>
    <x v="2"/>
    <s v="IP"/>
    <m/>
    <d v="2016-07-14T00:00:00"/>
    <s v="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rce: Monthly report by KMSS-MYT). Reason for changes; Traveling from the camp for daily worker._x000a_2-Oct-15 (Population update. Data Source: Monthly Report by KMSS-MYT)_x000a_19-Aug-15 (Population update. Data source: KMSS-MYT)_x000a_25-Jun-15 (Population update. Source: KMSS-MYT)_x000a_Population Update. Source: KMSS-MYT"/>
    <s v="P2"/>
    <n v="0"/>
    <m/>
    <n v="0"/>
    <s v="Laiza town"/>
    <n v="28.888856599204185"/>
    <n v="6"/>
  </r>
  <r>
    <x v="0"/>
    <x v="0"/>
    <s v="MMR001"/>
    <s v="Myitkyina"/>
    <s v="MMR001D001"/>
    <x v="2"/>
    <s v="MMR001002"/>
    <s v="Sa Ma"/>
    <s v="MMR001002031"/>
    <s v="Par Jaung"/>
    <n v="165792"/>
    <x v="118"/>
    <x v="118"/>
    <x v="96"/>
    <n v="24.831944"/>
    <n v="2330"/>
    <n v="177"/>
    <n v="844"/>
    <n v="4.768361581920904"/>
    <x v="1"/>
    <x v="0"/>
    <x v="0"/>
    <x v="1"/>
    <d v="2011-07-01T00:00:00"/>
    <n v="3"/>
    <x v="0"/>
    <s v="IP"/>
    <m/>
    <d v="2016-07-18T00:00:00"/>
    <s v="18/Jul/2016: Population updte. Data source: 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according to KBC data"/>
    <s v="P1"/>
    <n v="142"/>
    <m/>
    <n v="142"/>
    <s v="Laiza town"/>
    <n v="20.599512012485512"/>
    <n v="5"/>
  </r>
  <r>
    <x v="0"/>
    <x v="0"/>
    <s v="MMR001"/>
    <s v="Bhamo"/>
    <s v="MMR001D003"/>
    <x v="2"/>
    <s v="MMR001002"/>
    <s v="Hpawt Dawt"/>
    <s v="MMR001002032"/>
    <s v="Lai Zar"/>
    <n v="165816"/>
    <x v="119"/>
    <x v="119"/>
    <x v="97"/>
    <n v="24.688338999999999"/>
    <n v="314"/>
    <n v="1658"/>
    <n v="8585"/>
    <n v="5.1779252110977083"/>
    <x v="1"/>
    <x v="0"/>
    <x v="0"/>
    <x v="1"/>
    <d v="2012-06-01T00:00:00"/>
    <n v="7"/>
    <x v="2"/>
    <s v="IP"/>
    <m/>
    <d v="2016-07-14T00:00:00"/>
    <s v="14/Jul/2016: Population update. Data Source:KMSS_Myitkyina_x000a_16/Jun/2016. Population update. Data source: monthly report from KMSS_MYT_x000a_10/May/2016. Population update. Data source:KMSS_x000a_28/Jan/2016. Population update. Data source: KBC (mail by maran)_x000a_2/Dec/2015 (population changes. Data source; KMSS_MYT). Reason for pop changes; arrived at the camp form daily work._x000a_2-Oct-15 (Population update. Data Source: KMSS-MYT)_x000a_19-Aug-15 (Population update. Data Source: KMSS-MYT)_x000a_25-Jun-15 (Population update. KMSS-MYT)_x000a_2015-03-16 (Population moved to Hpun Lum Yang as there was no land available)_x000a_Population Update. Source: KMSS-MYT"/>
    <s v="P2"/>
    <n v="463"/>
    <m/>
    <n v="463"/>
    <s v="Laiza town"/>
    <n v="7.985347533011188"/>
    <n v="2"/>
  </r>
  <r>
    <x v="0"/>
    <x v="0"/>
    <s v="MMR001"/>
    <s v="Bhamo"/>
    <s v="MMR001D003"/>
    <x v="5"/>
    <s v="MMR001012"/>
    <s v="In Baw Mai Kyin (Dawthponeyan Sub-township)"/>
    <s v="MMR001012042"/>
    <s v="Hpun Lum Yang"/>
    <n v="167223"/>
    <x v="120"/>
    <x v="120"/>
    <x v="98"/>
    <n v="24.661905999999998"/>
    <n v="415"/>
    <n v="604"/>
    <n v="2888"/>
    <n v="4.7814569536423841"/>
    <x v="1"/>
    <x v="0"/>
    <x v="0"/>
    <x v="1"/>
    <d v="2011-06-01T00:00:00"/>
    <n v="5"/>
    <x v="2"/>
    <s v="IRRC"/>
    <m/>
    <d v="2016-07-14T00:00:00"/>
    <s v="14/Jul/2016: Population update. Data Source:KMSS_Myitkyina_x000a_16/Jun/2016. Population update. Data source: monthly report from KMSS_MYT_x000a_10/May/2016. Population update. Data source: KMSS._x000a_28/Jan/2016. Population update. Data source: KBC (mail by maran)_x000a_2-Oct-15 (Population update. Data Source: Monthly report by KMSS-MYT)_x000a_19-Aug-15 (Populaiton update. Data Source: KMSS-MYT)_x000a_25-Jun-15 (Population update. Source: IRRC)_x000a_2015-03-16 (Population moved from Je Yang Hka as there was no land available)_x000a_Population Update. Source: UNHCR Cross-Line Mission Report. (July 2014)"/>
    <s v="P2"/>
    <n v="0"/>
    <m/>
    <n v="0"/>
    <s v="Laiza town"/>
    <n v="10.953347686331073"/>
    <n v="3"/>
  </r>
  <r>
    <x v="0"/>
    <x v="0"/>
    <s v="MMR001"/>
    <s v="Bhamo"/>
    <s v="MMR001D003"/>
    <x v="5"/>
    <s v="MMR001012"/>
    <s v="Zee Wone Gawt"/>
    <s v="MMR001012023"/>
    <s v="Dum Bung"/>
    <n v="167343"/>
    <x v="121"/>
    <x v="121"/>
    <x v="99"/>
    <n v="24.461033"/>
    <n v="360"/>
    <n v="116"/>
    <n v="602"/>
    <n v="5.1896551724137927"/>
    <x v="1"/>
    <x v="0"/>
    <x v="0"/>
    <x v="3"/>
    <d v="2011-08-01T00:00:00"/>
    <n v="4"/>
    <x v="2"/>
    <s v="IP"/>
    <m/>
    <d v="2016-07-14T00:00:00"/>
    <s v="14/Jul/2016: Population update. Data Source:KMSS_Myitkyina_x000a_16/Jun/2016. Population update. Data source: monthly report from KMSS_MYT_x000a_10/May/2016. Population update. Data source:KMSS_x000a_28/Jan/2016. Population update. Data source: KBC (mail by maran)_x000a_23-Oct-15 (Population update. Data source: Monthly report by KMSS-MYT). Reason for changes; Travelling from the camp for daily worker._x000a_2-Oct-15 (Population update. Data Source: Monthly report by KMSS-MYT)_x000a_19-Aug-15 (Population update. Data Source: KMSS-MYT)_x000a_25-Jun-15 (Population update. Source: KMSS-MYT)_x000a_Population Update. Source: KMSS-MYT"/>
    <s v="P2"/>
    <n v="0"/>
    <m/>
    <n v="0"/>
    <s v="Dawthponeyan  Town"/>
    <n v="18.65617244319267"/>
    <n v="4"/>
  </r>
  <r>
    <x v="0"/>
    <x v="0"/>
    <s v="MMR001"/>
    <s v="Bhamo"/>
    <s v="MMR001D003"/>
    <x v="5"/>
    <s v="MMR001012"/>
    <s v="Kawng Hsa (Lwegel Sub-township)"/>
    <s v="MMR001012033"/>
    <s v="Mai Gyar Yang"/>
    <n v="216913"/>
    <x v="122"/>
    <x v="122"/>
    <x v="100"/>
    <n v="24.2744"/>
    <n v="978"/>
    <n v="677"/>
    <n v="3622"/>
    <n v="5.3500738552437221"/>
    <x v="1"/>
    <x v="0"/>
    <x v="0"/>
    <x v="1"/>
    <d v="2012-04-01T00:00:00"/>
    <n v="2"/>
    <x v="5"/>
    <s v="IP"/>
    <m/>
    <d v="2016-02-16T00:00:00"/>
    <s v="16/Feb/2016. some hh as they  join Nhkawng Pa camp which is closer to their village of origin_x000a_28/Jan/2016. Population update. Data source: KBC (mail by maran)_x000a_19-Aug-2015. Population Update. Data Source; KMSS-BMO_x000a_Population update: Source: Camp Profile Round 2."/>
    <s v="P2"/>
    <n v="0"/>
    <m/>
    <n v="0"/>
    <s v="Lwegel Town"/>
    <n v="8.953204937938569"/>
    <n v="2"/>
  </r>
  <r>
    <x v="0"/>
    <x v="0"/>
    <s v="MMR001"/>
    <s v="Bhamo"/>
    <s v="MMR001D003"/>
    <x v="6"/>
    <s v="MMR001013"/>
    <s v="In Ba Pa"/>
    <s v="MMR001013012"/>
    <s v="La Na"/>
    <n v="216948"/>
    <x v="123"/>
    <x v="123"/>
    <x v="101"/>
    <n v="24.056132999999999"/>
    <n v="866"/>
    <n v="545"/>
    <n v="2560"/>
    <n v="4.6972477064220186"/>
    <x v="1"/>
    <x v="0"/>
    <x v="0"/>
    <x v="1"/>
    <d v="2011-10-01T00:00:00"/>
    <n v="2"/>
    <x v="5"/>
    <s v="IP"/>
    <m/>
    <d v="2016-01-28T00:00:00"/>
    <s v="28/Jan/2016. Population update. Data source: KBC (mail by maran)_x000a_19-Aug-2015. Update Population. Data Source; KMSS-BMO_x000a_Population update: Source UNHCR-Bhamo"/>
    <s v="P2"/>
    <n v="51"/>
    <m/>
    <n v="51"/>
    <s v="Lwegel Town"/>
    <n v="18.620903555062636"/>
    <n v="4"/>
  </r>
  <r>
    <x v="0"/>
    <x v="0"/>
    <s v="MMR001"/>
    <s v="Bhamo"/>
    <s v="MMR001D003"/>
    <x v="6"/>
    <s v="MMR001013"/>
    <s v="Dum Buk"/>
    <s v="MMR001013014"/>
    <s v="Dum Buk"/>
    <s v="Dum Buk"/>
    <x v="124"/>
    <x v="124"/>
    <x v="102"/>
    <n v="24.002433"/>
    <n v="854"/>
    <n v="245"/>
    <n v="1232"/>
    <n v="5.0285714285714285"/>
    <x v="1"/>
    <x v="0"/>
    <x v="0"/>
    <x v="1"/>
    <d v="2011-10-01T00:00:00"/>
    <n v="2"/>
    <x v="5"/>
    <s v="IP"/>
    <m/>
    <d v="2016-01-28T00:00:00"/>
    <s v="28/Jan/2016. Population update. Data source: KBC (mail by maran)_x000a_Population update: Source: KMSS-BMO_x000a_Population Update. Source: Save The Children."/>
    <s v="P2"/>
    <n v="55"/>
    <m/>
    <n v="55"/>
    <s v="Namhkan Town"/>
    <n v="19.796407430638478"/>
    <n v="4"/>
  </r>
  <r>
    <x v="0"/>
    <x v="0"/>
    <s v="MMR001"/>
    <s v="Bhamo"/>
    <s v="MMR001D003"/>
    <x v="5"/>
    <s v="MMR001012"/>
    <s v="Ba Lawng Kawng (Lwegel Sub-township)"/>
    <s v="MMR001012030"/>
    <s v="Hpa Lum"/>
    <n v="167138"/>
    <x v="125"/>
    <x v="125"/>
    <x v="103"/>
    <n v="24.378167000000001"/>
    <n v="1149"/>
    <n v="375"/>
    <n v="1598"/>
    <n v="4.261333333333333"/>
    <x v="1"/>
    <x v="0"/>
    <x v="0"/>
    <x v="1"/>
    <d v="2012-04-01T00:00:00"/>
    <n v="2"/>
    <x v="5"/>
    <s v="IP"/>
    <m/>
    <d v="2016-02-16T00:00:00"/>
    <s v="16/Feb/2016. some HH increase as some IDP from Pa Kahtawng join as the camp is closer to village _x000a_28/Jan/2016. Population update. Data source: KBC (mail by maran)_x000a_19-Aug-2015. Update population. Data Source; KMSS-BMO_x000a_Population Update. Source: Save The Children."/>
    <s v="P1"/>
    <n v="0"/>
    <m/>
    <n v="0"/>
    <s v="Lwegel Town"/>
    <n v="20.558236360788097"/>
    <n v="5"/>
  </r>
  <r>
    <x v="0"/>
    <x v="0"/>
    <s v="MMR001"/>
    <s v="Bhamo"/>
    <s v="MMR001D003"/>
    <x v="6"/>
    <s v="MMR001013"/>
    <s v="Man Wein"/>
    <s v="MMR001013021"/>
    <s v="Man Wein"/>
    <n v="167405"/>
    <x v="126"/>
    <x v="126"/>
    <x v="104"/>
    <n v="23.835319999999999"/>
    <n v="795"/>
    <n v="458"/>
    <n v="2139"/>
    <n v="4.6703056768558948"/>
    <x v="0"/>
    <x v="0"/>
    <x v="0"/>
    <x v="1"/>
    <d v="2011-11-01T00:00:00"/>
    <n v="2"/>
    <x v="5"/>
    <s v="IP"/>
    <m/>
    <d v="2016-02-16T00:00:00"/>
    <s v="16/Feb/2016. spontenous return to villages near Manwin Gyi_x000a_28/Jan/2016. Population update. Data source: KBC (mail by maran)_x000a_19-Aug-2015. Update Population. Data Source; KMSS-BMO_x000a_Population Update. Source: KMSS-BMO"/>
    <s v="P4"/>
    <n v="258"/>
    <m/>
    <n v="258"/>
    <s v="Namhkan Town"/>
    <n v="10.509375400480517"/>
    <n v="3"/>
  </r>
  <r>
    <x v="0"/>
    <x v="0"/>
    <s v="MMR001"/>
    <s v="Bhamo"/>
    <s v="MMR001D003"/>
    <x v="6"/>
    <s v="MMR001013"/>
    <s v="Man Wein"/>
    <s v="MMR001013021"/>
    <s v="Man Wein"/>
    <n v="167405"/>
    <x v="127"/>
    <x v="127"/>
    <x v="105"/>
    <n v="23.83013"/>
    <n v="741"/>
    <n v="107"/>
    <n v="525"/>
    <n v="4.9065420560747661"/>
    <x v="0"/>
    <x v="0"/>
    <x v="0"/>
    <x v="1"/>
    <d v="2012-02-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13/Dec/2015. Population update. Data source: Mail by Ko Maran. Reason for Pop changes: camp pp reduced as IDP in the host who were registered in the camp but now they established their own separate entity as IDP in the host. _x000a_2/Dec/2015. Population update. Data source: KBC_x000a_25-Jun-15 Population update. Source: KBC_x000a_Population Update. Source: Save The Children."/>
    <s v="P4"/>
    <n v="33"/>
    <m/>
    <n v="33"/>
    <s v="Namhkan Town"/>
    <n v="9.3704379947870464"/>
    <n v="2"/>
  </r>
  <r>
    <x v="0"/>
    <x v="0"/>
    <s v="MMR001"/>
    <s v="Bhamo"/>
    <s v="MMR001D003"/>
    <x v="6"/>
    <s v="MMR001013"/>
    <s v="Man Wein"/>
    <s v="MMR001013021"/>
    <s v="Man Wein"/>
    <n v="167405"/>
    <x v="128"/>
    <x v="128"/>
    <x v="106"/>
    <n v="23.827870999999998"/>
    <m/>
    <n v="175"/>
    <n v="834"/>
    <n v="4.765714285714286"/>
    <x v="0"/>
    <x v="0"/>
    <x v="2"/>
    <x v="1"/>
    <m/>
    <m/>
    <x v="3"/>
    <s v="IP"/>
    <m/>
    <d v="2016-01-28T00:00:00"/>
    <s v="28/Jan/2016. Population update. Data source: KBC (mail by maran)_x000a_13/Dec/15. Population update. Data source: Mail by Ko Maran. Reason for pop changes: IDP in the host who were registered in the Man Win Bapitst Church (cultural compound) camp established their own separate entity as IDP in the host. _x000a_Population Update. Source: Save The Children."/>
    <s v="P4"/>
    <n v="0"/>
    <m/>
    <n v="0"/>
    <s v="Namhkan Town"/>
    <n v="9.5650381623500511"/>
    <n v="2"/>
  </r>
  <r>
    <x v="1"/>
    <x v="0"/>
    <s v="MMR001"/>
    <s v="Bhamo"/>
    <s v="MMR001D003"/>
    <x v="6"/>
    <s v="MMR001013"/>
    <s v="La Gat Dawt"/>
    <s v="MMR001013027"/>
    <m/>
    <m/>
    <x v="129"/>
    <x v="129"/>
    <x v="107"/>
    <n v="23.9055"/>
    <n v="745"/>
    <n v="0"/>
    <n v="0"/>
    <s v="NA"/>
    <x v="1"/>
    <x v="0"/>
    <x v="0"/>
    <x v="3"/>
    <d v="2012-08-01T00:00:00"/>
    <n v="2"/>
    <x v="5"/>
    <s v="IP"/>
    <m/>
    <d v="2015-08-19T00:00:00"/>
    <s v="19-Aug-15 Close. Source: CCCM Unit._x000a_Population source: KMSS-BMO"/>
    <s v="P2"/>
    <n v="0"/>
    <m/>
    <n v="0"/>
    <s v="Namhkan Town"/>
    <n v="12.392289083396149"/>
    <n v="3"/>
  </r>
  <r>
    <x v="1"/>
    <x v="0"/>
    <s v="MMR001"/>
    <s v="Bhamo"/>
    <s v="MMR001D003"/>
    <x v="6"/>
    <s v="MMR001013"/>
    <s v="Man Wein"/>
    <s v="MMR001013021"/>
    <m/>
    <m/>
    <x v="130"/>
    <x v="130"/>
    <x v="32"/>
    <m/>
    <m/>
    <n v="0"/>
    <n v="0"/>
    <s v="NA"/>
    <x v="1"/>
    <x v="0"/>
    <x v="0"/>
    <x v="2"/>
    <m/>
    <m/>
    <x v="3"/>
    <s v="IP"/>
    <m/>
    <d v="2014-04-08T00:00:00"/>
    <s v="Closed. Move to Bum Tist Pa II and Man Wing. HH113/Pop837"/>
    <s v=""/>
    <n v="0"/>
    <m/>
    <n v="0"/>
    <s v=""/>
    <s v=""/>
    <s v=""/>
  </r>
  <r>
    <x v="1"/>
    <x v="0"/>
    <s v="MMR001"/>
    <s v="Bhamo"/>
    <s v="MMR001D003"/>
    <x v="6"/>
    <s v="MMR001013"/>
    <s v="Nam Lin Pa"/>
    <s v="MMR001013037"/>
    <m/>
    <m/>
    <x v="131"/>
    <x v="131"/>
    <x v="108"/>
    <n v="23.75817"/>
    <m/>
    <n v="0"/>
    <n v="0"/>
    <s v="NA"/>
    <x v="1"/>
    <x v="0"/>
    <x v="0"/>
    <x v="2"/>
    <m/>
    <m/>
    <x v="3"/>
    <s v="IRRC"/>
    <m/>
    <m/>
    <s v="This IDP are registered in Nam Lim pa (Boarder) (MMR001CMP204). We should not calculate this number in total. "/>
    <s v=""/>
    <n v="0"/>
    <m/>
    <n v="0"/>
    <s v=""/>
    <s v=""/>
    <s v=""/>
  </r>
  <r>
    <x v="1"/>
    <x v="0"/>
    <s v="MMR001"/>
    <s v="Myitkyina"/>
    <s v="MMR001D001"/>
    <x v="13"/>
    <s v="MMR001003"/>
    <m/>
    <m/>
    <m/>
    <m/>
    <x v="132"/>
    <x v="132"/>
    <x v="32"/>
    <m/>
    <m/>
    <n v="0"/>
    <n v="0"/>
    <s v="NA"/>
    <x v="0"/>
    <x v="0"/>
    <x v="0"/>
    <x v="2"/>
    <m/>
    <m/>
    <x v="3"/>
    <m/>
    <m/>
    <d v="2014-03-14T00:00:00"/>
    <s v="Close. According to RRC's info, this camp does not include in reported list."/>
    <s v=""/>
    <n v="0"/>
    <m/>
    <n v="0"/>
    <s v=""/>
    <s v=""/>
    <s v=""/>
  </r>
  <r>
    <x v="0"/>
    <x v="0"/>
    <s v="MMR001"/>
    <s v="Bhamo"/>
    <s v="MMR001D003"/>
    <x v="7"/>
    <s v="MMR001011"/>
    <m/>
    <m/>
    <m/>
    <m/>
    <x v="133"/>
    <x v="133"/>
    <x v="32"/>
    <m/>
    <m/>
    <n v="375"/>
    <n v="1691"/>
    <n v="4.5093333333333332"/>
    <x v="1"/>
    <x v="0"/>
    <x v="2"/>
    <x v="1"/>
    <d v="2014-03-03T00:00:00"/>
    <m/>
    <x v="3"/>
    <s v="IRRC"/>
    <m/>
    <d v="2014-03-03T00:00:00"/>
    <s v="Change to Host Families."/>
    <s v="P4"/>
    <n v="0"/>
    <m/>
    <n v="0"/>
    <s v=""/>
    <s v=""/>
    <s v=""/>
  </r>
  <r>
    <x v="0"/>
    <x v="0"/>
    <s v="MMR001"/>
    <s v="Mohnyin"/>
    <s v="MMR001D002"/>
    <x v="12"/>
    <s v="MMR001009"/>
    <s v="Nam Si In (Karmaing Sub-township)"/>
    <s v="MMR001009012"/>
    <s v="Htwe San Yang"/>
    <n v="220512"/>
    <x v="134"/>
    <x v="134"/>
    <x v="109"/>
    <n v="25.51352"/>
    <n v="0"/>
    <n v="14"/>
    <n v="46"/>
    <n v="3.2857142857142856"/>
    <x v="0"/>
    <x v="0"/>
    <x v="0"/>
    <x v="0"/>
    <d v="2012-10-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Population update. Source: KBC._x000a_25-Jun-15 Population update. Source: KBC_x000a_Update population according to KBC data"/>
    <s v="P4"/>
    <n v="14"/>
    <m/>
    <n v="14"/>
    <s v="Kamaing Town"/>
    <n v="1.1537462444167914"/>
    <n v="1"/>
  </r>
  <r>
    <x v="0"/>
    <x v="0"/>
    <s v="MMR001"/>
    <s v="Myitkyina"/>
    <s v="MMR001D001"/>
    <x v="2"/>
    <s v="MMR001002"/>
    <s v="Hpawt Dawt"/>
    <s v="MMR001002032"/>
    <s v="Lai Zar"/>
    <n v="165816"/>
    <x v="135"/>
    <x v="135"/>
    <x v="110"/>
    <n v="25.108011999999999"/>
    <m/>
    <n v="355"/>
    <n v="4450"/>
    <n v="12.535211267605634"/>
    <x v="1"/>
    <x v="1"/>
    <x v="3"/>
    <x v="0"/>
    <m/>
    <m/>
    <x v="3"/>
    <s v="IRRC"/>
    <m/>
    <d v="2014-06-13T00:00:00"/>
    <s v="2015-04-01 : According to UNICEF and WFP this location is a village. People are not IDP but are affected by the crisis. That s why it would remain in the list._x000a_Geo-Info, HH/Pop data was updated from Google Earth."/>
    <s v="P4"/>
    <n v="0"/>
    <m/>
    <n v="0"/>
    <s v="Sadung Town"/>
    <n v="34.344689881690819"/>
    <n v="7"/>
  </r>
  <r>
    <x v="0"/>
    <x v="0"/>
    <s v="MMR001"/>
    <s v="Mohnyin"/>
    <s v="MMR001D002"/>
    <x v="11"/>
    <s v="MMR001007"/>
    <s v="Nam Mun"/>
    <s v="MMR001007016"/>
    <s v="Indawgyi"/>
    <m/>
    <x v="136"/>
    <x v="136"/>
    <x v="78"/>
    <n v="24.998349999999999"/>
    <m/>
    <n v="19"/>
    <n v="100"/>
    <n v="5.2631578947368425"/>
    <x v="0"/>
    <x v="0"/>
    <x v="0"/>
    <x v="1"/>
    <d v="2012-02-01T00:00:00"/>
    <n v="1"/>
    <x v="0"/>
    <s v="IP"/>
    <m/>
    <d v="2016-07-18T00:00:00"/>
    <s v="18/Jul/2016: Population updte. Data source: KBC_x000a_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9-Aug-15 Population update. Source: KBC._x000a_25-Jun-15 Population update. Source: KBC_x000a_Update population according to KBC data"/>
    <s v="P4"/>
    <n v="0"/>
    <m/>
    <n v="0"/>
    <s v="Hopin Town"/>
    <n v="16.668825701583572"/>
    <n v="4"/>
  </r>
  <r>
    <x v="1"/>
    <x v="0"/>
    <s v="MMR001"/>
    <s v="Bhamo"/>
    <s v="MMR001D003"/>
    <x v="4"/>
    <s v="MMR001010"/>
    <m/>
    <m/>
    <m/>
    <m/>
    <x v="137"/>
    <x v="137"/>
    <x v="32"/>
    <m/>
    <m/>
    <n v="0"/>
    <n v="0"/>
    <s v="NA"/>
    <x v="0"/>
    <x v="0"/>
    <x v="2"/>
    <x v="2"/>
    <m/>
    <m/>
    <x v="3"/>
    <m/>
    <s v="Estimation"/>
    <d v="2014-01-27T00:00:00"/>
    <s v="Closed : Source, OCHA"/>
    <s v=""/>
    <n v="0"/>
    <m/>
    <n v="0"/>
    <s v=""/>
    <s v=""/>
    <s v=""/>
  </r>
  <r>
    <x v="0"/>
    <x v="0"/>
    <s v="MMR001"/>
    <s v="Myitkyina"/>
    <s v="MMR001D001"/>
    <x v="2"/>
    <s v="MMR001002"/>
    <s v="Saga Pa"/>
    <s v="MMR001002040"/>
    <s v="Saga Pa"/>
    <n v="165895"/>
    <x v="138"/>
    <x v="138"/>
    <x v="111"/>
    <n v="25.265277999999999"/>
    <n v="2764"/>
    <n v="98"/>
    <n v="554"/>
    <n v="5.6530612244897958"/>
    <x v="1"/>
    <x v="0"/>
    <x v="0"/>
    <x v="3"/>
    <d v="2011-11-01T00:00:00"/>
    <n v="2"/>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Dec/2015 (Population update. Data source: Monthly report by KMSS_MYT). Reason for pop changes; Arrived at the camp and travelling from the camp for daily work._x000a_2-Oct-15 (Population update. Data source: Monthly report by KMSS-MYT)_x000a_19-Aug-15 (Population update. Data Source: KMSS-MYT)_x000a_25-Jun-15 (Population update. Source: KMSS-MYT)_x000a_Update population according to KBC data"/>
    <s v="P1"/>
    <n v="33"/>
    <m/>
    <n v="33"/>
    <s v="Sadung Town"/>
    <n v="17.035515422123492"/>
    <n v="4"/>
  </r>
  <r>
    <x v="0"/>
    <x v="0"/>
    <s v="MMR001"/>
    <s v="Myitkyina"/>
    <s v="MMR001D001"/>
    <x v="0"/>
    <s v="MMR001001"/>
    <s v="Pa La Na Sa Khan Myar"/>
    <s v="MMR001001003"/>
    <s v="Pi Tauk Myaing"/>
    <n v="165685"/>
    <x v="139"/>
    <x v="139"/>
    <x v="112"/>
    <n v="25.493819999999999"/>
    <m/>
    <n v="44"/>
    <n v="274"/>
    <n v="6.2272727272727275"/>
    <x v="0"/>
    <x v="0"/>
    <x v="0"/>
    <x v="0"/>
    <d v="2012-12-01T00:00:00"/>
    <m/>
    <x v="2"/>
    <s v="IP"/>
    <m/>
    <d v="2016-07-14T00:00:00"/>
    <s v="14/Jul/2016: Population update. Data Source:KMSS_Myitkyina_x000a_16/Jun/2016. Population update. Data source: monthly report from KMSS_MYT_x000a_10/May/2016. Population Update. Data source: KMSS_x000a_16/Feb/2016. Pop and HH correction._x000a_28/Jan/2016. Population update. Data source: KBC (mail by maran)_x000a_13/Dec/2015. Population update. Data source: Mail by Ko Maran. Reason for pop changes: Increased from Sumpra Bum area _x000a_2/Dec/2015 (Population update. Data source: Monthly report by KMSS_MYT). Reason for pop changes; Arrived at the camp from daily work and new arrival from sumprabum._x000a_23-Oct-15 (Pupulation update. Data Source: Monthly report by KMSS-MYT). Reason for changes; Increasing from Sumprabum._x000a_2-Oct-15 (Pupulation update. Data Source: KMSS-MYT) and NFI Distribution List (New arrival)_x000a_19-Aug-15 (Population update. Data source: KMSS-MYT)_x000a_25-Jun-15 (Population update. Source: KMSS-MYT)_x000a_Population Update. Source: KMSS-MYT"/>
    <s v="P4"/>
    <n v="0"/>
    <m/>
    <n v="0"/>
    <s v="Myitkyina Town"/>
    <n v="12.627188913244609"/>
    <n v="3"/>
  </r>
  <r>
    <x v="0"/>
    <x v="0"/>
    <s v="MMR001"/>
    <s v="Bhamo"/>
    <s v="MMR001D003"/>
    <x v="4"/>
    <s v="MMR001010"/>
    <s v="Bhamo Town"/>
    <s v="MMR001010701"/>
    <m/>
    <m/>
    <x v="140"/>
    <x v="140"/>
    <x v="113"/>
    <n v="24.263786"/>
    <m/>
    <n v="211"/>
    <n v="989"/>
    <n v="4.6872037914691944"/>
    <x v="0"/>
    <x v="0"/>
    <x v="2"/>
    <x v="0"/>
    <m/>
    <m/>
    <x v="3"/>
    <s v="IP"/>
    <m/>
    <d v="2015-11-09T00:00:00"/>
    <s v="9/Nov/15. Population update. Data source: mail from Pancy (WFP)._x000a_Update IDP increased in Oct and Nov 2013 from Angela (UNHCR - Bhamo)"/>
    <s v="P4"/>
    <n v="0"/>
    <m/>
    <n v="0"/>
    <s v="Bhamo Town"/>
    <n v="1.1354007641426449"/>
    <n v="1"/>
  </r>
  <r>
    <x v="0"/>
    <x v="0"/>
    <s v="MMR001"/>
    <s v="Mohnyin"/>
    <s v="MMR001D002"/>
    <x v="12"/>
    <s v="MMR001009"/>
    <s v="Hpakan Town"/>
    <s v="MMR001009701"/>
    <s v="Maw Wam Ward"/>
    <s v="MMR001009701501"/>
    <x v="141"/>
    <x v="141"/>
    <x v="114"/>
    <n v="25.61842"/>
    <n v="250"/>
    <n v="15"/>
    <n v="74"/>
    <n v="4.9333333333333336"/>
    <x v="0"/>
    <x v="0"/>
    <x v="0"/>
    <x v="0"/>
    <d v="2013-01-01T00:00:00"/>
    <n v="1"/>
    <x v="1"/>
    <s v="IP"/>
    <m/>
    <d v="2016-07-20T00:00:00"/>
    <s v="20/Jul/2016: Population update. Data source: Shalom_x000a_16/Jun/2016: Population update. Data source: mail by Shalom_x000a_19-Aug-15 Population update. Source: Shalom_x000a_25-Jun-15 (Population update. Source : Shalom)_x000a_2-Apr-15 (Population update, Source: UNHCR CCCM Mission)_x000a_Population update: Source: Camp Profile Round 2."/>
    <s v="P4"/>
    <n v="0"/>
    <m/>
    <n v="0"/>
    <s v="Hpakant Town"/>
    <n v="0.75842119772531946"/>
    <n v="1"/>
  </r>
  <r>
    <x v="0"/>
    <x v="1"/>
    <s v="MMR015"/>
    <s v="Muse"/>
    <s v="MMR015D002"/>
    <x v="1"/>
    <s v="MMR015010"/>
    <s v="Nawng Hkam"/>
    <s v="MMR015010010"/>
    <s v="Nawng Hkam"/>
    <n v="208353"/>
    <x v="142"/>
    <x v="142"/>
    <x v="115"/>
    <n v="23.821380000000001"/>
    <n v="811.6"/>
    <n v="70"/>
    <n v="363"/>
    <n v="5.1857142857142859"/>
    <x v="0"/>
    <x v="0"/>
    <x v="0"/>
    <x v="0"/>
    <d v="2013-12-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3"/>
    <n v="0"/>
    <m/>
    <n v="0"/>
    <s v="Namhkan Town"/>
    <n v="1.7369508287203668"/>
    <n v="1"/>
  </r>
  <r>
    <x v="0"/>
    <x v="0"/>
    <s v="MMR001"/>
    <s v="Mohnyin"/>
    <s v="MMR001D002"/>
    <x v="12"/>
    <s v="MMR001009"/>
    <s v="Lone Khin"/>
    <s v="MMR001009001"/>
    <s v="Lone Khin"/>
    <n v="166773"/>
    <x v="143"/>
    <x v="143"/>
    <x v="116"/>
    <n v="25.655819999999999"/>
    <n v="317"/>
    <n v="77"/>
    <n v="411"/>
    <n v="5.337662337662338"/>
    <x v="0"/>
    <x v="0"/>
    <x v="0"/>
    <x v="1"/>
    <d v="2013-01-01T00:00:00"/>
    <m/>
    <x v="2"/>
    <s v="IP"/>
    <m/>
    <d v="2016-07-14T00:00:00"/>
    <s v="14/Jul/2016: Population update. Data Source:KMSS_Myitkyina_x000a_10/May/2016. Population Update. Data source: KMSS_x000a_28/Jan/2016. Population update. Data source: KBC (mail by maran)_x000a_23-Oct-15 Population update. Data source; Monthly report by KMSS_MYT. Reason for changes; A new sprad HH is added._x000a_14-Oct-15 Population update. Soruce; Hpakant Mission Report_WFP_x000a_2-Oct-15 (Population update. Data Source: Monthly report by KMSS-MYT)_x000a_25-Jun-15 (Population update. Source: KMSS-MYT)_x000a_18-May-15 (Population update from field mission)_x000a_2-Apr-15 (Population update, Source: UNHCR CCCM Mission)_x000a_Population Update. Source: KMSS-MYT"/>
    <s v="P4"/>
    <n v="65"/>
    <m/>
    <n v="65"/>
    <s v="Hpakant Town"/>
    <n v="6.3039408411778268"/>
    <n v="2"/>
  </r>
  <r>
    <x v="0"/>
    <x v="0"/>
    <s v="MMR001"/>
    <s v="Mohnyin"/>
    <s v="MMR001D002"/>
    <x v="12"/>
    <s v="MMR001009"/>
    <s v="Lone Khin"/>
    <s v="MMR001009001"/>
    <s v="Hmaw Si Zar"/>
    <n v="166775"/>
    <x v="144"/>
    <x v="144"/>
    <x v="117"/>
    <n v="25.647649999999999"/>
    <n v="0"/>
    <n v="35"/>
    <n v="226"/>
    <n v="6.4571428571428573"/>
    <x v="0"/>
    <x v="0"/>
    <x v="0"/>
    <x v="1"/>
    <d v="2013-01-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2-Apr-15 (Population update, Source: UNHCR CCCM Mission)"/>
    <s v="P4"/>
    <n v="15"/>
    <m/>
    <n v="15"/>
    <s v="Hpakant Town"/>
    <n v="5.184483270539272"/>
    <n v="2"/>
  </r>
  <r>
    <x v="1"/>
    <x v="0"/>
    <s v="MMR001"/>
    <s v="Mohnyin"/>
    <s v="MMR001D002"/>
    <x v="12"/>
    <s v="MMR001009"/>
    <s v="Lone Khin"/>
    <s v="MMR001009001"/>
    <s v="Ku Day"/>
    <n v="216877"/>
    <x v="145"/>
    <x v="145"/>
    <x v="118"/>
    <n v="25.655989999999999"/>
    <m/>
    <n v="0"/>
    <n v="0"/>
    <s v="NA"/>
    <x v="0"/>
    <x v="0"/>
    <x v="0"/>
    <x v="2"/>
    <m/>
    <m/>
    <x v="3"/>
    <m/>
    <m/>
    <m/>
    <s v=" "/>
    <s v=""/>
    <n v="0"/>
    <m/>
    <n v="0"/>
    <s v=""/>
    <s v=""/>
    <s v=""/>
  </r>
  <r>
    <x v="1"/>
    <x v="0"/>
    <s v="MMR001"/>
    <s v="Mohnyin"/>
    <s v="MMR001D002"/>
    <x v="12"/>
    <s v="MMR001009"/>
    <s v="Lone Khin"/>
    <s v="MMR001009001"/>
    <s v="Lone Khin"/>
    <n v="166773"/>
    <x v="146"/>
    <x v="146"/>
    <x v="119"/>
    <n v="25.658650000000002"/>
    <m/>
    <n v="0"/>
    <n v="0"/>
    <s v="NA"/>
    <x v="0"/>
    <x v="0"/>
    <x v="0"/>
    <x v="2"/>
    <m/>
    <m/>
    <x v="3"/>
    <m/>
    <m/>
    <m/>
    <s v=" "/>
    <s v=""/>
    <n v="0"/>
    <m/>
    <n v="0"/>
    <s v=""/>
    <s v=""/>
    <s v=""/>
  </r>
  <r>
    <x v="1"/>
    <x v="0"/>
    <s v="MMR001"/>
    <s v="Mohnyin"/>
    <s v="MMR001D002"/>
    <x v="12"/>
    <s v="MMR001009"/>
    <s v="Lone Khin"/>
    <s v="MMR001009001"/>
    <s v="Ma Sut Yang"/>
    <n v="216880"/>
    <x v="147"/>
    <x v="147"/>
    <x v="116"/>
    <n v="25.668469999999999"/>
    <n v="256"/>
    <n v="0"/>
    <n v="0"/>
    <s v="NA"/>
    <x v="0"/>
    <x v="0"/>
    <x v="0"/>
    <x v="1"/>
    <d v="2013-01-01T00:00:00"/>
    <m/>
    <x v="3"/>
    <s v="RRD"/>
    <m/>
    <d v="2014-05-15T00:00:00"/>
    <s v="Only one HH left, included in Lon Khin Baptist distribution list."/>
    <s v=""/>
    <n v="0"/>
    <m/>
    <n v="0"/>
    <s v=""/>
    <s v=""/>
    <s v=""/>
  </r>
  <r>
    <x v="1"/>
    <x v="0"/>
    <s v="MMR001"/>
    <s v="Mohnyin"/>
    <s v="MMR001D002"/>
    <x v="12"/>
    <s v="MMR001009"/>
    <s v="Lone Khin"/>
    <s v="MMR001009001"/>
    <s v="Hmaw Si Zar"/>
    <n v="166775"/>
    <x v="148"/>
    <x v="148"/>
    <x v="32"/>
    <m/>
    <m/>
    <n v="0"/>
    <n v="0"/>
    <s v="NA"/>
    <x v="0"/>
    <x v="0"/>
    <x v="0"/>
    <x v="2"/>
    <m/>
    <m/>
    <x v="3"/>
    <m/>
    <m/>
    <m/>
    <s v=" "/>
    <s v=""/>
    <n v="0"/>
    <m/>
    <n v="0"/>
    <s v=""/>
    <s v=""/>
    <s v=""/>
  </r>
  <r>
    <x v="0"/>
    <x v="0"/>
    <s v="MMR001"/>
    <s v="Mohnyin"/>
    <s v="MMR001D002"/>
    <x v="12"/>
    <s v="MMR001009"/>
    <s v="Lone Khin"/>
    <s v="MMR001009001"/>
    <s v="Nyein Chan Thar Yar"/>
    <n v="216876"/>
    <x v="149"/>
    <x v="149"/>
    <x v="120"/>
    <n v="25.637309999999999"/>
    <n v="277.60000000000002"/>
    <n v="66"/>
    <n v="356"/>
    <n v="5.3939393939393936"/>
    <x v="0"/>
    <x v="0"/>
    <x v="0"/>
    <x v="0"/>
    <d v="2013-01-01T00:00:00"/>
    <n v="1"/>
    <x v="1"/>
    <s v="IP"/>
    <m/>
    <d v="2016-07-20T00:00:00"/>
    <s v="20/Jul/2016: Population update. Data source: Shalom_x000a_16/Jun/2016: Population update. Data source: mail by Shalom_x000a_14-Oct-15 Population update. Soruce; Hpakant Mission Report_WFP_x000a_19-Aug-15 Population update. Source: Shalom_x000a_25-Jun-15 (Population update. Source: Shalom)_x000a_2-Apr-15 (Population update, Source: UNHCR CCCM Mission)_x000a_Population update: Source: Camp Profile Round 2."/>
    <s v="P4"/>
    <n v="0"/>
    <m/>
    <n v="0"/>
    <s v="Hpakant Town"/>
    <n v="4.8862832644478198"/>
    <n v="1"/>
  </r>
  <r>
    <x v="1"/>
    <x v="0"/>
    <s v="MMR001"/>
    <s v="Mohnyin"/>
    <s v="MMR001D002"/>
    <x v="12"/>
    <s v="MMR001009"/>
    <s v="Hpakan Town"/>
    <s v="MMR001009701"/>
    <s v="Ma Shi Ka Htaung Ward"/>
    <s v="MMR001009701505"/>
    <x v="150"/>
    <x v="150"/>
    <x v="32"/>
    <m/>
    <m/>
    <n v="0"/>
    <n v="0"/>
    <s v="NA"/>
    <x v="0"/>
    <x v="0"/>
    <x v="0"/>
    <x v="2"/>
    <m/>
    <m/>
    <x v="3"/>
    <m/>
    <m/>
    <m/>
    <s v=" "/>
    <s v=""/>
    <n v="0"/>
    <m/>
    <n v="0"/>
    <s v=""/>
    <s v=""/>
    <s v=""/>
  </r>
  <r>
    <x v="0"/>
    <x v="0"/>
    <s v="MMR001"/>
    <s v="Mohnyin"/>
    <s v="MMR001D002"/>
    <x v="12"/>
    <s v="MMR001009"/>
    <s v="Lone Khin"/>
    <s v="MMR001009001"/>
    <s v="Lone Khin"/>
    <n v="166773"/>
    <x v="151"/>
    <x v="151"/>
    <x v="121"/>
    <n v="25.635300000000001"/>
    <n v="0"/>
    <n v="67"/>
    <n v="350"/>
    <n v="5.2238805970149258"/>
    <x v="0"/>
    <x v="0"/>
    <x v="0"/>
    <x v="0"/>
    <d v="2013-01-01T00:00:00"/>
    <n v="1"/>
    <x v="1"/>
    <s v="IP"/>
    <m/>
    <d v="2016-07-20T00:00:00"/>
    <s v="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7"/>
    <m/>
    <n v="7"/>
    <s v="Hpakant Town"/>
    <n v="4.1842484710239098"/>
    <n v="1"/>
  </r>
  <r>
    <x v="1"/>
    <x v="0"/>
    <s v="MMR001"/>
    <s v="Mohnyin"/>
    <s v="MMR001D002"/>
    <x v="12"/>
    <s v="MMR001009"/>
    <s v="Lone Khin"/>
    <s v="MMR001009001"/>
    <s v="Lone Khin"/>
    <n v="166773"/>
    <x v="152"/>
    <x v="152"/>
    <x v="122"/>
    <n v="25.658670000000001"/>
    <n v="0"/>
    <n v="0"/>
    <n v="0"/>
    <s v="NA"/>
    <x v="0"/>
    <x v="0"/>
    <x v="0"/>
    <x v="1"/>
    <d v="2013-01-01T00:00:00"/>
    <m/>
    <x v="3"/>
    <s v="RRD"/>
    <m/>
    <d v="2014-05-15T00:00:00"/>
    <s v="Closed."/>
    <s v=""/>
    <n v="0"/>
    <m/>
    <n v="0"/>
    <s v=""/>
    <s v=""/>
    <s v=""/>
  </r>
  <r>
    <x v="1"/>
    <x v="0"/>
    <s v="MMR001"/>
    <s v="Mohnyin"/>
    <s v="MMR001D002"/>
    <x v="12"/>
    <s v="MMR001009"/>
    <s v="Lone Khin"/>
    <s v="MMR001009001"/>
    <s v="Lone Khin"/>
    <n v="166773"/>
    <x v="153"/>
    <x v="153"/>
    <x v="123"/>
    <n v="25.651440000000001"/>
    <m/>
    <n v="0"/>
    <n v="0"/>
    <s v="NA"/>
    <x v="0"/>
    <x v="0"/>
    <x v="0"/>
    <x v="2"/>
    <m/>
    <m/>
    <x v="3"/>
    <m/>
    <m/>
    <m/>
    <s v=" "/>
    <s v=""/>
    <n v="0"/>
    <m/>
    <n v="0"/>
    <s v=""/>
    <s v=""/>
    <s v=""/>
  </r>
  <r>
    <x v="0"/>
    <x v="1"/>
    <s v="MMR015"/>
    <s v="Muse"/>
    <s v="MMR015D002"/>
    <x v="14"/>
    <s v="MMR015009"/>
    <s v="Mung Baw "/>
    <s v="MMR015009013"/>
    <s v="Mung Baw "/>
    <m/>
    <x v="154"/>
    <x v="154"/>
    <x v="124"/>
    <n v="24.008452999999999"/>
    <n v="3396"/>
    <n v="123"/>
    <n v="503"/>
    <n v="4.0894308943089435"/>
    <x v="1"/>
    <x v="0"/>
    <x v="2"/>
    <x v="1"/>
    <m/>
    <m/>
    <x v="3"/>
    <s v="IRRC"/>
    <m/>
    <d v="2014-03-03T00:00:00"/>
    <s v="Change to Host Families."/>
    <s v="P1"/>
    <n v="0"/>
    <m/>
    <n v="0"/>
    <s v="Pang Hseng (Kyu Koke) Town"/>
    <n v="7.490291417449443"/>
    <n v="2"/>
  </r>
  <r>
    <x v="0"/>
    <x v="1"/>
    <s v="MMR015"/>
    <s v="Muse"/>
    <s v="MMR015D002"/>
    <x v="15"/>
    <s v="MMR015011"/>
    <s v="Long Waun Nam Rein (Tarmoenye Sub-township)"/>
    <s v="MMR015011050"/>
    <s v="Mai Pong (Shu See)"/>
    <n v="219842"/>
    <x v="155"/>
    <x v="155"/>
    <x v="125"/>
    <n v="23.400155999999999"/>
    <n v="3109"/>
    <n v="62"/>
    <n v="281"/>
    <n v="4.532258064516129"/>
    <x v="0"/>
    <x v="0"/>
    <x v="0"/>
    <x v="1"/>
    <d v="2011-09-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27-Mar-15 (Changed to GCA. Source UNHCR-Bhamo)_x000a_Update population. Source: Camp Profile."/>
    <s v="P1"/>
    <n v="57"/>
    <m/>
    <n v="57"/>
    <s v="Tarmoenye Town"/>
    <n v="23.172399462804503"/>
    <n v="5"/>
  </r>
  <r>
    <x v="0"/>
    <x v="1"/>
    <s v="MMR015"/>
    <s v="Muse"/>
    <s v="MMR015D002"/>
    <x v="15"/>
    <s v="MMR015011"/>
    <s v="Nam Hpat Kar"/>
    <s v="MMR015011020"/>
    <s v="Nam Hpat Kar (Ho Pon + Pang Sa Lorp)"/>
    <n v="208696"/>
    <x v="156"/>
    <x v="156"/>
    <x v="126"/>
    <n v="23.694130000000001"/>
    <n v="1135.7"/>
    <n v="62"/>
    <n v="281"/>
    <n v="4.532258064516129"/>
    <x v="0"/>
    <x v="0"/>
    <x v="0"/>
    <x v="1"/>
    <d v="2011-12-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Source: Camp Profile."/>
    <s v="P3"/>
    <n v="36"/>
    <m/>
    <n v="36"/>
    <s v="Namhkan Town"/>
    <n v="21.148671772283631"/>
    <n v="5"/>
  </r>
  <r>
    <x v="0"/>
    <x v="0"/>
    <s v="MMR001"/>
    <s v="Mohnyin"/>
    <s v="MMR001D002"/>
    <x v="12"/>
    <s v="MMR001009"/>
    <s v="Lone Khin"/>
    <s v="MMR001009001"/>
    <s v="Lone Khin"/>
    <n v="166773"/>
    <x v="157"/>
    <x v="157"/>
    <x v="127"/>
    <n v="25.656130000000001"/>
    <n v="0"/>
    <n v="73"/>
    <n v="350"/>
    <n v="4.7945205479452051"/>
    <x v="0"/>
    <x v="0"/>
    <x v="0"/>
    <x v="1"/>
    <d v="2013-01-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4-Oct-15 Population update. Soruce; Hpakant Mission Report_WFP_x000a_25-Jun-15 Population update. Source: KBC_x000a_2-Apr-15 (Population update, Source: UNHCR CCCM Mission)_x000a_Population Update. Source: KBC."/>
    <s v="P4"/>
    <n v="53"/>
    <m/>
    <n v="53"/>
    <s v="Hpakant Town"/>
    <n v="6.4753396248436657"/>
    <n v="2"/>
  </r>
  <r>
    <x v="1"/>
    <x v="0"/>
    <s v="MMR001"/>
    <s v="Mohnyin"/>
    <s v="MMR001D002"/>
    <x v="12"/>
    <s v="MMR001009"/>
    <s v="Seik Mu"/>
    <s v="MMR001009003"/>
    <s v="Seik Mu"/>
    <n v="166783"/>
    <x v="158"/>
    <x v="158"/>
    <x v="32"/>
    <m/>
    <m/>
    <n v="0"/>
    <n v="0"/>
    <s v="NA"/>
    <x v="0"/>
    <x v="0"/>
    <x v="0"/>
    <x v="1"/>
    <m/>
    <m/>
    <x v="3"/>
    <s v="IP"/>
    <m/>
    <d v="2014-05-15T00:00:00"/>
    <s v="Closed."/>
    <s v=""/>
    <n v="0"/>
    <m/>
    <n v="0"/>
    <s v=""/>
    <s v=""/>
    <s v=""/>
  </r>
  <r>
    <x v="0"/>
    <x v="0"/>
    <s v="MMR001"/>
    <s v="Mohnyin"/>
    <s v="MMR001D002"/>
    <x v="12"/>
    <s v="MMR001009"/>
    <s v="Seik Mu"/>
    <s v="MMR001009003"/>
    <s v="Maw Shan"/>
    <n v="166785"/>
    <x v="159"/>
    <x v="159"/>
    <x v="128"/>
    <n v="25.566510000000001"/>
    <n v="278"/>
    <n v="25"/>
    <n v="133"/>
    <n v="5.32"/>
    <x v="0"/>
    <x v="0"/>
    <x v="0"/>
    <x v="1"/>
    <d v="2013-01-01T00:00:00"/>
    <n v="1"/>
    <x v="1"/>
    <s v="IP"/>
    <m/>
    <d v="2016-07-20T00:00:00"/>
    <s v="20/Jul/2016: Population update. Data source: Shalom_x000a_16/Jun/2016: Population update. Data source: mail by Shalom_x000a_14-Oct-15 Population update. Soruce; Hpakant Mission Report_WFP_x000a_19-Aug-15 Population update. Source: Shalom_x000a_2-Apr-15 (Population update, Source: UNHCR CCCM Mission)_x000a_Population update: Source: Camp Profile Round 2."/>
    <s v="P4"/>
    <n v="0"/>
    <m/>
    <n v="0"/>
    <s v="Hpakant Town"/>
    <n v="6.7094919928483892"/>
    <n v="2"/>
  </r>
  <r>
    <x v="0"/>
    <x v="0"/>
    <s v="MMR001"/>
    <s v="Mohnyin"/>
    <s v="MMR001D002"/>
    <x v="12"/>
    <s v="MMR001009"/>
    <s v="Seik Mu"/>
    <s v="MMR001009003"/>
    <s v="Maw Shan"/>
    <n v="166785"/>
    <x v="160"/>
    <x v="160"/>
    <x v="129"/>
    <n v="25.56551"/>
    <n v="259"/>
    <n v="10"/>
    <n v="39"/>
    <n v="3.9"/>
    <x v="0"/>
    <x v="0"/>
    <x v="0"/>
    <x v="1"/>
    <d v="2013-01-01T00:00:00"/>
    <n v="1"/>
    <x v="1"/>
    <s v="IP"/>
    <m/>
    <d v="2016-07-20T00:00:00"/>
    <s v="20/Jul/2016: Population update. Data source: Shalom_x000a_16/Jun/2016: Population update. Data source: mail by Shalom_x000a_14-Oct-15 Population update. Soruce; Hpakant Mission Report_WFP_x000a_19-Aug-15 Population updae. Source: Shalom._x000a_25-Jun-15 (Population update. Source Shalom)_x000a_Population update: Source: Camp Profile Round 2."/>
    <s v="P4"/>
    <n v="0"/>
    <m/>
    <n v="0"/>
    <s v="Hpakant Town"/>
    <n v="6.2085564346706201"/>
    <n v="2"/>
  </r>
  <r>
    <x v="0"/>
    <x v="0"/>
    <s v="MMR001"/>
    <s v="Mohnyin"/>
    <s v="MMR001D002"/>
    <x v="12"/>
    <s v="MMR001009"/>
    <s v="Seik Mu"/>
    <s v="MMR001009003"/>
    <s v="Maw Shan"/>
    <n v="166785"/>
    <x v="161"/>
    <x v="161"/>
    <x v="130"/>
    <n v="25.668399999999998"/>
    <n v="0"/>
    <n v="8"/>
    <n v="40"/>
    <n v="5"/>
    <x v="0"/>
    <x v="0"/>
    <x v="0"/>
    <x v="1"/>
    <d v="2013-01-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14-Oct-15 Population update. Soruce; Hpakant Mission Report_WFP_x000a_25-Jun-15 Population update. Source: KBC_x000a_2-Apr-15 (Population update, Source: UNHCR CCCM Mission)_x000a_Update population according to KBC data"/>
    <s v="P4"/>
    <n v="3"/>
    <m/>
    <n v="3"/>
    <s v="Hpakant Town"/>
    <n v="7.419312682373878"/>
    <n v="2"/>
  </r>
  <r>
    <x v="0"/>
    <x v="0"/>
    <s v="MMR001"/>
    <s v="Mohnyin"/>
    <s v="MMR001D002"/>
    <x v="12"/>
    <s v="MMR001009"/>
    <s v="Seik Mu"/>
    <s v="MMR001009003"/>
    <s v="Sai Taung (Ywar Haung)"/>
    <n v="166788"/>
    <x v="162"/>
    <x v="162"/>
    <x v="131"/>
    <n v="25.577559999999998"/>
    <n v="0"/>
    <n v="35"/>
    <n v="173"/>
    <n v="4.9428571428571431"/>
    <x v="0"/>
    <x v="0"/>
    <x v="0"/>
    <x v="0"/>
    <d v="2013-01-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14-Oct-15 Population update. Soruce; Hpakant Mission Report_WFP_x000a_25-Jun-15 Population update. Source: KBC_x000a_18-May-15 (Population update with field mission)_x000a_2-Apr-15 (Population update, Source: UNHCR CCCM Mission)_x000a_Update population according to KBC data"/>
    <s v="P4"/>
    <n v="20"/>
    <m/>
    <n v="20"/>
    <s v="Hpakant Town"/>
    <n v="4.6754712546149264"/>
    <n v="1"/>
  </r>
  <r>
    <x v="1"/>
    <x v="0"/>
    <s v="MMR001"/>
    <s v="Mohnyin"/>
    <s v="MMR001D002"/>
    <x v="12"/>
    <s v="MMR001009"/>
    <s v="Seik Mu"/>
    <s v="MMR001009003"/>
    <s v="Seik Mu"/>
    <n v="166783"/>
    <x v="163"/>
    <x v="163"/>
    <x v="132"/>
    <n v="25.57921"/>
    <n v="0"/>
    <n v="0"/>
    <n v="0"/>
    <s v="NA"/>
    <x v="0"/>
    <x v="0"/>
    <x v="0"/>
    <x v="1"/>
    <d v="2013-01-01T00:00:00"/>
    <m/>
    <x v="2"/>
    <s v="RRD"/>
    <m/>
    <d v="2014-04-07T00:00:00"/>
    <s v="Move to Nant Ma Hpit Catholic Church."/>
    <s v=""/>
    <n v="0"/>
    <m/>
    <n v="0"/>
    <s v=""/>
    <s v=""/>
    <s v=""/>
  </r>
  <r>
    <x v="1"/>
    <x v="0"/>
    <s v="MMR001"/>
    <s v="Mohnyin"/>
    <s v="MMR001D002"/>
    <x v="12"/>
    <s v="MMR001009"/>
    <s v="Seik Mu"/>
    <s v="MMR001009003"/>
    <s v="Seik Mu"/>
    <n v="166783"/>
    <x v="164"/>
    <x v="164"/>
    <x v="32"/>
    <m/>
    <m/>
    <n v="0"/>
    <n v="0"/>
    <s v="NA"/>
    <x v="0"/>
    <x v="0"/>
    <x v="0"/>
    <x v="2"/>
    <m/>
    <m/>
    <x v="3"/>
    <s v="RRD"/>
    <m/>
    <d v="2014-01-24T00:00:00"/>
    <s v="UNOCHA"/>
    <s v=""/>
    <n v="0"/>
    <m/>
    <n v="0"/>
    <s v=""/>
    <s v=""/>
    <s v=""/>
  </r>
  <r>
    <x v="1"/>
    <x v="0"/>
    <s v="MMR001"/>
    <s v="Mohnyin"/>
    <s v="MMR001D002"/>
    <x v="12"/>
    <s v="MMR001009"/>
    <s v="Nawng Mi"/>
    <s v="MMR001009008"/>
    <s v="Nawng Myi"/>
    <n v="166817"/>
    <x v="165"/>
    <x v="165"/>
    <x v="133"/>
    <n v="25.728653000000001"/>
    <m/>
    <n v="0"/>
    <n v="0"/>
    <s v="NA"/>
    <x v="0"/>
    <x v="0"/>
    <x v="0"/>
    <x v="1"/>
    <m/>
    <n v="1"/>
    <x v="1"/>
    <s v="IP"/>
    <m/>
    <d v="2015-04-02T00:00:00"/>
    <s v="19-Aug-15 Closed. IDP were provided with individual lands within Naung Hmee village and transit toward semi-permanent settlement. Source: CCCM Unit_x000a_2-Apr-15 (Population update, Source: UNHCR CCCM Mission)_x000a_Population update: Source: Camp Profile Round 2."/>
    <s v="P4"/>
    <n v="0"/>
    <m/>
    <n v="0"/>
    <s v="Kamaing Town"/>
    <n v="23.222739740353646"/>
    <n v="5"/>
  </r>
  <r>
    <x v="1"/>
    <x v="0"/>
    <s v="MMR001"/>
    <s v="Mohnyin"/>
    <s v="MMR001D002"/>
    <x v="12"/>
    <s v="MMR001009"/>
    <s v="Hpakan Town"/>
    <s v="MMR001009701"/>
    <s v="Maw Wam Ward"/>
    <s v="MMR001009701501"/>
    <x v="166"/>
    <x v="166"/>
    <x v="32"/>
    <m/>
    <m/>
    <n v="0"/>
    <n v="0"/>
    <s v="NA"/>
    <x v="0"/>
    <x v="0"/>
    <x v="0"/>
    <x v="2"/>
    <m/>
    <m/>
    <x v="3"/>
    <m/>
    <m/>
    <m/>
    <m/>
    <s v=""/>
    <n v="0"/>
    <m/>
    <n v="0"/>
    <s v=""/>
    <s v=""/>
    <s v=""/>
  </r>
  <r>
    <x v="0"/>
    <x v="0"/>
    <s v="MMR001"/>
    <s v="Mohnyin"/>
    <s v="MMR001D002"/>
    <x v="12"/>
    <s v="MMR001009"/>
    <s v="Hpakan Town"/>
    <s v="MMR001009701"/>
    <s v="Maw Wam Ward"/>
    <s v="MMR001009701501"/>
    <x v="167"/>
    <x v="167"/>
    <x v="134"/>
    <n v="25.616509000000001"/>
    <n v="264"/>
    <n v="14"/>
    <n v="83"/>
    <n v="5.9285714285714288"/>
    <x v="0"/>
    <x v="0"/>
    <x v="0"/>
    <x v="0"/>
    <d v="2013-01-01T00:00:00"/>
    <n v="1"/>
    <x v="1"/>
    <s v="IP"/>
    <m/>
    <d v="2016-07-20T00:00:00"/>
    <s v="20/Jul/2016: Population update. Data source: Shalom_x000a_16/Jun/2016: Population update. Data source: mail by Shalom_x000a_14-Oct-15 Population update. Soruce; Hpakant Mission Report_WFP_x000a_19-Aug-15 Population update. Source: Shalom_x000a_25-Jun-15 (Population update. Source: Shalom)_x000a_Population update: Source: Camp Profile Round 2._x000a_2-Apr-15 (Population update, Source: UNHCR CCCM Mission)"/>
    <s v="P4"/>
    <n v="4"/>
    <m/>
    <n v="4"/>
    <s v="Hpakant Town"/>
    <n v="0.66733171900141897"/>
    <n v="1"/>
  </r>
  <r>
    <x v="0"/>
    <x v="0"/>
    <s v="MMR001"/>
    <s v="Mohnyin"/>
    <s v="MMR001D002"/>
    <x v="12"/>
    <s v="MMR001009"/>
    <s v="Hpakan Town"/>
    <s v="MMR001009701"/>
    <s v="Maw Wam Ward"/>
    <s v="MMR001009701501"/>
    <x v="168"/>
    <x v="168"/>
    <x v="135"/>
    <n v="25.615960999999999"/>
    <n v="281"/>
    <n v="8"/>
    <n v="46"/>
    <n v="5.75"/>
    <x v="0"/>
    <x v="0"/>
    <x v="0"/>
    <x v="0"/>
    <d v="2012-08-01T00:00:00"/>
    <n v="1"/>
    <x v="1"/>
    <s v="IP"/>
    <m/>
    <d v="2016-07-20T00:00:00"/>
    <s v="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18-May-15 (Population update from field mission)_x000a_2-Apr-15 (Population update, Source: UNHCR CCCM Mission)_x000a_Population update: Source: Camp Profile Round 2."/>
    <s v="P4"/>
    <n v="0"/>
    <m/>
    <n v="0"/>
    <s v="Hpakant Town"/>
    <n v="0.56771790814545575"/>
    <n v="1"/>
  </r>
  <r>
    <x v="0"/>
    <x v="0"/>
    <s v="MMR001"/>
    <s v="Mohnyin"/>
    <s v="MMR001D002"/>
    <x v="12"/>
    <s v="MMR001009"/>
    <s v="Nam Ma Hpyit"/>
    <s v="MMR001009002"/>
    <s v="Nam Ma Hpyit"/>
    <n v="166776"/>
    <x v="169"/>
    <x v="169"/>
    <x v="136"/>
    <n v="25.617998"/>
    <m/>
    <n v="17"/>
    <n v="64"/>
    <n v="3.7647058823529411"/>
    <x v="0"/>
    <x v="0"/>
    <x v="0"/>
    <x v="0"/>
    <d v="2013-01-01T00:00:00"/>
    <n v="1"/>
    <x v="1"/>
    <s v="IP"/>
    <m/>
    <d v="2016-07-20T00:00:00"/>
    <s v="20/Jul/2016: Population update. Data source: Shalom_x000a_16/Jun/2016: Population update. Data source: mail by Shalom_x000a_9/Nov/15. Population update. Data source: monthly report by HAP._x000a_14-Oct-15 Population update. Soruce; Hpakant Mission Report_WFP_x000a_25-Jun-15 (Population update. Source Shalom)_x000a_2-Apr-15 (Population update, Source: UNHCR CCCM Mission)_x000a_Population update: Source: Camp Profile Round 2."/>
    <s v="P4"/>
    <n v="2"/>
    <m/>
    <n v="2"/>
    <s v="Hpakant Town"/>
    <n v="2.814225084976667"/>
    <n v="1"/>
  </r>
  <r>
    <x v="0"/>
    <x v="0"/>
    <s v="MMR001"/>
    <s v="Bhamo"/>
    <s v="MMR001D003"/>
    <x v="4"/>
    <s v="MMR001010"/>
    <s v="Han Te"/>
    <s v="MMR001010024"/>
    <s v="Hpan Hkar Kone"/>
    <n v="166854"/>
    <x v="170"/>
    <x v="170"/>
    <x v="137"/>
    <n v="24.222349999999999"/>
    <n v="0"/>
    <n v="150"/>
    <n v="761"/>
    <n v="5.0733333333333333"/>
    <x v="0"/>
    <x v="0"/>
    <x v="0"/>
    <x v="0"/>
    <d v="2013-01-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Camp Profile Round 2."/>
    <s v="P4"/>
    <n v="24"/>
    <m/>
    <n v="24"/>
    <s v="Bhamo Town"/>
    <n v="4.067486452659054"/>
    <n v="1"/>
  </r>
  <r>
    <x v="0"/>
    <x v="0"/>
    <s v="MMR001"/>
    <s v="Bhamo"/>
    <s v="MMR001D003"/>
    <x v="4"/>
    <s v="MMR001010"/>
    <s v="Aung Thar"/>
    <s v="MMR001010048"/>
    <s v="Aung Thar"/>
    <n v="166904"/>
    <x v="171"/>
    <x v="171"/>
    <x v="137"/>
    <n v="24.260466999999998"/>
    <n v="0"/>
    <n v="12"/>
    <n v="55"/>
    <n v="4.583333333333333"/>
    <x v="0"/>
    <x v="0"/>
    <x v="0"/>
    <x v="0"/>
    <d v="2011-09-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13/Dec/2015. Population update. Data source: mail by Ko Maran. reason for population changes: Aung Tar KBC camp still exist. WFP report about camp closure but the small camp still exist. We change the status as open again_x000a_9/Nov/15. Camp Closed_x000a_25-Jun-15 Population update. Source: KBC_x000a_Population Update. Source: KBC."/>
    <s v="P4"/>
    <n v="0"/>
    <m/>
    <n v="0"/>
    <s v="Bhamo Town"/>
    <n v="1.9489261822960435"/>
    <n v="1"/>
  </r>
  <r>
    <x v="0"/>
    <x v="0"/>
    <s v="MMR001"/>
    <s v="Myitkyina"/>
    <s v="MMR001D001"/>
    <x v="3"/>
    <s v="MMR001005"/>
    <s v="Urban"/>
    <s v="MMR001005701"/>
    <s v="Rit Law"/>
    <m/>
    <x v="172"/>
    <x v="172"/>
    <x v="138"/>
    <n v="25.887339999999998"/>
    <n v="259.10000000000002"/>
    <n v="143"/>
    <n v="638"/>
    <n v="4.4615384615384617"/>
    <x v="0"/>
    <x v="0"/>
    <x v="0"/>
    <x v="1"/>
    <d v="2012-02-01T00:00:00"/>
    <n v="1"/>
    <x v="1"/>
    <s v="IP"/>
    <m/>
    <d v="2016-07-20T00:00:00"/>
    <s v="20/Jul/2016: Population update. Data source: Shalom_x000a_16/Jun/2016: Population update. Data source: mail by Shalom_x000a_16/Jun/2016. Population update. Data source: monthly report from KMSS_MYT_x000a_10 May 2016. Population update: Data source_Shalom_x000a_28/Jan/2016. (New added camp) Population update. Data source: KBC (mail by maran)_x000a_9/Nov/15. Population update. Data source: monthly report by HAP._x000a_19-Aug-15 Population update. Source: Shalom_x000a_25-Jun-15 (Population update. Source: Shalom)_x000a_2-Apr-15 (Population update, Source: UNHCR CCCM Mission)_x000a_Population update: Source: Camp Profile Round 2."/>
    <s v="P1"/>
    <n v="70"/>
    <m/>
    <n v="70"/>
    <m/>
    <s v=""/>
    <s v=""/>
  </r>
  <r>
    <x v="0"/>
    <x v="0"/>
    <s v="MMR001"/>
    <s v="Bhamo"/>
    <s v="MMR001D003"/>
    <x v="6"/>
    <s v="MMR001013"/>
    <s v="Mansi Town"/>
    <s v="MMR001013701"/>
    <m/>
    <m/>
    <x v="140"/>
    <x v="173"/>
    <x v="139"/>
    <n v="24.118618999999999"/>
    <m/>
    <n v="76"/>
    <n v="256"/>
    <n v="3.3684210526315788"/>
    <x v="0"/>
    <x v="0"/>
    <x v="2"/>
    <x v="0"/>
    <m/>
    <m/>
    <x v="3"/>
    <s v="IP"/>
    <m/>
    <d v="2015-11-09T00:00:00"/>
    <s v="9/Nov/15. Population update. Data source: mail from Pancy (WFP)._x000a_Update IDP increased in Oct and Nov 2013 from (UNHCR - Bhamo)"/>
    <s v="P4"/>
    <n v="0"/>
    <m/>
    <n v="0"/>
    <s v="Mansi Town"/>
    <n v="0.51447052329458698"/>
    <n v="1"/>
  </r>
  <r>
    <x v="0"/>
    <x v="0"/>
    <s v="MMR001"/>
    <s v="Bhamo"/>
    <s v="MMR001D003"/>
    <x v="5"/>
    <s v="MMR001012"/>
    <s v="Momauk Town"/>
    <s v="MMR001012701"/>
    <m/>
    <m/>
    <x v="140"/>
    <x v="174"/>
    <x v="140"/>
    <n v="24.251232000000002"/>
    <m/>
    <n v="320"/>
    <n v="1125"/>
    <n v="3.515625"/>
    <x v="0"/>
    <x v="0"/>
    <x v="2"/>
    <x v="0"/>
    <m/>
    <m/>
    <x v="3"/>
    <s v="RRD"/>
    <m/>
    <d v="2015-11-09T00:00:00"/>
    <s v="9/Nov/15. Population update. Data source: mail from Pancy (WFP)."/>
    <s v="P4"/>
    <n v="0"/>
    <m/>
    <n v="0"/>
    <s v="Momauk Town"/>
    <n v="0.60629049139006752"/>
    <n v="1"/>
  </r>
  <r>
    <x v="0"/>
    <x v="0"/>
    <s v="MMR001"/>
    <s v="Bhamo"/>
    <s v="MMR001D003"/>
    <x v="5"/>
    <s v="MMR001012"/>
    <s v="Man Ping (Ping) (Dawthponeyan Sub-township)"/>
    <s v="MMR001012052"/>
    <s v="Man Ping"/>
    <n v="167270"/>
    <x v="173"/>
    <x v="175"/>
    <x v="141"/>
    <n v="24.759551999999999"/>
    <m/>
    <m/>
    <m/>
    <s v="NA"/>
    <x v="0"/>
    <x v="0"/>
    <x v="2"/>
    <x v="1"/>
    <m/>
    <m/>
    <x v="3"/>
    <s v="RRD"/>
    <m/>
    <d v="2014-06-13T00:00:00"/>
    <s v="Geo-Info, HH/Pop data was updated from Google Earth."/>
    <s v="P4"/>
    <n v="0"/>
    <m/>
    <n v="0"/>
    <s v="Dawthponeyan  Town"/>
    <n v="24.701686141136339"/>
    <n v="5"/>
  </r>
  <r>
    <x v="0"/>
    <x v="0"/>
    <s v="MMR001"/>
    <s v="Bhamo"/>
    <s v="MMR001D003"/>
    <x v="7"/>
    <s v="MMR001011"/>
    <s v="Shwegu Town"/>
    <s v="MMR001011701"/>
    <m/>
    <m/>
    <x v="140"/>
    <x v="176"/>
    <x v="142"/>
    <n v="24.224830999999998"/>
    <m/>
    <n v="9"/>
    <n v="30"/>
    <n v="3.3333333333333335"/>
    <x v="0"/>
    <x v="0"/>
    <x v="2"/>
    <x v="0"/>
    <m/>
    <m/>
    <x v="3"/>
    <s v="RRD"/>
    <m/>
    <m/>
    <m/>
    <s v="P4"/>
    <n v="0"/>
    <m/>
    <n v="0"/>
    <s v="Shwegu Town"/>
    <n v="2.3794331620169178"/>
    <n v="1"/>
  </r>
  <r>
    <x v="0"/>
    <x v="0"/>
    <s v="MMR001"/>
    <s v="Bhamo"/>
    <s v="MMR001D003"/>
    <x v="5"/>
    <s v="MMR001012"/>
    <s v="Khon Sint"/>
    <s v="MMR001012013"/>
    <s v="Khon Sint"/>
    <n v="167060"/>
    <x v="174"/>
    <x v="177"/>
    <x v="143"/>
    <n v="24.377054000000001"/>
    <m/>
    <n v="4"/>
    <n v="26"/>
    <n v="6.5"/>
    <x v="0"/>
    <x v="0"/>
    <x v="2"/>
    <x v="1"/>
    <m/>
    <m/>
    <x v="3"/>
    <s v="RRD"/>
    <m/>
    <d v="2014-03-03T00:00:00"/>
    <s v="Change to Host Families."/>
    <s v="P4"/>
    <n v="0"/>
    <m/>
    <n v="0"/>
    <s v="Momauk Town"/>
    <n v="13.446032768350749"/>
    <n v="3"/>
  </r>
  <r>
    <x v="1"/>
    <x v="0"/>
    <s v="MMR001"/>
    <s v="Mohnyin"/>
    <s v="MMR001D002"/>
    <x v="12"/>
    <s v="MMR001009"/>
    <s v="Hpakan Town"/>
    <s v="MMR001009701"/>
    <s v="Maw Wam Ward"/>
    <s v="MMR001009701501"/>
    <x v="175"/>
    <x v="178"/>
    <x v="144"/>
    <n v="25.615006000000001"/>
    <m/>
    <n v="0"/>
    <n v="0"/>
    <s v="NA"/>
    <x v="0"/>
    <x v="0"/>
    <x v="0"/>
    <x v="2"/>
    <m/>
    <m/>
    <x v="3"/>
    <m/>
    <m/>
    <m/>
    <s v=" "/>
    <s v=""/>
    <n v="0"/>
    <m/>
    <n v="0"/>
    <s v=""/>
    <s v=""/>
    <s v=""/>
  </r>
  <r>
    <x v="1"/>
    <x v="0"/>
    <s v="MMR001"/>
    <s v="Bhamo"/>
    <s v="MMR001D003"/>
    <x v="6"/>
    <s v="MMR001013"/>
    <s v="Man Mawn"/>
    <s v="MMR001013022"/>
    <m/>
    <m/>
    <x v="176"/>
    <x v="179"/>
    <x v="145"/>
    <n v="23.867713999999999"/>
    <n v="755"/>
    <n v="0"/>
    <n v="0"/>
    <s v="NA"/>
    <x v="1"/>
    <x v="0"/>
    <x v="0"/>
    <x v="1"/>
    <d v="2013-04-01T00:00:00"/>
    <n v="2"/>
    <x v="5"/>
    <s v="IP"/>
    <m/>
    <d v="2014-06-21T00:00:00"/>
    <s v="Closed. Source: Save The Children"/>
    <s v="P4"/>
    <n v="0"/>
    <m/>
    <n v="0"/>
    <s v=""/>
    <s v=""/>
    <s v=""/>
  </r>
  <r>
    <x v="1"/>
    <x v="0"/>
    <s v="MMR001"/>
    <s v="Bhamo"/>
    <s v="MMR001D003"/>
    <x v="6"/>
    <s v="MMR001013"/>
    <s v="Mung Ding Pa"/>
    <s v="MMR001013038"/>
    <m/>
    <m/>
    <x v="177"/>
    <x v="180"/>
    <x v="146"/>
    <n v="24.20645"/>
    <n v="781.8"/>
    <n v="0"/>
    <n v="0"/>
    <s v="NA"/>
    <x v="1"/>
    <x v="0"/>
    <x v="0"/>
    <x v="1"/>
    <d v="2012-07-01T00:00:00"/>
    <m/>
    <x v="3"/>
    <s v="IP"/>
    <m/>
    <d v="2014-01-22T00:00:00"/>
    <s v="Closed: Source UNHCR-Bhamo"/>
    <s v=""/>
    <n v="0"/>
    <m/>
    <n v="0"/>
    <s v=""/>
    <s v=""/>
    <s v=""/>
  </r>
  <r>
    <x v="1"/>
    <x v="0"/>
    <s v="MMR001"/>
    <s v="Bhamo"/>
    <s v="MMR001D003"/>
    <x v="6"/>
    <s v="MMR001013"/>
    <s v="Nam Lin Pa"/>
    <s v="MMR001013037"/>
    <m/>
    <m/>
    <x v="178"/>
    <x v="181"/>
    <x v="108"/>
    <n v="23.75817"/>
    <n v="781.8"/>
    <n v="0"/>
    <n v="0"/>
    <s v="NA"/>
    <x v="1"/>
    <x v="0"/>
    <x v="0"/>
    <x v="1"/>
    <d v="2012-07-01T00:00:00"/>
    <m/>
    <x v="3"/>
    <s v="IP"/>
    <m/>
    <m/>
    <s v="Closed: Source UNHCR-Bhamo"/>
    <s v=""/>
    <n v="0"/>
    <m/>
    <n v="0"/>
    <s v=""/>
    <s v=""/>
    <s v=""/>
  </r>
  <r>
    <x v="0"/>
    <x v="0"/>
    <s v="MMR001"/>
    <s v="Puta-O"/>
    <s v="MMR001D004"/>
    <x v="16"/>
    <s v="MMR001015"/>
    <s v="Sumprabum Town"/>
    <s v="MMR001015701"/>
    <m/>
    <m/>
    <x v="179"/>
    <x v="182"/>
    <x v="147"/>
    <n v="26.541930000000001"/>
    <n v="1025"/>
    <n v="5"/>
    <n v="32"/>
    <n v="6.4"/>
    <x v="0"/>
    <x v="0"/>
    <x v="0"/>
    <x v="1"/>
    <m/>
    <m/>
    <x v="3"/>
    <s v="RRD"/>
    <m/>
    <m/>
    <s v=" "/>
    <s v="P4"/>
    <n v="5"/>
    <m/>
    <n v="5"/>
    <s v="Sumprabum Town"/>
    <n v="0.23004407510846425"/>
    <n v="1"/>
  </r>
  <r>
    <x v="0"/>
    <x v="0"/>
    <s v="MMR001"/>
    <s v="Myitkyina"/>
    <s v="MMR001D001"/>
    <x v="2"/>
    <s v="MMR001002"/>
    <s v="Nam Sang Yang"/>
    <s v="MMR001002024"/>
    <m/>
    <m/>
    <x v="180"/>
    <x v="183"/>
    <x v="148"/>
    <n v="24.752471"/>
    <m/>
    <m/>
    <n v="1047"/>
    <s v="NA"/>
    <x v="1"/>
    <x v="0"/>
    <x v="1"/>
    <x v="0"/>
    <m/>
    <m/>
    <x v="3"/>
    <s v="IRRC"/>
    <m/>
    <d v="2014-09-17T00:00:00"/>
    <s v="In 2014, this school is no longer accepting the lower grade students."/>
    <s v="P2"/>
    <n v="0"/>
    <m/>
    <n v="0"/>
    <s v="Laiza town"/>
    <n v="2.3307568207764655"/>
    <n v="1"/>
  </r>
  <r>
    <x v="1"/>
    <x v="0"/>
    <s v="MMR001"/>
    <s v="Bhamo"/>
    <s v="MMR001D003"/>
    <x v="6"/>
    <s v="MMR001013"/>
    <s v="Nam Lin Pa"/>
    <s v="MMR001013037"/>
    <m/>
    <m/>
    <x v="181"/>
    <x v="184"/>
    <x v="32"/>
    <m/>
    <m/>
    <n v="0"/>
    <n v="0"/>
    <s v="NA"/>
    <x v="1"/>
    <x v="0"/>
    <x v="0"/>
    <x v="2"/>
    <m/>
    <m/>
    <x v="3"/>
    <s v="IP"/>
    <m/>
    <m/>
    <s v="Closed: Source UNHCR-Bhamo"/>
    <s v=""/>
    <n v="0"/>
    <m/>
    <n v="0"/>
    <s v=""/>
    <s v=""/>
    <s v=""/>
  </r>
  <r>
    <x v="0"/>
    <x v="0"/>
    <s v="MMR001"/>
    <s v="Myitkyina"/>
    <s v="MMR001D001"/>
    <x v="3"/>
    <s v="MMR001005"/>
    <s v="Pang War Town"/>
    <s v="MMR001005702"/>
    <s v="No (2) Ward"/>
    <s v="MMR001005702502"/>
    <x v="182"/>
    <x v="185"/>
    <x v="149"/>
    <n v="25.60867"/>
    <n v="2345"/>
    <n v="60"/>
    <n v="277"/>
    <n v="4.6166666666666663"/>
    <x v="0"/>
    <x v="0"/>
    <x v="0"/>
    <x v="1"/>
    <d v="2012-07-01T00:00:00"/>
    <n v="1"/>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2/Dec/2015 (population update. Data source: Monthly report by KMSS-MYT). _x000a_23-Oct-2015 (Population update. Data Source: Monthly report by KMSS-MYT). Reason for population changes; Travelling from the camp for Daily Worker._x000a_19-Aug-2015 (Population update. Data Source: KMSS-MYT)_x000a_2-Apr-15 (Population update, Source: UNHCR CCCM Mission)_x000a_New Camp. KMSS-MYT"/>
    <s v="P1"/>
    <n v="60"/>
    <m/>
    <n v="60"/>
    <s v="Pang War Town"/>
    <n v="0.18710270881855062"/>
    <n v="1"/>
  </r>
  <r>
    <x v="1"/>
    <x v="0"/>
    <s v="MMR001"/>
    <s v="Bhamo"/>
    <s v="MMR001D003"/>
    <x v="4"/>
    <s v="MMR001010"/>
    <m/>
    <m/>
    <m/>
    <m/>
    <x v="183"/>
    <x v="186"/>
    <x v="32"/>
    <m/>
    <m/>
    <n v="0"/>
    <n v="0"/>
    <s v="NA"/>
    <x v="0"/>
    <x v="0"/>
    <x v="0"/>
    <x v="0"/>
    <m/>
    <m/>
    <x v="3"/>
    <s v="IP"/>
    <m/>
    <d v="2014-03-03T00:00:00"/>
    <s v="Closed. Rellocated to Tharthana Ahlin Yaung."/>
    <s v=""/>
    <n v="0"/>
    <m/>
    <n v="0"/>
    <s v=""/>
    <s v=""/>
    <s v=""/>
  </r>
  <r>
    <x v="1"/>
    <x v="0"/>
    <s v="MMR001"/>
    <s v="Bhamo"/>
    <s v="MMR001D003"/>
    <x v="6"/>
    <s v="MMR001013"/>
    <s v="Mai Bat"/>
    <s v="MMR001013018"/>
    <s v="Man Kawng"/>
    <n v="167391"/>
    <x v="184"/>
    <x v="187"/>
    <x v="150"/>
    <n v="24.181640000000002"/>
    <m/>
    <n v="0"/>
    <n v="0"/>
    <s v="NA"/>
    <x v="0"/>
    <x v="0"/>
    <x v="0"/>
    <x v="2"/>
    <m/>
    <m/>
    <x v="3"/>
    <s v="IP"/>
    <m/>
    <d v="2014-03-03T00:00:00"/>
    <s v="Closed. Duplicate with Maing Khaung."/>
    <s v=""/>
    <n v="0"/>
    <m/>
    <n v="0"/>
    <s v=""/>
    <s v=""/>
    <s v=""/>
  </r>
  <r>
    <x v="1"/>
    <x v="0"/>
    <s v="MMR001"/>
    <s v="Bhamo"/>
    <s v="MMR001D003"/>
    <x v="6"/>
    <s v="MMR001013"/>
    <s v="Mai Bat"/>
    <s v="MMR001013018"/>
    <s v="Man Kawng"/>
    <n v="167391"/>
    <x v="185"/>
    <x v="188"/>
    <x v="150"/>
    <n v="24.181640000000002"/>
    <m/>
    <n v="0"/>
    <n v="0"/>
    <s v="NA"/>
    <x v="0"/>
    <x v="0"/>
    <x v="0"/>
    <x v="2"/>
    <m/>
    <m/>
    <x v="3"/>
    <s v="IP"/>
    <m/>
    <d v="2014-03-03T00:00:00"/>
    <s v="Closed. Duplicate with Maing Khaung."/>
    <s v=""/>
    <n v="0"/>
    <m/>
    <n v="0"/>
    <s v=""/>
    <s v=""/>
    <s v=""/>
  </r>
  <r>
    <x v="1"/>
    <x v="0"/>
    <s v="MMR001"/>
    <s v="Bhamo"/>
    <s v="MMR001D003"/>
    <x v="6"/>
    <s v="MMR001013"/>
    <m/>
    <m/>
    <m/>
    <m/>
    <x v="186"/>
    <x v="189"/>
    <x v="32"/>
    <m/>
    <m/>
    <n v="0"/>
    <n v="0"/>
    <s v="NA"/>
    <x v="0"/>
    <x v="0"/>
    <x v="0"/>
    <x v="2"/>
    <m/>
    <m/>
    <x v="3"/>
    <s v="IP"/>
    <m/>
    <d v="2014-03-03T00:00:00"/>
    <s v="Closed. Rellocated to Man Win and La Ga Yaung"/>
    <s v=""/>
    <n v="0"/>
    <m/>
    <n v="0"/>
    <s v=""/>
    <s v=""/>
    <s v=""/>
  </r>
  <r>
    <x v="1"/>
    <x v="0"/>
    <s v="MMR001"/>
    <s v="Bhamo"/>
    <s v="MMR001D003"/>
    <x v="6"/>
    <s v="MMR001013"/>
    <m/>
    <m/>
    <m/>
    <m/>
    <x v="187"/>
    <x v="190"/>
    <x v="32"/>
    <m/>
    <m/>
    <n v="0"/>
    <n v="0"/>
    <s v="NA"/>
    <x v="0"/>
    <x v="0"/>
    <x v="0"/>
    <x v="2"/>
    <m/>
    <m/>
    <x v="3"/>
    <s v="IP"/>
    <m/>
    <d v="2014-03-03T00:00:00"/>
    <s v="Closed. Rellocated to Man Win and La Ga Yaung"/>
    <s v=""/>
    <n v="0"/>
    <m/>
    <n v="0"/>
    <s v=""/>
    <s v=""/>
    <s v=""/>
  </r>
  <r>
    <x v="1"/>
    <x v="0"/>
    <s v="MMR001"/>
    <s v="Bhamo"/>
    <s v="MMR001D003"/>
    <x v="6"/>
    <s v="MMR001013"/>
    <m/>
    <m/>
    <m/>
    <m/>
    <x v="188"/>
    <x v="191"/>
    <x v="32"/>
    <m/>
    <m/>
    <n v="0"/>
    <n v="0"/>
    <s v="NA"/>
    <x v="0"/>
    <x v="0"/>
    <x v="2"/>
    <x v="1"/>
    <m/>
    <m/>
    <x v="3"/>
    <s v="IP"/>
    <m/>
    <d v="2015-03-27T00:00:00"/>
    <s v="27-Mar-15 (Closed. Source: UNHCR-Bhamo)_x000a_New Camp"/>
    <s v="P4"/>
    <n v="0"/>
    <m/>
    <n v="0"/>
    <s v=""/>
    <s v=""/>
    <s v=""/>
  </r>
  <r>
    <x v="1"/>
    <x v="0"/>
    <s v="MMR001"/>
    <s v="Bhamo"/>
    <s v="MMR001D003"/>
    <x v="6"/>
    <s v="MMR001013"/>
    <m/>
    <m/>
    <m/>
    <m/>
    <x v="189"/>
    <x v="192"/>
    <x v="32"/>
    <m/>
    <m/>
    <n v="0"/>
    <n v="0"/>
    <s v="NA"/>
    <x v="0"/>
    <x v="0"/>
    <x v="4"/>
    <x v="2"/>
    <m/>
    <m/>
    <x v="3"/>
    <s v="IP"/>
    <m/>
    <d v="2014-02-07T00:00:00"/>
    <s v="Source OCHA"/>
    <s v=""/>
    <n v="0"/>
    <m/>
    <n v="0"/>
    <s v=""/>
    <s v=""/>
    <s v=""/>
  </r>
  <r>
    <x v="0"/>
    <x v="0"/>
    <s v="MMR001"/>
    <s v="Bhamo"/>
    <s v="MMR001D003"/>
    <x v="6"/>
    <s v="MMR001013"/>
    <s v="Maing Khaung"/>
    <s v="MMR001013007"/>
    <s v="Maing Khaung"/>
    <n v="167301"/>
    <x v="190"/>
    <x v="193"/>
    <x v="151"/>
    <n v="23.972453000000002"/>
    <n v="466"/>
    <n v="390"/>
    <n v="1672"/>
    <n v="4.287179487179487"/>
    <x v="0"/>
    <x v="0"/>
    <x v="0"/>
    <x v="1"/>
    <d v="2013-10-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13/Dec/2014. Population update. Data source: Mail by Ko Maran. Reason for Pop changes: Following September 2016 conflict there was sudden increase of IDP pp in Mansi and Mahkawng_x000a_2/Dec/2015. Population update. Data source: KBC_x000a_2-Oct-14 Population update (New arrival). Data source: NFI distribution list from Bhamo._x000a_19-Aug-15 Population update. Source: KBC._x000a_25-Jun-15 Population update. Source: KBC_x000a_Population update: Source: Camp Profile Round 2."/>
    <s v="P4"/>
    <n v="81"/>
    <m/>
    <n v="81"/>
    <s v="Mansi Town"/>
    <n v="17.731070777343263"/>
    <n v="4"/>
  </r>
  <r>
    <x v="1"/>
    <x v="0"/>
    <s v="MMR001"/>
    <s v="Bhamo"/>
    <s v="MMR001D003"/>
    <x v="6"/>
    <s v="MMR001013"/>
    <m/>
    <m/>
    <m/>
    <m/>
    <x v="191"/>
    <x v="194"/>
    <x v="32"/>
    <m/>
    <m/>
    <n v="0"/>
    <n v="0"/>
    <s v="NA"/>
    <x v="0"/>
    <x v="0"/>
    <x v="0"/>
    <x v="1"/>
    <m/>
    <m/>
    <x v="3"/>
    <s v="IP"/>
    <m/>
    <d v="2014-01-13T00:00:00"/>
    <s v="Close (Source: OCHA)"/>
    <s v=""/>
    <n v="0"/>
    <m/>
    <n v="0"/>
    <s v=""/>
    <s v=""/>
    <s v=""/>
  </r>
  <r>
    <x v="1"/>
    <x v="0"/>
    <s v="MMR001"/>
    <s v="Puta-O"/>
    <s v="MMR001D004"/>
    <x v="9"/>
    <s v="MMR001014"/>
    <s v="Lang Taung"/>
    <s v="MMR001014009"/>
    <s v="Nawng Hkaing"/>
    <n v="167567"/>
    <x v="192"/>
    <x v="195"/>
    <x v="152"/>
    <n v="27.270199999999999"/>
    <n v="372.9"/>
    <n v="0"/>
    <n v="0"/>
    <s v="NA"/>
    <x v="0"/>
    <x v="0"/>
    <x v="0"/>
    <x v="1"/>
    <d v="2013-08-01T00:00:00"/>
    <m/>
    <x v="3"/>
    <s v="IP"/>
    <m/>
    <d v="2014-03-27T00:00:00"/>
    <s v="25-Jun-15 (Relocated to Lone Sut)_x000a_Geo-Info, HH/Pop data received from MIRA Form"/>
    <s v="P3"/>
    <n v="0"/>
    <m/>
    <n v="0"/>
    <s v="Machanbaw Town"/>
    <n v="1.7005689699647559"/>
    <n v="1"/>
  </r>
  <r>
    <x v="1"/>
    <x v="0"/>
    <s v="MMR001"/>
    <s v="Puta-O"/>
    <s v="MMR001D004"/>
    <x v="17"/>
    <s v="MMR001016"/>
    <m/>
    <m/>
    <m/>
    <m/>
    <x v="193"/>
    <x v="196"/>
    <x v="153"/>
    <n v="27.274059999999999"/>
    <n v="403"/>
    <n v="0"/>
    <n v="0"/>
    <s v="NA"/>
    <x v="0"/>
    <x v="0"/>
    <x v="0"/>
    <x v="1"/>
    <d v="2013-09-01T00:00:00"/>
    <m/>
    <x v="3"/>
    <s v="IP"/>
    <m/>
    <d v="2015-06-25T00:00:00"/>
    <s v="25-Jun-15 (Relocate to Long Sut)_x000a_Geo-Info, HH/Pop data received from MIRA Form"/>
    <s v="P3"/>
    <n v="0"/>
    <m/>
    <n v="0"/>
    <s v="Machanbaw Town"/>
    <n v="1.136583238544624"/>
    <n v="1"/>
  </r>
  <r>
    <x v="1"/>
    <x v="0"/>
    <s v="MMR001"/>
    <s v="Bhamo"/>
    <s v="MMR001D003"/>
    <x v="4"/>
    <s v="MMR001010"/>
    <m/>
    <m/>
    <m/>
    <m/>
    <x v="194"/>
    <x v="197"/>
    <x v="32"/>
    <m/>
    <m/>
    <n v="0"/>
    <n v="0"/>
    <s v="NA"/>
    <x v="0"/>
    <x v="0"/>
    <x v="0"/>
    <x v="0"/>
    <m/>
    <m/>
    <x v="3"/>
    <s v="IP"/>
    <m/>
    <d v="2014-03-04T00:00:00"/>
    <s v="Closed. Rellocated next to AD 2000 Tharthana Compound and CCCM is under AD 2000"/>
    <s v=""/>
    <n v="0"/>
    <m/>
    <n v="0"/>
    <s v=""/>
    <s v=""/>
    <s v=""/>
  </r>
  <r>
    <x v="0"/>
    <x v="0"/>
    <s v="MMR001"/>
    <s v="Bhamo"/>
    <s v="MMR001D003"/>
    <x v="6"/>
    <s v="MMR001013"/>
    <s v="Maing Khaung"/>
    <s v="MMR001013007"/>
    <s v="Maing Khaung"/>
    <n v="167301"/>
    <x v="195"/>
    <x v="198"/>
    <x v="154"/>
    <n v="23.976571"/>
    <n v="478"/>
    <n v="123"/>
    <n v="582"/>
    <n v="4.7317073170731705"/>
    <x v="0"/>
    <x v="0"/>
    <x v="0"/>
    <x v="1"/>
    <d v="2013-10-01T00:00:00"/>
    <n v="2"/>
    <x v="5"/>
    <s v="IP"/>
    <m/>
    <d v="2016-01-28T00:00:00"/>
    <s v="28/Jan/2016. Population update. Data source: KMSS (mail by maran)_x000a_19-Aug-15 Update population. Source KMSS-BMO_x000a_Geo-Info update."/>
    <s v="P4"/>
    <n v="73"/>
    <m/>
    <n v="73"/>
    <s v="Kamaing Town"/>
    <n v="12.257552920582597"/>
    <n v="3"/>
  </r>
  <r>
    <x v="1"/>
    <x v="0"/>
    <s v="MMR001"/>
    <s v="Bhamo"/>
    <s v="MMR001D003"/>
    <x v="4"/>
    <s v="MMR001010"/>
    <s v="Han Te"/>
    <s v="MMR001010024"/>
    <m/>
    <m/>
    <x v="196"/>
    <x v="199"/>
    <x v="155"/>
    <n v="24.229189999999999"/>
    <n v="126"/>
    <n v="0"/>
    <n v="0"/>
    <s v="NA"/>
    <x v="0"/>
    <x v="0"/>
    <x v="0"/>
    <x v="0"/>
    <m/>
    <m/>
    <x v="1"/>
    <s v="IP"/>
    <m/>
    <d v="2014-09-24T00:00:00"/>
    <s v="Closed. Source: UNHCR-Bhamo. (5-Nov-2014 During the yesterday GCM meeting, it is noted from WFP that the Tharthana Ahlin Yaung New Monastery, MMR001CMP224, is closed already. Some families are still remained staying with host family and WFP is still providing them with regular food supplies.)"/>
    <s v="P4"/>
    <n v="0"/>
    <m/>
    <n v="0"/>
    <s v=""/>
    <s v=""/>
    <s v=""/>
  </r>
  <r>
    <x v="0"/>
    <x v="0"/>
    <s v="MMR001"/>
    <s v="Myitkyina"/>
    <s v="MMR001D001"/>
    <x v="3"/>
    <s v="MMR001005"/>
    <s v="Lang Jaw"/>
    <s v="MMR001005022"/>
    <s v="Saw Zam"/>
    <m/>
    <x v="197"/>
    <x v="200"/>
    <x v="156"/>
    <n v="25.645959999999999"/>
    <n v="1945"/>
    <n v="30"/>
    <n v="175"/>
    <n v="5.833333333333333"/>
    <x v="0"/>
    <x v="0"/>
    <x v="0"/>
    <x v="0"/>
    <d v="2012-07-01T00:00:00"/>
    <m/>
    <x v="2"/>
    <s v="IP"/>
    <m/>
    <d v="2016-07-14T00:00:00"/>
    <s v="14/Jul/2016: Population update. Data Source:KMSS_Myitkyina_x000a_16/Jun/2016. Population update. Data source: monthly report from KMSS_MYT_x000a_10/May/2016. Population Update. Data source: KMSS_x000a_28/Jan/2016. Population update. Data source: KBC (mail by maran)_x000a_19-Aug-15 (Population update. Data Source: KMSS-MYT)_x000a_2-Apr-15 (Population update, Source: UNHCR CCCM Mission)_x000a_Population Update. Source: KMSS-MYT"/>
    <s v="P1"/>
    <n v="30"/>
    <m/>
    <n v="30"/>
    <s v="Naypyitaw Town"/>
    <n v="0"/>
    <n v="1"/>
  </r>
  <r>
    <x v="0"/>
    <x v="0"/>
    <s v="MMR001"/>
    <s v="Bhamo"/>
    <s v="MMR001D003"/>
    <x v="6"/>
    <s v="MMR001013"/>
    <s v="Dum Buk"/>
    <s v="MMR001013014"/>
    <s v="Dum Buk"/>
    <n v="167343"/>
    <x v="198"/>
    <x v="201"/>
    <x v="157"/>
    <n v="24.000250000000001"/>
    <m/>
    <n v="219"/>
    <n v="891"/>
    <n v="4.0684931506849313"/>
    <x v="1"/>
    <x v="0"/>
    <x v="0"/>
    <x v="1"/>
    <d v="2011-10-01T00:00:00"/>
    <m/>
    <x v="5"/>
    <s v="IP"/>
    <m/>
    <d v="2016-01-28T00:00:00"/>
    <s v="28/Jan/2016. Population update. Data source: KBC (mail by maran)_x000a_Population Update. Source: Save The Children."/>
    <s v="P2"/>
    <n v="99"/>
    <m/>
    <n v="99"/>
    <s v="Namhkan Town"/>
    <n v="19.631786732140053"/>
    <n v="4"/>
  </r>
  <r>
    <x v="0"/>
    <x v="0"/>
    <s v="MMR001"/>
    <s v="Puta-O"/>
    <s v="MMR001D004"/>
    <x v="9"/>
    <s v="MMR001014"/>
    <s v="Lang Taung"/>
    <s v="MMR001014009"/>
    <s v="Inn Lel Yan"/>
    <n v="217032"/>
    <x v="199"/>
    <x v="202"/>
    <x v="158"/>
    <n v="27.248964999999998"/>
    <n v="398"/>
    <n v="10"/>
    <n v="56"/>
    <n v="5.6"/>
    <x v="0"/>
    <x v="0"/>
    <x v="2"/>
    <x v="1"/>
    <d v="2013-08-01T00:00:00"/>
    <m/>
    <x v="3"/>
    <s v="IP"/>
    <m/>
    <d v="2014-04-07T00:00:00"/>
    <s v="New host families."/>
    <s v="P3"/>
    <n v="0"/>
    <m/>
    <n v="0"/>
    <s v="Machanbaw Town"/>
    <n v="4.789460146835963"/>
    <n v="1"/>
  </r>
  <r>
    <x v="0"/>
    <x v="0"/>
    <s v="MMR001"/>
    <s v="Bhamo"/>
    <s v="MMR001D003"/>
    <x v="6"/>
    <s v="MMR001013"/>
    <s v="Man Wein"/>
    <s v="MMR001013021"/>
    <s v="Man Wein"/>
    <n v="167405"/>
    <x v="200"/>
    <x v="203"/>
    <x v="159"/>
    <n v="23.833477999999999"/>
    <n v="925"/>
    <n v="123"/>
    <n v="555"/>
    <n v="4.5121951219512191"/>
    <x v="0"/>
    <x v="0"/>
    <x v="0"/>
    <x v="1"/>
    <d v="2014-06-01T00:00:00"/>
    <m/>
    <x v="5"/>
    <s v="IP"/>
    <m/>
    <d v="2016-02-16T00:00:00"/>
    <s v="16/Feb/2016. families’ extension_x000a_28/Jan/2016. Population update. Data source: KBC (mail by maran)_x000a_19-Aug-2015. Update Population. Data Source; KMSS-BMO_x000a_Responsible Agency update. KMSS-MYT to KMSS-BMO."/>
    <s v="P4"/>
    <n v="123"/>
    <m/>
    <n v="123"/>
    <s v="Namhkan Town"/>
    <n v="10.527586947557506"/>
    <n v="3"/>
  </r>
  <r>
    <x v="0"/>
    <x v="0"/>
    <s v="MMR001"/>
    <s v="Mohnyin"/>
    <s v="MMR001D002"/>
    <x v="12"/>
    <s v="MMR001009"/>
    <s v="Nam Ma Hpyit"/>
    <s v="MMR001009002"/>
    <s v="Nam Ma Hpyit"/>
    <n v="166776"/>
    <x v="201"/>
    <x v="204"/>
    <x v="79"/>
    <n v="25.611160000000002"/>
    <m/>
    <n v="105"/>
    <n v="506"/>
    <n v="4.8190476190476188"/>
    <x v="0"/>
    <x v="0"/>
    <x v="0"/>
    <x v="0"/>
    <d v="2012-08-01T00:00:00"/>
    <m/>
    <x v="0"/>
    <s v="IP"/>
    <m/>
    <d v="2016-07-18T00:00:00"/>
    <s v="18/Jul/2016: Population updte. Data source: KBC_x000a_14-Oct-15 Population update. Soruce; Hpakant Mission Report_WFP_x000a_25-Jun-15 Population update. Source: KBC_x000a_18-May-15 (Population update from field mission)_x000a_3-Apr-15 (Population update. Source: Camp Profile Round 3)_x000a_New camp"/>
    <s v="P4"/>
    <n v="105"/>
    <m/>
    <n v="105"/>
    <s v="Hpakant Town"/>
    <n v="0.19374952337076978"/>
    <n v="1"/>
  </r>
  <r>
    <x v="0"/>
    <x v="0"/>
    <s v="MMR001"/>
    <s v="Bhamo"/>
    <s v="MMR001D003"/>
    <x v="6"/>
    <s v="MMR001013"/>
    <s v="Man Wein"/>
    <s v="MMR001013021"/>
    <s v="Man Wein"/>
    <n v="167405"/>
    <x v="202"/>
    <x v="205"/>
    <x v="160"/>
    <n v="23.829599000000002"/>
    <m/>
    <n v="113"/>
    <n v="476"/>
    <n v="4.2123893805309738"/>
    <x v="0"/>
    <x v="0"/>
    <x v="0"/>
    <x v="1"/>
    <d v="2014-04-01T00:00:00"/>
    <m/>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
    <n v="113"/>
    <m/>
    <n v="113"/>
    <s v="Namhkan Town"/>
    <n v="9.2957189123335944"/>
    <n v="2"/>
  </r>
  <r>
    <x v="0"/>
    <x v="1"/>
    <s v="MMR015"/>
    <s v="Kyaukme"/>
    <s v="MMR015D003"/>
    <x v="18"/>
    <s v="MMR015019"/>
    <s v="Urban"/>
    <s v="MMR015019701"/>
    <s v="No (2) Ward"/>
    <s v="MMR015019701503"/>
    <x v="203"/>
    <x v="206"/>
    <x v="161"/>
    <n v="23.250678000000001"/>
    <n v="1250"/>
    <n v="37"/>
    <n v="159"/>
    <n v="4.2972972972972974"/>
    <x v="0"/>
    <x v="0"/>
    <x v="0"/>
    <x v="0"/>
    <d v="2012-04-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5-Jun-15 Population update. Source: KBC_x000a_Changed NGCA to GCA. Source: CCCM Unit"/>
    <s v="P2"/>
    <n v="0"/>
    <m/>
    <n v="0"/>
    <s v="Manton Town"/>
    <n v="0.43878855438285824"/>
    <n v="1"/>
  </r>
  <r>
    <x v="0"/>
    <x v="1"/>
    <s v="MMR015"/>
    <s v="Muse"/>
    <s v="MMR015D003"/>
    <x v="14"/>
    <s v="MMR015019"/>
    <s v="Man Pying (Pang Hseng (Kyu Koke)) Sub-township"/>
    <s v="MMR015009038"/>
    <s v="Hawwa"/>
    <m/>
    <x v="204"/>
    <x v="207"/>
    <x v="162"/>
    <n v="23.917631"/>
    <m/>
    <n v="32"/>
    <m/>
    <n v="0"/>
    <x v="0"/>
    <x v="0"/>
    <x v="2"/>
    <x v="1"/>
    <m/>
    <m/>
    <x v="3"/>
    <m/>
    <m/>
    <d v="2014-03-03T00:00:00"/>
    <s v="Change to Host Families."/>
    <s v="P3"/>
    <n v="0"/>
    <m/>
    <n v="0"/>
    <s v="Pang Hseng (Kyu Koke) Town"/>
    <n v="18.405283544772924"/>
    <n v="4"/>
  </r>
  <r>
    <x v="0"/>
    <x v="1"/>
    <s v="MMR015"/>
    <s v="Muse"/>
    <s v="MMR015D003"/>
    <x v="14"/>
    <s v="MMR015019"/>
    <s v="Mone Paw Nam Chet (Zay) (Pang Hseng (Kyu Koke)) Sub-township"/>
    <s v="MMR015009033"/>
    <s v="Mone Paw Nam Chet"/>
    <n v="208167"/>
    <x v="205"/>
    <x v="208"/>
    <x v="163"/>
    <n v="23.978088"/>
    <m/>
    <n v="6"/>
    <m/>
    <n v="0"/>
    <x v="0"/>
    <x v="0"/>
    <x v="2"/>
    <x v="1"/>
    <m/>
    <m/>
    <x v="3"/>
    <m/>
    <m/>
    <d v="2014-03-03T00:00:00"/>
    <s v="Change to Host Families."/>
    <s v="P3"/>
    <n v="0"/>
    <m/>
    <n v="0"/>
    <s v="Pang Hseng (Kyu Koke) Town"/>
    <n v="12.794700705104317"/>
    <n v="3"/>
  </r>
  <r>
    <x v="1"/>
    <x v="1"/>
    <s v="MMR015"/>
    <s v="Muse"/>
    <s v="MMR015D002"/>
    <x v="14"/>
    <s v="MMR015009"/>
    <s v="Man Gyat (Monekoe Sub-township)"/>
    <s v="MMR015009048"/>
    <s v="Gwum Hsan"/>
    <m/>
    <x v="206"/>
    <x v="209"/>
    <x v="164"/>
    <n v="24.101320999999999"/>
    <n v="2979"/>
    <m/>
    <m/>
    <s v="NA"/>
    <x v="1"/>
    <x v="0"/>
    <x v="0"/>
    <x v="0"/>
    <d v="2012-07-01T00:00:00"/>
    <n v="1"/>
    <x v="0"/>
    <s v="IP"/>
    <m/>
    <d v="2016-06-15T00:00:00"/>
    <s v="Camp Closed. Updated on 15 Jun 2016. Data source: Camp Profiling Data from KBC (Our NSS KBC-ERC team confirmed that Munekoe Pa camp has been closed regarding to their request. )_x000a_12/May/2016. Population update. Data source: KBC_x000a_28/Jan/2016. Population update. Data source: KBC (mail by maran)_x000a_2/Dec/2015. Population update. Data source: KBC_x000a_25-Jun-15 Population update. Source: KBC_x000a_Update population. Source: Camp Profile."/>
    <s v="P1"/>
    <n v="0"/>
    <m/>
    <n v="0"/>
    <s v="Monekoe Town"/>
    <n v="1.789574394782699"/>
    <n v="1"/>
  </r>
  <r>
    <x v="0"/>
    <x v="1"/>
    <s v="MMR015"/>
    <s v="Kyaukme"/>
    <s v="MMR015D003"/>
    <x v="19"/>
    <s v="MMR015015"/>
    <s v="Namtu Town"/>
    <s v="MMR015015701"/>
    <s v="Namtu Ward"/>
    <s v="MMR015015701501"/>
    <x v="207"/>
    <x v="210"/>
    <x v="165"/>
    <n v="23.094290000000001"/>
    <n v="534.29999999999995"/>
    <n v="9"/>
    <n v="37"/>
    <n v="4.1111111111111107"/>
    <x v="0"/>
    <x v="0"/>
    <x v="0"/>
    <x v="0"/>
    <d v="2012-04-01T00:00:00"/>
    <n v="1"/>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Source: Camp Profile."/>
    <s v="P3"/>
    <n v="0"/>
    <m/>
    <n v="0"/>
    <s v="Namtu Town"/>
    <n v="0.37588352961435612"/>
    <n v="1"/>
  </r>
  <r>
    <x v="0"/>
    <x v="1"/>
    <s v="MMR015"/>
    <s v="Muse"/>
    <s v="MMR015D002"/>
    <x v="15"/>
    <s v="MMR015011"/>
    <s v="Kar Lai Kone Hsar"/>
    <s v="MMR015011005"/>
    <s v="Kar Lai"/>
    <n v="208557"/>
    <x v="208"/>
    <x v="211"/>
    <x v="166"/>
    <n v="23.4008"/>
    <n v="0"/>
    <n v="88"/>
    <n v="505"/>
    <n v="5.7386363636363633"/>
    <x v="0"/>
    <x v="0"/>
    <x v="0"/>
    <x v="1"/>
    <d v="2013-01-01T00:00:00"/>
    <m/>
    <x v="0"/>
    <s v="IP"/>
    <m/>
    <d v="2016-07-18T00:00:00"/>
    <s v="18/Jul/2016: Population updte. Data source: KBC_x000a_12/May/2016. Population update. Data source: KBC_x000a_25-Jun-15 Population update. Source: KBC_x000a_Update population. Source: Camp Profile."/>
    <s v="P3"/>
    <n v="0"/>
    <m/>
    <n v="0"/>
    <s v="Kutkai Town"/>
    <n v="11.65743881259678"/>
    <n v="3"/>
  </r>
  <r>
    <x v="0"/>
    <x v="1"/>
    <s v="MMR015"/>
    <s v="Muse"/>
    <s v="MMR015D002"/>
    <x v="15"/>
    <s v="MMR015011"/>
    <s v="Kutkai Town"/>
    <s v="MMR015011701"/>
    <s v="No (5) Ward"/>
    <s v="MMR015011701505"/>
    <x v="209"/>
    <x v="212"/>
    <x v="167"/>
    <n v="23.450914000000001"/>
    <n v="4336"/>
    <n v="63"/>
    <n v="286"/>
    <n v="4.5396825396825395"/>
    <x v="0"/>
    <x v="0"/>
    <x v="0"/>
    <x v="0"/>
    <d v="2012-12-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5-Jun-15 Population update. Source: KBC_x000a_Update population. Source: Camp Profile."/>
    <s v="P3"/>
    <n v="0"/>
    <m/>
    <n v="0"/>
    <s v="Kutkai Town"/>
    <n v="1.9281430163271129"/>
    <n v="1"/>
  </r>
  <r>
    <x v="0"/>
    <x v="0"/>
    <s v="MMR001"/>
    <s v="Mohnyin"/>
    <s v="MMR001D002"/>
    <x v="12"/>
    <s v="MMR001009"/>
    <s v="Lone Khin"/>
    <s v="MMR001009001"/>
    <s v="Ku Day"/>
    <n v="216877"/>
    <x v="210"/>
    <x v="213"/>
    <x v="32"/>
    <m/>
    <m/>
    <n v="50"/>
    <n v="241"/>
    <n v="4.82"/>
    <x v="0"/>
    <x v="0"/>
    <x v="0"/>
    <x v="1"/>
    <d v="2015-01-15T00:00:00"/>
    <m/>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18-May-15 (Population update by field mission)_x000a_Source: CCCM Unit (Hpakant Assessement Mission)"/>
    <m/>
    <n v="0"/>
    <m/>
    <n v="0"/>
    <m/>
    <s v=""/>
    <s v=""/>
  </r>
  <r>
    <x v="0"/>
    <x v="1"/>
    <s v="MMR015"/>
    <s v="Muse"/>
    <s v="MMR015D002"/>
    <x v="15"/>
    <s v="MMR015011"/>
    <s v="Kutkai Town"/>
    <s v="MMR015011701"/>
    <s v="No (3) Ward"/>
    <s v="MMR015011701503"/>
    <x v="211"/>
    <x v="214"/>
    <x v="168"/>
    <n v="23.460349999999998"/>
    <n v="4430"/>
    <n v="30"/>
    <n v="139"/>
    <n v="4.6333333333333337"/>
    <x v="0"/>
    <x v="0"/>
    <x v="0"/>
    <x v="0"/>
    <d v="2012-12-01T00:00:00"/>
    <m/>
    <x v="4"/>
    <s v="IP"/>
    <m/>
    <d v="2016-07-14T00:00:00"/>
    <s v="14/Jul/2016: Population update. Data source: KMSS_LSO_x000a_28/Jan/2016. Population update. Data source: KBC (mail by maran)_x000a_19-Aug-15 (Population update. Source: MKSS-LSO)_x000a_25-Jun-15 (Population update. Source: KMSS-LSO)_x000a_Population updated. Source: Shelter unit."/>
    <s v="P3"/>
    <n v="0"/>
    <m/>
    <n v="0"/>
    <s v="Kutkai Town"/>
    <n v="0.42212558305526549"/>
    <n v="1"/>
  </r>
  <r>
    <x v="0"/>
    <x v="0"/>
    <s v="MMR001"/>
    <s v="Mohnyin"/>
    <s v="MMR001D002"/>
    <x v="11"/>
    <s v="MMR001007"/>
    <s v="Hopin Town"/>
    <s v="MMR001007702"/>
    <s v="Myo Ma (South) Ward"/>
    <s v="MMR001007702503"/>
    <x v="212"/>
    <x v="215"/>
    <x v="169"/>
    <n v="24.996279999999999"/>
    <m/>
    <n v="36"/>
    <n v="153"/>
    <n v="4.25"/>
    <x v="0"/>
    <x v="0"/>
    <x v="2"/>
    <x v="2"/>
    <m/>
    <m/>
    <x v="3"/>
    <s v="IP"/>
    <m/>
    <d v="2015-03-19T00:00:00"/>
    <s v="19-Mar-2015 (WFP has been providing this host families since 2013.)"/>
    <m/>
    <n v="0"/>
    <m/>
    <n v="0"/>
    <s v=""/>
    <s v=""/>
    <s v=""/>
  </r>
  <r>
    <x v="0"/>
    <x v="1"/>
    <s v="MMR015"/>
    <s v="Muse"/>
    <s v="MMR015D002"/>
    <x v="15"/>
    <s v="MMR015011"/>
    <s v="Mong Yu"/>
    <s v="MMR015011030"/>
    <s v="Mong Yu"/>
    <n v="208747"/>
    <x v="213"/>
    <x v="216"/>
    <x v="170"/>
    <n v="23.588920000000002"/>
    <n v="1012.5"/>
    <n v="69"/>
    <n v="305"/>
    <n v="4.4202898550724639"/>
    <x v="0"/>
    <x v="0"/>
    <x v="0"/>
    <x v="1"/>
    <d v="2013-01-01T00:00:00"/>
    <n v="2"/>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Update population. Source: Camp Profile."/>
    <s v="P3"/>
    <n v="6"/>
    <m/>
    <n v="6"/>
    <s v="Kutkai Town"/>
    <n v="21.050742639251741"/>
    <n v="5"/>
  </r>
  <r>
    <x v="1"/>
    <x v="1"/>
    <s v="MMR015"/>
    <s v="Muse"/>
    <s v="MMR015D002"/>
    <x v="15"/>
    <s v="MMR015011"/>
    <s v="Long Waun Nam Rein (Tarmoenye Sub-township)"/>
    <s v="MMR015011050"/>
    <s v="Mai Pong (Shu See)"/>
    <m/>
    <x v="214"/>
    <x v="217"/>
    <x v="171"/>
    <n v="23.391741"/>
    <n v="0"/>
    <n v="0"/>
    <n v="0"/>
    <s v="NA"/>
    <x v="0"/>
    <x v="0"/>
    <x v="0"/>
    <x v="1"/>
    <d v="2011-09-01T00:00:00"/>
    <m/>
    <x v="3"/>
    <s v="IP"/>
    <m/>
    <d v="2014-03-03T00:00:00"/>
    <s v="Close. Same with Kutkai Down Town RC. Source UNHCR Bhamo"/>
    <s v=""/>
    <n v="0"/>
    <m/>
    <n v="0"/>
    <s v=""/>
    <s v=""/>
    <s v=""/>
  </r>
  <r>
    <x v="0"/>
    <x v="0"/>
    <s v="MMR001"/>
    <s v="Mohnyin"/>
    <s v="MMR001D002"/>
    <x v="11"/>
    <s v="MMR001007"/>
    <s v="Mohnyin Town"/>
    <s v="MMR001007701"/>
    <m/>
    <m/>
    <x v="215"/>
    <x v="218"/>
    <x v="172"/>
    <n v="24.764959999999999"/>
    <m/>
    <n v="15"/>
    <n v="64"/>
    <n v="4.2666666666666666"/>
    <x v="0"/>
    <x v="0"/>
    <x v="2"/>
    <x v="2"/>
    <m/>
    <m/>
    <x v="3"/>
    <s v="IP"/>
    <m/>
    <d v="2016-06-16T00:00:00"/>
    <s v="16/Jun/2016. Population update. Data source: monthly report from KMSS_MYT_x000a_28/Jan/2016. Population update. Data source: KBC (mail by maran)_x000a_9/Nov/15. Population update. Data source: mail from Pancy (WFP)._x000a_19-Mar-2015 (WFP has been providing this host families since 2013.)"/>
    <m/>
    <n v="0"/>
    <m/>
    <n v="0"/>
    <s v=""/>
    <s v=""/>
    <s v=""/>
  </r>
  <r>
    <x v="0"/>
    <x v="1"/>
    <s v="MMR015"/>
    <s v="Muse"/>
    <s v="MMR015D002"/>
    <x v="15"/>
    <s v="MMR015011"/>
    <s v="Kar Lai Kone Hsar"/>
    <s v="MMR015011005"/>
    <s v="Kar Lai"/>
    <n v="208557"/>
    <x v="216"/>
    <x v="219"/>
    <x v="173"/>
    <n v="23.38503"/>
    <n v="0"/>
    <n v="202"/>
    <n v="906"/>
    <n v="4.4851485148514856"/>
    <x v="0"/>
    <x v="0"/>
    <x v="0"/>
    <x v="1"/>
    <d v="2012-12-01T00:00:00"/>
    <m/>
    <x v="0"/>
    <s v="IP"/>
    <m/>
    <d v="2016-07-18T00:00:00"/>
    <s v="18/Jul/2016: Population updte. Data source: KBC_x000a_15/Jun/2016: Population update. Data source: monthly report by KBC_x000a_12/May/2016. Population update. Data source: KBC_x000a_28/Jan/2016. Population update. Data source: KBC (mail by maran)_x000a_25-Jun-15 Population update. Source: KBC_x000a_Population update. Source: KBC."/>
    <s v="P3"/>
    <n v="101"/>
    <m/>
    <n v="101"/>
    <s v="Kutkai Town"/>
    <n v="13.632081902964599"/>
    <n v="3"/>
  </r>
  <r>
    <x v="0"/>
    <x v="1"/>
    <s v="MMR015"/>
    <s v="Muse"/>
    <s v="MMR015D002"/>
    <x v="14"/>
    <s v="MMR015009"/>
    <s v="Hpai Kawng (Pang Hseng-Kyu Koke Sub-township"/>
    <s v="MMR015009031"/>
    <s v="Hpai Kawng"/>
    <n v="208156"/>
    <x v="217"/>
    <x v="220"/>
    <x v="174"/>
    <n v="24.08738"/>
    <m/>
    <n v="32"/>
    <n v="187"/>
    <n v="5.84375"/>
    <x v="1"/>
    <x v="0"/>
    <x v="2"/>
    <x v="1"/>
    <m/>
    <m/>
    <x v="3"/>
    <s v="IRRC"/>
    <m/>
    <d v="2014-03-03T00:00:00"/>
    <s v="Change to Host Families."/>
    <s v="P4"/>
    <n v="0"/>
    <m/>
    <n v="0"/>
    <s v="Pang Hseng (Kyu Koke) Town"/>
    <n v="5.5919136174199959"/>
    <n v="2"/>
  </r>
  <r>
    <x v="1"/>
    <x v="1"/>
    <s v="MMR015"/>
    <s v="Muse"/>
    <s v="MMR015D002"/>
    <x v="1"/>
    <s v="MMR015010"/>
    <s v="Nawng Hkam"/>
    <s v="MMR015010010"/>
    <s v="Nawng Hkam"/>
    <n v="208353"/>
    <x v="218"/>
    <x v="221"/>
    <x v="175"/>
    <n v="23.82152"/>
    <n v="813.4"/>
    <n v="0"/>
    <n v="0"/>
    <s v="NA"/>
    <x v="1"/>
    <x v="0"/>
    <x v="0"/>
    <x v="2"/>
    <m/>
    <m/>
    <x v="5"/>
    <s v="IP"/>
    <m/>
    <d v="2014-03-14T00:00:00"/>
    <s v="Closed. Source Cluster Coordinator"/>
    <s v=""/>
    <n v="0"/>
    <m/>
    <n v="0"/>
    <s v=""/>
    <s v=""/>
    <s v=""/>
  </r>
  <r>
    <x v="1"/>
    <x v="1"/>
    <s v="MMR015"/>
    <s v="Muse"/>
    <s v="MMR015D002"/>
    <x v="14"/>
    <s v="MMR015009"/>
    <s v="Man Nway (Pang Hseng (Kyu Koke)) Sub-township"/>
    <s v="MMR015009036"/>
    <s v="Nam Hkawng Khu"/>
    <n v="208182"/>
    <x v="219"/>
    <x v="222"/>
    <x v="32"/>
    <m/>
    <n v="0"/>
    <m/>
    <m/>
    <s v="NA"/>
    <x v="1"/>
    <x v="0"/>
    <x v="0"/>
    <x v="1"/>
    <d v="2011-09-01T00:00:00"/>
    <n v="1"/>
    <x v="0"/>
    <s v="IP"/>
    <m/>
    <d v="2016-03-03T00:00:00"/>
    <s v="3/Mar/2016. Closed camp. Data source: January report from KBC_x000a_28/Jan/2016. Population update. Data source: KBC (mail by maran)_x000a_2/Dec/2015. Population update. Data source: KBC_x000a_25-Jun-15 Population update. Source: KBC_x000a_Update population. Source: Camp Profile."/>
    <s v="P2"/>
    <n v="0"/>
    <m/>
    <n v="0"/>
    <s v=""/>
    <s v=""/>
    <s v=""/>
  </r>
  <r>
    <x v="0"/>
    <x v="1"/>
    <s v="MMR015"/>
    <s v="Lashio"/>
    <s v="MMR015D001"/>
    <x v="20"/>
    <s v="MMR015002"/>
    <s v="Nar Tee"/>
    <s v="MMR015002029"/>
    <s v="Nar Tee"/>
    <n v="206422"/>
    <x v="220"/>
    <x v="223"/>
    <x v="176"/>
    <n v="23.372409999999999"/>
    <n v="617.6"/>
    <n v="67"/>
    <n v="392"/>
    <n v="5.8507462686567164"/>
    <x v="1"/>
    <x v="0"/>
    <x v="2"/>
    <x v="1"/>
    <d v="2013-04-01T00:00:00"/>
    <m/>
    <x v="3"/>
    <s v="IP"/>
    <m/>
    <d v="2014-03-03T00:00:00"/>
    <s v="Change to Host Families."/>
    <s v="P4"/>
    <n v="0"/>
    <m/>
    <n v="0"/>
    <s v="Kunlong Town"/>
    <n v="30.037709702375544"/>
    <n v="7"/>
  </r>
  <r>
    <x v="0"/>
    <x v="1"/>
    <s v="MMR015"/>
    <s v="Kyaukme"/>
    <s v="MMR015D003"/>
    <x v="18"/>
    <s v="MMR015019"/>
    <s v="Urban"/>
    <s v="MMR015019701"/>
    <s v="No (2) Ward"/>
    <s v="MMR015019701503"/>
    <x v="221"/>
    <x v="224"/>
    <x v="177"/>
    <n v="23.24661"/>
    <n v="87.3"/>
    <n v="29"/>
    <n v="157"/>
    <n v="5.4137931034482758"/>
    <x v="0"/>
    <x v="0"/>
    <x v="0"/>
    <x v="0"/>
    <d v="2012-05-01T00:00:00"/>
    <m/>
    <x v="4"/>
    <s v="IP"/>
    <m/>
    <d v="2016-07-14T00:00:00"/>
    <s v="14/Jul/2016: Population update. Data source: KMSS_LSO_x000a_28/Jan/2016. Population update. Data source: KBC (mail by maran)_x000a_19-Aug-15 (Population update. Source: KMSS-LSO)_x000a_25-Jun-15 (Population update. Source: KMSS-LSO)_x000a_New Camp"/>
    <s v="P3"/>
    <n v="0"/>
    <m/>
    <n v="0"/>
    <s v="Manton Town"/>
    <n v="0.71762888500316424"/>
    <n v="1"/>
  </r>
  <r>
    <x v="0"/>
    <x v="1"/>
    <s v="MMR015"/>
    <s v="Kyaukme"/>
    <s v="MMR015D003"/>
    <x v="19"/>
    <s v="MMR015015"/>
    <s v="Namtu Town"/>
    <s v="MMR015015701"/>
    <s v="Namtu Ward"/>
    <s v="MMR015015701501"/>
    <x v="222"/>
    <x v="225"/>
    <x v="178"/>
    <n v="23.088058"/>
    <n v="1948"/>
    <n v="118"/>
    <n v="520"/>
    <n v="4.406779661016949"/>
    <x v="0"/>
    <x v="0"/>
    <x v="2"/>
    <x v="0"/>
    <m/>
    <m/>
    <x v="3"/>
    <s v="IP"/>
    <m/>
    <d v="2014-09-01T00:00:00"/>
    <s v="Change to Host Families. Source: Programme Unit."/>
    <s v="P3"/>
    <n v="0"/>
    <m/>
    <n v="0"/>
    <s v="Namtu Town"/>
    <n v="0.63626694856259092"/>
    <n v="1"/>
  </r>
  <r>
    <x v="1"/>
    <x v="1"/>
    <s v="MMR015"/>
    <s v="Muse"/>
    <s v="MMR015D002"/>
    <x v="15"/>
    <s v="MMR015011"/>
    <s v="Galeng"/>
    <m/>
    <s v="Galeng"/>
    <m/>
    <x v="223"/>
    <x v="226"/>
    <x v="32"/>
    <m/>
    <m/>
    <n v="0"/>
    <n v="0"/>
    <s v="NA"/>
    <x v="1"/>
    <x v="0"/>
    <x v="0"/>
    <x v="1"/>
    <m/>
    <m/>
    <x v="3"/>
    <s v="IP"/>
    <m/>
    <d v="2013-01-15T00:00:00"/>
    <s v="Close: Duplicate Camp (MMR015CMP020 - Zup Aung Camp) 21-Jan-14"/>
    <s v=""/>
    <n v="0"/>
    <m/>
    <n v="0"/>
    <s v=""/>
    <s v=""/>
    <s v=""/>
  </r>
  <r>
    <x v="0"/>
    <x v="0"/>
    <s v="MMR001"/>
    <s v="Puta-O"/>
    <s v="MMR001D004"/>
    <x v="9"/>
    <s v="MMR001014"/>
    <s v="Puta-O Town"/>
    <s v="MMR001014701"/>
    <s v="Lone Sut Ward"/>
    <s v="MMR001014701510"/>
    <x v="224"/>
    <x v="227"/>
    <x v="179"/>
    <n v="27.337499999999999"/>
    <m/>
    <n v="59"/>
    <n v="370"/>
    <n v="6.2711864406779663"/>
    <x v="0"/>
    <x v="0"/>
    <x v="0"/>
    <x v="0"/>
    <d v="2015-06-25T00:00:00"/>
    <m/>
    <x v="0"/>
    <s v="IP"/>
    <m/>
    <d v="2016-07-18T00:00:00"/>
    <s v="18/Jul/2016: Population updte. Data source: KBC_x000a_15/Jun/2016: Population update. Data source: monthly report by KBC_x000a_12/May/2016. Population update. Data source: KBC_x000a_28/Jan/2016. Population update. Data source: KBC (mail by maran)_x000a_13/Dec/2015. Population update. Data source: Mail by Ko Maran. Reason for pop changes: data obtain from Protection team monitoring report  November 2015_x000a_2/Dec/2015. Population update. Data source: KBC_x000a_19-Aug-15 Population update. Source KBC._x000a_25-Jun-15 New camp. Data Source : KBC"/>
    <m/>
    <n v="0"/>
    <m/>
    <n v="0"/>
    <s v=""/>
    <s v=""/>
    <s v=""/>
  </r>
  <r>
    <x v="0"/>
    <x v="0"/>
    <s v="MMR001"/>
    <s v="Mohnyin"/>
    <s v="MMR001D002"/>
    <x v="10"/>
    <s v="MMR001008"/>
    <s v="Sar Hmaw"/>
    <s v="MMR001008018"/>
    <s v="Sar Hmaw"/>
    <n v="166724"/>
    <x v="225"/>
    <x v="228"/>
    <x v="32"/>
    <m/>
    <m/>
    <n v="24"/>
    <n v="83"/>
    <n v="3.4583333333333335"/>
    <x v="0"/>
    <x v="0"/>
    <x v="2"/>
    <x v="1"/>
    <d v="2015-05-01T00:00:00"/>
    <m/>
    <x v="3"/>
    <s v="RRD"/>
    <m/>
    <d v="2015-06-25T00:00:00"/>
    <s v="25-Jun-2015 (New host families. Source: RRD)"/>
    <m/>
    <n v="0"/>
    <m/>
    <n v="0"/>
    <s v=""/>
    <s v=""/>
    <s v=""/>
  </r>
  <r>
    <x v="0"/>
    <x v="0"/>
    <s v="MMR001"/>
    <s v="Mohnyin"/>
    <s v="MMR001D002"/>
    <x v="10"/>
    <s v="MMR001008"/>
    <s v="Sar Hmaw"/>
    <s v="MMR001008018"/>
    <s v="Sar Hmaw"/>
    <n v="166724"/>
    <x v="226"/>
    <x v="229"/>
    <x v="32"/>
    <m/>
    <m/>
    <n v="30"/>
    <n v="137"/>
    <n v="4.5666666666666664"/>
    <x v="0"/>
    <x v="0"/>
    <x v="0"/>
    <x v="1"/>
    <d v="2015-05-01T00:00:00"/>
    <m/>
    <x v="0"/>
    <s v="RRD"/>
    <m/>
    <d v="2016-07-18T00:00:00"/>
    <s v="18/Jul/2016: Population updte. Data source: KBC_x000a_15/Jun/2016: Population update. Data source: monthly report by KBC. And it was changed from host families to camp according to the data collection of Camp Profiling Round_5._x000a_12/May/2016. Population update. Data source: KBC_x000a_28/Jan/2016. Population update. Data source: KBC (mail by maran)_x000a_13/Dec/2015. Population update. Data source: Mail by Ko Maran. Reason for pop changes; The same number since March 2015 displacement but pp was divided between KBC and ICM churches. After setting up of a camp managed by KBC from August total population combined as it was. _x000a_2/Dec/2015. Population update. Data source: KBC._x000a_25-Jun-2015 (New host families. Source: RRD)"/>
    <m/>
    <n v="0"/>
    <m/>
    <n v="0"/>
    <s v=""/>
    <s v=""/>
    <s v=""/>
  </r>
  <r>
    <x v="1"/>
    <x v="1"/>
    <s v="MMR015"/>
    <s v="Muse"/>
    <s v="MMR015D002"/>
    <x v="15"/>
    <s v="MMR015011"/>
    <s v="Galeng"/>
    <m/>
    <s v="Galeng"/>
    <m/>
    <x v="227"/>
    <x v="230"/>
    <x v="32"/>
    <m/>
    <m/>
    <n v="0"/>
    <n v="0"/>
    <s v="NA"/>
    <x v="1"/>
    <x v="0"/>
    <x v="0"/>
    <x v="1"/>
    <m/>
    <m/>
    <x v="3"/>
    <s v="IP"/>
    <m/>
    <d v="2013-01-15T00:00:00"/>
    <s v="Close: Duplicate Camp (MMR015CMP015 - Kone Khem Camp) 21-Jan-14"/>
    <s v=""/>
    <n v="0"/>
    <m/>
    <n v="0"/>
    <s v=""/>
    <s v=""/>
    <s v=""/>
  </r>
  <r>
    <x v="0"/>
    <x v="1"/>
    <s v="MMR015"/>
    <s v="Muse"/>
    <s v="MMR015D002"/>
    <x v="14"/>
    <s v="MMR015009"/>
    <s v="Muse Town"/>
    <s v="MMR015009701"/>
    <s v="Ho Mun Ward"/>
    <s v="MMR015009701504"/>
    <x v="228"/>
    <x v="231"/>
    <x v="180"/>
    <n v="24.006319999999999"/>
    <n v="812.7"/>
    <n v="52"/>
    <n v="212"/>
    <n v="4.0769230769230766"/>
    <x v="0"/>
    <x v="0"/>
    <x v="0"/>
    <x v="0"/>
    <d v="2014-03-05T00:00:00"/>
    <m/>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New camp."/>
    <s v="P4"/>
    <n v="8"/>
    <m/>
    <n v="8"/>
    <s v="Muse Town"/>
    <n v="1.989668595899414"/>
    <n v="1"/>
  </r>
  <r>
    <x v="0"/>
    <x v="0"/>
    <s v="MMR001"/>
    <s v="Mohnyin"/>
    <s v="MMR001D002"/>
    <x v="10"/>
    <s v="MMR001008"/>
    <s v="Nawng Kaing Htaw"/>
    <s v="MMR001008002"/>
    <s v="Ma Haung"/>
    <n v="166676"/>
    <x v="229"/>
    <x v="232"/>
    <x v="32"/>
    <m/>
    <m/>
    <n v="7"/>
    <n v="32"/>
    <n v="4.5714285714285712"/>
    <x v="0"/>
    <x v="0"/>
    <x v="0"/>
    <x v="0"/>
    <d v="2015-05-01T00:00:00"/>
    <m/>
    <x v="2"/>
    <s v="RRD"/>
    <m/>
    <d v="2016-07-14T00:00:00"/>
    <s v="14/Jul/2016: Population update. Data Source:KMSS_Myitkyina_x000a_9/Nov/15. Accomodation changes from Host families to Camp. Data source: mail by Maran Tang Nau._x000a_19-Aug-15 (Population Udate. Data Source: KMSS-MYT)_x000a_25-Jun-2015 (New host families. Source: RRD)"/>
    <m/>
    <n v="7"/>
    <m/>
    <n v="7"/>
    <s v=""/>
    <s v=""/>
    <s v=""/>
  </r>
  <r>
    <x v="0"/>
    <x v="0"/>
    <s v="MMR001"/>
    <s v="Puta-O"/>
    <s v="MMR001D004"/>
    <x v="16"/>
    <s v="MMR001015"/>
    <m/>
    <m/>
    <m/>
    <m/>
    <x v="230"/>
    <x v="233"/>
    <x v="181"/>
    <n v="26.569633"/>
    <m/>
    <n v="161"/>
    <n v="711"/>
    <n v="4.4161490683229809"/>
    <x v="0"/>
    <x v="0"/>
    <x v="0"/>
    <x v="2"/>
    <m/>
    <m/>
    <x v="3"/>
    <m/>
    <m/>
    <d v="2015-10-02T00:00:00"/>
    <s v="10/2/2015. New Camp. Data source: CCCM team-Ko Maran"/>
    <m/>
    <n v="161"/>
    <m/>
    <n v="161"/>
    <s v=""/>
    <s v=""/>
    <s v=""/>
  </r>
  <r>
    <x v="0"/>
    <x v="1"/>
    <s v="MMR015"/>
    <s v="Muse"/>
    <s v="MMR015D002"/>
    <x v="1"/>
    <s v="MMR015010"/>
    <s v="Nawng Hkam"/>
    <s v="MMR015010010"/>
    <s v="Nawng Hkam"/>
    <n v="208353"/>
    <x v="231"/>
    <x v="234"/>
    <x v="182"/>
    <n v="23.841646999999998"/>
    <n v="798"/>
    <n v="35"/>
    <n v="198"/>
    <n v="5.6571428571428575"/>
    <x v="0"/>
    <x v="0"/>
    <x v="0"/>
    <x v="0"/>
    <d v="2014-11-04T00:00:00"/>
    <m/>
    <x v="0"/>
    <s v="IP"/>
    <m/>
    <d v="2016-07-18T00:00:00"/>
    <s v="18/Jul/2016: Population updte. Data source: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4"/>
    <n v="0"/>
    <m/>
    <n v="0"/>
    <s v="Namhkan Town"/>
    <n v="2.0141034419413328"/>
    <n v="1"/>
  </r>
  <r>
    <x v="0"/>
    <x v="1"/>
    <s v="MMR015"/>
    <s v="Muse"/>
    <s v="MMR015D002"/>
    <x v="1"/>
    <s v="MMR015010"/>
    <s v="Ho Nar"/>
    <s v="MMR015010002"/>
    <s v="Pang Long"/>
    <n v="208338"/>
    <x v="232"/>
    <x v="235"/>
    <x v="183"/>
    <n v="23.838190000000001"/>
    <n v="829.8"/>
    <n v="123"/>
    <n v="575"/>
    <n v="4.6747967479674797"/>
    <x v="0"/>
    <x v="0"/>
    <x v="0"/>
    <x v="0"/>
    <d v="2014-04-18T00:00:00"/>
    <m/>
    <x v="0"/>
    <s v="IP"/>
    <m/>
    <d v="2016-07-18T00:00:00"/>
    <s v="18/Jul/2016: Population updte. Data source: KBC_x000a_15/Jun/2016: Population update. Data source: monthly report by KBC_x000a_15/Jun/2016: Population update. Data source: monthly report by KBC_x000a_12/May/2016. Population update. Data source: KBC_x000a_28/Jan/2016. Population update. Data source: KBC (mail by maran)_x000a_2/Dec/2015. Population update. Data source: KBC_x000a_25-Jun-15 Population update. Source: KBC_x000a_Population Update. Source: Save The Children."/>
    <s v="P4"/>
    <n v="51"/>
    <m/>
    <n v="51"/>
    <s v="Namhkan Town"/>
    <n v="2.8590638493982405"/>
    <n v="1"/>
  </r>
  <r>
    <x v="0"/>
    <x v="0"/>
    <s v="MMR001"/>
    <s v="Puta-O"/>
    <s v="MMR001D004"/>
    <x v="16"/>
    <s v="MMR001015"/>
    <m/>
    <m/>
    <m/>
    <m/>
    <x v="233"/>
    <x v="236"/>
    <x v="184"/>
    <n v="26.548506"/>
    <m/>
    <m/>
    <n v="489"/>
    <s v="NA"/>
    <x v="0"/>
    <x v="0"/>
    <x v="0"/>
    <x v="2"/>
    <m/>
    <m/>
    <x v="3"/>
    <m/>
    <m/>
    <d v="2015-10-02T00:00:00"/>
    <s v="10/2/2015. New Camp. Data source: CCCM team-Ko Maran"/>
    <m/>
    <n v="0"/>
    <m/>
    <n v="0"/>
    <s v=""/>
    <s v=""/>
    <s v=""/>
  </r>
  <r>
    <x v="0"/>
    <x v="0"/>
    <s v="MMR001"/>
    <s v="Bhamo"/>
    <s v="MMR001D003"/>
    <x v="5"/>
    <s v="MMR001012"/>
    <s v="Dawthponeyan  Town"/>
    <s v="MMR001012703"/>
    <s v="No (2) Ward"/>
    <s v="MMR001012703502"/>
    <x v="234"/>
    <x v="237"/>
    <x v="185"/>
    <n v="24.613976000000001"/>
    <m/>
    <m/>
    <n v="49"/>
    <s v="NA"/>
    <x v="0"/>
    <x v="0"/>
    <x v="1"/>
    <x v="1"/>
    <m/>
    <m/>
    <x v="3"/>
    <m/>
    <m/>
    <d v="2015-11-09T00:00:00"/>
    <s v="9/Nov/2015. Population update. Data source: mail from Pancy (WFP)._x000a_New added Boarding School"/>
    <m/>
    <n v="0"/>
    <m/>
    <n v="0"/>
    <s v=""/>
    <s v=""/>
    <s v=""/>
  </r>
  <r>
    <x v="0"/>
    <x v="1"/>
    <s v="MMR015"/>
    <s v="Muse"/>
    <s v="MMR015D002"/>
    <x v="14"/>
    <s v="MMR015009"/>
    <s v="Muse Town"/>
    <s v="MMR015009701"/>
    <s v="Ho Mun Ward"/>
    <s v="MMR015009701504"/>
    <x v="235"/>
    <x v="238"/>
    <x v="186"/>
    <n v="24.006789000000001"/>
    <n v="814"/>
    <n v="26"/>
    <n v="118"/>
    <n v="4.5384615384615383"/>
    <x v="0"/>
    <x v="0"/>
    <x v="0"/>
    <x v="0"/>
    <d v="2014-04-05T00:00:00"/>
    <m/>
    <x v="4"/>
    <s v="IP"/>
    <m/>
    <d v="2016-07-14T00:00:00"/>
    <s v="14/Jul/2016: Population update. Data source: KMSS_LSO_x000a_28/Jan/2016. Population update. Data source: KBC (mail by maran)_x000a_19-Aug-15 (Population update. Source: MKSS-LSO)_x000a_25-Jun-15 (Population update. Source: KMSS-LSO)_x000a_Population Update. Source: Save The Children."/>
    <s v="P4"/>
    <n v="0"/>
    <m/>
    <n v="0"/>
    <s v="Muse Town"/>
    <n v="2.1362355825722199"/>
    <n v="1"/>
  </r>
  <r>
    <x v="0"/>
    <x v="1"/>
    <s v="MMR015"/>
    <s v="Muse"/>
    <s v="MMR015D002"/>
    <x v="15"/>
    <s v="MMR015011"/>
    <s v="Long Waun Nam Rein (Tarmoenye Sub-township)"/>
    <s v="MMR015011050"/>
    <s v="Mai Pong (Shu See)"/>
    <n v="219842"/>
    <x v="236"/>
    <x v="239"/>
    <x v="32"/>
    <m/>
    <m/>
    <n v="22"/>
    <n v="111"/>
    <n v="5.0454545454545459"/>
    <x v="0"/>
    <x v="0"/>
    <x v="0"/>
    <x v="1"/>
    <d v="2011-09-01T00:00:00"/>
    <m/>
    <x v="4"/>
    <s v="IP"/>
    <m/>
    <d v="2016-07-14T00:00:00"/>
    <s v="14/Jul/2016: Population update. Data source: KMSS_LSO_x000a_28/Jan/2016. Population update. Data source: KBC (mail by maran)_x000a_19-Aug-15 (Population update. Source KMSS-LSO)_x000a_25-Jun-15 (Population update. Source KMSS-LSO)_x000a_27-Mar-15 (Changed to GCA. Source UNHCR-Bhamo)_x000a_New camp. Source: KMSS-BMO"/>
    <m/>
    <n v="22"/>
    <m/>
    <n v="22"/>
    <s v=""/>
    <s v=""/>
    <s v=""/>
  </r>
  <r>
    <x v="0"/>
    <x v="1"/>
    <s v="MMR015"/>
    <s v="Lashio"/>
    <s v="MMR015D001"/>
    <x v="20"/>
    <s v="MMR015002"/>
    <s v="Nam Sa Larp"/>
    <s v="MMR015002021"/>
    <s v="Nam Sa Larp"/>
    <n v="206352"/>
    <x v="237"/>
    <x v="240"/>
    <x v="187"/>
    <n v="23.354268999999999"/>
    <m/>
    <n v="38"/>
    <n v="202"/>
    <n v="5.3157894736842106"/>
    <x v="0"/>
    <x v="0"/>
    <x v="0"/>
    <x v="1"/>
    <d v="2015-02-01T00:00:00"/>
    <m/>
    <x v="0"/>
    <s v="IP"/>
    <m/>
    <d v="2016-07-18T00:00:00"/>
    <s v="18/Jul/2016: Population updte. Data source: KBC_x000a_15/Jun/2016: Population update. Data source: monthly report by KBC_x000a_12/May/2016. Population update. Data source: KBC_x000a_28/Jan/2016. Population update. Data source: KBC (mail by maran)_x000a_19-Aug-15 Population update. Source KBC._x000a_25-Jun-15 New camp. Data Source : KBC"/>
    <m/>
    <n v="3"/>
    <m/>
    <n v="3"/>
    <s v=""/>
    <s v=""/>
    <s v=""/>
  </r>
  <r>
    <x v="0"/>
    <x v="1"/>
    <s v="MMR015"/>
    <s v="Muse"/>
    <s v="MMR015D002"/>
    <x v="15"/>
    <s v="MMR015011"/>
    <s v="Kar Lai Kone Hsar"/>
    <s v="MMR015011005"/>
    <m/>
    <m/>
    <x v="238"/>
    <x v="241"/>
    <x v="188"/>
    <n v="23.447111"/>
    <m/>
    <n v="105"/>
    <n v="568"/>
    <n v="5.4095238095238098"/>
    <x v="0"/>
    <x v="0"/>
    <x v="0"/>
    <x v="1"/>
    <d v="2015-02-01T00:00:00"/>
    <m/>
    <x v="3"/>
    <m/>
    <m/>
    <d v="2015-11-09T00:00:00"/>
    <s v="9/Nov/15. New added camp. Data source: UNHCR CCCM officer NSS mission 8-12 July 2015."/>
    <m/>
    <n v="105"/>
    <m/>
    <n v="105"/>
    <s v=""/>
    <s v=""/>
    <s v=""/>
  </r>
  <r>
    <x v="0"/>
    <x v="0"/>
    <s v="MMR001"/>
    <s v="Myitkyina"/>
    <s v="MMR001D001"/>
    <x v="21"/>
    <s v="MMR001004"/>
    <m/>
    <m/>
    <m/>
    <m/>
    <x v="239"/>
    <x v="242"/>
    <x v="32"/>
    <m/>
    <m/>
    <n v="6"/>
    <n v="9"/>
    <n v="1.5"/>
    <x v="2"/>
    <x v="0"/>
    <x v="0"/>
    <x v="2"/>
    <d v="2016-01-01T00:00:00"/>
    <m/>
    <x v="3"/>
    <s v="IP"/>
    <m/>
    <d v="2016-07-25T00:00:00"/>
    <s v="25/Jul/2016: Added as new camp according to KBC data. Data was given by Jade"/>
    <m/>
    <n v="6"/>
    <m/>
    <n v="6"/>
    <s v=""/>
    <s v=""/>
    <s v=""/>
  </r>
  <r>
    <x v="1"/>
    <x v="0"/>
    <s v="MMR001"/>
    <s v="Bhamo"/>
    <s v="MMR001D003"/>
    <x v="6"/>
    <s v="MMR001013"/>
    <s v="Mung Ding Pa"/>
    <s v="MMR001013038"/>
    <s v="Mung Ding Pa"/>
    <n v="167495"/>
    <x v="240"/>
    <x v="243"/>
    <x v="189"/>
    <n v="23.867000000000001"/>
    <m/>
    <n v="0"/>
    <n v="0"/>
    <s v="NA"/>
    <x v="1"/>
    <x v="0"/>
    <x v="0"/>
    <x v="2"/>
    <m/>
    <m/>
    <x v="3"/>
    <m/>
    <m/>
    <d v="2014-03-03T00:00:00"/>
    <s v="Closed. Same with (Namhkan St. Thomas 1)"/>
    <s v=""/>
    <n v="0"/>
    <m/>
    <n v="0"/>
    <s v=""/>
    <s v=""/>
    <s v=""/>
  </r>
  <r>
    <x v="0"/>
    <x v="1"/>
    <s v="MMR015"/>
    <s v="Muse"/>
    <s v="MMR015D002"/>
    <x v="15"/>
    <s v="MMR015011"/>
    <s v="Mong Yu"/>
    <s v="MMR015011030"/>
    <s v="Mong Yu"/>
    <n v="208747"/>
    <x v="241"/>
    <x v="244"/>
    <x v="32"/>
    <m/>
    <n v="1012.5"/>
    <n v="142"/>
    <n v="710"/>
    <n v="5"/>
    <x v="0"/>
    <x v="0"/>
    <x v="0"/>
    <x v="1"/>
    <d v="2016-03-06T00:00:00"/>
    <m/>
    <x v="3"/>
    <s v="IP"/>
    <m/>
    <d v="2016-07-18T00:00:00"/>
    <s v="18/Jul/2016: Added as new camp according to KBC_Brang Mai."/>
    <m/>
    <n v="142"/>
    <m/>
    <n v="142"/>
    <s v=""/>
    <s v=""/>
    <s v=""/>
  </r>
  <r>
    <x v="0"/>
    <x v="1"/>
    <s v="MMR015"/>
    <s v="Kyaukme"/>
    <s v="MMR015D003"/>
    <x v="19"/>
    <s v="MMR015015"/>
    <s v="Pang Long"/>
    <s v="MMR015015011"/>
    <s v="Pang Tha Pyay"/>
    <n v="210455"/>
    <x v="242"/>
    <x v="245"/>
    <x v="32"/>
    <m/>
    <m/>
    <n v="19"/>
    <n v="82"/>
    <n v="4.3157894736842106"/>
    <x v="0"/>
    <x v="0"/>
    <x v="0"/>
    <x v="2"/>
    <d v="2016-01-01T00:00:00"/>
    <m/>
    <x v="3"/>
    <s v="IP"/>
    <m/>
    <d v="2016-07-25T00:00:00"/>
    <s v="25/Jul/2016: Added as new camp according to KBC data. Data was given by Jade"/>
    <m/>
    <n v="19"/>
    <m/>
    <n v="19"/>
    <s v=""/>
    <s v=""/>
    <s v=""/>
  </r>
  <r>
    <x v="0"/>
    <x v="1"/>
    <s v="MMR015"/>
    <s v="Kyaukme"/>
    <s v="MMR015D003"/>
    <x v="18"/>
    <s v="MMR015019"/>
    <m/>
    <m/>
    <m/>
    <m/>
    <x v="243"/>
    <x v="246"/>
    <x v="32"/>
    <m/>
    <m/>
    <n v="36"/>
    <n v="188"/>
    <n v="5.2222222222222223"/>
    <x v="0"/>
    <x v="0"/>
    <x v="0"/>
    <x v="2"/>
    <d v="2016-01-01T00:00:00"/>
    <m/>
    <x v="3"/>
    <s v="IP"/>
    <m/>
    <d v="2016-07-25T00:00:00"/>
    <s v="25/Jul/2016: Added as new camp according to KBC data. Data was given by Jade"/>
    <m/>
    <n v="36"/>
    <m/>
    <n v="36"/>
    <s v=""/>
    <s v=""/>
    <s v=""/>
  </r>
  <r>
    <x v="0"/>
    <x v="1"/>
    <s v="MMR015"/>
    <s v="Muse"/>
    <s v="MMR015D002"/>
    <x v="1"/>
    <s v="MMR015010"/>
    <s v="Mong Wee"/>
    <s v="MMR015010036"/>
    <s v="Mong Wee"/>
    <n v="208469"/>
    <x v="244"/>
    <x v="247"/>
    <x v="32"/>
    <m/>
    <m/>
    <n v="200"/>
    <n v="827"/>
    <n v="4.1349999999999998"/>
    <x v="0"/>
    <x v="0"/>
    <x v="0"/>
    <x v="2"/>
    <d v="2016-02-01T00:00:00"/>
    <m/>
    <x v="3"/>
    <s v="IP"/>
    <m/>
    <d v="2016-07-25T00:00:00"/>
    <s v="25/Jul/2016: Added as new camp according to KBC data. Data was given by Jade"/>
    <m/>
    <n v="200"/>
    <m/>
    <n v="200"/>
    <s v=""/>
    <s v=""/>
    <s v=""/>
  </r>
  <r>
    <x v="0"/>
    <x v="1"/>
    <s v="MMR015"/>
    <s v="Muse"/>
    <s v="MMR015D002"/>
    <x v="1"/>
    <s v="MMR015010"/>
    <s v="Mong Wee"/>
    <s v="MMR015010036"/>
    <s v="Mong Wee"/>
    <n v="208469"/>
    <x v="245"/>
    <x v="248"/>
    <x v="32"/>
    <m/>
    <m/>
    <n v="61"/>
    <n v="247"/>
    <n v="4.0491803278688527"/>
    <x v="0"/>
    <x v="0"/>
    <x v="0"/>
    <x v="2"/>
    <d v="2016-03-01T00:00:00"/>
    <m/>
    <x v="3"/>
    <s v="IP"/>
    <m/>
    <d v="2016-07-25T00:00:00"/>
    <s v="25/Jul/2016: Added as new camp according to KBC data. Data was given by Jade"/>
    <m/>
    <n v="61"/>
    <m/>
    <n v="61"/>
    <s v=""/>
    <s v=""/>
    <s v=""/>
  </r>
  <r>
    <x v="0"/>
    <x v="1"/>
    <s v="MMR015"/>
    <s v="Muse"/>
    <s v="MMR015D002"/>
    <x v="15"/>
    <s v="MMR015011"/>
    <s v="Nam Hpat Kar"/>
    <s v="MMR015011020"/>
    <s v="Aung Tha Pyay Ward"/>
    <m/>
    <x v="246"/>
    <x v="249"/>
    <x v="32"/>
    <m/>
    <m/>
    <n v="176"/>
    <n v="798"/>
    <n v="4.5340909090909092"/>
    <x v="0"/>
    <x v="0"/>
    <x v="0"/>
    <x v="2"/>
    <d v="2016-02-01T00:00:00"/>
    <m/>
    <x v="3"/>
    <s v="IP"/>
    <m/>
    <d v="2016-07-25T00:00:00"/>
    <s v="25/Jul/2016: Added as new camp according to KBC data. Data was given by Jade"/>
    <m/>
    <n v="176"/>
    <m/>
    <n v="176"/>
    <s v=""/>
    <s v=""/>
    <s v=""/>
  </r>
  <r>
    <x v="0"/>
    <x v="1"/>
    <s v="MMR015"/>
    <s v="Lashio"/>
    <s v="MMR015D001"/>
    <x v="20"/>
    <s v="MMR015002"/>
    <s v="Kawng Wein"/>
    <s v="MMR015002026"/>
    <s v="Kawng Wein"/>
    <s v="206395"/>
    <x v="247"/>
    <x v="250"/>
    <x v="32"/>
    <m/>
    <m/>
    <n v="20"/>
    <n v="75"/>
    <n v="3.75"/>
    <x v="0"/>
    <x v="0"/>
    <x v="0"/>
    <x v="2"/>
    <d v="2016-03-01T00:00:00"/>
    <m/>
    <x v="3"/>
    <s v="IP"/>
    <m/>
    <d v="2016-07-25T00:00:00"/>
    <s v="25/Jul/2016: Added as new camp according to KBC data. Data was given by Jade"/>
    <m/>
    <n v="20"/>
    <m/>
    <n v="20"/>
    <s v=""/>
    <s v=""/>
    <s v=""/>
  </r>
  <r>
    <x v="0"/>
    <x v="1"/>
    <s v="MMR015"/>
    <s v="Muse"/>
    <s v="MMR015D002"/>
    <x v="15"/>
    <s v="MMR015011"/>
    <s v="Mung Hawm"/>
    <m/>
    <s v="Htoi San Yang "/>
    <m/>
    <x v="248"/>
    <x v="251"/>
    <x v="32"/>
    <m/>
    <m/>
    <n v="30"/>
    <n v="170"/>
    <n v="5.666666666666667"/>
    <x v="0"/>
    <x v="0"/>
    <x v="0"/>
    <x v="2"/>
    <d v="2016-02-01T00:00:00"/>
    <m/>
    <x v="3"/>
    <s v="IP"/>
    <m/>
    <d v="2016-07-25T00:00:00"/>
    <s v="25/Jul/2016: Added as new camp according to KBC data. Data was given by Jade"/>
    <m/>
    <n v="30"/>
    <m/>
    <n v="30"/>
    <s v=""/>
    <s v=""/>
    <s v=""/>
  </r>
</pivotCacheRecords>
</file>

<file path=xl/pivotCache/pivotCacheRecords4.xml><?xml version="1.0" encoding="utf-8"?>
<pivotCacheRecords xmlns="http://schemas.openxmlformats.org/spreadsheetml/2006/main" xmlns:r="http://schemas.openxmlformats.org/officeDocument/2006/relationships" count="1335">
  <r>
    <n v="1.4333333333333333"/>
    <d v="2016-06-07T00:00:00"/>
    <x v="0"/>
    <s v="KBC"/>
    <s v="Kachin"/>
    <s v="Bhamo "/>
    <s v="Maing Khaung KBC"/>
    <m/>
    <m/>
    <m/>
    <m/>
    <m/>
    <m/>
    <n v="25"/>
    <m/>
    <m/>
    <m/>
    <m/>
    <m/>
    <m/>
    <m/>
    <m/>
    <m/>
    <m/>
    <n v="0"/>
    <n v="0"/>
    <n v="0"/>
    <n v="0"/>
    <n v="0"/>
    <n v="0"/>
    <n v="25"/>
    <n v="0"/>
    <n v="0"/>
    <n v="0"/>
    <n v="0"/>
    <n v="0"/>
    <n v="0"/>
    <n v="0"/>
    <x v="0"/>
    <n v="0"/>
    <s v=""/>
    <x v="0"/>
    <x v="0"/>
    <x v="0"/>
    <s v=""/>
    <m/>
    <m/>
  </r>
  <r>
    <n v="2.5333333333333332"/>
    <d v="2016-05-05T00:00:00"/>
    <x v="0"/>
    <s v="KMSS_Myitkyina"/>
    <s v="Kachin"/>
    <s v="Mogaung"/>
    <s v="Ma Hawng RC "/>
    <m/>
    <n v="7"/>
    <n v="7"/>
    <n v="13"/>
    <n v="7"/>
    <n v="13"/>
    <n v="7"/>
    <n v="7"/>
    <n v="13"/>
    <m/>
    <m/>
    <m/>
    <m/>
    <m/>
    <n v="7"/>
    <m/>
    <m/>
    <n v="0"/>
    <n v="7"/>
    <n v="7"/>
    <n v="13"/>
    <n v="7"/>
    <n v="13"/>
    <n v="7"/>
    <n v="7"/>
    <n v="13"/>
    <n v="0"/>
    <n v="0"/>
    <n v="0"/>
    <n v="0"/>
    <n v="0"/>
    <x v="0"/>
    <n v="7"/>
    <s v="MMR001CMP237"/>
    <x v="1"/>
    <x v="1"/>
    <x v="1"/>
    <n v="1"/>
    <m/>
    <m/>
  </r>
  <r>
    <n v="3.3333333333333335"/>
    <d v="2016-04-11T00:00:00"/>
    <x v="0"/>
    <s v="KBC"/>
    <s v="Shan_North"/>
    <s v="Namhkan"/>
    <s v="Mine Wee (Man Jan)"/>
    <m/>
    <m/>
    <m/>
    <n v="126"/>
    <m/>
    <n v="126"/>
    <n v="64"/>
    <m/>
    <m/>
    <n v="122"/>
    <m/>
    <m/>
    <m/>
    <m/>
    <n v="64"/>
    <m/>
    <m/>
    <n v="0"/>
    <n v="0"/>
    <n v="0"/>
    <n v="126"/>
    <n v="0"/>
    <n v="126"/>
    <n v="64"/>
    <n v="0"/>
    <n v="0"/>
    <n v="305"/>
    <n v="0"/>
    <n v="0"/>
    <n v="0"/>
    <n v="0"/>
    <x v="0"/>
    <n v="64"/>
    <s v=""/>
    <x v="0"/>
    <x v="0"/>
    <x v="0"/>
    <s v=""/>
    <m/>
    <m/>
  </r>
  <r>
    <n v="21.133333333333333"/>
    <d v="2014-10-25T00:00:00"/>
    <x v="1"/>
    <s v="MRCS"/>
    <s v="Kachin"/>
    <s v="Hpakant"/>
    <s v="5 Ward Baptist Church(lon Khin)"/>
    <m/>
    <m/>
    <m/>
    <m/>
    <m/>
    <m/>
    <m/>
    <m/>
    <m/>
    <m/>
    <n v="229"/>
    <n v="126"/>
    <m/>
    <m/>
    <m/>
    <m/>
    <m/>
    <n v="0"/>
    <n v="0"/>
    <n v="0"/>
    <n v="0"/>
    <n v="0"/>
    <n v="0"/>
    <n v="0"/>
    <n v="0"/>
    <n v="0"/>
    <n v="0"/>
    <n v="0"/>
    <n v="0"/>
    <n v="0"/>
    <n v="0"/>
    <x v="1"/>
    <n v="0"/>
    <s v="MMR001CMP179"/>
    <x v="2"/>
    <x v="1"/>
    <x v="2"/>
    <n v="0"/>
    <m/>
    <m/>
  </r>
  <r>
    <n v="3.4333333333333331"/>
    <d v="2016-04-08T00:00:00"/>
    <x v="0"/>
    <s v="KBC"/>
    <s v="Kachin"/>
    <s v="Bhamo"/>
    <s v="Lisu Boarding-House"/>
    <m/>
    <m/>
    <m/>
    <m/>
    <n v="10"/>
    <m/>
    <m/>
    <m/>
    <m/>
    <m/>
    <m/>
    <m/>
    <m/>
    <m/>
    <m/>
    <m/>
    <m/>
    <n v="0"/>
    <n v="0"/>
    <n v="0"/>
    <n v="0"/>
    <n v="10"/>
    <n v="0"/>
    <n v="0"/>
    <n v="0"/>
    <n v="0"/>
    <n v="0"/>
    <n v="0"/>
    <n v="0"/>
    <n v="0"/>
    <n v="0"/>
    <x v="0"/>
    <n v="0"/>
    <s v="MMR001CMP049"/>
    <x v="2"/>
    <x v="1"/>
    <x v="2"/>
    <n v="0"/>
    <m/>
    <m/>
  </r>
  <r>
    <n v="42.06666666666667"/>
    <d v="2013-02-04T00:00:00"/>
    <x v="2"/>
    <s v="MRCS"/>
    <s v="Kachin"/>
    <s v="Hpakant"/>
    <s v="5 Ward Baptist Church(lon Khin)"/>
    <m/>
    <m/>
    <m/>
    <m/>
    <m/>
    <m/>
    <n v="162"/>
    <m/>
    <n v="0"/>
    <n v="0"/>
    <m/>
    <m/>
    <m/>
    <m/>
    <m/>
    <m/>
    <m/>
    <n v="0"/>
    <n v="0"/>
    <n v="0"/>
    <n v="0"/>
    <n v="0"/>
    <n v="0"/>
    <n v="0"/>
    <n v="0"/>
    <n v="0"/>
    <n v="0"/>
    <n v="0"/>
    <n v="0"/>
    <n v="0"/>
    <n v="0"/>
    <x v="0"/>
    <n v="0"/>
    <s v="MMR001CMP179"/>
    <x v="2"/>
    <x v="1"/>
    <x v="2"/>
    <n v="2.2191780821917808"/>
    <s v="No"/>
    <m/>
  </r>
  <r>
    <n v="43.233333333333334"/>
    <d v="2012-12-31T00:00:00"/>
    <x v="3"/>
    <s v="DRC"/>
    <s v="Kachin"/>
    <s v="Hpakant"/>
    <s v="5 Ward Baptist Church(lon Khin)"/>
    <n v="12"/>
    <m/>
    <m/>
    <m/>
    <m/>
    <m/>
    <m/>
    <m/>
    <n v="0"/>
    <n v="0"/>
    <m/>
    <m/>
    <m/>
    <m/>
    <m/>
    <m/>
    <m/>
    <n v="0"/>
    <n v="0"/>
    <n v="0"/>
    <n v="0"/>
    <n v="0"/>
    <n v="0"/>
    <n v="0"/>
    <n v="0"/>
    <n v="0"/>
    <n v="0"/>
    <n v="0"/>
    <n v="0"/>
    <n v="0"/>
    <n v="0"/>
    <x v="0"/>
    <n v="0"/>
    <s v="MMR001CMP179"/>
    <x v="2"/>
    <x v="1"/>
    <x v="2"/>
    <n v="0"/>
    <s v="No"/>
    <m/>
  </r>
  <r>
    <n v="3.7"/>
    <d v="2016-03-31T00:00:00"/>
    <x v="0"/>
    <s v="Shalom"/>
    <s v="Kachin"/>
    <s v="Bhamo"/>
    <s v="Mu-yin Baptist Church"/>
    <m/>
    <m/>
    <m/>
    <m/>
    <n v="4"/>
    <m/>
    <m/>
    <m/>
    <m/>
    <m/>
    <m/>
    <m/>
    <m/>
    <m/>
    <m/>
    <m/>
    <m/>
    <n v="0"/>
    <n v="0"/>
    <n v="0"/>
    <n v="0"/>
    <n v="4"/>
    <n v="0"/>
    <n v="0"/>
    <n v="0"/>
    <n v="0"/>
    <n v="0"/>
    <n v="0"/>
    <n v="0"/>
    <n v="0"/>
    <n v="0"/>
    <x v="0"/>
    <n v="0"/>
    <s v="MMR001CMP051"/>
    <x v="2"/>
    <x v="1"/>
    <x v="2"/>
    <n v="0"/>
    <m/>
    <m/>
  </r>
  <r>
    <n v="4.4666666666666668"/>
    <d v="2016-03-08T00:00:00"/>
    <x v="0"/>
    <s v="KMSS_LSO"/>
    <s v="Shan_North"/>
    <s v="Kutkai"/>
    <m/>
    <m/>
    <m/>
    <m/>
    <n v="600"/>
    <m/>
    <m/>
    <m/>
    <m/>
    <m/>
    <m/>
    <m/>
    <m/>
    <m/>
    <m/>
    <m/>
    <m/>
    <m/>
    <n v="0"/>
    <n v="0"/>
    <n v="0"/>
    <n v="600"/>
    <n v="0"/>
    <n v="0"/>
    <n v="0"/>
    <n v="0"/>
    <n v="0"/>
    <n v="0"/>
    <n v="0"/>
    <n v="0"/>
    <n v="0"/>
    <n v="0"/>
    <x v="0"/>
    <n v="0"/>
    <s v=""/>
    <x v="0"/>
    <x v="0"/>
    <x v="0"/>
    <s v=""/>
    <m/>
    <s v="For Kyauk Mae Areas. Mosquito 650 pcs transported to Shan but 600 pcs are distributed through RRD and KMSS-Lashio to 12 camp-like setting areas and 50 pcs are returned back to UNHCR Myitkyina warehouse. "/>
  </r>
  <r>
    <n v="4.7666666666666666"/>
    <d v="2016-02-28T00:00:00"/>
    <x v="0"/>
    <s v="KBC"/>
    <s v="Kachin"/>
    <s v="Chipwi"/>
    <s v="Hpare Hkyer - BP6"/>
    <m/>
    <m/>
    <m/>
    <m/>
    <m/>
    <n v="345"/>
    <m/>
    <m/>
    <m/>
    <m/>
    <m/>
    <n v="765"/>
    <m/>
    <m/>
    <m/>
    <m/>
    <m/>
    <n v="0"/>
    <n v="0"/>
    <n v="0"/>
    <n v="0"/>
    <n v="0"/>
    <n v="345"/>
    <n v="0"/>
    <n v="0"/>
    <n v="0"/>
    <n v="0"/>
    <n v="0"/>
    <n v="765"/>
    <n v="0"/>
    <n v="0"/>
    <x v="1"/>
    <n v="0"/>
    <s v="MMR001CMP043"/>
    <x v="2"/>
    <x v="1"/>
    <x v="3"/>
    <n v="0"/>
    <m/>
    <m/>
  </r>
  <r>
    <n v="4.8"/>
    <d v="2016-02-27T00:00:00"/>
    <x v="0"/>
    <s v="KBC"/>
    <s v="Kachin"/>
    <s v="Waingmaw"/>
    <s v="Hpare Hkyer - BP6"/>
    <m/>
    <m/>
    <m/>
    <m/>
    <m/>
    <m/>
    <m/>
    <m/>
    <m/>
    <m/>
    <n v="380"/>
    <n v="380"/>
    <m/>
    <m/>
    <m/>
    <m/>
    <m/>
    <n v="0"/>
    <n v="0"/>
    <n v="0"/>
    <n v="0"/>
    <n v="0"/>
    <n v="0"/>
    <n v="0"/>
    <n v="0"/>
    <n v="0"/>
    <n v="0"/>
    <n v="380"/>
    <n v="380"/>
    <n v="0"/>
    <n v="0"/>
    <x v="1"/>
    <n v="0"/>
    <s v="MMR001CMP043"/>
    <x v="2"/>
    <x v="1"/>
    <x v="3"/>
    <n v="0"/>
    <m/>
    <s v="13/May/16 (Hpare camp received only winter clothes)_x000a_For Pajau camp and Hpare camp, items transported by UNHCR laiza mission team and further distributed by KBC -&gt; 365 pcs of blackets, Fleece jackets for female (M) = 300 pcs, Fleece jackets for  female (L) = 160 pcs, "/>
  </r>
  <r>
    <n v="4.8"/>
    <d v="2016-02-27T00:00:00"/>
    <x v="0"/>
    <s v="KBC"/>
    <s v="Kachin"/>
    <s v="Waingmaw"/>
    <s v="Pajau - Jan Mai"/>
    <m/>
    <m/>
    <m/>
    <m/>
    <m/>
    <m/>
    <m/>
    <m/>
    <m/>
    <m/>
    <n v="330"/>
    <n v="330"/>
    <m/>
    <n v="346"/>
    <m/>
    <m/>
    <m/>
    <n v="0"/>
    <n v="0"/>
    <n v="0"/>
    <n v="0"/>
    <n v="0"/>
    <n v="0"/>
    <n v="0"/>
    <n v="0"/>
    <n v="0"/>
    <n v="0"/>
    <n v="330"/>
    <n v="330"/>
    <n v="0"/>
    <n v="346"/>
    <x v="1"/>
    <n v="0"/>
    <s v="MMR001CMP120"/>
    <x v="2"/>
    <x v="1"/>
    <x v="3"/>
    <n v="0"/>
    <m/>
    <s v="Pajau camp received both winter itmes and blankets"/>
  </r>
  <r>
    <n v="21.133333333333333"/>
    <d v="2014-10-25T00:00:00"/>
    <x v="1"/>
    <s v="MRCS"/>
    <s v="Kachin"/>
    <s v="Hpakant"/>
    <s v="5 Ward RC Church(lon Khin)"/>
    <m/>
    <m/>
    <m/>
    <m/>
    <m/>
    <m/>
    <m/>
    <m/>
    <m/>
    <m/>
    <n v="223"/>
    <n v="96"/>
    <m/>
    <m/>
    <m/>
    <m/>
    <m/>
    <n v="0"/>
    <n v="0"/>
    <n v="0"/>
    <n v="0"/>
    <n v="0"/>
    <n v="0"/>
    <n v="0"/>
    <n v="0"/>
    <n v="0"/>
    <n v="0"/>
    <n v="0"/>
    <n v="0"/>
    <n v="0"/>
    <n v="0"/>
    <x v="1"/>
    <n v="0"/>
    <s v="MMR001CMP168"/>
    <x v="2"/>
    <x v="1"/>
    <x v="2"/>
    <n v="0"/>
    <m/>
    <m/>
  </r>
  <r>
    <n v="4.8"/>
    <d v="2016-02-27T00:00:00"/>
    <x v="0"/>
    <s v="KBC"/>
    <s v="Kachin"/>
    <s v="Waingmaw"/>
    <s v="Pajau - Jan Mai"/>
    <m/>
    <m/>
    <m/>
    <m/>
    <m/>
    <m/>
    <m/>
    <m/>
    <m/>
    <m/>
    <m/>
    <n v="670"/>
    <m/>
    <m/>
    <m/>
    <m/>
    <m/>
    <n v="0"/>
    <n v="0"/>
    <n v="0"/>
    <n v="0"/>
    <n v="0"/>
    <n v="0"/>
    <n v="0"/>
    <n v="0"/>
    <n v="0"/>
    <n v="0"/>
    <n v="0"/>
    <n v="670"/>
    <n v="0"/>
    <n v="0"/>
    <x v="1"/>
    <n v="0"/>
    <s v="MMR001CMP120"/>
    <x v="2"/>
    <x v="1"/>
    <x v="3"/>
    <n v="0"/>
    <m/>
    <m/>
  </r>
  <r>
    <n v="42.06666666666667"/>
    <d v="2013-02-04T00:00:00"/>
    <x v="2"/>
    <s v="MRCS"/>
    <s v="Kachin"/>
    <s v="Hpakant"/>
    <s v="5 Ward RC Church(lon Khin)"/>
    <m/>
    <m/>
    <m/>
    <m/>
    <m/>
    <m/>
    <n v="117"/>
    <m/>
    <n v="0"/>
    <n v="0"/>
    <m/>
    <m/>
    <m/>
    <m/>
    <m/>
    <m/>
    <m/>
    <n v="0"/>
    <n v="0"/>
    <n v="0"/>
    <n v="0"/>
    <n v="0"/>
    <n v="0"/>
    <n v="0"/>
    <n v="0"/>
    <n v="0"/>
    <n v="0"/>
    <n v="0"/>
    <n v="0"/>
    <n v="0"/>
    <n v="0"/>
    <x v="0"/>
    <n v="0"/>
    <s v="MMR001CMP168"/>
    <x v="2"/>
    <x v="1"/>
    <x v="2"/>
    <n v="1.5194805194805194"/>
    <s v="No"/>
    <m/>
  </r>
  <r>
    <n v="43.233333333333334"/>
    <d v="2012-12-31T00:00:00"/>
    <x v="3"/>
    <s v="DRC"/>
    <s v="Kachin"/>
    <s v="Hpakant"/>
    <s v="5 Ward RC Church(lon Khin)"/>
    <n v="19"/>
    <m/>
    <m/>
    <m/>
    <m/>
    <m/>
    <m/>
    <m/>
    <n v="0"/>
    <n v="0"/>
    <m/>
    <m/>
    <m/>
    <m/>
    <m/>
    <m/>
    <m/>
    <n v="0"/>
    <n v="0"/>
    <n v="0"/>
    <n v="0"/>
    <n v="0"/>
    <n v="0"/>
    <n v="0"/>
    <n v="0"/>
    <n v="0"/>
    <n v="0"/>
    <n v="0"/>
    <n v="0"/>
    <n v="0"/>
    <n v="0"/>
    <x v="0"/>
    <n v="0"/>
    <s v="MMR001CMP168"/>
    <x v="2"/>
    <x v="1"/>
    <x v="2"/>
    <n v="0"/>
    <s v="No"/>
    <m/>
  </r>
  <r>
    <n v="4.9666666666666668"/>
    <d v="2016-02-22T00:00:00"/>
    <x v="0"/>
    <s v="KBC"/>
    <s v="Shan_North"/>
    <s v="Kutkai"/>
    <m/>
    <m/>
    <m/>
    <m/>
    <m/>
    <m/>
    <m/>
    <m/>
    <m/>
    <m/>
    <m/>
    <m/>
    <m/>
    <m/>
    <m/>
    <m/>
    <m/>
    <n v="71"/>
    <n v="0"/>
    <n v="0"/>
    <n v="0"/>
    <n v="0"/>
    <n v="0"/>
    <n v="0"/>
    <n v="0"/>
    <n v="0"/>
    <n v="0"/>
    <n v="0"/>
    <n v="0"/>
    <n v="0"/>
    <n v="0"/>
    <n v="0"/>
    <x v="0"/>
    <n v="0"/>
    <s v=""/>
    <x v="0"/>
    <x v="0"/>
    <x v="0"/>
    <s v=""/>
    <m/>
    <s v="For Mang Wee villagers. 'KBC-Muse released family tents from their stock for this distribution"/>
  </r>
  <r>
    <n v="6.4666666666666668"/>
    <d v="2016-01-08T00:00:00"/>
    <x v="0"/>
    <s v="KBC"/>
    <s v="Shan_North"/>
    <s v="Namtu"/>
    <s v="Nam Tu Baptist"/>
    <m/>
    <m/>
    <m/>
    <n v="35"/>
    <m/>
    <n v="35"/>
    <n v="18"/>
    <m/>
    <n v="18"/>
    <n v="82"/>
    <m/>
    <m/>
    <m/>
    <m/>
    <n v="18"/>
    <m/>
    <m/>
    <n v="0"/>
    <n v="0"/>
    <n v="0"/>
    <n v="35"/>
    <n v="0"/>
    <n v="35"/>
    <n v="18"/>
    <n v="0"/>
    <n v="18"/>
    <n v="205"/>
    <n v="0"/>
    <n v="0"/>
    <n v="0"/>
    <n v="0"/>
    <x v="0"/>
    <n v="18"/>
    <s v="MMR015CMP014"/>
    <x v="2"/>
    <x v="1"/>
    <x v="4"/>
    <n v="2"/>
    <m/>
    <m/>
  </r>
  <r>
    <n v="6.666666666666667"/>
    <d v="2016-01-02T00:00:00"/>
    <x v="0"/>
    <s v="KBC"/>
    <s v="Shan_North"/>
    <s v="Namhkan"/>
    <m/>
    <m/>
    <m/>
    <m/>
    <m/>
    <m/>
    <m/>
    <m/>
    <m/>
    <m/>
    <m/>
    <m/>
    <m/>
    <m/>
    <m/>
    <m/>
    <m/>
    <n v="37"/>
    <n v="0"/>
    <n v="0"/>
    <n v="0"/>
    <n v="0"/>
    <n v="0"/>
    <n v="0"/>
    <n v="0"/>
    <n v="0"/>
    <n v="0"/>
    <n v="0"/>
    <n v="0"/>
    <n v="0"/>
    <n v="0"/>
    <n v="0"/>
    <x v="0"/>
    <n v="0"/>
    <s v=""/>
    <x v="0"/>
    <x v="0"/>
    <x v="0"/>
    <s v=""/>
    <m/>
    <s v="Man Sa village"/>
  </r>
  <r>
    <n v="7.2666666666666666"/>
    <d v="2015-12-15T00:00:00"/>
    <x v="0"/>
    <s v="KBC"/>
    <s v="Kachin"/>
    <s v="Myitkyina"/>
    <s v="Manhkring camp"/>
    <m/>
    <m/>
    <m/>
    <n v="7"/>
    <n v="7"/>
    <m/>
    <n v="7"/>
    <m/>
    <n v="7"/>
    <n v="27"/>
    <m/>
    <m/>
    <m/>
    <n v="27"/>
    <n v="7"/>
    <m/>
    <m/>
    <n v="0"/>
    <n v="0"/>
    <n v="0"/>
    <n v="7"/>
    <n v="7"/>
    <n v="0"/>
    <n v="7"/>
    <n v="0"/>
    <n v="7"/>
    <n v="67.5"/>
    <n v="0"/>
    <n v="0"/>
    <n v="0"/>
    <n v="27"/>
    <x v="1"/>
    <n v="7"/>
    <s v=""/>
    <x v="0"/>
    <x v="0"/>
    <x v="0"/>
    <s v=""/>
    <s v="No"/>
    <m/>
  </r>
  <r>
    <n v="32.1"/>
    <d v="2013-11-30T00:00:00"/>
    <x v="4"/>
    <s v="MDCG"/>
    <s v="Kachin"/>
    <s v="Bhamo"/>
    <s v="AD-2000 Tharthana Compound"/>
    <m/>
    <m/>
    <m/>
    <m/>
    <m/>
    <n v="104"/>
    <m/>
    <m/>
    <m/>
    <m/>
    <n v="146"/>
    <n v="39"/>
    <n v="0"/>
    <m/>
    <m/>
    <m/>
    <m/>
    <n v="0"/>
    <n v="0"/>
    <n v="0"/>
    <n v="0"/>
    <n v="0"/>
    <n v="0"/>
    <n v="0"/>
    <n v="0"/>
    <n v="0"/>
    <n v="0"/>
    <n v="0"/>
    <n v="0"/>
    <n v="0"/>
    <n v="0"/>
    <x v="1"/>
    <n v="0"/>
    <s v="MMR001CMP050"/>
    <x v="2"/>
    <x v="1"/>
    <x v="2"/>
    <n v="0"/>
    <s v="No"/>
    <m/>
  </r>
  <r>
    <n v="32.1"/>
    <d v="2013-11-30T00:00:00"/>
    <x v="5"/>
    <m/>
    <s v="Kachin"/>
    <s v="Bhamo"/>
    <s v="AD-2000 Tharthana Compound"/>
    <m/>
    <m/>
    <m/>
    <m/>
    <m/>
    <m/>
    <m/>
    <m/>
    <m/>
    <n v="660"/>
    <m/>
    <m/>
    <m/>
    <m/>
    <m/>
    <m/>
    <m/>
    <n v="0"/>
    <n v="0"/>
    <n v="0"/>
    <n v="0"/>
    <n v="0"/>
    <n v="0"/>
    <n v="0"/>
    <n v="0"/>
    <n v="0"/>
    <n v="0"/>
    <n v="0"/>
    <n v="0"/>
    <n v="0"/>
    <n v="0"/>
    <x v="0"/>
    <n v="0"/>
    <s v="MMR001CMP050"/>
    <x v="2"/>
    <x v="1"/>
    <x v="2"/>
    <n v="0"/>
    <s v="No"/>
    <m/>
  </r>
  <r>
    <n v="7.4"/>
    <d v="2015-12-11T00:00:00"/>
    <x v="0"/>
    <s v="Shalom"/>
    <s v="Kachin"/>
    <s v="Myitkyina"/>
    <s v="Tat Kone Emanuel Church"/>
    <m/>
    <m/>
    <m/>
    <m/>
    <m/>
    <m/>
    <m/>
    <m/>
    <m/>
    <m/>
    <m/>
    <m/>
    <m/>
    <n v="11"/>
    <m/>
    <m/>
    <m/>
    <n v="0"/>
    <n v="0"/>
    <n v="0"/>
    <n v="0"/>
    <n v="0"/>
    <n v="0"/>
    <n v="0"/>
    <n v="0"/>
    <n v="0"/>
    <n v="0"/>
    <n v="0"/>
    <n v="0"/>
    <n v="0"/>
    <n v="11"/>
    <x v="1"/>
    <n v="0"/>
    <s v="MMR001CMP004"/>
    <x v="2"/>
    <x v="1"/>
    <x v="2"/>
    <n v="0"/>
    <s v="No"/>
    <m/>
  </r>
  <r>
    <n v="33"/>
    <d v="2013-11-03T00:00:00"/>
    <x v="2"/>
    <s v="MRCS"/>
    <s v="Kachin"/>
    <s v="Bhamo"/>
    <s v="AD-2000 Tharthana Compound"/>
    <m/>
    <m/>
    <n v="21"/>
    <m/>
    <m/>
    <m/>
    <n v="21"/>
    <m/>
    <m/>
    <m/>
    <m/>
    <m/>
    <m/>
    <m/>
    <m/>
    <m/>
    <m/>
    <n v="0"/>
    <n v="0"/>
    <n v="0"/>
    <n v="0"/>
    <n v="0"/>
    <n v="0"/>
    <n v="0"/>
    <n v="0"/>
    <n v="0"/>
    <n v="0"/>
    <n v="0"/>
    <n v="0"/>
    <n v="0"/>
    <n v="0"/>
    <x v="0"/>
    <n v="0"/>
    <s v="MMR001CMP050"/>
    <x v="2"/>
    <x v="1"/>
    <x v="2"/>
    <n v="7.6642335766423361E-2"/>
    <s v="No"/>
    <m/>
  </r>
  <r>
    <n v="17"/>
    <d v="2015-02-26T00:00:00"/>
    <x v="5"/>
    <s v="Solidarities"/>
    <s v="Kachin"/>
    <s v="Bhamo"/>
    <s v="AD-2000 Tharthana Compound"/>
    <m/>
    <m/>
    <m/>
    <m/>
    <m/>
    <m/>
    <m/>
    <m/>
    <m/>
    <m/>
    <m/>
    <m/>
    <m/>
    <m/>
    <m/>
    <n v="37"/>
    <m/>
    <n v="0"/>
    <n v="0"/>
    <n v="0"/>
    <n v="0"/>
    <n v="0"/>
    <n v="0"/>
    <n v="0"/>
    <n v="0"/>
    <n v="0"/>
    <n v="0"/>
    <n v="0"/>
    <n v="0"/>
    <n v="0"/>
    <n v="0"/>
    <x v="0"/>
    <n v="0"/>
    <s v="MMR001CMP050"/>
    <x v="2"/>
    <x v="1"/>
    <x v="2"/>
    <n v="0"/>
    <m/>
    <m/>
  </r>
  <r>
    <n v="15.633333333333333"/>
    <d v="2015-04-08T00:00:00"/>
    <x v="5"/>
    <s v="Solidarities"/>
    <s v="Kachin"/>
    <s v="Bhamo"/>
    <s v="AD-2000 Tharthana Compound"/>
    <m/>
    <m/>
    <m/>
    <m/>
    <m/>
    <m/>
    <m/>
    <m/>
    <m/>
    <m/>
    <m/>
    <m/>
    <m/>
    <m/>
    <m/>
    <n v="7"/>
    <m/>
    <n v="0"/>
    <n v="0"/>
    <n v="0"/>
    <n v="0"/>
    <n v="0"/>
    <n v="0"/>
    <n v="0"/>
    <n v="0"/>
    <n v="0"/>
    <n v="0"/>
    <n v="0"/>
    <n v="0"/>
    <n v="0"/>
    <n v="0"/>
    <x v="0"/>
    <n v="0"/>
    <s v="MMR001CMP050"/>
    <x v="2"/>
    <x v="1"/>
    <x v="2"/>
    <n v="0"/>
    <m/>
    <m/>
  </r>
  <r>
    <n v="7.2"/>
    <d v="2015-12-17T00:00:00"/>
    <x v="5"/>
    <s v="Solidarities"/>
    <s v="Kachin"/>
    <s v="Bhamo"/>
    <s v="AD-2000 Tharthana Compound"/>
    <m/>
    <m/>
    <m/>
    <m/>
    <m/>
    <m/>
    <m/>
    <m/>
    <m/>
    <m/>
    <m/>
    <m/>
    <m/>
    <m/>
    <m/>
    <n v="38"/>
    <m/>
    <n v="0"/>
    <n v="0"/>
    <n v="0"/>
    <n v="0"/>
    <n v="0"/>
    <n v="0"/>
    <n v="0"/>
    <n v="0"/>
    <n v="0"/>
    <n v="0"/>
    <n v="0"/>
    <n v="0"/>
    <n v="0"/>
    <n v="0"/>
    <x v="0"/>
    <n v="0"/>
    <s v="MMR001CMP050"/>
    <x v="2"/>
    <x v="1"/>
    <x v="2"/>
    <n v="0"/>
    <m/>
    <m/>
  </r>
  <r>
    <n v="4.833333333333333"/>
    <d v="2016-02-26T00:00:00"/>
    <x v="5"/>
    <s v="Solidarities"/>
    <s v="Kachin"/>
    <s v="Bhamo"/>
    <s v="AD-2000 Tharthana Compound"/>
    <m/>
    <m/>
    <m/>
    <m/>
    <m/>
    <m/>
    <m/>
    <m/>
    <m/>
    <m/>
    <m/>
    <m/>
    <m/>
    <m/>
    <m/>
    <n v="37"/>
    <m/>
    <n v="0"/>
    <n v="0"/>
    <n v="0"/>
    <n v="0"/>
    <n v="0"/>
    <n v="0"/>
    <n v="0"/>
    <n v="0"/>
    <n v="0"/>
    <n v="0"/>
    <n v="0"/>
    <n v="0"/>
    <n v="0"/>
    <n v="0"/>
    <x v="0"/>
    <n v="0"/>
    <s v="MMR001CMP050"/>
    <x v="2"/>
    <x v="1"/>
    <x v="2"/>
    <n v="0"/>
    <m/>
    <m/>
  </r>
  <r>
    <n v="19.600000000000001"/>
    <d v="2014-12-10T00:00:00"/>
    <x v="5"/>
    <s v="Solidarities"/>
    <s v="Kachin"/>
    <s v="Momauk"/>
    <s v="Edin"/>
    <m/>
    <m/>
    <n v="85"/>
    <m/>
    <m/>
    <m/>
    <m/>
    <m/>
    <m/>
    <m/>
    <m/>
    <m/>
    <m/>
    <m/>
    <m/>
    <m/>
    <m/>
    <n v="0"/>
    <n v="0"/>
    <n v="0"/>
    <n v="0"/>
    <n v="0"/>
    <n v="0"/>
    <n v="0"/>
    <n v="0"/>
    <n v="0"/>
    <n v="0"/>
    <n v="0"/>
    <n v="0"/>
    <n v="0"/>
    <n v="0"/>
    <x v="0"/>
    <n v="0"/>
    <s v=""/>
    <x v="0"/>
    <x v="0"/>
    <x v="0"/>
    <s v=""/>
    <m/>
    <m/>
  </r>
  <r>
    <n v="13.933333333333334"/>
    <d v="2015-05-29T00:00:00"/>
    <x v="5"/>
    <s v="Solidarities"/>
    <s v="Kachin"/>
    <s v="Momauk"/>
    <s v="Edin"/>
    <m/>
    <m/>
    <n v="103"/>
    <m/>
    <m/>
    <m/>
    <m/>
    <m/>
    <m/>
    <m/>
    <m/>
    <m/>
    <m/>
    <m/>
    <m/>
    <m/>
    <m/>
    <n v="0"/>
    <n v="0"/>
    <n v="0"/>
    <n v="0"/>
    <n v="0"/>
    <n v="0"/>
    <n v="0"/>
    <n v="0"/>
    <n v="0"/>
    <n v="0"/>
    <n v="0"/>
    <n v="0"/>
    <n v="0"/>
    <n v="0"/>
    <x v="0"/>
    <n v="0"/>
    <s v=""/>
    <x v="0"/>
    <x v="0"/>
    <x v="0"/>
    <s v=""/>
    <m/>
    <m/>
  </r>
  <r>
    <n v="5.5666666666666664"/>
    <d v="2016-02-04T00:00:00"/>
    <x v="5"/>
    <s v="Solidarities"/>
    <s v="Kachin"/>
    <s v="Momauk"/>
    <s v="Edin"/>
    <m/>
    <m/>
    <n v="96"/>
    <m/>
    <m/>
    <m/>
    <m/>
    <m/>
    <m/>
    <m/>
    <m/>
    <m/>
    <m/>
    <m/>
    <m/>
    <m/>
    <m/>
    <n v="0"/>
    <n v="0"/>
    <n v="96"/>
    <n v="0"/>
    <n v="0"/>
    <n v="0"/>
    <n v="0"/>
    <n v="0"/>
    <n v="0"/>
    <n v="0"/>
    <n v="0"/>
    <n v="0"/>
    <n v="0"/>
    <n v="0"/>
    <x v="0"/>
    <n v="0"/>
    <s v=""/>
    <x v="0"/>
    <x v="0"/>
    <x v="0"/>
    <s v=""/>
    <m/>
    <m/>
  </r>
  <r>
    <n v="2.7333333333333334"/>
    <d v="2016-04-29T00:00:00"/>
    <x v="5"/>
    <s v="Solidarities"/>
    <s v="Kachin"/>
    <s v="Bhamo"/>
    <s v="AD-2000 Tharthana Compound"/>
    <m/>
    <m/>
    <m/>
    <m/>
    <m/>
    <m/>
    <m/>
    <m/>
    <m/>
    <m/>
    <m/>
    <m/>
    <m/>
    <m/>
    <m/>
    <n v="74"/>
    <m/>
    <n v="0"/>
    <n v="0"/>
    <n v="0"/>
    <n v="0"/>
    <n v="0"/>
    <n v="0"/>
    <n v="0"/>
    <n v="0"/>
    <n v="0"/>
    <n v="0"/>
    <n v="0"/>
    <n v="0"/>
    <n v="0"/>
    <n v="0"/>
    <x v="0"/>
    <n v="0"/>
    <s v="MMR001CMP050"/>
    <x v="2"/>
    <x v="1"/>
    <x v="2"/>
    <n v="0"/>
    <m/>
    <m/>
  </r>
  <r>
    <n v="19.633333333333333"/>
    <d v="2014-12-09T00:00:00"/>
    <x v="5"/>
    <s v="Solidarities"/>
    <s v="Kachin"/>
    <s v="Bhamo"/>
    <s v="AD-2000 Tharthana Compound"/>
    <m/>
    <m/>
    <n v="354"/>
    <m/>
    <m/>
    <m/>
    <m/>
    <m/>
    <m/>
    <m/>
    <m/>
    <m/>
    <m/>
    <m/>
    <m/>
    <m/>
    <m/>
    <n v="0"/>
    <n v="0"/>
    <n v="0"/>
    <n v="0"/>
    <n v="0"/>
    <n v="0"/>
    <n v="0"/>
    <n v="0"/>
    <n v="0"/>
    <n v="0"/>
    <n v="0"/>
    <n v="0"/>
    <n v="0"/>
    <n v="0"/>
    <x v="0"/>
    <n v="0"/>
    <s v="MMR001CMP050"/>
    <x v="2"/>
    <x v="1"/>
    <x v="2"/>
    <n v="0"/>
    <m/>
    <m/>
  </r>
  <r>
    <n v="12.866666666666667"/>
    <d v="2015-06-30T00:00:00"/>
    <x v="5"/>
    <s v="Solidarities"/>
    <s v="Kachin"/>
    <s v="Bhamo"/>
    <s v="AD-2000 Tharthana Compound"/>
    <m/>
    <m/>
    <m/>
    <m/>
    <m/>
    <m/>
    <m/>
    <m/>
    <m/>
    <m/>
    <m/>
    <m/>
    <m/>
    <m/>
    <n v="3"/>
    <m/>
    <m/>
    <n v="0"/>
    <n v="0"/>
    <n v="0"/>
    <n v="0"/>
    <n v="0"/>
    <n v="0"/>
    <n v="0"/>
    <n v="0"/>
    <n v="0"/>
    <n v="0"/>
    <n v="0"/>
    <n v="0"/>
    <n v="0"/>
    <n v="0"/>
    <x v="0"/>
    <n v="0"/>
    <s v="MMR001CMP050"/>
    <x v="2"/>
    <x v="1"/>
    <x v="2"/>
    <n v="0"/>
    <m/>
    <m/>
  </r>
  <r>
    <n v="14"/>
    <d v="2015-05-27T00:00:00"/>
    <x v="5"/>
    <s v="Solidarities"/>
    <s v="Kachin"/>
    <s v="Bhamo"/>
    <s v="AD-2000 Tharthana Compound"/>
    <m/>
    <m/>
    <n v="424"/>
    <m/>
    <m/>
    <m/>
    <m/>
    <m/>
    <m/>
    <m/>
    <m/>
    <m/>
    <m/>
    <m/>
    <m/>
    <m/>
    <m/>
    <n v="0"/>
    <n v="0"/>
    <n v="0"/>
    <n v="0"/>
    <n v="0"/>
    <n v="0"/>
    <n v="0"/>
    <n v="0"/>
    <n v="0"/>
    <n v="0"/>
    <n v="0"/>
    <n v="0"/>
    <n v="0"/>
    <n v="0"/>
    <x v="0"/>
    <n v="0"/>
    <s v="MMR001CMP050"/>
    <x v="2"/>
    <x v="1"/>
    <x v="2"/>
    <n v="0"/>
    <m/>
    <m/>
  </r>
  <r>
    <n v="5.6333333333333337"/>
    <d v="2016-02-02T00:00:00"/>
    <x v="5"/>
    <s v="Solidarities"/>
    <s v="Kachin"/>
    <s v="Bhamo"/>
    <s v="AD-2000 Tharthana Compound"/>
    <m/>
    <m/>
    <n v="310"/>
    <m/>
    <m/>
    <m/>
    <m/>
    <m/>
    <m/>
    <m/>
    <m/>
    <m/>
    <m/>
    <m/>
    <m/>
    <m/>
    <m/>
    <n v="0"/>
    <n v="0"/>
    <n v="310"/>
    <n v="0"/>
    <n v="0"/>
    <n v="0"/>
    <n v="0"/>
    <n v="0"/>
    <n v="0"/>
    <n v="0"/>
    <n v="0"/>
    <n v="0"/>
    <n v="0"/>
    <n v="0"/>
    <x v="0"/>
    <n v="0"/>
    <s v="MMR001CMP050"/>
    <x v="2"/>
    <x v="1"/>
    <x v="2"/>
    <n v="0"/>
    <m/>
    <m/>
  </r>
  <r>
    <n v="52.133333333333333"/>
    <d v="2012-04-08T00:00:00"/>
    <x v="5"/>
    <m/>
    <s v="Kachin"/>
    <s v="Bhamo"/>
    <s v="AD-2000 Tharthana Compound"/>
    <n v="302"/>
    <m/>
    <m/>
    <m/>
    <m/>
    <m/>
    <m/>
    <m/>
    <m/>
    <m/>
    <m/>
    <m/>
    <m/>
    <m/>
    <m/>
    <m/>
    <m/>
    <n v="0"/>
    <n v="0"/>
    <n v="0"/>
    <n v="0"/>
    <n v="0"/>
    <n v="0"/>
    <n v="0"/>
    <n v="0"/>
    <n v="0"/>
    <n v="0"/>
    <n v="0"/>
    <n v="0"/>
    <n v="0"/>
    <n v="0"/>
    <x v="0"/>
    <n v="0"/>
    <s v="MMR001CMP050"/>
    <x v="2"/>
    <x v="1"/>
    <x v="2"/>
    <n v="0"/>
    <m/>
    <m/>
  </r>
  <r>
    <n v="51.56666666666667"/>
    <d v="2012-04-25T00:00:00"/>
    <x v="5"/>
    <m/>
    <s v="Kachin"/>
    <s v="Bhamo"/>
    <s v="AD-2000 Tharthana Compound"/>
    <n v="1173"/>
    <m/>
    <m/>
    <m/>
    <m/>
    <m/>
    <m/>
    <m/>
    <m/>
    <m/>
    <m/>
    <m/>
    <m/>
    <m/>
    <m/>
    <m/>
    <m/>
    <n v="0"/>
    <n v="0"/>
    <n v="0"/>
    <n v="0"/>
    <n v="0"/>
    <n v="0"/>
    <n v="0"/>
    <n v="0"/>
    <n v="0"/>
    <n v="0"/>
    <n v="0"/>
    <n v="0"/>
    <n v="0"/>
    <n v="0"/>
    <x v="0"/>
    <n v="0"/>
    <s v="MMR001CMP050"/>
    <x v="2"/>
    <x v="1"/>
    <x v="2"/>
    <n v="0"/>
    <m/>
    <m/>
  </r>
  <r>
    <n v="7.8666666666666663"/>
    <d v="2015-11-27T00:00:00"/>
    <x v="0"/>
    <s v="KBC"/>
    <s v="Kachin"/>
    <s v="Shwegu"/>
    <s v="Shwe Gu (MyoHla)"/>
    <m/>
    <m/>
    <m/>
    <m/>
    <n v="9"/>
    <n v="23"/>
    <n v="10"/>
    <m/>
    <n v="8"/>
    <n v="24"/>
    <m/>
    <m/>
    <m/>
    <m/>
    <n v="6"/>
    <m/>
    <m/>
    <n v="0"/>
    <n v="0"/>
    <n v="0"/>
    <n v="0"/>
    <n v="9"/>
    <n v="23"/>
    <n v="10"/>
    <n v="0"/>
    <n v="8"/>
    <n v="60"/>
    <n v="0"/>
    <n v="0"/>
    <n v="0"/>
    <n v="0"/>
    <x v="0"/>
    <n v="6"/>
    <s v=""/>
    <x v="0"/>
    <x v="0"/>
    <x v="0"/>
    <s v=""/>
    <s v="No"/>
    <m/>
  </r>
  <r>
    <n v="42.766666666666666"/>
    <d v="2013-01-14T00:00:00"/>
    <x v="5"/>
    <s v="Solidarities"/>
    <s v="Kachin"/>
    <s v="Bhamo"/>
    <s v="AD-2000 Tharthana Compound"/>
    <n v="940"/>
    <m/>
    <m/>
    <m/>
    <m/>
    <m/>
    <m/>
    <m/>
    <n v="0"/>
    <n v="0"/>
    <m/>
    <m/>
    <m/>
    <m/>
    <m/>
    <m/>
    <m/>
    <n v="0"/>
    <n v="0"/>
    <n v="0"/>
    <n v="0"/>
    <n v="0"/>
    <n v="0"/>
    <n v="0"/>
    <n v="0"/>
    <n v="0"/>
    <n v="0"/>
    <n v="0"/>
    <n v="0"/>
    <n v="0"/>
    <n v="0"/>
    <x v="0"/>
    <n v="0"/>
    <s v="MMR001CMP050"/>
    <x v="2"/>
    <x v="1"/>
    <x v="2"/>
    <n v="0"/>
    <s v="No"/>
    <m/>
  </r>
  <r>
    <n v="7.9333333333333336"/>
    <d v="2015-11-25T00:00:00"/>
    <x v="0"/>
    <s v="KBC"/>
    <s v="Kachin"/>
    <s v="Shwegu"/>
    <s v="Shwe Gu Baptist Church"/>
    <m/>
    <m/>
    <m/>
    <m/>
    <n v="4"/>
    <n v="16"/>
    <n v="4"/>
    <m/>
    <n v="4"/>
    <n v="23"/>
    <m/>
    <m/>
    <m/>
    <m/>
    <n v="7"/>
    <m/>
    <m/>
    <n v="0"/>
    <n v="0"/>
    <n v="0"/>
    <n v="0"/>
    <n v="4"/>
    <n v="16"/>
    <n v="4"/>
    <n v="0"/>
    <n v="4"/>
    <n v="57.5"/>
    <n v="0"/>
    <n v="0"/>
    <n v="0"/>
    <n v="0"/>
    <x v="0"/>
    <n v="7"/>
    <s v="MMR001CMP067"/>
    <x v="2"/>
    <x v="1"/>
    <x v="2"/>
    <n v="4.6511627906976744E-2"/>
    <s v="No"/>
    <m/>
  </r>
  <r>
    <n v="7.9333333333333336"/>
    <d v="2015-11-25T00:00:00"/>
    <x v="0"/>
    <s v="KBC"/>
    <s v="Kachin"/>
    <s v="Shwegu"/>
    <s v="Shwe Gu Catholic Church"/>
    <m/>
    <m/>
    <m/>
    <m/>
    <n v="4"/>
    <n v="12"/>
    <n v="3"/>
    <m/>
    <n v="4"/>
    <n v="14"/>
    <m/>
    <m/>
    <m/>
    <m/>
    <n v="4"/>
    <m/>
    <m/>
    <n v="0"/>
    <n v="0"/>
    <n v="0"/>
    <n v="0"/>
    <n v="4"/>
    <n v="12"/>
    <n v="3"/>
    <n v="0"/>
    <n v="4"/>
    <n v="35"/>
    <n v="0"/>
    <n v="0"/>
    <n v="0"/>
    <n v="0"/>
    <x v="0"/>
    <n v="4"/>
    <s v="MMR001CMP068"/>
    <x v="2"/>
    <x v="1"/>
    <x v="2"/>
    <n v="7.3170731707317069E-2"/>
    <s v="No"/>
    <m/>
  </r>
  <r>
    <n v="7.9666666666666668"/>
    <d v="2015-11-24T00:00:00"/>
    <x v="0"/>
    <s v="KMSS"/>
    <s v="Kachin"/>
    <s v="Myitkyina"/>
    <s v="Pa Dauk Myaing(Pa La Na)"/>
    <m/>
    <m/>
    <m/>
    <m/>
    <m/>
    <m/>
    <m/>
    <m/>
    <m/>
    <m/>
    <m/>
    <m/>
    <m/>
    <n v="50"/>
    <m/>
    <m/>
    <m/>
    <n v="0"/>
    <n v="0"/>
    <n v="0"/>
    <n v="0"/>
    <n v="0"/>
    <n v="0"/>
    <n v="0"/>
    <n v="0"/>
    <n v="0"/>
    <n v="0"/>
    <n v="0"/>
    <n v="0"/>
    <n v="0"/>
    <n v="50"/>
    <x v="1"/>
    <n v="0"/>
    <s v="MMR001CMP162"/>
    <x v="2"/>
    <x v="1"/>
    <x v="2"/>
    <n v="0"/>
    <s v="No"/>
    <m/>
  </r>
  <r>
    <n v="8.6999999999999993"/>
    <d v="2015-11-02T00:00:00"/>
    <x v="0"/>
    <s v="KBC"/>
    <s v="Kachin"/>
    <s v="Mansi"/>
    <s v="Mai hkawng Camp (RC +KBC)"/>
    <m/>
    <m/>
    <n v="223"/>
    <m/>
    <n v="30"/>
    <m/>
    <m/>
    <m/>
    <m/>
    <n v="337"/>
    <m/>
    <m/>
    <m/>
    <m/>
    <m/>
    <m/>
    <m/>
    <n v="0"/>
    <n v="0"/>
    <n v="223"/>
    <n v="0"/>
    <n v="30"/>
    <n v="0"/>
    <n v="0"/>
    <n v="0"/>
    <n v="0"/>
    <n v="842.5"/>
    <n v="0"/>
    <n v="0"/>
    <n v="0"/>
    <n v="0"/>
    <x v="0"/>
    <n v="0"/>
    <s v=""/>
    <x v="0"/>
    <x v="0"/>
    <x v="0"/>
    <s v=""/>
    <s v="No"/>
    <m/>
  </r>
  <r>
    <n v="21.133333333333333"/>
    <d v="2014-10-25T00:00:00"/>
    <x v="1"/>
    <s v="MRCS"/>
    <s v="Kachin"/>
    <s v="Hpakant"/>
    <s v="AG Church, Hmaw Si Sa"/>
    <m/>
    <m/>
    <m/>
    <m/>
    <m/>
    <m/>
    <m/>
    <m/>
    <m/>
    <m/>
    <n v="232"/>
    <n v="105"/>
    <m/>
    <m/>
    <m/>
    <m/>
    <m/>
    <n v="0"/>
    <n v="0"/>
    <n v="0"/>
    <n v="0"/>
    <n v="0"/>
    <n v="0"/>
    <n v="0"/>
    <n v="0"/>
    <n v="0"/>
    <n v="0"/>
    <n v="0"/>
    <n v="0"/>
    <n v="0"/>
    <n v="0"/>
    <x v="1"/>
    <n v="0"/>
    <s v="MMR001CMP176"/>
    <x v="2"/>
    <x v="1"/>
    <x v="2"/>
    <n v="0"/>
    <m/>
    <m/>
  </r>
  <r>
    <n v="9.7666666666666675"/>
    <d v="2015-10-01T00:00:00"/>
    <x v="0"/>
    <s v="KBC"/>
    <s v="Kachin"/>
    <s v="Mansi"/>
    <s v="Mai hkawng Camp (RC +KBC)"/>
    <m/>
    <n v="77"/>
    <n v="232"/>
    <n v="200"/>
    <n v="89"/>
    <n v="200"/>
    <n v="119"/>
    <m/>
    <n v="119"/>
    <n v="345"/>
    <m/>
    <m/>
    <m/>
    <m/>
    <n v="119"/>
    <m/>
    <n v="45"/>
    <n v="0"/>
    <n v="77"/>
    <n v="232"/>
    <n v="200"/>
    <n v="89"/>
    <n v="200"/>
    <n v="119"/>
    <n v="0"/>
    <n v="119"/>
    <n v="862.5"/>
    <n v="0"/>
    <n v="0"/>
    <n v="0"/>
    <n v="0"/>
    <x v="0"/>
    <n v="119"/>
    <s v=""/>
    <x v="0"/>
    <x v="0"/>
    <x v="0"/>
    <s v=""/>
    <s v="No"/>
    <m/>
  </r>
  <r>
    <n v="43.233333333333334"/>
    <d v="2012-12-31T00:00:00"/>
    <x v="3"/>
    <s v="DRC"/>
    <s v="Kachin"/>
    <s v="Hpakant"/>
    <s v="AG Church, Hmaw Si Sa"/>
    <n v="7"/>
    <m/>
    <m/>
    <m/>
    <m/>
    <m/>
    <m/>
    <m/>
    <n v="0"/>
    <n v="0"/>
    <m/>
    <m/>
    <m/>
    <m/>
    <m/>
    <m/>
    <m/>
    <n v="0"/>
    <n v="0"/>
    <n v="0"/>
    <n v="0"/>
    <n v="0"/>
    <n v="0"/>
    <n v="0"/>
    <n v="0"/>
    <n v="0"/>
    <n v="0"/>
    <n v="0"/>
    <n v="0"/>
    <n v="0"/>
    <n v="0"/>
    <x v="0"/>
    <n v="0"/>
    <s v="MMR001CMP176"/>
    <x v="2"/>
    <x v="1"/>
    <x v="2"/>
    <n v="0"/>
    <s v="No"/>
    <m/>
  </r>
  <r>
    <n v="10.066666666666666"/>
    <d v="2015-09-22T00:00:00"/>
    <x v="0"/>
    <s v="KBC"/>
    <s v="Kachin"/>
    <s v="Mansi"/>
    <s v="Mai hkawng Camp (RC +KBC)"/>
    <m/>
    <m/>
    <n v="145"/>
    <n v="132"/>
    <n v="66"/>
    <n v="132"/>
    <n v="66"/>
    <m/>
    <n v="66"/>
    <n v="243"/>
    <m/>
    <m/>
    <m/>
    <m/>
    <n v="66"/>
    <m/>
    <m/>
    <n v="0"/>
    <n v="0"/>
    <n v="145"/>
    <n v="132"/>
    <n v="66"/>
    <n v="132"/>
    <n v="66"/>
    <n v="0"/>
    <n v="66"/>
    <n v="607.5"/>
    <n v="0"/>
    <n v="0"/>
    <n v="0"/>
    <n v="0"/>
    <x v="0"/>
    <n v="66"/>
    <s v=""/>
    <x v="0"/>
    <x v="0"/>
    <x v="0"/>
    <s v=""/>
    <s v="No"/>
    <m/>
  </r>
  <r>
    <n v="21.133333333333333"/>
    <d v="2014-10-25T00:00:00"/>
    <x v="1"/>
    <s v="MRCS"/>
    <s v="Kachin"/>
    <s v="Hpakant"/>
    <s v="AG Church, Maw Wan"/>
    <m/>
    <m/>
    <m/>
    <m/>
    <m/>
    <m/>
    <m/>
    <m/>
    <m/>
    <m/>
    <n v="55"/>
    <n v="27"/>
    <m/>
    <m/>
    <m/>
    <m/>
    <m/>
    <n v="0"/>
    <n v="0"/>
    <n v="0"/>
    <n v="0"/>
    <n v="0"/>
    <n v="0"/>
    <n v="0"/>
    <n v="0"/>
    <n v="0"/>
    <n v="0"/>
    <n v="0"/>
    <n v="0"/>
    <n v="0"/>
    <n v="0"/>
    <x v="1"/>
    <n v="0"/>
    <s v="MMR001CMP190"/>
    <x v="2"/>
    <x v="1"/>
    <x v="2"/>
    <n v="0"/>
    <m/>
    <m/>
  </r>
  <r>
    <n v="10.1"/>
    <d v="2015-09-21T00:00:00"/>
    <x v="0"/>
    <s v="KMSS"/>
    <s v="Kachin"/>
    <s v="Waingmaw"/>
    <s v="Maina Catholic Church (St. Joseph)"/>
    <m/>
    <m/>
    <m/>
    <n v="41"/>
    <n v="16"/>
    <n v="41"/>
    <n v="16"/>
    <m/>
    <n v="16"/>
    <n v="80"/>
    <m/>
    <m/>
    <m/>
    <m/>
    <n v="16"/>
    <m/>
    <m/>
    <n v="0"/>
    <n v="0"/>
    <n v="0"/>
    <n v="41"/>
    <n v="16"/>
    <n v="41"/>
    <n v="16"/>
    <n v="0"/>
    <n v="16"/>
    <n v="200"/>
    <n v="0"/>
    <n v="0"/>
    <n v="0"/>
    <n v="0"/>
    <x v="0"/>
    <n v="16"/>
    <s v="MMR001CMP029"/>
    <x v="2"/>
    <x v="1"/>
    <x v="2"/>
    <n v="7.2072072072072071E-2"/>
    <s v="No"/>
    <m/>
  </r>
  <r>
    <n v="10.1"/>
    <d v="2015-09-21T00:00:00"/>
    <x v="0"/>
    <s v="KMSS-MKN"/>
    <s v="Kachin"/>
    <s v="Myitkyina"/>
    <m/>
    <m/>
    <m/>
    <m/>
    <m/>
    <m/>
    <m/>
    <m/>
    <m/>
    <m/>
    <m/>
    <m/>
    <m/>
    <m/>
    <m/>
    <m/>
    <m/>
    <m/>
    <n v="0"/>
    <n v="0"/>
    <n v="0"/>
    <n v="0"/>
    <n v="0"/>
    <n v="0"/>
    <n v="0"/>
    <n v="0"/>
    <n v="0"/>
    <n v="0"/>
    <n v="0"/>
    <n v="0"/>
    <n v="0"/>
    <n v="0"/>
    <x v="0"/>
    <n v="0"/>
    <s v=""/>
    <x v="0"/>
    <x v="0"/>
    <x v="0"/>
    <s v=""/>
    <s v="No"/>
    <m/>
  </r>
  <r>
    <n v="10.199999999999999"/>
    <d v="2015-09-18T00:00:00"/>
    <x v="0"/>
    <s v="KMSS"/>
    <s v="Kachin"/>
    <s v="Myitkyina"/>
    <s v="Pa Dauk Myaing(Pa La Na)"/>
    <m/>
    <n v="11"/>
    <n v="11"/>
    <n v="21"/>
    <n v="16"/>
    <n v="21"/>
    <n v="11"/>
    <m/>
    <n v="11"/>
    <n v="42"/>
    <m/>
    <m/>
    <m/>
    <m/>
    <n v="11"/>
    <m/>
    <n v="6"/>
    <n v="0"/>
    <n v="11"/>
    <n v="11"/>
    <n v="21"/>
    <n v="16"/>
    <n v="21"/>
    <n v="11"/>
    <n v="0"/>
    <n v="11"/>
    <n v="105"/>
    <n v="0"/>
    <n v="0"/>
    <n v="0"/>
    <n v="0"/>
    <x v="0"/>
    <n v="11"/>
    <s v="MMR001CMP162"/>
    <x v="2"/>
    <x v="1"/>
    <x v="2"/>
    <n v="0.25"/>
    <s v="No"/>
    <m/>
  </r>
  <r>
    <n v="43.233333333333334"/>
    <d v="2012-12-31T00:00:00"/>
    <x v="3"/>
    <s v="DRC"/>
    <s v="Kachin"/>
    <s v="Hpakant"/>
    <s v="AG Church, Maw Wan"/>
    <n v="4"/>
    <m/>
    <m/>
    <m/>
    <m/>
    <m/>
    <m/>
    <m/>
    <n v="0"/>
    <n v="0"/>
    <m/>
    <m/>
    <m/>
    <m/>
    <m/>
    <m/>
    <m/>
    <n v="0"/>
    <n v="0"/>
    <n v="0"/>
    <n v="0"/>
    <n v="0"/>
    <n v="0"/>
    <n v="0"/>
    <n v="0"/>
    <n v="0"/>
    <n v="0"/>
    <n v="0"/>
    <n v="0"/>
    <n v="0"/>
    <n v="0"/>
    <x v="0"/>
    <n v="0"/>
    <s v="MMR001CMP190"/>
    <x v="2"/>
    <x v="1"/>
    <x v="2"/>
    <n v="0"/>
    <s v="No"/>
    <m/>
  </r>
  <r>
    <n v="10.933333333333334"/>
    <d v="2015-08-27T00:00:00"/>
    <x v="0"/>
    <s v="KBC"/>
    <s v="Kachin"/>
    <s v="Myitkyina"/>
    <m/>
    <m/>
    <m/>
    <m/>
    <m/>
    <m/>
    <m/>
    <m/>
    <m/>
    <m/>
    <m/>
    <m/>
    <m/>
    <m/>
    <m/>
    <m/>
    <n v="10"/>
    <m/>
    <n v="0"/>
    <n v="0"/>
    <n v="0"/>
    <n v="0"/>
    <n v="0"/>
    <n v="0"/>
    <n v="0"/>
    <n v="0"/>
    <n v="0"/>
    <n v="0"/>
    <n v="0"/>
    <n v="0"/>
    <n v="0"/>
    <n v="0"/>
    <x v="0"/>
    <n v="0"/>
    <s v=""/>
    <x v="0"/>
    <x v="0"/>
    <x v="0"/>
    <s v=""/>
    <s v="No"/>
    <m/>
  </r>
  <r>
    <n v="10.933333333333334"/>
    <d v="2015-08-27T00:00:00"/>
    <x v="0"/>
    <s v="KMSS-MKN"/>
    <s v="Kachin"/>
    <s v="Myitkyina"/>
    <m/>
    <m/>
    <m/>
    <m/>
    <m/>
    <m/>
    <m/>
    <m/>
    <m/>
    <m/>
    <m/>
    <m/>
    <m/>
    <m/>
    <m/>
    <m/>
    <n v="7"/>
    <m/>
    <n v="0"/>
    <n v="0"/>
    <n v="0"/>
    <n v="0"/>
    <n v="0"/>
    <n v="0"/>
    <n v="0"/>
    <n v="0"/>
    <n v="0"/>
    <n v="0"/>
    <n v="0"/>
    <n v="0"/>
    <n v="0"/>
    <n v="0"/>
    <x v="0"/>
    <n v="0"/>
    <s v=""/>
    <x v="0"/>
    <x v="0"/>
    <x v="0"/>
    <s v=""/>
    <s v="No"/>
    <m/>
  </r>
  <r>
    <n v="10.933333333333334"/>
    <d v="2015-08-27T00:00:00"/>
    <x v="0"/>
    <s v="Shalom"/>
    <s v="Kachin"/>
    <s v="Myitkyina"/>
    <m/>
    <m/>
    <m/>
    <m/>
    <m/>
    <m/>
    <m/>
    <m/>
    <m/>
    <m/>
    <m/>
    <m/>
    <m/>
    <m/>
    <m/>
    <m/>
    <n v="8"/>
    <m/>
    <n v="0"/>
    <n v="0"/>
    <n v="0"/>
    <n v="0"/>
    <n v="0"/>
    <n v="0"/>
    <n v="0"/>
    <n v="0"/>
    <n v="0"/>
    <n v="0"/>
    <n v="0"/>
    <n v="0"/>
    <n v="0"/>
    <n v="0"/>
    <x v="0"/>
    <n v="0"/>
    <s v=""/>
    <x v="0"/>
    <x v="0"/>
    <x v="0"/>
    <s v=""/>
    <s v="No"/>
    <s v="Updated on 2/Dec/2015. Data source: mail by Win Aung Htun_x000a_Updated on 11/Nov/2015. Added jerry can data. Data source: mail by Win Aung Htun_x000a_Updated on 29/Sep/2015. _x000a_Data Source: Lu Lu Awng and Win Aung Tun"/>
  </r>
  <r>
    <n v="11.466666666666667"/>
    <d v="2015-08-11T00:00:00"/>
    <x v="0"/>
    <s v="KBC"/>
    <s v="Kachin"/>
    <s v="Mogaung"/>
    <s v="Kyun Taw Baptist Church "/>
    <m/>
    <m/>
    <m/>
    <n v="14"/>
    <n v="14"/>
    <m/>
    <m/>
    <m/>
    <m/>
    <m/>
    <m/>
    <m/>
    <m/>
    <m/>
    <m/>
    <m/>
    <m/>
    <n v="0"/>
    <n v="0"/>
    <n v="0"/>
    <n v="14"/>
    <n v="14"/>
    <n v="0"/>
    <n v="0"/>
    <n v="0"/>
    <n v="0"/>
    <n v="0"/>
    <n v="0"/>
    <n v="0"/>
    <n v="0"/>
    <n v="0"/>
    <x v="0"/>
    <n v="0"/>
    <s v="MMR001CMP078"/>
    <x v="2"/>
    <x v="1"/>
    <x v="2"/>
    <n v="0"/>
    <s v="No"/>
    <s v="Updated on 2/Dec/2015. Data source: mail by Win Aung Htun_x000a_Updated on 29/Sep/2015. _x000a_Data Source: Lu Lu Awng and Win Aung Tun"/>
  </r>
  <r>
    <n v="11.466666666666667"/>
    <d v="2015-08-11T00:00:00"/>
    <x v="0"/>
    <s v="Shalom"/>
    <s v="Kachin"/>
    <s v="Myitkyina"/>
    <s v="Tat Kone Emanuel Church"/>
    <m/>
    <m/>
    <m/>
    <n v="6"/>
    <n v="4"/>
    <n v="6"/>
    <n v="4"/>
    <m/>
    <n v="4"/>
    <n v="10"/>
    <m/>
    <m/>
    <m/>
    <m/>
    <n v="4"/>
    <m/>
    <m/>
    <n v="0"/>
    <n v="0"/>
    <n v="0"/>
    <n v="6"/>
    <n v="4"/>
    <n v="6"/>
    <n v="4"/>
    <n v="0"/>
    <n v="4"/>
    <n v="25"/>
    <n v="0"/>
    <n v="0"/>
    <n v="0"/>
    <n v="0"/>
    <x v="0"/>
    <n v="4"/>
    <s v="MMR001CMP004"/>
    <x v="2"/>
    <x v="1"/>
    <x v="2"/>
    <n v="0.66666666666666663"/>
    <s v="No"/>
    <m/>
  </r>
  <r>
    <n v="32.1"/>
    <d v="2013-11-30T00:00:00"/>
    <x v="5"/>
    <m/>
    <s v="Kachin"/>
    <s v="Bhamo"/>
    <s v="Aung Thar Church"/>
    <m/>
    <m/>
    <m/>
    <m/>
    <m/>
    <m/>
    <m/>
    <m/>
    <m/>
    <m/>
    <m/>
    <m/>
    <m/>
    <m/>
    <m/>
    <m/>
    <m/>
    <n v="0"/>
    <n v="0"/>
    <n v="0"/>
    <n v="0"/>
    <n v="0"/>
    <n v="0"/>
    <n v="0"/>
    <n v="0"/>
    <n v="0"/>
    <n v="0"/>
    <n v="0"/>
    <n v="0"/>
    <n v="0"/>
    <n v="0"/>
    <x v="0"/>
    <n v="0"/>
    <s v="MMR001CMP194"/>
    <x v="2"/>
    <x v="2"/>
    <x v="2"/>
    <n v="0"/>
    <s v="No"/>
    <m/>
  </r>
  <r>
    <n v="12.166666666666666"/>
    <d v="2015-07-21T00:00:00"/>
    <x v="0"/>
    <s v="KBC"/>
    <s v="Kachin"/>
    <s v="Sumprabum"/>
    <s v="Sumprabum"/>
    <m/>
    <m/>
    <m/>
    <m/>
    <n v="250"/>
    <m/>
    <m/>
    <m/>
    <m/>
    <m/>
    <m/>
    <m/>
    <m/>
    <m/>
    <m/>
    <m/>
    <m/>
    <n v="0"/>
    <n v="0"/>
    <n v="0"/>
    <n v="0"/>
    <n v="0"/>
    <n v="0"/>
    <n v="0"/>
    <n v="0"/>
    <n v="0"/>
    <n v="0"/>
    <n v="0"/>
    <n v="0"/>
    <n v="0"/>
    <n v="0"/>
    <x v="0"/>
    <n v="0"/>
    <s v="MMR001CMP206"/>
    <x v="2"/>
    <x v="1"/>
    <x v="2"/>
    <n v="0"/>
    <s v="No"/>
    <s v="Updated on 2/Dec/2015. Data source: mail by Win Aung Htun_x000a_Updated on 11/Nov/2015. Added jerry can data. Data source: mail by Win Aung Htun_x000a_Updated on 29/Sep/2015. _x000a_Data Source: Lu Lu Awng and Win Aung Tun"/>
  </r>
  <r>
    <n v="13.733333333333333"/>
    <d v="2015-06-04T00:00:00"/>
    <x v="0"/>
    <s v="KBC"/>
    <s v="Kachin"/>
    <s v="Bhamo"/>
    <s v="Hpankha kone camp"/>
    <m/>
    <m/>
    <m/>
    <m/>
    <n v="37"/>
    <m/>
    <m/>
    <m/>
    <m/>
    <m/>
    <m/>
    <m/>
    <m/>
    <m/>
    <m/>
    <m/>
    <m/>
    <n v="0"/>
    <n v="0"/>
    <n v="0"/>
    <n v="0"/>
    <n v="0"/>
    <n v="0"/>
    <n v="0"/>
    <n v="0"/>
    <n v="0"/>
    <n v="0"/>
    <n v="0"/>
    <n v="0"/>
    <n v="0"/>
    <n v="0"/>
    <x v="0"/>
    <n v="0"/>
    <s v=""/>
    <x v="0"/>
    <x v="0"/>
    <x v="0"/>
    <s v=""/>
    <s v="No"/>
    <m/>
  </r>
  <r>
    <n v="13.733333333333333"/>
    <d v="2015-06-04T00:00:00"/>
    <x v="0"/>
    <s v="KBC"/>
    <s v="Kachin"/>
    <s v="Momauk"/>
    <s v="Loi Je Lisu Camp"/>
    <m/>
    <m/>
    <m/>
    <m/>
    <n v="88"/>
    <n v="27"/>
    <n v="9"/>
    <m/>
    <n v="9"/>
    <n v="48"/>
    <m/>
    <m/>
    <m/>
    <m/>
    <n v="9"/>
    <m/>
    <m/>
    <n v="0"/>
    <n v="0"/>
    <n v="0"/>
    <n v="0"/>
    <n v="0"/>
    <n v="0"/>
    <n v="0"/>
    <n v="0"/>
    <n v="0"/>
    <n v="0"/>
    <n v="0"/>
    <n v="0"/>
    <n v="0"/>
    <n v="0"/>
    <x v="0"/>
    <n v="0"/>
    <s v="MMR001CMP070"/>
    <x v="2"/>
    <x v="1"/>
    <x v="4"/>
    <n v="4.736842105263158E-2"/>
    <s v="No"/>
    <m/>
  </r>
  <r>
    <n v="32.866666666666667"/>
    <d v="2013-11-07T00:00:00"/>
    <x v="5"/>
    <s v="Solidarities"/>
    <s v="Kachin"/>
    <s v="Bhamo"/>
    <s v="Aung Thar Church"/>
    <m/>
    <m/>
    <m/>
    <m/>
    <m/>
    <m/>
    <m/>
    <m/>
    <m/>
    <m/>
    <n v="25"/>
    <n v="73"/>
    <n v="196"/>
    <n v="98"/>
    <m/>
    <m/>
    <m/>
    <n v="0"/>
    <n v="0"/>
    <n v="0"/>
    <n v="0"/>
    <n v="0"/>
    <n v="0"/>
    <n v="0"/>
    <n v="0"/>
    <n v="0"/>
    <n v="0"/>
    <n v="0"/>
    <n v="0"/>
    <n v="0"/>
    <n v="0"/>
    <x v="1"/>
    <n v="0"/>
    <s v="MMR001CMP194"/>
    <x v="2"/>
    <x v="2"/>
    <x v="2"/>
    <n v="0"/>
    <m/>
    <m/>
  </r>
  <r>
    <n v="13.733333333333333"/>
    <d v="2015-06-04T00:00:00"/>
    <x v="0"/>
    <s v="KBC"/>
    <s v="Kachin"/>
    <s v="Momauk"/>
    <s v="Loije Seng Ja "/>
    <m/>
    <m/>
    <m/>
    <n v="18"/>
    <n v="35"/>
    <m/>
    <m/>
    <m/>
    <m/>
    <m/>
    <m/>
    <m/>
    <m/>
    <m/>
    <m/>
    <m/>
    <n v="8"/>
    <n v="0"/>
    <n v="0"/>
    <n v="0"/>
    <n v="0"/>
    <n v="0"/>
    <n v="0"/>
    <n v="0"/>
    <n v="0"/>
    <n v="0"/>
    <n v="0"/>
    <n v="0"/>
    <n v="0"/>
    <n v="0"/>
    <n v="0"/>
    <x v="0"/>
    <n v="0"/>
    <s v=""/>
    <x v="0"/>
    <x v="0"/>
    <x v="0"/>
    <s v=""/>
    <s v="No"/>
    <m/>
  </r>
  <r>
    <n v="13.733333333333333"/>
    <d v="2015-06-04T00:00:00"/>
    <x v="0"/>
    <s v="KBC"/>
    <s v="Kachin"/>
    <s v="Momauk"/>
    <s v="Momauk Baptist Church"/>
    <m/>
    <m/>
    <m/>
    <m/>
    <n v="80"/>
    <m/>
    <m/>
    <m/>
    <m/>
    <m/>
    <m/>
    <m/>
    <m/>
    <m/>
    <m/>
    <m/>
    <m/>
    <n v="0"/>
    <n v="0"/>
    <n v="0"/>
    <n v="0"/>
    <n v="0"/>
    <n v="0"/>
    <n v="0"/>
    <n v="0"/>
    <n v="0"/>
    <n v="0"/>
    <n v="0"/>
    <n v="0"/>
    <n v="0"/>
    <n v="0"/>
    <x v="0"/>
    <n v="0"/>
    <s v="MMR001CMP056"/>
    <x v="2"/>
    <x v="1"/>
    <x v="2"/>
    <n v="0"/>
    <s v="No"/>
    <m/>
  </r>
  <r>
    <n v="13.766666666666667"/>
    <d v="2015-06-03T00:00:00"/>
    <x v="0"/>
    <s v="KBC"/>
    <s v="Kachin"/>
    <s v="Mansi"/>
    <s v="Mai hkawng Camp"/>
    <m/>
    <m/>
    <m/>
    <n v="6"/>
    <n v="12"/>
    <n v="24"/>
    <n v="3"/>
    <m/>
    <n v="3"/>
    <n v="9"/>
    <m/>
    <m/>
    <m/>
    <m/>
    <n v="3"/>
    <m/>
    <m/>
    <n v="0"/>
    <n v="0"/>
    <n v="0"/>
    <n v="0"/>
    <n v="0"/>
    <n v="0"/>
    <n v="0"/>
    <n v="0"/>
    <n v="0"/>
    <n v="0"/>
    <n v="0"/>
    <n v="0"/>
    <n v="0"/>
    <n v="0"/>
    <x v="0"/>
    <n v="0"/>
    <s v=""/>
    <x v="0"/>
    <x v="0"/>
    <x v="0"/>
    <s v=""/>
    <s v="No"/>
    <m/>
  </r>
  <r>
    <n v="43.233333333333334"/>
    <d v="2012-12-31T00:00:00"/>
    <x v="3"/>
    <s v="DRC"/>
    <s v="Kachin"/>
    <s v="Hpakant"/>
    <s v="Aye Mya Tharyar Church of Christ "/>
    <n v="16"/>
    <m/>
    <m/>
    <m/>
    <m/>
    <m/>
    <m/>
    <m/>
    <n v="0"/>
    <n v="0"/>
    <m/>
    <m/>
    <m/>
    <m/>
    <m/>
    <m/>
    <m/>
    <n v="0"/>
    <n v="0"/>
    <n v="0"/>
    <n v="0"/>
    <n v="0"/>
    <n v="0"/>
    <n v="0"/>
    <n v="0"/>
    <n v="0"/>
    <n v="0"/>
    <n v="0"/>
    <n v="0"/>
    <n v="0"/>
    <n v="0"/>
    <x v="0"/>
    <n v="0"/>
    <s v="MMR001CMP092"/>
    <x v="2"/>
    <x v="2"/>
    <x v="0"/>
    <s v=""/>
    <s v="No"/>
    <m/>
  </r>
  <r>
    <n v="32.299999999999997"/>
    <d v="2013-11-24T00:00:00"/>
    <x v="5"/>
    <s v="Solidarities"/>
    <s v="Kachin"/>
    <s v="Mansi"/>
    <s v="Ban Hkung (School)"/>
    <m/>
    <m/>
    <m/>
    <m/>
    <m/>
    <m/>
    <m/>
    <m/>
    <m/>
    <m/>
    <n v="24"/>
    <n v="48"/>
    <n v="144"/>
    <n v="72"/>
    <m/>
    <m/>
    <m/>
    <n v="0"/>
    <n v="0"/>
    <n v="0"/>
    <n v="0"/>
    <n v="0"/>
    <n v="0"/>
    <n v="0"/>
    <n v="0"/>
    <n v="0"/>
    <n v="0"/>
    <n v="0"/>
    <n v="0"/>
    <n v="0"/>
    <n v="0"/>
    <x v="1"/>
    <n v="0"/>
    <s v="MMR001CMP215"/>
    <x v="2"/>
    <x v="2"/>
    <x v="0"/>
    <s v=""/>
    <m/>
    <m/>
  </r>
  <r>
    <n v="32.299999999999997"/>
    <d v="2013-11-24T00:00:00"/>
    <x v="5"/>
    <s v="Solidarities"/>
    <s v="Kachin"/>
    <s v="Mansi"/>
    <s v="Ban Hkung Yang (Boarding School)"/>
    <m/>
    <m/>
    <m/>
    <m/>
    <m/>
    <m/>
    <m/>
    <m/>
    <m/>
    <m/>
    <n v="135"/>
    <n v="270"/>
    <n v="810"/>
    <n v="405"/>
    <m/>
    <m/>
    <m/>
    <n v="0"/>
    <n v="0"/>
    <n v="0"/>
    <n v="0"/>
    <n v="0"/>
    <n v="0"/>
    <n v="0"/>
    <n v="0"/>
    <n v="0"/>
    <n v="0"/>
    <n v="0"/>
    <n v="0"/>
    <n v="0"/>
    <n v="0"/>
    <x v="1"/>
    <n v="0"/>
    <s v="MMR001CMP214"/>
    <x v="2"/>
    <x v="2"/>
    <x v="0"/>
    <s v=""/>
    <m/>
    <m/>
  </r>
  <r>
    <n v="14.466666666666667"/>
    <d v="2015-05-13T00:00:00"/>
    <x v="0"/>
    <s v="KMSS-BMO"/>
    <s v="Kachin"/>
    <s v="Momauk"/>
    <s v="Man Bung Catholic compound"/>
    <m/>
    <m/>
    <m/>
    <m/>
    <m/>
    <n v="28"/>
    <m/>
    <m/>
    <m/>
    <m/>
    <m/>
    <m/>
    <m/>
    <m/>
    <m/>
    <m/>
    <m/>
    <n v="0"/>
    <n v="0"/>
    <n v="0"/>
    <n v="0"/>
    <n v="0"/>
    <n v="0"/>
    <n v="0"/>
    <n v="0"/>
    <n v="0"/>
    <n v="0"/>
    <n v="0"/>
    <n v="0"/>
    <n v="0"/>
    <n v="0"/>
    <x v="0"/>
    <n v="0"/>
    <s v="MMR001CMP062"/>
    <x v="2"/>
    <x v="1"/>
    <x v="2"/>
    <n v="0"/>
    <s v="No"/>
    <m/>
  </r>
  <r>
    <n v="21.133333333333333"/>
    <d v="2014-10-25T00:00:00"/>
    <x v="1"/>
    <s v="MRCS"/>
    <s v="Kachin"/>
    <s v="Hpakant"/>
    <s v="Baptist Church, Hmaw Si Sar(Lon Khin)"/>
    <m/>
    <m/>
    <m/>
    <m/>
    <m/>
    <m/>
    <m/>
    <m/>
    <m/>
    <m/>
    <n v="123"/>
    <n v="104"/>
    <m/>
    <m/>
    <m/>
    <m/>
    <m/>
    <n v="0"/>
    <n v="0"/>
    <n v="0"/>
    <n v="0"/>
    <n v="0"/>
    <n v="0"/>
    <n v="0"/>
    <n v="0"/>
    <n v="0"/>
    <n v="0"/>
    <n v="0"/>
    <n v="0"/>
    <n v="0"/>
    <n v="0"/>
    <x v="1"/>
    <n v="0"/>
    <s v="MMR001CMP169"/>
    <x v="2"/>
    <x v="1"/>
    <x v="2"/>
    <n v="0"/>
    <m/>
    <m/>
  </r>
  <r>
    <n v="42.06666666666667"/>
    <d v="2013-02-04T00:00:00"/>
    <x v="2"/>
    <s v="MRCS"/>
    <s v="Kachin"/>
    <s v="Hpakant"/>
    <s v="Baptist Church, Hmaw Si Sar(Lon Khin)"/>
    <m/>
    <m/>
    <m/>
    <m/>
    <m/>
    <m/>
    <n v="106"/>
    <m/>
    <n v="0"/>
    <n v="0"/>
    <m/>
    <m/>
    <m/>
    <m/>
    <m/>
    <m/>
    <m/>
    <n v="0"/>
    <n v="0"/>
    <n v="0"/>
    <n v="0"/>
    <n v="0"/>
    <n v="0"/>
    <n v="0"/>
    <n v="0"/>
    <n v="0"/>
    <n v="0"/>
    <n v="0"/>
    <n v="0"/>
    <n v="0"/>
    <n v="0"/>
    <x v="0"/>
    <n v="0"/>
    <s v="MMR001CMP169"/>
    <x v="2"/>
    <x v="1"/>
    <x v="2"/>
    <n v="3.0285714285714285"/>
    <s v="No"/>
    <m/>
  </r>
  <r>
    <n v="43.233333333333334"/>
    <d v="2012-12-31T00:00:00"/>
    <x v="3"/>
    <s v="DRC"/>
    <s v="Kachin"/>
    <s v="Hpakant"/>
    <s v="Baptist Church, Hmaw Si Sar(Lon Khin)"/>
    <n v="20"/>
    <m/>
    <m/>
    <m/>
    <m/>
    <m/>
    <m/>
    <m/>
    <n v="0"/>
    <n v="0"/>
    <m/>
    <m/>
    <m/>
    <m/>
    <m/>
    <m/>
    <m/>
    <n v="0"/>
    <n v="0"/>
    <n v="0"/>
    <n v="0"/>
    <n v="0"/>
    <n v="0"/>
    <n v="0"/>
    <n v="0"/>
    <n v="0"/>
    <n v="0"/>
    <n v="0"/>
    <n v="0"/>
    <n v="0"/>
    <n v="0"/>
    <x v="0"/>
    <n v="0"/>
    <s v="MMR001CMP169"/>
    <x v="2"/>
    <x v="1"/>
    <x v="2"/>
    <n v="0"/>
    <s v="No"/>
    <m/>
  </r>
  <r>
    <n v="15.1"/>
    <d v="2015-04-24T00:00:00"/>
    <x v="0"/>
    <s v="KBC"/>
    <s v="Kachin"/>
    <s v="Momauk"/>
    <s v="Loi Je Lisu Camp"/>
    <m/>
    <m/>
    <m/>
    <m/>
    <m/>
    <m/>
    <m/>
    <m/>
    <n v="9"/>
    <m/>
    <m/>
    <m/>
    <m/>
    <m/>
    <m/>
    <m/>
    <m/>
    <n v="0"/>
    <n v="0"/>
    <n v="0"/>
    <n v="0"/>
    <n v="0"/>
    <n v="0"/>
    <n v="0"/>
    <n v="0"/>
    <n v="0"/>
    <n v="0"/>
    <n v="0"/>
    <n v="0"/>
    <n v="0"/>
    <n v="0"/>
    <x v="0"/>
    <n v="0"/>
    <s v="MMR001CMP070"/>
    <x v="2"/>
    <x v="1"/>
    <x v="4"/>
    <n v="0"/>
    <s v="No"/>
    <m/>
  </r>
  <r>
    <n v="21.133333333333333"/>
    <d v="2014-10-25T00:00:00"/>
    <x v="1"/>
    <s v="MRCS"/>
    <s v="Kachin"/>
    <s v="Hpakant"/>
    <s v="Baptist Church, Naung Hmee VT"/>
    <m/>
    <m/>
    <m/>
    <m/>
    <m/>
    <m/>
    <m/>
    <m/>
    <m/>
    <m/>
    <n v="48"/>
    <n v="30"/>
    <m/>
    <m/>
    <m/>
    <m/>
    <m/>
    <n v="0"/>
    <n v="0"/>
    <n v="0"/>
    <n v="0"/>
    <n v="0"/>
    <n v="0"/>
    <n v="0"/>
    <n v="0"/>
    <n v="0"/>
    <n v="0"/>
    <n v="0"/>
    <n v="0"/>
    <n v="0"/>
    <n v="0"/>
    <x v="1"/>
    <n v="0"/>
    <s v="MMR001CMP188"/>
    <x v="2"/>
    <x v="2"/>
    <x v="2"/>
    <s v=""/>
    <m/>
    <m/>
  </r>
  <r>
    <n v="15.1"/>
    <d v="2015-04-24T00:00:00"/>
    <x v="0"/>
    <s v="KBC"/>
    <s v="Kachin"/>
    <s v="Momauk"/>
    <s v="Loi Je Seng Ja Camp thru Mission"/>
    <m/>
    <m/>
    <m/>
    <n v="36"/>
    <n v="18"/>
    <n v="90"/>
    <n v="18"/>
    <m/>
    <m/>
    <n v="90"/>
    <m/>
    <m/>
    <m/>
    <m/>
    <n v="18"/>
    <m/>
    <m/>
    <n v="0"/>
    <n v="0"/>
    <n v="0"/>
    <n v="0"/>
    <n v="0"/>
    <n v="0"/>
    <n v="0"/>
    <n v="0"/>
    <n v="0"/>
    <n v="0"/>
    <n v="0"/>
    <n v="0"/>
    <n v="0"/>
    <n v="0"/>
    <x v="0"/>
    <n v="0"/>
    <s v=""/>
    <x v="0"/>
    <x v="0"/>
    <x v="0"/>
    <s v=""/>
    <s v="No"/>
    <m/>
  </r>
  <r>
    <n v="27.866666666666667"/>
    <d v="2014-04-06T00:00:00"/>
    <x v="6"/>
    <s v="MRCS"/>
    <s v="Kachin"/>
    <s v="Hpakant"/>
    <s v="Baptist Church, Naung Hmee VT"/>
    <m/>
    <m/>
    <m/>
    <m/>
    <m/>
    <m/>
    <m/>
    <m/>
    <m/>
    <m/>
    <m/>
    <m/>
    <m/>
    <n v="30"/>
    <m/>
    <m/>
    <m/>
    <n v="0"/>
    <n v="0"/>
    <n v="0"/>
    <n v="0"/>
    <n v="0"/>
    <n v="0"/>
    <n v="0"/>
    <n v="0"/>
    <n v="0"/>
    <n v="0"/>
    <n v="0"/>
    <n v="0"/>
    <n v="0"/>
    <n v="0"/>
    <x v="1"/>
    <n v="0"/>
    <s v="MMR001CMP188"/>
    <x v="2"/>
    <x v="2"/>
    <x v="2"/>
    <s v=""/>
    <m/>
    <m/>
  </r>
  <r>
    <n v="15.366666666666667"/>
    <d v="2015-04-16T00:00:00"/>
    <x v="0"/>
    <s v="KMSS-LSO"/>
    <s v="Shan_North"/>
    <s v="Kutkai"/>
    <s v="Kut Kai camp"/>
    <m/>
    <m/>
    <m/>
    <m/>
    <m/>
    <m/>
    <m/>
    <m/>
    <m/>
    <n v="69"/>
    <m/>
    <m/>
    <m/>
    <m/>
    <m/>
    <m/>
    <m/>
    <n v="0"/>
    <n v="0"/>
    <n v="0"/>
    <n v="0"/>
    <n v="0"/>
    <n v="0"/>
    <n v="0"/>
    <n v="0"/>
    <n v="0"/>
    <n v="0"/>
    <n v="0"/>
    <n v="0"/>
    <n v="0"/>
    <n v="0"/>
    <x v="0"/>
    <n v="0"/>
    <s v=""/>
    <x v="0"/>
    <x v="0"/>
    <x v="0"/>
    <s v=""/>
    <s v="No"/>
    <m/>
  </r>
  <r>
    <n v="42.2"/>
    <d v="2013-01-31T00:00:00"/>
    <x v="7"/>
    <s v="World Vision"/>
    <s v="Kachin"/>
    <s v="Hpakant"/>
    <s v="Baptist Church, Naung Hmee VT"/>
    <m/>
    <m/>
    <m/>
    <m/>
    <m/>
    <n v="26"/>
    <m/>
    <m/>
    <n v="0"/>
    <n v="0"/>
    <m/>
    <m/>
    <m/>
    <m/>
    <m/>
    <m/>
    <m/>
    <n v="0"/>
    <n v="0"/>
    <n v="0"/>
    <n v="0"/>
    <n v="0"/>
    <n v="0"/>
    <n v="0"/>
    <n v="0"/>
    <n v="0"/>
    <n v="0"/>
    <n v="0"/>
    <n v="0"/>
    <n v="0"/>
    <n v="0"/>
    <x v="0"/>
    <n v="0"/>
    <s v="MMR001CMP188"/>
    <x v="2"/>
    <x v="2"/>
    <x v="2"/>
    <s v=""/>
    <s v="No"/>
    <m/>
  </r>
  <r>
    <n v="43.233333333333334"/>
    <d v="2012-12-31T00:00:00"/>
    <x v="3"/>
    <s v="DRC"/>
    <s v="Kachin"/>
    <s v="Hpakant"/>
    <s v="Baptist Church, Sai Ra village"/>
    <n v="3"/>
    <m/>
    <m/>
    <m/>
    <m/>
    <m/>
    <m/>
    <m/>
    <n v="0"/>
    <n v="0"/>
    <m/>
    <m/>
    <m/>
    <m/>
    <m/>
    <m/>
    <m/>
    <n v="0"/>
    <n v="0"/>
    <n v="0"/>
    <n v="0"/>
    <n v="0"/>
    <n v="0"/>
    <n v="0"/>
    <n v="0"/>
    <n v="0"/>
    <n v="0"/>
    <n v="0"/>
    <n v="0"/>
    <n v="0"/>
    <n v="0"/>
    <x v="0"/>
    <n v="0"/>
    <s v="MMR001CMP172"/>
    <x v="2"/>
    <x v="2"/>
    <x v="0"/>
    <s v=""/>
    <s v="No"/>
    <m/>
  </r>
  <r>
    <n v="15.633333333333333"/>
    <d v="2015-04-08T00:00:00"/>
    <x v="0"/>
    <s v="KBC"/>
    <s v="Kachin"/>
    <s v="Mansi"/>
    <s v="Mai hkawng Camp"/>
    <m/>
    <m/>
    <m/>
    <n v="8"/>
    <n v="4"/>
    <m/>
    <n v="4"/>
    <m/>
    <n v="4"/>
    <m/>
    <m/>
    <m/>
    <m/>
    <m/>
    <m/>
    <m/>
    <m/>
    <n v="0"/>
    <n v="0"/>
    <n v="0"/>
    <n v="0"/>
    <n v="0"/>
    <n v="0"/>
    <n v="0"/>
    <n v="0"/>
    <n v="0"/>
    <n v="0"/>
    <n v="0"/>
    <n v="0"/>
    <n v="0"/>
    <n v="0"/>
    <x v="0"/>
    <n v="0"/>
    <s v=""/>
    <x v="0"/>
    <x v="0"/>
    <x v="0"/>
    <s v=""/>
    <s v="No"/>
    <m/>
  </r>
  <r>
    <n v="15.8"/>
    <d v="2015-04-03T00:00:00"/>
    <x v="0"/>
    <s v="Shalom-BM"/>
    <s v="Kachin"/>
    <s v="Bhamo"/>
    <s v="Lisu Baptist Church"/>
    <m/>
    <m/>
    <m/>
    <m/>
    <m/>
    <n v="15"/>
    <m/>
    <m/>
    <n v="26"/>
    <n v="720"/>
    <m/>
    <m/>
    <m/>
    <m/>
    <n v="26"/>
    <m/>
    <m/>
    <n v="0"/>
    <n v="0"/>
    <n v="0"/>
    <n v="0"/>
    <n v="0"/>
    <n v="0"/>
    <n v="0"/>
    <n v="0"/>
    <n v="0"/>
    <n v="0"/>
    <n v="0"/>
    <n v="0"/>
    <n v="0"/>
    <n v="0"/>
    <x v="0"/>
    <n v="0"/>
    <s v=""/>
    <x v="0"/>
    <x v="0"/>
    <x v="0"/>
    <s v=""/>
    <s v="No"/>
    <m/>
  </r>
  <r>
    <n v="30.6"/>
    <d v="2014-01-14T00:00:00"/>
    <x v="3"/>
    <s v="KMSS"/>
    <s v="Kachin"/>
    <s v="Waingmaw"/>
    <s v="Border Post 8"/>
    <m/>
    <m/>
    <m/>
    <m/>
    <m/>
    <m/>
    <m/>
    <n v="180"/>
    <m/>
    <m/>
    <m/>
    <m/>
    <m/>
    <m/>
    <m/>
    <m/>
    <m/>
    <n v="0"/>
    <n v="0"/>
    <n v="0"/>
    <n v="0"/>
    <n v="0"/>
    <n v="0"/>
    <n v="0"/>
    <n v="0"/>
    <n v="0"/>
    <n v="0"/>
    <n v="0"/>
    <n v="0"/>
    <n v="0"/>
    <n v="0"/>
    <x v="0"/>
    <n v="0"/>
    <s v="MMR001CMP113"/>
    <x v="2"/>
    <x v="1"/>
    <x v="3"/>
    <n v="0"/>
    <s v="No"/>
    <m/>
  </r>
  <r>
    <n v="30.6"/>
    <d v="2014-01-14T00:00:00"/>
    <x v="3"/>
    <s v="KMSS"/>
    <s v="Kachin"/>
    <s v="Waingmaw"/>
    <s v="Border Post 8"/>
    <m/>
    <m/>
    <m/>
    <m/>
    <m/>
    <m/>
    <m/>
    <m/>
    <m/>
    <m/>
    <n v="501"/>
    <n v="335"/>
    <m/>
    <m/>
    <m/>
    <m/>
    <m/>
    <n v="0"/>
    <n v="0"/>
    <n v="0"/>
    <n v="0"/>
    <n v="0"/>
    <n v="0"/>
    <n v="0"/>
    <n v="0"/>
    <n v="0"/>
    <n v="0"/>
    <n v="0"/>
    <n v="0"/>
    <n v="0"/>
    <n v="0"/>
    <x v="1"/>
    <n v="0"/>
    <s v="MMR001CMP113"/>
    <x v="2"/>
    <x v="1"/>
    <x v="3"/>
    <n v="0"/>
    <s v="No"/>
    <m/>
  </r>
  <r>
    <n v="32"/>
    <d v="2013-12-03T00:00:00"/>
    <x v="5"/>
    <s v="KBC"/>
    <s v="Kachin"/>
    <s v="Waingmaw"/>
    <s v="Border Post 8"/>
    <m/>
    <m/>
    <m/>
    <m/>
    <m/>
    <m/>
    <m/>
    <m/>
    <m/>
    <m/>
    <n v="181"/>
    <n v="362"/>
    <n v="1086"/>
    <n v="543"/>
    <m/>
    <m/>
    <m/>
    <n v="0"/>
    <n v="0"/>
    <n v="0"/>
    <n v="0"/>
    <n v="0"/>
    <n v="0"/>
    <n v="0"/>
    <n v="0"/>
    <n v="0"/>
    <n v="0"/>
    <n v="0"/>
    <n v="0"/>
    <n v="0"/>
    <n v="0"/>
    <x v="1"/>
    <n v="0"/>
    <s v="MMR001CMP113"/>
    <x v="2"/>
    <x v="1"/>
    <x v="3"/>
    <n v="0"/>
    <m/>
    <m/>
  </r>
  <r>
    <n v="32.1"/>
    <d v="2013-11-30T00:00:00"/>
    <x v="5"/>
    <s v="KBC"/>
    <s v="Kachin"/>
    <s v="Waingmaw"/>
    <s v="Border Post 8"/>
    <m/>
    <m/>
    <m/>
    <m/>
    <m/>
    <m/>
    <m/>
    <m/>
    <m/>
    <m/>
    <m/>
    <m/>
    <m/>
    <m/>
    <m/>
    <m/>
    <m/>
    <n v="0"/>
    <n v="0"/>
    <n v="0"/>
    <n v="0"/>
    <n v="0"/>
    <n v="0"/>
    <n v="0"/>
    <n v="0"/>
    <n v="0"/>
    <n v="0"/>
    <n v="0"/>
    <n v="0"/>
    <n v="0"/>
    <n v="0"/>
    <x v="0"/>
    <n v="0"/>
    <s v="MMR001CMP113"/>
    <x v="2"/>
    <x v="1"/>
    <x v="3"/>
    <n v="0"/>
    <s v="No"/>
    <m/>
  </r>
  <r>
    <n v="32.333333333333336"/>
    <d v="2013-11-23T00:00:00"/>
    <x v="3"/>
    <m/>
    <s v="Kachin"/>
    <s v="Waingmaw"/>
    <s v="Border Post 8"/>
    <m/>
    <m/>
    <m/>
    <m/>
    <m/>
    <n v="358"/>
    <m/>
    <m/>
    <m/>
    <m/>
    <m/>
    <m/>
    <m/>
    <m/>
    <m/>
    <m/>
    <m/>
    <n v="0"/>
    <n v="0"/>
    <n v="0"/>
    <n v="0"/>
    <n v="0"/>
    <n v="0"/>
    <n v="0"/>
    <n v="0"/>
    <n v="0"/>
    <n v="0"/>
    <n v="0"/>
    <n v="0"/>
    <n v="0"/>
    <n v="0"/>
    <x v="0"/>
    <n v="0"/>
    <s v="MMR001CMP113"/>
    <x v="2"/>
    <x v="1"/>
    <x v="3"/>
    <n v="0"/>
    <s v="No"/>
    <m/>
  </r>
  <r>
    <n v="38.766666666666666"/>
    <d v="2013-05-14T00:00:00"/>
    <x v="8"/>
    <s v="KMSS"/>
    <s v="Kachin"/>
    <s v="Waingmaw"/>
    <s v="Border Post 8"/>
    <n v="604"/>
    <m/>
    <m/>
    <m/>
    <m/>
    <m/>
    <m/>
    <m/>
    <m/>
    <m/>
    <m/>
    <m/>
    <m/>
    <m/>
    <m/>
    <m/>
    <m/>
    <n v="0"/>
    <n v="0"/>
    <n v="0"/>
    <n v="0"/>
    <n v="0"/>
    <n v="0"/>
    <n v="0"/>
    <n v="0"/>
    <n v="0"/>
    <n v="0"/>
    <n v="0"/>
    <n v="0"/>
    <n v="0"/>
    <n v="0"/>
    <x v="0"/>
    <n v="0"/>
    <s v="MMR001CMP113"/>
    <x v="2"/>
    <x v="1"/>
    <x v="3"/>
    <n v="0"/>
    <s v="No"/>
    <m/>
  </r>
  <r>
    <n v="15.8"/>
    <d v="2015-04-03T00:00:00"/>
    <x v="0"/>
    <s v="Shalom"/>
    <s v="Kachin"/>
    <s v="Momauk"/>
    <s v="Mandalay Monestry"/>
    <m/>
    <m/>
    <m/>
    <m/>
    <m/>
    <m/>
    <m/>
    <m/>
    <m/>
    <m/>
    <m/>
    <m/>
    <m/>
    <m/>
    <m/>
    <m/>
    <m/>
    <n v="0"/>
    <n v="0"/>
    <n v="0"/>
    <n v="0"/>
    <n v="0"/>
    <n v="0"/>
    <n v="0"/>
    <n v="0"/>
    <n v="0"/>
    <n v="0"/>
    <n v="0"/>
    <n v="0"/>
    <n v="0"/>
    <n v="0"/>
    <x v="0"/>
    <n v="0"/>
    <s v="MMR001CMP058"/>
    <x v="2"/>
    <x v="2"/>
    <x v="2"/>
    <s v=""/>
    <s v="No"/>
    <m/>
  </r>
  <r>
    <n v="15.8"/>
    <d v="2015-04-03T00:00:00"/>
    <x v="0"/>
    <s v="Shalom-BM"/>
    <s v="Kachin"/>
    <s v="Bhamo"/>
    <s v="Mu-yin Baptist Church"/>
    <m/>
    <m/>
    <m/>
    <m/>
    <n v="3"/>
    <n v="53"/>
    <m/>
    <m/>
    <n v="3"/>
    <n v="11"/>
    <m/>
    <m/>
    <m/>
    <m/>
    <n v="3"/>
    <m/>
    <m/>
    <n v="0"/>
    <n v="0"/>
    <n v="0"/>
    <n v="0"/>
    <n v="0"/>
    <n v="0"/>
    <n v="0"/>
    <n v="0"/>
    <n v="0"/>
    <n v="0"/>
    <n v="0"/>
    <n v="0"/>
    <n v="0"/>
    <n v="0"/>
    <x v="0"/>
    <n v="0"/>
    <s v="MMR001CMP051"/>
    <x v="2"/>
    <x v="1"/>
    <x v="2"/>
    <n v="0"/>
    <s v="No"/>
    <m/>
  </r>
  <r>
    <n v="15.8"/>
    <d v="2015-04-03T00:00:00"/>
    <x v="0"/>
    <s v="UNHCR"/>
    <s v="Kachin"/>
    <s v="Momauk"/>
    <s v="Nhkawng Pa "/>
    <m/>
    <m/>
    <m/>
    <m/>
    <m/>
    <m/>
    <m/>
    <m/>
    <m/>
    <m/>
    <m/>
    <m/>
    <m/>
    <m/>
    <n v="405"/>
    <m/>
    <m/>
    <n v="0"/>
    <n v="0"/>
    <n v="0"/>
    <n v="0"/>
    <n v="0"/>
    <n v="0"/>
    <n v="0"/>
    <n v="0"/>
    <n v="0"/>
    <n v="0"/>
    <n v="0"/>
    <n v="0"/>
    <n v="0"/>
    <n v="0"/>
    <x v="0"/>
    <n v="0"/>
    <s v="MMR001CMP131"/>
    <x v="2"/>
    <x v="1"/>
    <x v="3"/>
    <n v="0"/>
    <s v="No"/>
    <m/>
  </r>
  <r>
    <n v="30.266666666666666"/>
    <d v="2014-01-24T00:00:00"/>
    <x v="3"/>
    <m/>
    <s v="Kachin"/>
    <s v="Mansi"/>
    <s v="Bum Tsit Pa "/>
    <m/>
    <m/>
    <m/>
    <m/>
    <m/>
    <m/>
    <m/>
    <m/>
    <m/>
    <m/>
    <m/>
    <n v="838"/>
    <m/>
    <m/>
    <m/>
    <m/>
    <m/>
    <n v="0"/>
    <n v="0"/>
    <n v="0"/>
    <n v="0"/>
    <n v="0"/>
    <n v="0"/>
    <n v="0"/>
    <n v="0"/>
    <n v="0"/>
    <n v="0"/>
    <n v="0"/>
    <n v="0"/>
    <n v="0"/>
    <n v="0"/>
    <x v="1"/>
    <n v="0"/>
    <s v="MMR001CMP129"/>
    <x v="2"/>
    <x v="1"/>
    <x v="5"/>
    <n v="0"/>
    <s v="No"/>
    <m/>
  </r>
  <r>
    <n v="15.8"/>
    <d v="2015-04-03T00:00:00"/>
    <x v="0"/>
    <s v="Shalom"/>
    <s v="Kachin"/>
    <s v="Momauk"/>
    <s v="Ni Thaw Ka Monestry"/>
    <m/>
    <m/>
    <m/>
    <n v="105"/>
    <n v="26"/>
    <n v="308"/>
    <n v="29"/>
    <m/>
    <m/>
    <n v="69"/>
    <m/>
    <m/>
    <m/>
    <m/>
    <m/>
    <m/>
    <m/>
    <n v="0"/>
    <n v="0"/>
    <n v="0"/>
    <n v="0"/>
    <n v="0"/>
    <n v="0"/>
    <n v="0"/>
    <n v="0"/>
    <n v="0"/>
    <n v="0"/>
    <n v="0"/>
    <n v="0"/>
    <n v="0"/>
    <n v="0"/>
    <x v="0"/>
    <n v="0"/>
    <s v="MMR001CMP059"/>
    <x v="2"/>
    <x v="2"/>
    <x v="2"/>
    <s v=""/>
    <s v="No"/>
    <m/>
  </r>
  <r>
    <n v="31.733333333333334"/>
    <d v="2013-12-11T00:00:00"/>
    <x v="9"/>
    <s v="WPN"/>
    <s v="Kachin"/>
    <s v="Mansi"/>
    <s v="Bum Tsit Pa "/>
    <m/>
    <m/>
    <m/>
    <m/>
    <m/>
    <n v="278"/>
    <m/>
    <m/>
    <m/>
    <m/>
    <m/>
    <m/>
    <m/>
    <m/>
    <m/>
    <m/>
    <m/>
    <n v="0"/>
    <n v="0"/>
    <n v="0"/>
    <n v="0"/>
    <n v="0"/>
    <n v="0"/>
    <n v="0"/>
    <n v="0"/>
    <n v="0"/>
    <n v="0"/>
    <n v="0"/>
    <n v="0"/>
    <n v="0"/>
    <n v="0"/>
    <x v="0"/>
    <n v="0"/>
    <s v="MMR001CMP129"/>
    <x v="2"/>
    <x v="1"/>
    <x v="5"/>
    <n v="0"/>
    <s v="No"/>
    <m/>
  </r>
  <r>
    <n v="31.733333333333334"/>
    <d v="2013-12-11T00:00:00"/>
    <x v="9"/>
    <s v="WPN"/>
    <s v="Kachin"/>
    <s v="Mansi"/>
    <s v="Bum Tsit Pa "/>
    <m/>
    <m/>
    <m/>
    <m/>
    <m/>
    <n v="174"/>
    <m/>
    <m/>
    <m/>
    <m/>
    <m/>
    <m/>
    <m/>
    <m/>
    <m/>
    <m/>
    <m/>
    <n v="0"/>
    <n v="0"/>
    <n v="0"/>
    <n v="0"/>
    <n v="0"/>
    <n v="0"/>
    <n v="0"/>
    <n v="0"/>
    <n v="0"/>
    <n v="0"/>
    <n v="0"/>
    <n v="0"/>
    <n v="0"/>
    <n v="0"/>
    <x v="0"/>
    <n v="0"/>
    <s v="MMR001CMP129"/>
    <x v="2"/>
    <x v="1"/>
    <x v="5"/>
    <n v="0"/>
    <s v="No"/>
    <m/>
  </r>
  <r>
    <n v="32.1"/>
    <d v="2013-11-30T00:00:00"/>
    <x v="4"/>
    <s v="MDCG"/>
    <s v="Kachin"/>
    <s v="Mansi"/>
    <s v="Bum Tsit Pa "/>
    <m/>
    <m/>
    <m/>
    <m/>
    <m/>
    <n v="819"/>
    <m/>
    <m/>
    <m/>
    <m/>
    <n v="966"/>
    <n v="484"/>
    <n v="0"/>
    <m/>
    <m/>
    <m/>
    <m/>
    <n v="0"/>
    <n v="0"/>
    <n v="0"/>
    <n v="0"/>
    <n v="0"/>
    <n v="0"/>
    <n v="0"/>
    <n v="0"/>
    <n v="0"/>
    <n v="0"/>
    <n v="0"/>
    <n v="0"/>
    <n v="0"/>
    <n v="0"/>
    <x v="1"/>
    <n v="0"/>
    <s v="MMR001CMP129"/>
    <x v="2"/>
    <x v="1"/>
    <x v="5"/>
    <n v="0"/>
    <s v="No"/>
    <m/>
  </r>
  <r>
    <n v="32.1"/>
    <d v="2013-11-30T00:00:00"/>
    <x v="5"/>
    <s v="KBC"/>
    <s v="Kachin"/>
    <s v="Mansi"/>
    <s v="Bum Tsit Pa "/>
    <m/>
    <m/>
    <m/>
    <m/>
    <m/>
    <m/>
    <m/>
    <m/>
    <m/>
    <n v="321"/>
    <m/>
    <m/>
    <m/>
    <m/>
    <m/>
    <m/>
    <m/>
    <n v="0"/>
    <n v="0"/>
    <n v="0"/>
    <n v="0"/>
    <n v="0"/>
    <n v="0"/>
    <n v="0"/>
    <n v="0"/>
    <n v="0"/>
    <n v="0"/>
    <n v="0"/>
    <n v="0"/>
    <n v="0"/>
    <n v="0"/>
    <x v="0"/>
    <n v="0"/>
    <s v="MMR001CMP129"/>
    <x v="2"/>
    <x v="1"/>
    <x v="5"/>
    <n v="0"/>
    <s v="No"/>
    <m/>
  </r>
  <r>
    <n v="16"/>
    <d v="2015-03-28T00:00:00"/>
    <x v="0"/>
    <s v="KMSS-BMO"/>
    <s v="Kachin"/>
    <s v="Mansi"/>
    <s v="Bum Tsit Pa Camp III"/>
    <m/>
    <m/>
    <m/>
    <m/>
    <m/>
    <n v="704"/>
    <m/>
    <m/>
    <n v="9"/>
    <m/>
    <m/>
    <m/>
    <m/>
    <m/>
    <m/>
    <m/>
    <m/>
    <n v="0"/>
    <n v="0"/>
    <n v="0"/>
    <n v="0"/>
    <n v="0"/>
    <n v="0"/>
    <n v="0"/>
    <n v="0"/>
    <n v="0"/>
    <n v="0"/>
    <n v="0"/>
    <n v="0"/>
    <n v="0"/>
    <n v="0"/>
    <x v="0"/>
    <n v="0"/>
    <s v=""/>
    <x v="0"/>
    <x v="0"/>
    <x v="0"/>
    <s v=""/>
    <s v="No"/>
    <m/>
  </r>
  <r>
    <n v="16.033333333333335"/>
    <d v="2015-03-27T00:00:00"/>
    <x v="0"/>
    <s v="KMSS-BMO"/>
    <s v="Kachin"/>
    <s v="Mansi"/>
    <s v="Lana Zup Ja "/>
    <m/>
    <m/>
    <m/>
    <m/>
    <m/>
    <n v="357"/>
    <m/>
    <m/>
    <m/>
    <m/>
    <m/>
    <m/>
    <m/>
    <m/>
    <m/>
    <m/>
    <m/>
    <n v="0"/>
    <n v="0"/>
    <n v="0"/>
    <n v="0"/>
    <n v="0"/>
    <n v="0"/>
    <n v="0"/>
    <n v="0"/>
    <n v="0"/>
    <n v="0"/>
    <n v="0"/>
    <n v="0"/>
    <n v="0"/>
    <n v="0"/>
    <x v="0"/>
    <n v="0"/>
    <s v="MMR001CMP128"/>
    <x v="2"/>
    <x v="1"/>
    <x v="5"/>
    <n v="0"/>
    <s v="No"/>
    <m/>
  </r>
  <r>
    <n v="43.766666666666666"/>
    <d v="2012-12-15T00:00:00"/>
    <x v="5"/>
    <s v="KBC"/>
    <s v="Kachin"/>
    <s v="Mansi"/>
    <s v="Bum Tsit Pa "/>
    <n v="587"/>
    <m/>
    <m/>
    <m/>
    <m/>
    <m/>
    <m/>
    <m/>
    <n v="0"/>
    <n v="0"/>
    <m/>
    <m/>
    <m/>
    <m/>
    <m/>
    <m/>
    <m/>
    <n v="0"/>
    <n v="0"/>
    <n v="0"/>
    <n v="0"/>
    <n v="0"/>
    <n v="0"/>
    <n v="0"/>
    <n v="0"/>
    <n v="0"/>
    <n v="0"/>
    <n v="0"/>
    <n v="0"/>
    <n v="0"/>
    <n v="0"/>
    <x v="0"/>
    <n v="0"/>
    <s v="MMR001CMP129"/>
    <x v="2"/>
    <x v="1"/>
    <x v="5"/>
    <n v="0"/>
    <s v="No"/>
    <m/>
  </r>
  <r>
    <n v="16.100000000000001"/>
    <d v="2015-03-25T00:00:00"/>
    <x v="0"/>
    <s v="KMSS-BMO"/>
    <s v="Kachin"/>
    <s v="Mansi"/>
    <s v="Bum Tsit Pa Camp I"/>
    <m/>
    <m/>
    <m/>
    <m/>
    <m/>
    <n v="829"/>
    <m/>
    <m/>
    <m/>
    <m/>
    <m/>
    <m/>
    <m/>
    <m/>
    <m/>
    <m/>
    <m/>
    <n v="0"/>
    <n v="0"/>
    <n v="0"/>
    <n v="0"/>
    <n v="0"/>
    <n v="0"/>
    <n v="0"/>
    <n v="0"/>
    <n v="0"/>
    <n v="0"/>
    <n v="0"/>
    <n v="0"/>
    <n v="0"/>
    <n v="0"/>
    <x v="0"/>
    <n v="0"/>
    <s v=""/>
    <x v="0"/>
    <x v="0"/>
    <x v="0"/>
    <s v=""/>
    <s v="No"/>
    <m/>
  </r>
  <r>
    <n v="16.100000000000001"/>
    <d v="2015-03-25T00:00:00"/>
    <x v="0"/>
    <s v="UNHCR"/>
    <s v="Kachin"/>
    <s v="Mansi"/>
    <s v="Lana Zup Ja and Bumtsit pa (1) and (2)"/>
    <m/>
    <m/>
    <m/>
    <n v="1621"/>
    <m/>
    <m/>
    <m/>
    <m/>
    <m/>
    <m/>
    <m/>
    <m/>
    <m/>
    <m/>
    <m/>
    <m/>
    <m/>
    <n v="0"/>
    <n v="0"/>
    <n v="0"/>
    <n v="0"/>
    <n v="0"/>
    <n v="0"/>
    <n v="0"/>
    <n v="0"/>
    <n v="0"/>
    <n v="0"/>
    <n v="0"/>
    <n v="0"/>
    <n v="0"/>
    <n v="0"/>
    <x v="0"/>
    <n v="0"/>
    <s v=""/>
    <x v="0"/>
    <x v="0"/>
    <x v="0"/>
    <s v=""/>
    <s v="No"/>
    <m/>
  </r>
  <r>
    <n v="16.100000000000001"/>
    <d v="2015-03-25T00:00:00"/>
    <x v="0"/>
    <s v="UNHCR"/>
    <s v="Kachin"/>
    <s v="Bhamo"/>
    <s v="Nhkawng Pa camp and Pa Kahtawng camp thru cross line mission with KMSS-Bhamo"/>
    <m/>
    <m/>
    <m/>
    <m/>
    <m/>
    <m/>
    <m/>
    <m/>
    <m/>
    <m/>
    <n v="2086"/>
    <n v="3036"/>
    <m/>
    <m/>
    <m/>
    <m/>
    <m/>
    <n v="0"/>
    <n v="0"/>
    <n v="0"/>
    <n v="0"/>
    <n v="0"/>
    <n v="0"/>
    <n v="0"/>
    <n v="0"/>
    <n v="0"/>
    <n v="0"/>
    <n v="0"/>
    <n v="0"/>
    <n v="0"/>
    <n v="0"/>
    <x v="1"/>
    <n v="0"/>
    <s v=""/>
    <x v="0"/>
    <x v="0"/>
    <x v="0"/>
    <s v=""/>
    <s v="No"/>
    <m/>
  </r>
  <r>
    <n v="16.399999999999999"/>
    <d v="2015-03-16T00:00:00"/>
    <x v="0"/>
    <s v="UNHCR"/>
    <s v="Kachin"/>
    <s v="Bhamo"/>
    <s v="Nhkawng Pa camp and Pa Kahtawng camp thru cross line mission with KMSS-Bhamo"/>
    <m/>
    <m/>
    <m/>
    <m/>
    <m/>
    <m/>
    <m/>
    <m/>
    <m/>
    <m/>
    <n v="2460"/>
    <n v="3600"/>
    <m/>
    <m/>
    <m/>
    <m/>
    <m/>
    <n v="0"/>
    <n v="0"/>
    <n v="0"/>
    <n v="0"/>
    <n v="0"/>
    <n v="0"/>
    <n v="0"/>
    <n v="0"/>
    <n v="0"/>
    <n v="0"/>
    <n v="0"/>
    <n v="0"/>
    <n v="0"/>
    <n v="0"/>
    <x v="1"/>
    <n v="0"/>
    <s v=""/>
    <x v="0"/>
    <x v="0"/>
    <x v="0"/>
    <s v=""/>
    <s v="No"/>
    <m/>
  </r>
  <r>
    <n v="16.5"/>
    <d v="2015-03-13T00:00:00"/>
    <x v="0"/>
    <s v="KMSS"/>
    <s v="Kachin"/>
    <s v="Waingmaw"/>
    <s v="Maina Catholic Church (St. Joseph)"/>
    <m/>
    <m/>
    <m/>
    <m/>
    <n v="1"/>
    <m/>
    <m/>
    <m/>
    <m/>
    <m/>
    <m/>
    <m/>
    <m/>
    <m/>
    <m/>
    <m/>
    <m/>
    <n v="0"/>
    <n v="0"/>
    <n v="0"/>
    <n v="0"/>
    <n v="0"/>
    <n v="0"/>
    <n v="0"/>
    <n v="0"/>
    <n v="0"/>
    <n v="0"/>
    <n v="0"/>
    <n v="0"/>
    <n v="0"/>
    <n v="0"/>
    <x v="0"/>
    <n v="0"/>
    <s v="MMR001CMP029"/>
    <x v="2"/>
    <x v="1"/>
    <x v="2"/>
    <n v="0"/>
    <s v="No"/>
    <m/>
  </r>
  <r>
    <n v="16.766666666666666"/>
    <d v="2015-03-05T00:00:00"/>
    <x v="0"/>
    <s v="KMSS-LSO"/>
    <s v="Shan_North"/>
    <s v="Hseni"/>
    <s v="Nam Jarap"/>
    <m/>
    <n v="43"/>
    <n v="43"/>
    <n v="85"/>
    <n v="43"/>
    <n v="95"/>
    <n v="43"/>
    <n v="43"/>
    <n v="43"/>
    <n v="95"/>
    <m/>
    <m/>
    <m/>
    <m/>
    <n v="43"/>
    <m/>
    <m/>
    <n v="0"/>
    <n v="0"/>
    <n v="0"/>
    <n v="0"/>
    <n v="0"/>
    <n v="0"/>
    <n v="0"/>
    <n v="0"/>
    <n v="0"/>
    <n v="0"/>
    <n v="0"/>
    <n v="0"/>
    <n v="0"/>
    <n v="0"/>
    <x v="0"/>
    <n v="0"/>
    <s v=""/>
    <x v="0"/>
    <x v="0"/>
    <x v="0"/>
    <s v=""/>
    <s v="No"/>
    <m/>
  </r>
  <r>
    <n v="17.166666666666668"/>
    <d v="2015-02-21T00:00:00"/>
    <x v="0"/>
    <s v="UNHCR"/>
    <s v="Shan_North"/>
    <s v="Kutkai"/>
    <s v="Namtit"/>
    <m/>
    <m/>
    <m/>
    <n v="161"/>
    <n v="76"/>
    <m/>
    <n v="76"/>
    <m/>
    <n v="76"/>
    <m/>
    <m/>
    <m/>
    <m/>
    <m/>
    <n v="76"/>
    <m/>
    <m/>
    <n v="0"/>
    <n v="0"/>
    <n v="0"/>
    <n v="0"/>
    <n v="0"/>
    <n v="0"/>
    <n v="0"/>
    <n v="0"/>
    <n v="0"/>
    <n v="0"/>
    <n v="0"/>
    <n v="0"/>
    <n v="0"/>
    <n v="0"/>
    <x v="0"/>
    <n v="0"/>
    <s v=""/>
    <x v="0"/>
    <x v="0"/>
    <x v="0"/>
    <s v=""/>
    <s v="No"/>
    <m/>
  </r>
  <r>
    <n v="21.133333333333333"/>
    <d v="2014-10-25T00:00:00"/>
    <x v="1"/>
    <s v="MRCS"/>
    <s v="Kachin"/>
    <s v="Hpakant"/>
    <s v="Chin Church, Seik Mu"/>
    <m/>
    <m/>
    <m/>
    <m/>
    <m/>
    <m/>
    <m/>
    <m/>
    <m/>
    <m/>
    <n v="15"/>
    <n v="10"/>
    <m/>
    <m/>
    <m/>
    <m/>
    <m/>
    <n v="0"/>
    <n v="0"/>
    <n v="0"/>
    <n v="0"/>
    <n v="0"/>
    <n v="0"/>
    <n v="0"/>
    <n v="0"/>
    <n v="0"/>
    <n v="0"/>
    <n v="0"/>
    <n v="0"/>
    <n v="0"/>
    <n v="0"/>
    <x v="1"/>
    <n v="0"/>
    <s v="MMR001CMP109"/>
    <x v="2"/>
    <x v="1"/>
    <x v="2"/>
    <n v="0"/>
    <m/>
    <m/>
  </r>
  <r>
    <n v="17.166666666666668"/>
    <d v="2015-02-21T00:00:00"/>
    <x v="0"/>
    <s v="KMSS-LSO"/>
    <s v="Shan_North"/>
    <s v="Kutkai"/>
    <s v="Zup Aung Camp"/>
    <m/>
    <n v="54"/>
    <n v="36"/>
    <n v="108"/>
    <n v="54"/>
    <n v="108"/>
    <n v="54"/>
    <n v="54"/>
    <n v="54"/>
    <n v="108"/>
    <m/>
    <m/>
    <m/>
    <m/>
    <n v="54"/>
    <m/>
    <m/>
    <n v="0"/>
    <n v="0"/>
    <n v="0"/>
    <n v="0"/>
    <n v="0"/>
    <n v="0"/>
    <n v="0"/>
    <n v="0"/>
    <n v="0"/>
    <n v="0"/>
    <n v="0"/>
    <n v="0"/>
    <n v="0"/>
    <n v="0"/>
    <x v="0"/>
    <n v="0"/>
    <s v="MMR015CMP020"/>
    <x v="2"/>
    <x v="1"/>
    <x v="4"/>
    <n v="0.26732673267326734"/>
    <s v="No"/>
    <m/>
  </r>
  <r>
    <n v="17.333333333333332"/>
    <d v="2015-02-16T00:00:00"/>
    <x v="0"/>
    <s v="KMSS"/>
    <s v="Kachin"/>
    <s v="Waingmaw"/>
    <s v="Hpun Lum Yang "/>
    <m/>
    <m/>
    <m/>
    <m/>
    <m/>
    <m/>
    <m/>
    <m/>
    <m/>
    <m/>
    <n v="865"/>
    <n v="924"/>
    <m/>
    <n v="918"/>
    <m/>
    <m/>
    <m/>
    <n v="0"/>
    <n v="0"/>
    <n v="0"/>
    <n v="0"/>
    <n v="0"/>
    <n v="0"/>
    <n v="0"/>
    <n v="0"/>
    <n v="0"/>
    <n v="0"/>
    <n v="0"/>
    <n v="0"/>
    <n v="0"/>
    <n v="0"/>
    <x v="1"/>
    <n v="0"/>
    <s v="MMR001CMP122"/>
    <x v="2"/>
    <x v="1"/>
    <x v="5"/>
    <n v="0"/>
    <s v="No"/>
    <m/>
  </r>
  <r>
    <n v="17.333333333333332"/>
    <d v="2015-02-16T00:00:00"/>
    <x v="0"/>
    <s v="KMSS"/>
    <s v="Kachin"/>
    <s v="Waingmaw"/>
    <s v="Je Yang Hka "/>
    <m/>
    <m/>
    <m/>
    <m/>
    <m/>
    <m/>
    <m/>
    <m/>
    <m/>
    <m/>
    <n v="2676"/>
    <n v="2672"/>
    <m/>
    <n v="3186"/>
    <m/>
    <m/>
    <m/>
    <n v="0"/>
    <n v="0"/>
    <n v="0"/>
    <n v="0"/>
    <n v="0"/>
    <n v="0"/>
    <n v="0"/>
    <n v="0"/>
    <n v="0"/>
    <n v="0"/>
    <n v="0"/>
    <n v="0"/>
    <n v="0"/>
    <n v="0"/>
    <x v="1"/>
    <n v="0"/>
    <s v="MMR001CMP121"/>
    <x v="2"/>
    <x v="1"/>
    <x v="5"/>
    <n v="0"/>
    <s v="No"/>
    <m/>
  </r>
  <r>
    <n v="17.333333333333332"/>
    <d v="2015-02-16T00:00:00"/>
    <x v="0"/>
    <s v="KMSS"/>
    <s v="Kachin"/>
    <s v="Waingmaw"/>
    <s v="Laiza Market 3 - Laiza Gat"/>
    <m/>
    <m/>
    <m/>
    <m/>
    <m/>
    <m/>
    <m/>
    <m/>
    <m/>
    <m/>
    <n v="1119"/>
    <n v="1455"/>
    <m/>
    <n v="1080"/>
    <m/>
    <m/>
    <m/>
    <n v="0"/>
    <n v="0"/>
    <n v="0"/>
    <n v="0"/>
    <n v="0"/>
    <n v="0"/>
    <n v="0"/>
    <n v="0"/>
    <n v="0"/>
    <n v="0"/>
    <n v="0"/>
    <n v="0"/>
    <n v="0"/>
    <n v="0"/>
    <x v="1"/>
    <n v="0"/>
    <s v="MMR001CMP117"/>
    <x v="2"/>
    <x v="2"/>
    <x v="5"/>
    <s v=""/>
    <s v="No"/>
    <m/>
  </r>
  <r>
    <n v="18.466666666666665"/>
    <d v="2015-01-13T00:00:00"/>
    <x v="1"/>
    <s v="MRCS"/>
    <s v="Kachin"/>
    <s v="Chipwi"/>
    <s v="Chipwi KBC camp"/>
    <m/>
    <m/>
    <m/>
    <m/>
    <m/>
    <m/>
    <m/>
    <m/>
    <m/>
    <m/>
    <n v="293"/>
    <n v="190"/>
    <m/>
    <n v="170"/>
    <m/>
    <m/>
    <m/>
    <n v="0"/>
    <n v="0"/>
    <n v="0"/>
    <n v="0"/>
    <n v="0"/>
    <n v="0"/>
    <n v="0"/>
    <n v="0"/>
    <n v="0"/>
    <n v="0"/>
    <n v="0"/>
    <n v="0"/>
    <n v="0"/>
    <n v="0"/>
    <x v="1"/>
    <n v="0"/>
    <s v="MMR001CMP042"/>
    <x v="2"/>
    <x v="1"/>
    <x v="3"/>
    <n v="0"/>
    <m/>
    <m/>
  </r>
  <r>
    <n v="17.333333333333332"/>
    <d v="2015-02-16T00:00:00"/>
    <x v="0"/>
    <s v="KMSS"/>
    <s v="Kachin"/>
    <s v="Waingmaw"/>
    <s v="Woi Chyai "/>
    <m/>
    <m/>
    <m/>
    <m/>
    <m/>
    <m/>
    <m/>
    <m/>
    <m/>
    <m/>
    <n v="1620"/>
    <n v="2207"/>
    <m/>
    <n v="1760"/>
    <m/>
    <m/>
    <m/>
    <n v="0"/>
    <n v="0"/>
    <n v="0"/>
    <n v="0"/>
    <n v="0"/>
    <n v="0"/>
    <n v="0"/>
    <n v="0"/>
    <n v="0"/>
    <n v="0"/>
    <n v="0"/>
    <n v="0"/>
    <n v="0"/>
    <n v="0"/>
    <x v="1"/>
    <n v="0"/>
    <s v="MMR001CMP116"/>
    <x v="2"/>
    <x v="1"/>
    <x v="2"/>
    <n v="0"/>
    <s v="No"/>
    <m/>
  </r>
  <r>
    <n v="17.433333333333334"/>
    <d v="2015-02-13T00:00:00"/>
    <x v="0"/>
    <s v="KMSS"/>
    <s v="Kachin"/>
    <s v="Myitkyina"/>
    <s v="Pa Dauk Myaing(Pa La Na)"/>
    <m/>
    <m/>
    <m/>
    <m/>
    <m/>
    <n v="18"/>
    <n v="9"/>
    <m/>
    <n v="29"/>
    <n v="145"/>
    <m/>
    <m/>
    <m/>
    <m/>
    <m/>
    <m/>
    <m/>
    <n v="0"/>
    <n v="0"/>
    <n v="0"/>
    <n v="0"/>
    <n v="0"/>
    <n v="0"/>
    <n v="0"/>
    <n v="0"/>
    <n v="0"/>
    <n v="0"/>
    <n v="0"/>
    <n v="0"/>
    <n v="0"/>
    <n v="0"/>
    <x v="0"/>
    <n v="0"/>
    <s v="MMR001CMP162"/>
    <x v="2"/>
    <x v="1"/>
    <x v="2"/>
    <n v="0.20454545454545456"/>
    <s v="No"/>
    <m/>
  </r>
  <r>
    <n v="29.266666666666666"/>
    <d v="2014-02-23T00:00:00"/>
    <x v="6"/>
    <s v="MRCS"/>
    <s v="Kachin"/>
    <s v="Chipwi"/>
    <s v="Chipwi KBC camp"/>
    <m/>
    <m/>
    <m/>
    <m/>
    <m/>
    <m/>
    <m/>
    <m/>
    <m/>
    <m/>
    <m/>
    <m/>
    <m/>
    <n v="222"/>
    <m/>
    <m/>
    <m/>
    <n v="0"/>
    <n v="0"/>
    <n v="0"/>
    <n v="0"/>
    <n v="0"/>
    <n v="0"/>
    <n v="0"/>
    <n v="0"/>
    <n v="0"/>
    <n v="0"/>
    <n v="0"/>
    <n v="0"/>
    <n v="0"/>
    <n v="0"/>
    <x v="1"/>
    <n v="0"/>
    <s v="MMR001CMP042"/>
    <x v="2"/>
    <x v="1"/>
    <x v="3"/>
    <n v="0"/>
    <m/>
    <m/>
  </r>
  <r>
    <n v="38.5"/>
    <d v="2013-05-22T00:00:00"/>
    <x v="8"/>
    <s v="KMSS"/>
    <s v="Kachin"/>
    <s v="Chipwi"/>
    <s v="Chipwi KBC camp"/>
    <n v="510"/>
    <m/>
    <m/>
    <m/>
    <m/>
    <m/>
    <m/>
    <m/>
    <m/>
    <m/>
    <m/>
    <m/>
    <m/>
    <m/>
    <m/>
    <m/>
    <m/>
    <n v="0"/>
    <n v="0"/>
    <n v="0"/>
    <n v="0"/>
    <n v="0"/>
    <n v="0"/>
    <n v="0"/>
    <n v="0"/>
    <n v="0"/>
    <n v="0"/>
    <n v="0"/>
    <n v="0"/>
    <n v="0"/>
    <n v="0"/>
    <x v="0"/>
    <n v="0"/>
    <s v="MMR001CMP042"/>
    <x v="2"/>
    <x v="1"/>
    <x v="3"/>
    <n v="0"/>
    <s v="No"/>
    <m/>
  </r>
  <r>
    <n v="17.433333333333334"/>
    <d v="2015-02-13T00:00:00"/>
    <x v="0"/>
    <s v="KMSS-LSO"/>
    <s v="Shan_North"/>
    <s v="Kutkai"/>
    <s v="Pyi Lung Chan Tar"/>
    <m/>
    <n v="68"/>
    <n v="54"/>
    <n v="134"/>
    <n v="68"/>
    <n v="134"/>
    <n v="68"/>
    <m/>
    <n v="68"/>
    <n v="134"/>
    <m/>
    <m/>
    <m/>
    <m/>
    <n v="68"/>
    <m/>
    <m/>
    <n v="0"/>
    <n v="0"/>
    <n v="0"/>
    <n v="0"/>
    <n v="0"/>
    <n v="0"/>
    <n v="0"/>
    <n v="0"/>
    <n v="0"/>
    <n v="0"/>
    <n v="0"/>
    <n v="0"/>
    <n v="0"/>
    <n v="0"/>
    <x v="0"/>
    <n v="0"/>
    <s v=""/>
    <x v="0"/>
    <x v="0"/>
    <x v="0"/>
    <s v=""/>
    <s v="No"/>
    <m/>
  </r>
  <r>
    <n v="17.533333333333335"/>
    <d v="2015-02-10T00:00:00"/>
    <x v="0"/>
    <s v="UNHCR"/>
    <s v="Shan_North"/>
    <s v="Mansi"/>
    <s v="Moe Gok (A Shae Kyaung)"/>
    <m/>
    <m/>
    <m/>
    <n v="49"/>
    <n v="16"/>
    <n v="49"/>
    <n v="16"/>
    <m/>
    <n v="16"/>
    <n v="92"/>
    <m/>
    <m/>
    <m/>
    <m/>
    <n v="15"/>
    <m/>
    <m/>
    <n v="0"/>
    <n v="0"/>
    <n v="0"/>
    <n v="0"/>
    <n v="0"/>
    <n v="0"/>
    <n v="0"/>
    <n v="0"/>
    <n v="0"/>
    <n v="0"/>
    <n v="0"/>
    <n v="0"/>
    <n v="0"/>
    <n v="0"/>
    <x v="0"/>
    <n v="0"/>
    <s v=""/>
    <x v="0"/>
    <x v="0"/>
    <x v="0"/>
    <s v=""/>
    <s v="No"/>
    <m/>
  </r>
  <r>
    <n v="17.533333333333335"/>
    <d v="2015-02-10T00:00:00"/>
    <x v="0"/>
    <s v="UNHCR"/>
    <s v="Shan_North"/>
    <s v="Mansi"/>
    <s v="Moe Gok (Aung Daw Mu)"/>
    <m/>
    <m/>
    <m/>
    <n v="75"/>
    <n v="13"/>
    <n v="110"/>
    <n v="13"/>
    <m/>
    <n v="13"/>
    <n v="45"/>
    <m/>
    <m/>
    <m/>
    <m/>
    <m/>
    <m/>
    <m/>
    <n v="0"/>
    <n v="0"/>
    <n v="0"/>
    <n v="0"/>
    <n v="0"/>
    <n v="0"/>
    <n v="0"/>
    <n v="0"/>
    <n v="0"/>
    <n v="0"/>
    <n v="0"/>
    <n v="0"/>
    <n v="0"/>
    <n v="0"/>
    <x v="0"/>
    <n v="0"/>
    <s v=""/>
    <x v="0"/>
    <x v="0"/>
    <x v="0"/>
    <s v=""/>
    <s v="No"/>
    <m/>
  </r>
  <r>
    <n v="17.533333333333335"/>
    <d v="2015-02-10T00:00:00"/>
    <x v="0"/>
    <s v="UNHCR"/>
    <s v="Shan_North"/>
    <s v="Mansi"/>
    <s v="Moe Gok (Pain Pyit Lisu Village)"/>
    <m/>
    <n v="200"/>
    <m/>
    <n v="86"/>
    <n v="28"/>
    <n v="173"/>
    <n v="28"/>
    <m/>
    <n v="43"/>
    <n v="199"/>
    <m/>
    <m/>
    <m/>
    <m/>
    <n v="42"/>
    <m/>
    <m/>
    <n v="0"/>
    <n v="0"/>
    <n v="0"/>
    <n v="0"/>
    <n v="0"/>
    <n v="0"/>
    <n v="0"/>
    <n v="0"/>
    <n v="0"/>
    <n v="0"/>
    <n v="0"/>
    <n v="0"/>
    <n v="0"/>
    <n v="0"/>
    <x v="0"/>
    <n v="0"/>
    <s v=""/>
    <x v="0"/>
    <x v="0"/>
    <x v="0"/>
    <s v=""/>
    <s v="No"/>
    <m/>
  </r>
  <r>
    <n v="21.133333333333333"/>
    <d v="2014-10-25T00:00:00"/>
    <x v="1"/>
    <s v="MRCS"/>
    <s v="Kachin"/>
    <s v="Hpakant"/>
    <s v="Dhama Rakhita, Nyein Chan Tar Yar Ward(Lon Khin)"/>
    <m/>
    <m/>
    <m/>
    <m/>
    <m/>
    <m/>
    <m/>
    <m/>
    <m/>
    <m/>
    <n v="214"/>
    <n v="112"/>
    <m/>
    <m/>
    <m/>
    <m/>
    <m/>
    <n v="0"/>
    <n v="0"/>
    <n v="0"/>
    <n v="0"/>
    <n v="0"/>
    <n v="0"/>
    <n v="0"/>
    <n v="0"/>
    <n v="0"/>
    <n v="0"/>
    <n v="0"/>
    <n v="0"/>
    <n v="0"/>
    <n v="0"/>
    <x v="1"/>
    <n v="0"/>
    <s v="MMR001CMP174"/>
    <x v="2"/>
    <x v="1"/>
    <x v="2"/>
    <n v="0"/>
    <m/>
    <m/>
  </r>
  <r>
    <n v="17.533333333333335"/>
    <d v="2015-02-10T00:00:00"/>
    <x v="0"/>
    <s v="UNHCR"/>
    <s v="Shan_North"/>
    <s v="Mansi"/>
    <s v="Moe Mait (Man Ohn0"/>
    <m/>
    <m/>
    <m/>
    <n v="90"/>
    <n v="43"/>
    <n v="93"/>
    <n v="43"/>
    <m/>
    <n v="32"/>
    <n v="164"/>
    <m/>
    <m/>
    <m/>
    <m/>
    <n v="43"/>
    <m/>
    <m/>
    <n v="0"/>
    <n v="0"/>
    <n v="0"/>
    <n v="0"/>
    <n v="0"/>
    <n v="0"/>
    <n v="0"/>
    <n v="0"/>
    <n v="0"/>
    <n v="0"/>
    <n v="0"/>
    <n v="0"/>
    <n v="0"/>
    <n v="0"/>
    <x v="0"/>
    <n v="0"/>
    <s v=""/>
    <x v="0"/>
    <x v="0"/>
    <x v="0"/>
    <s v=""/>
    <s v="No"/>
    <m/>
  </r>
  <r>
    <n v="17.533333333333335"/>
    <d v="2015-02-10T00:00:00"/>
    <x v="0"/>
    <s v="KBC"/>
    <s v="Kachin"/>
    <s v="Puta-O"/>
    <s v="Resettlement place"/>
    <m/>
    <m/>
    <n v="46"/>
    <n v="92"/>
    <n v="46"/>
    <n v="92"/>
    <n v="46"/>
    <m/>
    <n v="46"/>
    <n v="230"/>
    <m/>
    <m/>
    <m/>
    <m/>
    <n v="46"/>
    <m/>
    <n v="55"/>
    <n v="0"/>
    <n v="0"/>
    <n v="0"/>
    <n v="0"/>
    <n v="0"/>
    <n v="0"/>
    <n v="0"/>
    <n v="0"/>
    <n v="0"/>
    <n v="0"/>
    <n v="0"/>
    <n v="0"/>
    <n v="0"/>
    <n v="0"/>
    <x v="0"/>
    <n v="0"/>
    <s v=""/>
    <x v="0"/>
    <x v="0"/>
    <x v="0"/>
    <s v=""/>
    <s v="No"/>
    <m/>
  </r>
  <r>
    <n v="42.06666666666667"/>
    <d v="2013-02-04T00:00:00"/>
    <x v="2"/>
    <s v="MRCS"/>
    <s v="Kachin"/>
    <s v="Hpakant"/>
    <s v="Dhama Rakhita, Nyein Chan Tar Yar Ward(Lon Khin)"/>
    <m/>
    <m/>
    <m/>
    <m/>
    <m/>
    <m/>
    <n v="58"/>
    <m/>
    <n v="0"/>
    <n v="0"/>
    <m/>
    <m/>
    <m/>
    <m/>
    <m/>
    <m/>
    <m/>
    <n v="0"/>
    <n v="0"/>
    <n v="0"/>
    <n v="0"/>
    <n v="0"/>
    <n v="0"/>
    <n v="0"/>
    <n v="0"/>
    <n v="0"/>
    <n v="0"/>
    <n v="0"/>
    <n v="0"/>
    <n v="0"/>
    <n v="0"/>
    <x v="0"/>
    <n v="0"/>
    <s v="MMR001CMP174"/>
    <x v="2"/>
    <x v="1"/>
    <x v="2"/>
    <n v="0.87878787878787878"/>
    <s v="No"/>
    <m/>
  </r>
  <r>
    <n v="43.233333333333334"/>
    <d v="2012-12-31T00:00:00"/>
    <x v="3"/>
    <s v="DRC"/>
    <s v="Kachin"/>
    <s v="Hpakant"/>
    <s v="Dhama Rakhita, Nyein Chan Tar Yar Ward(Lon Khin)"/>
    <n v="6"/>
    <m/>
    <m/>
    <m/>
    <m/>
    <m/>
    <m/>
    <m/>
    <n v="0"/>
    <n v="0"/>
    <m/>
    <m/>
    <m/>
    <m/>
    <m/>
    <m/>
    <m/>
    <n v="0"/>
    <n v="0"/>
    <n v="0"/>
    <n v="0"/>
    <n v="0"/>
    <n v="0"/>
    <n v="0"/>
    <n v="0"/>
    <n v="0"/>
    <n v="0"/>
    <n v="0"/>
    <n v="0"/>
    <n v="0"/>
    <n v="0"/>
    <x v="0"/>
    <n v="0"/>
    <s v="MMR001CMP174"/>
    <x v="2"/>
    <x v="1"/>
    <x v="2"/>
    <n v="0"/>
    <s v="No"/>
    <m/>
  </r>
  <r>
    <n v="25.333333333333332"/>
    <d v="2014-06-21T00:00:00"/>
    <x v="6"/>
    <s v="MRCS"/>
    <s v="Kachin"/>
    <s v="Myitkyina"/>
    <s v="Du Kahtawng Qtr. 14"/>
    <m/>
    <m/>
    <m/>
    <m/>
    <m/>
    <m/>
    <m/>
    <m/>
    <m/>
    <m/>
    <m/>
    <m/>
    <m/>
    <n v="12"/>
    <m/>
    <m/>
    <m/>
    <n v="0"/>
    <n v="0"/>
    <n v="0"/>
    <n v="0"/>
    <n v="0"/>
    <n v="0"/>
    <n v="0"/>
    <n v="0"/>
    <n v="0"/>
    <n v="0"/>
    <n v="0"/>
    <n v="0"/>
    <n v="0"/>
    <n v="0"/>
    <x v="1"/>
    <n v="0"/>
    <s v="MMR001CMP012"/>
    <x v="2"/>
    <x v="1"/>
    <x v="2"/>
    <n v="0"/>
    <m/>
    <m/>
  </r>
  <r>
    <n v="18.033333333333335"/>
    <d v="2015-01-26T00:00:00"/>
    <x v="0"/>
    <s v="KBC"/>
    <s v="Kachin"/>
    <s v="Hpakant"/>
    <s v="5 Ward RC Church(lon Khin)"/>
    <m/>
    <n v="100"/>
    <m/>
    <n v="200"/>
    <n v="200"/>
    <n v="200"/>
    <n v="100"/>
    <m/>
    <n v="100"/>
    <n v="500"/>
    <m/>
    <m/>
    <m/>
    <m/>
    <n v="100"/>
    <m/>
    <m/>
    <n v="0"/>
    <n v="0"/>
    <n v="0"/>
    <n v="0"/>
    <n v="0"/>
    <n v="0"/>
    <n v="0"/>
    <n v="0"/>
    <n v="0"/>
    <n v="0"/>
    <n v="0"/>
    <n v="0"/>
    <n v="0"/>
    <n v="0"/>
    <x v="0"/>
    <n v="0"/>
    <s v="MMR001CMP168"/>
    <x v="2"/>
    <x v="1"/>
    <x v="2"/>
    <n v="1.2987012987012987"/>
    <s v="No"/>
    <s v="Updated on 11/Nov/2015. Added jerry can data. Data source: mail by Win Aung Htun"/>
  </r>
  <r>
    <n v="18.033333333333335"/>
    <d v="2015-01-26T00:00:00"/>
    <x v="0"/>
    <s v="KMSS"/>
    <s v="Kachin"/>
    <s v="Hpakant"/>
    <s v="Emergency"/>
    <m/>
    <n v="200"/>
    <m/>
    <n v="400"/>
    <n v="250"/>
    <n v="400"/>
    <n v="200"/>
    <m/>
    <n v="200"/>
    <n v="1200"/>
    <m/>
    <m/>
    <m/>
    <m/>
    <n v="200"/>
    <m/>
    <n v="30"/>
    <n v="0"/>
    <n v="0"/>
    <n v="0"/>
    <n v="0"/>
    <n v="0"/>
    <n v="0"/>
    <n v="0"/>
    <n v="0"/>
    <n v="0"/>
    <n v="0"/>
    <n v="0"/>
    <n v="0"/>
    <n v="0"/>
    <n v="0"/>
    <x v="0"/>
    <n v="0"/>
    <s v=""/>
    <x v="0"/>
    <x v="0"/>
    <x v="0"/>
    <s v=""/>
    <s v="No"/>
    <m/>
  </r>
  <r>
    <n v="25.333333333333332"/>
    <d v="2014-06-21T00:00:00"/>
    <x v="6"/>
    <s v="MRCS"/>
    <s v="Kachin"/>
    <s v="Myitkyina"/>
    <s v="Du Kahtawng Qtr. 4"/>
    <m/>
    <m/>
    <m/>
    <m/>
    <m/>
    <m/>
    <m/>
    <m/>
    <m/>
    <m/>
    <m/>
    <m/>
    <m/>
    <n v="12"/>
    <m/>
    <m/>
    <m/>
    <n v="0"/>
    <n v="0"/>
    <n v="0"/>
    <n v="0"/>
    <n v="0"/>
    <n v="0"/>
    <n v="0"/>
    <n v="0"/>
    <n v="0"/>
    <n v="0"/>
    <n v="0"/>
    <n v="0"/>
    <n v="0"/>
    <n v="0"/>
    <x v="1"/>
    <n v="0"/>
    <s v="MMR001CMP010"/>
    <x v="2"/>
    <x v="1"/>
    <x v="2"/>
    <n v="0"/>
    <m/>
    <m/>
  </r>
  <r>
    <n v="18.466666666666665"/>
    <d v="2015-01-13T00:00:00"/>
    <x v="0"/>
    <s v="Shalom"/>
    <s v="Kachin"/>
    <s v="Myitkyina"/>
    <s v="Tat Kone COC Baptist - Tat Kone Htoi San"/>
    <m/>
    <m/>
    <m/>
    <m/>
    <n v="2"/>
    <m/>
    <m/>
    <m/>
    <m/>
    <m/>
    <m/>
    <m/>
    <m/>
    <m/>
    <m/>
    <m/>
    <m/>
    <n v="0"/>
    <n v="0"/>
    <n v="0"/>
    <n v="0"/>
    <n v="0"/>
    <n v="0"/>
    <n v="0"/>
    <n v="0"/>
    <n v="0"/>
    <n v="0"/>
    <n v="0"/>
    <n v="0"/>
    <n v="0"/>
    <n v="0"/>
    <x v="0"/>
    <n v="0"/>
    <s v="MMR001CMP023"/>
    <x v="2"/>
    <x v="1"/>
    <x v="2"/>
    <n v="0"/>
    <s v="No"/>
    <m/>
  </r>
  <r>
    <n v="18.566666666666666"/>
    <d v="2015-01-10T00:00:00"/>
    <x v="0"/>
    <s v="UNHCR"/>
    <s v="Kachin"/>
    <s v="Puta-O"/>
    <s v="Naung Khaing"/>
    <m/>
    <m/>
    <n v="55"/>
    <n v="110"/>
    <n v="55"/>
    <n v="110"/>
    <n v="55"/>
    <m/>
    <n v="55"/>
    <n v="275"/>
    <m/>
    <m/>
    <m/>
    <m/>
    <n v="55"/>
    <m/>
    <m/>
    <n v="0"/>
    <n v="0"/>
    <n v="0"/>
    <n v="0"/>
    <n v="0"/>
    <n v="0"/>
    <n v="0"/>
    <n v="0"/>
    <n v="0"/>
    <n v="0"/>
    <n v="0"/>
    <n v="0"/>
    <n v="0"/>
    <n v="0"/>
    <x v="0"/>
    <n v="0"/>
    <s v="MMR001CMP220"/>
    <x v="2"/>
    <x v="2"/>
    <x v="4"/>
    <s v=""/>
    <s v="No"/>
    <m/>
  </r>
  <r>
    <n v="25.333333333333332"/>
    <d v="2014-06-21T00:00:00"/>
    <x v="6"/>
    <s v="MRCS"/>
    <s v="Kachin"/>
    <s v="Myitkyina"/>
    <s v="Du Kahtawng Qtr. 5"/>
    <m/>
    <m/>
    <m/>
    <m/>
    <m/>
    <m/>
    <m/>
    <m/>
    <m/>
    <m/>
    <m/>
    <m/>
    <m/>
    <n v="16"/>
    <m/>
    <m/>
    <m/>
    <n v="0"/>
    <n v="0"/>
    <n v="0"/>
    <n v="0"/>
    <n v="0"/>
    <n v="0"/>
    <n v="0"/>
    <n v="0"/>
    <n v="0"/>
    <n v="0"/>
    <n v="0"/>
    <n v="0"/>
    <n v="0"/>
    <n v="0"/>
    <x v="1"/>
    <n v="0"/>
    <s v="MMR001CMP011"/>
    <x v="2"/>
    <x v="1"/>
    <x v="2"/>
    <n v="0"/>
    <m/>
    <m/>
  </r>
  <r>
    <n v="18.866666666666667"/>
    <d v="2015-01-01T00:00:00"/>
    <x v="0"/>
    <s v="KBC"/>
    <s v="Kachin"/>
    <s v="Waingmaw"/>
    <s v="Shing Jai"/>
    <m/>
    <m/>
    <m/>
    <m/>
    <m/>
    <m/>
    <n v="50"/>
    <m/>
    <m/>
    <m/>
    <m/>
    <m/>
    <m/>
    <m/>
    <m/>
    <m/>
    <n v="90"/>
    <n v="0"/>
    <n v="0"/>
    <n v="0"/>
    <n v="0"/>
    <n v="0"/>
    <n v="0"/>
    <n v="0"/>
    <n v="0"/>
    <n v="0"/>
    <n v="0"/>
    <n v="0"/>
    <n v="0"/>
    <n v="0"/>
    <n v="0"/>
    <x v="0"/>
    <n v="0"/>
    <s v="MMR001CMP041"/>
    <x v="2"/>
    <x v="1"/>
    <x v="3"/>
    <n v="0.27932960893854747"/>
    <s v="No"/>
    <m/>
  </r>
  <r>
    <n v="18.933333333333334"/>
    <d v="2014-12-30T00:00:00"/>
    <x v="0"/>
    <s v="KBC"/>
    <s v="Kachin"/>
    <s v="Waingmaw"/>
    <s v="Shing Jai"/>
    <m/>
    <m/>
    <n v="120"/>
    <n v="240"/>
    <n v="135"/>
    <n v="240"/>
    <n v="170"/>
    <n v="120"/>
    <n v="120"/>
    <n v="600"/>
    <m/>
    <m/>
    <m/>
    <m/>
    <m/>
    <m/>
    <m/>
    <n v="0"/>
    <n v="0"/>
    <n v="0"/>
    <n v="0"/>
    <n v="0"/>
    <n v="0"/>
    <n v="0"/>
    <n v="0"/>
    <n v="0"/>
    <n v="0"/>
    <n v="0"/>
    <n v="0"/>
    <n v="0"/>
    <n v="0"/>
    <x v="0"/>
    <n v="0"/>
    <s v="MMR001CMP041"/>
    <x v="2"/>
    <x v="1"/>
    <x v="3"/>
    <n v="0.94972067039106145"/>
    <m/>
    <m/>
  </r>
  <r>
    <n v="19.3"/>
    <d v="2014-12-19T00:00:00"/>
    <x v="0"/>
    <s v="KBC"/>
    <s v="Kachin"/>
    <s v="Waingmaw"/>
    <s v="Hkau Shau (BP 12)"/>
    <m/>
    <m/>
    <m/>
    <m/>
    <m/>
    <m/>
    <m/>
    <m/>
    <m/>
    <m/>
    <n v="364"/>
    <n v="543"/>
    <m/>
    <n v="362"/>
    <m/>
    <m/>
    <m/>
    <n v="0"/>
    <n v="0"/>
    <n v="0"/>
    <n v="0"/>
    <n v="0"/>
    <n v="0"/>
    <n v="0"/>
    <n v="0"/>
    <n v="0"/>
    <n v="0"/>
    <n v="0"/>
    <n v="0"/>
    <n v="0"/>
    <n v="0"/>
    <x v="1"/>
    <n v="0"/>
    <s v="MMR001CMP115"/>
    <x v="2"/>
    <x v="1"/>
    <x v="3"/>
    <n v="0"/>
    <m/>
    <m/>
  </r>
  <r>
    <n v="19.3"/>
    <d v="2014-12-19T00:00:00"/>
    <x v="0"/>
    <m/>
    <s v="Kachin"/>
    <s v="Chipwi"/>
    <s v="Hpare Hkyer - BP6"/>
    <m/>
    <m/>
    <m/>
    <m/>
    <m/>
    <m/>
    <m/>
    <m/>
    <m/>
    <m/>
    <n v="320"/>
    <n v="465"/>
    <m/>
    <n v="310"/>
    <m/>
    <m/>
    <m/>
    <n v="0"/>
    <n v="0"/>
    <n v="0"/>
    <n v="0"/>
    <n v="0"/>
    <n v="0"/>
    <n v="0"/>
    <n v="0"/>
    <n v="0"/>
    <n v="0"/>
    <n v="0"/>
    <n v="0"/>
    <n v="0"/>
    <n v="0"/>
    <x v="1"/>
    <n v="0"/>
    <s v="MMR001CMP043"/>
    <x v="2"/>
    <x v="1"/>
    <x v="3"/>
    <n v="0"/>
    <m/>
    <m/>
  </r>
  <r>
    <n v="30.666666666666668"/>
    <d v="2014-01-12T00:00:00"/>
    <x v="3"/>
    <s v="KMSS"/>
    <s v="Kachin"/>
    <s v="Momauk"/>
    <s v="Dum Bung "/>
    <m/>
    <m/>
    <m/>
    <m/>
    <m/>
    <m/>
    <m/>
    <n v="125"/>
    <m/>
    <m/>
    <m/>
    <m/>
    <m/>
    <m/>
    <m/>
    <m/>
    <m/>
    <n v="0"/>
    <n v="0"/>
    <n v="0"/>
    <n v="0"/>
    <n v="0"/>
    <n v="0"/>
    <n v="0"/>
    <n v="0"/>
    <n v="0"/>
    <n v="0"/>
    <n v="0"/>
    <n v="0"/>
    <n v="0"/>
    <n v="0"/>
    <x v="0"/>
    <n v="0"/>
    <s v="MMR001CMP123"/>
    <x v="2"/>
    <x v="1"/>
    <x v="5"/>
    <n v="0"/>
    <s v="No"/>
    <m/>
  </r>
  <r>
    <n v="30.666666666666668"/>
    <d v="2014-01-12T00:00:00"/>
    <x v="3"/>
    <s v="KMSS"/>
    <s v="Kachin"/>
    <s v="Momauk"/>
    <s v="Dum Bung "/>
    <m/>
    <m/>
    <m/>
    <m/>
    <m/>
    <m/>
    <m/>
    <m/>
    <m/>
    <m/>
    <n v="393"/>
    <n v="232"/>
    <m/>
    <m/>
    <m/>
    <m/>
    <m/>
    <n v="0"/>
    <n v="0"/>
    <n v="0"/>
    <n v="0"/>
    <n v="0"/>
    <n v="0"/>
    <n v="0"/>
    <n v="0"/>
    <n v="0"/>
    <n v="0"/>
    <n v="0"/>
    <n v="0"/>
    <n v="0"/>
    <n v="0"/>
    <x v="1"/>
    <n v="0"/>
    <s v="MMR001CMP123"/>
    <x v="2"/>
    <x v="1"/>
    <x v="5"/>
    <n v="0"/>
    <s v="No"/>
    <m/>
  </r>
  <r>
    <n v="31.933333333333334"/>
    <d v="2013-12-05T00:00:00"/>
    <x v="5"/>
    <s v="KBC"/>
    <s v="Kachin"/>
    <s v="Momauk"/>
    <s v="Dum Bung "/>
    <m/>
    <m/>
    <m/>
    <m/>
    <m/>
    <m/>
    <m/>
    <m/>
    <m/>
    <m/>
    <n v="120"/>
    <n v="240"/>
    <n v="720"/>
    <n v="360"/>
    <m/>
    <m/>
    <m/>
    <n v="0"/>
    <n v="0"/>
    <n v="0"/>
    <n v="0"/>
    <n v="0"/>
    <n v="0"/>
    <n v="0"/>
    <n v="0"/>
    <n v="0"/>
    <n v="0"/>
    <n v="0"/>
    <n v="0"/>
    <n v="0"/>
    <n v="0"/>
    <x v="1"/>
    <n v="0"/>
    <s v="MMR001CMP123"/>
    <x v="2"/>
    <x v="1"/>
    <x v="5"/>
    <n v="0"/>
    <m/>
    <m/>
  </r>
  <r>
    <n v="48.766666666666666"/>
    <d v="2012-07-18T00:00:00"/>
    <x v="5"/>
    <s v="LDO"/>
    <s v="Kachin"/>
    <s v="Momauk"/>
    <s v="Dum Bung "/>
    <n v="33"/>
    <m/>
    <m/>
    <m/>
    <m/>
    <m/>
    <m/>
    <m/>
    <m/>
    <m/>
    <m/>
    <m/>
    <m/>
    <m/>
    <m/>
    <m/>
    <m/>
    <n v="0"/>
    <n v="0"/>
    <n v="0"/>
    <n v="0"/>
    <n v="0"/>
    <n v="0"/>
    <n v="0"/>
    <n v="0"/>
    <n v="0"/>
    <n v="0"/>
    <n v="0"/>
    <n v="0"/>
    <n v="0"/>
    <n v="0"/>
    <x v="0"/>
    <n v="0"/>
    <s v="MMR001CMP123"/>
    <x v="2"/>
    <x v="1"/>
    <x v="5"/>
    <n v="0"/>
    <m/>
    <m/>
  </r>
  <r>
    <n v="32.1"/>
    <d v="2013-11-30T00:00:00"/>
    <x v="5"/>
    <s v="KBC"/>
    <s v="Kachin"/>
    <s v="Momauk"/>
    <s v="Dum Bung "/>
    <m/>
    <m/>
    <m/>
    <m/>
    <m/>
    <m/>
    <m/>
    <m/>
    <m/>
    <m/>
    <m/>
    <m/>
    <m/>
    <m/>
    <m/>
    <m/>
    <m/>
    <n v="0"/>
    <n v="0"/>
    <n v="0"/>
    <n v="0"/>
    <n v="0"/>
    <n v="0"/>
    <n v="0"/>
    <n v="0"/>
    <n v="0"/>
    <n v="0"/>
    <n v="0"/>
    <n v="0"/>
    <n v="0"/>
    <n v="0"/>
    <x v="0"/>
    <n v="0"/>
    <s v="MMR001CMP123"/>
    <x v="2"/>
    <x v="1"/>
    <x v="5"/>
    <n v="0"/>
    <s v="No"/>
    <m/>
  </r>
  <r>
    <n v="19.3"/>
    <d v="2014-12-19T00:00:00"/>
    <x v="0"/>
    <m/>
    <s v="Kachin"/>
    <s v="Waingmaw"/>
    <s v="Pajau - Jan Mai"/>
    <m/>
    <m/>
    <m/>
    <m/>
    <m/>
    <m/>
    <m/>
    <m/>
    <m/>
    <m/>
    <n v="384"/>
    <n v="573"/>
    <m/>
    <n v="382"/>
    <m/>
    <m/>
    <m/>
    <n v="0"/>
    <n v="0"/>
    <n v="0"/>
    <n v="0"/>
    <n v="0"/>
    <n v="0"/>
    <n v="0"/>
    <n v="0"/>
    <n v="0"/>
    <n v="0"/>
    <n v="0"/>
    <n v="0"/>
    <n v="0"/>
    <n v="0"/>
    <x v="1"/>
    <n v="0"/>
    <s v="MMR001CMP120"/>
    <x v="2"/>
    <x v="1"/>
    <x v="3"/>
    <n v="0"/>
    <m/>
    <m/>
  </r>
  <r>
    <n v="19.3"/>
    <d v="2014-12-19T00:00:00"/>
    <x v="0"/>
    <s v="KBC"/>
    <s v="Kachin"/>
    <s v="Waingmaw"/>
    <s v="Zai Awng - Mung Ga Zup"/>
    <m/>
    <m/>
    <m/>
    <m/>
    <m/>
    <m/>
    <m/>
    <m/>
    <m/>
    <m/>
    <n v="1292"/>
    <n v="1938"/>
    <m/>
    <n v="1292"/>
    <m/>
    <m/>
    <m/>
    <n v="0"/>
    <n v="0"/>
    <n v="0"/>
    <n v="0"/>
    <n v="0"/>
    <n v="0"/>
    <n v="0"/>
    <n v="0"/>
    <n v="0"/>
    <n v="0"/>
    <n v="0"/>
    <n v="0"/>
    <n v="0"/>
    <n v="0"/>
    <x v="1"/>
    <n v="0"/>
    <s v="MMR001CMP111"/>
    <x v="2"/>
    <x v="1"/>
    <x v="5"/>
    <n v="0"/>
    <m/>
    <m/>
  </r>
  <r>
    <n v="19.766666666666666"/>
    <d v="2014-12-05T00:00:00"/>
    <x v="0"/>
    <s v="KMSS"/>
    <s v="Kachin"/>
    <s v="Waingmaw"/>
    <s v="Border Post 8"/>
    <m/>
    <m/>
    <m/>
    <n v="164"/>
    <m/>
    <m/>
    <m/>
    <m/>
    <m/>
    <m/>
    <n v="302"/>
    <n v="440"/>
    <m/>
    <n v="297"/>
    <m/>
    <m/>
    <m/>
    <n v="0"/>
    <n v="0"/>
    <n v="0"/>
    <n v="0"/>
    <n v="0"/>
    <n v="0"/>
    <n v="0"/>
    <n v="0"/>
    <n v="0"/>
    <n v="0"/>
    <n v="0"/>
    <n v="0"/>
    <n v="0"/>
    <n v="0"/>
    <x v="1"/>
    <n v="0"/>
    <s v="MMR001CMP113"/>
    <x v="2"/>
    <x v="1"/>
    <x v="3"/>
    <n v="0"/>
    <m/>
    <m/>
  </r>
  <r>
    <n v="19.766666666666666"/>
    <d v="2014-12-05T00:00:00"/>
    <x v="0"/>
    <s v="KMSS"/>
    <s v="Kachin"/>
    <s v="Waingmaw"/>
    <s v="Post 6 Camp"/>
    <m/>
    <m/>
    <m/>
    <n v="124"/>
    <m/>
    <m/>
    <m/>
    <m/>
    <m/>
    <m/>
    <n v="262"/>
    <n v="400"/>
    <m/>
    <n v="257"/>
    <m/>
    <m/>
    <m/>
    <n v="0"/>
    <n v="0"/>
    <n v="0"/>
    <n v="0"/>
    <n v="0"/>
    <n v="0"/>
    <n v="0"/>
    <n v="0"/>
    <n v="0"/>
    <n v="0"/>
    <n v="0"/>
    <n v="0"/>
    <n v="0"/>
    <n v="0"/>
    <x v="1"/>
    <n v="0"/>
    <s v="MMR001CMP160"/>
    <x v="2"/>
    <x v="1"/>
    <x v="3"/>
    <n v="0"/>
    <m/>
    <m/>
  </r>
  <r>
    <n v="20.166666666666668"/>
    <d v="2014-11-23T00:00:00"/>
    <x v="0"/>
    <s v="KBC"/>
    <s v="Kachin"/>
    <s v="Myitkyina"/>
    <s v="Jan Mai Kawng Baptist Church"/>
    <m/>
    <m/>
    <m/>
    <n v="72"/>
    <n v="36"/>
    <n v="72"/>
    <n v="36"/>
    <m/>
    <n v="36"/>
    <n v="180"/>
    <m/>
    <m/>
    <m/>
    <m/>
    <m/>
    <m/>
    <m/>
    <n v="0"/>
    <n v="0"/>
    <n v="0"/>
    <n v="0"/>
    <n v="0"/>
    <n v="0"/>
    <n v="0"/>
    <n v="0"/>
    <n v="0"/>
    <n v="0"/>
    <n v="0"/>
    <n v="0"/>
    <n v="0"/>
    <n v="0"/>
    <x v="0"/>
    <n v="0"/>
    <s v="MMR001CMP018"/>
    <x v="2"/>
    <x v="1"/>
    <x v="2"/>
    <n v="0.18181818181818182"/>
    <m/>
    <m/>
  </r>
  <r>
    <n v="20.566666666666666"/>
    <d v="2014-11-11T00:00:00"/>
    <x v="0"/>
    <s v="KBC"/>
    <s v="Kachin"/>
    <s v="Hpakant"/>
    <s v="Hlaing Naung Baptist"/>
    <m/>
    <m/>
    <n v="19"/>
    <n v="38"/>
    <n v="19"/>
    <n v="38"/>
    <n v="19"/>
    <m/>
    <n v="19"/>
    <n v="95"/>
    <m/>
    <m/>
    <m/>
    <m/>
    <m/>
    <m/>
    <m/>
    <n v="0"/>
    <n v="0"/>
    <n v="0"/>
    <n v="0"/>
    <n v="0"/>
    <n v="0"/>
    <n v="0"/>
    <n v="0"/>
    <n v="0"/>
    <n v="0"/>
    <n v="0"/>
    <n v="0"/>
    <n v="0"/>
    <n v="0"/>
    <x v="0"/>
    <n v="0"/>
    <s v="MMR001CMP148"/>
    <x v="2"/>
    <x v="1"/>
    <x v="2"/>
    <n v="1.3571428571428572"/>
    <m/>
    <m/>
  </r>
  <r>
    <n v="20.833333333333332"/>
    <d v="2014-11-03T00:00:00"/>
    <x v="0"/>
    <s v="Shalom"/>
    <s v="Kachin"/>
    <s v="Waingmaw"/>
    <s v="Hkat Cho "/>
    <m/>
    <m/>
    <n v="15"/>
    <n v="30"/>
    <n v="15"/>
    <n v="30"/>
    <n v="15"/>
    <m/>
    <n v="15"/>
    <n v="75"/>
    <m/>
    <m/>
    <m/>
    <m/>
    <m/>
    <m/>
    <m/>
    <n v="0"/>
    <n v="0"/>
    <n v="0"/>
    <n v="0"/>
    <n v="0"/>
    <n v="0"/>
    <n v="0"/>
    <n v="0"/>
    <n v="0"/>
    <n v="0"/>
    <n v="0"/>
    <n v="0"/>
    <n v="0"/>
    <n v="0"/>
    <x v="0"/>
    <n v="0"/>
    <s v="MMR001CMP028"/>
    <x v="2"/>
    <x v="1"/>
    <x v="2"/>
    <n v="0.15151515151515152"/>
    <m/>
    <m/>
  </r>
  <r>
    <n v="20.933333333333334"/>
    <d v="2014-10-31T00:00:00"/>
    <x v="0"/>
    <m/>
    <s v="Kachin"/>
    <s v="Hpakant"/>
    <s v="5 Ward Baptist Church(lon Khin)"/>
    <m/>
    <m/>
    <n v="77"/>
    <n v="154"/>
    <n v="77"/>
    <n v="154"/>
    <n v="77"/>
    <m/>
    <n v="77"/>
    <n v="385"/>
    <m/>
    <m/>
    <m/>
    <m/>
    <m/>
    <m/>
    <m/>
    <n v="0"/>
    <n v="0"/>
    <n v="0"/>
    <n v="0"/>
    <n v="0"/>
    <n v="0"/>
    <n v="0"/>
    <n v="0"/>
    <n v="0"/>
    <n v="0"/>
    <n v="0"/>
    <n v="0"/>
    <n v="0"/>
    <n v="0"/>
    <x v="0"/>
    <n v="0"/>
    <s v="MMR001CMP179"/>
    <x v="2"/>
    <x v="1"/>
    <x v="2"/>
    <n v="1.0547945205479452"/>
    <m/>
    <m/>
  </r>
  <r>
    <n v="20.933333333333334"/>
    <d v="2014-10-31T00:00:00"/>
    <x v="0"/>
    <m/>
    <s v="Kachin"/>
    <s v="Hpakant"/>
    <s v="5 Ward RC Church(lon Khin)"/>
    <m/>
    <m/>
    <n v="59"/>
    <n v="118"/>
    <n v="59"/>
    <n v="118"/>
    <n v="59"/>
    <m/>
    <n v="59"/>
    <n v="295"/>
    <m/>
    <m/>
    <m/>
    <m/>
    <m/>
    <m/>
    <m/>
    <n v="0"/>
    <n v="0"/>
    <n v="0"/>
    <n v="0"/>
    <n v="0"/>
    <n v="0"/>
    <n v="0"/>
    <n v="0"/>
    <n v="0"/>
    <n v="0"/>
    <n v="0"/>
    <n v="0"/>
    <n v="0"/>
    <n v="0"/>
    <x v="0"/>
    <n v="0"/>
    <s v="MMR001CMP168"/>
    <x v="2"/>
    <x v="1"/>
    <x v="2"/>
    <n v="0.76623376623376627"/>
    <m/>
    <m/>
  </r>
  <r>
    <n v="20.933333333333334"/>
    <d v="2014-10-31T00:00:00"/>
    <x v="0"/>
    <m/>
    <s v="Kachin"/>
    <s v="Hpakant"/>
    <s v="AG Church, Hmaw Si Sa"/>
    <m/>
    <m/>
    <n v="67"/>
    <n v="134"/>
    <n v="67"/>
    <n v="134"/>
    <n v="67"/>
    <m/>
    <n v="67"/>
    <n v="335"/>
    <m/>
    <m/>
    <m/>
    <m/>
    <m/>
    <m/>
    <m/>
    <n v="0"/>
    <n v="0"/>
    <n v="0"/>
    <n v="0"/>
    <n v="0"/>
    <n v="0"/>
    <n v="0"/>
    <n v="0"/>
    <n v="0"/>
    <n v="0"/>
    <n v="0"/>
    <n v="0"/>
    <n v="0"/>
    <n v="0"/>
    <x v="0"/>
    <n v="0"/>
    <s v="MMR001CMP176"/>
    <x v="2"/>
    <x v="1"/>
    <x v="2"/>
    <n v="1"/>
    <m/>
    <m/>
  </r>
  <r>
    <n v="26.233333333333334"/>
    <d v="2014-05-25T00:00:00"/>
    <x v="6"/>
    <s v="MRCS"/>
    <s v="Kachin"/>
    <s v="Waingmaw"/>
    <s v="Hkat Cho "/>
    <m/>
    <m/>
    <m/>
    <m/>
    <m/>
    <m/>
    <m/>
    <m/>
    <m/>
    <m/>
    <m/>
    <m/>
    <m/>
    <n v="224"/>
    <m/>
    <m/>
    <m/>
    <n v="0"/>
    <n v="0"/>
    <n v="0"/>
    <n v="0"/>
    <n v="0"/>
    <n v="0"/>
    <n v="0"/>
    <n v="0"/>
    <n v="0"/>
    <n v="0"/>
    <n v="0"/>
    <n v="0"/>
    <n v="0"/>
    <n v="0"/>
    <x v="1"/>
    <n v="0"/>
    <s v="MMR001CMP028"/>
    <x v="2"/>
    <x v="1"/>
    <x v="2"/>
    <n v="0"/>
    <m/>
    <m/>
  </r>
  <r>
    <n v="31.5"/>
    <d v="2013-12-18T00:00:00"/>
    <x v="5"/>
    <s v="KBC"/>
    <s v="Kachin"/>
    <s v="Waingmaw"/>
    <s v="Hkat Cho "/>
    <m/>
    <m/>
    <m/>
    <m/>
    <m/>
    <m/>
    <m/>
    <m/>
    <m/>
    <m/>
    <n v="134"/>
    <n v="238"/>
    <n v="744"/>
    <n v="372"/>
    <m/>
    <m/>
    <m/>
    <n v="0"/>
    <n v="0"/>
    <n v="0"/>
    <n v="0"/>
    <n v="0"/>
    <n v="0"/>
    <n v="0"/>
    <n v="0"/>
    <n v="0"/>
    <n v="0"/>
    <n v="0"/>
    <n v="0"/>
    <n v="0"/>
    <n v="0"/>
    <x v="1"/>
    <n v="0"/>
    <s v="MMR001CMP028"/>
    <x v="2"/>
    <x v="1"/>
    <x v="2"/>
    <n v="0"/>
    <m/>
    <m/>
  </r>
  <r>
    <n v="32.1"/>
    <d v="2013-11-30T00:00:00"/>
    <x v="5"/>
    <s v="KBC"/>
    <s v="Kachin"/>
    <s v="Waingmaw"/>
    <s v="Hkat Cho "/>
    <m/>
    <m/>
    <m/>
    <m/>
    <m/>
    <m/>
    <m/>
    <m/>
    <m/>
    <m/>
    <m/>
    <m/>
    <m/>
    <m/>
    <m/>
    <m/>
    <m/>
    <n v="0"/>
    <n v="0"/>
    <n v="0"/>
    <n v="0"/>
    <n v="0"/>
    <n v="0"/>
    <n v="0"/>
    <n v="0"/>
    <n v="0"/>
    <n v="0"/>
    <n v="0"/>
    <n v="0"/>
    <n v="0"/>
    <n v="0"/>
    <x v="0"/>
    <n v="0"/>
    <s v="MMR001CMP028"/>
    <x v="2"/>
    <x v="1"/>
    <x v="2"/>
    <n v="0"/>
    <s v="No"/>
    <m/>
  </r>
  <r>
    <n v="41.333333333333336"/>
    <d v="2013-02-26T00:00:00"/>
    <x v="2"/>
    <s v="MRCS"/>
    <s v="Kachin"/>
    <s v="Waingmaw"/>
    <s v="Hkat Cho "/>
    <m/>
    <m/>
    <n v="136"/>
    <m/>
    <n v="66"/>
    <m/>
    <n v="70"/>
    <m/>
    <n v="0"/>
    <n v="0"/>
    <m/>
    <m/>
    <m/>
    <m/>
    <m/>
    <m/>
    <m/>
    <n v="0"/>
    <n v="0"/>
    <n v="0"/>
    <n v="0"/>
    <n v="0"/>
    <n v="0"/>
    <n v="0"/>
    <n v="0"/>
    <n v="0"/>
    <n v="0"/>
    <n v="0"/>
    <n v="0"/>
    <n v="0"/>
    <n v="0"/>
    <x v="0"/>
    <n v="0"/>
    <s v="MMR001CMP028"/>
    <x v="2"/>
    <x v="1"/>
    <x v="2"/>
    <n v="0.70707070707070707"/>
    <s v="No"/>
    <m/>
  </r>
  <r>
    <n v="41.366666666666667"/>
    <d v="2013-02-25T00:00:00"/>
    <x v="2"/>
    <s v="MRCS"/>
    <s v="Kachin"/>
    <s v="Waingmaw"/>
    <s v="Hkat Cho "/>
    <m/>
    <m/>
    <m/>
    <m/>
    <n v="1"/>
    <m/>
    <m/>
    <m/>
    <n v="0"/>
    <n v="0"/>
    <m/>
    <m/>
    <m/>
    <m/>
    <m/>
    <m/>
    <m/>
    <n v="0"/>
    <n v="0"/>
    <n v="0"/>
    <n v="0"/>
    <n v="0"/>
    <n v="0"/>
    <n v="0"/>
    <n v="0"/>
    <n v="0"/>
    <n v="0"/>
    <n v="0"/>
    <n v="0"/>
    <n v="0"/>
    <n v="0"/>
    <x v="0"/>
    <n v="0"/>
    <s v="MMR001CMP028"/>
    <x v="2"/>
    <x v="1"/>
    <x v="2"/>
    <n v="0"/>
    <s v="No"/>
    <m/>
  </r>
  <r>
    <n v="42.2"/>
    <d v="2013-01-31T00:00:00"/>
    <x v="7"/>
    <s v="World Vision"/>
    <s v="Kachin"/>
    <s v="Waingmaw"/>
    <s v="Hkat Cho "/>
    <m/>
    <m/>
    <m/>
    <m/>
    <m/>
    <n v="256"/>
    <m/>
    <m/>
    <n v="0"/>
    <n v="0"/>
    <m/>
    <m/>
    <m/>
    <m/>
    <m/>
    <m/>
    <m/>
    <n v="0"/>
    <n v="0"/>
    <n v="0"/>
    <n v="0"/>
    <n v="0"/>
    <n v="0"/>
    <n v="0"/>
    <n v="0"/>
    <n v="0"/>
    <n v="0"/>
    <n v="0"/>
    <n v="0"/>
    <n v="0"/>
    <n v="0"/>
    <x v="0"/>
    <n v="0"/>
    <s v="MMR001CMP028"/>
    <x v="2"/>
    <x v="1"/>
    <x v="2"/>
    <n v="0"/>
    <s v="No"/>
    <m/>
  </r>
  <r>
    <n v="43.233333333333334"/>
    <d v="2012-12-31T00:00:00"/>
    <x v="3"/>
    <s v="DRC"/>
    <s v="Kachin"/>
    <s v="Waingmaw"/>
    <s v="Hkat Cho "/>
    <n v="136"/>
    <m/>
    <m/>
    <m/>
    <m/>
    <m/>
    <m/>
    <m/>
    <n v="0"/>
    <n v="0"/>
    <m/>
    <m/>
    <m/>
    <m/>
    <m/>
    <m/>
    <m/>
    <n v="0"/>
    <n v="0"/>
    <n v="0"/>
    <n v="0"/>
    <n v="0"/>
    <n v="0"/>
    <n v="0"/>
    <n v="0"/>
    <n v="0"/>
    <n v="0"/>
    <n v="0"/>
    <n v="0"/>
    <n v="0"/>
    <n v="0"/>
    <x v="0"/>
    <n v="0"/>
    <s v="MMR001CMP028"/>
    <x v="2"/>
    <x v="1"/>
    <x v="2"/>
    <n v="0"/>
    <s v="No"/>
    <m/>
  </r>
  <r>
    <n v="20.933333333333334"/>
    <d v="2014-10-31T00:00:00"/>
    <x v="0"/>
    <m/>
    <s v="Kachin"/>
    <s v="Hpakant"/>
    <s v="AG Church, Maw Wan"/>
    <m/>
    <m/>
    <n v="14"/>
    <n v="28"/>
    <n v="14"/>
    <n v="28"/>
    <n v="14"/>
    <m/>
    <n v="14"/>
    <n v="70"/>
    <m/>
    <m/>
    <m/>
    <m/>
    <m/>
    <m/>
    <m/>
    <n v="0"/>
    <n v="0"/>
    <n v="0"/>
    <n v="0"/>
    <n v="0"/>
    <n v="0"/>
    <n v="0"/>
    <n v="0"/>
    <n v="0"/>
    <n v="0"/>
    <n v="0"/>
    <n v="0"/>
    <n v="0"/>
    <n v="0"/>
    <x v="0"/>
    <n v="0"/>
    <s v="MMR001CMP190"/>
    <x v="2"/>
    <x v="1"/>
    <x v="2"/>
    <n v="1"/>
    <m/>
    <m/>
  </r>
  <r>
    <n v="20.933333333333334"/>
    <d v="2014-10-31T00:00:00"/>
    <x v="0"/>
    <m/>
    <s v="Kachin"/>
    <s v="Hpakant"/>
    <s v="Baptist Church, Hmaw Si Sar(Lon Khin)"/>
    <m/>
    <m/>
    <n v="38"/>
    <n v="76"/>
    <n v="38"/>
    <n v="76"/>
    <n v="38"/>
    <m/>
    <n v="38"/>
    <n v="190"/>
    <m/>
    <m/>
    <m/>
    <m/>
    <m/>
    <m/>
    <m/>
    <n v="0"/>
    <n v="0"/>
    <n v="0"/>
    <n v="0"/>
    <n v="0"/>
    <n v="0"/>
    <n v="0"/>
    <n v="0"/>
    <n v="0"/>
    <n v="0"/>
    <n v="0"/>
    <n v="0"/>
    <n v="0"/>
    <n v="0"/>
    <x v="0"/>
    <n v="0"/>
    <s v="MMR001CMP169"/>
    <x v="2"/>
    <x v="1"/>
    <x v="2"/>
    <n v="1.0857142857142856"/>
    <m/>
    <m/>
  </r>
  <r>
    <n v="20.933333333333334"/>
    <d v="2014-10-31T00:00:00"/>
    <x v="0"/>
    <m/>
    <s v="Kachin"/>
    <s v="Hpakant"/>
    <s v="Chin Church, Seik Mu"/>
    <m/>
    <m/>
    <n v="5"/>
    <n v="10"/>
    <n v="5"/>
    <n v="10"/>
    <n v="5"/>
    <m/>
    <n v="5"/>
    <n v="25"/>
    <m/>
    <m/>
    <m/>
    <m/>
    <m/>
    <m/>
    <m/>
    <n v="0"/>
    <n v="0"/>
    <n v="0"/>
    <n v="0"/>
    <n v="0"/>
    <n v="0"/>
    <n v="0"/>
    <n v="0"/>
    <n v="0"/>
    <n v="0"/>
    <n v="0"/>
    <n v="0"/>
    <n v="0"/>
    <n v="0"/>
    <x v="0"/>
    <n v="0"/>
    <s v="MMR001CMP109"/>
    <x v="2"/>
    <x v="1"/>
    <x v="2"/>
    <n v="0.83333333333333337"/>
    <m/>
    <m/>
  </r>
  <r>
    <n v="22.933333333333334"/>
    <d v="2014-09-01T00:00:00"/>
    <x v="10"/>
    <m/>
    <s v="Kachin"/>
    <s v="Waingmaw"/>
    <s v="Hkau Shau (BP 12)"/>
    <m/>
    <m/>
    <m/>
    <m/>
    <m/>
    <m/>
    <m/>
    <m/>
    <m/>
    <m/>
    <m/>
    <n v="407"/>
    <m/>
    <m/>
    <m/>
    <m/>
    <m/>
    <n v="0"/>
    <n v="0"/>
    <n v="0"/>
    <n v="0"/>
    <n v="0"/>
    <n v="0"/>
    <n v="0"/>
    <n v="0"/>
    <n v="0"/>
    <n v="0"/>
    <n v="0"/>
    <n v="0"/>
    <n v="0"/>
    <n v="0"/>
    <x v="1"/>
    <n v="0"/>
    <s v="MMR001CMP115"/>
    <x v="2"/>
    <x v="1"/>
    <x v="3"/>
    <n v="0"/>
    <m/>
    <m/>
  </r>
  <r>
    <n v="30.166666666666668"/>
    <d v="2014-01-27T00:00:00"/>
    <x v="10"/>
    <s v="KBC"/>
    <s v="Kachin"/>
    <s v="Waingmaw"/>
    <s v="Hkau Shau (BP 12)"/>
    <m/>
    <m/>
    <m/>
    <m/>
    <m/>
    <n v="181"/>
    <n v="181"/>
    <n v="181"/>
    <m/>
    <n v="181"/>
    <m/>
    <m/>
    <m/>
    <m/>
    <m/>
    <m/>
    <m/>
    <n v="0"/>
    <n v="0"/>
    <n v="0"/>
    <n v="0"/>
    <n v="0"/>
    <n v="0"/>
    <n v="0"/>
    <n v="0"/>
    <n v="0"/>
    <n v="0"/>
    <n v="0"/>
    <n v="0"/>
    <n v="0"/>
    <n v="0"/>
    <x v="0"/>
    <n v="0"/>
    <s v="MMR001CMP115"/>
    <x v="2"/>
    <x v="1"/>
    <x v="3"/>
    <n v="1.2397260273972603"/>
    <s v="No"/>
    <m/>
  </r>
  <r>
    <n v="32.1"/>
    <d v="2013-11-30T00:00:00"/>
    <x v="5"/>
    <s v="KBC"/>
    <s v="Kachin"/>
    <s v="Waingmaw"/>
    <s v="Hkau Shau (BP 12)"/>
    <m/>
    <m/>
    <m/>
    <m/>
    <m/>
    <m/>
    <m/>
    <m/>
    <m/>
    <m/>
    <m/>
    <m/>
    <m/>
    <m/>
    <m/>
    <m/>
    <m/>
    <n v="0"/>
    <n v="0"/>
    <n v="0"/>
    <n v="0"/>
    <n v="0"/>
    <n v="0"/>
    <n v="0"/>
    <n v="0"/>
    <n v="0"/>
    <n v="0"/>
    <n v="0"/>
    <n v="0"/>
    <n v="0"/>
    <n v="0"/>
    <x v="0"/>
    <n v="0"/>
    <s v="MMR001CMP115"/>
    <x v="2"/>
    <x v="1"/>
    <x v="3"/>
    <n v="0"/>
    <s v="No"/>
    <m/>
  </r>
  <r>
    <n v="32.133333333333333"/>
    <d v="2013-11-29T00:00:00"/>
    <x v="5"/>
    <s v="KBC"/>
    <s v="Kachin"/>
    <s v="Waingmaw"/>
    <s v="Hkau Shau (BP 12)"/>
    <m/>
    <m/>
    <m/>
    <m/>
    <m/>
    <m/>
    <m/>
    <m/>
    <m/>
    <m/>
    <n v="177"/>
    <n v="354"/>
    <n v="1062"/>
    <n v="531"/>
    <m/>
    <m/>
    <m/>
    <n v="0"/>
    <n v="0"/>
    <n v="0"/>
    <n v="0"/>
    <n v="0"/>
    <n v="0"/>
    <n v="0"/>
    <n v="0"/>
    <n v="0"/>
    <n v="0"/>
    <n v="0"/>
    <n v="0"/>
    <n v="0"/>
    <n v="0"/>
    <x v="1"/>
    <n v="0"/>
    <s v="MMR001CMP115"/>
    <x v="2"/>
    <x v="1"/>
    <x v="3"/>
    <n v="0"/>
    <m/>
    <m/>
  </r>
  <r>
    <n v="20.933333333333334"/>
    <d v="2014-10-31T00:00:00"/>
    <x v="0"/>
    <m/>
    <s v="Kachin"/>
    <s v="Hpakant"/>
    <s v="Dhama Rakhita, Nyein Chan Tar Yar Ward(Lon Khin)"/>
    <m/>
    <m/>
    <n v="67"/>
    <n v="134"/>
    <n v="67"/>
    <n v="134"/>
    <n v="67"/>
    <m/>
    <n v="67"/>
    <n v="335"/>
    <m/>
    <m/>
    <m/>
    <m/>
    <m/>
    <m/>
    <m/>
    <n v="0"/>
    <n v="0"/>
    <n v="0"/>
    <n v="0"/>
    <n v="0"/>
    <n v="0"/>
    <n v="0"/>
    <n v="0"/>
    <n v="0"/>
    <n v="0"/>
    <n v="0"/>
    <n v="0"/>
    <n v="0"/>
    <n v="0"/>
    <x v="0"/>
    <n v="0"/>
    <s v="MMR001CMP174"/>
    <x v="2"/>
    <x v="1"/>
    <x v="2"/>
    <n v="1.0151515151515151"/>
    <m/>
    <m/>
  </r>
  <r>
    <n v="21.133333333333333"/>
    <d v="2014-10-25T00:00:00"/>
    <x v="1"/>
    <s v="MRCS"/>
    <s v="Kachin"/>
    <s v="Hpakant"/>
    <s v="Hlaing Naung Baptist"/>
    <m/>
    <m/>
    <m/>
    <m/>
    <m/>
    <m/>
    <m/>
    <m/>
    <m/>
    <m/>
    <n v="37"/>
    <n v="24"/>
    <m/>
    <m/>
    <m/>
    <m/>
    <m/>
    <n v="0"/>
    <n v="0"/>
    <n v="0"/>
    <n v="0"/>
    <n v="0"/>
    <n v="0"/>
    <n v="0"/>
    <n v="0"/>
    <n v="0"/>
    <n v="0"/>
    <n v="0"/>
    <n v="0"/>
    <n v="0"/>
    <n v="0"/>
    <x v="1"/>
    <n v="0"/>
    <s v="MMR001CMP148"/>
    <x v="2"/>
    <x v="1"/>
    <x v="2"/>
    <n v="0"/>
    <m/>
    <m/>
  </r>
  <r>
    <n v="27.9"/>
    <d v="2014-04-05T00:00:00"/>
    <x v="6"/>
    <s v="MRCS"/>
    <s v="Kachin"/>
    <s v="Hpakant"/>
    <s v="Hlaing Naung Baptist"/>
    <m/>
    <m/>
    <m/>
    <m/>
    <m/>
    <m/>
    <m/>
    <m/>
    <m/>
    <m/>
    <m/>
    <m/>
    <m/>
    <n v="44"/>
    <m/>
    <m/>
    <m/>
    <n v="0"/>
    <n v="0"/>
    <n v="0"/>
    <n v="0"/>
    <n v="0"/>
    <n v="0"/>
    <n v="0"/>
    <n v="0"/>
    <n v="0"/>
    <n v="0"/>
    <n v="0"/>
    <n v="0"/>
    <n v="0"/>
    <n v="0"/>
    <x v="1"/>
    <n v="0"/>
    <s v="MMR001CMP148"/>
    <x v="2"/>
    <x v="1"/>
    <x v="2"/>
    <n v="0"/>
    <m/>
    <m/>
  </r>
  <r>
    <n v="20.933333333333334"/>
    <d v="2014-10-31T00:00:00"/>
    <x v="0"/>
    <m/>
    <s v="Kachin"/>
    <s v="Hpakant"/>
    <s v="Hmaw Wan, Anglican"/>
    <m/>
    <m/>
    <n v="10"/>
    <n v="20"/>
    <n v="10"/>
    <n v="20"/>
    <n v="10"/>
    <m/>
    <n v="10"/>
    <n v="50"/>
    <m/>
    <m/>
    <m/>
    <m/>
    <m/>
    <m/>
    <m/>
    <n v="0"/>
    <n v="0"/>
    <n v="0"/>
    <n v="0"/>
    <n v="0"/>
    <n v="0"/>
    <n v="0"/>
    <n v="0"/>
    <n v="0"/>
    <n v="0"/>
    <n v="0"/>
    <n v="0"/>
    <n v="0"/>
    <n v="0"/>
    <x v="0"/>
    <n v="0"/>
    <s v="MMR001CMP191"/>
    <x v="2"/>
    <x v="1"/>
    <x v="2"/>
    <n v="1.25"/>
    <m/>
    <m/>
  </r>
  <r>
    <n v="43.233333333333334"/>
    <d v="2012-12-31T00:00:00"/>
    <x v="3"/>
    <s v="DRC"/>
    <s v="Kachin"/>
    <s v="Hpakant"/>
    <s v="Hlaing Naung Baptist"/>
    <n v="4"/>
    <m/>
    <m/>
    <m/>
    <m/>
    <m/>
    <m/>
    <m/>
    <n v="0"/>
    <n v="0"/>
    <m/>
    <m/>
    <m/>
    <m/>
    <m/>
    <m/>
    <m/>
    <n v="0"/>
    <n v="0"/>
    <n v="0"/>
    <n v="0"/>
    <n v="0"/>
    <n v="0"/>
    <n v="0"/>
    <n v="0"/>
    <n v="0"/>
    <n v="0"/>
    <n v="0"/>
    <n v="0"/>
    <n v="0"/>
    <n v="0"/>
    <x v="0"/>
    <n v="0"/>
    <s v="MMR001CMP148"/>
    <x v="2"/>
    <x v="1"/>
    <x v="2"/>
    <n v="0"/>
    <s v="No"/>
    <m/>
  </r>
  <r>
    <n v="20.933333333333334"/>
    <d v="2014-10-31T00:00:00"/>
    <x v="0"/>
    <m/>
    <s v="Kachin"/>
    <s v="Hpakant"/>
    <s v="Hpakant Baptist Church, Nam Ma Hpit"/>
    <m/>
    <m/>
    <n v="64"/>
    <n v="128"/>
    <n v="64"/>
    <n v="128"/>
    <n v="64"/>
    <m/>
    <n v="64"/>
    <n v="320"/>
    <m/>
    <m/>
    <m/>
    <m/>
    <m/>
    <m/>
    <m/>
    <n v="0"/>
    <n v="0"/>
    <n v="0"/>
    <n v="0"/>
    <n v="0"/>
    <n v="0"/>
    <n v="0"/>
    <n v="0"/>
    <n v="0"/>
    <n v="0"/>
    <n v="0"/>
    <n v="0"/>
    <n v="0"/>
    <n v="0"/>
    <x v="0"/>
    <n v="0"/>
    <s v="MMR001CMP229"/>
    <x v="2"/>
    <x v="1"/>
    <x v="2"/>
    <n v="0.60952380952380958"/>
    <m/>
    <m/>
  </r>
  <r>
    <n v="20.933333333333334"/>
    <d v="2014-10-31T00:00:00"/>
    <x v="0"/>
    <m/>
    <s v="Kachin"/>
    <s v="Hpakant"/>
    <s v="Lisu Baptist Church, Maw Shan Vil,. Seik Mu"/>
    <m/>
    <m/>
    <n v="25"/>
    <n v="50"/>
    <n v="25"/>
    <n v="50"/>
    <n v="25"/>
    <m/>
    <n v="25"/>
    <n v="125"/>
    <m/>
    <m/>
    <m/>
    <m/>
    <m/>
    <m/>
    <m/>
    <n v="0"/>
    <n v="0"/>
    <n v="0"/>
    <n v="0"/>
    <n v="0"/>
    <n v="0"/>
    <n v="0"/>
    <n v="0"/>
    <n v="0"/>
    <n v="0"/>
    <n v="0"/>
    <n v="0"/>
    <n v="0"/>
    <n v="0"/>
    <x v="0"/>
    <n v="0"/>
    <s v="MMR001CMP181"/>
    <x v="2"/>
    <x v="1"/>
    <x v="2"/>
    <n v="1"/>
    <m/>
    <m/>
  </r>
  <r>
    <n v="20.933333333333334"/>
    <d v="2014-10-31T00:00:00"/>
    <x v="0"/>
    <m/>
    <s v="Kachin"/>
    <s v="Hpakant"/>
    <s v="Lisu Baptist Church, Maw Wan Ward"/>
    <m/>
    <m/>
    <n v="15"/>
    <n v="30"/>
    <n v="15"/>
    <n v="30"/>
    <n v="15"/>
    <m/>
    <n v="15"/>
    <n v="75"/>
    <m/>
    <m/>
    <m/>
    <m/>
    <m/>
    <m/>
    <m/>
    <n v="0"/>
    <n v="0"/>
    <n v="0"/>
    <n v="0"/>
    <n v="0"/>
    <n v="0"/>
    <n v="0"/>
    <n v="0"/>
    <n v="0"/>
    <n v="0"/>
    <n v="0"/>
    <n v="0"/>
    <n v="0"/>
    <n v="0"/>
    <x v="0"/>
    <n v="0"/>
    <s v="MMR001CMP167"/>
    <x v="2"/>
    <x v="1"/>
    <x v="2"/>
    <n v="1"/>
    <m/>
    <m/>
  </r>
  <r>
    <n v="20.933333333333334"/>
    <d v="2014-10-31T00:00:00"/>
    <x v="0"/>
    <m/>
    <s v="Kachin"/>
    <s v="Hpakant"/>
    <s v="Maw Wan, Mu-yin Baptist Church"/>
    <m/>
    <m/>
    <n v="5"/>
    <n v="10"/>
    <n v="5"/>
    <n v="10"/>
    <n v="5"/>
    <m/>
    <n v="5"/>
    <n v="25"/>
    <m/>
    <m/>
    <m/>
    <m/>
    <m/>
    <m/>
    <m/>
    <n v="0"/>
    <n v="0"/>
    <n v="0"/>
    <n v="0"/>
    <n v="0"/>
    <n v="0"/>
    <n v="0"/>
    <n v="0"/>
    <n v="0"/>
    <n v="0"/>
    <n v="0"/>
    <n v="0"/>
    <n v="0"/>
    <n v="0"/>
    <x v="0"/>
    <n v="0"/>
    <s v="MMR001CMP091"/>
    <x v="2"/>
    <x v="1"/>
    <x v="2"/>
    <n v="1"/>
    <m/>
    <m/>
  </r>
  <r>
    <n v="20.933333333333334"/>
    <d v="2014-10-31T00:00:00"/>
    <x v="0"/>
    <m/>
    <s v="Kachin"/>
    <s v="Hpakant"/>
    <s v="Nam Ma Phyit, COC"/>
    <m/>
    <m/>
    <n v="17"/>
    <n v="34"/>
    <n v="17"/>
    <n v="34"/>
    <n v="17"/>
    <m/>
    <n v="17"/>
    <n v="85"/>
    <m/>
    <m/>
    <m/>
    <m/>
    <m/>
    <m/>
    <m/>
    <n v="0"/>
    <n v="0"/>
    <n v="0"/>
    <n v="0"/>
    <n v="0"/>
    <n v="0"/>
    <n v="0"/>
    <n v="0"/>
    <n v="0"/>
    <n v="0"/>
    <n v="0"/>
    <n v="0"/>
    <n v="0"/>
    <n v="0"/>
    <x v="0"/>
    <n v="0"/>
    <s v="MMR001CMP192"/>
    <x v="2"/>
    <x v="1"/>
    <x v="2"/>
    <n v="1"/>
    <m/>
    <m/>
  </r>
  <r>
    <n v="21.133333333333333"/>
    <d v="2014-10-25T00:00:00"/>
    <x v="1"/>
    <s v="MRCS"/>
    <s v="Kachin"/>
    <s v="Hpakant"/>
    <s v="Hmaw Wan, Anglican"/>
    <m/>
    <m/>
    <m/>
    <m/>
    <m/>
    <m/>
    <m/>
    <m/>
    <m/>
    <m/>
    <n v="33"/>
    <n v="24"/>
    <m/>
    <m/>
    <m/>
    <m/>
    <m/>
    <n v="0"/>
    <n v="0"/>
    <n v="0"/>
    <n v="0"/>
    <n v="0"/>
    <n v="0"/>
    <n v="0"/>
    <n v="0"/>
    <n v="0"/>
    <n v="0"/>
    <n v="0"/>
    <n v="0"/>
    <n v="0"/>
    <n v="0"/>
    <x v="1"/>
    <n v="0"/>
    <s v="MMR001CMP191"/>
    <x v="2"/>
    <x v="1"/>
    <x v="2"/>
    <n v="0"/>
    <m/>
    <m/>
  </r>
  <r>
    <n v="20.933333333333334"/>
    <d v="2014-10-31T00:00:00"/>
    <x v="0"/>
    <m/>
    <s v="Kachin"/>
    <s v="Hpakant"/>
    <s v="Nant Ma Hpit Catholic Church"/>
    <m/>
    <m/>
    <n v="36"/>
    <n v="72"/>
    <n v="36"/>
    <n v="72"/>
    <n v="36"/>
    <m/>
    <n v="36"/>
    <n v="180"/>
    <m/>
    <m/>
    <m/>
    <m/>
    <m/>
    <m/>
    <m/>
    <n v="0"/>
    <n v="0"/>
    <n v="0"/>
    <n v="0"/>
    <n v="0"/>
    <n v="0"/>
    <n v="0"/>
    <n v="0"/>
    <n v="0"/>
    <n v="0"/>
    <n v="0"/>
    <n v="0"/>
    <n v="0"/>
    <n v="0"/>
    <x v="0"/>
    <n v="0"/>
    <s v="MMR001CMP103"/>
    <x v="2"/>
    <x v="1"/>
    <x v="2"/>
    <n v="0.69230769230769229"/>
    <m/>
    <s v="used in warehouse"/>
  </r>
  <r>
    <n v="43.233333333333334"/>
    <d v="2012-12-31T00:00:00"/>
    <x v="3"/>
    <s v="DRC"/>
    <s v="Kachin"/>
    <s v="Hpakant"/>
    <s v="Hmaw Wan, Anglican"/>
    <n v="3"/>
    <m/>
    <m/>
    <m/>
    <m/>
    <m/>
    <m/>
    <m/>
    <n v="0"/>
    <n v="0"/>
    <m/>
    <m/>
    <m/>
    <m/>
    <m/>
    <m/>
    <m/>
    <n v="0"/>
    <n v="0"/>
    <n v="0"/>
    <n v="0"/>
    <n v="0"/>
    <n v="0"/>
    <n v="0"/>
    <n v="0"/>
    <n v="0"/>
    <n v="0"/>
    <n v="0"/>
    <n v="0"/>
    <n v="0"/>
    <n v="0"/>
    <x v="0"/>
    <n v="0"/>
    <s v="MMR001CMP191"/>
    <x v="2"/>
    <x v="1"/>
    <x v="2"/>
    <n v="0"/>
    <s v="No"/>
    <m/>
  </r>
  <r>
    <n v="27.833333333333332"/>
    <d v="2014-04-07T00:00:00"/>
    <x v="6"/>
    <s v="MRCS"/>
    <s v="Kachin"/>
    <s v="Mansi"/>
    <s v="Host Families"/>
    <m/>
    <m/>
    <m/>
    <m/>
    <m/>
    <m/>
    <m/>
    <m/>
    <m/>
    <m/>
    <m/>
    <m/>
    <m/>
    <n v="558"/>
    <m/>
    <m/>
    <m/>
    <n v="0"/>
    <n v="0"/>
    <n v="0"/>
    <n v="0"/>
    <n v="0"/>
    <n v="0"/>
    <n v="0"/>
    <n v="0"/>
    <n v="0"/>
    <n v="0"/>
    <n v="0"/>
    <n v="0"/>
    <n v="0"/>
    <n v="0"/>
    <x v="1"/>
    <n v="0"/>
    <s v="MMR001CMP163"/>
    <x v="2"/>
    <x v="1"/>
    <x v="2"/>
    <n v="0"/>
    <m/>
    <m/>
  </r>
  <r>
    <n v="20.933333333333334"/>
    <d v="2014-10-31T00:00:00"/>
    <x v="0"/>
    <m/>
    <s v="Kachin"/>
    <s v="Hpakant"/>
    <s v="Rawan Baptist Church, Maw Shan Vil., Seik Mu"/>
    <m/>
    <m/>
    <n v="12"/>
    <n v="24"/>
    <n v="12"/>
    <n v="24"/>
    <n v="12"/>
    <m/>
    <n v="12"/>
    <n v="60"/>
    <m/>
    <m/>
    <m/>
    <m/>
    <m/>
    <m/>
    <m/>
    <n v="0"/>
    <n v="0"/>
    <n v="0"/>
    <n v="0"/>
    <n v="0"/>
    <n v="0"/>
    <n v="0"/>
    <n v="0"/>
    <n v="0"/>
    <n v="0"/>
    <n v="0"/>
    <n v="0"/>
    <n v="0"/>
    <n v="0"/>
    <x v="0"/>
    <n v="0"/>
    <s v="MMR001CMP182"/>
    <x v="2"/>
    <x v="1"/>
    <x v="2"/>
    <n v="1.2"/>
    <m/>
    <m/>
  </r>
  <r>
    <n v="20.933333333333334"/>
    <d v="2014-10-31T00:00:00"/>
    <x v="0"/>
    <m/>
    <s v="Kachin"/>
    <s v="Hpakant"/>
    <s v="Sai Nai Baptish Church, Maw Shan Vil., Seki Mu"/>
    <m/>
    <m/>
    <n v="9"/>
    <n v="18"/>
    <n v="9"/>
    <n v="18"/>
    <n v="9"/>
    <m/>
    <n v="9"/>
    <n v="45"/>
    <m/>
    <m/>
    <m/>
    <m/>
    <m/>
    <m/>
    <m/>
    <n v="0"/>
    <n v="0"/>
    <n v="0"/>
    <n v="0"/>
    <n v="0"/>
    <n v="0"/>
    <n v="0"/>
    <n v="0"/>
    <n v="0"/>
    <n v="0"/>
    <n v="0"/>
    <n v="0"/>
    <n v="0"/>
    <n v="0"/>
    <x v="0"/>
    <n v="0"/>
    <s v="MMR001CMP183"/>
    <x v="2"/>
    <x v="1"/>
    <x v="2"/>
    <n v="1.125"/>
    <m/>
    <m/>
  </r>
  <r>
    <n v="53.93333333333333"/>
    <d v="2012-02-14T00:00:00"/>
    <x v="5"/>
    <s v="Solidarities"/>
    <s v="Kachin"/>
    <s v="Shwegu"/>
    <s v="Host Families"/>
    <n v="429"/>
    <m/>
    <m/>
    <m/>
    <m/>
    <m/>
    <m/>
    <m/>
    <m/>
    <m/>
    <m/>
    <m/>
    <m/>
    <m/>
    <m/>
    <m/>
    <m/>
    <n v="0"/>
    <n v="0"/>
    <n v="0"/>
    <n v="0"/>
    <n v="0"/>
    <n v="0"/>
    <n v="0"/>
    <n v="0"/>
    <n v="0"/>
    <n v="0"/>
    <n v="0"/>
    <n v="0"/>
    <n v="0"/>
    <n v="0"/>
    <x v="0"/>
    <n v="0"/>
    <s v="MMR001CMP163"/>
    <x v="2"/>
    <x v="1"/>
    <x v="2"/>
    <n v="0"/>
    <m/>
    <m/>
  </r>
  <r>
    <n v="53.9"/>
    <d v="2012-02-15T00:00:00"/>
    <x v="5"/>
    <s v="Solidarities"/>
    <s v="Kachin"/>
    <s v="Shwegu"/>
    <s v="Host Families"/>
    <n v="1070"/>
    <m/>
    <m/>
    <m/>
    <m/>
    <m/>
    <m/>
    <m/>
    <m/>
    <m/>
    <m/>
    <m/>
    <m/>
    <m/>
    <m/>
    <m/>
    <m/>
    <n v="0"/>
    <n v="0"/>
    <n v="0"/>
    <n v="0"/>
    <n v="0"/>
    <n v="0"/>
    <n v="0"/>
    <n v="0"/>
    <n v="0"/>
    <n v="0"/>
    <n v="0"/>
    <n v="0"/>
    <n v="0"/>
    <n v="0"/>
    <x v="0"/>
    <n v="0"/>
    <s v="MMR001CMP163"/>
    <x v="2"/>
    <x v="1"/>
    <x v="2"/>
    <n v="0"/>
    <m/>
    <m/>
  </r>
  <r>
    <n v="20.933333333333334"/>
    <d v="2014-10-31T00:00:00"/>
    <x v="0"/>
    <m/>
    <s v="Kachin"/>
    <s v="Hpakant"/>
    <s v="Ward 2 Sai Taung Baptist Church, Seik Mu "/>
    <m/>
    <m/>
    <n v="38"/>
    <n v="76"/>
    <n v="38"/>
    <n v="76"/>
    <n v="38"/>
    <m/>
    <n v="38"/>
    <n v="190"/>
    <m/>
    <m/>
    <m/>
    <m/>
    <m/>
    <m/>
    <m/>
    <n v="0"/>
    <n v="0"/>
    <n v="0"/>
    <n v="0"/>
    <n v="0"/>
    <n v="0"/>
    <n v="0"/>
    <n v="0"/>
    <n v="0"/>
    <n v="0"/>
    <n v="0"/>
    <n v="0"/>
    <n v="0"/>
    <n v="0"/>
    <x v="0"/>
    <n v="0"/>
    <s v="MMR001CMP184"/>
    <x v="2"/>
    <x v="1"/>
    <x v="2"/>
    <n v="1.0857142857142856"/>
    <m/>
    <m/>
  </r>
  <r>
    <n v="20.933333333333334"/>
    <d v="2014-10-31T00:00:00"/>
    <x v="0"/>
    <m/>
    <s v="Kachin"/>
    <s v="Hpakant"/>
    <s v="Yumar Baptist Church"/>
    <m/>
    <m/>
    <n v="10"/>
    <n v="20"/>
    <n v="10"/>
    <n v="20"/>
    <n v="10"/>
    <m/>
    <n v="10"/>
    <n v="50"/>
    <m/>
    <m/>
    <m/>
    <m/>
    <m/>
    <m/>
    <m/>
    <n v="0"/>
    <n v="0"/>
    <n v="0"/>
    <n v="0"/>
    <n v="0"/>
    <n v="0"/>
    <n v="0"/>
    <n v="0"/>
    <n v="0"/>
    <n v="0"/>
    <n v="0"/>
    <n v="0"/>
    <n v="0"/>
    <n v="0"/>
    <x v="0"/>
    <n v="0"/>
    <s v="MMR001CMP105"/>
    <x v="2"/>
    <x v="1"/>
    <x v="2"/>
    <n v="0.83333333333333337"/>
    <m/>
    <m/>
  </r>
  <r>
    <n v="20.966666666666665"/>
    <d v="2014-10-30T00:00:00"/>
    <x v="0"/>
    <m/>
    <s v="Kachin"/>
    <s v="Bhamo"/>
    <s v="Aung Thar Church"/>
    <m/>
    <m/>
    <m/>
    <m/>
    <m/>
    <m/>
    <m/>
    <m/>
    <m/>
    <m/>
    <m/>
    <m/>
    <m/>
    <m/>
    <m/>
    <m/>
    <m/>
    <n v="0"/>
    <n v="0"/>
    <n v="0"/>
    <n v="0"/>
    <n v="0"/>
    <n v="0"/>
    <n v="0"/>
    <n v="0"/>
    <n v="0"/>
    <n v="0"/>
    <n v="0"/>
    <n v="0"/>
    <n v="0"/>
    <n v="0"/>
    <x v="0"/>
    <n v="0"/>
    <s v="MMR001CMP194"/>
    <x v="2"/>
    <x v="1"/>
    <x v="2"/>
    <n v="0"/>
    <m/>
    <m/>
  </r>
  <r>
    <n v="21.133333333333333"/>
    <d v="2014-10-25T00:00:00"/>
    <x v="1"/>
    <s v="MRCS"/>
    <s v="Kachin"/>
    <s v="Hpakant"/>
    <s v="Hpakant Baptist Church, Nam Ma Hpit"/>
    <m/>
    <m/>
    <m/>
    <m/>
    <m/>
    <m/>
    <m/>
    <m/>
    <m/>
    <m/>
    <n v="186"/>
    <n v="125"/>
    <m/>
    <m/>
    <m/>
    <m/>
    <m/>
    <n v="0"/>
    <n v="0"/>
    <n v="0"/>
    <n v="0"/>
    <n v="0"/>
    <n v="0"/>
    <n v="0"/>
    <n v="0"/>
    <n v="0"/>
    <n v="0"/>
    <n v="0"/>
    <n v="0"/>
    <n v="0"/>
    <n v="0"/>
    <x v="1"/>
    <n v="0"/>
    <s v="MMR001CMP229"/>
    <x v="2"/>
    <x v="1"/>
    <x v="2"/>
    <n v="0"/>
    <m/>
    <m/>
  </r>
  <r>
    <n v="21.566666666666666"/>
    <d v="2014-10-12T00:00:00"/>
    <x v="0"/>
    <m/>
    <s v="Kachin"/>
    <s v="Momauk"/>
    <s v="Man Bung Catholic compound"/>
    <m/>
    <m/>
    <m/>
    <m/>
    <n v="25"/>
    <m/>
    <m/>
    <m/>
    <m/>
    <m/>
    <m/>
    <m/>
    <m/>
    <m/>
    <m/>
    <m/>
    <m/>
    <n v="0"/>
    <n v="0"/>
    <n v="0"/>
    <n v="0"/>
    <n v="0"/>
    <n v="0"/>
    <n v="0"/>
    <n v="0"/>
    <n v="0"/>
    <n v="0"/>
    <n v="0"/>
    <n v="0"/>
    <n v="0"/>
    <n v="0"/>
    <x v="0"/>
    <n v="0"/>
    <s v="MMR001CMP062"/>
    <x v="2"/>
    <x v="1"/>
    <x v="2"/>
    <n v="0"/>
    <m/>
    <m/>
  </r>
  <r>
    <n v="21.633333333333333"/>
    <d v="2014-10-10T00:00:00"/>
    <x v="0"/>
    <m/>
    <s v="Kachin"/>
    <s v="Momauk"/>
    <s v="Loi Je Baptist Church"/>
    <m/>
    <m/>
    <m/>
    <m/>
    <n v="60"/>
    <m/>
    <m/>
    <m/>
    <m/>
    <m/>
    <m/>
    <m/>
    <m/>
    <m/>
    <m/>
    <m/>
    <m/>
    <n v="0"/>
    <n v="0"/>
    <n v="0"/>
    <n v="0"/>
    <n v="0"/>
    <n v="0"/>
    <n v="0"/>
    <n v="0"/>
    <n v="0"/>
    <n v="0"/>
    <n v="0"/>
    <n v="0"/>
    <n v="0"/>
    <n v="0"/>
    <x v="0"/>
    <n v="0"/>
    <s v="MMR001CMP071"/>
    <x v="2"/>
    <x v="1"/>
    <x v="4"/>
    <n v="0"/>
    <m/>
    <m/>
  </r>
  <r>
    <n v="21.633333333333333"/>
    <d v="2014-10-10T00:00:00"/>
    <x v="0"/>
    <m/>
    <s v="Kachin"/>
    <s v="Momauk"/>
    <s v="Loi Je Lisu Camp"/>
    <m/>
    <m/>
    <m/>
    <m/>
    <n v="30"/>
    <m/>
    <m/>
    <m/>
    <m/>
    <m/>
    <m/>
    <m/>
    <m/>
    <m/>
    <m/>
    <m/>
    <m/>
    <n v="0"/>
    <n v="0"/>
    <n v="0"/>
    <n v="0"/>
    <n v="0"/>
    <n v="0"/>
    <n v="0"/>
    <n v="0"/>
    <n v="0"/>
    <n v="0"/>
    <n v="0"/>
    <n v="0"/>
    <n v="0"/>
    <n v="0"/>
    <x v="0"/>
    <n v="0"/>
    <s v="MMR001CMP070"/>
    <x v="2"/>
    <x v="1"/>
    <x v="4"/>
    <n v="0"/>
    <m/>
    <m/>
  </r>
  <r>
    <n v="22.933333333333334"/>
    <d v="2014-09-01T00:00:00"/>
    <x v="10"/>
    <m/>
    <s v="Kachin"/>
    <s v="Chipwi"/>
    <s v="Hpare Hkyer - BP6"/>
    <m/>
    <m/>
    <m/>
    <m/>
    <m/>
    <m/>
    <m/>
    <m/>
    <m/>
    <m/>
    <m/>
    <n v="347"/>
    <m/>
    <m/>
    <m/>
    <m/>
    <m/>
    <n v="0"/>
    <n v="0"/>
    <n v="0"/>
    <n v="0"/>
    <n v="0"/>
    <n v="0"/>
    <n v="0"/>
    <n v="0"/>
    <n v="0"/>
    <n v="0"/>
    <n v="0"/>
    <n v="0"/>
    <n v="0"/>
    <n v="0"/>
    <x v="1"/>
    <n v="0"/>
    <s v="MMR001CMP043"/>
    <x v="2"/>
    <x v="1"/>
    <x v="3"/>
    <n v="0"/>
    <m/>
    <m/>
  </r>
  <r>
    <n v="30.166666666666668"/>
    <d v="2014-01-27T00:00:00"/>
    <x v="10"/>
    <s v="KBC"/>
    <s v="Kachin"/>
    <s v="Chipwi"/>
    <s v="Hpare Hkyer - BP6"/>
    <m/>
    <m/>
    <m/>
    <m/>
    <m/>
    <n v="155"/>
    <n v="155"/>
    <n v="155"/>
    <m/>
    <n v="155"/>
    <m/>
    <m/>
    <m/>
    <m/>
    <m/>
    <m/>
    <m/>
    <n v="0"/>
    <n v="0"/>
    <n v="0"/>
    <n v="0"/>
    <n v="0"/>
    <n v="0"/>
    <n v="0"/>
    <n v="0"/>
    <n v="0"/>
    <n v="0"/>
    <n v="0"/>
    <n v="0"/>
    <n v="0"/>
    <n v="0"/>
    <x v="0"/>
    <n v="0"/>
    <s v="MMR001CMP043"/>
    <x v="2"/>
    <x v="1"/>
    <x v="3"/>
    <n v="1.0197368421052631"/>
    <s v="No"/>
    <m/>
  </r>
  <r>
    <n v="21.633333333333333"/>
    <d v="2014-10-10T00:00:00"/>
    <x v="0"/>
    <m/>
    <s v="Kachin"/>
    <s v="Momauk"/>
    <s v="Nyaung Na Pin "/>
    <m/>
    <m/>
    <m/>
    <m/>
    <n v="60"/>
    <m/>
    <m/>
    <m/>
    <m/>
    <m/>
    <m/>
    <m/>
    <m/>
    <m/>
    <m/>
    <m/>
    <m/>
    <n v="0"/>
    <n v="0"/>
    <n v="0"/>
    <n v="0"/>
    <n v="0"/>
    <n v="0"/>
    <n v="0"/>
    <n v="0"/>
    <n v="0"/>
    <n v="0"/>
    <n v="0"/>
    <n v="0"/>
    <n v="0"/>
    <n v="0"/>
    <x v="0"/>
    <n v="0"/>
    <s v="MMR001CMP072"/>
    <x v="2"/>
    <x v="1"/>
    <x v="4"/>
    <n v="0"/>
    <m/>
    <m/>
  </r>
  <r>
    <n v="21.933333333333334"/>
    <d v="2014-10-01T00:00:00"/>
    <x v="0"/>
    <s v="KMSS"/>
    <s v="Kachin"/>
    <s v="Hpakant"/>
    <s v="5 Ward RC Church(lon Khin)"/>
    <m/>
    <m/>
    <m/>
    <n v="156"/>
    <m/>
    <m/>
    <m/>
    <m/>
    <m/>
    <m/>
    <m/>
    <m/>
    <m/>
    <m/>
    <m/>
    <m/>
    <m/>
    <n v="0"/>
    <n v="0"/>
    <n v="0"/>
    <n v="0"/>
    <n v="0"/>
    <n v="0"/>
    <n v="0"/>
    <n v="0"/>
    <n v="0"/>
    <n v="0"/>
    <n v="0"/>
    <n v="0"/>
    <n v="0"/>
    <n v="0"/>
    <x v="0"/>
    <n v="0"/>
    <s v="MMR001CMP168"/>
    <x v="2"/>
    <x v="1"/>
    <x v="2"/>
    <n v="0"/>
    <m/>
    <m/>
  </r>
  <r>
    <n v="21.933333333333334"/>
    <d v="2014-10-01T00:00:00"/>
    <x v="0"/>
    <s v="Shalom"/>
    <s v="Kachin"/>
    <s v="Hpakant"/>
    <s v="AG Church, Hmaw Si Sa"/>
    <m/>
    <m/>
    <m/>
    <n v="130"/>
    <m/>
    <m/>
    <m/>
    <m/>
    <m/>
    <m/>
    <m/>
    <m/>
    <m/>
    <m/>
    <m/>
    <m/>
    <m/>
    <n v="0"/>
    <n v="0"/>
    <n v="0"/>
    <n v="0"/>
    <n v="0"/>
    <n v="0"/>
    <n v="0"/>
    <n v="0"/>
    <n v="0"/>
    <n v="0"/>
    <n v="0"/>
    <n v="0"/>
    <n v="0"/>
    <n v="0"/>
    <x v="0"/>
    <n v="0"/>
    <s v="MMR001CMP176"/>
    <x v="2"/>
    <x v="1"/>
    <x v="2"/>
    <n v="0"/>
    <m/>
    <m/>
  </r>
  <r>
    <n v="32.1"/>
    <d v="2013-11-30T00:00:00"/>
    <x v="5"/>
    <s v="KBC"/>
    <s v="Kachin"/>
    <s v="Momauk"/>
    <s v="Hpun Lum Yang "/>
    <m/>
    <m/>
    <m/>
    <m/>
    <m/>
    <m/>
    <m/>
    <m/>
    <m/>
    <n v="978"/>
    <m/>
    <m/>
    <m/>
    <m/>
    <m/>
    <m/>
    <m/>
    <n v="0"/>
    <n v="0"/>
    <n v="0"/>
    <n v="0"/>
    <n v="0"/>
    <n v="0"/>
    <n v="0"/>
    <n v="0"/>
    <n v="0"/>
    <n v="0"/>
    <n v="0"/>
    <n v="0"/>
    <n v="0"/>
    <n v="0"/>
    <x v="0"/>
    <n v="0"/>
    <s v="MMR001CMP122"/>
    <x v="2"/>
    <x v="1"/>
    <x v="5"/>
    <n v="0"/>
    <s v="No"/>
    <m/>
  </r>
  <r>
    <n v="21.933333333333334"/>
    <d v="2014-10-01T00:00:00"/>
    <x v="0"/>
    <s v="Shalom"/>
    <s v="Kachin"/>
    <s v="Hpakant"/>
    <s v="AG Church, Maw Wan"/>
    <m/>
    <m/>
    <m/>
    <n v="30"/>
    <m/>
    <m/>
    <m/>
    <m/>
    <m/>
    <m/>
    <m/>
    <m/>
    <m/>
    <m/>
    <m/>
    <m/>
    <m/>
    <n v="0"/>
    <n v="0"/>
    <n v="0"/>
    <n v="0"/>
    <n v="0"/>
    <n v="0"/>
    <n v="0"/>
    <n v="0"/>
    <n v="0"/>
    <n v="0"/>
    <n v="0"/>
    <n v="0"/>
    <n v="0"/>
    <n v="0"/>
    <x v="0"/>
    <n v="0"/>
    <s v="MMR001CMP190"/>
    <x v="2"/>
    <x v="1"/>
    <x v="2"/>
    <n v="0"/>
    <m/>
    <m/>
  </r>
  <r>
    <n v="43.9"/>
    <d v="2012-12-11T00:00:00"/>
    <x v="5"/>
    <s v="Solidarities"/>
    <s v="Kachin"/>
    <s v="Momauk"/>
    <s v="Hpun Lum Yang "/>
    <n v="1658"/>
    <m/>
    <m/>
    <m/>
    <m/>
    <m/>
    <m/>
    <m/>
    <n v="0"/>
    <n v="0"/>
    <m/>
    <m/>
    <m/>
    <m/>
    <m/>
    <m/>
    <m/>
    <n v="0"/>
    <n v="0"/>
    <n v="0"/>
    <n v="0"/>
    <n v="0"/>
    <n v="0"/>
    <n v="0"/>
    <n v="0"/>
    <n v="0"/>
    <n v="0"/>
    <n v="0"/>
    <n v="0"/>
    <n v="0"/>
    <n v="0"/>
    <x v="0"/>
    <n v="0"/>
    <s v="MMR001CMP122"/>
    <x v="2"/>
    <x v="1"/>
    <x v="5"/>
    <n v="0"/>
    <s v="No"/>
    <m/>
  </r>
  <r>
    <n v="21.933333333333334"/>
    <d v="2014-10-01T00:00:00"/>
    <x v="0"/>
    <s v="Shalom"/>
    <s v="Kachin"/>
    <s v="Hpakant"/>
    <s v="Baptist Church, Naung Hmee VT"/>
    <m/>
    <m/>
    <m/>
    <n v="30"/>
    <m/>
    <m/>
    <m/>
    <m/>
    <m/>
    <m/>
    <m/>
    <m/>
    <m/>
    <m/>
    <m/>
    <m/>
    <m/>
    <n v="0"/>
    <n v="0"/>
    <n v="0"/>
    <n v="0"/>
    <n v="0"/>
    <n v="0"/>
    <n v="0"/>
    <n v="0"/>
    <n v="0"/>
    <n v="0"/>
    <n v="0"/>
    <n v="0"/>
    <n v="0"/>
    <n v="0"/>
    <x v="0"/>
    <n v="0"/>
    <s v="MMR001CMP188"/>
    <x v="2"/>
    <x v="2"/>
    <x v="2"/>
    <s v=""/>
    <m/>
    <m/>
  </r>
  <r>
    <n v="21.933333333333334"/>
    <d v="2014-10-01T00:00:00"/>
    <x v="0"/>
    <s v="Shalom"/>
    <s v="Kachin"/>
    <s v="Hpakant"/>
    <s v="Chin Church, Seik Mu"/>
    <m/>
    <m/>
    <m/>
    <n v="8"/>
    <m/>
    <m/>
    <m/>
    <m/>
    <m/>
    <m/>
    <m/>
    <m/>
    <m/>
    <m/>
    <m/>
    <m/>
    <m/>
    <n v="0"/>
    <n v="0"/>
    <n v="0"/>
    <n v="0"/>
    <n v="0"/>
    <n v="0"/>
    <n v="0"/>
    <n v="0"/>
    <n v="0"/>
    <n v="0"/>
    <n v="0"/>
    <n v="0"/>
    <n v="0"/>
    <n v="0"/>
    <x v="0"/>
    <n v="0"/>
    <s v="MMR001CMP109"/>
    <x v="2"/>
    <x v="1"/>
    <x v="2"/>
    <n v="0"/>
    <m/>
    <m/>
  </r>
  <r>
    <n v="21.933333333333334"/>
    <d v="2014-10-01T00:00:00"/>
    <x v="0"/>
    <s v="Shalom"/>
    <s v="Kachin"/>
    <s v="Chipwi"/>
    <s v="Chipwi KBC camp"/>
    <m/>
    <m/>
    <m/>
    <n v="214"/>
    <m/>
    <m/>
    <m/>
    <m/>
    <m/>
    <m/>
    <m/>
    <m/>
    <m/>
    <n v="214"/>
    <m/>
    <m/>
    <m/>
    <n v="0"/>
    <n v="0"/>
    <n v="0"/>
    <n v="0"/>
    <n v="0"/>
    <n v="0"/>
    <n v="0"/>
    <n v="0"/>
    <n v="0"/>
    <n v="0"/>
    <n v="0"/>
    <n v="0"/>
    <n v="0"/>
    <n v="0"/>
    <x v="1"/>
    <n v="0"/>
    <s v="MMR001CMP042"/>
    <x v="2"/>
    <x v="1"/>
    <x v="3"/>
    <n v="0"/>
    <m/>
    <m/>
  </r>
  <r>
    <n v="53.833333333333336"/>
    <d v="2012-02-17T00:00:00"/>
    <x v="5"/>
    <s v="Solidarities"/>
    <s v="Kachin"/>
    <s v="Bhamo"/>
    <s v="Htoi San Church"/>
    <n v="240"/>
    <m/>
    <m/>
    <m/>
    <m/>
    <m/>
    <m/>
    <m/>
    <m/>
    <m/>
    <m/>
    <m/>
    <m/>
    <m/>
    <m/>
    <m/>
    <m/>
    <n v="0"/>
    <n v="0"/>
    <n v="0"/>
    <n v="0"/>
    <n v="0"/>
    <n v="0"/>
    <n v="0"/>
    <n v="0"/>
    <n v="0"/>
    <n v="0"/>
    <n v="0"/>
    <n v="0"/>
    <n v="0"/>
    <n v="0"/>
    <x v="0"/>
    <n v="0"/>
    <s v="MMR001CMP052"/>
    <x v="2"/>
    <x v="1"/>
    <x v="2"/>
    <n v="0"/>
    <m/>
    <m/>
  </r>
  <r>
    <n v="50.1"/>
    <d v="2012-06-08T00:00:00"/>
    <x v="5"/>
    <s v="Solidarities"/>
    <s v="Kachin"/>
    <s v="Bhamo"/>
    <s v="Htoi San Church"/>
    <n v="22"/>
    <m/>
    <m/>
    <m/>
    <m/>
    <m/>
    <m/>
    <m/>
    <m/>
    <m/>
    <m/>
    <m/>
    <m/>
    <m/>
    <m/>
    <m/>
    <m/>
    <n v="0"/>
    <n v="0"/>
    <n v="0"/>
    <n v="0"/>
    <n v="0"/>
    <n v="0"/>
    <n v="0"/>
    <n v="0"/>
    <n v="0"/>
    <n v="0"/>
    <n v="0"/>
    <n v="0"/>
    <n v="0"/>
    <n v="0"/>
    <x v="0"/>
    <n v="0"/>
    <s v="MMR001CMP052"/>
    <x v="2"/>
    <x v="1"/>
    <x v="2"/>
    <n v="0"/>
    <m/>
    <m/>
  </r>
  <r>
    <n v="27.8"/>
    <d v="2014-04-08T00:00:00"/>
    <x v="6"/>
    <s v="MRCS"/>
    <s v="Kachin"/>
    <s v="Bhamo"/>
    <s v="Htoi San Church"/>
    <m/>
    <m/>
    <m/>
    <m/>
    <m/>
    <m/>
    <m/>
    <m/>
    <m/>
    <m/>
    <m/>
    <m/>
    <m/>
    <n v="90"/>
    <m/>
    <m/>
    <m/>
    <n v="0"/>
    <n v="0"/>
    <n v="0"/>
    <n v="0"/>
    <n v="0"/>
    <n v="0"/>
    <n v="0"/>
    <n v="0"/>
    <n v="0"/>
    <n v="0"/>
    <n v="0"/>
    <n v="0"/>
    <n v="0"/>
    <n v="0"/>
    <x v="1"/>
    <n v="0"/>
    <s v="MMR001CMP052"/>
    <x v="2"/>
    <x v="1"/>
    <x v="2"/>
    <n v="0"/>
    <m/>
    <m/>
  </r>
  <r>
    <n v="32.1"/>
    <d v="2013-11-30T00:00:00"/>
    <x v="4"/>
    <s v="MDCG"/>
    <s v="Kachin"/>
    <s v="Bhamo"/>
    <s v="Htoi San Church"/>
    <m/>
    <m/>
    <m/>
    <m/>
    <m/>
    <n v="105"/>
    <m/>
    <m/>
    <m/>
    <m/>
    <n v="154"/>
    <n v="26"/>
    <n v="0"/>
    <m/>
    <m/>
    <m/>
    <m/>
    <n v="0"/>
    <n v="0"/>
    <n v="0"/>
    <n v="0"/>
    <n v="0"/>
    <n v="0"/>
    <n v="0"/>
    <n v="0"/>
    <n v="0"/>
    <n v="0"/>
    <n v="0"/>
    <n v="0"/>
    <n v="0"/>
    <n v="0"/>
    <x v="1"/>
    <n v="0"/>
    <s v="MMR001CMP052"/>
    <x v="2"/>
    <x v="1"/>
    <x v="2"/>
    <n v="0"/>
    <s v="No"/>
    <m/>
  </r>
  <r>
    <n v="32.1"/>
    <d v="2013-11-30T00:00:00"/>
    <x v="5"/>
    <m/>
    <s v="Kachin"/>
    <s v="Bhamo"/>
    <s v="Htoi San Church"/>
    <m/>
    <m/>
    <m/>
    <m/>
    <m/>
    <m/>
    <m/>
    <m/>
    <m/>
    <n v="138"/>
    <m/>
    <m/>
    <m/>
    <m/>
    <m/>
    <m/>
    <m/>
    <n v="0"/>
    <n v="0"/>
    <n v="0"/>
    <n v="0"/>
    <n v="0"/>
    <n v="0"/>
    <n v="0"/>
    <n v="0"/>
    <n v="0"/>
    <n v="0"/>
    <n v="0"/>
    <n v="0"/>
    <n v="0"/>
    <n v="0"/>
    <x v="0"/>
    <n v="0"/>
    <s v="MMR001CMP052"/>
    <x v="2"/>
    <x v="1"/>
    <x v="2"/>
    <n v="0"/>
    <s v="No"/>
    <m/>
  </r>
  <r>
    <n v="33"/>
    <d v="2013-11-03T00:00:00"/>
    <x v="2"/>
    <s v="MRCS"/>
    <s v="Kachin"/>
    <s v="Bhamo"/>
    <s v="Htoi San Church"/>
    <m/>
    <m/>
    <n v="41"/>
    <m/>
    <m/>
    <m/>
    <n v="41"/>
    <m/>
    <m/>
    <m/>
    <m/>
    <m/>
    <m/>
    <m/>
    <m/>
    <m/>
    <m/>
    <n v="0"/>
    <n v="0"/>
    <n v="0"/>
    <n v="0"/>
    <n v="0"/>
    <n v="0"/>
    <n v="0"/>
    <n v="0"/>
    <n v="0"/>
    <n v="0"/>
    <n v="0"/>
    <n v="0"/>
    <n v="0"/>
    <n v="0"/>
    <x v="0"/>
    <n v="0"/>
    <s v="MMR001CMP052"/>
    <x v="2"/>
    <x v="1"/>
    <x v="2"/>
    <n v="1.0512820512820513"/>
    <s v="No"/>
    <m/>
  </r>
  <r>
    <n v="21.933333333333334"/>
    <d v="2014-10-01T00:00:00"/>
    <x v="0"/>
    <s v="Shalom"/>
    <s v="Kachin"/>
    <s v="Hpakant"/>
    <s v="Dhama Rakhita, Nyein Chan Tar Yar Ward(Lon Khin)"/>
    <m/>
    <m/>
    <m/>
    <n v="130"/>
    <m/>
    <m/>
    <m/>
    <m/>
    <m/>
    <m/>
    <m/>
    <m/>
    <m/>
    <m/>
    <m/>
    <m/>
    <m/>
    <n v="0"/>
    <n v="0"/>
    <n v="0"/>
    <n v="0"/>
    <n v="0"/>
    <n v="0"/>
    <n v="0"/>
    <n v="0"/>
    <n v="0"/>
    <n v="0"/>
    <n v="0"/>
    <n v="0"/>
    <n v="0"/>
    <n v="0"/>
    <x v="0"/>
    <n v="0"/>
    <s v="MMR001CMP174"/>
    <x v="2"/>
    <x v="1"/>
    <x v="2"/>
    <n v="0"/>
    <m/>
    <m/>
  </r>
  <r>
    <n v="21.933333333333334"/>
    <d v="2014-10-01T00:00:00"/>
    <x v="0"/>
    <s v="KMSS"/>
    <s v="Kachin"/>
    <s v="Momauk"/>
    <s v="Dum Bung "/>
    <m/>
    <m/>
    <m/>
    <n v="238"/>
    <m/>
    <m/>
    <m/>
    <m/>
    <m/>
    <m/>
    <m/>
    <m/>
    <m/>
    <n v="238"/>
    <m/>
    <m/>
    <m/>
    <n v="0"/>
    <n v="0"/>
    <n v="0"/>
    <n v="0"/>
    <n v="0"/>
    <n v="0"/>
    <n v="0"/>
    <n v="0"/>
    <n v="0"/>
    <n v="0"/>
    <n v="0"/>
    <n v="0"/>
    <n v="0"/>
    <n v="0"/>
    <x v="1"/>
    <n v="0"/>
    <s v="MMR001CMP123"/>
    <x v="2"/>
    <x v="1"/>
    <x v="5"/>
    <n v="0"/>
    <m/>
    <m/>
  </r>
  <r>
    <n v="42.9"/>
    <d v="2013-01-10T00:00:00"/>
    <x v="5"/>
    <s v="Solidarities"/>
    <s v="Kachin"/>
    <s v="Bhamo"/>
    <s v="Htoi San Church"/>
    <n v="212"/>
    <m/>
    <m/>
    <m/>
    <m/>
    <m/>
    <m/>
    <m/>
    <n v="0"/>
    <n v="0"/>
    <m/>
    <m/>
    <m/>
    <m/>
    <m/>
    <m/>
    <m/>
    <n v="0"/>
    <n v="0"/>
    <n v="0"/>
    <n v="0"/>
    <n v="0"/>
    <n v="0"/>
    <n v="0"/>
    <n v="0"/>
    <n v="0"/>
    <n v="0"/>
    <n v="0"/>
    <n v="0"/>
    <n v="0"/>
    <n v="0"/>
    <x v="0"/>
    <n v="0"/>
    <s v="MMR001CMP052"/>
    <x v="2"/>
    <x v="1"/>
    <x v="2"/>
    <n v="0"/>
    <s v="No"/>
    <m/>
  </r>
  <r>
    <n v="31.333333333333332"/>
    <d v="2013-12-23T00:00:00"/>
    <x v="5"/>
    <s v="KBC"/>
    <s v="Kachin"/>
    <s v="Waingmaw"/>
    <s v="IDP Boarding School, A Len Bum"/>
    <m/>
    <m/>
    <m/>
    <m/>
    <m/>
    <m/>
    <m/>
    <m/>
    <m/>
    <m/>
    <n v="2"/>
    <n v="111"/>
    <n v="226"/>
    <n v="113"/>
    <m/>
    <m/>
    <m/>
    <n v="0"/>
    <n v="0"/>
    <n v="0"/>
    <n v="0"/>
    <n v="0"/>
    <n v="0"/>
    <n v="0"/>
    <n v="0"/>
    <n v="0"/>
    <n v="0"/>
    <n v="0"/>
    <n v="0"/>
    <n v="0"/>
    <n v="0"/>
    <x v="1"/>
    <n v="0"/>
    <s v="MMR001CMP208"/>
    <x v="2"/>
    <x v="1"/>
    <x v="5"/>
    <s v=""/>
    <m/>
    <m/>
  </r>
  <r>
    <n v="30.766666666666666"/>
    <d v="2014-01-09T00:00:00"/>
    <x v="5"/>
    <s v="KBC"/>
    <s v="Kachin"/>
    <s v="Mansi"/>
    <s v="IDPs scattered in South Mansi"/>
    <m/>
    <m/>
    <m/>
    <m/>
    <m/>
    <m/>
    <m/>
    <m/>
    <m/>
    <m/>
    <n v="142"/>
    <n v="284"/>
    <n v="852"/>
    <n v="426"/>
    <m/>
    <m/>
    <m/>
    <n v="0"/>
    <n v="0"/>
    <n v="0"/>
    <n v="0"/>
    <n v="0"/>
    <n v="0"/>
    <n v="0"/>
    <n v="0"/>
    <n v="0"/>
    <n v="0"/>
    <n v="0"/>
    <n v="0"/>
    <n v="0"/>
    <n v="0"/>
    <x v="1"/>
    <n v="0"/>
    <s v="MMR001CMP217"/>
    <x v="2"/>
    <x v="2"/>
    <x v="0"/>
    <s v=""/>
    <m/>
    <m/>
  </r>
  <r>
    <n v="21.933333333333334"/>
    <d v="2014-10-01T00:00:00"/>
    <x v="0"/>
    <s v="Shalom"/>
    <s v="Kachin"/>
    <s v="Waingmaw"/>
    <s v="Hkat Cho "/>
    <m/>
    <m/>
    <m/>
    <n v="268"/>
    <m/>
    <m/>
    <m/>
    <m/>
    <m/>
    <m/>
    <m/>
    <m/>
    <m/>
    <m/>
    <m/>
    <m/>
    <m/>
    <n v="0"/>
    <n v="0"/>
    <n v="0"/>
    <n v="0"/>
    <n v="0"/>
    <n v="0"/>
    <n v="0"/>
    <n v="0"/>
    <n v="0"/>
    <n v="0"/>
    <n v="0"/>
    <n v="0"/>
    <n v="0"/>
    <n v="0"/>
    <x v="0"/>
    <n v="0"/>
    <s v="MMR001CMP028"/>
    <x v="2"/>
    <x v="1"/>
    <x v="2"/>
    <n v="0"/>
    <m/>
    <m/>
  </r>
  <r>
    <n v="25.566666666666666"/>
    <d v="2014-06-14T00:00:00"/>
    <x v="6"/>
    <s v="MRCS"/>
    <s v="Kachin"/>
    <s v="Myitkyina"/>
    <s v="Jan Mai Kawng Baptist Church"/>
    <m/>
    <m/>
    <m/>
    <m/>
    <m/>
    <m/>
    <m/>
    <m/>
    <m/>
    <m/>
    <m/>
    <m/>
    <m/>
    <n v="406"/>
    <m/>
    <m/>
    <m/>
    <n v="0"/>
    <n v="0"/>
    <n v="0"/>
    <n v="0"/>
    <n v="0"/>
    <n v="0"/>
    <n v="0"/>
    <n v="0"/>
    <n v="0"/>
    <n v="0"/>
    <n v="0"/>
    <n v="0"/>
    <n v="0"/>
    <n v="0"/>
    <x v="1"/>
    <n v="0"/>
    <s v="MMR001CMP018"/>
    <x v="2"/>
    <x v="1"/>
    <x v="2"/>
    <n v="0"/>
    <m/>
    <m/>
  </r>
  <r>
    <n v="41.9"/>
    <d v="2013-02-09T00:00:00"/>
    <x v="2"/>
    <s v="MRCS"/>
    <s v="Kachin"/>
    <s v="Myitkyina"/>
    <s v="Jan Mai Kawng Baptist Church"/>
    <m/>
    <m/>
    <m/>
    <m/>
    <n v="177"/>
    <n v="10"/>
    <n v="10"/>
    <m/>
    <n v="0"/>
    <n v="0"/>
    <m/>
    <m/>
    <m/>
    <m/>
    <m/>
    <m/>
    <m/>
    <n v="0"/>
    <n v="0"/>
    <n v="0"/>
    <n v="0"/>
    <n v="0"/>
    <n v="0"/>
    <n v="0"/>
    <n v="0"/>
    <n v="0"/>
    <n v="0"/>
    <n v="0"/>
    <n v="0"/>
    <n v="0"/>
    <n v="0"/>
    <x v="0"/>
    <n v="0"/>
    <s v="MMR001CMP018"/>
    <x v="2"/>
    <x v="1"/>
    <x v="2"/>
    <n v="5.0505050505050504E-2"/>
    <s v="No"/>
    <m/>
  </r>
  <r>
    <n v="42.033333333333331"/>
    <d v="2013-02-05T00:00:00"/>
    <x v="2"/>
    <s v="MRCS"/>
    <s v="Kachin"/>
    <s v="Myitkyina"/>
    <s v="Jan Mai Kawng Baptist Church"/>
    <n v="22"/>
    <m/>
    <m/>
    <m/>
    <m/>
    <m/>
    <m/>
    <m/>
    <n v="0"/>
    <n v="0"/>
    <m/>
    <m/>
    <m/>
    <m/>
    <m/>
    <m/>
    <m/>
    <n v="0"/>
    <n v="0"/>
    <n v="0"/>
    <n v="0"/>
    <n v="0"/>
    <n v="0"/>
    <n v="0"/>
    <n v="0"/>
    <n v="0"/>
    <n v="0"/>
    <n v="0"/>
    <n v="0"/>
    <n v="0"/>
    <n v="0"/>
    <x v="0"/>
    <n v="0"/>
    <s v="MMR001CMP018"/>
    <x v="2"/>
    <x v="1"/>
    <x v="2"/>
    <n v="0"/>
    <s v="No"/>
    <m/>
  </r>
  <r>
    <n v="21.933333333333334"/>
    <d v="2014-10-01T00:00:00"/>
    <x v="0"/>
    <s v="Shalom"/>
    <s v="Kachin"/>
    <s v="Hpakant"/>
    <s v="Hmaw Wan, Anglican"/>
    <m/>
    <m/>
    <m/>
    <n v="20"/>
    <m/>
    <m/>
    <m/>
    <m/>
    <m/>
    <m/>
    <m/>
    <m/>
    <m/>
    <m/>
    <m/>
    <m/>
    <m/>
    <n v="0"/>
    <n v="0"/>
    <n v="0"/>
    <n v="0"/>
    <n v="0"/>
    <n v="0"/>
    <n v="0"/>
    <n v="0"/>
    <n v="0"/>
    <n v="0"/>
    <n v="0"/>
    <n v="0"/>
    <n v="0"/>
    <n v="0"/>
    <x v="0"/>
    <n v="0"/>
    <s v="MMR001CMP191"/>
    <x v="2"/>
    <x v="1"/>
    <x v="2"/>
    <n v="0"/>
    <m/>
    <m/>
  </r>
  <r>
    <n v="21.933333333333334"/>
    <d v="2014-10-01T00:00:00"/>
    <x v="0"/>
    <s v="KMSS"/>
    <s v="Kachin"/>
    <s v="Myitkyina"/>
    <s v="Jan Mai Kawng Catholic Church"/>
    <m/>
    <m/>
    <m/>
    <n v="218"/>
    <m/>
    <m/>
    <m/>
    <m/>
    <m/>
    <m/>
    <m/>
    <m/>
    <m/>
    <m/>
    <m/>
    <m/>
    <m/>
    <n v="0"/>
    <n v="0"/>
    <n v="0"/>
    <n v="0"/>
    <n v="0"/>
    <n v="0"/>
    <n v="0"/>
    <n v="0"/>
    <n v="0"/>
    <n v="0"/>
    <n v="0"/>
    <n v="0"/>
    <n v="0"/>
    <n v="0"/>
    <x v="0"/>
    <n v="0"/>
    <s v="MMR001CMP019"/>
    <x v="2"/>
    <x v="1"/>
    <x v="2"/>
    <n v="0"/>
    <m/>
    <m/>
  </r>
  <r>
    <n v="21.933333333333334"/>
    <d v="2014-10-01T00:00:00"/>
    <x v="0"/>
    <s v="Shalom"/>
    <s v="Kachin"/>
    <s v="Chipwi"/>
    <s v="Lhaovao Baptist Church (LBC)"/>
    <m/>
    <m/>
    <m/>
    <n v="278"/>
    <m/>
    <m/>
    <m/>
    <m/>
    <m/>
    <m/>
    <m/>
    <m/>
    <m/>
    <n v="278"/>
    <m/>
    <m/>
    <m/>
    <n v="0"/>
    <n v="0"/>
    <n v="0"/>
    <n v="0"/>
    <n v="0"/>
    <n v="0"/>
    <n v="0"/>
    <n v="0"/>
    <n v="0"/>
    <n v="0"/>
    <n v="0"/>
    <n v="0"/>
    <n v="0"/>
    <n v="0"/>
    <x v="1"/>
    <n v="0"/>
    <s v="MMR001CMP195"/>
    <x v="2"/>
    <x v="1"/>
    <x v="3"/>
    <n v="0"/>
    <m/>
    <m/>
  </r>
  <r>
    <n v="21.933333333333334"/>
    <d v="2014-10-01T00:00:00"/>
    <x v="0"/>
    <s v="Shalom"/>
    <s v="Kachin"/>
    <s v="Hpakant"/>
    <s v="Lisu Baptist Church, Maw Shan Vil,. Seik Mu"/>
    <m/>
    <m/>
    <m/>
    <n v="40"/>
    <m/>
    <m/>
    <m/>
    <m/>
    <m/>
    <m/>
    <m/>
    <m/>
    <m/>
    <m/>
    <m/>
    <m/>
    <m/>
    <n v="0"/>
    <n v="0"/>
    <n v="0"/>
    <n v="0"/>
    <n v="0"/>
    <n v="0"/>
    <n v="0"/>
    <n v="0"/>
    <n v="0"/>
    <n v="0"/>
    <n v="0"/>
    <n v="0"/>
    <n v="0"/>
    <n v="0"/>
    <x v="0"/>
    <n v="0"/>
    <s v="MMR001CMP181"/>
    <x v="2"/>
    <x v="1"/>
    <x v="2"/>
    <n v="0"/>
    <m/>
    <m/>
  </r>
  <r>
    <n v="21.933333333333334"/>
    <d v="2014-10-01T00:00:00"/>
    <x v="0"/>
    <s v="Shalom"/>
    <s v="Kachin"/>
    <s v="Hpakant"/>
    <s v="Lisu Baptist Church, Maw Wan Ward"/>
    <m/>
    <m/>
    <m/>
    <n v="16"/>
    <m/>
    <m/>
    <m/>
    <m/>
    <m/>
    <m/>
    <m/>
    <m/>
    <m/>
    <m/>
    <m/>
    <m/>
    <m/>
    <n v="0"/>
    <n v="0"/>
    <n v="0"/>
    <n v="0"/>
    <n v="0"/>
    <n v="0"/>
    <n v="0"/>
    <n v="0"/>
    <n v="0"/>
    <n v="0"/>
    <n v="0"/>
    <n v="0"/>
    <n v="0"/>
    <n v="0"/>
    <x v="0"/>
    <n v="0"/>
    <s v="MMR001CMP167"/>
    <x v="2"/>
    <x v="1"/>
    <x v="2"/>
    <n v="0"/>
    <m/>
    <m/>
  </r>
  <r>
    <n v="21.933333333333334"/>
    <d v="2014-10-01T00:00:00"/>
    <x v="0"/>
    <s v="KMSS"/>
    <s v="Kachin"/>
    <s v="Waingmaw"/>
    <s v="Maga Yang "/>
    <m/>
    <m/>
    <m/>
    <n v="1248"/>
    <m/>
    <m/>
    <m/>
    <m/>
    <m/>
    <m/>
    <m/>
    <m/>
    <m/>
    <n v="1248"/>
    <m/>
    <m/>
    <m/>
    <n v="0"/>
    <n v="0"/>
    <n v="0"/>
    <n v="0"/>
    <n v="0"/>
    <n v="0"/>
    <n v="0"/>
    <n v="0"/>
    <n v="0"/>
    <n v="0"/>
    <n v="0"/>
    <n v="0"/>
    <n v="0"/>
    <n v="0"/>
    <x v="1"/>
    <n v="0"/>
    <s v="MMR001CMP119"/>
    <x v="2"/>
    <x v="1"/>
    <x v="5"/>
    <n v="0"/>
    <m/>
    <m/>
  </r>
  <r>
    <n v="21.933333333333334"/>
    <d v="2014-10-01T00:00:00"/>
    <x v="0"/>
    <s v="Shalom"/>
    <s v="Kachin"/>
    <s v="Waingmaw"/>
    <s v="Maina AG Church"/>
    <m/>
    <m/>
    <m/>
    <n v="286"/>
    <m/>
    <m/>
    <m/>
    <m/>
    <m/>
    <m/>
    <m/>
    <m/>
    <m/>
    <m/>
    <m/>
    <m/>
    <m/>
    <n v="0"/>
    <n v="0"/>
    <n v="0"/>
    <n v="0"/>
    <n v="0"/>
    <n v="0"/>
    <n v="0"/>
    <n v="0"/>
    <n v="0"/>
    <n v="0"/>
    <n v="0"/>
    <n v="0"/>
    <n v="0"/>
    <n v="0"/>
    <x v="0"/>
    <n v="0"/>
    <s v="MMR001CMP031"/>
    <x v="2"/>
    <x v="1"/>
    <x v="2"/>
    <n v="0"/>
    <m/>
    <m/>
  </r>
  <r>
    <n v="21.933333333333334"/>
    <d v="2014-10-01T00:00:00"/>
    <x v="0"/>
    <s v="KMSS"/>
    <s v="Kachin"/>
    <s v="Waingmaw"/>
    <s v="Maina Catholic Church (St. Joseph)"/>
    <m/>
    <m/>
    <m/>
    <n v="462"/>
    <m/>
    <m/>
    <m/>
    <m/>
    <m/>
    <m/>
    <m/>
    <m/>
    <m/>
    <m/>
    <m/>
    <m/>
    <m/>
    <n v="0"/>
    <n v="0"/>
    <n v="0"/>
    <n v="0"/>
    <n v="0"/>
    <n v="0"/>
    <n v="0"/>
    <n v="0"/>
    <n v="0"/>
    <n v="0"/>
    <n v="0"/>
    <n v="0"/>
    <n v="0"/>
    <n v="0"/>
    <x v="0"/>
    <n v="0"/>
    <s v="MMR001CMP029"/>
    <x v="2"/>
    <x v="1"/>
    <x v="2"/>
    <n v="0"/>
    <m/>
    <m/>
  </r>
  <r>
    <n v="21.933333333333334"/>
    <d v="2014-10-01T00:00:00"/>
    <x v="0"/>
    <s v="Shalom"/>
    <s v="Kachin"/>
    <s v="Myitkyina"/>
    <s v="Maw Hpawng Hka Nan Baptist Church"/>
    <m/>
    <m/>
    <m/>
    <n v="52"/>
    <m/>
    <m/>
    <m/>
    <m/>
    <m/>
    <m/>
    <m/>
    <m/>
    <m/>
    <m/>
    <m/>
    <m/>
    <m/>
    <n v="0"/>
    <n v="0"/>
    <n v="0"/>
    <n v="0"/>
    <n v="0"/>
    <n v="0"/>
    <n v="0"/>
    <n v="0"/>
    <n v="0"/>
    <n v="0"/>
    <n v="0"/>
    <n v="0"/>
    <n v="0"/>
    <n v="0"/>
    <x v="0"/>
    <n v="0"/>
    <s v="MMR001CMP020"/>
    <x v="2"/>
    <x v="1"/>
    <x v="2"/>
    <n v="0"/>
    <m/>
    <m/>
  </r>
  <r>
    <n v="21.933333333333334"/>
    <d v="2014-10-01T00:00:00"/>
    <x v="0"/>
    <s v="Shalom"/>
    <s v="Kachin"/>
    <s v="Myitkyina"/>
    <s v="Maw Hpawng Lhaovo Baptist Church"/>
    <m/>
    <m/>
    <m/>
    <n v="42"/>
    <m/>
    <m/>
    <m/>
    <m/>
    <m/>
    <m/>
    <m/>
    <m/>
    <m/>
    <m/>
    <m/>
    <m/>
    <m/>
    <n v="0"/>
    <n v="0"/>
    <n v="0"/>
    <n v="0"/>
    <n v="0"/>
    <n v="0"/>
    <n v="0"/>
    <n v="0"/>
    <n v="0"/>
    <n v="0"/>
    <n v="0"/>
    <n v="0"/>
    <n v="0"/>
    <n v="0"/>
    <x v="0"/>
    <n v="0"/>
    <s v="MMR001CMP021"/>
    <x v="2"/>
    <x v="1"/>
    <x v="2"/>
    <n v="0"/>
    <m/>
    <m/>
  </r>
  <r>
    <n v="21.933333333333334"/>
    <d v="2014-10-01T00:00:00"/>
    <x v="0"/>
    <s v="Shalom"/>
    <s v="Kachin"/>
    <s v="Hpakant"/>
    <s v="Maw Wan, Mu-yin Baptist Church"/>
    <m/>
    <m/>
    <m/>
    <n v="10"/>
    <m/>
    <m/>
    <m/>
    <m/>
    <m/>
    <m/>
    <m/>
    <m/>
    <m/>
    <m/>
    <m/>
    <m/>
    <m/>
    <n v="0"/>
    <n v="0"/>
    <n v="0"/>
    <n v="0"/>
    <n v="0"/>
    <n v="0"/>
    <n v="0"/>
    <n v="0"/>
    <n v="0"/>
    <n v="0"/>
    <n v="0"/>
    <n v="0"/>
    <n v="0"/>
    <n v="0"/>
    <x v="0"/>
    <n v="0"/>
    <s v="MMR001CMP091"/>
    <x v="2"/>
    <x v="1"/>
    <x v="2"/>
    <n v="0"/>
    <m/>
    <m/>
  </r>
  <r>
    <n v="21.933333333333334"/>
    <d v="2014-10-01T00:00:00"/>
    <x v="0"/>
    <s v="Shalom"/>
    <s v="Kachin"/>
    <s v="Myitkyina"/>
    <s v="Myay Myint Baptist Church"/>
    <m/>
    <m/>
    <m/>
    <n v="24"/>
    <m/>
    <m/>
    <m/>
    <m/>
    <m/>
    <m/>
    <m/>
    <m/>
    <m/>
    <m/>
    <m/>
    <m/>
    <m/>
    <n v="0"/>
    <n v="0"/>
    <n v="0"/>
    <n v="0"/>
    <n v="0"/>
    <n v="0"/>
    <n v="0"/>
    <n v="0"/>
    <n v="0"/>
    <n v="0"/>
    <n v="0"/>
    <n v="0"/>
    <n v="0"/>
    <n v="0"/>
    <x v="0"/>
    <n v="0"/>
    <s v="MMR001CMP017"/>
    <x v="2"/>
    <x v="2"/>
    <x v="2"/>
    <s v=""/>
    <m/>
    <m/>
  </r>
  <r>
    <n v="25.566666666666666"/>
    <d v="2014-06-14T00:00:00"/>
    <x v="6"/>
    <s v="MRCS"/>
    <s v="Kachin"/>
    <s v="Myitkyina"/>
    <s v="Jan Mai Kawng Catholic Church"/>
    <m/>
    <m/>
    <m/>
    <m/>
    <m/>
    <m/>
    <m/>
    <m/>
    <m/>
    <m/>
    <m/>
    <m/>
    <m/>
    <n v="216"/>
    <m/>
    <m/>
    <m/>
    <n v="0"/>
    <n v="0"/>
    <n v="0"/>
    <n v="0"/>
    <n v="0"/>
    <n v="0"/>
    <n v="0"/>
    <n v="0"/>
    <n v="0"/>
    <n v="0"/>
    <n v="0"/>
    <n v="0"/>
    <n v="0"/>
    <n v="0"/>
    <x v="1"/>
    <n v="0"/>
    <s v="MMR001CMP019"/>
    <x v="2"/>
    <x v="1"/>
    <x v="2"/>
    <n v="0"/>
    <m/>
    <m/>
  </r>
  <r>
    <n v="38.93333333333333"/>
    <d v="2013-05-09T00:00:00"/>
    <x v="8"/>
    <s v="KMSS"/>
    <s v="Kachin"/>
    <s v="Myitkyina"/>
    <s v="Jan Mai Kawng Catholic Church"/>
    <n v="460"/>
    <m/>
    <m/>
    <m/>
    <m/>
    <m/>
    <m/>
    <m/>
    <m/>
    <m/>
    <m/>
    <m/>
    <m/>
    <m/>
    <m/>
    <m/>
    <m/>
    <n v="0"/>
    <n v="0"/>
    <n v="0"/>
    <n v="0"/>
    <n v="0"/>
    <n v="0"/>
    <n v="0"/>
    <n v="0"/>
    <n v="0"/>
    <n v="0"/>
    <n v="0"/>
    <n v="0"/>
    <n v="0"/>
    <n v="0"/>
    <x v="0"/>
    <n v="0"/>
    <s v="MMR001CMP019"/>
    <x v="2"/>
    <x v="1"/>
    <x v="2"/>
    <n v="0"/>
    <s v="No"/>
    <m/>
  </r>
  <r>
    <n v="41.333333333333336"/>
    <d v="2013-02-26T00:00:00"/>
    <x v="2"/>
    <s v="MRCS"/>
    <s v="Kachin"/>
    <s v="Myitkyina"/>
    <s v="Jan Mai Kawng Catholic Church"/>
    <m/>
    <m/>
    <n v="99"/>
    <m/>
    <n v="99"/>
    <m/>
    <m/>
    <m/>
    <n v="0"/>
    <n v="0"/>
    <m/>
    <m/>
    <m/>
    <m/>
    <m/>
    <m/>
    <m/>
    <n v="0"/>
    <n v="0"/>
    <n v="0"/>
    <n v="0"/>
    <n v="0"/>
    <n v="0"/>
    <n v="0"/>
    <n v="0"/>
    <n v="0"/>
    <n v="0"/>
    <n v="0"/>
    <n v="0"/>
    <n v="0"/>
    <n v="0"/>
    <x v="0"/>
    <n v="0"/>
    <s v="MMR001CMP019"/>
    <x v="2"/>
    <x v="1"/>
    <x v="2"/>
    <n v="0"/>
    <s v="No"/>
    <m/>
  </r>
  <r>
    <n v="21.933333333333334"/>
    <d v="2014-10-01T00:00:00"/>
    <x v="0"/>
    <s v="Shalom"/>
    <s v="Kachin"/>
    <s v="Hpakant"/>
    <s v="Nam Ma Phyit, COC"/>
    <m/>
    <m/>
    <m/>
    <n v="36"/>
    <m/>
    <m/>
    <m/>
    <m/>
    <m/>
    <m/>
    <m/>
    <m/>
    <m/>
    <m/>
    <m/>
    <m/>
    <m/>
    <n v="0"/>
    <n v="0"/>
    <n v="0"/>
    <n v="0"/>
    <n v="0"/>
    <n v="0"/>
    <n v="0"/>
    <n v="0"/>
    <n v="0"/>
    <n v="0"/>
    <n v="0"/>
    <n v="0"/>
    <n v="0"/>
    <n v="0"/>
    <x v="0"/>
    <n v="0"/>
    <s v="MMR001CMP192"/>
    <x v="2"/>
    <x v="1"/>
    <x v="2"/>
    <n v="0"/>
    <m/>
    <m/>
  </r>
  <r>
    <n v="21.933333333333334"/>
    <d v="2014-10-01T00:00:00"/>
    <x v="0"/>
    <s v="KMSS"/>
    <s v="Kachin"/>
    <s v="Myitkyina"/>
    <s v="Nan Kway St. John Catholic Church"/>
    <m/>
    <m/>
    <m/>
    <n v="144"/>
    <m/>
    <m/>
    <m/>
    <m/>
    <m/>
    <m/>
    <m/>
    <m/>
    <m/>
    <m/>
    <m/>
    <m/>
    <m/>
    <n v="0"/>
    <n v="0"/>
    <n v="0"/>
    <n v="0"/>
    <n v="0"/>
    <n v="0"/>
    <n v="0"/>
    <n v="0"/>
    <n v="0"/>
    <n v="0"/>
    <n v="0"/>
    <n v="0"/>
    <n v="0"/>
    <n v="0"/>
    <x v="0"/>
    <n v="0"/>
    <s v="MMR001CMP024"/>
    <x v="2"/>
    <x v="1"/>
    <x v="2"/>
    <n v="0"/>
    <m/>
    <m/>
  </r>
  <r>
    <n v="21.933333333333334"/>
    <d v="2014-10-01T00:00:00"/>
    <x v="0"/>
    <s v="KMSS"/>
    <s v="Kachin"/>
    <s v="Hpakant"/>
    <s v="Nant Ma Hpit Catholic Church"/>
    <m/>
    <m/>
    <m/>
    <n v="80"/>
    <m/>
    <m/>
    <m/>
    <m/>
    <m/>
    <m/>
    <m/>
    <m/>
    <m/>
    <m/>
    <m/>
    <m/>
    <m/>
    <n v="0"/>
    <n v="0"/>
    <n v="0"/>
    <n v="0"/>
    <n v="0"/>
    <n v="0"/>
    <n v="0"/>
    <n v="0"/>
    <n v="0"/>
    <n v="0"/>
    <n v="0"/>
    <n v="0"/>
    <n v="0"/>
    <n v="0"/>
    <x v="0"/>
    <n v="0"/>
    <s v="MMR001CMP103"/>
    <x v="2"/>
    <x v="1"/>
    <x v="2"/>
    <n v="0"/>
    <m/>
    <m/>
  </r>
  <r>
    <n v="21.933333333333334"/>
    <d v="2014-10-01T00:00:00"/>
    <x v="0"/>
    <s v="Shalom"/>
    <s v="Kachin"/>
    <s v="Waingmaw"/>
    <s v="Nawng Hee Village"/>
    <m/>
    <m/>
    <m/>
    <n v="36"/>
    <m/>
    <m/>
    <m/>
    <m/>
    <m/>
    <m/>
    <m/>
    <m/>
    <m/>
    <m/>
    <m/>
    <m/>
    <m/>
    <n v="0"/>
    <n v="0"/>
    <n v="0"/>
    <n v="0"/>
    <n v="0"/>
    <n v="0"/>
    <n v="0"/>
    <n v="0"/>
    <n v="0"/>
    <n v="0"/>
    <n v="0"/>
    <n v="0"/>
    <n v="0"/>
    <n v="0"/>
    <x v="0"/>
    <n v="0"/>
    <s v="MMR001CMP033"/>
    <x v="2"/>
    <x v="1"/>
    <x v="2"/>
    <n v="0"/>
    <m/>
    <m/>
  </r>
  <r>
    <n v="21.933333333333334"/>
    <d v="2014-10-01T00:00:00"/>
    <x v="0"/>
    <s v="KMSS"/>
    <s v="Kachin"/>
    <s v="Myitkyina"/>
    <s v="Pa Dauk Myaing(Pa La Na)"/>
    <m/>
    <m/>
    <m/>
    <n v="62"/>
    <m/>
    <m/>
    <m/>
    <m/>
    <m/>
    <m/>
    <m/>
    <m/>
    <m/>
    <m/>
    <m/>
    <m/>
    <m/>
    <n v="0"/>
    <n v="0"/>
    <n v="0"/>
    <n v="0"/>
    <n v="0"/>
    <n v="0"/>
    <n v="0"/>
    <n v="0"/>
    <n v="0"/>
    <n v="0"/>
    <n v="0"/>
    <n v="0"/>
    <n v="0"/>
    <n v="0"/>
    <x v="0"/>
    <n v="0"/>
    <s v="MMR001CMP162"/>
    <x v="2"/>
    <x v="1"/>
    <x v="2"/>
    <n v="0"/>
    <m/>
    <m/>
  </r>
  <r>
    <n v="12.9"/>
    <d v="2015-06-29T00:00:00"/>
    <x v="5"/>
    <s v="KBC"/>
    <s v="Kachin"/>
    <s v="Momauk"/>
    <s v="Je Yang Hka "/>
    <m/>
    <m/>
    <n v="2350"/>
    <m/>
    <m/>
    <m/>
    <m/>
    <m/>
    <m/>
    <m/>
    <m/>
    <m/>
    <m/>
    <m/>
    <m/>
    <m/>
    <m/>
    <n v="0"/>
    <n v="0"/>
    <n v="0"/>
    <n v="0"/>
    <n v="0"/>
    <n v="0"/>
    <n v="0"/>
    <n v="0"/>
    <n v="0"/>
    <n v="0"/>
    <n v="0"/>
    <n v="0"/>
    <n v="0"/>
    <n v="0"/>
    <x v="0"/>
    <n v="0"/>
    <s v="MMR001CMP121"/>
    <x v="2"/>
    <x v="1"/>
    <x v="5"/>
    <n v="0"/>
    <m/>
    <m/>
  </r>
  <r>
    <n v="4.9333333333333336"/>
    <d v="2016-02-23T00:00:00"/>
    <x v="5"/>
    <s v="KBC"/>
    <s v="Kachin"/>
    <s v="Momauk"/>
    <s v="Je Yang Hka "/>
    <m/>
    <m/>
    <n v="1807"/>
    <m/>
    <m/>
    <m/>
    <m/>
    <m/>
    <m/>
    <m/>
    <m/>
    <m/>
    <m/>
    <m/>
    <m/>
    <m/>
    <m/>
    <n v="0"/>
    <n v="0"/>
    <n v="1807"/>
    <n v="0"/>
    <n v="0"/>
    <n v="0"/>
    <n v="0"/>
    <n v="0"/>
    <n v="0"/>
    <n v="0"/>
    <n v="0"/>
    <n v="0"/>
    <n v="0"/>
    <n v="0"/>
    <x v="0"/>
    <n v="0"/>
    <s v="MMR001CMP121"/>
    <x v="2"/>
    <x v="1"/>
    <x v="5"/>
    <n v="0"/>
    <m/>
    <m/>
  </r>
  <r>
    <n v="4.9000000000000004"/>
    <d v="2016-02-24T00:00:00"/>
    <x v="5"/>
    <s v="KBC"/>
    <s v="Kachin"/>
    <s v="Momauk"/>
    <s v="Je Yang Hka "/>
    <m/>
    <m/>
    <m/>
    <m/>
    <m/>
    <m/>
    <m/>
    <m/>
    <m/>
    <m/>
    <m/>
    <m/>
    <m/>
    <m/>
    <m/>
    <n v="394"/>
    <m/>
    <n v="0"/>
    <n v="0"/>
    <n v="0"/>
    <n v="0"/>
    <n v="0"/>
    <n v="0"/>
    <n v="0"/>
    <n v="0"/>
    <n v="0"/>
    <n v="0"/>
    <n v="0"/>
    <n v="0"/>
    <n v="0"/>
    <n v="0"/>
    <x v="0"/>
    <n v="0"/>
    <s v="MMR001CMP121"/>
    <x v="2"/>
    <x v="1"/>
    <x v="5"/>
    <n v="0"/>
    <m/>
    <m/>
  </r>
  <r>
    <n v="32.1"/>
    <d v="2013-11-30T00:00:00"/>
    <x v="5"/>
    <s v="KBC"/>
    <s v="Kachin"/>
    <s v="Momauk"/>
    <s v="Je Yang Hka "/>
    <m/>
    <m/>
    <m/>
    <m/>
    <m/>
    <m/>
    <m/>
    <m/>
    <m/>
    <n v="5268"/>
    <m/>
    <m/>
    <m/>
    <m/>
    <m/>
    <m/>
    <m/>
    <n v="0"/>
    <n v="0"/>
    <n v="0"/>
    <n v="0"/>
    <n v="0"/>
    <n v="0"/>
    <n v="0"/>
    <n v="0"/>
    <n v="0"/>
    <n v="0"/>
    <n v="0"/>
    <n v="0"/>
    <n v="0"/>
    <n v="0"/>
    <x v="0"/>
    <n v="0"/>
    <s v="MMR001CMP121"/>
    <x v="2"/>
    <x v="1"/>
    <x v="5"/>
    <n v="0"/>
    <s v="No"/>
    <m/>
  </r>
  <r>
    <n v="45.466666666666669"/>
    <d v="2012-10-25T00:00:00"/>
    <x v="5"/>
    <s v="Solidarities"/>
    <s v="Kachin"/>
    <s v="Momauk"/>
    <s v="Khun Sint Village"/>
    <n v="23"/>
    <m/>
    <m/>
    <m/>
    <m/>
    <m/>
    <m/>
    <m/>
    <m/>
    <m/>
    <m/>
    <m/>
    <m/>
    <m/>
    <m/>
    <m/>
    <m/>
    <n v="0"/>
    <n v="0"/>
    <n v="0"/>
    <n v="0"/>
    <n v="0"/>
    <n v="0"/>
    <n v="0"/>
    <n v="0"/>
    <n v="0"/>
    <n v="0"/>
    <n v="0"/>
    <n v="0"/>
    <n v="0"/>
    <n v="0"/>
    <x v="0"/>
    <n v="0"/>
    <s v="MMR001CMP200"/>
    <x v="2"/>
    <x v="1"/>
    <x v="2"/>
    <n v="0"/>
    <m/>
    <m/>
  </r>
  <r>
    <n v="52.833333333333336"/>
    <d v="2012-03-18T00:00:00"/>
    <x v="5"/>
    <s v="Solidarities"/>
    <s v="Kachin"/>
    <s v="Momauk"/>
    <s v="Khun Sint Village"/>
    <n v="850"/>
    <m/>
    <m/>
    <m/>
    <m/>
    <m/>
    <m/>
    <m/>
    <m/>
    <m/>
    <m/>
    <m/>
    <m/>
    <m/>
    <m/>
    <m/>
    <m/>
    <n v="0"/>
    <n v="0"/>
    <n v="0"/>
    <n v="0"/>
    <n v="0"/>
    <n v="0"/>
    <n v="0"/>
    <n v="0"/>
    <n v="0"/>
    <n v="0"/>
    <n v="0"/>
    <n v="0"/>
    <n v="0"/>
    <n v="0"/>
    <x v="0"/>
    <n v="0"/>
    <s v="MMR001CMP200"/>
    <x v="2"/>
    <x v="1"/>
    <x v="2"/>
    <n v="0"/>
    <m/>
    <m/>
  </r>
  <r>
    <n v="21.933333333333334"/>
    <d v="2014-10-01T00:00:00"/>
    <x v="0"/>
    <s v="KMSS"/>
    <s v="Kachin"/>
    <s v="Chipwi"/>
    <s v="Pan Wa"/>
    <m/>
    <m/>
    <m/>
    <n v="130"/>
    <m/>
    <m/>
    <m/>
    <m/>
    <m/>
    <m/>
    <m/>
    <m/>
    <m/>
    <n v="130"/>
    <m/>
    <m/>
    <m/>
    <n v="0"/>
    <n v="0"/>
    <n v="0"/>
    <n v="0"/>
    <n v="0"/>
    <n v="0"/>
    <n v="0"/>
    <n v="0"/>
    <n v="0"/>
    <n v="0"/>
    <n v="0"/>
    <n v="0"/>
    <n v="0"/>
    <n v="0"/>
    <x v="1"/>
    <n v="0"/>
    <s v="MMR001CMP210"/>
    <x v="2"/>
    <x v="1"/>
    <x v="3"/>
    <n v="0"/>
    <m/>
    <m/>
  </r>
  <r>
    <n v="43.866666666666667"/>
    <d v="2012-12-12T00:00:00"/>
    <x v="5"/>
    <s v="Solidarities"/>
    <s v="Kachin"/>
    <s v="Momauk"/>
    <s v="Je Yang Hka "/>
    <n v="5228"/>
    <m/>
    <m/>
    <m/>
    <m/>
    <m/>
    <m/>
    <m/>
    <n v="0"/>
    <n v="0"/>
    <m/>
    <m/>
    <m/>
    <m/>
    <m/>
    <m/>
    <m/>
    <n v="0"/>
    <n v="0"/>
    <n v="0"/>
    <n v="0"/>
    <n v="0"/>
    <n v="0"/>
    <n v="0"/>
    <n v="0"/>
    <n v="0"/>
    <n v="0"/>
    <n v="0"/>
    <n v="0"/>
    <n v="0"/>
    <n v="0"/>
    <x v="0"/>
    <n v="0"/>
    <s v="MMR001CMP121"/>
    <x v="2"/>
    <x v="1"/>
    <x v="5"/>
    <n v="0"/>
    <s v="No"/>
    <m/>
  </r>
  <r>
    <n v="21.933333333333334"/>
    <d v="2014-10-01T00:00:00"/>
    <x v="0"/>
    <s v="Shalom"/>
    <s v="Kachin"/>
    <s v="Waingmaw"/>
    <s v="Qtr. 2 Lhaovo Baptist Church"/>
    <m/>
    <m/>
    <m/>
    <n v="240"/>
    <m/>
    <m/>
    <m/>
    <m/>
    <m/>
    <m/>
    <m/>
    <m/>
    <m/>
    <m/>
    <m/>
    <m/>
    <m/>
    <n v="0"/>
    <n v="0"/>
    <n v="0"/>
    <n v="0"/>
    <n v="0"/>
    <n v="0"/>
    <n v="0"/>
    <n v="0"/>
    <n v="0"/>
    <n v="0"/>
    <n v="0"/>
    <n v="0"/>
    <n v="0"/>
    <n v="0"/>
    <x v="0"/>
    <n v="0"/>
    <s v="MMR001CMP032"/>
    <x v="2"/>
    <x v="1"/>
    <x v="2"/>
    <n v="0"/>
    <m/>
    <m/>
  </r>
  <r>
    <n v="21.933333333333334"/>
    <d v="2014-10-01T00:00:00"/>
    <x v="0"/>
    <s v="Shalom"/>
    <s v="Kachin"/>
    <s v="Waingmaw"/>
    <s v="Qtr. 3 Mu-yin  Baptist Church"/>
    <m/>
    <m/>
    <m/>
    <n v="46"/>
    <m/>
    <m/>
    <m/>
    <m/>
    <m/>
    <m/>
    <m/>
    <m/>
    <m/>
    <m/>
    <m/>
    <m/>
    <m/>
    <n v="0"/>
    <n v="0"/>
    <n v="0"/>
    <n v="0"/>
    <n v="0"/>
    <n v="0"/>
    <n v="0"/>
    <n v="0"/>
    <n v="0"/>
    <n v="0"/>
    <n v="0"/>
    <n v="0"/>
    <n v="0"/>
    <n v="0"/>
    <x v="0"/>
    <n v="0"/>
    <s v="MMR001CMP030"/>
    <x v="2"/>
    <x v="1"/>
    <x v="2"/>
    <n v="0"/>
    <m/>
    <m/>
  </r>
  <r>
    <n v="21.933333333333334"/>
    <d v="2014-10-01T00:00:00"/>
    <x v="0"/>
    <s v="Shalom"/>
    <s v="Kachin"/>
    <s v="Waingmaw"/>
    <s v="Qtr. 4 Monestry (Thargaya Thayett Taw)"/>
    <m/>
    <m/>
    <m/>
    <n v="204"/>
    <m/>
    <m/>
    <m/>
    <m/>
    <m/>
    <m/>
    <m/>
    <m/>
    <m/>
    <m/>
    <m/>
    <m/>
    <m/>
    <n v="0"/>
    <n v="0"/>
    <n v="0"/>
    <n v="0"/>
    <n v="0"/>
    <n v="0"/>
    <n v="0"/>
    <n v="0"/>
    <n v="0"/>
    <n v="0"/>
    <n v="0"/>
    <n v="0"/>
    <n v="0"/>
    <n v="0"/>
    <x v="0"/>
    <n v="0"/>
    <s v="MMR001CMP026"/>
    <x v="2"/>
    <x v="1"/>
    <x v="2"/>
    <n v="0"/>
    <m/>
    <m/>
  </r>
  <r>
    <n v="21.933333333333334"/>
    <d v="2014-10-01T00:00:00"/>
    <x v="0"/>
    <s v="Shalom"/>
    <s v="Kachin"/>
    <s v="Hpakant"/>
    <s v="Rawan Baptist Church, Maw Shan Vil., Seik Mu"/>
    <m/>
    <m/>
    <m/>
    <n v="24"/>
    <m/>
    <m/>
    <m/>
    <m/>
    <m/>
    <m/>
    <m/>
    <m/>
    <m/>
    <m/>
    <m/>
    <m/>
    <m/>
    <n v="0"/>
    <n v="0"/>
    <n v="0"/>
    <n v="0"/>
    <n v="0"/>
    <n v="0"/>
    <n v="0"/>
    <n v="0"/>
    <n v="0"/>
    <n v="0"/>
    <n v="0"/>
    <n v="0"/>
    <n v="0"/>
    <n v="0"/>
    <x v="0"/>
    <n v="0"/>
    <s v="MMR001CMP182"/>
    <x v="2"/>
    <x v="1"/>
    <x v="2"/>
    <n v="0"/>
    <m/>
    <m/>
  </r>
  <r>
    <n v="21.933333333333334"/>
    <d v="2014-10-01T00:00:00"/>
    <x v="0"/>
    <s v="KMSS"/>
    <s v="Kachin"/>
    <s v="Chipwi"/>
    <s v="Saw Zam"/>
    <m/>
    <m/>
    <m/>
    <n v="56"/>
    <m/>
    <m/>
    <m/>
    <m/>
    <m/>
    <m/>
    <m/>
    <m/>
    <m/>
    <n v="56"/>
    <m/>
    <m/>
    <m/>
    <n v="0"/>
    <n v="0"/>
    <n v="0"/>
    <n v="0"/>
    <n v="0"/>
    <n v="0"/>
    <n v="0"/>
    <n v="0"/>
    <n v="0"/>
    <n v="0"/>
    <n v="0"/>
    <n v="0"/>
    <n v="0"/>
    <n v="0"/>
    <x v="1"/>
    <n v="0"/>
    <s v="MMR001CMP225"/>
    <x v="2"/>
    <x v="1"/>
    <x v="3"/>
    <n v="0"/>
    <m/>
    <m/>
  </r>
  <r>
    <n v="21.933333333333334"/>
    <d v="2014-10-01T00:00:00"/>
    <x v="0"/>
    <s v="Shalom"/>
    <s v="Kachin"/>
    <s v="Myitkyina"/>
    <s v="Shatapru Thida Aye Baptist Church"/>
    <m/>
    <m/>
    <m/>
    <n v="30"/>
    <m/>
    <m/>
    <m/>
    <m/>
    <m/>
    <m/>
    <m/>
    <m/>
    <m/>
    <m/>
    <m/>
    <m/>
    <m/>
    <n v="0"/>
    <n v="0"/>
    <n v="0"/>
    <n v="0"/>
    <n v="0"/>
    <n v="0"/>
    <n v="0"/>
    <n v="0"/>
    <n v="0"/>
    <n v="0"/>
    <n v="0"/>
    <n v="0"/>
    <n v="0"/>
    <n v="0"/>
    <x v="0"/>
    <n v="0"/>
    <s v="MMR001CMP007"/>
    <x v="2"/>
    <x v="1"/>
    <x v="2"/>
    <n v="0"/>
    <m/>
    <m/>
  </r>
  <r>
    <n v="26.4"/>
    <d v="2014-05-20T00:00:00"/>
    <x v="6"/>
    <s v="MRCS"/>
    <s v="Kachin"/>
    <s v="Myitkyina"/>
    <s v="Kyun Pin Thar Baptist Church"/>
    <m/>
    <m/>
    <m/>
    <m/>
    <m/>
    <m/>
    <m/>
    <m/>
    <m/>
    <m/>
    <m/>
    <m/>
    <m/>
    <n v="88"/>
    <m/>
    <m/>
    <m/>
    <n v="0"/>
    <n v="0"/>
    <n v="0"/>
    <n v="0"/>
    <n v="0"/>
    <n v="0"/>
    <n v="0"/>
    <n v="0"/>
    <n v="0"/>
    <n v="0"/>
    <n v="0"/>
    <n v="0"/>
    <n v="0"/>
    <n v="0"/>
    <x v="1"/>
    <n v="0"/>
    <s v="MMR001CMP013"/>
    <x v="2"/>
    <x v="1"/>
    <x v="2"/>
    <n v="0"/>
    <m/>
    <m/>
  </r>
  <r>
    <n v="21.933333333333334"/>
    <d v="2014-10-01T00:00:00"/>
    <x v="0"/>
    <s v="KMSS"/>
    <s v="Kachin"/>
    <s v="Mohnyin"/>
    <s v="St. Patrick Catholic Church "/>
    <m/>
    <m/>
    <m/>
    <n v="24"/>
    <m/>
    <m/>
    <m/>
    <m/>
    <m/>
    <m/>
    <m/>
    <m/>
    <m/>
    <m/>
    <m/>
    <m/>
    <m/>
    <n v="0"/>
    <n v="0"/>
    <n v="0"/>
    <n v="0"/>
    <n v="0"/>
    <n v="0"/>
    <n v="0"/>
    <n v="0"/>
    <n v="0"/>
    <n v="0"/>
    <n v="0"/>
    <n v="0"/>
    <n v="0"/>
    <n v="0"/>
    <x v="0"/>
    <n v="0"/>
    <s v="MMR001CMP080"/>
    <x v="2"/>
    <x v="1"/>
    <x v="2"/>
    <n v="0"/>
    <m/>
    <m/>
  </r>
  <r>
    <n v="21.933333333333334"/>
    <d v="2014-10-01T00:00:00"/>
    <x v="0"/>
    <s v="Shalom"/>
    <s v="Kachin"/>
    <s v="Myitkyina"/>
    <s v="Tat Kone Emanuel Church"/>
    <m/>
    <m/>
    <m/>
    <n v="26"/>
    <m/>
    <m/>
    <m/>
    <m/>
    <m/>
    <m/>
    <m/>
    <m/>
    <m/>
    <m/>
    <m/>
    <m/>
    <m/>
    <n v="0"/>
    <n v="0"/>
    <n v="0"/>
    <n v="0"/>
    <n v="0"/>
    <n v="0"/>
    <n v="0"/>
    <n v="0"/>
    <n v="0"/>
    <n v="0"/>
    <n v="0"/>
    <n v="0"/>
    <n v="0"/>
    <n v="0"/>
    <x v="0"/>
    <n v="0"/>
    <s v="MMR001CMP004"/>
    <x v="2"/>
    <x v="1"/>
    <x v="2"/>
    <n v="0"/>
    <m/>
    <m/>
  </r>
  <r>
    <n v="21.933333333333334"/>
    <d v="2014-10-01T00:00:00"/>
    <x v="0"/>
    <s v="Shalom"/>
    <s v="Kachin"/>
    <s v="Waingmaw"/>
    <s v="Thargaya Lisu Baptist Church"/>
    <m/>
    <m/>
    <m/>
    <n v="144"/>
    <m/>
    <m/>
    <m/>
    <m/>
    <m/>
    <m/>
    <m/>
    <m/>
    <m/>
    <m/>
    <m/>
    <m/>
    <m/>
    <n v="0"/>
    <n v="0"/>
    <n v="0"/>
    <n v="0"/>
    <n v="0"/>
    <n v="0"/>
    <n v="0"/>
    <n v="0"/>
    <n v="0"/>
    <n v="0"/>
    <n v="0"/>
    <n v="0"/>
    <n v="0"/>
    <n v="0"/>
    <x v="0"/>
    <n v="0"/>
    <s v="MMR001CMP037"/>
    <x v="2"/>
    <x v="1"/>
    <x v="2"/>
    <n v="0"/>
    <m/>
    <m/>
  </r>
  <r>
    <n v="21.933333333333334"/>
    <d v="2014-10-01T00:00:00"/>
    <x v="0"/>
    <s v="Shalom"/>
    <s v="Kachin"/>
    <s v="Waingmaw"/>
    <s v="Waingmaw AG Church"/>
    <m/>
    <m/>
    <m/>
    <n v="150"/>
    <m/>
    <m/>
    <m/>
    <m/>
    <m/>
    <m/>
    <m/>
    <m/>
    <m/>
    <m/>
    <m/>
    <m/>
    <m/>
    <n v="0"/>
    <n v="0"/>
    <n v="0"/>
    <n v="0"/>
    <n v="0"/>
    <n v="0"/>
    <n v="0"/>
    <n v="0"/>
    <n v="0"/>
    <n v="0"/>
    <n v="0"/>
    <n v="0"/>
    <n v="0"/>
    <n v="0"/>
    <x v="0"/>
    <n v="0"/>
    <s v="MMR001CMP038"/>
    <x v="2"/>
    <x v="1"/>
    <x v="2"/>
    <n v="0"/>
    <m/>
    <m/>
  </r>
  <r>
    <n v="29.2"/>
    <d v="2014-02-25T00:00:00"/>
    <x v="6"/>
    <s v="MRCS"/>
    <s v="Kachin"/>
    <s v="Mogaung"/>
    <s v="Kyun Taw Baptist Church "/>
    <m/>
    <m/>
    <m/>
    <m/>
    <m/>
    <m/>
    <m/>
    <m/>
    <m/>
    <m/>
    <m/>
    <m/>
    <m/>
    <n v="26"/>
    <m/>
    <m/>
    <m/>
    <n v="0"/>
    <n v="0"/>
    <n v="0"/>
    <n v="0"/>
    <n v="0"/>
    <n v="0"/>
    <n v="0"/>
    <n v="0"/>
    <n v="0"/>
    <n v="0"/>
    <n v="0"/>
    <n v="0"/>
    <n v="0"/>
    <n v="0"/>
    <x v="1"/>
    <n v="0"/>
    <s v="MMR001CMP078"/>
    <x v="2"/>
    <x v="1"/>
    <x v="2"/>
    <n v="0"/>
    <m/>
    <m/>
  </r>
  <r>
    <n v="21.933333333333334"/>
    <d v="2014-10-01T00:00:00"/>
    <x v="0"/>
    <s v="Shalom"/>
    <s v="Kachin"/>
    <s v="Myitkyina"/>
    <s v="Wun Tho Buddhist Monastery"/>
    <m/>
    <m/>
    <m/>
    <n v="12"/>
    <m/>
    <m/>
    <m/>
    <m/>
    <m/>
    <m/>
    <m/>
    <m/>
    <m/>
    <m/>
    <m/>
    <m/>
    <m/>
    <n v="0"/>
    <n v="0"/>
    <n v="0"/>
    <n v="0"/>
    <n v="0"/>
    <n v="0"/>
    <n v="0"/>
    <n v="0"/>
    <n v="0"/>
    <n v="0"/>
    <n v="0"/>
    <n v="0"/>
    <n v="0"/>
    <n v="0"/>
    <x v="0"/>
    <n v="0"/>
    <s v="MMR001CMP022"/>
    <x v="2"/>
    <x v="1"/>
    <x v="2"/>
    <n v="0"/>
    <m/>
    <m/>
  </r>
  <r>
    <n v="32.1"/>
    <d v="2013-11-30T00:00:00"/>
    <x v="4"/>
    <s v="MDCG"/>
    <s v="Kachin"/>
    <s v="Mansi"/>
    <s v="Lagatyan "/>
    <m/>
    <m/>
    <m/>
    <m/>
    <m/>
    <n v="447"/>
    <m/>
    <m/>
    <m/>
    <m/>
    <n v="398"/>
    <n v="390"/>
    <n v="0"/>
    <m/>
    <m/>
    <m/>
    <m/>
    <n v="0"/>
    <n v="0"/>
    <n v="0"/>
    <n v="0"/>
    <n v="0"/>
    <n v="0"/>
    <n v="0"/>
    <n v="0"/>
    <n v="0"/>
    <n v="0"/>
    <n v="0"/>
    <n v="0"/>
    <n v="0"/>
    <n v="0"/>
    <x v="1"/>
    <n v="0"/>
    <s v="MMR001CMP202"/>
    <x v="2"/>
    <x v="2"/>
    <x v="2"/>
    <s v=""/>
    <s v="No"/>
    <m/>
  </r>
  <r>
    <n v="32.1"/>
    <d v="2013-11-30T00:00:00"/>
    <x v="5"/>
    <m/>
    <s v="Kachin"/>
    <s v="Mansi"/>
    <s v="Lagatyan "/>
    <m/>
    <m/>
    <m/>
    <m/>
    <m/>
    <m/>
    <m/>
    <m/>
    <m/>
    <m/>
    <m/>
    <m/>
    <m/>
    <m/>
    <m/>
    <m/>
    <m/>
    <n v="0"/>
    <n v="0"/>
    <n v="0"/>
    <n v="0"/>
    <n v="0"/>
    <n v="0"/>
    <n v="0"/>
    <n v="0"/>
    <n v="0"/>
    <n v="0"/>
    <n v="0"/>
    <n v="0"/>
    <n v="0"/>
    <n v="0"/>
    <x v="0"/>
    <n v="0"/>
    <s v="MMR001CMP202"/>
    <x v="2"/>
    <x v="2"/>
    <x v="2"/>
    <s v=""/>
    <s v="No"/>
    <m/>
  </r>
  <r>
    <n v="32.233333333333334"/>
    <d v="2013-11-26T00:00:00"/>
    <x v="5"/>
    <s v="Solidarities"/>
    <s v="Kachin"/>
    <s v="Mansi"/>
    <s v="Lagatyan "/>
    <m/>
    <m/>
    <m/>
    <m/>
    <m/>
    <m/>
    <m/>
    <m/>
    <m/>
    <m/>
    <n v="80"/>
    <n v="160"/>
    <n v="480"/>
    <n v="240"/>
    <m/>
    <m/>
    <m/>
    <n v="0"/>
    <n v="0"/>
    <n v="0"/>
    <n v="0"/>
    <n v="0"/>
    <n v="0"/>
    <n v="0"/>
    <n v="0"/>
    <n v="0"/>
    <n v="0"/>
    <n v="0"/>
    <n v="0"/>
    <n v="0"/>
    <n v="0"/>
    <x v="1"/>
    <n v="0"/>
    <s v="MMR001CMP202"/>
    <x v="2"/>
    <x v="2"/>
    <x v="2"/>
    <s v=""/>
    <m/>
    <m/>
  </r>
  <r>
    <n v="32.633333333333333"/>
    <d v="2013-11-14T00:00:00"/>
    <x v="5"/>
    <s v="Solidarities"/>
    <s v="Kachin"/>
    <s v="Mansi"/>
    <s v="Lagatyan "/>
    <m/>
    <m/>
    <m/>
    <m/>
    <m/>
    <m/>
    <m/>
    <m/>
    <m/>
    <m/>
    <n v="120"/>
    <n v="207"/>
    <n v="654"/>
    <n v="327"/>
    <m/>
    <m/>
    <m/>
    <n v="0"/>
    <n v="0"/>
    <n v="0"/>
    <n v="0"/>
    <n v="0"/>
    <n v="0"/>
    <n v="0"/>
    <n v="0"/>
    <n v="0"/>
    <n v="0"/>
    <n v="0"/>
    <n v="0"/>
    <n v="0"/>
    <n v="0"/>
    <x v="1"/>
    <n v="0"/>
    <s v="MMR001CMP202"/>
    <x v="2"/>
    <x v="2"/>
    <x v="2"/>
    <s v=""/>
    <m/>
    <m/>
  </r>
  <r>
    <n v="22.266666666666666"/>
    <d v="2014-09-21T00:00:00"/>
    <x v="0"/>
    <m/>
    <s v="Kachin"/>
    <s v="Momauk"/>
    <s v="Nhkawng Pa "/>
    <m/>
    <m/>
    <m/>
    <n v="604"/>
    <m/>
    <m/>
    <m/>
    <m/>
    <m/>
    <m/>
    <m/>
    <m/>
    <m/>
    <n v="784"/>
    <m/>
    <m/>
    <m/>
    <n v="0"/>
    <n v="0"/>
    <n v="0"/>
    <n v="0"/>
    <n v="0"/>
    <n v="0"/>
    <n v="0"/>
    <n v="0"/>
    <n v="0"/>
    <n v="0"/>
    <n v="0"/>
    <n v="0"/>
    <n v="0"/>
    <n v="0"/>
    <x v="1"/>
    <n v="0"/>
    <s v="MMR001CMP131"/>
    <x v="2"/>
    <x v="1"/>
    <x v="3"/>
    <n v="0"/>
    <m/>
    <m/>
  </r>
  <r>
    <n v="12.866666666666667"/>
    <d v="2015-06-30T00:00:00"/>
    <x v="5"/>
    <s v="Solidarities"/>
    <s v="Kachin"/>
    <s v="Waingmaw"/>
    <s v="Laiza Market 3 - Laiza Gat"/>
    <m/>
    <m/>
    <n v="825"/>
    <m/>
    <m/>
    <m/>
    <m/>
    <m/>
    <m/>
    <m/>
    <m/>
    <m/>
    <m/>
    <m/>
    <m/>
    <m/>
    <m/>
    <n v="0"/>
    <n v="0"/>
    <n v="0"/>
    <n v="0"/>
    <n v="0"/>
    <n v="0"/>
    <n v="0"/>
    <n v="0"/>
    <n v="0"/>
    <n v="0"/>
    <n v="0"/>
    <n v="0"/>
    <n v="0"/>
    <n v="0"/>
    <x v="0"/>
    <n v="0"/>
    <s v="MMR001CMP117"/>
    <x v="2"/>
    <x v="2"/>
    <x v="5"/>
    <s v=""/>
    <m/>
    <m/>
  </r>
  <r>
    <n v="32.1"/>
    <d v="2013-11-30T00:00:00"/>
    <x v="5"/>
    <s v="KBC"/>
    <s v="Kachin"/>
    <s v="Waingmaw"/>
    <s v="Laiza Market 3 - Laiza Gat"/>
    <m/>
    <m/>
    <m/>
    <m/>
    <m/>
    <m/>
    <m/>
    <m/>
    <m/>
    <n v="729"/>
    <m/>
    <m/>
    <m/>
    <m/>
    <m/>
    <m/>
    <m/>
    <n v="0"/>
    <n v="0"/>
    <n v="0"/>
    <n v="0"/>
    <n v="0"/>
    <n v="0"/>
    <n v="0"/>
    <n v="0"/>
    <n v="0"/>
    <n v="0"/>
    <n v="0"/>
    <n v="0"/>
    <n v="0"/>
    <n v="0"/>
    <x v="0"/>
    <n v="0"/>
    <s v="MMR001CMP117"/>
    <x v="2"/>
    <x v="2"/>
    <x v="5"/>
    <s v=""/>
    <s v="No"/>
    <m/>
  </r>
  <r>
    <n v="22.3"/>
    <d v="2014-09-20T00:00:00"/>
    <x v="0"/>
    <m/>
    <s v="Kachin"/>
    <s v="Momauk"/>
    <s v="Pa Kahtawng "/>
    <m/>
    <m/>
    <m/>
    <n v="1238"/>
    <m/>
    <m/>
    <m/>
    <m/>
    <m/>
    <m/>
    <m/>
    <m/>
    <m/>
    <n v="1761"/>
    <m/>
    <m/>
    <m/>
    <n v="0"/>
    <n v="0"/>
    <n v="0"/>
    <n v="0"/>
    <n v="0"/>
    <n v="0"/>
    <n v="0"/>
    <n v="0"/>
    <n v="0"/>
    <n v="0"/>
    <n v="0"/>
    <n v="0"/>
    <n v="0"/>
    <n v="0"/>
    <x v="1"/>
    <n v="0"/>
    <s v="MMR001CMP126"/>
    <x v="2"/>
    <x v="1"/>
    <x v="5"/>
    <n v="0"/>
    <m/>
    <m/>
  </r>
  <r>
    <n v="44"/>
    <d v="2012-12-08T00:00:00"/>
    <x v="5"/>
    <s v="KBC"/>
    <s v="Kachin"/>
    <s v="Waingmaw"/>
    <s v="Laiza Market 3 - Laiza Gat"/>
    <n v="1690"/>
    <m/>
    <m/>
    <m/>
    <m/>
    <m/>
    <m/>
    <m/>
    <n v="0"/>
    <n v="0"/>
    <m/>
    <m/>
    <m/>
    <m/>
    <m/>
    <m/>
    <m/>
    <n v="0"/>
    <n v="0"/>
    <n v="0"/>
    <n v="0"/>
    <n v="0"/>
    <n v="0"/>
    <n v="0"/>
    <n v="0"/>
    <n v="0"/>
    <n v="0"/>
    <n v="0"/>
    <n v="0"/>
    <n v="0"/>
    <n v="0"/>
    <x v="0"/>
    <n v="0"/>
    <s v="MMR001CMP117"/>
    <x v="2"/>
    <x v="2"/>
    <x v="5"/>
    <s v=""/>
    <s v="No"/>
    <m/>
  </r>
  <r>
    <n v="23.4"/>
    <d v="2014-08-18T00:00:00"/>
    <x v="0"/>
    <m/>
    <s v="Kachin"/>
    <s v="Mansi"/>
    <s v="Bum Tsit Pa Camp II"/>
    <m/>
    <m/>
    <m/>
    <m/>
    <n v="70"/>
    <m/>
    <m/>
    <m/>
    <m/>
    <m/>
    <m/>
    <m/>
    <m/>
    <m/>
    <m/>
    <m/>
    <m/>
    <n v="0"/>
    <n v="0"/>
    <n v="0"/>
    <n v="0"/>
    <n v="0"/>
    <n v="0"/>
    <n v="0"/>
    <n v="0"/>
    <n v="0"/>
    <n v="0"/>
    <n v="0"/>
    <n v="0"/>
    <n v="0"/>
    <n v="0"/>
    <x v="0"/>
    <n v="0"/>
    <s v="MMR001CMP226"/>
    <x v="2"/>
    <x v="1"/>
    <x v="5"/>
    <n v="0"/>
    <m/>
    <m/>
  </r>
  <r>
    <n v="23.666666666666668"/>
    <d v="2014-08-10T00:00:00"/>
    <x v="0"/>
    <m/>
    <s v="Kachin"/>
    <s v="Momauk"/>
    <s v="Pa Kahtawng "/>
    <m/>
    <m/>
    <m/>
    <n v="100"/>
    <n v="52"/>
    <n v="156"/>
    <n v="40"/>
    <m/>
    <n v="52"/>
    <n v="210"/>
    <m/>
    <m/>
    <m/>
    <m/>
    <m/>
    <m/>
    <m/>
    <n v="0"/>
    <n v="0"/>
    <n v="0"/>
    <n v="0"/>
    <n v="0"/>
    <n v="0"/>
    <n v="0"/>
    <n v="0"/>
    <n v="0"/>
    <n v="0"/>
    <n v="0"/>
    <n v="0"/>
    <n v="0"/>
    <n v="0"/>
    <x v="0"/>
    <n v="0"/>
    <s v="MMR001CMP126"/>
    <x v="2"/>
    <x v="1"/>
    <x v="5"/>
    <n v="5.9084194977843424E-2"/>
    <m/>
    <m/>
  </r>
  <r>
    <n v="23.766666666666666"/>
    <d v="2014-08-07T00:00:00"/>
    <x v="0"/>
    <s v="Shalom"/>
    <s v="Kachin"/>
    <s v="Chipwi"/>
    <s v="Lhaovao Baptist Church (LBC)"/>
    <m/>
    <m/>
    <n v="50"/>
    <n v="25"/>
    <n v="50"/>
    <n v="25"/>
    <m/>
    <n v="25"/>
    <n v="125"/>
    <m/>
    <m/>
    <m/>
    <m/>
    <m/>
    <m/>
    <m/>
    <m/>
    <n v="0"/>
    <n v="0"/>
    <n v="0"/>
    <n v="0"/>
    <n v="0"/>
    <n v="0"/>
    <n v="0"/>
    <n v="0"/>
    <n v="0"/>
    <n v="0"/>
    <n v="0"/>
    <n v="0"/>
    <n v="0"/>
    <n v="0"/>
    <x v="0"/>
    <n v="0"/>
    <s v="MMR001CMP195"/>
    <x v="2"/>
    <x v="1"/>
    <x v="3"/>
    <n v="0"/>
    <m/>
    <m/>
  </r>
  <r>
    <n v="23.766666666666666"/>
    <d v="2014-08-07T00:00:00"/>
    <x v="0"/>
    <s v="Shalom"/>
    <s v="Kachin"/>
    <s v="Waingmaw"/>
    <s v="Qtr. 2 Lhaovo Baptist Church"/>
    <m/>
    <m/>
    <n v="24"/>
    <n v="12"/>
    <n v="24"/>
    <n v="12"/>
    <m/>
    <n v="12"/>
    <n v="60"/>
    <m/>
    <m/>
    <m/>
    <m/>
    <m/>
    <m/>
    <m/>
    <m/>
    <n v="0"/>
    <n v="0"/>
    <n v="0"/>
    <n v="0"/>
    <n v="0"/>
    <n v="0"/>
    <n v="0"/>
    <n v="0"/>
    <n v="0"/>
    <n v="0"/>
    <n v="0"/>
    <n v="0"/>
    <n v="0"/>
    <n v="0"/>
    <x v="0"/>
    <n v="0"/>
    <s v="MMR001CMP032"/>
    <x v="2"/>
    <x v="1"/>
    <x v="2"/>
    <n v="0"/>
    <m/>
    <m/>
  </r>
  <r>
    <n v="31.733333333333334"/>
    <d v="2013-12-11T00:00:00"/>
    <x v="9"/>
    <s v="WPN"/>
    <s v="Kachin"/>
    <s v="Mansi"/>
    <s v="Lana Zup Ja "/>
    <m/>
    <m/>
    <m/>
    <m/>
    <m/>
    <n v="543"/>
    <m/>
    <m/>
    <m/>
    <m/>
    <m/>
    <m/>
    <m/>
    <m/>
    <m/>
    <m/>
    <m/>
    <n v="0"/>
    <n v="0"/>
    <n v="0"/>
    <n v="0"/>
    <n v="0"/>
    <n v="0"/>
    <n v="0"/>
    <n v="0"/>
    <n v="0"/>
    <n v="0"/>
    <n v="0"/>
    <n v="0"/>
    <n v="0"/>
    <n v="0"/>
    <x v="0"/>
    <n v="0"/>
    <s v="MMR001CMP128"/>
    <x v="2"/>
    <x v="1"/>
    <x v="5"/>
    <n v="0"/>
    <s v="No"/>
    <m/>
  </r>
  <r>
    <n v="32.1"/>
    <d v="2013-11-30T00:00:00"/>
    <x v="5"/>
    <s v="LDO"/>
    <s v="Kachin"/>
    <s v="Mansi"/>
    <s v="Lana Zup Ja "/>
    <m/>
    <m/>
    <m/>
    <m/>
    <m/>
    <m/>
    <m/>
    <m/>
    <m/>
    <m/>
    <m/>
    <m/>
    <m/>
    <m/>
    <m/>
    <m/>
    <m/>
    <n v="0"/>
    <n v="0"/>
    <n v="0"/>
    <n v="0"/>
    <n v="0"/>
    <n v="0"/>
    <n v="0"/>
    <n v="0"/>
    <n v="0"/>
    <n v="0"/>
    <n v="0"/>
    <n v="0"/>
    <n v="0"/>
    <n v="0"/>
    <x v="0"/>
    <n v="0"/>
    <s v="MMR001CMP128"/>
    <x v="2"/>
    <x v="1"/>
    <x v="5"/>
    <n v="0"/>
    <s v="No"/>
    <m/>
  </r>
  <r>
    <n v="23.866666666666667"/>
    <d v="2014-08-04T00:00:00"/>
    <x v="0"/>
    <m/>
    <s v="Kachin"/>
    <s v="Momauk"/>
    <s v="Loi Je Catholic Church"/>
    <m/>
    <m/>
    <m/>
    <m/>
    <n v="116"/>
    <m/>
    <m/>
    <m/>
    <m/>
    <m/>
    <m/>
    <m/>
    <m/>
    <m/>
    <m/>
    <m/>
    <m/>
    <n v="0"/>
    <n v="0"/>
    <n v="0"/>
    <n v="0"/>
    <n v="0"/>
    <n v="0"/>
    <n v="0"/>
    <n v="0"/>
    <n v="0"/>
    <n v="0"/>
    <n v="0"/>
    <n v="0"/>
    <n v="0"/>
    <n v="0"/>
    <x v="0"/>
    <n v="0"/>
    <s v="MMR001CMP069"/>
    <x v="2"/>
    <x v="1"/>
    <x v="4"/>
    <n v="0"/>
    <m/>
    <m/>
  </r>
  <r>
    <n v="32.633333333333333"/>
    <d v="2013-11-14T00:00:00"/>
    <x v="5"/>
    <s v="LDO"/>
    <s v="Kachin"/>
    <s v="Mansi"/>
    <s v="Lana Zup Ja "/>
    <m/>
    <m/>
    <m/>
    <m/>
    <m/>
    <m/>
    <m/>
    <m/>
    <m/>
    <m/>
    <n v="550"/>
    <n v="1101"/>
    <n v="3302"/>
    <n v="1651"/>
    <m/>
    <m/>
    <m/>
    <n v="0"/>
    <n v="0"/>
    <n v="0"/>
    <n v="0"/>
    <n v="0"/>
    <n v="0"/>
    <n v="0"/>
    <n v="0"/>
    <n v="0"/>
    <n v="0"/>
    <n v="0"/>
    <n v="0"/>
    <n v="0"/>
    <n v="0"/>
    <x v="1"/>
    <n v="0"/>
    <s v="MMR001CMP128"/>
    <x v="2"/>
    <x v="1"/>
    <x v="5"/>
    <n v="0"/>
    <m/>
    <m/>
  </r>
  <r>
    <n v="23.866666666666667"/>
    <d v="2014-08-04T00:00:00"/>
    <x v="0"/>
    <m/>
    <s v="Kachin"/>
    <s v="Momauk"/>
    <s v="Loi Je Lisu Camp"/>
    <m/>
    <m/>
    <m/>
    <n v="84"/>
    <n v="36"/>
    <n v="84"/>
    <n v="36"/>
    <m/>
    <n v="36"/>
    <n v="180"/>
    <m/>
    <m/>
    <m/>
    <m/>
    <m/>
    <m/>
    <m/>
    <n v="0"/>
    <n v="0"/>
    <n v="0"/>
    <n v="0"/>
    <n v="0"/>
    <n v="0"/>
    <n v="0"/>
    <n v="0"/>
    <n v="0"/>
    <n v="0"/>
    <n v="0"/>
    <n v="0"/>
    <n v="0"/>
    <n v="0"/>
    <x v="0"/>
    <n v="0"/>
    <s v="MMR001CMP070"/>
    <x v="2"/>
    <x v="1"/>
    <x v="4"/>
    <n v="0.18947368421052632"/>
    <m/>
    <m/>
  </r>
  <r>
    <n v="23.866666666666667"/>
    <d v="2014-08-04T00:00:00"/>
    <x v="0"/>
    <m/>
    <s v="Kachin"/>
    <s v="Mansi"/>
    <s v="Maing Khaung Catholic Church"/>
    <m/>
    <m/>
    <m/>
    <m/>
    <m/>
    <m/>
    <m/>
    <m/>
    <n v="2"/>
    <m/>
    <m/>
    <m/>
    <m/>
    <m/>
    <m/>
    <m/>
    <m/>
    <n v="0"/>
    <n v="0"/>
    <n v="0"/>
    <n v="0"/>
    <n v="0"/>
    <n v="0"/>
    <n v="0"/>
    <n v="0"/>
    <n v="0"/>
    <n v="0"/>
    <n v="0"/>
    <n v="0"/>
    <n v="0"/>
    <n v="0"/>
    <x v="0"/>
    <n v="0"/>
    <s v="MMR001CMP223"/>
    <x v="2"/>
    <x v="1"/>
    <x v="2"/>
    <n v="0"/>
    <m/>
    <m/>
  </r>
  <r>
    <n v="23.866666666666667"/>
    <d v="2014-08-04T00:00:00"/>
    <x v="0"/>
    <m/>
    <s v="Kachin"/>
    <s v="Bhamo"/>
    <m/>
    <m/>
    <m/>
    <m/>
    <m/>
    <n v="5"/>
    <m/>
    <m/>
    <m/>
    <m/>
    <m/>
    <m/>
    <m/>
    <m/>
    <m/>
    <m/>
    <m/>
    <m/>
    <n v="0"/>
    <n v="0"/>
    <n v="0"/>
    <n v="0"/>
    <n v="0"/>
    <n v="0"/>
    <n v="0"/>
    <n v="0"/>
    <n v="0"/>
    <n v="0"/>
    <n v="0"/>
    <n v="0"/>
    <n v="0"/>
    <n v="0"/>
    <x v="0"/>
    <n v="0"/>
    <s v=""/>
    <x v="0"/>
    <x v="0"/>
    <x v="0"/>
    <s v=""/>
    <m/>
    <m/>
  </r>
  <r>
    <n v="32.299999999999997"/>
    <d v="2013-11-24T00:00:00"/>
    <x v="5"/>
    <s v="Solidarities"/>
    <s v="Kachin"/>
    <s v="Shwegu"/>
    <s v="Lawk Awng Mare D. (Sinbo Area)"/>
    <m/>
    <m/>
    <m/>
    <m/>
    <m/>
    <m/>
    <m/>
    <m/>
    <m/>
    <m/>
    <n v="45"/>
    <n v="90"/>
    <n v="270"/>
    <n v="135"/>
    <m/>
    <m/>
    <m/>
    <n v="0"/>
    <n v="0"/>
    <n v="0"/>
    <n v="0"/>
    <n v="0"/>
    <n v="0"/>
    <n v="0"/>
    <n v="0"/>
    <n v="0"/>
    <n v="0"/>
    <n v="0"/>
    <n v="0"/>
    <n v="0"/>
    <n v="0"/>
    <x v="1"/>
    <n v="0"/>
    <s v="MMR001CMP147"/>
    <x v="1"/>
    <x v="1"/>
    <x v="2"/>
    <n v="0"/>
    <m/>
    <m/>
  </r>
  <r>
    <n v="24.066666666666666"/>
    <d v="2014-07-29T00:00:00"/>
    <x v="0"/>
    <m/>
    <s v="Kachin"/>
    <s v="Momauk"/>
    <s v="Je Yang Hka "/>
    <m/>
    <m/>
    <m/>
    <n v="254"/>
    <n v="204"/>
    <n v="254"/>
    <n v="134"/>
    <m/>
    <n v="134"/>
    <n v="608"/>
    <m/>
    <m/>
    <m/>
    <m/>
    <m/>
    <m/>
    <m/>
    <n v="0"/>
    <n v="0"/>
    <n v="0"/>
    <n v="0"/>
    <n v="0"/>
    <n v="0"/>
    <n v="0"/>
    <n v="0"/>
    <n v="0"/>
    <n v="0"/>
    <n v="0"/>
    <n v="0"/>
    <n v="0"/>
    <n v="0"/>
    <x v="0"/>
    <n v="0"/>
    <s v="MMR001CMP121"/>
    <x v="2"/>
    <x v="1"/>
    <x v="5"/>
    <n v="8.0820265379975872E-2"/>
    <m/>
    <m/>
  </r>
  <r>
    <n v="38.700000000000003"/>
    <d v="2013-05-16T00:00:00"/>
    <x v="8"/>
    <s v="KMSS"/>
    <s v="Kachin"/>
    <s v="Hpakant"/>
    <s v="Lawng Hkang"/>
    <n v="394"/>
    <m/>
    <m/>
    <m/>
    <m/>
    <m/>
    <m/>
    <m/>
    <m/>
    <m/>
    <m/>
    <m/>
    <m/>
    <m/>
    <m/>
    <m/>
    <m/>
    <n v="0"/>
    <n v="0"/>
    <n v="0"/>
    <n v="0"/>
    <n v="0"/>
    <n v="0"/>
    <n v="0"/>
    <n v="0"/>
    <n v="0"/>
    <n v="0"/>
    <n v="0"/>
    <n v="0"/>
    <n v="0"/>
    <n v="0"/>
    <x v="0"/>
    <n v="0"/>
    <s v=""/>
    <x v="0"/>
    <x v="0"/>
    <x v="0"/>
    <s v=""/>
    <s v="No"/>
    <m/>
  </r>
  <r>
    <n v="26.4"/>
    <d v="2014-05-20T00:00:00"/>
    <x v="6"/>
    <s v="MRCS"/>
    <s v="Kachin"/>
    <s v="Myitkyina"/>
    <s v="Le Kone Bethlehem Church"/>
    <m/>
    <m/>
    <m/>
    <m/>
    <m/>
    <m/>
    <m/>
    <m/>
    <m/>
    <m/>
    <m/>
    <m/>
    <m/>
    <n v="188"/>
    <m/>
    <m/>
    <m/>
    <n v="0"/>
    <n v="0"/>
    <n v="0"/>
    <n v="0"/>
    <n v="0"/>
    <n v="0"/>
    <n v="0"/>
    <n v="0"/>
    <n v="0"/>
    <n v="0"/>
    <n v="0"/>
    <n v="0"/>
    <n v="0"/>
    <n v="0"/>
    <x v="1"/>
    <n v="0"/>
    <s v="MMR001CMP015"/>
    <x v="2"/>
    <x v="1"/>
    <x v="2"/>
    <n v="0"/>
    <m/>
    <m/>
  </r>
  <r>
    <n v="24.066666666666666"/>
    <d v="2014-07-29T00:00:00"/>
    <x v="0"/>
    <m/>
    <s v="Kachin"/>
    <s v="Waingmaw"/>
    <s v="Woi Chyai "/>
    <m/>
    <m/>
    <m/>
    <n v="46"/>
    <n v="46"/>
    <n v="46"/>
    <n v="16"/>
    <m/>
    <n v="16"/>
    <n v="142"/>
    <m/>
    <m/>
    <m/>
    <m/>
    <m/>
    <m/>
    <m/>
    <n v="0"/>
    <n v="0"/>
    <n v="0"/>
    <n v="0"/>
    <n v="0"/>
    <n v="0"/>
    <n v="0"/>
    <n v="0"/>
    <n v="0"/>
    <n v="0"/>
    <n v="0"/>
    <n v="0"/>
    <n v="0"/>
    <n v="0"/>
    <x v="0"/>
    <n v="0"/>
    <s v="MMR001CMP116"/>
    <x v="2"/>
    <x v="1"/>
    <x v="2"/>
    <n v="1.1808118081180811E-2"/>
    <m/>
    <m/>
  </r>
  <r>
    <n v="24.2"/>
    <d v="2014-07-25T00:00:00"/>
    <x v="0"/>
    <m/>
    <s v="Kachin"/>
    <s v="Bhamo"/>
    <s v="Lisu Boarding-House"/>
    <m/>
    <m/>
    <m/>
    <m/>
    <n v="7"/>
    <n v="3"/>
    <m/>
    <m/>
    <n v="4"/>
    <n v="9"/>
    <m/>
    <m/>
    <m/>
    <m/>
    <m/>
    <m/>
    <m/>
    <n v="0"/>
    <n v="0"/>
    <n v="0"/>
    <n v="0"/>
    <n v="0"/>
    <n v="0"/>
    <n v="0"/>
    <n v="0"/>
    <n v="0"/>
    <n v="0"/>
    <n v="0"/>
    <n v="0"/>
    <n v="0"/>
    <n v="0"/>
    <x v="0"/>
    <n v="0"/>
    <s v="MMR001CMP049"/>
    <x v="2"/>
    <x v="1"/>
    <x v="2"/>
    <n v="0"/>
    <m/>
    <m/>
  </r>
  <r>
    <n v="24.333333333333332"/>
    <d v="2014-07-21T00:00:00"/>
    <x v="0"/>
    <m/>
    <s v="Kachin"/>
    <s v="Bhamo"/>
    <s v="Lisu Boarding-House"/>
    <m/>
    <m/>
    <m/>
    <n v="10"/>
    <n v="36"/>
    <n v="10"/>
    <n v="5"/>
    <m/>
    <n v="33"/>
    <n v="117"/>
    <m/>
    <m/>
    <m/>
    <m/>
    <m/>
    <m/>
    <m/>
    <n v="0"/>
    <n v="0"/>
    <n v="0"/>
    <n v="0"/>
    <n v="0"/>
    <n v="0"/>
    <n v="0"/>
    <n v="0"/>
    <n v="0"/>
    <n v="0"/>
    <n v="0"/>
    <n v="0"/>
    <n v="0"/>
    <n v="0"/>
    <x v="0"/>
    <n v="0"/>
    <s v="MMR001CMP049"/>
    <x v="2"/>
    <x v="1"/>
    <x v="2"/>
    <n v="4.3103448275862072E-2"/>
    <m/>
    <m/>
  </r>
  <r>
    <n v="24.333333333333332"/>
    <d v="2014-07-21T00:00:00"/>
    <x v="0"/>
    <m/>
    <s v="Kachin"/>
    <s v="Momauk"/>
    <s v="Momauk Baptist Church"/>
    <m/>
    <m/>
    <m/>
    <m/>
    <n v="75"/>
    <m/>
    <m/>
    <m/>
    <m/>
    <m/>
    <m/>
    <m/>
    <m/>
    <m/>
    <m/>
    <m/>
    <m/>
    <n v="0"/>
    <n v="0"/>
    <n v="0"/>
    <n v="0"/>
    <n v="0"/>
    <n v="0"/>
    <n v="0"/>
    <n v="0"/>
    <n v="0"/>
    <n v="0"/>
    <n v="0"/>
    <n v="0"/>
    <n v="0"/>
    <n v="0"/>
    <x v="0"/>
    <n v="0"/>
    <s v="MMR001CMP056"/>
    <x v="2"/>
    <x v="1"/>
    <x v="2"/>
    <n v="0"/>
    <m/>
    <m/>
  </r>
  <r>
    <n v="24.733333333333334"/>
    <d v="2014-07-09T00:00:00"/>
    <x v="0"/>
    <m/>
    <s v="Kachin"/>
    <s v="Mansi"/>
    <s v="Maing Khaung"/>
    <m/>
    <m/>
    <m/>
    <m/>
    <m/>
    <n v="10"/>
    <m/>
    <m/>
    <m/>
    <m/>
    <m/>
    <m/>
    <m/>
    <m/>
    <m/>
    <m/>
    <m/>
    <n v="0"/>
    <n v="0"/>
    <n v="0"/>
    <n v="0"/>
    <n v="0"/>
    <n v="0"/>
    <n v="0"/>
    <n v="0"/>
    <n v="0"/>
    <n v="0"/>
    <n v="0"/>
    <n v="0"/>
    <n v="0"/>
    <n v="0"/>
    <x v="0"/>
    <n v="0"/>
    <s v="MMR001CMP218"/>
    <x v="2"/>
    <x v="1"/>
    <x v="2"/>
    <n v="0"/>
    <m/>
    <m/>
  </r>
  <r>
    <n v="26.4"/>
    <d v="2014-05-20T00:00:00"/>
    <x v="6"/>
    <s v="MRCS"/>
    <s v="Kachin"/>
    <s v="Myitkyina"/>
    <s v="Le Kone Ziun Baptist Church "/>
    <m/>
    <m/>
    <m/>
    <m/>
    <m/>
    <m/>
    <m/>
    <m/>
    <m/>
    <m/>
    <m/>
    <m/>
    <m/>
    <n v="278"/>
    <m/>
    <m/>
    <m/>
    <n v="0"/>
    <n v="0"/>
    <n v="0"/>
    <n v="0"/>
    <n v="0"/>
    <n v="0"/>
    <n v="0"/>
    <n v="0"/>
    <n v="0"/>
    <n v="0"/>
    <n v="0"/>
    <n v="0"/>
    <n v="0"/>
    <n v="0"/>
    <x v="1"/>
    <n v="0"/>
    <s v="MMR001CMP014"/>
    <x v="2"/>
    <x v="1"/>
    <x v="2"/>
    <n v="0"/>
    <m/>
    <m/>
  </r>
  <r>
    <n v="24.733333333333334"/>
    <d v="2014-07-09T00:00:00"/>
    <x v="0"/>
    <m/>
    <s v="Kachin"/>
    <s v="Mansi"/>
    <s v="Maing Khaung Catholic Church"/>
    <m/>
    <m/>
    <m/>
    <n v="35"/>
    <n v="13"/>
    <n v="70"/>
    <n v="13"/>
    <m/>
    <n v="13"/>
    <n v="25"/>
    <m/>
    <m/>
    <m/>
    <m/>
    <m/>
    <m/>
    <m/>
    <n v="0"/>
    <n v="0"/>
    <n v="0"/>
    <n v="0"/>
    <n v="0"/>
    <n v="0"/>
    <n v="0"/>
    <n v="0"/>
    <n v="0"/>
    <n v="0"/>
    <n v="0"/>
    <n v="0"/>
    <n v="0"/>
    <n v="0"/>
    <x v="0"/>
    <n v="0"/>
    <s v="MMR001CMP223"/>
    <x v="2"/>
    <x v="1"/>
    <x v="2"/>
    <n v="0.10569105691056911"/>
    <m/>
    <m/>
  </r>
  <r>
    <n v="24.933333333333334"/>
    <d v="2014-07-03T00:00:00"/>
    <x v="0"/>
    <m/>
    <s v="Kachin"/>
    <s v="Mansi"/>
    <s v="Maing Khaung"/>
    <m/>
    <m/>
    <m/>
    <m/>
    <m/>
    <n v="9"/>
    <m/>
    <m/>
    <n v="19"/>
    <n v="1"/>
    <m/>
    <m/>
    <m/>
    <m/>
    <m/>
    <m/>
    <m/>
    <n v="0"/>
    <n v="0"/>
    <n v="0"/>
    <n v="0"/>
    <n v="0"/>
    <n v="0"/>
    <n v="0"/>
    <n v="0"/>
    <n v="0"/>
    <n v="0"/>
    <n v="0"/>
    <n v="0"/>
    <n v="0"/>
    <n v="0"/>
    <x v="0"/>
    <n v="0"/>
    <s v="MMR001CMP218"/>
    <x v="2"/>
    <x v="1"/>
    <x v="2"/>
    <n v="0"/>
    <m/>
    <m/>
  </r>
  <r>
    <n v="24.933333333333334"/>
    <d v="2014-07-03T00:00:00"/>
    <x v="0"/>
    <m/>
    <s v="Kachin"/>
    <s v="Mansi"/>
    <s v="Maing Khaung Catholic Church"/>
    <m/>
    <m/>
    <m/>
    <n v="50"/>
    <n v="15"/>
    <m/>
    <n v="15"/>
    <m/>
    <n v="15"/>
    <n v="60"/>
    <m/>
    <m/>
    <m/>
    <m/>
    <m/>
    <m/>
    <m/>
    <n v="0"/>
    <n v="0"/>
    <n v="0"/>
    <n v="0"/>
    <n v="0"/>
    <n v="0"/>
    <n v="0"/>
    <n v="0"/>
    <n v="0"/>
    <n v="0"/>
    <n v="0"/>
    <n v="0"/>
    <n v="0"/>
    <n v="0"/>
    <x v="0"/>
    <n v="0"/>
    <s v="MMR001CMP223"/>
    <x v="2"/>
    <x v="1"/>
    <x v="2"/>
    <n v="0.12195121951219512"/>
    <m/>
    <m/>
  </r>
  <r>
    <n v="25"/>
    <d v="2014-07-01T00:00:00"/>
    <x v="0"/>
    <m/>
    <s v="Kachin"/>
    <s v="Mansi"/>
    <s v="Maing Khaung"/>
    <m/>
    <m/>
    <m/>
    <m/>
    <n v="19"/>
    <m/>
    <n v="19"/>
    <m/>
    <m/>
    <n v="100"/>
    <m/>
    <m/>
    <m/>
    <m/>
    <m/>
    <m/>
    <m/>
    <n v="0"/>
    <n v="0"/>
    <n v="0"/>
    <n v="0"/>
    <n v="0"/>
    <n v="0"/>
    <n v="0"/>
    <n v="0"/>
    <n v="0"/>
    <n v="0"/>
    <n v="0"/>
    <n v="0"/>
    <n v="0"/>
    <n v="0"/>
    <x v="0"/>
    <n v="0"/>
    <s v="MMR001CMP218"/>
    <x v="2"/>
    <x v="1"/>
    <x v="2"/>
    <n v="4.8717948717948718E-2"/>
    <m/>
    <m/>
  </r>
  <r>
    <n v="25.466666666666665"/>
    <d v="2014-06-17T00:00:00"/>
    <x v="0"/>
    <m/>
    <s v="Kachin"/>
    <s v="Mansi"/>
    <s v="Maing Khaung"/>
    <m/>
    <m/>
    <m/>
    <n v="10"/>
    <n v="3"/>
    <n v="10"/>
    <n v="3"/>
    <m/>
    <n v="3"/>
    <n v="10"/>
    <m/>
    <m/>
    <m/>
    <m/>
    <m/>
    <m/>
    <m/>
    <n v="0"/>
    <n v="0"/>
    <n v="0"/>
    <n v="0"/>
    <n v="0"/>
    <n v="0"/>
    <n v="0"/>
    <n v="0"/>
    <n v="0"/>
    <n v="0"/>
    <n v="0"/>
    <n v="0"/>
    <n v="0"/>
    <n v="0"/>
    <x v="0"/>
    <n v="0"/>
    <s v="MMR001CMP218"/>
    <x v="2"/>
    <x v="1"/>
    <x v="2"/>
    <n v="7.6923076923076927E-3"/>
    <m/>
    <m/>
  </r>
  <r>
    <n v="18.466666666666665"/>
    <d v="2015-01-13T00:00:00"/>
    <x v="1"/>
    <s v="MRCS"/>
    <s v="Kachin"/>
    <s v="Chipwi"/>
    <s v="Lhaovao Baptist Church (LBC)"/>
    <m/>
    <m/>
    <m/>
    <m/>
    <m/>
    <m/>
    <m/>
    <m/>
    <m/>
    <m/>
    <n v="350"/>
    <n v="236"/>
    <m/>
    <n v="203"/>
    <m/>
    <m/>
    <m/>
    <n v="0"/>
    <n v="0"/>
    <n v="0"/>
    <n v="0"/>
    <n v="0"/>
    <n v="0"/>
    <n v="0"/>
    <n v="0"/>
    <n v="0"/>
    <n v="0"/>
    <n v="0"/>
    <n v="0"/>
    <n v="0"/>
    <n v="0"/>
    <x v="1"/>
    <n v="0"/>
    <s v="MMR001CMP195"/>
    <x v="2"/>
    <x v="1"/>
    <x v="3"/>
    <n v="0"/>
    <m/>
    <m/>
  </r>
  <r>
    <n v="25.6"/>
    <d v="2014-06-13T00:00:00"/>
    <x v="0"/>
    <m/>
    <s v="Kachin"/>
    <s v="Mansi"/>
    <s v="Maing Khaung"/>
    <m/>
    <m/>
    <m/>
    <n v="54"/>
    <n v="18"/>
    <n v="45"/>
    <n v="18"/>
    <m/>
    <n v="18"/>
    <n v="50"/>
    <m/>
    <m/>
    <m/>
    <m/>
    <m/>
    <m/>
    <m/>
    <n v="0"/>
    <n v="0"/>
    <n v="0"/>
    <n v="0"/>
    <n v="0"/>
    <n v="0"/>
    <n v="0"/>
    <n v="0"/>
    <n v="0"/>
    <n v="0"/>
    <n v="0"/>
    <n v="0"/>
    <n v="0"/>
    <n v="0"/>
    <x v="0"/>
    <n v="0"/>
    <s v="MMR001CMP218"/>
    <x v="2"/>
    <x v="1"/>
    <x v="2"/>
    <n v="4.6153846153846156E-2"/>
    <m/>
    <m/>
  </r>
  <r>
    <n v="25.9"/>
    <d v="2014-06-04T00:00:00"/>
    <x v="0"/>
    <s v="KBC"/>
    <s v="Kachin"/>
    <s v="Momauk"/>
    <s v="Momauk Baptist Church"/>
    <m/>
    <m/>
    <m/>
    <m/>
    <n v="80"/>
    <m/>
    <m/>
    <m/>
    <m/>
    <m/>
    <m/>
    <m/>
    <m/>
    <m/>
    <m/>
    <m/>
    <m/>
    <n v="0"/>
    <n v="0"/>
    <n v="0"/>
    <n v="0"/>
    <n v="0"/>
    <n v="0"/>
    <n v="0"/>
    <n v="0"/>
    <n v="0"/>
    <n v="0"/>
    <n v="0"/>
    <n v="0"/>
    <n v="0"/>
    <n v="0"/>
    <x v="0"/>
    <n v="0"/>
    <s v="MMR001CMP056"/>
    <x v="2"/>
    <x v="1"/>
    <x v="2"/>
    <n v="0"/>
    <s v="No"/>
    <m/>
  </r>
  <r>
    <n v="29.266666666666666"/>
    <d v="2014-02-23T00:00:00"/>
    <x v="6"/>
    <s v="MRCS"/>
    <s v="Kachin"/>
    <s v="Chipwi"/>
    <s v="Lhaovao Baptist Church (LBC)"/>
    <m/>
    <m/>
    <m/>
    <m/>
    <m/>
    <m/>
    <m/>
    <m/>
    <m/>
    <m/>
    <m/>
    <m/>
    <m/>
    <n v="278"/>
    <m/>
    <m/>
    <m/>
    <n v="0"/>
    <n v="0"/>
    <n v="0"/>
    <n v="0"/>
    <n v="0"/>
    <n v="0"/>
    <n v="0"/>
    <n v="0"/>
    <n v="0"/>
    <n v="0"/>
    <n v="0"/>
    <n v="0"/>
    <n v="0"/>
    <n v="0"/>
    <x v="1"/>
    <n v="0"/>
    <s v="MMR001CMP195"/>
    <x v="2"/>
    <x v="1"/>
    <x v="3"/>
    <n v="0"/>
    <m/>
    <m/>
  </r>
  <r>
    <n v="32.1"/>
    <d v="2013-11-30T00:00:00"/>
    <x v="5"/>
    <s v="KBC"/>
    <s v="Kachin"/>
    <s v="Chipwi"/>
    <s v="Lhaovao Baptist Church (LBC)"/>
    <m/>
    <m/>
    <m/>
    <m/>
    <m/>
    <m/>
    <m/>
    <m/>
    <m/>
    <m/>
    <m/>
    <m/>
    <m/>
    <m/>
    <m/>
    <m/>
    <m/>
    <n v="0"/>
    <n v="0"/>
    <n v="0"/>
    <n v="0"/>
    <n v="0"/>
    <n v="0"/>
    <n v="0"/>
    <n v="0"/>
    <n v="0"/>
    <n v="0"/>
    <n v="0"/>
    <n v="0"/>
    <n v="0"/>
    <n v="0"/>
    <x v="0"/>
    <n v="0"/>
    <s v="MMR001CMP195"/>
    <x v="2"/>
    <x v="1"/>
    <x v="3"/>
    <n v="0"/>
    <s v="No"/>
    <m/>
  </r>
  <r>
    <n v="38.5"/>
    <d v="2013-05-22T00:00:00"/>
    <x v="8"/>
    <s v="KMSS"/>
    <s v="Kachin"/>
    <s v="Chipwi"/>
    <s v="Lhaovao Baptist Church (LBC)"/>
    <n v="35"/>
    <m/>
    <m/>
    <m/>
    <m/>
    <m/>
    <m/>
    <m/>
    <m/>
    <m/>
    <m/>
    <m/>
    <m/>
    <m/>
    <m/>
    <m/>
    <m/>
    <n v="0"/>
    <n v="0"/>
    <n v="0"/>
    <n v="0"/>
    <n v="0"/>
    <n v="0"/>
    <n v="0"/>
    <n v="0"/>
    <n v="0"/>
    <n v="0"/>
    <n v="0"/>
    <n v="0"/>
    <n v="0"/>
    <n v="0"/>
    <x v="0"/>
    <n v="0"/>
    <s v="MMR001CMP195"/>
    <x v="2"/>
    <x v="1"/>
    <x v="3"/>
    <n v="0"/>
    <s v="No"/>
    <m/>
  </r>
  <r>
    <n v="26.166666666666668"/>
    <d v="2014-05-27T00:00:00"/>
    <x v="0"/>
    <s v="Shalom"/>
    <s v="Kachin"/>
    <s v="Chipwi"/>
    <s v="Chipwi KBC camp"/>
    <m/>
    <m/>
    <n v="36"/>
    <n v="18"/>
    <n v="36"/>
    <n v="18"/>
    <m/>
    <n v="18"/>
    <n v="90"/>
    <m/>
    <m/>
    <m/>
    <m/>
    <m/>
    <m/>
    <m/>
    <m/>
    <n v="0"/>
    <n v="0"/>
    <n v="0"/>
    <n v="0"/>
    <n v="0"/>
    <n v="0"/>
    <n v="0"/>
    <n v="0"/>
    <n v="0"/>
    <n v="0"/>
    <n v="0"/>
    <n v="0"/>
    <n v="0"/>
    <n v="0"/>
    <x v="0"/>
    <n v="0"/>
    <s v="MMR001CMP042"/>
    <x v="2"/>
    <x v="1"/>
    <x v="3"/>
    <n v="0"/>
    <m/>
    <m/>
  </r>
  <r>
    <n v="26.166666666666668"/>
    <d v="2014-05-27T00:00:00"/>
    <x v="0"/>
    <s v="Shalom"/>
    <s v="Kachin"/>
    <s v="Waingmaw"/>
    <s v="Hkat Cho "/>
    <m/>
    <m/>
    <n v="2"/>
    <n v="1"/>
    <n v="2"/>
    <n v="1"/>
    <m/>
    <n v="1"/>
    <n v="5"/>
    <m/>
    <m/>
    <m/>
    <m/>
    <m/>
    <m/>
    <m/>
    <m/>
    <n v="0"/>
    <n v="0"/>
    <n v="0"/>
    <n v="0"/>
    <n v="0"/>
    <n v="0"/>
    <n v="0"/>
    <n v="0"/>
    <n v="0"/>
    <n v="0"/>
    <n v="0"/>
    <n v="0"/>
    <n v="0"/>
    <n v="0"/>
    <x v="0"/>
    <n v="0"/>
    <s v="MMR001CMP028"/>
    <x v="2"/>
    <x v="1"/>
    <x v="2"/>
    <n v="0"/>
    <m/>
    <m/>
  </r>
  <r>
    <n v="26.166666666666668"/>
    <d v="2014-05-27T00:00:00"/>
    <x v="0"/>
    <s v="Shalom"/>
    <s v="Kachin"/>
    <s v="Waingmaw"/>
    <s v="Maina AG Church"/>
    <m/>
    <m/>
    <n v="50"/>
    <n v="25"/>
    <n v="50"/>
    <n v="25"/>
    <m/>
    <n v="25"/>
    <n v="125"/>
    <m/>
    <m/>
    <m/>
    <m/>
    <m/>
    <m/>
    <m/>
    <m/>
    <n v="0"/>
    <n v="0"/>
    <n v="0"/>
    <n v="0"/>
    <n v="0"/>
    <n v="0"/>
    <n v="0"/>
    <n v="0"/>
    <n v="0"/>
    <n v="0"/>
    <n v="0"/>
    <n v="0"/>
    <n v="0"/>
    <n v="0"/>
    <x v="0"/>
    <n v="0"/>
    <s v="MMR001CMP031"/>
    <x v="2"/>
    <x v="1"/>
    <x v="2"/>
    <n v="0"/>
    <m/>
    <m/>
  </r>
  <r>
    <n v="26.166666666666668"/>
    <d v="2014-05-27T00:00:00"/>
    <x v="0"/>
    <s v="Shalom"/>
    <s v="Kachin"/>
    <s v="Myitkyina"/>
    <s v="Maw Hpawng Hka Nan Baptist Church"/>
    <m/>
    <m/>
    <n v="12"/>
    <n v="6"/>
    <n v="12"/>
    <n v="6"/>
    <m/>
    <n v="6"/>
    <n v="30"/>
    <m/>
    <m/>
    <m/>
    <m/>
    <m/>
    <m/>
    <m/>
    <m/>
    <n v="0"/>
    <n v="0"/>
    <n v="0"/>
    <n v="0"/>
    <n v="0"/>
    <n v="0"/>
    <n v="0"/>
    <n v="0"/>
    <n v="0"/>
    <n v="0"/>
    <n v="0"/>
    <n v="0"/>
    <n v="0"/>
    <n v="0"/>
    <x v="0"/>
    <n v="0"/>
    <s v="MMR001CMP020"/>
    <x v="2"/>
    <x v="1"/>
    <x v="2"/>
    <n v="0"/>
    <m/>
    <m/>
  </r>
  <r>
    <n v="26.166666666666668"/>
    <d v="2014-05-27T00:00:00"/>
    <x v="0"/>
    <s v="Shalom"/>
    <s v="Kachin"/>
    <s v="Waingmaw"/>
    <s v="Qtr. 4 Monestry (Thargaya Thayett Taw)"/>
    <m/>
    <m/>
    <n v="3"/>
    <n v="3"/>
    <n v="6"/>
    <n v="3"/>
    <m/>
    <n v="3"/>
    <n v="15"/>
    <m/>
    <m/>
    <m/>
    <m/>
    <m/>
    <m/>
    <m/>
    <m/>
    <n v="0"/>
    <n v="0"/>
    <n v="0"/>
    <n v="0"/>
    <n v="0"/>
    <n v="0"/>
    <n v="0"/>
    <n v="0"/>
    <n v="0"/>
    <n v="0"/>
    <n v="0"/>
    <n v="0"/>
    <n v="0"/>
    <n v="0"/>
    <x v="0"/>
    <n v="0"/>
    <s v="MMR001CMP026"/>
    <x v="2"/>
    <x v="1"/>
    <x v="2"/>
    <n v="0"/>
    <m/>
    <m/>
  </r>
  <r>
    <n v="21.133333333333333"/>
    <d v="2014-10-25T00:00:00"/>
    <x v="1"/>
    <s v="MRCS"/>
    <s v="Kachin"/>
    <s v="Hpakant"/>
    <s v="Lisu Baptist Church, Maw Shan Vil,. Seik Mu"/>
    <m/>
    <m/>
    <m/>
    <m/>
    <m/>
    <m/>
    <m/>
    <m/>
    <m/>
    <m/>
    <n v="90"/>
    <n v="39"/>
    <m/>
    <m/>
    <m/>
    <m/>
    <m/>
    <n v="0"/>
    <n v="0"/>
    <n v="0"/>
    <n v="0"/>
    <n v="0"/>
    <n v="0"/>
    <n v="0"/>
    <n v="0"/>
    <n v="0"/>
    <n v="0"/>
    <n v="0"/>
    <n v="0"/>
    <n v="0"/>
    <n v="0"/>
    <x v="1"/>
    <n v="0"/>
    <s v="MMR001CMP181"/>
    <x v="2"/>
    <x v="1"/>
    <x v="2"/>
    <n v="0"/>
    <m/>
    <m/>
  </r>
  <r>
    <n v="26.166666666666668"/>
    <d v="2014-05-27T00:00:00"/>
    <x v="0"/>
    <s v="Shalom"/>
    <s v="Kachin"/>
    <s v="Waingmaw"/>
    <s v="Thargaya Lisu Baptist Church"/>
    <m/>
    <m/>
    <n v="18"/>
    <n v="9"/>
    <n v="18"/>
    <n v="9"/>
    <m/>
    <n v="9"/>
    <n v="45"/>
    <m/>
    <m/>
    <m/>
    <m/>
    <m/>
    <m/>
    <m/>
    <m/>
    <n v="0"/>
    <n v="0"/>
    <n v="0"/>
    <n v="0"/>
    <n v="0"/>
    <n v="0"/>
    <n v="0"/>
    <n v="0"/>
    <n v="0"/>
    <n v="0"/>
    <n v="0"/>
    <n v="0"/>
    <n v="0"/>
    <n v="0"/>
    <x v="0"/>
    <n v="0"/>
    <s v="MMR001CMP037"/>
    <x v="2"/>
    <x v="1"/>
    <x v="2"/>
    <n v="0"/>
    <m/>
    <m/>
  </r>
  <r>
    <n v="26.533333333333335"/>
    <d v="2014-05-16T00:00:00"/>
    <x v="0"/>
    <s v="UNHCR"/>
    <s v="Kachin"/>
    <s v="Bhamo"/>
    <s v="Mu-yin Baptist Church"/>
    <m/>
    <m/>
    <m/>
    <n v="10"/>
    <n v="4"/>
    <n v="10"/>
    <n v="4"/>
    <n v="4"/>
    <n v="4"/>
    <n v="18"/>
    <m/>
    <m/>
    <m/>
    <m/>
    <m/>
    <m/>
    <m/>
    <n v="0"/>
    <n v="0"/>
    <n v="0"/>
    <n v="0"/>
    <n v="0"/>
    <n v="0"/>
    <n v="0"/>
    <n v="0"/>
    <n v="0"/>
    <n v="0"/>
    <n v="0"/>
    <n v="0"/>
    <n v="0"/>
    <n v="0"/>
    <x v="0"/>
    <n v="0"/>
    <s v="MMR001CMP051"/>
    <x v="2"/>
    <x v="1"/>
    <x v="2"/>
    <n v="0.2857142857142857"/>
    <s v="No"/>
    <m/>
  </r>
  <r>
    <n v="26.533333333333335"/>
    <d v="2014-05-16T00:00:00"/>
    <x v="0"/>
    <s v="UNHCR"/>
    <s v="Kachin"/>
    <s v="Bhamo"/>
    <s v="Ta Gun Taing Monastery (Shwe Kyi Na)"/>
    <m/>
    <m/>
    <m/>
    <n v="24"/>
    <n v="13"/>
    <n v="24"/>
    <n v="13"/>
    <n v="13"/>
    <n v="13"/>
    <n v="33"/>
    <m/>
    <m/>
    <m/>
    <m/>
    <m/>
    <m/>
    <m/>
    <n v="0"/>
    <n v="0"/>
    <n v="0"/>
    <n v="0"/>
    <n v="0"/>
    <n v="0"/>
    <n v="0"/>
    <n v="0"/>
    <n v="0"/>
    <n v="0"/>
    <n v="0"/>
    <n v="0"/>
    <n v="0"/>
    <n v="0"/>
    <x v="0"/>
    <n v="0"/>
    <s v="MMR001CMP055"/>
    <x v="2"/>
    <x v="1"/>
    <x v="2"/>
    <n v="0.61904761904761907"/>
    <s v="No"/>
    <m/>
  </r>
  <r>
    <n v="21.133333333333333"/>
    <d v="2014-10-25T00:00:00"/>
    <x v="1"/>
    <s v="MRCS"/>
    <s v="Kachin"/>
    <s v="Hpakant"/>
    <s v="Lisu Baptist Church, Maw Wan Ward"/>
    <m/>
    <m/>
    <m/>
    <m/>
    <m/>
    <m/>
    <m/>
    <m/>
    <m/>
    <m/>
    <n v="48"/>
    <n v="23"/>
    <m/>
    <m/>
    <m/>
    <m/>
    <m/>
    <n v="0"/>
    <n v="0"/>
    <n v="0"/>
    <n v="0"/>
    <n v="0"/>
    <n v="0"/>
    <n v="0"/>
    <n v="0"/>
    <n v="0"/>
    <n v="0"/>
    <n v="0"/>
    <n v="0"/>
    <n v="0"/>
    <n v="0"/>
    <x v="1"/>
    <n v="0"/>
    <s v="MMR001CMP167"/>
    <x v="2"/>
    <x v="1"/>
    <x v="2"/>
    <n v="0"/>
    <m/>
    <m/>
  </r>
  <r>
    <n v="26.566666666666666"/>
    <d v="2014-05-15T00:00:00"/>
    <x v="0"/>
    <s v="UNHCR"/>
    <s v="Kachin"/>
    <s v="Bhamo"/>
    <s v="AD-2000 Tharthana Compound"/>
    <m/>
    <m/>
    <m/>
    <n v="10"/>
    <n v="4"/>
    <n v="12"/>
    <n v="4"/>
    <n v="4"/>
    <n v="4"/>
    <n v="12"/>
    <m/>
    <m/>
    <m/>
    <m/>
    <m/>
    <m/>
    <m/>
    <n v="0"/>
    <n v="0"/>
    <n v="0"/>
    <n v="0"/>
    <n v="0"/>
    <n v="0"/>
    <n v="0"/>
    <n v="0"/>
    <n v="0"/>
    <n v="0"/>
    <n v="0"/>
    <n v="0"/>
    <n v="0"/>
    <n v="0"/>
    <x v="0"/>
    <n v="0"/>
    <s v="MMR001CMP050"/>
    <x v="2"/>
    <x v="1"/>
    <x v="2"/>
    <n v="1.4598540145985401E-2"/>
    <s v="No"/>
    <m/>
  </r>
  <r>
    <n v="26.566666666666666"/>
    <d v="2014-05-15T00:00:00"/>
    <x v="0"/>
    <s v="UNHCR"/>
    <s v="Kachin"/>
    <s v="Mansi"/>
    <s v="Maing Khaung"/>
    <m/>
    <m/>
    <n v="10"/>
    <n v="10"/>
    <n v="5"/>
    <n v="15"/>
    <n v="5"/>
    <n v="5"/>
    <n v="5"/>
    <n v="20"/>
    <m/>
    <m/>
    <m/>
    <m/>
    <m/>
    <m/>
    <m/>
    <n v="0"/>
    <n v="0"/>
    <n v="0"/>
    <n v="0"/>
    <n v="0"/>
    <n v="0"/>
    <n v="0"/>
    <n v="0"/>
    <n v="0"/>
    <n v="0"/>
    <n v="0"/>
    <n v="0"/>
    <n v="0"/>
    <n v="0"/>
    <x v="0"/>
    <n v="0"/>
    <s v="MMR001CMP218"/>
    <x v="2"/>
    <x v="1"/>
    <x v="2"/>
    <n v="1.282051282051282E-2"/>
    <s v="No"/>
    <m/>
  </r>
  <r>
    <n v="26.6"/>
    <d v="2014-05-14T00:00:00"/>
    <x v="0"/>
    <s v="UNHCR"/>
    <s v="Kachin"/>
    <s v="Bhamo"/>
    <s v="AD-2000 Tharthana Compound"/>
    <m/>
    <m/>
    <n v="11"/>
    <n v="12"/>
    <n v="4"/>
    <n v="12"/>
    <n v="4"/>
    <n v="4"/>
    <n v="4"/>
    <n v="15"/>
    <m/>
    <m/>
    <m/>
    <m/>
    <m/>
    <m/>
    <m/>
    <n v="0"/>
    <n v="0"/>
    <n v="0"/>
    <n v="0"/>
    <n v="0"/>
    <n v="0"/>
    <n v="0"/>
    <n v="0"/>
    <n v="0"/>
    <n v="0"/>
    <n v="0"/>
    <n v="0"/>
    <n v="0"/>
    <n v="0"/>
    <x v="0"/>
    <n v="0"/>
    <s v="MMR001CMP050"/>
    <x v="2"/>
    <x v="1"/>
    <x v="2"/>
    <n v="1.4598540145985401E-2"/>
    <s v="No"/>
    <m/>
  </r>
  <r>
    <n v="43.233333333333334"/>
    <d v="2012-12-31T00:00:00"/>
    <x v="3"/>
    <s v="DRC"/>
    <s v="Kachin"/>
    <s v="Hpakant"/>
    <s v="Lisu Baptist Church, Maw Wan Ward"/>
    <n v="1"/>
    <m/>
    <m/>
    <m/>
    <m/>
    <m/>
    <m/>
    <m/>
    <n v="0"/>
    <n v="0"/>
    <m/>
    <m/>
    <m/>
    <m/>
    <m/>
    <m/>
    <m/>
    <n v="0"/>
    <n v="0"/>
    <n v="0"/>
    <n v="0"/>
    <n v="0"/>
    <n v="0"/>
    <n v="0"/>
    <n v="0"/>
    <n v="0"/>
    <n v="0"/>
    <n v="0"/>
    <n v="0"/>
    <n v="0"/>
    <n v="0"/>
    <x v="0"/>
    <n v="0"/>
    <s v="MMR001CMP167"/>
    <x v="2"/>
    <x v="1"/>
    <x v="2"/>
    <n v="0"/>
    <s v="No"/>
    <m/>
  </r>
  <r>
    <n v="26.6"/>
    <d v="2014-05-14T00:00:00"/>
    <x v="0"/>
    <s v="UNHCR"/>
    <s v="Kachin"/>
    <s v="Momauk"/>
    <s v="Momauk Baptist Church"/>
    <m/>
    <m/>
    <n v="5"/>
    <n v="6"/>
    <n v="32"/>
    <n v="6"/>
    <n v="2"/>
    <n v="2"/>
    <n v="2"/>
    <n v="10"/>
    <m/>
    <m/>
    <m/>
    <m/>
    <m/>
    <m/>
    <m/>
    <n v="0"/>
    <n v="0"/>
    <n v="0"/>
    <n v="0"/>
    <n v="0"/>
    <n v="0"/>
    <n v="0"/>
    <n v="0"/>
    <n v="0"/>
    <n v="0"/>
    <n v="0"/>
    <n v="0"/>
    <n v="0"/>
    <n v="0"/>
    <x v="0"/>
    <n v="0"/>
    <s v="MMR001CMP056"/>
    <x v="2"/>
    <x v="1"/>
    <x v="2"/>
    <n v="8.8495575221238937E-3"/>
    <s v="No"/>
    <m/>
  </r>
  <r>
    <n v="26.6"/>
    <d v="2014-05-14T00:00:00"/>
    <x v="0"/>
    <s v="UNHCR"/>
    <s v="Kachin"/>
    <s v="Bhamo"/>
    <s v="Ta Gun Taing Monastery (Shwe Kyi Na)"/>
    <m/>
    <m/>
    <n v="17"/>
    <n v="108"/>
    <n v="36"/>
    <n v="108"/>
    <n v="36"/>
    <n v="36"/>
    <n v="36"/>
    <n v="142"/>
    <m/>
    <m/>
    <m/>
    <m/>
    <m/>
    <m/>
    <m/>
    <n v="0"/>
    <n v="0"/>
    <n v="0"/>
    <n v="0"/>
    <n v="0"/>
    <n v="0"/>
    <n v="0"/>
    <n v="0"/>
    <n v="0"/>
    <n v="0"/>
    <n v="0"/>
    <n v="0"/>
    <n v="0"/>
    <n v="0"/>
    <x v="0"/>
    <n v="0"/>
    <s v="MMR001CMP055"/>
    <x v="2"/>
    <x v="1"/>
    <x v="2"/>
    <n v="1.7142857142857142"/>
    <s v="No"/>
    <m/>
  </r>
  <r>
    <n v="26.666666666666668"/>
    <d v="2014-05-12T00:00:00"/>
    <x v="0"/>
    <m/>
    <s v="Shan_North"/>
    <s v="Muse"/>
    <s v="Muse Catholic Church"/>
    <m/>
    <m/>
    <m/>
    <n v="68"/>
    <n v="9"/>
    <n v="118"/>
    <n v="9"/>
    <n v="0"/>
    <n v="9"/>
    <n v="45"/>
    <m/>
    <m/>
    <m/>
    <m/>
    <m/>
    <m/>
    <m/>
    <n v="0"/>
    <n v="0"/>
    <n v="0"/>
    <n v="0"/>
    <n v="0"/>
    <n v="0"/>
    <n v="0"/>
    <n v="0"/>
    <n v="0"/>
    <n v="0"/>
    <n v="0"/>
    <n v="0"/>
    <n v="0"/>
    <n v="0"/>
    <x v="0"/>
    <n v="0"/>
    <s v="MMR015CMP216"/>
    <x v="1"/>
    <x v="1"/>
    <x v="2"/>
    <n v="0.34615384615384615"/>
    <m/>
    <s v="Items distributed to other affected people"/>
  </r>
  <r>
    <n v="32.1"/>
    <d v="2013-11-30T00:00:00"/>
    <x v="4"/>
    <s v="MDCG"/>
    <s v="Kachin"/>
    <s v="Bhamo"/>
    <s v="Lisu Boarding-House"/>
    <m/>
    <m/>
    <m/>
    <m/>
    <m/>
    <n v="206"/>
    <m/>
    <m/>
    <m/>
    <m/>
    <n v="242"/>
    <n v="156"/>
    <n v="0"/>
    <m/>
    <m/>
    <m/>
    <m/>
    <n v="0"/>
    <n v="0"/>
    <n v="0"/>
    <n v="0"/>
    <n v="0"/>
    <n v="0"/>
    <n v="0"/>
    <n v="0"/>
    <n v="0"/>
    <n v="0"/>
    <n v="0"/>
    <n v="0"/>
    <n v="0"/>
    <n v="0"/>
    <x v="1"/>
    <n v="0"/>
    <s v="MMR001CMP049"/>
    <x v="2"/>
    <x v="1"/>
    <x v="2"/>
    <n v="0"/>
    <s v="No"/>
    <m/>
  </r>
  <r>
    <n v="32.1"/>
    <d v="2013-11-30T00:00:00"/>
    <x v="5"/>
    <m/>
    <s v="Kachin"/>
    <s v="Bhamo"/>
    <s v="Lisu Boarding-House"/>
    <m/>
    <m/>
    <m/>
    <m/>
    <m/>
    <m/>
    <m/>
    <m/>
    <m/>
    <n v="120"/>
    <m/>
    <m/>
    <m/>
    <m/>
    <m/>
    <m/>
    <m/>
    <n v="0"/>
    <n v="0"/>
    <n v="0"/>
    <n v="0"/>
    <n v="0"/>
    <n v="0"/>
    <n v="0"/>
    <n v="0"/>
    <n v="0"/>
    <n v="0"/>
    <n v="0"/>
    <n v="0"/>
    <n v="0"/>
    <n v="0"/>
    <x v="0"/>
    <n v="0"/>
    <s v="MMR001CMP049"/>
    <x v="2"/>
    <x v="1"/>
    <x v="2"/>
    <n v="0"/>
    <s v="No"/>
    <m/>
  </r>
  <r>
    <n v="54.6"/>
    <d v="2012-01-25T00:00:00"/>
    <x v="5"/>
    <m/>
    <s v="Kachin"/>
    <s v="Bhamo"/>
    <s v="Lisu Boarding-House"/>
    <n v="94"/>
    <m/>
    <m/>
    <m/>
    <m/>
    <m/>
    <m/>
    <m/>
    <m/>
    <m/>
    <m/>
    <m/>
    <m/>
    <m/>
    <m/>
    <m/>
    <m/>
    <n v="0"/>
    <n v="0"/>
    <n v="0"/>
    <n v="0"/>
    <n v="0"/>
    <n v="0"/>
    <n v="0"/>
    <n v="0"/>
    <n v="0"/>
    <n v="0"/>
    <n v="0"/>
    <n v="0"/>
    <n v="0"/>
    <n v="0"/>
    <x v="0"/>
    <n v="0"/>
    <s v="MMR001CMP049"/>
    <x v="2"/>
    <x v="1"/>
    <x v="2"/>
    <n v="0"/>
    <m/>
    <m/>
  </r>
  <r>
    <n v="26.666666666666668"/>
    <d v="2014-05-12T00:00:00"/>
    <x v="0"/>
    <m/>
    <s v="Shan_North"/>
    <s v="Muse"/>
    <s v="Muse Catholic Church"/>
    <m/>
    <m/>
    <m/>
    <n v="82"/>
    <n v="41"/>
    <n v="82"/>
    <n v="41"/>
    <m/>
    <n v="41"/>
    <n v="205"/>
    <m/>
    <m/>
    <m/>
    <m/>
    <m/>
    <m/>
    <m/>
    <n v="0"/>
    <n v="0"/>
    <n v="0"/>
    <n v="0"/>
    <n v="0"/>
    <n v="0"/>
    <n v="0"/>
    <n v="0"/>
    <n v="0"/>
    <n v="0"/>
    <n v="0"/>
    <n v="0"/>
    <n v="0"/>
    <n v="0"/>
    <x v="0"/>
    <n v="0"/>
    <s v="MMR015CMP216"/>
    <x v="1"/>
    <x v="1"/>
    <x v="2"/>
    <n v="1.5769230769230769"/>
    <m/>
    <m/>
  </r>
  <r>
    <n v="42.93333333333333"/>
    <d v="2013-01-09T00:00:00"/>
    <x v="5"/>
    <s v="Solidarities"/>
    <s v="Kachin"/>
    <s v="Bhamo"/>
    <s v="Lisu Boarding-House"/>
    <n v="205"/>
    <m/>
    <m/>
    <m/>
    <m/>
    <m/>
    <m/>
    <m/>
    <n v="0"/>
    <n v="0"/>
    <m/>
    <m/>
    <m/>
    <m/>
    <m/>
    <m/>
    <m/>
    <n v="0"/>
    <n v="0"/>
    <n v="0"/>
    <n v="0"/>
    <n v="0"/>
    <n v="0"/>
    <n v="0"/>
    <n v="0"/>
    <n v="0"/>
    <n v="0"/>
    <n v="0"/>
    <n v="0"/>
    <n v="0"/>
    <n v="0"/>
    <x v="0"/>
    <n v="0"/>
    <s v="MMR001CMP049"/>
    <x v="2"/>
    <x v="1"/>
    <x v="2"/>
    <n v="0"/>
    <s v="No"/>
    <m/>
  </r>
  <r>
    <n v="26.7"/>
    <d v="2014-05-11T00:00:00"/>
    <x v="0"/>
    <m/>
    <s v="Shan_North"/>
    <s v="Muse"/>
    <s v="Muse Baptist Church"/>
    <m/>
    <m/>
    <m/>
    <n v="138"/>
    <n v="19"/>
    <n v="238"/>
    <n v="19"/>
    <n v="0"/>
    <n v="19"/>
    <n v="95"/>
    <m/>
    <m/>
    <m/>
    <m/>
    <m/>
    <m/>
    <m/>
    <n v="0"/>
    <n v="0"/>
    <n v="0"/>
    <n v="0"/>
    <n v="0"/>
    <n v="0"/>
    <n v="0"/>
    <n v="0"/>
    <n v="0"/>
    <n v="0"/>
    <n v="0"/>
    <n v="0"/>
    <n v="0"/>
    <n v="0"/>
    <x v="0"/>
    <n v="0"/>
    <s v="MMR015CMP213"/>
    <x v="1"/>
    <x v="1"/>
    <x v="2"/>
    <n v="0.36538461538461536"/>
    <m/>
    <s v="Items distributed to other affected people"/>
  </r>
  <r>
    <n v="21.133333333333333"/>
    <d v="2014-10-25T00:00:00"/>
    <x v="1"/>
    <s v="MRCS"/>
    <s v="Kachin"/>
    <s v="Momauk"/>
    <s v="Loi Je Baptist Church"/>
    <m/>
    <m/>
    <m/>
    <m/>
    <m/>
    <m/>
    <m/>
    <m/>
    <m/>
    <m/>
    <n v="112"/>
    <n v="59"/>
    <m/>
    <n v="74"/>
    <m/>
    <m/>
    <m/>
    <n v="0"/>
    <n v="0"/>
    <n v="0"/>
    <n v="0"/>
    <n v="0"/>
    <n v="0"/>
    <n v="0"/>
    <n v="0"/>
    <n v="0"/>
    <n v="0"/>
    <n v="0"/>
    <n v="0"/>
    <n v="0"/>
    <n v="0"/>
    <x v="1"/>
    <n v="0"/>
    <s v="MMR001CMP071"/>
    <x v="2"/>
    <x v="1"/>
    <x v="4"/>
    <n v="0"/>
    <m/>
    <m/>
  </r>
  <r>
    <n v="26.7"/>
    <d v="2014-05-11T00:00:00"/>
    <x v="0"/>
    <m/>
    <s v="Shan_North"/>
    <s v="Muse"/>
    <s v="Muse Baptist Church"/>
    <m/>
    <m/>
    <m/>
    <n v="162"/>
    <n v="81"/>
    <n v="162"/>
    <n v="81"/>
    <m/>
    <n v="81"/>
    <n v="405"/>
    <m/>
    <m/>
    <m/>
    <m/>
    <m/>
    <m/>
    <m/>
    <n v="0"/>
    <n v="0"/>
    <n v="0"/>
    <n v="0"/>
    <n v="0"/>
    <n v="0"/>
    <n v="0"/>
    <n v="0"/>
    <n v="0"/>
    <n v="0"/>
    <n v="0"/>
    <n v="0"/>
    <n v="0"/>
    <n v="0"/>
    <x v="0"/>
    <n v="0"/>
    <s v="MMR015CMP213"/>
    <x v="1"/>
    <x v="1"/>
    <x v="2"/>
    <n v="1.5576923076923077"/>
    <m/>
    <m/>
  </r>
  <r>
    <n v="32.1"/>
    <d v="2013-11-30T00:00:00"/>
    <x v="5"/>
    <m/>
    <s v="Kachin"/>
    <s v="Momauk"/>
    <s v="Loi Je Baptist Church"/>
    <m/>
    <m/>
    <m/>
    <m/>
    <m/>
    <m/>
    <m/>
    <m/>
    <m/>
    <n v="105"/>
    <m/>
    <m/>
    <m/>
    <m/>
    <m/>
    <m/>
    <m/>
    <n v="0"/>
    <n v="0"/>
    <n v="0"/>
    <n v="0"/>
    <n v="0"/>
    <n v="0"/>
    <n v="0"/>
    <n v="0"/>
    <n v="0"/>
    <n v="0"/>
    <n v="0"/>
    <n v="0"/>
    <n v="0"/>
    <n v="0"/>
    <x v="0"/>
    <n v="0"/>
    <s v="MMR001CMP071"/>
    <x v="2"/>
    <x v="1"/>
    <x v="4"/>
    <n v="0"/>
    <s v="No"/>
    <m/>
  </r>
  <r>
    <n v="32.633333333333333"/>
    <d v="2013-11-14T00:00:00"/>
    <x v="3"/>
    <m/>
    <s v="Kachin"/>
    <s v="Momauk"/>
    <s v="Loi Je Baptist Church"/>
    <m/>
    <m/>
    <m/>
    <m/>
    <m/>
    <n v="75"/>
    <m/>
    <m/>
    <m/>
    <m/>
    <m/>
    <m/>
    <m/>
    <m/>
    <m/>
    <m/>
    <m/>
    <n v="0"/>
    <n v="0"/>
    <n v="0"/>
    <n v="0"/>
    <n v="0"/>
    <n v="0"/>
    <n v="0"/>
    <n v="0"/>
    <n v="0"/>
    <n v="0"/>
    <n v="0"/>
    <n v="0"/>
    <n v="0"/>
    <n v="0"/>
    <x v="0"/>
    <n v="0"/>
    <s v="MMR001CMP071"/>
    <x v="2"/>
    <x v="1"/>
    <x v="4"/>
    <n v="0"/>
    <s v="No"/>
    <m/>
  </r>
  <r>
    <n v="27.366666666666667"/>
    <d v="2014-04-21T00:00:00"/>
    <x v="0"/>
    <s v="UNHCR"/>
    <s v="Kachin"/>
    <s v="Bhamo"/>
    <s v="AD-2000 Tharthana Compound"/>
    <m/>
    <m/>
    <n v="5"/>
    <n v="6"/>
    <n v="2"/>
    <n v="6"/>
    <n v="2"/>
    <n v="2"/>
    <n v="2"/>
    <n v="6"/>
    <m/>
    <m/>
    <m/>
    <m/>
    <m/>
    <m/>
    <m/>
    <n v="0"/>
    <n v="0"/>
    <n v="0"/>
    <n v="0"/>
    <n v="0"/>
    <n v="0"/>
    <n v="0"/>
    <n v="0"/>
    <n v="0"/>
    <n v="0"/>
    <n v="0"/>
    <n v="0"/>
    <n v="0"/>
    <n v="0"/>
    <x v="0"/>
    <n v="0"/>
    <s v="MMR001CMP050"/>
    <x v="2"/>
    <x v="1"/>
    <x v="2"/>
    <n v="7.2992700729927005E-3"/>
    <s v="No"/>
    <m/>
  </r>
  <r>
    <n v="43.666666666666664"/>
    <d v="2012-12-18T00:00:00"/>
    <x v="5"/>
    <s v="Solidarities"/>
    <s v="Kachin"/>
    <s v="Momauk"/>
    <s v="Loi Je Baptist Church"/>
    <m/>
    <m/>
    <n v="54"/>
    <m/>
    <m/>
    <m/>
    <m/>
    <m/>
    <m/>
    <m/>
    <m/>
    <m/>
    <m/>
    <m/>
    <m/>
    <m/>
    <m/>
    <n v="0"/>
    <n v="0"/>
    <n v="0"/>
    <n v="0"/>
    <n v="0"/>
    <n v="0"/>
    <n v="0"/>
    <n v="0"/>
    <n v="0"/>
    <n v="0"/>
    <n v="0"/>
    <n v="0"/>
    <n v="0"/>
    <n v="0"/>
    <x v="0"/>
    <n v="0"/>
    <s v="MMR001CMP071"/>
    <x v="2"/>
    <x v="1"/>
    <x v="4"/>
    <n v="0"/>
    <m/>
    <m/>
  </r>
  <r>
    <n v="16.100000000000001"/>
    <d v="2015-03-25T00:00:00"/>
    <x v="5"/>
    <s v="Solidarities"/>
    <s v="Kachin"/>
    <s v="Momauk"/>
    <s v="Edin"/>
    <m/>
    <m/>
    <m/>
    <m/>
    <m/>
    <m/>
    <m/>
    <m/>
    <m/>
    <m/>
    <m/>
    <m/>
    <m/>
    <m/>
    <m/>
    <n v="3"/>
    <m/>
    <n v="0"/>
    <n v="0"/>
    <n v="0"/>
    <n v="0"/>
    <n v="0"/>
    <n v="0"/>
    <n v="0"/>
    <n v="0"/>
    <n v="0"/>
    <n v="0"/>
    <n v="0"/>
    <n v="0"/>
    <n v="0"/>
    <n v="0"/>
    <x v="0"/>
    <n v="0"/>
    <s v=""/>
    <x v="0"/>
    <x v="0"/>
    <x v="0"/>
    <s v=""/>
    <m/>
    <m/>
  </r>
  <r>
    <n v="7.166666666666667"/>
    <d v="2015-12-18T00:00:00"/>
    <x v="5"/>
    <s v="Solidarities"/>
    <s v="Kachin"/>
    <s v="Momauk"/>
    <s v="Edin"/>
    <m/>
    <m/>
    <m/>
    <m/>
    <m/>
    <m/>
    <m/>
    <m/>
    <m/>
    <m/>
    <m/>
    <m/>
    <m/>
    <m/>
    <m/>
    <n v="13"/>
    <m/>
    <n v="0"/>
    <n v="0"/>
    <n v="0"/>
    <n v="0"/>
    <n v="0"/>
    <n v="0"/>
    <n v="0"/>
    <n v="0"/>
    <n v="0"/>
    <n v="0"/>
    <n v="0"/>
    <n v="0"/>
    <n v="0"/>
    <n v="0"/>
    <x v="0"/>
    <n v="0"/>
    <s v=""/>
    <x v="0"/>
    <x v="0"/>
    <x v="0"/>
    <s v=""/>
    <m/>
    <m/>
  </r>
  <r>
    <n v="4.7333333333333334"/>
    <d v="2016-02-29T00:00:00"/>
    <x v="5"/>
    <s v="Solidarities"/>
    <s v="Kachin"/>
    <s v="Momauk"/>
    <s v="Edin"/>
    <m/>
    <m/>
    <m/>
    <m/>
    <m/>
    <m/>
    <m/>
    <m/>
    <m/>
    <m/>
    <m/>
    <m/>
    <m/>
    <m/>
    <m/>
    <n v="13"/>
    <m/>
    <n v="0"/>
    <n v="0"/>
    <n v="0"/>
    <n v="0"/>
    <n v="0"/>
    <n v="0"/>
    <n v="0"/>
    <n v="0"/>
    <n v="0"/>
    <n v="0"/>
    <n v="0"/>
    <n v="0"/>
    <n v="0"/>
    <n v="0"/>
    <x v="0"/>
    <n v="0"/>
    <s v=""/>
    <x v="0"/>
    <x v="0"/>
    <x v="0"/>
    <s v=""/>
    <m/>
    <m/>
  </r>
  <r>
    <n v="2.7333333333333334"/>
    <d v="2016-04-29T00:00:00"/>
    <x v="5"/>
    <s v="Solidarities"/>
    <s v="Kachin"/>
    <s v="Momauk"/>
    <s v="Edin"/>
    <m/>
    <m/>
    <m/>
    <m/>
    <m/>
    <m/>
    <m/>
    <m/>
    <m/>
    <m/>
    <m/>
    <m/>
    <m/>
    <m/>
    <m/>
    <n v="26"/>
    <m/>
    <n v="0"/>
    <n v="0"/>
    <n v="0"/>
    <n v="0"/>
    <n v="0"/>
    <n v="0"/>
    <n v="0"/>
    <n v="0"/>
    <n v="0"/>
    <n v="0"/>
    <n v="0"/>
    <n v="0"/>
    <n v="0"/>
    <n v="0"/>
    <x v="0"/>
    <n v="0"/>
    <s v=""/>
    <x v="0"/>
    <x v="0"/>
    <x v="0"/>
    <s v=""/>
    <m/>
    <m/>
  </r>
  <r>
    <n v="16.533333333333335"/>
    <d v="2015-03-12T00:00:00"/>
    <x v="5"/>
    <s v="Solidarities"/>
    <s v="Kachin"/>
    <s v="Momauk"/>
    <s v="Loi Je Baptist Church"/>
    <m/>
    <m/>
    <m/>
    <m/>
    <m/>
    <m/>
    <m/>
    <m/>
    <m/>
    <m/>
    <m/>
    <m/>
    <m/>
    <m/>
    <m/>
    <n v="1"/>
    <m/>
    <n v="0"/>
    <n v="0"/>
    <n v="0"/>
    <n v="0"/>
    <n v="0"/>
    <n v="0"/>
    <n v="0"/>
    <n v="0"/>
    <n v="0"/>
    <n v="0"/>
    <n v="0"/>
    <n v="0"/>
    <n v="0"/>
    <n v="0"/>
    <x v="0"/>
    <n v="0"/>
    <s v="MMR001CMP071"/>
    <x v="2"/>
    <x v="1"/>
    <x v="4"/>
    <n v="0"/>
    <m/>
    <m/>
  </r>
  <r>
    <n v="7.2666666666666666"/>
    <d v="2015-12-15T00:00:00"/>
    <x v="5"/>
    <s v="Solidarities"/>
    <s v="Kachin"/>
    <s v="Momauk"/>
    <s v="Loi Je Baptist Church"/>
    <m/>
    <m/>
    <m/>
    <m/>
    <m/>
    <m/>
    <m/>
    <m/>
    <m/>
    <m/>
    <m/>
    <m/>
    <m/>
    <m/>
    <m/>
    <n v="3"/>
    <m/>
    <n v="0"/>
    <n v="0"/>
    <n v="0"/>
    <n v="0"/>
    <n v="0"/>
    <n v="0"/>
    <n v="0"/>
    <n v="0"/>
    <n v="0"/>
    <n v="0"/>
    <n v="0"/>
    <n v="0"/>
    <n v="0"/>
    <n v="0"/>
    <x v="0"/>
    <n v="0"/>
    <s v="MMR001CMP071"/>
    <x v="2"/>
    <x v="1"/>
    <x v="4"/>
    <n v="0"/>
    <m/>
    <m/>
  </r>
  <r>
    <n v="2.7"/>
    <d v="2016-04-30T00:00:00"/>
    <x v="5"/>
    <s v="Solidarities"/>
    <s v="Kachin"/>
    <s v="Momauk"/>
    <s v="Loi Je Baptist Church"/>
    <m/>
    <m/>
    <m/>
    <m/>
    <m/>
    <m/>
    <m/>
    <m/>
    <m/>
    <m/>
    <m/>
    <m/>
    <m/>
    <m/>
    <m/>
    <n v="3"/>
    <m/>
    <n v="0"/>
    <n v="0"/>
    <n v="0"/>
    <n v="0"/>
    <n v="0"/>
    <n v="0"/>
    <n v="0"/>
    <n v="0"/>
    <n v="0"/>
    <n v="0"/>
    <n v="0"/>
    <n v="0"/>
    <n v="0"/>
    <n v="0"/>
    <x v="0"/>
    <n v="0"/>
    <s v="MMR001CMP071"/>
    <x v="2"/>
    <x v="1"/>
    <x v="4"/>
    <n v="0"/>
    <m/>
    <m/>
  </r>
  <r>
    <n v="13.733333333333333"/>
    <d v="2015-06-04T00:00:00"/>
    <x v="5"/>
    <s v="Solidarities"/>
    <s v="Kachin"/>
    <s v="Momauk"/>
    <s v="Loi Je Baptist Church"/>
    <m/>
    <m/>
    <n v="54"/>
    <m/>
    <m/>
    <m/>
    <m/>
    <m/>
    <m/>
    <m/>
    <m/>
    <m/>
    <m/>
    <m/>
    <m/>
    <m/>
    <m/>
    <n v="0"/>
    <n v="0"/>
    <n v="0"/>
    <n v="0"/>
    <n v="0"/>
    <n v="0"/>
    <n v="0"/>
    <n v="0"/>
    <n v="0"/>
    <n v="0"/>
    <n v="0"/>
    <n v="0"/>
    <n v="0"/>
    <n v="0"/>
    <x v="0"/>
    <n v="0"/>
    <s v="MMR001CMP071"/>
    <x v="2"/>
    <x v="1"/>
    <x v="4"/>
    <n v="0"/>
    <m/>
    <m/>
  </r>
  <r>
    <n v="5.5666666666666664"/>
    <d v="2016-02-04T00:00:00"/>
    <x v="5"/>
    <s v="Solidarities"/>
    <s v="Kachin"/>
    <s v="Momauk"/>
    <s v="Loi Je Baptist Church"/>
    <m/>
    <m/>
    <n v="55"/>
    <m/>
    <m/>
    <m/>
    <m/>
    <m/>
    <m/>
    <m/>
    <m/>
    <m/>
    <m/>
    <m/>
    <m/>
    <m/>
    <m/>
    <n v="0"/>
    <n v="0"/>
    <n v="55"/>
    <n v="0"/>
    <n v="0"/>
    <n v="0"/>
    <n v="0"/>
    <n v="0"/>
    <n v="0"/>
    <n v="0"/>
    <n v="0"/>
    <n v="0"/>
    <n v="0"/>
    <n v="0"/>
    <x v="0"/>
    <n v="0"/>
    <s v="MMR001CMP071"/>
    <x v="2"/>
    <x v="1"/>
    <x v="4"/>
    <n v="0"/>
    <m/>
    <m/>
  </r>
  <r>
    <n v="53.633333333333333"/>
    <d v="2012-02-23T00:00:00"/>
    <x v="5"/>
    <s v="Solidarities"/>
    <s v="Kachin"/>
    <s v="Momauk"/>
    <s v="Loi Je Baptist Church"/>
    <n v="172"/>
    <m/>
    <m/>
    <m/>
    <m/>
    <m/>
    <m/>
    <m/>
    <m/>
    <m/>
    <m/>
    <m/>
    <m/>
    <m/>
    <m/>
    <m/>
    <m/>
    <n v="0"/>
    <n v="0"/>
    <n v="0"/>
    <n v="0"/>
    <n v="0"/>
    <n v="0"/>
    <n v="0"/>
    <n v="0"/>
    <n v="0"/>
    <n v="0"/>
    <n v="0"/>
    <n v="0"/>
    <n v="0"/>
    <n v="0"/>
    <x v="0"/>
    <n v="0"/>
    <s v="MMR001CMP071"/>
    <x v="2"/>
    <x v="1"/>
    <x v="4"/>
    <n v="0"/>
    <m/>
    <m/>
  </r>
  <r>
    <n v="41.2"/>
    <d v="2013-03-02T00:00:00"/>
    <x v="5"/>
    <s v="Solidarities"/>
    <s v="Kachin"/>
    <s v="Momauk"/>
    <s v="Loi Je Baptist Church"/>
    <n v="3"/>
    <m/>
    <m/>
    <m/>
    <m/>
    <m/>
    <m/>
    <m/>
    <n v="0"/>
    <n v="0"/>
    <m/>
    <m/>
    <m/>
    <m/>
    <m/>
    <m/>
    <m/>
    <n v="0"/>
    <n v="0"/>
    <n v="0"/>
    <n v="0"/>
    <n v="0"/>
    <n v="0"/>
    <n v="0"/>
    <n v="0"/>
    <n v="0"/>
    <n v="0"/>
    <n v="0"/>
    <n v="0"/>
    <n v="0"/>
    <n v="0"/>
    <x v="0"/>
    <n v="0"/>
    <s v="MMR001CMP071"/>
    <x v="2"/>
    <x v="1"/>
    <x v="4"/>
    <n v="0"/>
    <s v="No"/>
    <m/>
  </r>
  <r>
    <n v="27.366666666666667"/>
    <d v="2014-04-21T00:00:00"/>
    <x v="0"/>
    <m/>
    <s v="Kachin"/>
    <s v="Mansi"/>
    <s v="Bum Tsit Pa Camp II"/>
    <m/>
    <m/>
    <m/>
    <n v="800"/>
    <n v="400"/>
    <m/>
    <n v="100"/>
    <m/>
    <n v="400"/>
    <n v="2000"/>
    <m/>
    <m/>
    <m/>
    <m/>
    <m/>
    <m/>
    <m/>
    <n v="0"/>
    <n v="0"/>
    <n v="0"/>
    <n v="0"/>
    <n v="0"/>
    <n v="0"/>
    <n v="0"/>
    <n v="0"/>
    <n v="0"/>
    <n v="0"/>
    <n v="0"/>
    <n v="0"/>
    <n v="0"/>
    <n v="0"/>
    <x v="0"/>
    <n v="0"/>
    <s v="MMR001CMP226"/>
    <x v="2"/>
    <x v="1"/>
    <x v="5"/>
    <n v="0.45662100456621002"/>
    <m/>
    <m/>
  </r>
  <r>
    <n v="21.133333333333333"/>
    <d v="2014-10-25T00:00:00"/>
    <x v="1"/>
    <s v="MRCS"/>
    <s v="Kachin"/>
    <s v="Momauk"/>
    <s v="Loi Je Catholic Church"/>
    <m/>
    <m/>
    <m/>
    <m/>
    <m/>
    <m/>
    <m/>
    <m/>
    <m/>
    <m/>
    <n v="203"/>
    <n v="102"/>
    <m/>
    <n v="138"/>
    <m/>
    <m/>
    <m/>
    <n v="0"/>
    <n v="0"/>
    <n v="0"/>
    <n v="0"/>
    <n v="0"/>
    <n v="0"/>
    <n v="0"/>
    <n v="0"/>
    <n v="0"/>
    <n v="0"/>
    <n v="0"/>
    <n v="0"/>
    <n v="0"/>
    <n v="0"/>
    <x v="1"/>
    <n v="0"/>
    <s v="MMR001CMP069"/>
    <x v="2"/>
    <x v="1"/>
    <x v="4"/>
    <n v="0"/>
    <m/>
    <m/>
  </r>
  <r>
    <n v="27.366666666666667"/>
    <d v="2014-04-21T00:00:00"/>
    <x v="0"/>
    <s v="UNHCR"/>
    <s v="Kachin"/>
    <s v="Mansi"/>
    <s v="Mansi Baptist Church"/>
    <m/>
    <m/>
    <n v="20"/>
    <n v="30"/>
    <n v="13"/>
    <n v="40"/>
    <n v="13"/>
    <n v="13"/>
    <n v="13"/>
    <n v="25"/>
    <m/>
    <m/>
    <m/>
    <m/>
    <m/>
    <m/>
    <m/>
    <n v="0"/>
    <n v="0"/>
    <n v="0"/>
    <n v="0"/>
    <n v="0"/>
    <n v="0"/>
    <n v="0"/>
    <n v="0"/>
    <n v="0"/>
    <n v="0"/>
    <n v="0"/>
    <n v="0"/>
    <n v="0"/>
    <n v="0"/>
    <x v="0"/>
    <n v="0"/>
    <s v="MMR001CMP066"/>
    <x v="2"/>
    <x v="1"/>
    <x v="2"/>
    <n v="6.6326530612244902E-2"/>
    <s v="No"/>
    <m/>
  </r>
  <r>
    <n v="32.1"/>
    <d v="2013-11-30T00:00:00"/>
    <x v="5"/>
    <m/>
    <s v="Kachin"/>
    <s v="Momauk"/>
    <s v="Loi Je Catholic Church"/>
    <m/>
    <m/>
    <m/>
    <m/>
    <m/>
    <m/>
    <m/>
    <m/>
    <m/>
    <n v="246"/>
    <m/>
    <m/>
    <m/>
    <m/>
    <m/>
    <m/>
    <m/>
    <n v="0"/>
    <n v="0"/>
    <n v="0"/>
    <n v="0"/>
    <n v="0"/>
    <n v="0"/>
    <n v="0"/>
    <n v="0"/>
    <n v="0"/>
    <n v="0"/>
    <n v="0"/>
    <n v="0"/>
    <n v="0"/>
    <n v="0"/>
    <x v="0"/>
    <n v="0"/>
    <s v="MMR001CMP069"/>
    <x v="2"/>
    <x v="1"/>
    <x v="4"/>
    <n v="0"/>
    <s v="No"/>
    <m/>
  </r>
  <r>
    <n v="32.533333333333331"/>
    <d v="2013-11-17T00:00:00"/>
    <x v="3"/>
    <m/>
    <s v="Kachin"/>
    <s v="Momauk"/>
    <s v="Loi Je Catholic Church"/>
    <m/>
    <m/>
    <m/>
    <m/>
    <m/>
    <n v="141"/>
    <m/>
    <m/>
    <m/>
    <m/>
    <m/>
    <m/>
    <m/>
    <m/>
    <m/>
    <m/>
    <m/>
    <n v="0"/>
    <n v="0"/>
    <n v="0"/>
    <n v="0"/>
    <n v="0"/>
    <n v="0"/>
    <n v="0"/>
    <n v="0"/>
    <n v="0"/>
    <n v="0"/>
    <n v="0"/>
    <n v="0"/>
    <n v="0"/>
    <n v="0"/>
    <x v="0"/>
    <n v="0"/>
    <s v="MMR001CMP069"/>
    <x v="2"/>
    <x v="1"/>
    <x v="4"/>
    <n v="0"/>
    <s v="No"/>
    <m/>
  </r>
  <r>
    <n v="27.366666666666667"/>
    <d v="2014-04-21T00:00:00"/>
    <x v="0"/>
    <s v="UNHCR"/>
    <s v="Kachin"/>
    <s v="Momauk"/>
    <s v="Momauk Baptist Church"/>
    <m/>
    <m/>
    <n v="15"/>
    <n v="16"/>
    <n v="50"/>
    <n v="16"/>
    <n v="7"/>
    <n v="7"/>
    <n v="7"/>
    <n v="13"/>
    <m/>
    <m/>
    <m/>
    <m/>
    <m/>
    <m/>
    <m/>
    <n v="0"/>
    <n v="0"/>
    <n v="0"/>
    <n v="0"/>
    <n v="0"/>
    <n v="0"/>
    <n v="0"/>
    <n v="0"/>
    <n v="0"/>
    <n v="0"/>
    <n v="0"/>
    <n v="0"/>
    <n v="0"/>
    <n v="0"/>
    <x v="0"/>
    <n v="0"/>
    <s v="MMR001CMP056"/>
    <x v="2"/>
    <x v="1"/>
    <x v="2"/>
    <n v="3.0973451327433628E-2"/>
    <s v="No"/>
    <m/>
  </r>
  <r>
    <n v="19.366666666666667"/>
    <d v="2014-12-17T00:00:00"/>
    <x v="5"/>
    <s v="Solidarities"/>
    <s v="Kachin"/>
    <s v="Momauk"/>
    <s v="Loi Je Baptist Church"/>
    <m/>
    <m/>
    <m/>
    <m/>
    <m/>
    <m/>
    <m/>
    <m/>
    <m/>
    <m/>
    <m/>
    <m/>
    <m/>
    <m/>
    <m/>
    <m/>
    <m/>
    <n v="0"/>
    <n v="0"/>
    <n v="0"/>
    <n v="0"/>
    <n v="0"/>
    <n v="0"/>
    <n v="0"/>
    <n v="0"/>
    <n v="0"/>
    <n v="0"/>
    <n v="0"/>
    <n v="0"/>
    <n v="0"/>
    <n v="0"/>
    <x v="0"/>
    <n v="0"/>
    <s v="MMR001CMP071"/>
    <x v="2"/>
    <x v="1"/>
    <x v="4"/>
    <n v="0"/>
    <m/>
    <m/>
  </r>
  <r>
    <n v="12.866666666666667"/>
    <d v="2015-06-30T00:00:00"/>
    <x v="5"/>
    <s v="Solidarities"/>
    <s v="Kachin"/>
    <s v="Momauk"/>
    <s v="Edin"/>
    <m/>
    <m/>
    <m/>
    <m/>
    <m/>
    <m/>
    <m/>
    <m/>
    <m/>
    <m/>
    <m/>
    <m/>
    <m/>
    <m/>
    <n v="2"/>
    <m/>
    <m/>
    <n v="0"/>
    <n v="0"/>
    <n v="0"/>
    <n v="0"/>
    <n v="0"/>
    <n v="0"/>
    <n v="0"/>
    <n v="0"/>
    <n v="0"/>
    <n v="0"/>
    <n v="0"/>
    <n v="0"/>
    <n v="0"/>
    <n v="0"/>
    <x v="0"/>
    <n v="0"/>
    <s v=""/>
    <x v="0"/>
    <x v="0"/>
    <x v="0"/>
    <s v=""/>
    <m/>
    <m/>
  </r>
  <r>
    <n v="7.6333333333333337"/>
    <d v="2015-12-04T00:00:00"/>
    <x v="5"/>
    <s v="Solidarities"/>
    <s v="Kachin"/>
    <s v="Momauk"/>
    <s v="Edin"/>
    <m/>
    <m/>
    <m/>
    <m/>
    <m/>
    <m/>
    <m/>
    <m/>
    <m/>
    <m/>
    <m/>
    <m/>
    <m/>
    <m/>
    <n v="1"/>
    <m/>
    <m/>
    <n v="0"/>
    <n v="0"/>
    <n v="0"/>
    <n v="0"/>
    <n v="0"/>
    <n v="0"/>
    <n v="0"/>
    <n v="0"/>
    <n v="0"/>
    <n v="0"/>
    <n v="0"/>
    <n v="0"/>
    <n v="0"/>
    <n v="0"/>
    <x v="0"/>
    <n v="1"/>
    <s v=""/>
    <x v="0"/>
    <x v="0"/>
    <x v="0"/>
    <s v=""/>
    <m/>
    <m/>
  </r>
  <r>
    <n v="7.7333333333333334"/>
    <d v="2015-12-01T00:00:00"/>
    <x v="5"/>
    <s v="Solidarities"/>
    <s v="Kachin"/>
    <s v="Momauk"/>
    <s v="Loi Je B.E.H.S"/>
    <m/>
    <m/>
    <m/>
    <m/>
    <m/>
    <m/>
    <m/>
    <m/>
    <m/>
    <m/>
    <m/>
    <m/>
    <m/>
    <m/>
    <n v="44"/>
    <m/>
    <m/>
    <n v="0"/>
    <n v="0"/>
    <n v="0"/>
    <n v="0"/>
    <n v="0"/>
    <n v="0"/>
    <n v="0"/>
    <n v="0"/>
    <n v="0"/>
    <n v="0"/>
    <n v="0"/>
    <n v="0"/>
    <n v="0"/>
    <n v="0"/>
    <x v="0"/>
    <n v="44"/>
    <s v=""/>
    <x v="0"/>
    <x v="0"/>
    <x v="0"/>
    <s v=""/>
    <m/>
    <m/>
  </r>
  <r>
    <n v="13.866666666666667"/>
    <d v="2015-05-31T00:00:00"/>
    <x v="5"/>
    <s v="Solidarities"/>
    <s v="Kachin"/>
    <s v="Momauk"/>
    <s v="Loi Je Baptist Church"/>
    <m/>
    <m/>
    <m/>
    <m/>
    <m/>
    <m/>
    <m/>
    <m/>
    <m/>
    <m/>
    <m/>
    <m/>
    <m/>
    <m/>
    <n v="2"/>
    <m/>
    <m/>
    <n v="0"/>
    <n v="0"/>
    <n v="0"/>
    <n v="0"/>
    <n v="0"/>
    <n v="0"/>
    <n v="0"/>
    <n v="0"/>
    <n v="0"/>
    <n v="0"/>
    <n v="0"/>
    <n v="0"/>
    <n v="0"/>
    <n v="0"/>
    <x v="0"/>
    <n v="0"/>
    <s v="MMR001CMP071"/>
    <x v="2"/>
    <x v="1"/>
    <x v="4"/>
    <n v="0"/>
    <m/>
    <m/>
  </r>
  <r>
    <n v="5.7666666666666666"/>
    <d v="2016-01-29T00:00:00"/>
    <x v="5"/>
    <s v="Solidarities"/>
    <s v="Kachin"/>
    <s v="Momauk"/>
    <s v="Loi Je Baptist Church"/>
    <m/>
    <m/>
    <m/>
    <m/>
    <m/>
    <m/>
    <m/>
    <m/>
    <m/>
    <m/>
    <m/>
    <m/>
    <m/>
    <m/>
    <n v="2"/>
    <m/>
    <m/>
    <n v="0"/>
    <n v="0"/>
    <n v="0"/>
    <n v="0"/>
    <n v="0"/>
    <n v="0"/>
    <n v="0"/>
    <n v="0"/>
    <n v="0"/>
    <n v="0"/>
    <n v="0"/>
    <n v="0"/>
    <n v="0"/>
    <n v="0"/>
    <x v="0"/>
    <n v="2"/>
    <s v="MMR001CMP071"/>
    <x v="2"/>
    <x v="1"/>
    <x v="4"/>
    <n v="0"/>
    <m/>
    <m/>
  </r>
  <r>
    <n v="13.766666666666667"/>
    <d v="2015-06-03T00:00:00"/>
    <x v="5"/>
    <s v="Solidarities"/>
    <s v="Kachin"/>
    <s v="Momauk"/>
    <s v="Loi Je Baptist Church"/>
    <m/>
    <m/>
    <m/>
    <m/>
    <m/>
    <m/>
    <m/>
    <m/>
    <m/>
    <m/>
    <m/>
    <m/>
    <m/>
    <m/>
    <m/>
    <m/>
    <m/>
    <n v="0"/>
    <n v="0"/>
    <n v="0"/>
    <n v="0"/>
    <n v="0"/>
    <n v="0"/>
    <n v="0"/>
    <n v="0"/>
    <n v="0"/>
    <n v="0"/>
    <n v="0"/>
    <n v="0"/>
    <n v="0"/>
    <n v="0"/>
    <x v="0"/>
    <n v="0"/>
    <s v="MMR001CMP071"/>
    <x v="2"/>
    <x v="1"/>
    <x v="4"/>
    <n v="0"/>
    <m/>
    <m/>
  </r>
  <r>
    <n v="5.5666666666666664"/>
    <d v="2016-02-04T00:00:00"/>
    <x v="5"/>
    <s v="Solidarities"/>
    <s v="Kachin"/>
    <s v="Momauk"/>
    <s v="Loi Je Baptist Church"/>
    <m/>
    <m/>
    <m/>
    <m/>
    <m/>
    <m/>
    <m/>
    <m/>
    <m/>
    <m/>
    <m/>
    <m/>
    <m/>
    <m/>
    <m/>
    <m/>
    <m/>
    <n v="0"/>
    <n v="0"/>
    <n v="0"/>
    <n v="0"/>
    <n v="0"/>
    <n v="0"/>
    <n v="0"/>
    <n v="0"/>
    <n v="0"/>
    <n v="0"/>
    <n v="0"/>
    <n v="0"/>
    <n v="0"/>
    <n v="0"/>
    <x v="0"/>
    <n v="0"/>
    <s v="MMR001CMP071"/>
    <x v="2"/>
    <x v="1"/>
    <x v="4"/>
    <n v="0"/>
    <m/>
    <m/>
  </r>
  <r>
    <n v="16.533333333333335"/>
    <d v="2015-03-12T00:00:00"/>
    <x v="5"/>
    <s v="Solidarities"/>
    <s v="Kachin"/>
    <s v="Momauk"/>
    <s v="Loi Je Baptist Church"/>
    <m/>
    <m/>
    <m/>
    <m/>
    <m/>
    <m/>
    <m/>
    <m/>
    <m/>
    <m/>
    <m/>
    <m/>
    <m/>
    <m/>
    <m/>
    <m/>
    <m/>
    <n v="0"/>
    <n v="0"/>
    <n v="0"/>
    <n v="0"/>
    <n v="0"/>
    <n v="0"/>
    <n v="0"/>
    <n v="0"/>
    <n v="0"/>
    <n v="0"/>
    <n v="0"/>
    <n v="0"/>
    <n v="0"/>
    <n v="0"/>
    <x v="0"/>
    <n v="0"/>
    <s v="MMR001CMP071"/>
    <x v="2"/>
    <x v="1"/>
    <x v="4"/>
    <n v="0"/>
    <m/>
    <m/>
  </r>
  <r>
    <n v="7.2666666666666666"/>
    <d v="2015-12-15T00:00:00"/>
    <x v="5"/>
    <s v="Solidarities"/>
    <s v="Kachin"/>
    <s v="Momauk"/>
    <s v="Loi Je Baptist Church"/>
    <m/>
    <m/>
    <m/>
    <m/>
    <m/>
    <m/>
    <m/>
    <m/>
    <m/>
    <m/>
    <m/>
    <m/>
    <m/>
    <m/>
    <m/>
    <m/>
    <m/>
    <n v="0"/>
    <n v="0"/>
    <n v="0"/>
    <n v="0"/>
    <n v="0"/>
    <n v="0"/>
    <n v="0"/>
    <n v="0"/>
    <n v="0"/>
    <n v="0"/>
    <n v="0"/>
    <n v="0"/>
    <n v="0"/>
    <n v="0"/>
    <x v="0"/>
    <n v="0"/>
    <s v="MMR001CMP071"/>
    <x v="2"/>
    <x v="1"/>
    <x v="4"/>
    <n v="0"/>
    <m/>
    <m/>
  </r>
  <r>
    <n v="2.7"/>
    <d v="2016-04-30T00:00:00"/>
    <x v="5"/>
    <s v="Solidarities"/>
    <s v="Kachin"/>
    <s v="Momauk"/>
    <s v="Loi Je Baptist Church"/>
    <m/>
    <m/>
    <m/>
    <m/>
    <m/>
    <m/>
    <m/>
    <m/>
    <m/>
    <m/>
    <m/>
    <m/>
    <m/>
    <m/>
    <m/>
    <m/>
    <m/>
    <n v="0"/>
    <n v="0"/>
    <n v="0"/>
    <n v="0"/>
    <n v="0"/>
    <n v="0"/>
    <n v="0"/>
    <n v="0"/>
    <n v="0"/>
    <n v="0"/>
    <n v="0"/>
    <n v="0"/>
    <n v="0"/>
    <n v="0"/>
    <x v="0"/>
    <n v="0"/>
    <s v="MMR001CMP071"/>
    <x v="2"/>
    <x v="1"/>
    <x v="4"/>
    <n v="0"/>
    <m/>
    <m/>
  </r>
  <r>
    <n v="19.366666666666667"/>
    <d v="2014-12-17T00:00:00"/>
    <x v="5"/>
    <s v="Solidarities"/>
    <s v="Kachin"/>
    <s v="Momauk"/>
    <s v="Loi Je Catholic Church"/>
    <m/>
    <m/>
    <n v="124"/>
    <m/>
    <m/>
    <m/>
    <m/>
    <m/>
    <m/>
    <m/>
    <m/>
    <m/>
    <m/>
    <m/>
    <m/>
    <m/>
    <m/>
    <n v="0"/>
    <n v="0"/>
    <n v="0"/>
    <n v="0"/>
    <n v="0"/>
    <n v="0"/>
    <n v="0"/>
    <n v="0"/>
    <n v="0"/>
    <n v="0"/>
    <n v="0"/>
    <n v="0"/>
    <n v="0"/>
    <n v="0"/>
    <x v="0"/>
    <n v="0"/>
    <s v="MMR001CMP069"/>
    <x v="2"/>
    <x v="1"/>
    <x v="4"/>
    <n v="0"/>
    <m/>
    <m/>
  </r>
  <r>
    <n v="13.766666666666667"/>
    <d v="2015-06-03T00:00:00"/>
    <x v="5"/>
    <s v="Solidarities"/>
    <s v="Kachin"/>
    <s v="Momauk"/>
    <s v="Loi Je Catholic Church"/>
    <m/>
    <m/>
    <n v="115"/>
    <m/>
    <m/>
    <m/>
    <m/>
    <m/>
    <m/>
    <m/>
    <m/>
    <m/>
    <m/>
    <m/>
    <m/>
    <m/>
    <m/>
    <n v="0"/>
    <n v="0"/>
    <n v="0"/>
    <n v="0"/>
    <n v="0"/>
    <n v="0"/>
    <n v="0"/>
    <n v="0"/>
    <n v="0"/>
    <n v="0"/>
    <n v="0"/>
    <n v="0"/>
    <n v="0"/>
    <n v="0"/>
    <x v="0"/>
    <n v="0"/>
    <s v="MMR001CMP069"/>
    <x v="2"/>
    <x v="1"/>
    <x v="4"/>
    <n v="0"/>
    <m/>
    <m/>
  </r>
  <r>
    <n v="5.5666666666666664"/>
    <d v="2016-02-04T00:00:00"/>
    <x v="5"/>
    <s v="Solidarities"/>
    <s v="Kachin"/>
    <s v="Momauk"/>
    <s v="Loi Je Catholic Church"/>
    <m/>
    <m/>
    <n v="71"/>
    <m/>
    <m/>
    <m/>
    <m/>
    <m/>
    <m/>
    <m/>
    <m/>
    <m/>
    <m/>
    <m/>
    <m/>
    <m/>
    <m/>
    <n v="0"/>
    <n v="0"/>
    <n v="71"/>
    <n v="0"/>
    <n v="0"/>
    <n v="0"/>
    <n v="0"/>
    <n v="0"/>
    <n v="0"/>
    <n v="0"/>
    <n v="0"/>
    <n v="0"/>
    <n v="0"/>
    <n v="0"/>
    <x v="0"/>
    <n v="0"/>
    <s v="MMR001CMP069"/>
    <x v="2"/>
    <x v="1"/>
    <x v="4"/>
    <n v="0"/>
    <m/>
    <m/>
  </r>
  <r>
    <n v="53.633333333333333"/>
    <d v="2012-02-23T00:00:00"/>
    <x v="5"/>
    <s v="Solidarities"/>
    <s v="Kachin"/>
    <s v="Momauk"/>
    <s v="Loi Je Catholic Church"/>
    <n v="227"/>
    <m/>
    <m/>
    <m/>
    <m/>
    <m/>
    <m/>
    <m/>
    <m/>
    <m/>
    <m/>
    <m/>
    <m/>
    <m/>
    <m/>
    <m/>
    <m/>
    <n v="0"/>
    <n v="0"/>
    <n v="0"/>
    <n v="0"/>
    <n v="0"/>
    <n v="0"/>
    <n v="0"/>
    <n v="0"/>
    <n v="0"/>
    <n v="0"/>
    <n v="0"/>
    <n v="0"/>
    <n v="0"/>
    <n v="0"/>
    <x v="0"/>
    <n v="0"/>
    <s v="MMR001CMP069"/>
    <x v="2"/>
    <x v="1"/>
    <x v="4"/>
    <n v="0"/>
    <m/>
    <m/>
  </r>
  <r>
    <n v="47.833333333333336"/>
    <d v="2012-08-15T00:00:00"/>
    <x v="5"/>
    <s v="Solidarities"/>
    <s v="Kachin"/>
    <s v="Momauk"/>
    <s v="Loi Je Catholic Church"/>
    <n v="73"/>
    <m/>
    <m/>
    <m/>
    <m/>
    <m/>
    <m/>
    <m/>
    <m/>
    <m/>
    <m/>
    <m/>
    <m/>
    <m/>
    <m/>
    <m/>
    <m/>
    <n v="0"/>
    <n v="0"/>
    <n v="0"/>
    <n v="0"/>
    <n v="0"/>
    <n v="0"/>
    <n v="0"/>
    <n v="0"/>
    <n v="0"/>
    <n v="0"/>
    <n v="0"/>
    <n v="0"/>
    <n v="0"/>
    <n v="0"/>
    <x v="0"/>
    <n v="0"/>
    <s v="MMR001CMP069"/>
    <x v="2"/>
    <x v="1"/>
    <x v="4"/>
    <n v="0"/>
    <m/>
    <m/>
  </r>
  <r>
    <n v="42.966666666666669"/>
    <d v="2013-01-08T00:00:00"/>
    <x v="5"/>
    <s v="Solidarities"/>
    <s v="Kachin"/>
    <s v="Momauk"/>
    <s v="Loi Je Catholic Church"/>
    <n v="353"/>
    <m/>
    <m/>
    <m/>
    <m/>
    <m/>
    <m/>
    <m/>
    <n v="0"/>
    <n v="0"/>
    <m/>
    <m/>
    <m/>
    <m/>
    <m/>
    <m/>
    <m/>
    <n v="0"/>
    <n v="0"/>
    <n v="0"/>
    <n v="0"/>
    <n v="0"/>
    <n v="0"/>
    <n v="0"/>
    <n v="0"/>
    <n v="0"/>
    <n v="0"/>
    <n v="0"/>
    <n v="0"/>
    <n v="0"/>
    <n v="0"/>
    <x v="0"/>
    <n v="0"/>
    <s v="MMR001CMP069"/>
    <x v="2"/>
    <x v="1"/>
    <x v="4"/>
    <n v="0"/>
    <s v="No"/>
    <m/>
  </r>
  <r>
    <n v="27.366666666666667"/>
    <d v="2014-04-21T00:00:00"/>
    <x v="0"/>
    <m/>
    <s v="Shan_North"/>
    <s v="Namhkan"/>
    <s v="Nam Hkam (KBC Jaw Wang) II"/>
    <m/>
    <m/>
    <m/>
    <n v="0"/>
    <n v="1"/>
    <n v="167"/>
    <n v="1"/>
    <n v="0"/>
    <n v="1"/>
    <n v="0"/>
    <m/>
    <m/>
    <m/>
    <m/>
    <m/>
    <m/>
    <m/>
    <n v="0"/>
    <n v="0"/>
    <n v="0"/>
    <n v="0"/>
    <n v="0"/>
    <n v="0"/>
    <n v="0"/>
    <n v="0"/>
    <n v="0"/>
    <n v="0"/>
    <n v="0"/>
    <n v="0"/>
    <n v="0"/>
    <n v="0"/>
    <x v="0"/>
    <n v="0"/>
    <s v="MMR015CMP214"/>
    <x v="1"/>
    <x v="1"/>
    <x v="2"/>
    <n v="2.8571428571428571E-2"/>
    <m/>
    <s v="Items distributed to other affected people"/>
  </r>
  <r>
    <n v="27.366666666666667"/>
    <d v="2014-04-21T00:00:00"/>
    <x v="0"/>
    <m/>
    <s v="Shan_North"/>
    <s v="Namhkan"/>
    <s v="Nam Hkam (KBC Jaw Wang) II"/>
    <m/>
    <m/>
    <m/>
    <n v="90"/>
    <n v="49"/>
    <n v="98"/>
    <n v="49"/>
    <m/>
    <n v="49"/>
    <n v="225"/>
    <m/>
    <m/>
    <m/>
    <m/>
    <m/>
    <m/>
    <m/>
    <n v="0"/>
    <n v="0"/>
    <n v="0"/>
    <n v="0"/>
    <n v="0"/>
    <n v="0"/>
    <n v="0"/>
    <n v="0"/>
    <n v="0"/>
    <n v="0"/>
    <n v="0"/>
    <n v="0"/>
    <n v="0"/>
    <n v="0"/>
    <x v="0"/>
    <n v="0"/>
    <s v="MMR015CMP214"/>
    <x v="1"/>
    <x v="1"/>
    <x v="2"/>
    <n v="1.4"/>
    <m/>
    <m/>
  </r>
  <r>
    <n v="27.4"/>
    <d v="2014-04-20T00:00:00"/>
    <x v="0"/>
    <m/>
    <s v="Kachin"/>
    <s v="Mansi"/>
    <s v="Man Wing Baptist Church"/>
    <m/>
    <m/>
    <m/>
    <n v="220"/>
    <n v="110"/>
    <n v="1000"/>
    <n v="110"/>
    <m/>
    <n v="110"/>
    <n v="550"/>
    <m/>
    <m/>
    <m/>
    <m/>
    <m/>
    <m/>
    <m/>
    <n v="0"/>
    <n v="0"/>
    <n v="0"/>
    <n v="0"/>
    <n v="0"/>
    <n v="0"/>
    <n v="0"/>
    <n v="0"/>
    <n v="0"/>
    <n v="0"/>
    <n v="0"/>
    <n v="0"/>
    <n v="0"/>
    <n v="0"/>
    <x v="0"/>
    <n v="0"/>
    <s v="MMR001CMP133"/>
    <x v="2"/>
    <x v="1"/>
    <x v="2"/>
    <n v="1.02803738317757"/>
    <m/>
    <m/>
  </r>
  <r>
    <n v="21.133333333333333"/>
    <d v="2014-10-25T00:00:00"/>
    <x v="1"/>
    <s v="MRCS"/>
    <s v="Kachin"/>
    <s v="Momauk"/>
    <s v="Loi Je Lisu Camp"/>
    <m/>
    <m/>
    <m/>
    <m/>
    <m/>
    <m/>
    <m/>
    <m/>
    <m/>
    <m/>
    <n v="591"/>
    <n v="347"/>
    <m/>
    <n v="311"/>
    <m/>
    <m/>
    <m/>
    <n v="0"/>
    <n v="0"/>
    <n v="0"/>
    <n v="0"/>
    <n v="0"/>
    <n v="0"/>
    <n v="0"/>
    <n v="0"/>
    <n v="0"/>
    <n v="0"/>
    <n v="0"/>
    <n v="0"/>
    <n v="0"/>
    <n v="0"/>
    <x v="1"/>
    <n v="0"/>
    <s v="MMR001CMP070"/>
    <x v="2"/>
    <x v="1"/>
    <x v="4"/>
    <n v="0"/>
    <m/>
    <m/>
  </r>
  <r>
    <n v="27.433333333333334"/>
    <d v="2014-04-19T00:00:00"/>
    <x v="0"/>
    <m/>
    <s v="Kachin"/>
    <s v="Mansi"/>
    <s v="Man Wing Catholic Church"/>
    <m/>
    <m/>
    <m/>
    <n v="400"/>
    <n v="190"/>
    <n v="870"/>
    <n v="190"/>
    <m/>
    <n v="190"/>
    <n v="1000"/>
    <m/>
    <m/>
    <m/>
    <m/>
    <m/>
    <m/>
    <m/>
    <n v="0"/>
    <n v="0"/>
    <n v="0"/>
    <n v="0"/>
    <n v="0"/>
    <n v="0"/>
    <n v="0"/>
    <n v="0"/>
    <n v="0"/>
    <n v="0"/>
    <n v="0"/>
    <n v="0"/>
    <n v="0"/>
    <n v="0"/>
    <x v="0"/>
    <n v="0"/>
    <s v="MMR001CMP132"/>
    <x v="2"/>
    <x v="1"/>
    <x v="2"/>
    <n v="0.41484716157205243"/>
    <m/>
    <m/>
  </r>
  <r>
    <n v="27.5"/>
    <d v="2014-04-17T00:00:00"/>
    <x v="0"/>
    <s v="UNHCR"/>
    <s v="Kachin"/>
    <s v="Momauk"/>
    <s v="Momauk Baptist Church"/>
    <m/>
    <m/>
    <m/>
    <n v="8"/>
    <n v="4"/>
    <n v="12"/>
    <n v="4"/>
    <n v="4"/>
    <n v="4"/>
    <n v="41"/>
    <m/>
    <m/>
    <m/>
    <m/>
    <m/>
    <m/>
    <m/>
    <n v="0"/>
    <n v="0"/>
    <n v="0"/>
    <n v="0"/>
    <n v="0"/>
    <n v="0"/>
    <n v="0"/>
    <n v="0"/>
    <n v="0"/>
    <n v="0"/>
    <n v="0"/>
    <n v="0"/>
    <n v="0"/>
    <n v="0"/>
    <x v="0"/>
    <n v="0"/>
    <s v="MMR001CMP056"/>
    <x v="2"/>
    <x v="1"/>
    <x v="2"/>
    <n v="1.7699115044247787E-2"/>
    <s v="No"/>
    <m/>
  </r>
  <r>
    <n v="19.366666666666667"/>
    <d v="2014-12-17T00:00:00"/>
    <x v="5"/>
    <s v="Solidarities"/>
    <s v="Kachin"/>
    <s v="Momauk"/>
    <s v="Loi Je Lisu Camp"/>
    <m/>
    <m/>
    <n v="283"/>
    <m/>
    <m/>
    <m/>
    <m/>
    <m/>
    <m/>
    <m/>
    <m/>
    <m/>
    <m/>
    <m/>
    <m/>
    <m/>
    <m/>
    <n v="0"/>
    <n v="0"/>
    <n v="0"/>
    <n v="0"/>
    <n v="0"/>
    <n v="0"/>
    <n v="0"/>
    <n v="0"/>
    <n v="0"/>
    <n v="0"/>
    <n v="0"/>
    <n v="0"/>
    <n v="0"/>
    <n v="0"/>
    <x v="0"/>
    <n v="0"/>
    <s v="MMR001CMP070"/>
    <x v="2"/>
    <x v="1"/>
    <x v="4"/>
    <n v="0"/>
    <m/>
    <m/>
  </r>
  <r>
    <n v="13.766666666666667"/>
    <d v="2015-06-03T00:00:00"/>
    <x v="5"/>
    <s v="Solidarities"/>
    <s v="Kachin"/>
    <s v="Momauk"/>
    <s v="Loi Je Lisu Camp"/>
    <m/>
    <m/>
    <n v="270"/>
    <m/>
    <m/>
    <m/>
    <m/>
    <m/>
    <m/>
    <m/>
    <m/>
    <m/>
    <m/>
    <m/>
    <m/>
    <m/>
    <m/>
    <n v="0"/>
    <n v="0"/>
    <n v="0"/>
    <n v="0"/>
    <n v="0"/>
    <n v="0"/>
    <n v="0"/>
    <n v="0"/>
    <n v="0"/>
    <n v="0"/>
    <n v="0"/>
    <n v="0"/>
    <n v="0"/>
    <n v="0"/>
    <x v="0"/>
    <n v="0"/>
    <s v="MMR001CMP070"/>
    <x v="2"/>
    <x v="1"/>
    <x v="4"/>
    <n v="0"/>
    <m/>
    <m/>
  </r>
  <r>
    <n v="13.866666666666667"/>
    <d v="2015-05-31T00:00:00"/>
    <x v="5"/>
    <s v="Solidarities"/>
    <s v="Kachin"/>
    <s v="Momauk"/>
    <s v="Loi Je Lisu Camp"/>
    <m/>
    <m/>
    <m/>
    <m/>
    <m/>
    <m/>
    <m/>
    <m/>
    <m/>
    <m/>
    <m/>
    <m/>
    <m/>
    <m/>
    <n v="4"/>
    <m/>
    <m/>
    <n v="0"/>
    <n v="0"/>
    <n v="0"/>
    <n v="0"/>
    <n v="0"/>
    <n v="0"/>
    <n v="0"/>
    <n v="0"/>
    <n v="0"/>
    <n v="0"/>
    <n v="0"/>
    <n v="0"/>
    <n v="0"/>
    <n v="0"/>
    <x v="0"/>
    <n v="0"/>
    <s v="MMR001CMP070"/>
    <x v="2"/>
    <x v="1"/>
    <x v="4"/>
    <n v="0"/>
    <m/>
    <m/>
  </r>
  <r>
    <n v="16.533333333333335"/>
    <d v="2015-03-12T00:00:00"/>
    <x v="5"/>
    <s v="Solidarities"/>
    <s v="Kachin"/>
    <s v="Momauk"/>
    <s v="Loi Je Catholic Church"/>
    <m/>
    <m/>
    <m/>
    <m/>
    <m/>
    <m/>
    <m/>
    <m/>
    <m/>
    <m/>
    <m/>
    <m/>
    <m/>
    <m/>
    <m/>
    <n v="2"/>
    <m/>
    <n v="0"/>
    <n v="0"/>
    <n v="0"/>
    <n v="0"/>
    <n v="0"/>
    <n v="0"/>
    <n v="0"/>
    <n v="0"/>
    <n v="0"/>
    <n v="0"/>
    <n v="0"/>
    <n v="0"/>
    <n v="0"/>
    <n v="0"/>
    <x v="0"/>
    <n v="0"/>
    <s v="MMR001CMP069"/>
    <x v="2"/>
    <x v="1"/>
    <x v="4"/>
    <n v="0"/>
    <m/>
    <m/>
  </r>
  <r>
    <n v="7.2666666666666666"/>
    <d v="2015-12-15T00:00:00"/>
    <x v="5"/>
    <s v="Solidarities"/>
    <s v="Kachin"/>
    <s v="Momauk"/>
    <s v="Loi Je Catholic Church"/>
    <m/>
    <m/>
    <m/>
    <m/>
    <m/>
    <m/>
    <m/>
    <m/>
    <m/>
    <m/>
    <m/>
    <m/>
    <m/>
    <m/>
    <m/>
    <n v="20"/>
    <m/>
    <n v="0"/>
    <n v="0"/>
    <n v="0"/>
    <n v="0"/>
    <n v="0"/>
    <n v="0"/>
    <n v="0"/>
    <n v="0"/>
    <n v="0"/>
    <n v="0"/>
    <n v="0"/>
    <n v="0"/>
    <n v="0"/>
    <n v="0"/>
    <x v="0"/>
    <n v="0"/>
    <s v="MMR001CMP069"/>
    <x v="2"/>
    <x v="1"/>
    <x v="4"/>
    <n v="0"/>
    <m/>
    <m/>
  </r>
  <r>
    <n v="2.7"/>
    <d v="2016-04-30T00:00:00"/>
    <x v="5"/>
    <s v="Solidarities"/>
    <s v="Kachin"/>
    <s v="Momauk"/>
    <s v="Loi Je Catholic Church"/>
    <m/>
    <m/>
    <m/>
    <m/>
    <m/>
    <m/>
    <m/>
    <m/>
    <m/>
    <m/>
    <m/>
    <m/>
    <m/>
    <m/>
    <m/>
    <n v="6"/>
    <m/>
    <n v="0"/>
    <n v="0"/>
    <n v="0"/>
    <n v="0"/>
    <n v="0"/>
    <n v="0"/>
    <n v="0"/>
    <n v="0"/>
    <n v="0"/>
    <n v="0"/>
    <n v="0"/>
    <n v="0"/>
    <n v="0"/>
    <n v="0"/>
    <x v="0"/>
    <n v="0"/>
    <s v="MMR001CMP069"/>
    <x v="2"/>
    <x v="1"/>
    <x v="4"/>
    <n v="0"/>
    <m/>
    <m/>
  </r>
  <r>
    <n v="16.533333333333335"/>
    <d v="2015-03-12T00:00:00"/>
    <x v="5"/>
    <s v="Solidarities"/>
    <s v="Kachin"/>
    <s v="Momauk"/>
    <s v="Loi Je Lisu Camp"/>
    <m/>
    <m/>
    <m/>
    <m/>
    <m/>
    <m/>
    <m/>
    <m/>
    <m/>
    <m/>
    <m/>
    <m/>
    <m/>
    <m/>
    <m/>
    <n v="5"/>
    <m/>
    <n v="0"/>
    <n v="0"/>
    <n v="0"/>
    <n v="0"/>
    <n v="0"/>
    <n v="0"/>
    <n v="0"/>
    <n v="0"/>
    <n v="0"/>
    <n v="0"/>
    <n v="0"/>
    <n v="0"/>
    <n v="0"/>
    <n v="0"/>
    <x v="0"/>
    <n v="0"/>
    <s v="MMR001CMP070"/>
    <x v="2"/>
    <x v="1"/>
    <x v="4"/>
    <n v="0"/>
    <m/>
    <m/>
  </r>
  <r>
    <n v="7.2666666666666666"/>
    <d v="2015-12-15T00:00:00"/>
    <x v="5"/>
    <s v="Solidarities"/>
    <s v="Kachin"/>
    <s v="Momauk"/>
    <s v="Loi Je Lisu Camp"/>
    <m/>
    <m/>
    <m/>
    <m/>
    <m/>
    <m/>
    <m/>
    <m/>
    <m/>
    <m/>
    <m/>
    <m/>
    <m/>
    <m/>
    <m/>
    <n v="14"/>
    <m/>
    <n v="0"/>
    <n v="0"/>
    <n v="0"/>
    <n v="0"/>
    <n v="0"/>
    <n v="0"/>
    <n v="0"/>
    <n v="0"/>
    <n v="0"/>
    <n v="0"/>
    <n v="0"/>
    <n v="0"/>
    <n v="0"/>
    <n v="0"/>
    <x v="0"/>
    <n v="0"/>
    <s v="MMR001CMP070"/>
    <x v="2"/>
    <x v="1"/>
    <x v="4"/>
    <n v="0"/>
    <m/>
    <m/>
  </r>
  <r>
    <n v="2.7"/>
    <d v="2016-04-30T00:00:00"/>
    <x v="5"/>
    <s v="Solidarities"/>
    <s v="Kachin"/>
    <s v="Momauk"/>
    <s v="Loi Je Lisu Camp"/>
    <m/>
    <m/>
    <m/>
    <m/>
    <m/>
    <m/>
    <m/>
    <m/>
    <m/>
    <m/>
    <m/>
    <m/>
    <m/>
    <m/>
    <m/>
    <n v="14"/>
    <m/>
    <n v="0"/>
    <n v="0"/>
    <n v="0"/>
    <n v="0"/>
    <n v="0"/>
    <n v="0"/>
    <n v="0"/>
    <n v="0"/>
    <n v="0"/>
    <n v="0"/>
    <n v="0"/>
    <n v="0"/>
    <n v="0"/>
    <n v="0"/>
    <x v="0"/>
    <n v="0"/>
    <s v="MMR001CMP070"/>
    <x v="2"/>
    <x v="1"/>
    <x v="4"/>
    <n v="0"/>
    <m/>
    <m/>
  </r>
  <r>
    <n v="5.7666666666666666"/>
    <d v="2016-01-29T00:00:00"/>
    <x v="5"/>
    <s v="Solidarities"/>
    <s v="Kachin"/>
    <s v="Momauk"/>
    <s v="Loi Je Lisu Camp"/>
    <m/>
    <m/>
    <m/>
    <m/>
    <m/>
    <m/>
    <m/>
    <m/>
    <m/>
    <m/>
    <m/>
    <m/>
    <m/>
    <m/>
    <n v="3"/>
    <m/>
    <m/>
    <n v="0"/>
    <n v="0"/>
    <n v="0"/>
    <n v="0"/>
    <n v="0"/>
    <n v="0"/>
    <n v="0"/>
    <n v="0"/>
    <n v="0"/>
    <n v="0"/>
    <n v="0"/>
    <n v="0"/>
    <n v="0"/>
    <n v="0"/>
    <x v="0"/>
    <n v="3"/>
    <s v="MMR001CMP070"/>
    <x v="2"/>
    <x v="1"/>
    <x v="4"/>
    <n v="0"/>
    <m/>
    <m/>
  </r>
  <r>
    <n v="5.5333333333333332"/>
    <d v="2016-02-05T00:00:00"/>
    <x v="5"/>
    <s v="Solidarities"/>
    <s v="Kachin"/>
    <s v="Momauk"/>
    <s v="Loi Je Lisu Camp"/>
    <m/>
    <m/>
    <n v="258"/>
    <m/>
    <m/>
    <m/>
    <m/>
    <m/>
    <m/>
    <m/>
    <m/>
    <m/>
    <m/>
    <m/>
    <m/>
    <m/>
    <m/>
    <n v="0"/>
    <n v="0"/>
    <n v="258"/>
    <n v="0"/>
    <n v="0"/>
    <n v="0"/>
    <n v="0"/>
    <n v="0"/>
    <n v="0"/>
    <n v="0"/>
    <n v="0"/>
    <n v="0"/>
    <n v="0"/>
    <n v="0"/>
    <x v="0"/>
    <n v="0"/>
    <s v="MMR001CMP070"/>
    <x v="2"/>
    <x v="1"/>
    <x v="4"/>
    <n v="0"/>
    <m/>
    <m/>
  </r>
  <r>
    <n v="32.1"/>
    <d v="2013-11-30T00:00:00"/>
    <x v="5"/>
    <m/>
    <s v="Kachin"/>
    <s v="Momauk"/>
    <s v="Loi Je Lisu Camp"/>
    <m/>
    <m/>
    <m/>
    <m/>
    <m/>
    <m/>
    <m/>
    <m/>
    <m/>
    <n v="369"/>
    <m/>
    <m/>
    <m/>
    <m/>
    <m/>
    <m/>
    <m/>
    <n v="0"/>
    <n v="0"/>
    <n v="0"/>
    <n v="0"/>
    <n v="0"/>
    <n v="0"/>
    <n v="0"/>
    <n v="0"/>
    <n v="0"/>
    <n v="0"/>
    <n v="0"/>
    <n v="0"/>
    <n v="0"/>
    <n v="0"/>
    <x v="0"/>
    <n v="0"/>
    <s v="MMR001CMP070"/>
    <x v="2"/>
    <x v="1"/>
    <x v="4"/>
    <n v="0"/>
    <s v="No"/>
    <m/>
  </r>
  <r>
    <n v="32.5"/>
    <d v="2013-11-18T00:00:00"/>
    <x v="3"/>
    <m/>
    <s v="Kachin"/>
    <s v="Momauk"/>
    <s v="Loi Je Lisu Camp"/>
    <m/>
    <m/>
    <m/>
    <m/>
    <m/>
    <n v="395"/>
    <m/>
    <m/>
    <m/>
    <m/>
    <m/>
    <m/>
    <m/>
    <m/>
    <m/>
    <m/>
    <m/>
    <n v="0"/>
    <n v="0"/>
    <n v="0"/>
    <n v="0"/>
    <n v="0"/>
    <n v="0"/>
    <n v="0"/>
    <n v="0"/>
    <n v="0"/>
    <n v="0"/>
    <n v="0"/>
    <n v="0"/>
    <n v="0"/>
    <n v="0"/>
    <x v="0"/>
    <n v="0"/>
    <s v="MMR001CMP070"/>
    <x v="2"/>
    <x v="1"/>
    <x v="4"/>
    <n v="0"/>
    <s v="No"/>
    <m/>
  </r>
  <r>
    <n v="27.6"/>
    <d v="2014-04-14T00:00:00"/>
    <x v="0"/>
    <s v="UNHCR"/>
    <s v="Kachin"/>
    <s v="Momauk"/>
    <s v="Momauk Baptist Church"/>
    <m/>
    <m/>
    <m/>
    <n v="10"/>
    <n v="5"/>
    <n v="15"/>
    <n v="5"/>
    <n v="5"/>
    <n v="5"/>
    <m/>
    <m/>
    <m/>
    <m/>
    <m/>
    <m/>
    <m/>
    <m/>
    <n v="0"/>
    <n v="0"/>
    <n v="0"/>
    <n v="0"/>
    <n v="0"/>
    <n v="0"/>
    <n v="0"/>
    <n v="0"/>
    <n v="0"/>
    <n v="0"/>
    <n v="0"/>
    <n v="0"/>
    <n v="0"/>
    <n v="0"/>
    <x v="0"/>
    <n v="0"/>
    <s v="MMR001CMP056"/>
    <x v="2"/>
    <x v="1"/>
    <x v="2"/>
    <n v="2.2123893805309734E-2"/>
    <s v="No"/>
    <m/>
  </r>
  <r>
    <n v="28"/>
    <d v="2014-04-02T00:00:00"/>
    <x v="0"/>
    <s v="UNHCR"/>
    <s v="Kachin"/>
    <s v="Bhamo"/>
    <s v="Mu-yin Baptist Church"/>
    <m/>
    <m/>
    <m/>
    <m/>
    <n v="1"/>
    <n v="3"/>
    <n v="2"/>
    <m/>
    <n v="3"/>
    <m/>
    <m/>
    <m/>
    <m/>
    <m/>
    <m/>
    <m/>
    <m/>
    <n v="0"/>
    <n v="0"/>
    <n v="0"/>
    <n v="0"/>
    <n v="0"/>
    <n v="0"/>
    <n v="0"/>
    <n v="0"/>
    <n v="0"/>
    <n v="0"/>
    <n v="0"/>
    <n v="0"/>
    <n v="0"/>
    <n v="0"/>
    <x v="0"/>
    <n v="0"/>
    <s v="MMR001CMP051"/>
    <x v="2"/>
    <x v="1"/>
    <x v="2"/>
    <n v="0.14285714285714285"/>
    <s v="No"/>
    <m/>
  </r>
  <r>
    <n v="41.2"/>
    <d v="2013-03-02T00:00:00"/>
    <x v="5"/>
    <s v="Solidarities"/>
    <s v="Kachin"/>
    <s v="Momauk"/>
    <s v="Loi Je Lisu Camp"/>
    <n v="368"/>
    <m/>
    <m/>
    <m/>
    <m/>
    <m/>
    <m/>
    <m/>
    <n v="0"/>
    <n v="0"/>
    <m/>
    <m/>
    <m/>
    <m/>
    <m/>
    <m/>
    <m/>
    <n v="0"/>
    <n v="0"/>
    <n v="0"/>
    <n v="0"/>
    <n v="0"/>
    <n v="0"/>
    <n v="0"/>
    <n v="0"/>
    <n v="0"/>
    <n v="0"/>
    <n v="0"/>
    <n v="0"/>
    <n v="0"/>
    <n v="0"/>
    <x v="0"/>
    <n v="0"/>
    <s v="MMR001CMP070"/>
    <x v="2"/>
    <x v="1"/>
    <x v="4"/>
    <n v="0"/>
    <s v="No"/>
    <m/>
  </r>
  <r>
    <n v="30.1"/>
    <d v="2014-01-29T00:00:00"/>
    <x v="0"/>
    <s v="UNHCR"/>
    <s v="Kachin"/>
    <s v="Mansi"/>
    <s v="Maing Khaung"/>
    <m/>
    <m/>
    <m/>
    <n v="100"/>
    <n v="58"/>
    <n v="100"/>
    <n v="58"/>
    <m/>
    <n v="58"/>
    <n v="290"/>
    <m/>
    <m/>
    <m/>
    <m/>
    <m/>
    <m/>
    <m/>
    <n v="0"/>
    <n v="0"/>
    <n v="0"/>
    <n v="0"/>
    <n v="0"/>
    <n v="0"/>
    <n v="0"/>
    <n v="0"/>
    <n v="0"/>
    <n v="0"/>
    <n v="0"/>
    <n v="0"/>
    <n v="0"/>
    <n v="0"/>
    <x v="0"/>
    <n v="0"/>
    <s v="MMR001CMP218"/>
    <x v="2"/>
    <x v="1"/>
    <x v="2"/>
    <n v="0.14871794871794872"/>
    <s v="No"/>
    <m/>
  </r>
  <r>
    <n v="30.133333333333333"/>
    <d v="2014-01-28T00:00:00"/>
    <x v="0"/>
    <m/>
    <s v="Kachin"/>
    <s v="Mansi"/>
    <s v="Maing Khaung Catholic Church"/>
    <m/>
    <m/>
    <m/>
    <n v="18"/>
    <n v="10"/>
    <n v="18"/>
    <n v="40"/>
    <m/>
    <n v="10"/>
    <n v="50"/>
    <m/>
    <m/>
    <m/>
    <m/>
    <m/>
    <m/>
    <m/>
    <n v="0"/>
    <n v="0"/>
    <n v="0"/>
    <n v="0"/>
    <n v="0"/>
    <n v="0"/>
    <n v="0"/>
    <n v="0"/>
    <n v="0"/>
    <n v="0"/>
    <n v="0"/>
    <n v="0"/>
    <n v="0"/>
    <n v="0"/>
    <x v="0"/>
    <n v="0"/>
    <s v="MMR001CMP223"/>
    <x v="2"/>
    <x v="1"/>
    <x v="2"/>
    <n v="0.32520325203252032"/>
    <m/>
    <m/>
  </r>
  <r>
    <n v="30.233333333333334"/>
    <d v="2014-01-25T00:00:00"/>
    <x v="0"/>
    <s v="UNHCR"/>
    <s v="Kachin"/>
    <s v="Momauk"/>
    <s v="Dum Bung "/>
    <m/>
    <m/>
    <m/>
    <n v="62"/>
    <n v="31"/>
    <n v="62"/>
    <n v="31"/>
    <m/>
    <n v="31"/>
    <n v="155"/>
    <m/>
    <m/>
    <m/>
    <m/>
    <m/>
    <m/>
    <m/>
    <n v="0"/>
    <n v="0"/>
    <n v="0"/>
    <n v="0"/>
    <n v="0"/>
    <n v="0"/>
    <n v="0"/>
    <n v="0"/>
    <n v="0"/>
    <n v="0"/>
    <n v="0"/>
    <n v="0"/>
    <n v="0"/>
    <n v="0"/>
    <x v="0"/>
    <n v="0"/>
    <s v="MMR001CMP123"/>
    <x v="2"/>
    <x v="1"/>
    <x v="5"/>
    <n v="0.26724137931034481"/>
    <s v="No"/>
    <m/>
  </r>
  <r>
    <n v="30.266666666666666"/>
    <d v="2014-01-24T00:00:00"/>
    <x v="0"/>
    <s v="UNHCR"/>
    <s v="Kachin"/>
    <s v="Momauk"/>
    <s v="Pa Kahtawng "/>
    <m/>
    <m/>
    <m/>
    <n v="60"/>
    <n v="30"/>
    <n v="60"/>
    <n v="30"/>
    <m/>
    <n v="30"/>
    <n v="150"/>
    <m/>
    <m/>
    <m/>
    <m/>
    <m/>
    <m/>
    <m/>
    <n v="0"/>
    <n v="0"/>
    <n v="0"/>
    <n v="0"/>
    <n v="0"/>
    <n v="0"/>
    <n v="0"/>
    <n v="0"/>
    <n v="0"/>
    <n v="0"/>
    <n v="0"/>
    <n v="0"/>
    <n v="0"/>
    <n v="0"/>
    <x v="0"/>
    <n v="0"/>
    <s v="MMR001CMP126"/>
    <x v="2"/>
    <x v="1"/>
    <x v="5"/>
    <n v="4.4313146233382568E-2"/>
    <s v="No"/>
    <m/>
  </r>
  <r>
    <n v="30.533333333333335"/>
    <d v="2014-01-16T00:00:00"/>
    <x v="0"/>
    <s v="UNHCR"/>
    <s v="Kachin"/>
    <s v="Mansi"/>
    <s v="Bum Tsit Pa "/>
    <m/>
    <m/>
    <m/>
    <n v="45"/>
    <n v="30"/>
    <n v="45"/>
    <n v="30"/>
    <m/>
    <n v="30"/>
    <n v="150"/>
    <m/>
    <m/>
    <m/>
    <m/>
    <m/>
    <m/>
    <m/>
    <n v="0"/>
    <n v="0"/>
    <n v="0"/>
    <n v="0"/>
    <n v="0"/>
    <n v="0"/>
    <n v="0"/>
    <n v="0"/>
    <n v="0"/>
    <n v="0"/>
    <n v="0"/>
    <n v="0"/>
    <n v="0"/>
    <n v="0"/>
    <x v="0"/>
    <n v="0"/>
    <s v="MMR001CMP129"/>
    <x v="2"/>
    <x v="1"/>
    <x v="5"/>
    <n v="0.12244897959183673"/>
    <s v="No"/>
    <m/>
  </r>
  <r>
    <n v="31.733333333333334"/>
    <d v="2013-12-11T00:00:00"/>
    <x v="9"/>
    <s v="WPN"/>
    <s v="Kachin"/>
    <s v="Mansi"/>
    <s v="Lung Kawk  ( Hka Hkye Zup)"/>
    <m/>
    <m/>
    <m/>
    <m/>
    <m/>
    <n v="38"/>
    <m/>
    <m/>
    <m/>
    <m/>
    <m/>
    <m/>
    <m/>
    <m/>
    <m/>
    <m/>
    <m/>
    <n v="0"/>
    <n v="0"/>
    <n v="0"/>
    <n v="0"/>
    <n v="0"/>
    <n v="0"/>
    <n v="0"/>
    <n v="0"/>
    <n v="0"/>
    <n v="0"/>
    <n v="0"/>
    <n v="0"/>
    <n v="0"/>
    <n v="0"/>
    <x v="0"/>
    <n v="0"/>
    <s v="MMR001CMP135"/>
    <x v="2"/>
    <x v="2"/>
    <x v="5"/>
    <s v=""/>
    <s v="No"/>
    <m/>
  </r>
  <r>
    <n v="32.1"/>
    <d v="2013-11-30T00:00:00"/>
    <x v="5"/>
    <s v="LDO"/>
    <s v="Kachin"/>
    <s v="Mansi"/>
    <s v="Lung Kawk  ( Hka Hkye Zup)"/>
    <m/>
    <m/>
    <m/>
    <m/>
    <m/>
    <m/>
    <m/>
    <m/>
    <m/>
    <m/>
    <m/>
    <m/>
    <m/>
    <m/>
    <m/>
    <m/>
    <m/>
    <n v="0"/>
    <n v="0"/>
    <n v="0"/>
    <n v="0"/>
    <n v="0"/>
    <n v="0"/>
    <n v="0"/>
    <n v="0"/>
    <n v="0"/>
    <n v="0"/>
    <n v="0"/>
    <n v="0"/>
    <n v="0"/>
    <n v="0"/>
    <x v="0"/>
    <n v="0"/>
    <s v="MMR001CMP135"/>
    <x v="2"/>
    <x v="2"/>
    <x v="5"/>
    <s v=""/>
    <s v="No"/>
    <m/>
  </r>
  <r>
    <n v="32.6"/>
    <d v="2013-11-15T00:00:00"/>
    <x v="5"/>
    <s v="LDO"/>
    <s v="Kachin"/>
    <s v="Mansi"/>
    <s v="Lung Kawk  ( Hka Hkye Zup)"/>
    <m/>
    <m/>
    <m/>
    <m/>
    <m/>
    <m/>
    <m/>
    <m/>
    <m/>
    <m/>
    <n v="54"/>
    <n v="106"/>
    <n v="320"/>
    <n v="160"/>
    <m/>
    <m/>
    <m/>
    <n v="0"/>
    <n v="0"/>
    <n v="0"/>
    <n v="0"/>
    <n v="0"/>
    <n v="0"/>
    <n v="0"/>
    <n v="0"/>
    <n v="0"/>
    <n v="0"/>
    <n v="0"/>
    <n v="0"/>
    <n v="0"/>
    <n v="0"/>
    <x v="1"/>
    <n v="0"/>
    <s v="MMR001CMP135"/>
    <x v="2"/>
    <x v="2"/>
    <x v="5"/>
    <s v=""/>
    <m/>
    <m/>
  </r>
  <r>
    <n v="30.6"/>
    <d v="2014-01-14T00:00:00"/>
    <x v="0"/>
    <s v="UNHCR"/>
    <s v="Kachin"/>
    <s v="Mansi"/>
    <s v="Lana Zup Ja "/>
    <m/>
    <m/>
    <m/>
    <n v="140"/>
    <n v="70"/>
    <n v="140"/>
    <n v="70"/>
    <m/>
    <n v="70"/>
    <n v="350"/>
    <m/>
    <m/>
    <m/>
    <m/>
    <m/>
    <m/>
    <m/>
    <n v="0"/>
    <n v="0"/>
    <n v="0"/>
    <n v="0"/>
    <n v="0"/>
    <n v="0"/>
    <n v="0"/>
    <n v="0"/>
    <n v="0"/>
    <n v="0"/>
    <n v="0"/>
    <n v="0"/>
    <n v="0"/>
    <n v="0"/>
    <x v="0"/>
    <n v="0"/>
    <s v="MMR001CMP128"/>
    <x v="2"/>
    <x v="1"/>
    <x v="5"/>
    <n v="0.12844036697247707"/>
    <s v="No"/>
    <m/>
  </r>
  <r>
    <n v="30.7"/>
    <d v="2014-01-11T00:00:00"/>
    <x v="0"/>
    <m/>
    <s v="Kachin"/>
    <s v="Bhamo"/>
    <s v="Phan Khar Kone"/>
    <m/>
    <m/>
    <m/>
    <m/>
    <n v="10"/>
    <m/>
    <m/>
    <m/>
    <m/>
    <m/>
    <m/>
    <m/>
    <m/>
    <m/>
    <m/>
    <m/>
    <m/>
    <n v="0"/>
    <n v="0"/>
    <n v="0"/>
    <n v="0"/>
    <n v="0"/>
    <n v="0"/>
    <n v="0"/>
    <n v="0"/>
    <n v="0"/>
    <n v="0"/>
    <n v="0"/>
    <n v="0"/>
    <n v="0"/>
    <n v="0"/>
    <x v="0"/>
    <n v="0"/>
    <s v="MMR001CMP193"/>
    <x v="2"/>
    <x v="1"/>
    <x v="2"/>
    <n v="0"/>
    <m/>
    <m/>
  </r>
  <r>
    <n v="20.933333333333334"/>
    <d v="2014-10-31T00:00:00"/>
    <x v="1"/>
    <s v="MRCS"/>
    <s v="Kachin"/>
    <s v="Machanbaw"/>
    <s v="Machanbaw - KBC"/>
    <m/>
    <m/>
    <m/>
    <m/>
    <m/>
    <m/>
    <m/>
    <m/>
    <m/>
    <m/>
    <n v="20"/>
    <n v="8"/>
    <m/>
    <m/>
    <m/>
    <m/>
    <m/>
    <n v="0"/>
    <n v="0"/>
    <n v="0"/>
    <n v="0"/>
    <n v="0"/>
    <n v="0"/>
    <n v="0"/>
    <n v="0"/>
    <n v="0"/>
    <n v="0"/>
    <n v="0"/>
    <n v="0"/>
    <n v="0"/>
    <n v="0"/>
    <x v="1"/>
    <n v="0"/>
    <s v="MMR001CMP221"/>
    <x v="2"/>
    <x v="2"/>
    <x v="4"/>
    <s v=""/>
    <m/>
    <m/>
  </r>
  <r>
    <n v="30.4"/>
    <d v="2014-01-20T00:00:00"/>
    <x v="1"/>
    <s v="MRCS"/>
    <s v="Kachin"/>
    <s v="Machanbaw"/>
    <s v="Machanbaw - KBC"/>
    <m/>
    <m/>
    <m/>
    <n v="8"/>
    <n v="16"/>
    <n v="16"/>
    <n v="8"/>
    <m/>
    <m/>
    <m/>
    <n v="19"/>
    <n v="9"/>
    <m/>
    <m/>
    <m/>
    <m/>
    <m/>
    <n v="0"/>
    <n v="0"/>
    <n v="0"/>
    <n v="0"/>
    <n v="0"/>
    <n v="0"/>
    <n v="0"/>
    <n v="0"/>
    <n v="0"/>
    <n v="0"/>
    <n v="0"/>
    <n v="0"/>
    <n v="0"/>
    <n v="0"/>
    <x v="1"/>
    <n v="0"/>
    <s v="MMR001CMP221"/>
    <x v="2"/>
    <x v="2"/>
    <x v="4"/>
    <s v=""/>
    <m/>
    <m/>
  </r>
  <r>
    <n v="26.333333333333332"/>
    <d v="2014-05-22T00:00:00"/>
    <x v="6"/>
    <s v="MRCS"/>
    <s v="Kachin"/>
    <s v="Waingmaw"/>
    <s v="Mading Baptist Church"/>
    <m/>
    <m/>
    <m/>
    <m/>
    <m/>
    <m/>
    <m/>
    <m/>
    <m/>
    <m/>
    <m/>
    <m/>
    <m/>
    <n v="46"/>
    <m/>
    <m/>
    <m/>
    <n v="0"/>
    <n v="0"/>
    <n v="0"/>
    <n v="0"/>
    <n v="0"/>
    <n v="0"/>
    <n v="0"/>
    <n v="0"/>
    <n v="0"/>
    <n v="0"/>
    <n v="0"/>
    <n v="0"/>
    <n v="0"/>
    <n v="0"/>
    <x v="1"/>
    <n v="0"/>
    <s v="MMR001CMP027"/>
    <x v="2"/>
    <x v="1"/>
    <x v="2"/>
    <n v="0"/>
    <m/>
    <m/>
  </r>
  <r>
    <n v="31.5"/>
    <d v="2013-12-18T00:00:00"/>
    <x v="5"/>
    <s v="KBC"/>
    <s v="Kachin"/>
    <s v="Waingmaw"/>
    <s v="Mading Baptist Church"/>
    <m/>
    <m/>
    <m/>
    <m/>
    <m/>
    <m/>
    <m/>
    <m/>
    <m/>
    <m/>
    <n v="23"/>
    <n v="45"/>
    <n v="136"/>
    <n v="68"/>
    <m/>
    <m/>
    <m/>
    <n v="0"/>
    <n v="0"/>
    <n v="0"/>
    <n v="0"/>
    <n v="0"/>
    <n v="0"/>
    <n v="0"/>
    <n v="0"/>
    <n v="0"/>
    <n v="0"/>
    <n v="0"/>
    <n v="0"/>
    <n v="0"/>
    <n v="0"/>
    <x v="1"/>
    <n v="0"/>
    <s v="MMR001CMP027"/>
    <x v="2"/>
    <x v="1"/>
    <x v="2"/>
    <n v="0"/>
    <m/>
    <m/>
  </r>
  <r>
    <n v="32.1"/>
    <d v="2013-11-30T00:00:00"/>
    <x v="5"/>
    <s v="KBC"/>
    <s v="Kachin"/>
    <s v="Waingmaw"/>
    <s v="Mading Baptist Church"/>
    <m/>
    <m/>
    <m/>
    <m/>
    <m/>
    <m/>
    <m/>
    <m/>
    <m/>
    <m/>
    <m/>
    <m/>
    <m/>
    <m/>
    <m/>
    <m/>
    <m/>
    <n v="0"/>
    <n v="0"/>
    <n v="0"/>
    <n v="0"/>
    <n v="0"/>
    <n v="0"/>
    <n v="0"/>
    <n v="0"/>
    <n v="0"/>
    <n v="0"/>
    <n v="0"/>
    <n v="0"/>
    <n v="0"/>
    <n v="0"/>
    <x v="0"/>
    <n v="0"/>
    <s v="MMR001CMP027"/>
    <x v="2"/>
    <x v="1"/>
    <x v="2"/>
    <n v="0"/>
    <s v="No"/>
    <m/>
  </r>
  <r>
    <n v="30.833333333333332"/>
    <d v="2014-01-07T00:00:00"/>
    <x v="0"/>
    <s v="UNHCR"/>
    <s v="Kachin"/>
    <s v="Bhamo"/>
    <s v="Robert Church"/>
    <m/>
    <m/>
    <m/>
    <n v="44"/>
    <n v="30"/>
    <n v="44"/>
    <n v="20"/>
    <n v="20"/>
    <m/>
    <m/>
    <m/>
    <m/>
    <m/>
    <m/>
    <m/>
    <m/>
    <m/>
    <n v="0"/>
    <n v="0"/>
    <n v="0"/>
    <n v="0"/>
    <n v="0"/>
    <n v="0"/>
    <n v="0"/>
    <n v="0"/>
    <n v="0"/>
    <n v="0"/>
    <n v="0"/>
    <n v="0"/>
    <n v="0"/>
    <n v="0"/>
    <x v="0"/>
    <n v="0"/>
    <s v="MMR001CMP047"/>
    <x v="2"/>
    <x v="1"/>
    <x v="2"/>
    <n v="3.1796502384737677E-2"/>
    <s v="No"/>
    <m/>
  </r>
  <r>
    <n v="42.2"/>
    <d v="2013-01-31T00:00:00"/>
    <x v="7"/>
    <s v="World Vision"/>
    <s v="Kachin"/>
    <s v="Waingmaw"/>
    <s v="Mading Baptist Church"/>
    <m/>
    <m/>
    <m/>
    <m/>
    <m/>
    <n v="42"/>
    <m/>
    <m/>
    <n v="0"/>
    <n v="0"/>
    <m/>
    <m/>
    <m/>
    <m/>
    <m/>
    <m/>
    <m/>
    <n v="0"/>
    <n v="0"/>
    <n v="0"/>
    <n v="0"/>
    <n v="0"/>
    <n v="0"/>
    <n v="0"/>
    <n v="0"/>
    <n v="0"/>
    <n v="0"/>
    <n v="0"/>
    <n v="0"/>
    <n v="0"/>
    <n v="0"/>
    <x v="0"/>
    <n v="0"/>
    <s v="MMR001CMP027"/>
    <x v="2"/>
    <x v="1"/>
    <x v="2"/>
    <n v="0"/>
    <s v="No"/>
    <m/>
  </r>
  <r>
    <n v="43.233333333333334"/>
    <d v="2012-12-31T00:00:00"/>
    <x v="3"/>
    <s v="DRC"/>
    <s v="Kachin"/>
    <s v="Waingmaw"/>
    <s v="Mading Baptist Church"/>
    <n v="23"/>
    <m/>
    <m/>
    <m/>
    <m/>
    <m/>
    <m/>
    <m/>
    <n v="0"/>
    <n v="0"/>
    <m/>
    <m/>
    <m/>
    <m/>
    <m/>
    <m/>
    <m/>
    <n v="0"/>
    <n v="0"/>
    <n v="0"/>
    <n v="0"/>
    <n v="0"/>
    <n v="0"/>
    <n v="0"/>
    <n v="0"/>
    <n v="0"/>
    <n v="0"/>
    <n v="0"/>
    <n v="0"/>
    <n v="0"/>
    <n v="0"/>
    <x v="0"/>
    <n v="0"/>
    <s v="MMR001CMP027"/>
    <x v="2"/>
    <x v="1"/>
    <x v="2"/>
    <n v="0"/>
    <s v="No"/>
    <m/>
  </r>
  <r>
    <n v="31.333333333333332"/>
    <d v="2013-12-23T00:00:00"/>
    <x v="0"/>
    <s v="UNHCR"/>
    <s v="Kachin"/>
    <s v="Bhamo"/>
    <s v="AD-2000 Tharthana Compound"/>
    <m/>
    <m/>
    <n v="10"/>
    <n v="10"/>
    <n v="7"/>
    <n v="10"/>
    <n v="7"/>
    <n v="7"/>
    <m/>
    <m/>
    <m/>
    <m/>
    <m/>
    <m/>
    <m/>
    <m/>
    <m/>
    <n v="0"/>
    <n v="0"/>
    <n v="0"/>
    <n v="0"/>
    <n v="0"/>
    <n v="0"/>
    <n v="0"/>
    <n v="0"/>
    <n v="0"/>
    <n v="0"/>
    <n v="0"/>
    <n v="0"/>
    <n v="0"/>
    <n v="0"/>
    <x v="0"/>
    <n v="0"/>
    <s v="MMR001CMP050"/>
    <x v="2"/>
    <x v="1"/>
    <x v="2"/>
    <n v="2.5547445255474453E-2"/>
    <s v="No"/>
    <m/>
  </r>
  <r>
    <n v="22.933333333333334"/>
    <d v="2014-09-01T00:00:00"/>
    <x v="10"/>
    <m/>
    <s v="Kachin"/>
    <s v="Waingmaw"/>
    <s v="Maga Yang "/>
    <m/>
    <m/>
    <m/>
    <m/>
    <m/>
    <m/>
    <m/>
    <m/>
    <m/>
    <m/>
    <m/>
    <n v="917"/>
    <m/>
    <m/>
    <m/>
    <m/>
    <m/>
    <n v="0"/>
    <n v="0"/>
    <n v="0"/>
    <n v="0"/>
    <n v="0"/>
    <n v="0"/>
    <n v="0"/>
    <n v="0"/>
    <n v="0"/>
    <n v="0"/>
    <n v="0"/>
    <n v="0"/>
    <n v="0"/>
    <n v="0"/>
    <x v="1"/>
    <n v="0"/>
    <s v="MMR001CMP119"/>
    <x v="2"/>
    <x v="1"/>
    <x v="5"/>
    <n v="0"/>
    <m/>
    <m/>
  </r>
  <r>
    <n v="30.4"/>
    <d v="2014-01-20T00:00:00"/>
    <x v="3"/>
    <s v="KMSS"/>
    <s v="Kachin"/>
    <s v="Waingmaw"/>
    <s v="Maga Yang "/>
    <m/>
    <m/>
    <m/>
    <m/>
    <m/>
    <m/>
    <m/>
    <m/>
    <m/>
    <m/>
    <n v="1497"/>
    <n v="925"/>
    <m/>
    <m/>
    <m/>
    <m/>
    <m/>
    <n v="0"/>
    <n v="0"/>
    <n v="0"/>
    <n v="0"/>
    <n v="0"/>
    <n v="0"/>
    <n v="0"/>
    <n v="0"/>
    <n v="0"/>
    <n v="0"/>
    <n v="0"/>
    <n v="0"/>
    <n v="0"/>
    <n v="0"/>
    <x v="1"/>
    <n v="0"/>
    <s v="MMR001CMP119"/>
    <x v="2"/>
    <x v="1"/>
    <x v="5"/>
    <n v="0"/>
    <s v="No"/>
    <m/>
  </r>
  <r>
    <n v="30.533333333333335"/>
    <d v="2014-01-16T00:00:00"/>
    <x v="3"/>
    <s v="KMSS"/>
    <s v="Kachin"/>
    <s v="Waingmaw"/>
    <s v="Maga Yang "/>
    <m/>
    <m/>
    <m/>
    <m/>
    <m/>
    <m/>
    <m/>
    <n v="600"/>
    <m/>
    <m/>
    <m/>
    <m/>
    <m/>
    <m/>
    <m/>
    <m/>
    <m/>
    <n v="0"/>
    <n v="0"/>
    <n v="0"/>
    <n v="0"/>
    <n v="0"/>
    <n v="0"/>
    <n v="0"/>
    <n v="0"/>
    <n v="0"/>
    <n v="0"/>
    <n v="0"/>
    <n v="0"/>
    <n v="0"/>
    <n v="0"/>
    <x v="0"/>
    <n v="0"/>
    <s v="MMR001CMP119"/>
    <x v="2"/>
    <x v="1"/>
    <x v="5"/>
    <n v="0"/>
    <s v="No"/>
    <m/>
  </r>
  <r>
    <n v="32.1"/>
    <d v="2013-11-30T00:00:00"/>
    <x v="5"/>
    <s v="KBC"/>
    <s v="Kachin"/>
    <s v="Waingmaw"/>
    <s v="Maga Yang "/>
    <m/>
    <m/>
    <m/>
    <m/>
    <m/>
    <m/>
    <m/>
    <m/>
    <m/>
    <m/>
    <m/>
    <m/>
    <m/>
    <m/>
    <m/>
    <m/>
    <m/>
    <n v="0"/>
    <n v="0"/>
    <n v="0"/>
    <n v="0"/>
    <n v="0"/>
    <n v="0"/>
    <n v="0"/>
    <n v="0"/>
    <n v="0"/>
    <n v="0"/>
    <n v="0"/>
    <n v="0"/>
    <n v="0"/>
    <n v="0"/>
    <x v="0"/>
    <n v="0"/>
    <s v="MMR001CMP119"/>
    <x v="2"/>
    <x v="1"/>
    <x v="5"/>
    <n v="0"/>
    <s v="No"/>
    <m/>
  </r>
  <r>
    <n v="32.466666666666669"/>
    <d v="2013-11-19T00:00:00"/>
    <x v="5"/>
    <s v="KBC"/>
    <s v="Kachin"/>
    <s v="Waingmaw"/>
    <s v="Maga Yang "/>
    <m/>
    <m/>
    <m/>
    <m/>
    <m/>
    <m/>
    <m/>
    <m/>
    <m/>
    <m/>
    <n v="613"/>
    <n v="1226"/>
    <n v="3678"/>
    <n v="1839"/>
    <m/>
    <m/>
    <m/>
    <n v="0"/>
    <n v="0"/>
    <n v="0"/>
    <n v="0"/>
    <n v="0"/>
    <n v="0"/>
    <n v="0"/>
    <n v="0"/>
    <n v="0"/>
    <n v="0"/>
    <n v="0"/>
    <n v="0"/>
    <n v="0"/>
    <n v="0"/>
    <x v="1"/>
    <n v="0"/>
    <s v="MMR001CMP119"/>
    <x v="2"/>
    <x v="1"/>
    <x v="5"/>
    <n v="0"/>
    <m/>
    <m/>
  </r>
  <r>
    <n v="31.5"/>
    <d v="2013-12-18T00:00:00"/>
    <x v="0"/>
    <s v="UNHCR"/>
    <s v="Kachin"/>
    <s v="Bhamo"/>
    <s v="Host Families"/>
    <m/>
    <m/>
    <m/>
    <m/>
    <n v="4"/>
    <m/>
    <m/>
    <m/>
    <m/>
    <m/>
    <m/>
    <m/>
    <m/>
    <m/>
    <m/>
    <m/>
    <m/>
    <n v="0"/>
    <n v="0"/>
    <n v="0"/>
    <n v="0"/>
    <n v="0"/>
    <n v="0"/>
    <n v="0"/>
    <n v="0"/>
    <n v="0"/>
    <n v="0"/>
    <n v="0"/>
    <n v="0"/>
    <n v="0"/>
    <n v="0"/>
    <x v="0"/>
    <n v="0"/>
    <s v="MMR001CMP163"/>
    <x v="2"/>
    <x v="1"/>
    <x v="2"/>
    <n v="0"/>
    <s v="No"/>
    <m/>
  </r>
  <r>
    <n v="31.966666666666665"/>
    <d v="2013-12-04T00:00:00"/>
    <x v="0"/>
    <s v="UNHCR"/>
    <s v="Kachin"/>
    <s v="Bhamo"/>
    <s v="Aung Thar Church"/>
    <m/>
    <m/>
    <m/>
    <m/>
    <m/>
    <n v="10"/>
    <n v="5"/>
    <n v="5"/>
    <m/>
    <m/>
    <m/>
    <m/>
    <m/>
    <m/>
    <m/>
    <m/>
    <m/>
    <n v="0"/>
    <n v="0"/>
    <n v="0"/>
    <n v="0"/>
    <n v="0"/>
    <n v="0"/>
    <n v="0"/>
    <n v="0"/>
    <n v="0"/>
    <n v="0"/>
    <n v="0"/>
    <n v="0"/>
    <n v="0"/>
    <n v="0"/>
    <x v="0"/>
    <n v="0"/>
    <s v="MMR001CMP194"/>
    <x v="2"/>
    <x v="1"/>
    <x v="2"/>
    <n v="0.41666666666666669"/>
    <s v="No"/>
    <m/>
  </r>
  <r>
    <n v="31.966666666666665"/>
    <d v="2013-12-04T00:00:00"/>
    <x v="0"/>
    <s v="UNHCR"/>
    <s v="Kachin"/>
    <s v="Bhamo"/>
    <s v="Robert Church"/>
    <m/>
    <m/>
    <m/>
    <m/>
    <m/>
    <n v="120"/>
    <m/>
    <m/>
    <m/>
    <m/>
    <m/>
    <m/>
    <m/>
    <m/>
    <m/>
    <m/>
    <m/>
    <n v="0"/>
    <n v="0"/>
    <n v="0"/>
    <n v="0"/>
    <n v="0"/>
    <n v="0"/>
    <n v="0"/>
    <n v="0"/>
    <n v="0"/>
    <n v="0"/>
    <n v="0"/>
    <n v="0"/>
    <n v="0"/>
    <n v="0"/>
    <x v="0"/>
    <n v="0"/>
    <s v="MMR001CMP047"/>
    <x v="2"/>
    <x v="1"/>
    <x v="2"/>
    <n v="0"/>
    <s v="No"/>
    <m/>
  </r>
  <r>
    <n v="31.966666666666665"/>
    <d v="2013-12-04T00:00:00"/>
    <x v="0"/>
    <s v="UNHCR"/>
    <s v="Kachin"/>
    <s v="Bhamo"/>
    <s v="Robert Church"/>
    <m/>
    <m/>
    <m/>
    <m/>
    <n v="5"/>
    <m/>
    <m/>
    <m/>
    <m/>
    <m/>
    <m/>
    <m/>
    <m/>
    <m/>
    <m/>
    <m/>
    <m/>
    <n v="0"/>
    <n v="0"/>
    <n v="0"/>
    <n v="0"/>
    <n v="0"/>
    <n v="0"/>
    <n v="0"/>
    <n v="0"/>
    <n v="0"/>
    <n v="0"/>
    <n v="0"/>
    <n v="0"/>
    <n v="0"/>
    <n v="0"/>
    <x v="0"/>
    <n v="0"/>
    <s v="MMR001CMP047"/>
    <x v="2"/>
    <x v="1"/>
    <x v="2"/>
    <n v="0"/>
    <s v="No"/>
    <m/>
  </r>
  <r>
    <n v="32"/>
    <d v="2013-12-03T00:00:00"/>
    <x v="0"/>
    <s v="UNHCR"/>
    <s v="Kachin"/>
    <s v="Momauk"/>
    <s v="Momauk Baptist Church"/>
    <m/>
    <m/>
    <m/>
    <n v="25"/>
    <n v="13"/>
    <n v="25"/>
    <n v="13"/>
    <n v="13"/>
    <m/>
    <m/>
    <m/>
    <m/>
    <m/>
    <m/>
    <m/>
    <m/>
    <m/>
    <n v="0"/>
    <n v="0"/>
    <n v="0"/>
    <n v="0"/>
    <n v="0"/>
    <n v="0"/>
    <n v="0"/>
    <n v="0"/>
    <n v="0"/>
    <n v="0"/>
    <n v="0"/>
    <n v="0"/>
    <n v="0"/>
    <n v="0"/>
    <x v="0"/>
    <n v="0"/>
    <s v="MMR001CMP056"/>
    <x v="2"/>
    <x v="1"/>
    <x v="2"/>
    <n v="5.7522123893805309E-2"/>
    <s v="No"/>
    <m/>
  </r>
  <r>
    <n v="32.06666666666667"/>
    <d v="2013-12-01T00:00:00"/>
    <x v="0"/>
    <s v="UNHCR"/>
    <s v="Kachin"/>
    <s v="Bhamo"/>
    <s v="Robert Church"/>
    <m/>
    <m/>
    <m/>
    <m/>
    <m/>
    <n v="30"/>
    <m/>
    <m/>
    <m/>
    <m/>
    <m/>
    <m/>
    <m/>
    <m/>
    <m/>
    <m/>
    <m/>
    <n v="0"/>
    <n v="0"/>
    <n v="0"/>
    <n v="0"/>
    <n v="0"/>
    <n v="0"/>
    <n v="0"/>
    <n v="0"/>
    <n v="0"/>
    <n v="0"/>
    <n v="0"/>
    <n v="0"/>
    <n v="0"/>
    <n v="0"/>
    <x v="0"/>
    <n v="0"/>
    <s v="MMR001CMP047"/>
    <x v="2"/>
    <x v="1"/>
    <x v="2"/>
    <n v="0"/>
    <s v="No"/>
    <m/>
  </r>
  <r>
    <n v="32.1"/>
    <d v="2013-11-30T00:00:00"/>
    <x v="0"/>
    <s v="UNHCR"/>
    <s v="Kachin"/>
    <s v="Bhamo"/>
    <s v="AD-2000 Tharthana Compound"/>
    <m/>
    <m/>
    <m/>
    <n v="6"/>
    <n v="6"/>
    <n v="6"/>
    <n v="6"/>
    <n v="6"/>
    <m/>
    <m/>
    <m/>
    <m/>
    <m/>
    <m/>
    <m/>
    <m/>
    <m/>
    <n v="0"/>
    <n v="0"/>
    <n v="0"/>
    <n v="0"/>
    <n v="0"/>
    <n v="0"/>
    <n v="0"/>
    <n v="0"/>
    <n v="0"/>
    <n v="0"/>
    <n v="0"/>
    <n v="0"/>
    <n v="0"/>
    <n v="0"/>
    <x v="0"/>
    <n v="0"/>
    <s v="MMR001CMP050"/>
    <x v="2"/>
    <x v="1"/>
    <x v="2"/>
    <n v="2.1897810218978103E-2"/>
    <s v="No"/>
    <m/>
  </r>
  <r>
    <n v="32.1"/>
    <d v="2013-11-30T00:00:00"/>
    <x v="0"/>
    <s v="UNHCR"/>
    <s v="Kachin"/>
    <s v="Mansi"/>
    <s v="Bum Tsit Pa "/>
    <m/>
    <m/>
    <m/>
    <m/>
    <m/>
    <m/>
    <m/>
    <m/>
    <m/>
    <m/>
    <m/>
    <m/>
    <m/>
    <m/>
    <m/>
    <m/>
    <m/>
    <n v="0"/>
    <n v="0"/>
    <n v="0"/>
    <n v="0"/>
    <n v="0"/>
    <n v="0"/>
    <n v="0"/>
    <n v="0"/>
    <n v="0"/>
    <n v="0"/>
    <n v="0"/>
    <n v="0"/>
    <n v="0"/>
    <n v="0"/>
    <x v="0"/>
    <n v="0"/>
    <s v="MMR001CMP129"/>
    <x v="2"/>
    <x v="1"/>
    <x v="5"/>
    <n v="0"/>
    <s v="No"/>
    <m/>
  </r>
  <r>
    <n v="32.1"/>
    <d v="2013-11-30T00:00:00"/>
    <x v="0"/>
    <s v="UNHCR"/>
    <s v="Kachin"/>
    <s v="Momauk"/>
    <s v="Dum Bung "/>
    <m/>
    <m/>
    <m/>
    <m/>
    <m/>
    <m/>
    <m/>
    <m/>
    <m/>
    <m/>
    <m/>
    <m/>
    <m/>
    <m/>
    <m/>
    <m/>
    <m/>
    <n v="0"/>
    <n v="0"/>
    <n v="0"/>
    <n v="0"/>
    <n v="0"/>
    <n v="0"/>
    <n v="0"/>
    <n v="0"/>
    <n v="0"/>
    <n v="0"/>
    <n v="0"/>
    <n v="0"/>
    <n v="0"/>
    <n v="0"/>
    <x v="0"/>
    <n v="0"/>
    <s v="MMR001CMP123"/>
    <x v="2"/>
    <x v="1"/>
    <x v="5"/>
    <n v="0"/>
    <s v="No"/>
    <m/>
  </r>
  <r>
    <n v="32.1"/>
    <d v="2013-11-30T00:00:00"/>
    <x v="0"/>
    <s v="UNHCR"/>
    <s v="Kachin"/>
    <s v="Mansi"/>
    <s v="Lana Zup Ja "/>
    <m/>
    <m/>
    <m/>
    <m/>
    <m/>
    <m/>
    <m/>
    <m/>
    <m/>
    <m/>
    <m/>
    <m/>
    <m/>
    <m/>
    <m/>
    <m/>
    <m/>
    <n v="0"/>
    <n v="0"/>
    <n v="0"/>
    <n v="0"/>
    <n v="0"/>
    <n v="0"/>
    <n v="0"/>
    <n v="0"/>
    <n v="0"/>
    <n v="0"/>
    <n v="0"/>
    <n v="0"/>
    <n v="0"/>
    <n v="0"/>
    <x v="0"/>
    <n v="0"/>
    <s v="MMR001CMP128"/>
    <x v="2"/>
    <x v="1"/>
    <x v="5"/>
    <n v="0"/>
    <s v="No"/>
    <m/>
  </r>
  <r>
    <n v="32.1"/>
    <d v="2013-11-30T00:00:00"/>
    <x v="0"/>
    <s v="UNHCR"/>
    <s v="Kachin"/>
    <s v="Momauk"/>
    <s v="Pa Kahtawng "/>
    <m/>
    <m/>
    <m/>
    <m/>
    <m/>
    <m/>
    <m/>
    <m/>
    <m/>
    <m/>
    <m/>
    <m/>
    <m/>
    <m/>
    <m/>
    <m/>
    <m/>
    <n v="0"/>
    <n v="0"/>
    <n v="0"/>
    <n v="0"/>
    <n v="0"/>
    <n v="0"/>
    <n v="0"/>
    <n v="0"/>
    <n v="0"/>
    <n v="0"/>
    <n v="0"/>
    <n v="0"/>
    <n v="0"/>
    <n v="0"/>
    <x v="0"/>
    <n v="0"/>
    <s v="MMR001CMP126"/>
    <x v="2"/>
    <x v="1"/>
    <x v="5"/>
    <n v="0"/>
    <s v="No"/>
    <m/>
  </r>
  <r>
    <n v="32.1"/>
    <d v="2013-11-30T00:00:00"/>
    <x v="0"/>
    <s v="UNHCR"/>
    <s v="Kachin"/>
    <s v="Bhamo"/>
    <s v="Robert Church"/>
    <m/>
    <m/>
    <m/>
    <n v="75"/>
    <n v="36"/>
    <n v="75"/>
    <n v="36"/>
    <n v="36"/>
    <m/>
    <m/>
    <m/>
    <m/>
    <m/>
    <m/>
    <m/>
    <m/>
    <m/>
    <n v="0"/>
    <n v="0"/>
    <n v="0"/>
    <n v="0"/>
    <n v="0"/>
    <n v="0"/>
    <n v="0"/>
    <n v="0"/>
    <n v="0"/>
    <n v="0"/>
    <n v="0"/>
    <n v="0"/>
    <n v="0"/>
    <n v="0"/>
    <x v="0"/>
    <n v="0"/>
    <s v="MMR001CMP047"/>
    <x v="2"/>
    <x v="1"/>
    <x v="2"/>
    <n v="5.7233704292527825E-2"/>
    <s v="No"/>
    <m/>
  </r>
  <r>
    <n v="32.166666666666664"/>
    <d v="2013-11-28T00:00:00"/>
    <x v="0"/>
    <s v="UNHCR"/>
    <s v="Kachin"/>
    <s v="Mansi"/>
    <s v="Mansi Baptist Church"/>
    <m/>
    <m/>
    <m/>
    <n v="20"/>
    <n v="7"/>
    <n v="22"/>
    <n v="7"/>
    <n v="7"/>
    <m/>
    <m/>
    <m/>
    <m/>
    <m/>
    <m/>
    <m/>
    <m/>
    <m/>
    <n v="0"/>
    <n v="0"/>
    <n v="0"/>
    <n v="0"/>
    <n v="0"/>
    <n v="0"/>
    <n v="0"/>
    <n v="0"/>
    <n v="0"/>
    <n v="0"/>
    <n v="0"/>
    <n v="0"/>
    <n v="0"/>
    <n v="0"/>
    <x v="0"/>
    <n v="0"/>
    <s v="MMR001CMP066"/>
    <x v="2"/>
    <x v="1"/>
    <x v="2"/>
    <n v="3.5714285714285712E-2"/>
    <s v="No"/>
    <m/>
  </r>
  <r>
    <n v="26.433333333333334"/>
    <d v="2014-05-19T00:00:00"/>
    <x v="6"/>
    <s v="MRCS"/>
    <s v="Kachin"/>
    <s v="Waingmaw"/>
    <s v="Maina AG Church"/>
    <m/>
    <m/>
    <m/>
    <m/>
    <m/>
    <m/>
    <m/>
    <m/>
    <m/>
    <m/>
    <m/>
    <m/>
    <m/>
    <n v="224"/>
    <m/>
    <m/>
    <m/>
    <n v="0"/>
    <n v="0"/>
    <n v="0"/>
    <n v="0"/>
    <n v="0"/>
    <n v="0"/>
    <n v="0"/>
    <n v="0"/>
    <n v="0"/>
    <n v="0"/>
    <n v="0"/>
    <n v="0"/>
    <n v="0"/>
    <n v="0"/>
    <x v="1"/>
    <n v="0"/>
    <s v="MMR001CMP031"/>
    <x v="2"/>
    <x v="1"/>
    <x v="2"/>
    <n v="0"/>
    <m/>
    <m/>
  </r>
  <r>
    <n v="31.433333333333334"/>
    <d v="2013-12-20T00:00:00"/>
    <x v="5"/>
    <s v="KBC"/>
    <s v="Kachin"/>
    <s v="Waingmaw"/>
    <s v="Maina AG Church"/>
    <m/>
    <m/>
    <m/>
    <m/>
    <m/>
    <m/>
    <m/>
    <m/>
    <m/>
    <m/>
    <n v="141"/>
    <n v="265"/>
    <n v="812"/>
    <n v="406"/>
    <m/>
    <m/>
    <m/>
    <n v="0"/>
    <n v="0"/>
    <n v="0"/>
    <n v="0"/>
    <n v="0"/>
    <n v="0"/>
    <n v="0"/>
    <n v="0"/>
    <n v="0"/>
    <n v="0"/>
    <n v="0"/>
    <n v="0"/>
    <n v="0"/>
    <n v="0"/>
    <x v="1"/>
    <n v="0"/>
    <s v="MMR001CMP031"/>
    <x v="2"/>
    <x v="1"/>
    <x v="2"/>
    <n v="0"/>
    <m/>
    <m/>
  </r>
  <r>
    <n v="32.1"/>
    <d v="2013-11-30T00:00:00"/>
    <x v="5"/>
    <s v="KBC"/>
    <s v="Kachin"/>
    <s v="Waingmaw"/>
    <s v="Maina AG Church"/>
    <m/>
    <m/>
    <m/>
    <m/>
    <m/>
    <m/>
    <m/>
    <m/>
    <m/>
    <m/>
    <m/>
    <m/>
    <m/>
    <m/>
    <m/>
    <m/>
    <m/>
    <n v="0"/>
    <n v="0"/>
    <n v="0"/>
    <n v="0"/>
    <n v="0"/>
    <n v="0"/>
    <n v="0"/>
    <n v="0"/>
    <n v="0"/>
    <n v="0"/>
    <n v="0"/>
    <n v="0"/>
    <n v="0"/>
    <n v="0"/>
    <x v="0"/>
    <n v="0"/>
    <s v="MMR001CMP031"/>
    <x v="2"/>
    <x v="1"/>
    <x v="2"/>
    <n v="0"/>
    <s v="No"/>
    <m/>
  </r>
  <r>
    <n v="32.233333333333334"/>
    <d v="2013-11-26T00:00:00"/>
    <x v="0"/>
    <s v="UNHCR"/>
    <s v="Kachin"/>
    <s v="Bhamo"/>
    <s v="Aung Thar Church"/>
    <m/>
    <m/>
    <m/>
    <n v="11"/>
    <n v="5"/>
    <n v="11"/>
    <n v="5"/>
    <n v="5"/>
    <m/>
    <m/>
    <m/>
    <m/>
    <m/>
    <m/>
    <m/>
    <m/>
    <m/>
    <n v="0"/>
    <n v="0"/>
    <n v="0"/>
    <n v="0"/>
    <n v="0"/>
    <n v="0"/>
    <n v="0"/>
    <n v="0"/>
    <n v="0"/>
    <n v="0"/>
    <n v="0"/>
    <n v="0"/>
    <n v="0"/>
    <n v="0"/>
    <x v="0"/>
    <n v="0"/>
    <s v="MMR001CMP194"/>
    <x v="2"/>
    <x v="1"/>
    <x v="2"/>
    <n v="0.41666666666666669"/>
    <s v="No"/>
    <m/>
  </r>
  <r>
    <n v="32.233333333333334"/>
    <d v="2013-11-26T00:00:00"/>
    <x v="0"/>
    <s v="UNHCR"/>
    <s v="Kachin"/>
    <s v="Bhamo"/>
    <s v="Host Families"/>
    <m/>
    <m/>
    <m/>
    <n v="25"/>
    <n v="13"/>
    <n v="25"/>
    <n v="13"/>
    <n v="13"/>
    <m/>
    <m/>
    <m/>
    <m/>
    <m/>
    <m/>
    <m/>
    <m/>
    <m/>
    <n v="0"/>
    <n v="0"/>
    <n v="0"/>
    <n v="0"/>
    <n v="0"/>
    <n v="0"/>
    <n v="0"/>
    <n v="0"/>
    <n v="0"/>
    <n v="0"/>
    <n v="0"/>
    <n v="0"/>
    <n v="0"/>
    <n v="0"/>
    <x v="0"/>
    <n v="0"/>
    <s v="MMR001CMP163"/>
    <x v="2"/>
    <x v="1"/>
    <x v="2"/>
    <n v="6.1611374407582936E-2"/>
    <s v="No"/>
    <m/>
  </r>
  <r>
    <n v="32.233333333333334"/>
    <d v="2013-11-26T00:00:00"/>
    <x v="0"/>
    <s v="UNHCR"/>
    <s v="Kachin"/>
    <s v="Bhamo"/>
    <s v="Lisu Boarding-House"/>
    <m/>
    <m/>
    <m/>
    <n v="31"/>
    <n v="13"/>
    <n v="31"/>
    <n v="13"/>
    <n v="13"/>
    <m/>
    <m/>
    <m/>
    <m/>
    <m/>
    <m/>
    <m/>
    <m/>
    <m/>
    <n v="0"/>
    <n v="0"/>
    <n v="0"/>
    <n v="0"/>
    <n v="0"/>
    <n v="0"/>
    <n v="0"/>
    <n v="0"/>
    <n v="0"/>
    <n v="0"/>
    <n v="0"/>
    <n v="0"/>
    <n v="0"/>
    <n v="0"/>
    <x v="0"/>
    <n v="0"/>
    <s v="MMR001CMP049"/>
    <x v="2"/>
    <x v="1"/>
    <x v="2"/>
    <n v="0.11206896551724138"/>
    <s v="No"/>
    <m/>
  </r>
  <r>
    <n v="32.233333333333334"/>
    <d v="2013-11-26T00:00:00"/>
    <x v="0"/>
    <s v="UNHCR"/>
    <s v="Kachin"/>
    <s v="Bhamo"/>
    <s v="Mu-yin Baptist Church"/>
    <m/>
    <m/>
    <m/>
    <n v="22"/>
    <n v="11"/>
    <n v="22"/>
    <n v="11"/>
    <n v="11"/>
    <m/>
    <m/>
    <m/>
    <m/>
    <m/>
    <m/>
    <m/>
    <m/>
    <m/>
    <n v="0"/>
    <n v="0"/>
    <n v="0"/>
    <n v="0"/>
    <n v="0"/>
    <n v="0"/>
    <n v="0"/>
    <n v="0"/>
    <n v="0"/>
    <n v="0"/>
    <n v="0"/>
    <n v="0"/>
    <n v="0"/>
    <n v="0"/>
    <x v="0"/>
    <n v="0"/>
    <s v="MMR001CMP051"/>
    <x v="2"/>
    <x v="1"/>
    <x v="2"/>
    <n v="0.7857142857142857"/>
    <s v="No"/>
    <m/>
  </r>
  <r>
    <n v="32.4"/>
    <d v="2013-11-21T00:00:00"/>
    <x v="0"/>
    <s v="UNHCR"/>
    <s v="Kachin"/>
    <s v="Bhamo"/>
    <s v="Aung Thar Church"/>
    <m/>
    <m/>
    <m/>
    <n v="34"/>
    <n v="18"/>
    <n v="34"/>
    <n v="18"/>
    <n v="18"/>
    <m/>
    <m/>
    <m/>
    <m/>
    <m/>
    <m/>
    <m/>
    <m/>
    <m/>
    <n v="0"/>
    <n v="0"/>
    <n v="0"/>
    <n v="0"/>
    <n v="0"/>
    <n v="0"/>
    <n v="0"/>
    <n v="0"/>
    <n v="0"/>
    <n v="0"/>
    <n v="0"/>
    <n v="0"/>
    <n v="0"/>
    <n v="0"/>
    <x v="0"/>
    <n v="0"/>
    <s v="MMR001CMP194"/>
    <x v="2"/>
    <x v="1"/>
    <x v="2"/>
    <n v="1.5"/>
    <s v="No"/>
    <m/>
  </r>
  <r>
    <n v="42.2"/>
    <d v="2013-01-31T00:00:00"/>
    <x v="7"/>
    <s v="World Vision"/>
    <s v="Kachin"/>
    <s v="Waingmaw"/>
    <s v="Maina AG Church"/>
    <m/>
    <m/>
    <m/>
    <m/>
    <m/>
    <n v="128"/>
    <m/>
    <m/>
    <n v="0"/>
    <n v="0"/>
    <m/>
    <m/>
    <m/>
    <m/>
    <m/>
    <m/>
    <m/>
    <n v="0"/>
    <n v="0"/>
    <n v="0"/>
    <n v="0"/>
    <n v="0"/>
    <n v="0"/>
    <n v="0"/>
    <n v="0"/>
    <n v="0"/>
    <n v="0"/>
    <n v="0"/>
    <n v="0"/>
    <n v="0"/>
    <n v="0"/>
    <x v="0"/>
    <n v="0"/>
    <s v="MMR001CMP031"/>
    <x v="2"/>
    <x v="1"/>
    <x v="2"/>
    <n v="0"/>
    <s v="No"/>
    <m/>
  </r>
  <r>
    <n v="43.233333333333334"/>
    <d v="2012-12-31T00:00:00"/>
    <x v="3"/>
    <s v="DRC"/>
    <s v="Kachin"/>
    <s v="Waingmaw"/>
    <s v="Maina AG Church"/>
    <n v="79"/>
    <m/>
    <m/>
    <m/>
    <m/>
    <m/>
    <m/>
    <m/>
    <n v="0"/>
    <n v="0"/>
    <m/>
    <m/>
    <m/>
    <m/>
    <m/>
    <m/>
    <m/>
    <n v="0"/>
    <n v="0"/>
    <n v="0"/>
    <n v="0"/>
    <n v="0"/>
    <n v="0"/>
    <n v="0"/>
    <n v="0"/>
    <n v="0"/>
    <n v="0"/>
    <n v="0"/>
    <n v="0"/>
    <n v="0"/>
    <n v="0"/>
    <x v="0"/>
    <n v="0"/>
    <s v="MMR001CMP031"/>
    <x v="2"/>
    <x v="1"/>
    <x v="2"/>
    <n v="0"/>
    <s v="No"/>
    <m/>
  </r>
  <r>
    <n v="32.4"/>
    <d v="2013-11-21T00:00:00"/>
    <x v="0"/>
    <s v="UNHCR "/>
    <s v="Kachin"/>
    <s v="Mansi"/>
    <s v="Man Kawng Baptist Church"/>
    <m/>
    <m/>
    <m/>
    <n v="400"/>
    <n v="210"/>
    <n v="400"/>
    <n v="210"/>
    <m/>
    <m/>
    <n v="210"/>
    <m/>
    <m/>
    <m/>
    <m/>
    <m/>
    <m/>
    <m/>
    <n v="0"/>
    <n v="0"/>
    <n v="0"/>
    <n v="0"/>
    <n v="0"/>
    <n v="0"/>
    <n v="0"/>
    <n v="0"/>
    <n v="0"/>
    <n v="0"/>
    <n v="0"/>
    <n v="0"/>
    <n v="0"/>
    <n v="0"/>
    <x v="0"/>
    <n v="0"/>
    <s v="MMR001CMP212"/>
    <x v="2"/>
    <x v="2"/>
    <x v="0"/>
    <s v=""/>
    <s v="No"/>
    <m/>
  </r>
  <r>
    <n v="32.4"/>
    <d v="2013-11-21T00:00:00"/>
    <x v="0"/>
    <s v="UNHCR"/>
    <s v="Kachin"/>
    <s v="Bhamo"/>
    <s v="Phan Khar Kone"/>
    <m/>
    <m/>
    <m/>
    <n v="15"/>
    <n v="9"/>
    <n v="15"/>
    <n v="9"/>
    <n v="9"/>
    <m/>
    <m/>
    <m/>
    <m/>
    <m/>
    <m/>
    <m/>
    <m/>
    <m/>
    <n v="0"/>
    <n v="0"/>
    <n v="0"/>
    <n v="0"/>
    <n v="0"/>
    <n v="0"/>
    <n v="0"/>
    <n v="0"/>
    <n v="0"/>
    <n v="0"/>
    <n v="0"/>
    <n v="0"/>
    <n v="0"/>
    <n v="0"/>
    <x v="0"/>
    <n v="0"/>
    <s v="MMR001CMP193"/>
    <x v="2"/>
    <x v="1"/>
    <x v="2"/>
    <n v="0.06"/>
    <s v="No"/>
    <m/>
  </r>
  <r>
    <n v="32.466666666666669"/>
    <d v="2013-11-19T00:00:00"/>
    <x v="0"/>
    <s v="UNHCR"/>
    <s v="Kachin"/>
    <s v="Bhamo"/>
    <s v="Host Families"/>
    <m/>
    <m/>
    <m/>
    <n v="57"/>
    <n v="33"/>
    <n v="57"/>
    <n v="33"/>
    <n v="33"/>
    <m/>
    <m/>
    <m/>
    <m/>
    <m/>
    <m/>
    <m/>
    <m/>
    <m/>
    <n v="0"/>
    <n v="0"/>
    <n v="0"/>
    <n v="0"/>
    <n v="0"/>
    <n v="0"/>
    <n v="0"/>
    <n v="0"/>
    <n v="0"/>
    <n v="0"/>
    <n v="0"/>
    <n v="0"/>
    <n v="0"/>
    <n v="0"/>
    <x v="0"/>
    <n v="0"/>
    <s v="MMR001CMP163"/>
    <x v="2"/>
    <x v="1"/>
    <x v="2"/>
    <n v="0.15639810426540285"/>
    <s v="No"/>
    <m/>
  </r>
  <r>
    <n v="32.466666666666669"/>
    <d v="2013-11-19T00:00:00"/>
    <x v="0"/>
    <s v="UNHCR"/>
    <s v="Kachin"/>
    <s v="Bhamo"/>
    <s v="Robert Church"/>
    <m/>
    <m/>
    <n v="40"/>
    <n v="38"/>
    <n v="20"/>
    <n v="38"/>
    <n v="20"/>
    <n v="20"/>
    <m/>
    <m/>
    <m/>
    <m/>
    <m/>
    <m/>
    <m/>
    <m/>
    <m/>
    <n v="0"/>
    <n v="0"/>
    <n v="0"/>
    <n v="0"/>
    <n v="0"/>
    <n v="0"/>
    <n v="0"/>
    <n v="0"/>
    <n v="0"/>
    <n v="0"/>
    <n v="0"/>
    <n v="0"/>
    <n v="0"/>
    <n v="0"/>
    <x v="0"/>
    <n v="0"/>
    <s v="MMR001CMP047"/>
    <x v="2"/>
    <x v="1"/>
    <x v="2"/>
    <n v="3.1796502384737677E-2"/>
    <s v="No"/>
    <m/>
  </r>
  <r>
    <n v="26.533333333333335"/>
    <d v="2014-05-16T00:00:00"/>
    <x v="6"/>
    <s v="MRCS"/>
    <s v="Kachin"/>
    <s v="Waingmaw"/>
    <s v="Maina Catholic Church (St. Joseph)"/>
    <m/>
    <m/>
    <m/>
    <m/>
    <m/>
    <m/>
    <m/>
    <m/>
    <m/>
    <m/>
    <m/>
    <m/>
    <m/>
    <n v="470"/>
    <m/>
    <m/>
    <m/>
    <n v="0"/>
    <n v="0"/>
    <n v="0"/>
    <n v="0"/>
    <n v="0"/>
    <n v="0"/>
    <n v="0"/>
    <n v="0"/>
    <n v="0"/>
    <n v="0"/>
    <n v="0"/>
    <n v="0"/>
    <n v="0"/>
    <n v="0"/>
    <x v="1"/>
    <n v="0"/>
    <s v="MMR001CMP029"/>
    <x v="2"/>
    <x v="1"/>
    <x v="2"/>
    <n v="0"/>
    <m/>
    <m/>
  </r>
  <r>
    <n v="32.466666666666669"/>
    <d v="2013-11-19T00:00:00"/>
    <x v="0"/>
    <s v="UNHCR"/>
    <s v="Kachin"/>
    <s v="Bhamo"/>
    <s v="Thu Kha Waddy"/>
    <m/>
    <m/>
    <m/>
    <n v="13"/>
    <n v="9"/>
    <n v="13"/>
    <n v="9"/>
    <n v="9"/>
    <m/>
    <m/>
    <m/>
    <m/>
    <m/>
    <m/>
    <m/>
    <m/>
    <m/>
    <n v="0"/>
    <n v="0"/>
    <n v="0"/>
    <n v="0"/>
    <n v="0"/>
    <n v="0"/>
    <n v="0"/>
    <n v="0"/>
    <n v="0"/>
    <n v="0"/>
    <n v="0"/>
    <n v="0"/>
    <n v="0"/>
    <n v="0"/>
    <x v="0"/>
    <n v="0"/>
    <s v="MMR001CMP211"/>
    <x v="2"/>
    <x v="2"/>
    <x v="0"/>
    <s v=""/>
    <s v="No"/>
    <m/>
  </r>
  <r>
    <n v="38.966666666666669"/>
    <d v="2013-05-08T00:00:00"/>
    <x v="8"/>
    <s v="KMSS"/>
    <s v="Kachin"/>
    <s v="Waingmaw"/>
    <s v="Maina Catholic Church (St. Joseph)"/>
    <n v="1062"/>
    <m/>
    <m/>
    <m/>
    <m/>
    <m/>
    <m/>
    <m/>
    <m/>
    <m/>
    <m/>
    <m/>
    <m/>
    <m/>
    <m/>
    <m/>
    <m/>
    <n v="0"/>
    <n v="0"/>
    <n v="0"/>
    <n v="0"/>
    <n v="0"/>
    <n v="0"/>
    <n v="0"/>
    <n v="0"/>
    <n v="0"/>
    <n v="0"/>
    <n v="0"/>
    <n v="0"/>
    <n v="0"/>
    <n v="0"/>
    <x v="0"/>
    <n v="0"/>
    <s v="MMR001CMP029"/>
    <x v="2"/>
    <x v="1"/>
    <x v="2"/>
    <n v="0"/>
    <s v="No"/>
    <m/>
  </r>
  <r>
    <n v="42.033333333333331"/>
    <d v="2013-02-05T00:00:00"/>
    <x v="2"/>
    <s v="MRCS"/>
    <s v="Kachin"/>
    <s v="Waingmaw"/>
    <s v="Maina Catholic Church (St. Joseph)"/>
    <n v="46"/>
    <m/>
    <m/>
    <m/>
    <m/>
    <m/>
    <m/>
    <m/>
    <n v="0"/>
    <n v="0"/>
    <m/>
    <m/>
    <m/>
    <m/>
    <m/>
    <m/>
    <m/>
    <n v="0"/>
    <n v="0"/>
    <n v="0"/>
    <n v="0"/>
    <n v="0"/>
    <n v="0"/>
    <n v="0"/>
    <n v="0"/>
    <n v="0"/>
    <n v="0"/>
    <n v="0"/>
    <n v="0"/>
    <n v="0"/>
    <n v="0"/>
    <x v="0"/>
    <n v="0"/>
    <s v="MMR001CMP029"/>
    <x v="2"/>
    <x v="1"/>
    <x v="2"/>
    <n v="0"/>
    <s v="No"/>
    <m/>
  </r>
  <r>
    <n v="42.2"/>
    <d v="2013-01-31T00:00:00"/>
    <x v="7"/>
    <s v="World Vision"/>
    <s v="Kachin"/>
    <s v="Waingmaw"/>
    <s v="Maina Catholic Church (St. Joseph)"/>
    <m/>
    <m/>
    <m/>
    <m/>
    <m/>
    <n v="442"/>
    <m/>
    <m/>
    <n v="0"/>
    <n v="0"/>
    <m/>
    <m/>
    <m/>
    <m/>
    <m/>
    <m/>
    <m/>
    <n v="0"/>
    <n v="0"/>
    <n v="0"/>
    <n v="0"/>
    <n v="0"/>
    <n v="0"/>
    <n v="0"/>
    <n v="0"/>
    <n v="0"/>
    <n v="0"/>
    <n v="0"/>
    <n v="0"/>
    <n v="0"/>
    <n v="0"/>
    <x v="0"/>
    <n v="0"/>
    <s v="MMR001CMP029"/>
    <x v="2"/>
    <x v="1"/>
    <x v="2"/>
    <n v="0"/>
    <s v="No"/>
    <m/>
  </r>
  <r>
    <n v="32.533333333333331"/>
    <d v="2013-11-17T00:00:00"/>
    <x v="0"/>
    <s v="UNHCR "/>
    <s v="Kachin"/>
    <s v="Mansi"/>
    <s v="Man Wing Catholic Church"/>
    <m/>
    <m/>
    <m/>
    <n v="700"/>
    <n v="350"/>
    <n v="700"/>
    <n v="350"/>
    <n v="350"/>
    <m/>
    <m/>
    <m/>
    <m/>
    <m/>
    <m/>
    <m/>
    <m/>
    <m/>
    <n v="0"/>
    <n v="0"/>
    <n v="0"/>
    <n v="0"/>
    <n v="0"/>
    <n v="0"/>
    <n v="0"/>
    <n v="0"/>
    <n v="0"/>
    <n v="0"/>
    <n v="0"/>
    <n v="0"/>
    <n v="0"/>
    <n v="0"/>
    <x v="0"/>
    <n v="0"/>
    <s v="MMR001CMP132"/>
    <x v="2"/>
    <x v="1"/>
    <x v="2"/>
    <n v="0.76419213973799127"/>
    <s v="No"/>
    <m/>
  </r>
  <r>
    <n v="32.56666666666667"/>
    <d v="2013-11-16T00:00:00"/>
    <x v="0"/>
    <s v="UNHCR "/>
    <s v="Kachin"/>
    <s v="Bhamo"/>
    <s v="Phan Khar Kone"/>
    <m/>
    <m/>
    <m/>
    <m/>
    <n v="11"/>
    <m/>
    <m/>
    <m/>
    <m/>
    <m/>
    <m/>
    <m/>
    <m/>
    <m/>
    <m/>
    <m/>
    <m/>
    <n v="0"/>
    <n v="0"/>
    <n v="0"/>
    <n v="0"/>
    <n v="0"/>
    <n v="0"/>
    <n v="0"/>
    <n v="0"/>
    <n v="0"/>
    <n v="0"/>
    <n v="0"/>
    <n v="0"/>
    <n v="0"/>
    <n v="0"/>
    <x v="0"/>
    <n v="0"/>
    <s v="MMR001CMP193"/>
    <x v="2"/>
    <x v="1"/>
    <x v="2"/>
    <n v="0"/>
    <s v="No"/>
    <m/>
  </r>
  <r>
    <n v="32.56666666666667"/>
    <d v="2013-11-16T00:00:00"/>
    <x v="0"/>
    <s v="UNHCR"/>
    <s v="Kachin"/>
    <s v="Bhamo"/>
    <s v="Robert Church"/>
    <m/>
    <m/>
    <m/>
    <m/>
    <n v="10"/>
    <m/>
    <m/>
    <m/>
    <m/>
    <m/>
    <m/>
    <m/>
    <m/>
    <m/>
    <m/>
    <m/>
    <m/>
    <n v="0"/>
    <n v="0"/>
    <n v="0"/>
    <n v="0"/>
    <n v="0"/>
    <n v="0"/>
    <n v="0"/>
    <n v="0"/>
    <n v="0"/>
    <n v="0"/>
    <n v="0"/>
    <n v="0"/>
    <n v="0"/>
    <n v="0"/>
    <x v="0"/>
    <n v="0"/>
    <s v="MMR001CMP047"/>
    <x v="2"/>
    <x v="1"/>
    <x v="2"/>
    <n v="0"/>
    <s v="No"/>
    <m/>
  </r>
  <r>
    <n v="32.6"/>
    <d v="2013-11-15T00:00:00"/>
    <x v="0"/>
    <s v="UNHCR "/>
    <s v="Kachin"/>
    <s v="Bhamo"/>
    <m/>
    <m/>
    <m/>
    <m/>
    <m/>
    <n v="12"/>
    <m/>
    <m/>
    <m/>
    <m/>
    <m/>
    <m/>
    <m/>
    <m/>
    <m/>
    <m/>
    <m/>
    <m/>
    <n v="0"/>
    <n v="0"/>
    <n v="0"/>
    <n v="0"/>
    <n v="0"/>
    <n v="0"/>
    <n v="0"/>
    <n v="0"/>
    <n v="0"/>
    <n v="0"/>
    <n v="0"/>
    <n v="0"/>
    <n v="0"/>
    <n v="0"/>
    <x v="0"/>
    <n v="0"/>
    <s v=""/>
    <x v="0"/>
    <x v="0"/>
    <x v="0"/>
    <s v=""/>
    <s v="No"/>
    <m/>
  </r>
  <r>
    <n v="26.4"/>
    <d v="2014-05-20T00:00:00"/>
    <x v="6"/>
    <s v="MRCS"/>
    <s v="Kachin"/>
    <s v="Waingmaw"/>
    <s v="Maina KBC (Bawng Ring)"/>
    <m/>
    <m/>
    <m/>
    <m/>
    <m/>
    <m/>
    <m/>
    <m/>
    <m/>
    <m/>
    <m/>
    <m/>
    <m/>
    <n v="824"/>
    <m/>
    <m/>
    <m/>
    <n v="0"/>
    <n v="0"/>
    <n v="0"/>
    <n v="0"/>
    <n v="0"/>
    <n v="0"/>
    <n v="0"/>
    <n v="0"/>
    <n v="0"/>
    <n v="0"/>
    <n v="0"/>
    <n v="0"/>
    <n v="0"/>
    <n v="0"/>
    <x v="1"/>
    <n v="0"/>
    <s v="MMR001CMP040"/>
    <x v="2"/>
    <x v="1"/>
    <x v="2"/>
    <n v="0"/>
    <m/>
    <m/>
  </r>
  <r>
    <n v="31.466666666666665"/>
    <d v="2013-12-19T00:00:00"/>
    <x v="5"/>
    <s v="KBC"/>
    <s v="Kachin"/>
    <s v="Waingmaw"/>
    <s v="Maina KBC (Bawng Ring)"/>
    <m/>
    <m/>
    <m/>
    <m/>
    <m/>
    <m/>
    <m/>
    <m/>
    <m/>
    <m/>
    <n v="414"/>
    <n v="764"/>
    <n v="2356"/>
    <n v="1178"/>
    <m/>
    <m/>
    <m/>
    <n v="0"/>
    <n v="0"/>
    <n v="0"/>
    <n v="0"/>
    <n v="0"/>
    <n v="0"/>
    <n v="0"/>
    <n v="0"/>
    <n v="0"/>
    <n v="0"/>
    <n v="0"/>
    <n v="0"/>
    <n v="0"/>
    <n v="0"/>
    <x v="1"/>
    <n v="0"/>
    <s v="MMR001CMP040"/>
    <x v="2"/>
    <x v="1"/>
    <x v="2"/>
    <n v="0"/>
    <m/>
    <m/>
  </r>
  <r>
    <n v="32.1"/>
    <d v="2013-11-30T00:00:00"/>
    <x v="5"/>
    <s v="KBC"/>
    <s v="Kachin"/>
    <s v="Waingmaw"/>
    <s v="Maina KBC (Bawng Ring)"/>
    <m/>
    <m/>
    <m/>
    <m/>
    <m/>
    <m/>
    <m/>
    <m/>
    <m/>
    <m/>
    <m/>
    <m/>
    <m/>
    <m/>
    <m/>
    <m/>
    <m/>
    <n v="0"/>
    <n v="0"/>
    <n v="0"/>
    <n v="0"/>
    <n v="0"/>
    <n v="0"/>
    <n v="0"/>
    <n v="0"/>
    <n v="0"/>
    <n v="0"/>
    <n v="0"/>
    <n v="0"/>
    <n v="0"/>
    <n v="0"/>
    <x v="0"/>
    <n v="0"/>
    <s v="MMR001CMP040"/>
    <x v="2"/>
    <x v="1"/>
    <x v="2"/>
    <n v="0"/>
    <s v="No"/>
    <m/>
  </r>
  <r>
    <n v="32.633333333333333"/>
    <d v="2013-11-14T00:00:00"/>
    <x v="0"/>
    <s v="UNHCR "/>
    <s v="Kachin"/>
    <s v="Bhamo"/>
    <s v="Aung Thar Church"/>
    <m/>
    <m/>
    <m/>
    <n v="12"/>
    <n v="9"/>
    <n v="12"/>
    <n v="9"/>
    <n v="9"/>
    <m/>
    <m/>
    <m/>
    <m/>
    <m/>
    <m/>
    <m/>
    <m/>
    <m/>
    <n v="0"/>
    <n v="0"/>
    <n v="0"/>
    <n v="0"/>
    <n v="0"/>
    <n v="0"/>
    <n v="0"/>
    <n v="0"/>
    <n v="0"/>
    <n v="0"/>
    <n v="0"/>
    <n v="0"/>
    <n v="0"/>
    <n v="0"/>
    <x v="0"/>
    <n v="0"/>
    <s v="MMR001CMP194"/>
    <x v="2"/>
    <x v="1"/>
    <x v="2"/>
    <n v="0.75"/>
    <s v="No"/>
    <m/>
  </r>
  <r>
    <n v="41.366666666666667"/>
    <d v="2013-02-25T00:00:00"/>
    <x v="2"/>
    <s v="MRCS"/>
    <s v="Kachin"/>
    <s v="Waingmaw"/>
    <s v="Maina KBC (Bawng Ring)"/>
    <m/>
    <m/>
    <n v="235"/>
    <m/>
    <n v="174"/>
    <m/>
    <n v="61"/>
    <m/>
    <n v="0"/>
    <n v="0"/>
    <m/>
    <m/>
    <m/>
    <m/>
    <m/>
    <m/>
    <m/>
    <n v="0"/>
    <n v="0"/>
    <n v="0"/>
    <n v="0"/>
    <n v="0"/>
    <n v="0"/>
    <n v="0"/>
    <n v="0"/>
    <n v="0"/>
    <n v="0"/>
    <n v="0"/>
    <n v="0"/>
    <n v="0"/>
    <n v="0"/>
    <x v="0"/>
    <n v="0"/>
    <s v="MMR001CMP040"/>
    <x v="2"/>
    <x v="1"/>
    <x v="2"/>
    <n v="0.15404040404040403"/>
    <s v="No"/>
    <m/>
  </r>
  <r>
    <n v="42.2"/>
    <d v="2013-01-31T00:00:00"/>
    <x v="7"/>
    <s v="World Vision"/>
    <s v="Kachin"/>
    <s v="Waingmaw"/>
    <s v="Maina KBC (Bawng Ring)"/>
    <m/>
    <m/>
    <m/>
    <m/>
    <m/>
    <n v="324"/>
    <m/>
    <m/>
    <n v="0"/>
    <n v="0"/>
    <m/>
    <m/>
    <m/>
    <m/>
    <m/>
    <m/>
    <m/>
    <n v="0"/>
    <n v="0"/>
    <n v="0"/>
    <n v="0"/>
    <n v="0"/>
    <n v="0"/>
    <n v="0"/>
    <n v="0"/>
    <n v="0"/>
    <n v="0"/>
    <n v="0"/>
    <n v="0"/>
    <n v="0"/>
    <n v="0"/>
    <x v="0"/>
    <n v="0"/>
    <s v="MMR001CMP040"/>
    <x v="2"/>
    <x v="1"/>
    <x v="2"/>
    <n v="0"/>
    <s v="No"/>
    <m/>
  </r>
  <r>
    <n v="32.633333333333333"/>
    <d v="2013-11-14T00:00:00"/>
    <x v="0"/>
    <s v="UNHCR"/>
    <s v="Kachin"/>
    <s v="Mansi"/>
    <s v="Mansi Baptist Church"/>
    <m/>
    <m/>
    <n v="18"/>
    <n v="31"/>
    <n v="18"/>
    <n v="31"/>
    <n v="18"/>
    <n v="18"/>
    <m/>
    <m/>
    <m/>
    <m/>
    <m/>
    <m/>
    <m/>
    <m/>
    <m/>
    <n v="0"/>
    <n v="0"/>
    <n v="0"/>
    <n v="0"/>
    <n v="0"/>
    <n v="0"/>
    <n v="0"/>
    <n v="0"/>
    <n v="0"/>
    <n v="0"/>
    <n v="0"/>
    <n v="0"/>
    <n v="0"/>
    <n v="0"/>
    <x v="0"/>
    <n v="0"/>
    <s v="MMR001CMP066"/>
    <x v="2"/>
    <x v="1"/>
    <x v="2"/>
    <n v="9.1836734693877556E-2"/>
    <s v="No"/>
    <m/>
  </r>
  <r>
    <n v="32.733333333333334"/>
    <d v="2013-11-11T00:00:00"/>
    <x v="0"/>
    <s v="UNHCR "/>
    <s v="Kachin"/>
    <s v="Momauk"/>
    <s v="Nhkawng Pa "/>
    <m/>
    <m/>
    <n v="36"/>
    <n v="200"/>
    <n v="100"/>
    <m/>
    <n v="100"/>
    <n v="100"/>
    <m/>
    <m/>
    <m/>
    <m/>
    <m/>
    <m/>
    <m/>
    <m/>
    <m/>
    <n v="0"/>
    <n v="0"/>
    <n v="0"/>
    <n v="0"/>
    <n v="0"/>
    <n v="0"/>
    <n v="0"/>
    <n v="0"/>
    <n v="0"/>
    <n v="0"/>
    <n v="0"/>
    <n v="0"/>
    <n v="0"/>
    <n v="0"/>
    <x v="0"/>
    <n v="0"/>
    <s v="MMR001CMP131"/>
    <x v="2"/>
    <x v="1"/>
    <x v="3"/>
    <n v="0.26666666666666666"/>
    <s v="No"/>
    <m/>
  </r>
  <r>
    <n v="26.433333333333334"/>
    <d v="2014-05-19T00:00:00"/>
    <x v="6"/>
    <s v="MRCS"/>
    <s v="Kachin"/>
    <s v="Waingmaw"/>
    <s v="Maina Lawang Baptist Church"/>
    <m/>
    <m/>
    <m/>
    <m/>
    <m/>
    <m/>
    <m/>
    <m/>
    <m/>
    <m/>
    <m/>
    <m/>
    <m/>
    <n v="230"/>
    <m/>
    <m/>
    <m/>
    <n v="0"/>
    <n v="0"/>
    <n v="0"/>
    <n v="0"/>
    <n v="0"/>
    <n v="0"/>
    <n v="0"/>
    <n v="0"/>
    <n v="0"/>
    <n v="0"/>
    <n v="0"/>
    <n v="0"/>
    <n v="0"/>
    <n v="0"/>
    <x v="1"/>
    <n v="0"/>
    <s v="MMR001CMP039"/>
    <x v="2"/>
    <x v="1"/>
    <x v="2"/>
    <n v="0"/>
    <m/>
    <m/>
  </r>
  <r>
    <n v="31.433333333333334"/>
    <d v="2013-12-20T00:00:00"/>
    <x v="5"/>
    <s v="KBC"/>
    <s v="Kachin"/>
    <s v="Waingmaw"/>
    <s v="Maina Lawang Baptist Church"/>
    <m/>
    <m/>
    <m/>
    <m/>
    <m/>
    <m/>
    <m/>
    <m/>
    <m/>
    <m/>
    <n v="47"/>
    <n v="85"/>
    <n v="264"/>
    <n v="132"/>
    <m/>
    <m/>
    <m/>
    <n v="0"/>
    <n v="0"/>
    <n v="0"/>
    <n v="0"/>
    <n v="0"/>
    <n v="0"/>
    <n v="0"/>
    <n v="0"/>
    <n v="0"/>
    <n v="0"/>
    <n v="0"/>
    <n v="0"/>
    <n v="0"/>
    <n v="0"/>
    <x v="1"/>
    <n v="0"/>
    <s v="MMR001CMP039"/>
    <x v="2"/>
    <x v="1"/>
    <x v="2"/>
    <n v="0"/>
    <m/>
    <m/>
  </r>
  <r>
    <n v="32.1"/>
    <d v="2013-11-30T00:00:00"/>
    <x v="5"/>
    <s v="KBC"/>
    <s v="Kachin"/>
    <s v="Waingmaw"/>
    <s v="Maina Lawang Baptist Church"/>
    <m/>
    <m/>
    <m/>
    <m/>
    <m/>
    <m/>
    <m/>
    <m/>
    <m/>
    <m/>
    <m/>
    <m/>
    <m/>
    <m/>
    <m/>
    <m/>
    <m/>
    <n v="0"/>
    <n v="0"/>
    <n v="0"/>
    <n v="0"/>
    <n v="0"/>
    <n v="0"/>
    <n v="0"/>
    <n v="0"/>
    <n v="0"/>
    <n v="0"/>
    <n v="0"/>
    <n v="0"/>
    <n v="0"/>
    <n v="0"/>
    <x v="0"/>
    <n v="0"/>
    <s v="MMR001CMP039"/>
    <x v="2"/>
    <x v="1"/>
    <x v="2"/>
    <n v="0"/>
    <s v="No"/>
    <m/>
  </r>
  <r>
    <n v="42.2"/>
    <d v="2013-01-31T00:00:00"/>
    <x v="7"/>
    <s v="World Vision"/>
    <s v="Kachin"/>
    <s v="Waingmaw"/>
    <s v="Maina Lawang Baptist Church"/>
    <m/>
    <m/>
    <m/>
    <m/>
    <m/>
    <n v="94"/>
    <m/>
    <m/>
    <n v="0"/>
    <n v="0"/>
    <m/>
    <m/>
    <m/>
    <m/>
    <m/>
    <m/>
    <m/>
    <n v="0"/>
    <n v="0"/>
    <n v="0"/>
    <n v="0"/>
    <n v="0"/>
    <n v="0"/>
    <n v="0"/>
    <n v="0"/>
    <n v="0"/>
    <n v="0"/>
    <n v="0"/>
    <n v="0"/>
    <n v="0"/>
    <n v="0"/>
    <x v="0"/>
    <n v="0"/>
    <s v="MMR001CMP039"/>
    <x v="2"/>
    <x v="1"/>
    <x v="2"/>
    <n v="0"/>
    <s v="No"/>
    <m/>
  </r>
  <r>
    <n v="32.866666666666667"/>
    <d v="2013-11-07T00:00:00"/>
    <x v="0"/>
    <s v="UNHCR"/>
    <s v="Kachin"/>
    <s v="Hpakant"/>
    <s v="Baptist Church, Naung Hmee VT"/>
    <m/>
    <m/>
    <n v="13"/>
    <n v="32"/>
    <n v="15"/>
    <n v="32"/>
    <n v="15"/>
    <m/>
    <n v="15"/>
    <n v="32"/>
    <m/>
    <m/>
    <m/>
    <m/>
    <m/>
    <m/>
    <m/>
    <n v="0"/>
    <n v="0"/>
    <n v="0"/>
    <n v="0"/>
    <n v="0"/>
    <n v="0"/>
    <n v="0"/>
    <n v="0"/>
    <n v="0"/>
    <n v="0"/>
    <n v="0"/>
    <n v="0"/>
    <n v="0"/>
    <n v="0"/>
    <x v="0"/>
    <n v="0"/>
    <s v="MMR001CMP188"/>
    <x v="2"/>
    <x v="2"/>
    <x v="2"/>
    <s v=""/>
    <s v="No"/>
    <m/>
  </r>
  <r>
    <n v="32.866666666666667"/>
    <d v="2013-11-07T00:00:00"/>
    <x v="0"/>
    <s v="UNHCR"/>
    <s v="Kachin"/>
    <s v="Bhamo"/>
    <s v="Phan Khar Kone"/>
    <m/>
    <m/>
    <n v="58"/>
    <n v="46"/>
    <n v="29"/>
    <n v="46"/>
    <n v="29"/>
    <n v="29"/>
    <m/>
    <m/>
    <m/>
    <m/>
    <m/>
    <m/>
    <m/>
    <m/>
    <m/>
    <n v="0"/>
    <n v="0"/>
    <n v="0"/>
    <n v="0"/>
    <n v="0"/>
    <n v="0"/>
    <n v="0"/>
    <n v="0"/>
    <n v="0"/>
    <n v="0"/>
    <n v="0"/>
    <n v="0"/>
    <n v="0"/>
    <n v="0"/>
    <x v="0"/>
    <n v="0"/>
    <s v="MMR001CMP193"/>
    <x v="2"/>
    <x v="1"/>
    <x v="2"/>
    <n v="0.19333333333333333"/>
    <s v="No"/>
    <m/>
  </r>
  <r>
    <n v="32.93333333333333"/>
    <d v="2013-11-05T00:00:00"/>
    <x v="0"/>
    <s v="UNHCR"/>
    <s v="Kachin"/>
    <s v="Mansi"/>
    <s v="Mansi Baptist Church"/>
    <m/>
    <m/>
    <n v="60"/>
    <n v="54"/>
    <n v="30"/>
    <n v="54"/>
    <n v="30"/>
    <n v="30"/>
    <m/>
    <m/>
    <m/>
    <m/>
    <m/>
    <m/>
    <m/>
    <m/>
    <m/>
    <n v="0"/>
    <n v="0"/>
    <n v="0"/>
    <n v="0"/>
    <n v="0"/>
    <n v="0"/>
    <n v="0"/>
    <n v="0"/>
    <n v="0"/>
    <n v="0"/>
    <n v="0"/>
    <n v="0"/>
    <n v="0"/>
    <n v="0"/>
    <x v="0"/>
    <n v="0"/>
    <s v="MMR001CMP066"/>
    <x v="2"/>
    <x v="1"/>
    <x v="2"/>
    <n v="0.15306122448979592"/>
    <s v="No"/>
    <m/>
  </r>
  <r>
    <n v="33"/>
    <d v="2013-11-03T00:00:00"/>
    <x v="0"/>
    <s v="UNHCR "/>
    <s v="Kachin"/>
    <s v="Mansi"/>
    <s v="Bum Tsit Pa "/>
    <m/>
    <m/>
    <n v="130"/>
    <n v="130"/>
    <n v="65"/>
    <n v="65"/>
    <n v="65"/>
    <n v="65"/>
    <m/>
    <m/>
    <m/>
    <m/>
    <m/>
    <m/>
    <m/>
    <m/>
    <m/>
    <n v="0"/>
    <n v="0"/>
    <n v="0"/>
    <n v="0"/>
    <n v="0"/>
    <n v="0"/>
    <n v="0"/>
    <n v="0"/>
    <n v="0"/>
    <n v="0"/>
    <n v="0"/>
    <n v="0"/>
    <n v="0"/>
    <n v="0"/>
    <x v="0"/>
    <n v="0"/>
    <s v="MMR001CMP129"/>
    <x v="2"/>
    <x v="1"/>
    <x v="5"/>
    <n v="0.26530612244897961"/>
    <s v="No"/>
    <m/>
  </r>
  <r>
    <n v="33"/>
    <d v="2013-11-03T00:00:00"/>
    <x v="0"/>
    <s v="UNHCR "/>
    <s v="Kachin"/>
    <s v="Mansi"/>
    <s v="Lana Zup Ja "/>
    <m/>
    <m/>
    <n v="592"/>
    <n v="592"/>
    <n v="296"/>
    <n v="296"/>
    <n v="296"/>
    <n v="296"/>
    <m/>
    <m/>
    <m/>
    <m/>
    <m/>
    <m/>
    <m/>
    <m/>
    <m/>
    <n v="0"/>
    <n v="0"/>
    <n v="0"/>
    <n v="0"/>
    <n v="0"/>
    <n v="0"/>
    <n v="0"/>
    <n v="0"/>
    <n v="0"/>
    <n v="0"/>
    <n v="0"/>
    <n v="0"/>
    <n v="0"/>
    <n v="0"/>
    <x v="0"/>
    <n v="0"/>
    <s v="MMR001CMP128"/>
    <x v="2"/>
    <x v="1"/>
    <x v="5"/>
    <n v="0.5431192660550459"/>
    <s v="No"/>
    <m/>
  </r>
  <r>
    <n v="1.6666666666666667"/>
    <d v="2016-05-31T00:00:00"/>
    <x v="5"/>
    <s v="Solidarities"/>
    <s v="Kachin"/>
    <s v="Mansi"/>
    <s v="Maing Khaung"/>
    <n v="25"/>
    <n v="25"/>
    <m/>
    <m/>
    <n v="25"/>
    <m/>
    <m/>
    <m/>
    <m/>
    <m/>
    <m/>
    <m/>
    <m/>
    <m/>
    <m/>
    <m/>
    <m/>
    <n v="25"/>
    <n v="25"/>
    <n v="0"/>
    <n v="0"/>
    <n v="25"/>
    <n v="0"/>
    <n v="0"/>
    <n v="0"/>
    <n v="0"/>
    <n v="0"/>
    <n v="0"/>
    <n v="0"/>
    <n v="0"/>
    <n v="0"/>
    <x v="0"/>
    <n v="0"/>
    <s v="MMR001CMP218"/>
    <x v="2"/>
    <x v="1"/>
    <x v="2"/>
    <n v="0"/>
    <m/>
    <m/>
  </r>
  <r>
    <n v="33"/>
    <d v="2013-11-03T00:00:00"/>
    <x v="0"/>
    <s v="UNHCR "/>
    <s v="Kachin"/>
    <s v="Momauk"/>
    <s v="Loi Je Lisu Camp"/>
    <m/>
    <m/>
    <n v="24"/>
    <n v="24"/>
    <n v="12"/>
    <n v="12"/>
    <n v="12"/>
    <n v="12"/>
    <m/>
    <m/>
    <m/>
    <m/>
    <m/>
    <m/>
    <m/>
    <m/>
    <m/>
    <n v="0"/>
    <n v="0"/>
    <n v="0"/>
    <n v="0"/>
    <n v="0"/>
    <n v="0"/>
    <n v="0"/>
    <n v="0"/>
    <n v="0"/>
    <n v="0"/>
    <n v="0"/>
    <n v="0"/>
    <n v="0"/>
    <n v="0"/>
    <x v="0"/>
    <n v="0"/>
    <s v="MMR001CMP070"/>
    <x v="2"/>
    <x v="1"/>
    <x v="4"/>
    <n v="6.3157894736842107E-2"/>
    <s v="No"/>
    <m/>
  </r>
  <r>
    <n v="33.06666666666667"/>
    <d v="2013-11-01T00:00:00"/>
    <x v="0"/>
    <s v="UNHCR"/>
    <s v="Kachin"/>
    <s v="Bhamo"/>
    <s v="Aung Thar Church"/>
    <m/>
    <m/>
    <n v="8"/>
    <n v="6"/>
    <n v="4"/>
    <n v="6"/>
    <n v="4"/>
    <n v="4"/>
    <m/>
    <m/>
    <m/>
    <m/>
    <m/>
    <m/>
    <m/>
    <m/>
    <m/>
    <n v="0"/>
    <n v="0"/>
    <n v="0"/>
    <n v="0"/>
    <n v="0"/>
    <n v="0"/>
    <n v="0"/>
    <n v="0"/>
    <n v="0"/>
    <n v="0"/>
    <n v="0"/>
    <n v="0"/>
    <n v="0"/>
    <n v="0"/>
    <x v="0"/>
    <n v="0"/>
    <s v="MMR001CMP194"/>
    <x v="2"/>
    <x v="1"/>
    <x v="2"/>
    <n v="0.33333333333333331"/>
    <s v="No"/>
    <m/>
  </r>
  <r>
    <n v="33.06666666666667"/>
    <d v="2013-11-01T00:00:00"/>
    <x v="0"/>
    <s v="UNHCR"/>
    <s v="Kachin"/>
    <s v="Bhamo"/>
    <s v="Htoi San Church"/>
    <m/>
    <m/>
    <n v="12"/>
    <n v="9"/>
    <n v="6"/>
    <n v="9"/>
    <n v="6"/>
    <n v="6"/>
    <n v="6"/>
    <m/>
    <m/>
    <m/>
    <m/>
    <m/>
    <m/>
    <m/>
    <m/>
    <n v="0"/>
    <n v="0"/>
    <n v="0"/>
    <n v="0"/>
    <n v="0"/>
    <n v="0"/>
    <n v="0"/>
    <n v="0"/>
    <n v="0"/>
    <n v="0"/>
    <n v="0"/>
    <n v="0"/>
    <n v="0"/>
    <n v="0"/>
    <x v="0"/>
    <n v="0"/>
    <s v="MMR001CMP052"/>
    <x v="2"/>
    <x v="1"/>
    <x v="2"/>
    <n v="0.15384615384615385"/>
    <s v="No"/>
    <m/>
  </r>
  <r>
    <n v="33.06666666666667"/>
    <d v="2013-11-01T00:00:00"/>
    <x v="0"/>
    <s v="UNHCR"/>
    <s v="Kachin"/>
    <s v="Bhamo"/>
    <s v="Robert Church"/>
    <m/>
    <m/>
    <n v="40"/>
    <n v="48"/>
    <n v="20"/>
    <n v="48"/>
    <n v="20"/>
    <n v="20"/>
    <n v="500"/>
    <n v="500"/>
    <m/>
    <m/>
    <m/>
    <m/>
    <m/>
    <m/>
    <m/>
    <n v="0"/>
    <n v="0"/>
    <n v="0"/>
    <n v="0"/>
    <n v="0"/>
    <n v="0"/>
    <n v="0"/>
    <n v="0"/>
    <n v="0"/>
    <n v="0"/>
    <n v="0"/>
    <n v="0"/>
    <n v="0"/>
    <n v="0"/>
    <x v="0"/>
    <n v="0"/>
    <s v="MMR001CMP047"/>
    <x v="2"/>
    <x v="1"/>
    <x v="2"/>
    <n v="3.1796502384737677E-2"/>
    <s v="No"/>
    <m/>
  </r>
  <r>
    <n v="27.833333333333332"/>
    <d v="2014-04-07T00:00:00"/>
    <x v="6"/>
    <s v="MRCS"/>
    <s v="Kachin"/>
    <s v="Mansi"/>
    <s v="Maing Khaung"/>
    <m/>
    <m/>
    <m/>
    <m/>
    <m/>
    <m/>
    <m/>
    <m/>
    <m/>
    <m/>
    <m/>
    <m/>
    <m/>
    <n v="478"/>
    <m/>
    <m/>
    <m/>
    <n v="0"/>
    <n v="0"/>
    <n v="0"/>
    <n v="0"/>
    <n v="0"/>
    <n v="0"/>
    <n v="0"/>
    <n v="0"/>
    <n v="0"/>
    <n v="0"/>
    <n v="0"/>
    <n v="0"/>
    <n v="0"/>
    <n v="0"/>
    <x v="1"/>
    <n v="0"/>
    <s v="MMR001CMP218"/>
    <x v="2"/>
    <x v="1"/>
    <x v="2"/>
    <n v="0"/>
    <m/>
    <m/>
  </r>
  <r>
    <n v="33.133333333333333"/>
    <d v="2013-10-30T00:00:00"/>
    <x v="0"/>
    <s v="UNHCR"/>
    <s v="Kachin"/>
    <s v="Bhamo"/>
    <s v="AD-2000 Tharthana Compound"/>
    <m/>
    <m/>
    <n v="22"/>
    <n v="40"/>
    <n v="21"/>
    <n v="40"/>
    <n v="21"/>
    <n v="21"/>
    <n v="21"/>
    <n v="21"/>
    <m/>
    <m/>
    <m/>
    <m/>
    <m/>
    <m/>
    <m/>
    <n v="0"/>
    <n v="0"/>
    <n v="0"/>
    <n v="0"/>
    <n v="0"/>
    <n v="0"/>
    <n v="0"/>
    <n v="0"/>
    <n v="0"/>
    <n v="0"/>
    <n v="0"/>
    <n v="0"/>
    <n v="0"/>
    <n v="0"/>
    <x v="0"/>
    <n v="0"/>
    <s v="MMR001CMP050"/>
    <x v="2"/>
    <x v="1"/>
    <x v="2"/>
    <n v="7.6642335766423361E-2"/>
    <s v="No"/>
    <m/>
  </r>
  <r>
    <n v="33.133333333333333"/>
    <d v="2013-10-30T00:00:00"/>
    <x v="0"/>
    <s v="UNHCR"/>
    <s v="Kachin"/>
    <s v="Bhamo"/>
    <s v="Htoi San Church"/>
    <m/>
    <m/>
    <n v="72"/>
    <n v="61"/>
    <n v="36"/>
    <n v="61"/>
    <n v="36"/>
    <n v="36"/>
    <n v="36"/>
    <n v="36"/>
    <m/>
    <m/>
    <m/>
    <m/>
    <m/>
    <m/>
    <m/>
    <n v="0"/>
    <n v="0"/>
    <n v="0"/>
    <n v="0"/>
    <n v="0"/>
    <n v="0"/>
    <n v="0"/>
    <n v="0"/>
    <n v="0"/>
    <n v="0"/>
    <n v="0"/>
    <n v="0"/>
    <n v="0"/>
    <n v="0"/>
    <x v="0"/>
    <n v="0"/>
    <s v="MMR001CMP052"/>
    <x v="2"/>
    <x v="1"/>
    <x v="2"/>
    <n v="0.92307692307692313"/>
    <s v="No"/>
    <m/>
  </r>
  <r>
    <n v="33.133333333333333"/>
    <d v="2013-10-30T00:00:00"/>
    <x v="0"/>
    <s v="UNHCR"/>
    <s v="Kachin"/>
    <s v="Bhamo"/>
    <s v="Phan Khar Kone"/>
    <m/>
    <m/>
    <n v="81"/>
    <n v="94"/>
    <n v="50"/>
    <n v="94"/>
    <n v="50"/>
    <n v="50"/>
    <n v="50"/>
    <n v="50"/>
    <m/>
    <m/>
    <m/>
    <m/>
    <m/>
    <m/>
    <m/>
    <n v="0"/>
    <n v="0"/>
    <n v="0"/>
    <n v="0"/>
    <n v="0"/>
    <n v="0"/>
    <n v="0"/>
    <n v="0"/>
    <n v="0"/>
    <n v="0"/>
    <n v="0"/>
    <n v="0"/>
    <n v="0"/>
    <n v="0"/>
    <x v="0"/>
    <n v="0"/>
    <s v="MMR001CMP193"/>
    <x v="2"/>
    <x v="1"/>
    <x v="2"/>
    <n v="0.33333333333333331"/>
    <s v="No"/>
    <m/>
  </r>
  <r>
    <n v="34.266666666666666"/>
    <d v="2013-09-26T00:00:00"/>
    <x v="0"/>
    <s v="UNHCR"/>
    <s v="Kachin"/>
    <s v="Momauk"/>
    <s v="Hpun Lum Yang "/>
    <m/>
    <m/>
    <n v="882"/>
    <n v="882"/>
    <n v="441"/>
    <n v="882"/>
    <n v="441"/>
    <m/>
    <n v="441"/>
    <n v="882"/>
    <m/>
    <m/>
    <m/>
    <m/>
    <m/>
    <m/>
    <m/>
    <n v="0"/>
    <n v="0"/>
    <n v="0"/>
    <n v="0"/>
    <n v="0"/>
    <n v="0"/>
    <n v="0"/>
    <n v="0"/>
    <n v="0"/>
    <n v="0"/>
    <n v="0"/>
    <n v="0"/>
    <n v="0"/>
    <n v="0"/>
    <x v="0"/>
    <n v="0"/>
    <s v="MMR001CMP122"/>
    <x v="2"/>
    <x v="1"/>
    <x v="5"/>
    <n v="0.73013245033112584"/>
    <s v="No"/>
    <m/>
  </r>
  <r>
    <n v="34.266666666666666"/>
    <d v="2013-09-26T00:00:00"/>
    <x v="0"/>
    <s v="UNHCR"/>
    <s v="Kachin"/>
    <s v="Momauk"/>
    <s v="Je Yang Hka "/>
    <m/>
    <m/>
    <n v="1628"/>
    <n v="3256"/>
    <n v="1628"/>
    <n v="3256"/>
    <n v="1628"/>
    <m/>
    <n v="1628"/>
    <n v="3256"/>
    <m/>
    <m/>
    <m/>
    <m/>
    <m/>
    <m/>
    <m/>
    <n v="0"/>
    <n v="0"/>
    <n v="0"/>
    <n v="0"/>
    <n v="0"/>
    <n v="0"/>
    <n v="0"/>
    <n v="0"/>
    <n v="0"/>
    <n v="0"/>
    <n v="0"/>
    <n v="0"/>
    <n v="0"/>
    <n v="0"/>
    <x v="0"/>
    <n v="0"/>
    <s v="MMR001CMP121"/>
    <x v="2"/>
    <x v="1"/>
    <x v="5"/>
    <n v="0.98190591073582634"/>
    <s v="No"/>
    <m/>
  </r>
  <r>
    <n v="34.266666666666666"/>
    <d v="2013-09-26T00:00:00"/>
    <x v="0"/>
    <s v="UNHCR"/>
    <s v="Kachin"/>
    <s v="Waingmaw"/>
    <s v="Laiza Market 3 - Laiza Gat"/>
    <m/>
    <m/>
    <n v="437"/>
    <n v="874"/>
    <n v="437"/>
    <n v="874"/>
    <n v="437"/>
    <n v="54"/>
    <n v="383"/>
    <n v="766"/>
    <m/>
    <m/>
    <m/>
    <m/>
    <m/>
    <m/>
    <m/>
    <n v="0"/>
    <n v="0"/>
    <n v="0"/>
    <n v="0"/>
    <n v="0"/>
    <n v="0"/>
    <n v="0"/>
    <n v="0"/>
    <n v="0"/>
    <n v="0"/>
    <n v="0"/>
    <n v="0"/>
    <n v="0"/>
    <n v="0"/>
    <x v="0"/>
    <n v="0"/>
    <s v="MMR001CMP117"/>
    <x v="2"/>
    <x v="2"/>
    <x v="5"/>
    <s v=""/>
    <s v="No"/>
    <m/>
  </r>
  <r>
    <n v="34.533333333333331"/>
    <d v="2013-09-18T00:00:00"/>
    <x v="0"/>
    <s v="UNHCR"/>
    <s v="Kachin"/>
    <s v="Waingmaw"/>
    <s v="Woi Chyai "/>
    <m/>
    <m/>
    <n v="1520"/>
    <n v="1520"/>
    <n v="760"/>
    <n v="1520"/>
    <n v="760"/>
    <n v="760"/>
    <m/>
    <m/>
    <m/>
    <m/>
    <m/>
    <m/>
    <m/>
    <m/>
    <m/>
    <n v="0"/>
    <n v="0"/>
    <n v="0"/>
    <n v="0"/>
    <n v="0"/>
    <n v="0"/>
    <n v="0"/>
    <n v="0"/>
    <n v="0"/>
    <n v="0"/>
    <n v="0"/>
    <n v="0"/>
    <n v="0"/>
    <n v="0"/>
    <x v="0"/>
    <n v="0"/>
    <s v="MMR001CMP116"/>
    <x v="2"/>
    <x v="1"/>
    <x v="2"/>
    <n v="0.56088560885608851"/>
    <s v="No"/>
    <m/>
  </r>
  <r>
    <n v="34.733333333333334"/>
    <d v="2013-09-12T00:00:00"/>
    <x v="0"/>
    <s v="UNHCR"/>
    <s v="Kachin"/>
    <s v="Momauk"/>
    <s v="Nhkawng Pa "/>
    <m/>
    <m/>
    <n v="640"/>
    <n v="640"/>
    <n v="320"/>
    <n v="320"/>
    <n v="320"/>
    <n v="320"/>
    <n v="640"/>
    <n v="320"/>
    <m/>
    <m/>
    <m/>
    <m/>
    <m/>
    <m/>
    <m/>
    <n v="0"/>
    <n v="0"/>
    <n v="0"/>
    <n v="0"/>
    <n v="0"/>
    <n v="0"/>
    <n v="0"/>
    <n v="0"/>
    <n v="0"/>
    <n v="0"/>
    <n v="0"/>
    <n v="0"/>
    <n v="0"/>
    <n v="0"/>
    <x v="0"/>
    <n v="0"/>
    <s v="MMR001CMP131"/>
    <x v="2"/>
    <x v="1"/>
    <x v="3"/>
    <n v="0.85333333333333339"/>
    <s v="No"/>
    <m/>
  </r>
  <r>
    <n v="27.833333333333332"/>
    <d v="2014-04-07T00:00:00"/>
    <x v="6"/>
    <s v="MRCS"/>
    <s v="Kachin"/>
    <s v="Mansi"/>
    <s v="Maing Khaung Catholic Church"/>
    <m/>
    <m/>
    <m/>
    <m/>
    <m/>
    <m/>
    <m/>
    <m/>
    <m/>
    <m/>
    <m/>
    <m/>
    <m/>
    <n v="158"/>
    <m/>
    <m/>
    <m/>
    <n v="0"/>
    <n v="0"/>
    <n v="0"/>
    <n v="0"/>
    <n v="0"/>
    <n v="0"/>
    <n v="0"/>
    <n v="0"/>
    <n v="0"/>
    <n v="0"/>
    <n v="0"/>
    <n v="0"/>
    <n v="0"/>
    <n v="0"/>
    <x v="1"/>
    <n v="0"/>
    <s v="MMR001CMP223"/>
    <x v="2"/>
    <x v="1"/>
    <x v="2"/>
    <n v="0"/>
    <m/>
    <m/>
  </r>
  <r>
    <n v="35.733333333333334"/>
    <d v="2013-08-13T00:00:00"/>
    <x v="0"/>
    <s v="KMSS"/>
    <s v="Shan_North"/>
    <s v="Manton"/>
    <s v="Host Families"/>
    <m/>
    <m/>
    <n v="49"/>
    <n v="90"/>
    <n v="30"/>
    <n v="90"/>
    <n v="30"/>
    <n v="30"/>
    <n v="30"/>
    <n v="30"/>
    <m/>
    <m/>
    <m/>
    <m/>
    <m/>
    <m/>
    <m/>
    <n v="0"/>
    <n v="0"/>
    <n v="0"/>
    <n v="0"/>
    <n v="0"/>
    <n v="0"/>
    <n v="0"/>
    <n v="0"/>
    <n v="0"/>
    <n v="0"/>
    <n v="0"/>
    <n v="0"/>
    <n v="0"/>
    <n v="0"/>
    <x v="0"/>
    <n v="0"/>
    <s v="MMR001CMP163"/>
    <x v="2"/>
    <x v="1"/>
    <x v="2"/>
    <n v="0.14218009478672985"/>
    <s v="No"/>
    <m/>
  </r>
  <r>
    <n v="35.733333333333334"/>
    <d v="2013-08-13T00:00:00"/>
    <x v="0"/>
    <s v="KBC"/>
    <s v="Shan_North"/>
    <s v="Kutkai"/>
    <s v="Kone Khem Camp"/>
    <m/>
    <m/>
    <n v="70"/>
    <n v="120"/>
    <n v="48"/>
    <n v="120"/>
    <n v="48"/>
    <n v="48"/>
    <n v="48"/>
    <n v="48"/>
    <m/>
    <m/>
    <m/>
    <m/>
    <m/>
    <m/>
    <m/>
    <n v="0"/>
    <n v="0"/>
    <n v="0"/>
    <n v="0"/>
    <n v="0"/>
    <n v="0"/>
    <n v="0"/>
    <n v="0"/>
    <n v="0"/>
    <n v="0"/>
    <n v="0"/>
    <n v="0"/>
    <n v="0"/>
    <n v="0"/>
    <x v="0"/>
    <n v="0"/>
    <s v="MMR015CMP015"/>
    <x v="2"/>
    <x v="1"/>
    <x v="4"/>
    <n v="0.54545454545454541"/>
    <s v="No"/>
    <m/>
  </r>
  <r>
    <n v="26.4"/>
    <d v="2014-05-20T00:00:00"/>
    <x v="6"/>
    <s v="MRCS"/>
    <s v="Kachin"/>
    <s v="Myitkyina"/>
    <s v="Maliyang Baptist Church"/>
    <m/>
    <m/>
    <m/>
    <m/>
    <m/>
    <m/>
    <m/>
    <m/>
    <m/>
    <m/>
    <m/>
    <m/>
    <m/>
    <n v="142"/>
    <m/>
    <m/>
    <m/>
    <n v="0"/>
    <n v="0"/>
    <n v="0"/>
    <n v="0"/>
    <n v="0"/>
    <n v="0"/>
    <n v="0"/>
    <n v="0"/>
    <n v="0"/>
    <n v="0"/>
    <n v="0"/>
    <n v="0"/>
    <n v="0"/>
    <n v="0"/>
    <x v="1"/>
    <n v="0"/>
    <s v="MMR001CMP016"/>
    <x v="2"/>
    <x v="1"/>
    <x v="2"/>
    <n v="0"/>
    <m/>
    <m/>
  </r>
  <r>
    <n v="35.733333333333334"/>
    <d v="2013-08-13T00:00:00"/>
    <x v="0"/>
    <s v="KMSS"/>
    <s v="Shan_North"/>
    <s v="Kutkai"/>
    <s v="Kutkai downtown (RC Church)"/>
    <m/>
    <m/>
    <n v="47"/>
    <n v="103"/>
    <n v="41"/>
    <n v="103"/>
    <n v="41"/>
    <n v="41"/>
    <n v="41"/>
    <n v="41"/>
    <m/>
    <m/>
    <m/>
    <m/>
    <m/>
    <m/>
    <m/>
    <n v="0"/>
    <n v="0"/>
    <n v="0"/>
    <n v="0"/>
    <n v="0"/>
    <n v="0"/>
    <n v="0"/>
    <n v="0"/>
    <n v="0"/>
    <n v="0"/>
    <n v="0"/>
    <n v="0"/>
    <n v="0"/>
    <n v="0"/>
    <x v="0"/>
    <n v="0"/>
    <s v="MMR015CMP017"/>
    <x v="2"/>
    <x v="1"/>
    <x v="4"/>
    <n v="1.3666666666666667"/>
    <s v="No"/>
    <m/>
  </r>
  <r>
    <n v="35.733333333333334"/>
    <d v="2013-08-13T00:00:00"/>
    <x v="0"/>
    <s v="KBC"/>
    <s v="Shan_North"/>
    <s v="Manton"/>
    <s v="Mandung - Jinghpaw"/>
    <m/>
    <m/>
    <n v="36"/>
    <n v="84"/>
    <n v="42"/>
    <n v="84"/>
    <n v="42"/>
    <n v="42"/>
    <n v="42"/>
    <n v="42"/>
    <m/>
    <m/>
    <m/>
    <m/>
    <m/>
    <m/>
    <m/>
    <n v="0"/>
    <n v="0"/>
    <n v="0"/>
    <n v="0"/>
    <n v="0"/>
    <n v="0"/>
    <n v="0"/>
    <n v="0"/>
    <n v="0"/>
    <n v="0"/>
    <n v="0"/>
    <n v="0"/>
    <n v="0"/>
    <n v="0"/>
    <x v="0"/>
    <n v="0"/>
    <s v="MMR015CMP009"/>
    <x v="2"/>
    <x v="1"/>
    <x v="5"/>
    <n v="1.1351351351351351"/>
    <s v="No"/>
    <m/>
  </r>
  <r>
    <n v="35.733333333333334"/>
    <d v="2013-08-13T00:00:00"/>
    <x v="0"/>
    <s v="KBC"/>
    <s v="Shan_North"/>
    <s v="Kutkai"/>
    <s v="Mine Yu Lay village"/>
    <m/>
    <m/>
    <n v="113"/>
    <n v="160"/>
    <n v="32"/>
    <n v="160"/>
    <n v="32"/>
    <n v="32"/>
    <n v="32"/>
    <n v="32"/>
    <m/>
    <m/>
    <m/>
    <m/>
    <m/>
    <m/>
    <m/>
    <n v="0"/>
    <n v="0"/>
    <n v="0"/>
    <n v="0"/>
    <n v="0"/>
    <n v="0"/>
    <n v="0"/>
    <n v="0"/>
    <n v="0"/>
    <n v="0"/>
    <n v="0"/>
    <n v="0"/>
    <n v="0"/>
    <n v="0"/>
    <x v="0"/>
    <n v="0"/>
    <s v="MMR015CMP018"/>
    <x v="2"/>
    <x v="1"/>
    <x v="4"/>
    <n v="0.46376811594202899"/>
    <s v="No"/>
    <m/>
  </r>
  <r>
    <n v="35.733333333333334"/>
    <d v="2013-08-13T00:00:00"/>
    <x v="0"/>
    <s v="KMSS"/>
    <s v="Shan_North"/>
    <s v="Kutkai"/>
    <s v="Mungji Pa Dabang (Baptist Church)         "/>
    <m/>
    <m/>
    <n v="30"/>
    <n v="56"/>
    <n v="23"/>
    <n v="56"/>
    <n v="23"/>
    <n v="23"/>
    <n v="23"/>
    <n v="23"/>
    <m/>
    <m/>
    <m/>
    <m/>
    <m/>
    <m/>
    <m/>
    <n v="0"/>
    <n v="0"/>
    <n v="0"/>
    <n v="0"/>
    <n v="0"/>
    <n v="0"/>
    <n v="0"/>
    <n v="0"/>
    <n v="0"/>
    <n v="0"/>
    <n v="0"/>
    <n v="0"/>
    <n v="0"/>
    <n v="0"/>
    <x v="0"/>
    <n v="0"/>
    <s v="MMR015CMP006"/>
    <x v="2"/>
    <x v="1"/>
    <x v="3"/>
    <n v="0.37096774193548387"/>
    <s v="No"/>
    <m/>
  </r>
  <r>
    <n v="35.733333333333334"/>
    <d v="2013-08-13T00:00:00"/>
    <x v="0"/>
    <s v="KMSS"/>
    <s v="Shan_North"/>
    <s v="Kutkai"/>
    <s v="Mungji Pa Dabang (RC Church)         "/>
    <m/>
    <m/>
    <n v="70"/>
    <n v="130"/>
    <n v="52"/>
    <n v="130"/>
    <n v="52"/>
    <n v="52"/>
    <n v="52"/>
    <n v="52"/>
    <m/>
    <m/>
    <m/>
    <m/>
    <m/>
    <m/>
    <m/>
    <n v="0"/>
    <n v="0"/>
    <n v="0"/>
    <n v="0"/>
    <n v="0"/>
    <n v="0"/>
    <n v="0"/>
    <n v="0"/>
    <n v="0"/>
    <n v="0"/>
    <n v="0"/>
    <n v="0"/>
    <n v="0"/>
    <n v="0"/>
    <x v="0"/>
    <n v="0"/>
    <s v="MMR015CMP019"/>
    <x v="2"/>
    <x v="2"/>
    <x v="0"/>
    <s v=""/>
    <s v="No"/>
    <m/>
  </r>
  <r>
    <n v="35.733333333333334"/>
    <d v="2013-08-13T00:00:00"/>
    <x v="0"/>
    <s v="KBC"/>
    <s v="Shan_North"/>
    <s v="Hseni"/>
    <s v="Na Ti (Koe Kant Traditional school)"/>
    <m/>
    <m/>
    <n v="67"/>
    <n v="90"/>
    <n v="30"/>
    <n v="90"/>
    <n v="30"/>
    <n v="30"/>
    <n v="30"/>
    <n v="30"/>
    <m/>
    <m/>
    <m/>
    <m/>
    <m/>
    <m/>
    <m/>
    <n v="0"/>
    <n v="0"/>
    <n v="0"/>
    <n v="0"/>
    <n v="0"/>
    <n v="0"/>
    <n v="0"/>
    <n v="0"/>
    <n v="0"/>
    <n v="0"/>
    <n v="0"/>
    <n v="0"/>
    <n v="0"/>
    <n v="0"/>
    <x v="0"/>
    <n v="0"/>
    <s v=""/>
    <x v="0"/>
    <x v="0"/>
    <x v="0"/>
    <s v=""/>
    <s v="No"/>
    <m/>
  </r>
  <r>
    <n v="35.733333333333334"/>
    <d v="2013-08-13T00:00:00"/>
    <x v="0"/>
    <s v="KBC"/>
    <s v="Shan_North"/>
    <s v="Namhkan"/>
    <s v="Nam Hkam - Nay Win Ni (Palawng)"/>
    <m/>
    <m/>
    <n v="125"/>
    <n v="233"/>
    <n v="93"/>
    <n v="233"/>
    <n v="93"/>
    <n v="93"/>
    <n v="93"/>
    <n v="93"/>
    <m/>
    <m/>
    <m/>
    <m/>
    <m/>
    <m/>
    <m/>
    <n v="0"/>
    <n v="0"/>
    <n v="0"/>
    <n v="0"/>
    <n v="0"/>
    <n v="0"/>
    <n v="0"/>
    <n v="0"/>
    <n v="0"/>
    <n v="0"/>
    <n v="0"/>
    <n v="0"/>
    <n v="0"/>
    <n v="0"/>
    <x v="0"/>
    <n v="0"/>
    <s v="MMR015CMP004"/>
    <x v="2"/>
    <x v="1"/>
    <x v="4"/>
    <n v="1.3285714285714285"/>
    <s v="No"/>
    <m/>
  </r>
  <r>
    <n v="35.733333333333334"/>
    <d v="2013-08-13T00:00:00"/>
    <x v="0"/>
    <s v="KMSS"/>
    <s v="Shan_North"/>
    <s v="Namhkan"/>
    <s v="Nam Hkam (KBC Jaw Wang)"/>
    <m/>
    <m/>
    <n v="100"/>
    <n v="188"/>
    <n v="75"/>
    <n v="188"/>
    <n v="75"/>
    <n v="75"/>
    <n v="75"/>
    <n v="75"/>
    <m/>
    <m/>
    <m/>
    <m/>
    <m/>
    <m/>
    <m/>
    <n v="0"/>
    <n v="0"/>
    <n v="0"/>
    <n v="0"/>
    <n v="0"/>
    <n v="0"/>
    <n v="0"/>
    <n v="0"/>
    <n v="0"/>
    <n v="0"/>
    <n v="0"/>
    <n v="0"/>
    <n v="0"/>
    <n v="0"/>
    <x v="0"/>
    <n v="0"/>
    <s v="MMR015CMP001"/>
    <x v="2"/>
    <x v="1"/>
    <x v="4"/>
    <n v="1.1029411764705883"/>
    <s v="No"/>
    <m/>
  </r>
  <r>
    <n v="32.1"/>
    <d v="2013-11-30T00:00:00"/>
    <x v="5"/>
    <m/>
    <s v="Kachin"/>
    <s v="Momauk"/>
    <s v="Man Bung Catholic compound"/>
    <m/>
    <m/>
    <m/>
    <m/>
    <m/>
    <m/>
    <m/>
    <m/>
    <m/>
    <n v="141"/>
    <m/>
    <m/>
    <m/>
    <m/>
    <m/>
    <m/>
    <m/>
    <n v="0"/>
    <n v="0"/>
    <n v="0"/>
    <n v="0"/>
    <n v="0"/>
    <n v="0"/>
    <n v="0"/>
    <n v="0"/>
    <n v="0"/>
    <n v="0"/>
    <n v="0"/>
    <n v="0"/>
    <n v="0"/>
    <n v="0"/>
    <x v="0"/>
    <n v="0"/>
    <s v="MMR001CMP062"/>
    <x v="2"/>
    <x v="1"/>
    <x v="2"/>
    <n v="0"/>
    <s v="No"/>
    <m/>
  </r>
  <r>
    <n v="53.9"/>
    <d v="2012-02-15T00:00:00"/>
    <x v="5"/>
    <s v="Solidarities"/>
    <s v="Kachin"/>
    <s v="Momauk"/>
    <s v="Man Bung Catholic compound"/>
    <n v="8"/>
    <m/>
    <m/>
    <m/>
    <m/>
    <m/>
    <m/>
    <m/>
    <m/>
    <m/>
    <m/>
    <m/>
    <m/>
    <m/>
    <m/>
    <m/>
    <m/>
    <n v="0"/>
    <n v="0"/>
    <n v="0"/>
    <n v="0"/>
    <n v="0"/>
    <n v="0"/>
    <n v="0"/>
    <n v="0"/>
    <n v="0"/>
    <n v="0"/>
    <n v="0"/>
    <n v="0"/>
    <n v="0"/>
    <n v="0"/>
    <x v="0"/>
    <n v="0"/>
    <s v="MMR001CMP062"/>
    <x v="2"/>
    <x v="1"/>
    <x v="2"/>
    <n v="0"/>
    <m/>
    <m/>
  </r>
  <r>
    <n v="42.43333333333333"/>
    <d v="2013-01-24T00:00:00"/>
    <x v="5"/>
    <s v="Solidarities"/>
    <s v="Kachin"/>
    <s v="Momauk"/>
    <s v="Man Bung Catholic compound"/>
    <n v="200"/>
    <m/>
    <m/>
    <m/>
    <m/>
    <m/>
    <m/>
    <m/>
    <n v="0"/>
    <n v="0"/>
    <m/>
    <m/>
    <m/>
    <m/>
    <m/>
    <m/>
    <m/>
    <n v="0"/>
    <n v="0"/>
    <n v="0"/>
    <n v="0"/>
    <n v="0"/>
    <n v="0"/>
    <n v="0"/>
    <n v="0"/>
    <n v="0"/>
    <n v="0"/>
    <n v="0"/>
    <n v="0"/>
    <n v="0"/>
    <n v="0"/>
    <x v="0"/>
    <n v="0"/>
    <s v="MMR001CMP062"/>
    <x v="2"/>
    <x v="1"/>
    <x v="2"/>
    <n v="0"/>
    <s v="No"/>
    <m/>
  </r>
  <r>
    <n v="35.733333333333334"/>
    <d v="2013-08-13T00:00:00"/>
    <x v="0"/>
    <s v="KMSS"/>
    <s v="Shan_North"/>
    <s v="Namhkan"/>
    <s v="Nam Hkam Catholic Church ( St. Thomas I)"/>
    <m/>
    <m/>
    <n v="36"/>
    <n v="72"/>
    <n v="33"/>
    <n v="72"/>
    <n v="33"/>
    <n v="33"/>
    <n v="33"/>
    <n v="33"/>
    <m/>
    <m/>
    <m/>
    <m/>
    <m/>
    <m/>
    <m/>
    <n v="0"/>
    <n v="0"/>
    <n v="0"/>
    <n v="0"/>
    <n v="0"/>
    <n v="0"/>
    <n v="0"/>
    <n v="0"/>
    <n v="0"/>
    <n v="0"/>
    <n v="0"/>
    <n v="0"/>
    <n v="0"/>
    <n v="0"/>
    <x v="0"/>
    <n v="0"/>
    <s v="MMR015CMP003"/>
    <x v="2"/>
    <x v="1"/>
    <x v="4"/>
    <n v="0.75"/>
    <s v="No"/>
    <m/>
  </r>
  <r>
    <n v="26.666666666666668"/>
    <d v="2014-05-12T00:00:00"/>
    <x v="6"/>
    <s v="MRCS"/>
    <s v="Kachin"/>
    <s v="Myitkyina"/>
    <s v="Man Hkring Baptist Church"/>
    <m/>
    <m/>
    <m/>
    <m/>
    <m/>
    <m/>
    <m/>
    <m/>
    <m/>
    <m/>
    <m/>
    <m/>
    <m/>
    <n v="184"/>
    <m/>
    <m/>
    <m/>
    <n v="0"/>
    <n v="0"/>
    <n v="0"/>
    <n v="0"/>
    <n v="0"/>
    <n v="0"/>
    <n v="0"/>
    <n v="0"/>
    <n v="0"/>
    <n v="0"/>
    <n v="0"/>
    <n v="0"/>
    <n v="0"/>
    <n v="0"/>
    <x v="1"/>
    <n v="0"/>
    <s v="MMR001CMP008"/>
    <x v="2"/>
    <x v="1"/>
    <x v="2"/>
    <n v="0"/>
    <m/>
    <m/>
  </r>
  <r>
    <n v="35.733333333333334"/>
    <d v="2013-08-13T00:00:00"/>
    <x v="0"/>
    <s v="KMSS"/>
    <s v="Shan_North"/>
    <s v="Namhkan"/>
    <s v="Nam Hkam Catholic Church ( St. Thomas II)"/>
    <m/>
    <m/>
    <n v="40"/>
    <n v="83"/>
    <n v="33"/>
    <n v="83"/>
    <n v="33"/>
    <n v="33"/>
    <n v="33"/>
    <n v="33"/>
    <m/>
    <m/>
    <m/>
    <m/>
    <m/>
    <m/>
    <m/>
    <n v="0"/>
    <n v="0"/>
    <n v="0"/>
    <n v="0"/>
    <n v="0"/>
    <n v="0"/>
    <n v="0"/>
    <n v="0"/>
    <n v="0"/>
    <n v="0"/>
    <n v="0"/>
    <n v="0"/>
    <n v="0"/>
    <n v="0"/>
    <x v="0"/>
    <n v="0"/>
    <s v="MMR015CMP024"/>
    <x v="2"/>
    <x v="2"/>
    <x v="0"/>
    <s v=""/>
    <s v="No"/>
    <m/>
  </r>
  <r>
    <n v="35.733333333333334"/>
    <d v="2013-08-13T00:00:00"/>
    <x v="0"/>
    <s v="KMSS"/>
    <s v="Shan_North"/>
    <s v="Namtu"/>
    <s v="Nam Tu RC"/>
    <m/>
    <m/>
    <n v="130"/>
    <n v="288"/>
    <n v="115"/>
    <n v="288"/>
    <n v="115"/>
    <n v="115"/>
    <n v="115"/>
    <n v="115"/>
    <m/>
    <m/>
    <m/>
    <m/>
    <m/>
    <m/>
    <m/>
    <n v="0"/>
    <n v="0"/>
    <n v="0"/>
    <n v="0"/>
    <n v="0"/>
    <n v="0"/>
    <n v="0"/>
    <n v="0"/>
    <n v="0"/>
    <n v="0"/>
    <n v="0"/>
    <n v="0"/>
    <n v="0"/>
    <n v="0"/>
    <x v="0"/>
    <n v="0"/>
    <s v="MMR015CMP210"/>
    <x v="2"/>
    <x v="1"/>
    <x v="4"/>
    <n v="0.97457627118644063"/>
    <s v="No"/>
    <m/>
  </r>
  <r>
    <n v="35.733333333333334"/>
    <d v="2013-08-13T00:00:00"/>
    <x v="0"/>
    <s v="KBC"/>
    <s v="Shan_North"/>
    <s v="Hseni"/>
    <s v="Narte"/>
    <m/>
    <m/>
    <n v="27"/>
    <n v="43"/>
    <n v="17"/>
    <n v="43"/>
    <n v="17"/>
    <n v="17"/>
    <n v="17"/>
    <n v="17"/>
    <m/>
    <m/>
    <m/>
    <m/>
    <m/>
    <m/>
    <m/>
    <n v="0"/>
    <n v="0"/>
    <n v="0"/>
    <n v="0"/>
    <n v="0"/>
    <n v="0"/>
    <n v="0"/>
    <n v="0"/>
    <n v="0"/>
    <n v="0"/>
    <n v="0"/>
    <n v="0"/>
    <n v="0"/>
    <n v="0"/>
    <x v="0"/>
    <n v="0"/>
    <s v="MMR015CMP207"/>
    <x v="2"/>
    <x v="1"/>
    <x v="2"/>
    <n v="0.2537313432835821"/>
    <s v="No"/>
    <m/>
  </r>
  <r>
    <n v="35.93333333333333"/>
    <d v="2013-08-07T00:00:00"/>
    <x v="0"/>
    <s v="UNHCR"/>
    <s v="Kachin"/>
    <s v="Waingmaw"/>
    <s v="Mading Baptist Church"/>
    <m/>
    <m/>
    <n v="15"/>
    <n v="57"/>
    <n v="24"/>
    <n v="57"/>
    <n v="24"/>
    <n v="24"/>
    <n v="24"/>
    <n v="24"/>
    <m/>
    <m/>
    <m/>
    <m/>
    <m/>
    <m/>
    <m/>
    <n v="0"/>
    <n v="0"/>
    <n v="0"/>
    <n v="0"/>
    <n v="0"/>
    <n v="0"/>
    <n v="0"/>
    <n v="0"/>
    <n v="0"/>
    <n v="0"/>
    <n v="0"/>
    <n v="0"/>
    <n v="0"/>
    <n v="0"/>
    <x v="0"/>
    <n v="0"/>
    <s v="MMR001CMP027"/>
    <x v="2"/>
    <x v="1"/>
    <x v="2"/>
    <n v="1.0909090909090908"/>
    <s v="No"/>
    <m/>
  </r>
  <r>
    <n v="32.1"/>
    <d v="2013-11-30T00:00:00"/>
    <x v="4"/>
    <s v="MDCG"/>
    <s v="Kachin"/>
    <s v="Mansi"/>
    <s v="Man Wing Baptist Church"/>
    <m/>
    <m/>
    <m/>
    <m/>
    <m/>
    <n v="347"/>
    <m/>
    <m/>
    <m/>
    <m/>
    <n v="386"/>
    <n v="234"/>
    <n v="0"/>
    <m/>
    <m/>
    <m/>
    <m/>
    <n v="0"/>
    <n v="0"/>
    <n v="0"/>
    <n v="0"/>
    <n v="0"/>
    <n v="0"/>
    <n v="0"/>
    <n v="0"/>
    <n v="0"/>
    <n v="0"/>
    <n v="0"/>
    <n v="0"/>
    <n v="0"/>
    <n v="0"/>
    <x v="1"/>
    <n v="0"/>
    <s v="MMR001CMP133"/>
    <x v="2"/>
    <x v="1"/>
    <x v="2"/>
    <n v="0"/>
    <s v="No"/>
    <m/>
  </r>
  <r>
    <n v="32.1"/>
    <d v="2013-11-30T00:00:00"/>
    <x v="5"/>
    <m/>
    <s v="Kachin"/>
    <s v="Mansi"/>
    <s v="Man Wing Baptist Church"/>
    <m/>
    <m/>
    <m/>
    <m/>
    <m/>
    <m/>
    <m/>
    <m/>
    <m/>
    <n v="444"/>
    <m/>
    <m/>
    <m/>
    <m/>
    <m/>
    <m/>
    <m/>
    <n v="0"/>
    <n v="0"/>
    <n v="0"/>
    <n v="0"/>
    <n v="0"/>
    <n v="0"/>
    <n v="0"/>
    <n v="0"/>
    <n v="0"/>
    <n v="0"/>
    <n v="0"/>
    <n v="0"/>
    <n v="0"/>
    <n v="0"/>
    <x v="0"/>
    <n v="0"/>
    <s v="MMR001CMP133"/>
    <x v="2"/>
    <x v="1"/>
    <x v="2"/>
    <n v="0"/>
    <s v="No"/>
    <m/>
  </r>
  <r>
    <n v="32.266666666666666"/>
    <d v="2013-11-25T00:00:00"/>
    <x v="5"/>
    <s v="Solidarities"/>
    <s v="Kachin"/>
    <s v="Mansi"/>
    <s v="Man Wing Baptist Church"/>
    <m/>
    <m/>
    <m/>
    <m/>
    <m/>
    <m/>
    <m/>
    <m/>
    <m/>
    <m/>
    <m/>
    <m/>
    <m/>
    <m/>
    <m/>
    <m/>
    <m/>
    <n v="0"/>
    <n v="0"/>
    <n v="0"/>
    <n v="0"/>
    <n v="0"/>
    <n v="0"/>
    <n v="0"/>
    <n v="0"/>
    <n v="0"/>
    <n v="0"/>
    <n v="0"/>
    <n v="0"/>
    <n v="0"/>
    <n v="0"/>
    <x v="0"/>
    <n v="0"/>
    <s v="MMR001CMP133"/>
    <x v="2"/>
    <x v="1"/>
    <x v="2"/>
    <n v="0"/>
    <m/>
    <m/>
  </r>
  <r>
    <n v="32.266666666666666"/>
    <d v="2013-11-25T00:00:00"/>
    <x v="5"/>
    <s v="Solidarities"/>
    <s v="Kachin"/>
    <s v="Mansi"/>
    <s v="Man Wing Baptist Church"/>
    <m/>
    <m/>
    <m/>
    <m/>
    <m/>
    <m/>
    <m/>
    <m/>
    <m/>
    <m/>
    <n v="19"/>
    <n v="38"/>
    <n v="114"/>
    <n v="57"/>
    <m/>
    <m/>
    <m/>
    <n v="0"/>
    <n v="0"/>
    <n v="0"/>
    <n v="0"/>
    <n v="0"/>
    <n v="0"/>
    <n v="0"/>
    <n v="0"/>
    <n v="0"/>
    <n v="0"/>
    <n v="0"/>
    <n v="0"/>
    <n v="0"/>
    <n v="0"/>
    <x v="1"/>
    <n v="0"/>
    <s v="MMR001CMP133"/>
    <x v="2"/>
    <x v="1"/>
    <x v="2"/>
    <n v="0"/>
    <m/>
    <m/>
  </r>
  <r>
    <n v="32.633333333333333"/>
    <d v="2013-11-14T00:00:00"/>
    <x v="3"/>
    <m/>
    <s v="Kachin"/>
    <s v="Mansi"/>
    <s v="Man Wing Baptist Church"/>
    <m/>
    <m/>
    <m/>
    <m/>
    <m/>
    <m/>
    <m/>
    <m/>
    <m/>
    <m/>
    <m/>
    <n v="32"/>
    <m/>
    <m/>
    <m/>
    <m/>
    <m/>
    <n v="0"/>
    <n v="0"/>
    <n v="0"/>
    <n v="0"/>
    <n v="0"/>
    <n v="0"/>
    <n v="0"/>
    <n v="0"/>
    <n v="0"/>
    <n v="0"/>
    <n v="0"/>
    <n v="0"/>
    <n v="0"/>
    <n v="0"/>
    <x v="1"/>
    <n v="0"/>
    <s v="MMR001CMP133"/>
    <x v="2"/>
    <x v="1"/>
    <x v="2"/>
    <n v="0"/>
    <s v="No"/>
    <m/>
  </r>
  <r>
    <n v="32.666666666666664"/>
    <d v="2013-11-13T00:00:00"/>
    <x v="5"/>
    <s v="Solidarities"/>
    <s v="Kachin"/>
    <s v="Mansi"/>
    <s v="Man Wing Baptist Church"/>
    <m/>
    <m/>
    <m/>
    <m/>
    <m/>
    <m/>
    <m/>
    <m/>
    <m/>
    <m/>
    <m/>
    <n v="160"/>
    <n v="320"/>
    <n v="160"/>
    <m/>
    <m/>
    <m/>
    <n v="0"/>
    <n v="0"/>
    <n v="0"/>
    <n v="0"/>
    <n v="0"/>
    <n v="0"/>
    <n v="0"/>
    <n v="0"/>
    <n v="0"/>
    <n v="0"/>
    <n v="0"/>
    <n v="0"/>
    <n v="0"/>
    <n v="0"/>
    <x v="1"/>
    <n v="0"/>
    <s v="MMR001CMP133"/>
    <x v="2"/>
    <x v="1"/>
    <x v="2"/>
    <n v="0"/>
    <m/>
    <m/>
  </r>
  <r>
    <n v="41.3"/>
    <d v="2013-02-27T00:00:00"/>
    <x v="5"/>
    <s v="Solidarities"/>
    <s v="Kachin"/>
    <s v="Mansi"/>
    <s v="Man Wing Baptist Church"/>
    <n v="595"/>
    <m/>
    <m/>
    <m/>
    <m/>
    <m/>
    <m/>
    <m/>
    <n v="0"/>
    <n v="0"/>
    <m/>
    <m/>
    <m/>
    <m/>
    <m/>
    <m/>
    <m/>
    <n v="0"/>
    <n v="0"/>
    <n v="0"/>
    <n v="0"/>
    <n v="0"/>
    <n v="0"/>
    <n v="0"/>
    <n v="0"/>
    <n v="0"/>
    <n v="0"/>
    <n v="0"/>
    <n v="0"/>
    <n v="0"/>
    <n v="0"/>
    <x v="0"/>
    <n v="0"/>
    <s v="MMR001CMP133"/>
    <x v="2"/>
    <x v="1"/>
    <x v="2"/>
    <n v="0"/>
    <s v="No"/>
    <m/>
  </r>
  <r>
    <n v="35.93333333333333"/>
    <d v="2013-08-07T00:00:00"/>
    <x v="0"/>
    <s v="UNHCR"/>
    <s v="Kachin"/>
    <s v="Waingmaw"/>
    <s v="Maina AG Church"/>
    <m/>
    <m/>
    <n v="20"/>
    <n v="40"/>
    <n v="17"/>
    <n v="40"/>
    <n v="17"/>
    <n v="17"/>
    <n v="17"/>
    <n v="17"/>
    <m/>
    <m/>
    <m/>
    <m/>
    <m/>
    <m/>
    <m/>
    <n v="0"/>
    <n v="0"/>
    <n v="0"/>
    <n v="0"/>
    <n v="0"/>
    <n v="0"/>
    <n v="0"/>
    <n v="0"/>
    <n v="0"/>
    <n v="0"/>
    <n v="0"/>
    <n v="0"/>
    <n v="0"/>
    <n v="0"/>
    <x v="0"/>
    <n v="0"/>
    <s v="MMR001CMP031"/>
    <x v="2"/>
    <x v="1"/>
    <x v="2"/>
    <n v="0.11888111888111888"/>
    <s v="No"/>
    <m/>
  </r>
  <r>
    <n v="35.93333333333333"/>
    <d v="2013-08-07T00:00:00"/>
    <x v="0"/>
    <s v="UNHCR"/>
    <s v="Kachin"/>
    <s v="Myitkyina"/>
    <s v="Maliyang Baptist Church"/>
    <m/>
    <m/>
    <n v="15"/>
    <n v="25"/>
    <n v="11"/>
    <n v="25"/>
    <n v="11"/>
    <n v="11"/>
    <n v="11"/>
    <n v="11"/>
    <m/>
    <m/>
    <m/>
    <m/>
    <m/>
    <m/>
    <m/>
    <n v="0"/>
    <n v="0"/>
    <n v="0"/>
    <n v="0"/>
    <n v="0"/>
    <n v="0"/>
    <n v="0"/>
    <n v="0"/>
    <n v="0"/>
    <n v="0"/>
    <n v="0"/>
    <n v="0"/>
    <n v="0"/>
    <n v="0"/>
    <x v="0"/>
    <n v="0"/>
    <s v="MMR001CMP016"/>
    <x v="2"/>
    <x v="1"/>
    <x v="2"/>
    <n v="0.18333333333333332"/>
    <s v="No"/>
    <m/>
  </r>
  <r>
    <n v="36.4"/>
    <d v="2013-07-24T00:00:00"/>
    <x v="0"/>
    <s v="KBC"/>
    <s v="Kachin"/>
    <s v="Myitkyina"/>
    <s v="Le Kone Bethlehem Church"/>
    <m/>
    <m/>
    <n v="66"/>
    <n v="98"/>
    <n v="45"/>
    <n v="98"/>
    <n v="45"/>
    <n v="45"/>
    <n v="45"/>
    <n v="45"/>
    <m/>
    <m/>
    <m/>
    <m/>
    <m/>
    <m/>
    <m/>
    <n v="0"/>
    <n v="0"/>
    <n v="0"/>
    <n v="0"/>
    <n v="0"/>
    <n v="0"/>
    <n v="0"/>
    <n v="0"/>
    <n v="0"/>
    <n v="0"/>
    <n v="0"/>
    <n v="0"/>
    <n v="0"/>
    <n v="0"/>
    <x v="0"/>
    <n v="0"/>
    <s v="MMR001CMP015"/>
    <x v="2"/>
    <x v="1"/>
    <x v="2"/>
    <n v="0.46875"/>
    <s v="No"/>
    <m/>
  </r>
  <r>
    <n v="31.766666666666666"/>
    <d v="2013-12-10T00:00:00"/>
    <x v="3"/>
    <m/>
    <s v="Kachin"/>
    <s v="Mansi"/>
    <s v="Man Wing Catholic Church"/>
    <m/>
    <m/>
    <m/>
    <m/>
    <m/>
    <m/>
    <m/>
    <m/>
    <m/>
    <m/>
    <m/>
    <n v="256"/>
    <m/>
    <m/>
    <m/>
    <m/>
    <m/>
    <n v="0"/>
    <n v="0"/>
    <n v="0"/>
    <n v="0"/>
    <n v="0"/>
    <n v="0"/>
    <n v="0"/>
    <n v="0"/>
    <n v="0"/>
    <n v="0"/>
    <n v="0"/>
    <n v="0"/>
    <n v="0"/>
    <n v="0"/>
    <x v="1"/>
    <n v="0"/>
    <s v="MMR001CMP132"/>
    <x v="2"/>
    <x v="1"/>
    <x v="2"/>
    <n v="0"/>
    <s v="No"/>
    <m/>
  </r>
  <r>
    <n v="32.1"/>
    <d v="2013-11-30T00:00:00"/>
    <x v="4"/>
    <s v="MDCG"/>
    <s v="Kachin"/>
    <s v="Mansi"/>
    <s v="Man Wing Catholic Church"/>
    <m/>
    <m/>
    <m/>
    <m/>
    <m/>
    <n v="770"/>
    <m/>
    <m/>
    <m/>
    <m/>
    <n v="889"/>
    <n v="492"/>
    <n v="0"/>
    <m/>
    <m/>
    <m/>
    <m/>
    <n v="0"/>
    <n v="0"/>
    <n v="0"/>
    <n v="0"/>
    <n v="0"/>
    <n v="0"/>
    <n v="0"/>
    <n v="0"/>
    <n v="0"/>
    <n v="0"/>
    <n v="0"/>
    <n v="0"/>
    <n v="0"/>
    <n v="0"/>
    <x v="1"/>
    <n v="0"/>
    <s v="MMR001CMP132"/>
    <x v="2"/>
    <x v="1"/>
    <x v="2"/>
    <n v="0"/>
    <s v="No"/>
    <m/>
  </r>
  <r>
    <n v="32.1"/>
    <d v="2013-11-30T00:00:00"/>
    <x v="5"/>
    <m/>
    <s v="Kachin"/>
    <s v="Mansi"/>
    <s v="Man Wing Catholic Church"/>
    <m/>
    <m/>
    <m/>
    <m/>
    <m/>
    <m/>
    <m/>
    <m/>
    <m/>
    <n v="1080"/>
    <m/>
    <m/>
    <m/>
    <m/>
    <m/>
    <m/>
    <m/>
    <n v="0"/>
    <n v="0"/>
    <n v="0"/>
    <n v="0"/>
    <n v="0"/>
    <n v="0"/>
    <n v="0"/>
    <n v="0"/>
    <n v="0"/>
    <n v="0"/>
    <n v="0"/>
    <n v="0"/>
    <n v="0"/>
    <n v="0"/>
    <x v="0"/>
    <n v="0"/>
    <s v="MMR001CMP132"/>
    <x v="2"/>
    <x v="1"/>
    <x v="2"/>
    <n v="0"/>
    <s v="No"/>
    <m/>
  </r>
  <r>
    <n v="32.266666666666666"/>
    <d v="2013-11-25T00:00:00"/>
    <x v="5"/>
    <s v="Solidarities"/>
    <s v="Kachin"/>
    <s v="Mansi"/>
    <s v="Man Wing Catholic Church"/>
    <m/>
    <m/>
    <m/>
    <m/>
    <m/>
    <m/>
    <m/>
    <m/>
    <m/>
    <m/>
    <n v="60"/>
    <n v="120"/>
    <n v="360"/>
    <n v="180"/>
    <m/>
    <m/>
    <m/>
    <n v="0"/>
    <n v="0"/>
    <n v="0"/>
    <n v="0"/>
    <n v="0"/>
    <n v="0"/>
    <n v="0"/>
    <n v="0"/>
    <n v="0"/>
    <n v="0"/>
    <n v="0"/>
    <n v="0"/>
    <n v="0"/>
    <n v="0"/>
    <x v="1"/>
    <n v="0"/>
    <s v="MMR001CMP132"/>
    <x v="2"/>
    <x v="1"/>
    <x v="2"/>
    <n v="0"/>
    <m/>
    <m/>
  </r>
  <r>
    <n v="36.4"/>
    <d v="2013-07-24T00:00:00"/>
    <x v="0"/>
    <s v="KBC"/>
    <s v="Kachin"/>
    <s v="Myitkyina"/>
    <s v="Le Kone Ziun Baptist Church "/>
    <m/>
    <m/>
    <n v="100"/>
    <n v="158"/>
    <n v="65"/>
    <n v="158"/>
    <n v="65"/>
    <n v="65"/>
    <n v="65"/>
    <n v="65"/>
    <m/>
    <m/>
    <m/>
    <m/>
    <m/>
    <m/>
    <m/>
    <n v="0"/>
    <n v="0"/>
    <n v="0"/>
    <n v="0"/>
    <n v="0"/>
    <n v="0"/>
    <n v="0"/>
    <n v="0"/>
    <n v="0"/>
    <n v="0"/>
    <n v="0"/>
    <n v="0"/>
    <n v="0"/>
    <n v="0"/>
    <x v="0"/>
    <n v="0"/>
    <s v="MMR001CMP014"/>
    <x v="2"/>
    <x v="1"/>
    <x v="2"/>
    <n v="0.47101449275362317"/>
    <s v="No"/>
    <m/>
  </r>
  <r>
    <n v="32.633333333333333"/>
    <d v="2013-11-14T00:00:00"/>
    <x v="5"/>
    <s v="Solidarities"/>
    <s v="Kachin"/>
    <s v="Mansi"/>
    <s v="Man Wing Catholic Church"/>
    <m/>
    <m/>
    <m/>
    <m/>
    <m/>
    <m/>
    <m/>
    <m/>
    <m/>
    <m/>
    <m/>
    <n v="176"/>
    <n v="352"/>
    <n v="176"/>
    <m/>
    <m/>
    <m/>
    <n v="0"/>
    <n v="0"/>
    <n v="0"/>
    <n v="0"/>
    <n v="0"/>
    <n v="0"/>
    <n v="0"/>
    <n v="0"/>
    <n v="0"/>
    <n v="0"/>
    <n v="0"/>
    <n v="0"/>
    <n v="0"/>
    <n v="0"/>
    <x v="1"/>
    <n v="0"/>
    <s v="MMR001CMP132"/>
    <x v="2"/>
    <x v="1"/>
    <x v="2"/>
    <n v="0"/>
    <m/>
    <m/>
  </r>
  <r>
    <n v="41.2"/>
    <d v="2013-03-02T00:00:00"/>
    <x v="5"/>
    <s v="Solidarities"/>
    <s v="Kachin"/>
    <s v="Mansi"/>
    <s v="Man Wing Catholic Church"/>
    <n v="1542"/>
    <m/>
    <m/>
    <m/>
    <m/>
    <m/>
    <m/>
    <m/>
    <n v="0"/>
    <n v="0"/>
    <m/>
    <m/>
    <m/>
    <m/>
    <m/>
    <m/>
    <m/>
    <n v="0"/>
    <n v="0"/>
    <n v="0"/>
    <n v="0"/>
    <n v="0"/>
    <n v="0"/>
    <n v="0"/>
    <n v="0"/>
    <n v="0"/>
    <n v="0"/>
    <n v="0"/>
    <n v="0"/>
    <n v="0"/>
    <n v="0"/>
    <x v="0"/>
    <n v="0"/>
    <s v="MMR001CMP132"/>
    <x v="2"/>
    <x v="1"/>
    <x v="2"/>
    <n v="0"/>
    <s v="No"/>
    <m/>
  </r>
  <r>
    <n v="36.4"/>
    <d v="2013-07-24T00:00:00"/>
    <x v="0"/>
    <s v="Shalom"/>
    <s v="Kachin"/>
    <s v="Waingmaw"/>
    <s v="Maina AG Church"/>
    <m/>
    <m/>
    <n v="10"/>
    <n v="14"/>
    <n v="7"/>
    <n v="14"/>
    <n v="7"/>
    <n v="7"/>
    <n v="7"/>
    <n v="7"/>
    <m/>
    <m/>
    <m/>
    <m/>
    <m/>
    <m/>
    <m/>
    <n v="0"/>
    <n v="0"/>
    <n v="0"/>
    <n v="0"/>
    <n v="0"/>
    <n v="0"/>
    <n v="0"/>
    <n v="0"/>
    <n v="0"/>
    <n v="0"/>
    <n v="0"/>
    <n v="0"/>
    <n v="0"/>
    <n v="0"/>
    <x v="0"/>
    <n v="0"/>
    <s v="MMR001CMP031"/>
    <x v="2"/>
    <x v="1"/>
    <x v="2"/>
    <n v="4.8951048951048952E-2"/>
    <s v="No"/>
    <m/>
  </r>
  <r>
    <n v="27.8"/>
    <d v="2014-04-08T00:00:00"/>
    <x v="6"/>
    <s v="MRCS"/>
    <s v="Kachin"/>
    <s v="Momauk"/>
    <s v="Mandalay Monestry"/>
    <m/>
    <m/>
    <m/>
    <m/>
    <m/>
    <m/>
    <m/>
    <m/>
    <m/>
    <m/>
    <m/>
    <m/>
    <m/>
    <n v="10"/>
    <m/>
    <m/>
    <m/>
    <n v="0"/>
    <n v="0"/>
    <n v="0"/>
    <n v="0"/>
    <n v="0"/>
    <n v="0"/>
    <n v="0"/>
    <n v="0"/>
    <n v="0"/>
    <n v="0"/>
    <n v="0"/>
    <n v="0"/>
    <n v="0"/>
    <n v="0"/>
    <x v="1"/>
    <n v="0"/>
    <s v="MMR001CMP058"/>
    <x v="2"/>
    <x v="2"/>
    <x v="2"/>
    <s v=""/>
    <m/>
    <m/>
  </r>
  <r>
    <n v="36.4"/>
    <d v="2013-07-24T00:00:00"/>
    <x v="0"/>
    <s v="KMSS"/>
    <s v="Kachin"/>
    <s v="Waingmaw"/>
    <s v="Maina Catholic Church (St. Joseph)"/>
    <m/>
    <m/>
    <n v="40"/>
    <n v="49"/>
    <n v="23"/>
    <n v="49"/>
    <n v="23"/>
    <n v="23"/>
    <n v="23"/>
    <n v="23"/>
    <m/>
    <m/>
    <m/>
    <m/>
    <m/>
    <m/>
    <m/>
    <n v="0"/>
    <n v="0"/>
    <n v="0"/>
    <n v="0"/>
    <n v="0"/>
    <n v="0"/>
    <n v="0"/>
    <n v="0"/>
    <n v="0"/>
    <n v="0"/>
    <n v="0"/>
    <n v="0"/>
    <n v="0"/>
    <n v="0"/>
    <x v="0"/>
    <n v="0"/>
    <s v="MMR001CMP029"/>
    <x v="2"/>
    <x v="1"/>
    <x v="2"/>
    <n v="0.1036036036036036"/>
    <s v="No"/>
    <m/>
  </r>
  <r>
    <n v="36.4"/>
    <d v="2013-07-24T00:00:00"/>
    <x v="0"/>
    <s v="KMSS"/>
    <s v="Kachin"/>
    <s v="Myitkyina"/>
    <s v="Nan Kway St. John Catholic Church"/>
    <m/>
    <m/>
    <n v="21"/>
    <n v="30"/>
    <n v="15"/>
    <n v="30"/>
    <n v="15"/>
    <n v="15"/>
    <n v="15"/>
    <n v="15"/>
    <m/>
    <m/>
    <m/>
    <m/>
    <m/>
    <m/>
    <m/>
    <n v="0"/>
    <n v="0"/>
    <n v="0"/>
    <n v="0"/>
    <n v="0"/>
    <n v="0"/>
    <n v="0"/>
    <n v="0"/>
    <n v="0"/>
    <n v="0"/>
    <n v="0"/>
    <n v="0"/>
    <n v="0"/>
    <n v="0"/>
    <x v="0"/>
    <n v="0"/>
    <s v="MMR001CMP024"/>
    <x v="2"/>
    <x v="1"/>
    <x v="2"/>
    <n v="0.22058823529411764"/>
    <s v="No"/>
    <m/>
  </r>
  <r>
    <n v="29.2"/>
    <d v="2014-02-25T00:00:00"/>
    <x v="6"/>
    <s v="MRCS"/>
    <s v="Kachin"/>
    <s v="Mogaung"/>
    <s v="Mang Hawng Baptist Church"/>
    <m/>
    <m/>
    <m/>
    <m/>
    <m/>
    <m/>
    <m/>
    <m/>
    <m/>
    <m/>
    <m/>
    <m/>
    <m/>
    <n v="26"/>
    <m/>
    <m/>
    <m/>
    <n v="0"/>
    <n v="0"/>
    <n v="0"/>
    <n v="0"/>
    <n v="0"/>
    <n v="0"/>
    <n v="0"/>
    <n v="0"/>
    <n v="0"/>
    <n v="0"/>
    <n v="0"/>
    <n v="0"/>
    <n v="0"/>
    <n v="0"/>
    <x v="1"/>
    <n v="0"/>
    <s v="MMR001CMP077"/>
    <x v="2"/>
    <x v="1"/>
    <x v="2"/>
    <n v="0"/>
    <m/>
    <m/>
  </r>
  <r>
    <n v="31.033333333333335"/>
    <d v="2014-01-01T00:00:00"/>
    <x v="11"/>
    <s v="MRCS"/>
    <s v="Kachin"/>
    <s v="Mogaung"/>
    <s v="Mang Hawng Baptist Church"/>
    <m/>
    <m/>
    <m/>
    <m/>
    <m/>
    <m/>
    <n v="14"/>
    <m/>
    <m/>
    <m/>
    <m/>
    <m/>
    <m/>
    <m/>
    <m/>
    <m/>
    <m/>
    <n v="0"/>
    <n v="0"/>
    <n v="0"/>
    <n v="0"/>
    <n v="0"/>
    <n v="0"/>
    <n v="0"/>
    <n v="0"/>
    <n v="0"/>
    <n v="0"/>
    <n v="0"/>
    <n v="0"/>
    <n v="0"/>
    <n v="0"/>
    <x v="0"/>
    <n v="0"/>
    <s v="MMR001CMP077"/>
    <x v="2"/>
    <x v="1"/>
    <x v="2"/>
    <n v="0.875"/>
    <s v="No"/>
    <m/>
  </r>
  <r>
    <n v="36.4"/>
    <d v="2013-07-24T00:00:00"/>
    <x v="0"/>
    <s v="KMSS"/>
    <s v="Kachin"/>
    <s v="Hpakant"/>
    <s v="Nant Ma Hpit Catholic Church"/>
    <m/>
    <m/>
    <n v="15"/>
    <n v="25"/>
    <n v="10"/>
    <n v="25"/>
    <n v="10"/>
    <n v="10"/>
    <n v="10"/>
    <n v="10"/>
    <m/>
    <m/>
    <m/>
    <m/>
    <m/>
    <m/>
    <m/>
    <n v="0"/>
    <n v="0"/>
    <n v="0"/>
    <n v="0"/>
    <n v="0"/>
    <n v="0"/>
    <n v="0"/>
    <n v="0"/>
    <n v="0"/>
    <n v="0"/>
    <n v="0"/>
    <n v="0"/>
    <n v="0"/>
    <n v="0"/>
    <x v="0"/>
    <n v="0"/>
    <s v="MMR001CMP103"/>
    <x v="2"/>
    <x v="1"/>
    <x v="2"/>
    <n v="0.19230769230769232"/>
    <s v="No"/>
    <m/>
  </r>
  <r>
    <n v="36.4"/>
    <d v="2013-07-24T00:00:00"/>
    <x v="0"/>
    <s v="KMSS"/>
    <s v="Kachin"/>
    <s v="Myitkyina"/>
    <s v="Pa Dauk Myaing(Pa La Na)"/>
    <m/>
    <m/>
    <n v="31"/>
    <n v="41"/>
    <n v="17"/>
    <n v="41"/>
    <n v="17"/>
    <n v="17"/>
    <n v="17"/>
    <n v="17"/>
    <m/>
    <m/>
    <m/>
    <m/>
    <m/>
    <m/>
    <m/>
    <n v="0"/>
    <n v="0"/>
    <n v="0"/>
    <n v="0"/>
    <n v="0"/>
    <n v="0"/>
    <n v="0"/>
    <n v="0"/>
    <n v="0"/>
    <n v="0"/>
    <n v="0"/>
    <n v="0"/>
    <n v="0"/>
    <n v="0"/>
    <x v="0"/>
    <n v="0"/>
    <s v="MMR001CMP162"/>
    <x v="2"/>
    <x v="1"/>
    <x v="2"/>
    <n v="0.38636363636363635"/>
    <s v="No"/>
    <m/>
  </r>
  <r>
    <n v="36.4"/>
    <d v="2013-07-24T00:00:00"/>
    <x v="0"/>
    <s v="KBC"/>
    <s v="Kachin"/>
    <s v="Waingmaw"/>
    <s v="Qtr. 2 Myoma Baptist Church"/>
    <m/>
    <m/>
    <n v="31"/>
    <n v="44"/>
    <n v="18"/>
    <n v="44"/>
    <n v="18"/>
    <n v="18"/>
    <n v="18"/>
    <n v="18"/>
    <m/>
    <m/>
    <m/>
    <m/>
    <m/>
    <m/>
    <m/>
    <n v="0"/>
    <n v="0"/>
    <n v="0"/>
    <n v="0"/>
    <n v="0"/>
    <n v="0"/>
    <n v="0"/>
    <n v="0"/>
    <n v="0"/>
    <n v="0"/>
    <n v="0"/>
    <n v="0"/>
    <n v="0"/>
    <n v="0"/>
    <x v="0"/>
    <n v="0"/>
    <s v="MMR001CMP025"/>
    <x v="2"/>
    <x v="1"/>
    <x v="2"/>
    <n v="0.27692307692307694"/>
    <s v="No"/>
    <m/>
  </r>
  <r>
    <n v="27.833333333333332"/>
    <d v="2014-04-07T00:00:00"/>
    <x v="6"/>
    <s v="MRCS"/>
    <s v="Kachin"/>
    <s v="Mansi"/>
    <s v="Mansi Baptist Church"/>
    <m/>
    <m/>
    <m/>
    <m/>
    <m/>
    <m/>
    <m/>
    <m/>
    <m/>
    <m/>
    <m/>
    <m/>
    <m/>
    <n v="262"/>
    <m/>
    <m/>
    <m/>
    <n v="0"/>
    <n v="0"/>
    <n v="0"/>
    <n v="0"/>
    <n v="0"/>
    <n v="0"/>
    <n v="0"/>
    <n v="0"/>
    <n v="0"/>
    <n v="0"/>
    <n v="0"/>
    <n v="0"/>
    <n v="0"/>
    <n v="0"/>
    <x v="1"/>
    <n v="0"/>
    <s v="MMR001CMP066"/>
    <x v="2"/>
    <x v="1"/>
    <x v="2"/>
    <n v="0"/>
    <m/>
    <m/>
  </r>
  <r>
    <n v="31.666666666666668"/>
    <d v="2013-12-13T00:00:00"/>
    <x v="5"/>
    <s v="Solidarities"/>
    <s v="Kachin"/>
    <s v="Mansi"/>
    <s v="Mansi Baptist Church"/>
    <m/>
    <m/>
    <m/>
    <m/>
    <m/>
    <m/>
    <m/>
    <m/>
    <m/>
    <m/>
    <n v="13"/>
    <n v="53"/>
    <n v="132"/>
    <n v="66"/>
    <m/>
    <m/>
    <m/>
    <n v="0"/>
    <n v="0"/>
    <n v="0"/>
    <n v="0"/>
    <n v="0"/>
    <n v="0"/>
    <n v="0"/>
    <n v="0"/>
    <n v="0"/>
    <n v="0"/>
    <n v="0"/>
    <n v="0"/>
    <n v="0"/>
    <n v="0"/>
    <x v="1"/>
    <n v="0"/>
    <s v="MMR001CMP066"/>
    <x v="2"/>
    <x v="1"/>
    <x v="2"/>
    <n v="0"/>
    <m/>
    <m/>
  </r>
  <r>
    <n v="32.1"/>
    <d v="2013-11-30T00:00:00"/>
    <x v="5"/>
    <m/>
    <s v="Kachin"/>
    <s v="Mansi"/>
    <s v="Mansi Baptist Church"/>
    <m/>
    <m/>
    <m/>
    <m/>
    <m/>
    <m/>
    <m/>
    <m/>
    <m/>
    <n v="225"/>
    <m/>
    <m/>
    <m/>
    <m/>
    <m/>
    <m/>
    <m/>
    <n v="0"/>
    <n v="0"/>
    <n v="0"/>
    <n v="0"/>
    <n v="0"/>
    <n v="0"/>
    <n v="0"/>
    <n v="0"/>
    <n v="0"/>
    <n v="0"/>
    <n v="0"/>
    <n v="0"/>
    <n v="0"/>
    <n v="0"/>
    <x v="0"/>
    <n v="0"/>
    <s v="MMR001CMP066"/>
    <x v="2"/>
    <x v="1"/>
    <x v="2"/>
    <n v="0"/>
    <s v="No"/>
    <m/>
  </r>
  <r>
    <n v="36.4"/>
    <d v="2013-07-24T00:00:00"/>
    <x v="0"/>
    <s v="Shalom"/>
    <s v="Kachin"/>
    <s v="Waingmaw"/>
    <s v="Qtr. 4 Monestry (Thargaya Thayett Taw)"/>
    <m/>
    <m/>
    <n v="41"/>
    <n v="73"/>
    <n v="31"/>
    <n v="73"/>
    <n v="31"/>
    <n v="31"/>
    <n v="31"/>
    <n v="31"/>
    <m/>
    <m/>
    <m/>
    <m/>
    <m/>
    <m/>
    <m/>
    <n v="0"/>
    <n v="0"/>
    <n v="0"/>
    <n v="0"/>
    <n v="0"/>
    <n v="0"/>
    <n v="0"/>
    <n v="0"/>
    <n v="0"/>
    <n v="0"/>
    <n v="0"/>
    <n v="0"/>
    <n v="0"/>
    <n v="0"/>
    <x v="0"/>
    <n v="0"/>
    <s v="MMR001CMP026"/>
    <x v="2"/>
    <x v="1"/>
    <x v="2"/>
    <n v="0.35227272727272729"/>
    <s v="No"/>
    <m/>
  </r>
  <r>
    <n v="36.4"/>
    <d v="2013-07-24T00:00:00"/>
    <x v="0"/>
    <s v="KBC"/>
    <s v="Kachin"/>
    <s v="Myitkyina"/>
    <s v="Shatapru Sut Ngai Tawng"/>
    <m/>
    <m/>
    <n v="21"/>
    <n v="36"/>
    <n v="16"/>
    <n v="36"/>
    <n v="16"/>
    <n v="16"/>
    <n v="16"/>
    <n v="16"/>
    <m/>
    <m/>
    <m/>
    <m/>
    <m/>
    <m/>
    <m/>
    <n v="0"/>
    <n v="0"/>
    <n v="0"/>
    <n v="0"/>
    <n v="0"/>
    <n v="0"/>
    <n v="0"/>
    <n v="0"/>
    <n v="0"/>
    <n v="0"/>
    <n v="0"/>
    <n v="0"/>
    <n v="0"/>
    <n v="0"/>
    <x v="0"/>
    <n v="0"/>
    <s v="MMR001CMP006"/>
    <x v="2"/>
    <x v="1"/>
    <x v="2"/>
    <n v="0.17777777777777778"/>
    <s v="No"/>
    <m/>
  </r>
  <r>
    <n v="36.4"/>
    <d v="2013-07-24T00:00:00"/>
    <x v="0"/>
    <s v="KBC"/>
    <s v="Kachin"/>
    <s v="Myitkyina"/>
    <s v="Tat Kone COC Baptist - Tat Kone Htoi San"/>
    <m/>
    <m/>
    <n v="34"/>
    <n v="46"/>
    <n v="22"/>
    <n v="46"/>
    <n v="22"/>
    <n v="22"/>
    <n v="22"/>
    <n v="22"/>
    <m/>
    <m/>
    <m/>
    <m/>
    <m/>
    <m/>
    <m/>
    <n v="0"/>
    <n v="0"/>
    <n v="0"/>
    <n v="0"/>
    <n v="0"/>
    <n v="0"/>
    <n v="0"/>
    <n v="0"/>
    <n v="0"/>
    <n v="0"/>
    <n v="0"/>
    <n v="0"/>
    <n v="0"/>
    <n v="0"/>
    <x v="0"/>
    <n v="0"/>
    <s v="MMR001CMP023"/>
    <x v="2"/>
    <x v="1"/>
    <x v="2"/>
    <n v="0.40740740740740738"/>
    <s v="No"/>
    <m/>
  </r>
  <r>
    <n v="36.4"/>
    <d v="2013-07-24T00:00:00"/>
    <x v="0"/>
    <s v="Shalom"/>
    <s v="Kachin"/>
    <s v="Waingmaw"/>
    <s v="Waingmaw AG Church"/>
    <m/>
    <m/>
    <n v="22"/>
    <n v="32"/>
    <n v="15"/>
    <n v="32"/>
    <n v="15"/>
    <n v="15"/>
    <n v="15"/>
    <n v="15"/>
    <m/>
    <m/>
    <m/>
    <m/>
    <m/>
    <m/>
    <m/>
    <n v="0"/>
    <n v="0"/>
    <n v="0"/>
    <n v="0"/>
    <n v="0"/>
    <n v="0"/>
    <n v="0"/>
    <n v="0"/>
    <n v="0"/>
    <n v="0"/>
    <n v="0"/>
    <n v="0"/>
    <n v="0"/>
    <n v="0"/>
    <x v="0"/>
    <n v="0"/>
    <s v="MMR001CMP038"/>
    <x v="2"/>
    <x v="1"/>
    <x v="2"/>
    <n v="0.21428571428571427"/>
    <s v="No"/>
    <m/>
  </r>
  <r>
    <n v="33"/>
    <d v="2013-11-03T00:00:00"/>
    <x v="2"/>
    <s v="MRCS"/>
    <s v="Kachin"/>
    <s v="Mansi"/>
    <s v="Mansi Baptist Church"/>
    <m/>
    <m/>
    <n v="29"/>
    <m/>
    <m/>
    <m/>
    <n v="29"/>
    <m/>
    <m/>
    <m/>
    <m/>
    <m/>
    <m/>
    <m/>
    <m/>
    <m/>
    <m/>
    <n v="0"/>
    <n v="0"/>
    <n v="0"/>
    <n v="0"/>
    <n v="0"/>
    <n v="0"/>
    <n v="0"/>
    <n v="0"/>
    <n v="0"/>
    <n v="0"/>
    <n v="0"/>
    <n v="0"/>
    <n v="0"/>
    <n v="0"/>
    <x v="0"/>
    <n v="0"/>
    <s v="MMR001CMP066"/>
    <x v="2"/>
    <x v="1"/>
    <x v="2"/>
    <n v="0.14795918367346939"/>
    <s v="No"/>
    <m/>
  </r>
  <r>
    <n v="54.333333333333336"/>
    <d v="2012-02-02T00:00:00"/>
    <x v="5"/>
    <s v="Solidarities"/>
    <s v="Kachin"/>
    <s v="Mansi"/>
    <s v="Mansi Baptist Church"/>
    <n v="718"/>
    <m/>
    <m/>
    <m/>
    <m/>
    <m/>
    <m/>
    <m/>
    <m/>
    <m/>
    <m/>
    <m/>
    <m/>
    <m/>
    <m/>
    <m/>
    <m/>
    <n v="0"/>
    <n v="0"/>
    <n v="0"/>
    <n v="0"/>
    <n v="0"/>
    <n v="0"/>
    <n v="0"/>
    <n v="0"/>
    <n v="0"/>
    <n v="0"/>
    <n v="0"/>
    <n v="0"/>
    <n v="0"/>
    <n v="0"/>
    <x v="0"/>
    <n v="0"/>
    <s v="MMR001CMP066"/>
    <x v="2"/>
    <x v="1"/>
    <x v="2"/>
    <n v="0"/>
    <m/>
    <m/>
  </r>
  <r>
    <n v="43.033333333333331"/>
    <d v="2013-01-06T00:00:00"/>
    <x v="5"/>
    <s v="Solidarities"/>
    <s v="Kachin"/>
    <s v="Mansi"/>
    <s v="Mansi Baptist Church"/>
    <n v="351"/>
    <m/>
    <m/>
    <m/>
    <m/>
    <m/>
    <m/>
    <m/>
    <n v="0"/>
    <n v="0"/>
    <m/>
    <m/>
    <m/>
    <m/>
    <m/>
    <m/>
    <m/>
    <n v="0"/>
    <n v="0"/>
    <n v="0"/>
    <n v="0"/>
    <n v="0"/>
    <n v="0"/>
    <n v="0"/>
    <n v="0"/>
    <n v="0"/>
    <n v="0"/>
    <n v="0"/>
    <n v="0"/>
    <n v="0"/>
    <n v="0"/>
    <x v="0"/>
    <n v="0"/>
    <s v="MMR001CMP066"/>
    <x v="2"/>
    <x v="1"/>
    <x v="2"/>
    <n v="0"/>
    <s v="No"/>
    <m/>
  </r>
  <r>
    <n v="36.666666666666664"/>
    <d v="2013-07-16T00:00:00"/>
    <x v="0"/>
    <s v="Shalom"/>
    <s v="Kachin"/>
    <s v="Myitkyina"/>
    <s v="Tat Kone COC Baptist - Tat Kone Htoi San"/>
    <m/>
    <m/>
    <n v="55"/>
    <n v="74"/>
    <n v="31"/>
    <n v="74"/>
    <n v="31"/>
    <n v="31"/>
    <n v="31"/>
    <n v="31"/>
    <m/>
    <m/>
    <m/>
    <m/>
    <m/>
    <m/>
    <m/>
    <n v="0"/>
    <n v="0"/>
    <n v="0"/>
    <n v="0"/>
    <n v="0"/>
    <n v="0"/>
    <n v="0"/>
    <n v="0"/>
    <n v="0"/>
    <n v="0"/>
    <n v="0"/>
    <n v="0"/>
    <n v="0"/>
    <n v="0"/>
    <x v="0"/>
    <n v="0"/>
    <s v="MMR001CMP023"/>
    <x v="2"/>
    <x v="1"/>
    <x v="2"/>
    <n v="0.57407407407407407"/>
    <s v="No"/>
    <m/>
  </r>
  <r>
    <n v="37.200000000000003"/>
    <d v="2013-06-30T00:00:00"/>
    <x v="0"/>
    <m/>
    <s v="Kachin"/>
    <s v="Mansi"/>
    <s v="Maing Khaung"/>
    <m/>
    <m/>
    <m/>
    <m/>
    <m/>
    <n v="9"/>
    <m/>
    <m/>
    <n v="19"/>
    <n v="1"/>
    <m/>
    <m/>
    <m/>
    <m/>
    <m/>
    <m/>
    <m/>
    <n v="0"/>
    <n v="0"/>
    <n v="0"/>
    <n v="0"/>
    <n v="0"/>
    <n v="0"/>
    <n v="0"/>
    <n v="0"/>
    <n v="0"/>
    <n v="0"/>
    <n v="0"/>
    <n v="0"/>
    <n v="0"/>
    <n v="0"/>
    <x v="0"/>
    <n v="0"/>
    <s v="MMR001CMP218"/>
    <x v="2"/>
    <x v="1"/>
    <x v="2"/>
    <n v="0"/>
    <m/>
    <m/>
  </r>
  <r>
    <n v="37.200000000000003"/>
    <d v="2013-06-30T00:00:00"/>
    <x v="0"/>
    <m/>
    <s v="Kachin"/>
    <s v="Mansi"/>
    <s v="Maing Khaung Catholic Church"/>
    <m/>
    <m/>
    <m/>
    <n v="50"/>
    <n v="15"/>
    <m/>
    <n v="15"/>
    <m/>
    <n v="15"/>
    <n v="60"/>
    <m/>
    <m/>
    <m/>
    <m/>
    <m/>
    <m/>
    <m/>
    <n v="0"/>
    <n v="0"/>
    <n v="0"/>
    <n v="0"/>
    <n v="0"/>
    <n v="0"/>
    <n v="0"/>
    <n v="0"/>
    <n v="0"/>
    <n v="0"/>
    <n v="0"/>
    <n v="0"/>
    <n v="0"/>
    <n v="0"/>
    <x v="0"/>
    <n v="0"/>
    <s v="MMR001CMP223"/>
    <x v="2"/>
    <x v="1"/>
    <x v="2"/>
    <n v="0.12195121951219512"/>
    <m/>
    <m/>
  </r>
  <r>
    <n v="43.233333333333334"/>
    <d v="2012-12-31T00:00:00"/>
    <x v="3"/>
    <s v="DRC"/>
    <s v="Kachin"/>
    <s v="Hpakant"/>
    <s v="Mashi Kahtawng Baptist  Church"/>
    <n v="57"/>
    <m/>
    <m/>
    <m/>
    <m/>
    <m/>
    <m/>
    <m/>
    <n v="0"/>
    <n v="0"/>
    <m/>
    <m/>
    <m/>
    <m/>
    <m/>
    <m/>
    <m/>
    <n v="0"/>
    <n v="0"/>
    <n v="0"/>
    <n v="0"/>
    <n v="0"/>
    <n v="0"/>
    <n v="0"/>
    <n v="0"/>
    <n v="0"/>
    <n v="0"/>
    <n v="0"/>
    <n v="0"/>
    <n v="0"/>
    <n v="0"/>
    <x v="0"/>
    <n v="0"/>
    <s v="MMR001CMP094"/>
    <x v="2"/>
    <x v="2"/>
    <x v="0"/>
    <s v=""/>
    <s v="No"/>
    <m/>
  </r>
  <r>
    <n v="37.233333333333334"/>
    <d v="2013-06-29T00:00:00"/>
    <x v="0"/>
    <m/>
    <s v="Kachin"/>
    <s v="Mansi"/>
    <s v="Maing Khaung"/>
    <m/>
    <m/>
    <m/>
    <m/>
    <n v="19"/>
    <m/>
    <n v="19"/>
    <m/>
    <m/>
    <n v="100"/>
    <m/>
    <m/>
    <m/>
    <m/>
    <m/>
    <m/>
    <m/>
    <n v="0"/>
    <n v="0"/>
    <n v="0"/>
    <n v="0"/>
    <n v="0"/>
    <n v="0"/>
    <n v="0"/>
    <n v="0"/>
    <n v="0"/>
    <n v="0"/>
    <n v="0"/>
    <n v="0"/>
    <n v="0"/>
    <n v="0"/>
    <x v="0"/>
    <n v="0"/>
    <s v="MMR001CMP218"/>
    <x v="2"/>
    <x v="1"/>
    <x v="2"/>
    <n v="4.8717948717948718E-2"/>
    <m/>
    <m/>
  </r>
  <r>
    <n v="43.233333333333334"/>
    <d v="2012-12-31T00:00:00"/>
    <x v="3"/>
    <s v="DRC"/>
    <s v="Kachin"/>
    <s v="Hpakant"/>
    <s v="Mashi Kahtawng Catholic Church"/>
    <n v="2"/>
    <m/>
    <m/>
    <m/>
    <m/>
    <m/>
    <m/>
    <m/>
    <n v="0"/>
    <n v="0"/>
    <m/>
    <m/>
    <m/>
    <m/>
    <m/>
    <m/>
    <m/>
    <n v="0"/>
    <n v="0"/>
    <n v="0"/>
    <n v="0"/>
    <n v="0"/>
    <n v="0"/>
    <n v="0"/>
    <n v="0"/>
    <n v="0"/>
    <n v="0"/>
    <n v="0"/>
    <n v="0"/>
    <n v="0"/>
    <n v="0"/>
    <x v="0"/>
    <n v="0"/>
    <s v="MMR001CMP093"/>
    <x v="2"/>
    <x v="2"/>
    <x v="0"/>
    <s v=""/>
    <s v="No"/>
    <m/>
  </r>
  <r>
    <n v="37.266666666666666"/>
    <d v="2013-06-28T00:00:00"/>
    <x v="0"/>
    <m/>
    <s v="Kachin"/>
    <s v="Mansi"/>
    <s v="Maing Khaung"/>
    <m/>
    <m/>
    <m/>
    <n v="10"/>
    <n v="3"/>
    <n v="10"/>
    <n v="3"/>
    <m/>
    <n v="3"/>
    <n v="10"/>
    <m/>
    <m/>
    <m/>
    <m/>
    <m/>
    <m/>
    <m/>
    <n v="0"/>
    <n v="0"/>
    <n v="0"/>
    <n v="0"/>
    <n v="0"/>
    <n v="0"/>
    <n v="0"/>
    <n v="0"/>
    <n v="0"/>
    <n v="0"/>
    <n v="0"/>
    <n v="0"/>
    <n v="0"/>
    <n v="0"/>
    <x v="0"/>
    <n v="0"/>
    <s v="MMR001CMP218"/>
    <x v="2"/>
    <x v="1"/>
    <x v="2"/>
    <n v="7.6923076923076927E-3"/>
    <m/>
    <m/>
  </r>
  <r>
    <n v="25.233333333333334"/>
    <d v="2014-06-24T00:00:00"/>
    <x v="6"/>
    <s v="MRCS"/>
    <s v="Kachin"/>
    <s v="Myitkyina"/>
    <s v="Maw Hpawng Hka Nan Baptist Church"/>
    <m/>
    <m/>
    <m/>
    <m/>
    <m/>
    <m/>
    <m/>
    <m/>
    <m/>
    <m/>
    <m/>
    <m/>
    <m/>
    <n v="44"/>
    <m/>
    <m/>
    <m/>
    <n v="0"/>
    <n v="0"/>
    <n v="0"/>
    <n v="0"/>
    <n v="0"/>
    <n v="0"/>
    <n v="0"/>
    <n v="0"/>
    <n v="0"/>
    <n v="0"/>
    <n v="0"/>
    <n v="0"/>
    <n v="0"/>
    <n v="0"/>
    <x v="1"/>
    <n v="0"/>
    <s v="MMR001CMP020"/>
    <x v="2"/>
    <x v="1"/>
    <x v="2"/>
    <n v="0"/>
    <m/>
    <m/>
  </r>
  <r>
    <n v="37.299999999999997"/>
    <d v="2013-06-27T00:00:00"/>
    <x v="0"/>
    <m/>
    <s v="Kachin"/>
    <s v="Mansi"/>
    <s v="Maing Khaung"/>
    <m/>
    <m/>
    <m/>
    <n v="54"/>
    <n v="18"/>
    <n v="45"/>
    <n v="18"/>
    <m/>
    <n v="18"/>
    <n v="50"/>
    <m/>
    <m/>
    <m/>
    <m/>
    <m/>
    <m/>
    <m/>
    <n v="0"/>
    <n v="0"/>
    <n v="0"/>
    <n v="0"/>
    <n v="0"/>
    <n v="0"/>
    <n v="0"/>
    <n v="0"/>
    <n v="0"/>
    <n v="0"/>
    <n v="0"/>
    <n v="0"/>
    <n v="0"/>
    <n v="0"/>
    <x v="0"/>
    <n v="0"/>
    <s v="MMR001CMP218"/>
    <x v="2"/>
    <x v="1"/>
    <x v="2"/>
    <n v="4.6153846153846156E-2"/>
    <m/>
    <m/>
  </r>
  <r>
    <n v="43.233333333333334"/>
    <d v="2012-12-31T00:00:00"/>
    <x v="3"/>
    <s v="DRC"/>
    <s v="Kachin"/>
    <s v="Myitkyina"/>
    <s v="Maw Hpawng Hka Nan Baptist Church"/>
    <n v="14"/>
    <m/>
    <m/>
    <m/>
    <m/>
    <m/>
    <m/>
    <m/>
    <n v="0"/>
    <n v="0"/>
    <m/>
    <m/>
    <m/>
    <m/>
    <m/>
    <m/>
    <m/>
    <n v="0"/>
    <n v="0"/>
    <n v="0"/>
    <n v="0"/>
    <n v="0"/>
    <n v="0"/>
    <n v="0"/>
    <n v="0"/>
    <n v="0"/>
    <n v="0"/>
    <n v="0"/>
    <n v="0"/>
    <n v="0"/>
    <n v="0"/>
    <x v="0"/>
    <n v="0"/>
    <s v="MMR001CMP020"/>
    <x v="2"/>
    <x v="1"/>
    <x v="2"/>
    <n v="0"/>
    <s v="No"/>
    <m/>
  </r>
  <r>
    <n v="37.733333333333334"/>
    <d v="2013-06-14T00:00:00"/>
    <x v="0"/>
    <s v="UNHCR"/>
    <s v="Kachin"/>
    <s v="Momauk"/>
    <s v="Pa Kahtawng "/>
    <m/>
    <m/>
    <n v="42"/>
    <n v="42"/>
    <n v="21"/>
    <n v="42"/>
    <n v="21"/>
    <n v="21"/>
    <n v="21"/>
    <n v="21"/>
    <m/>
    <m/>
    <m/>
    <m/>
    <m/>
    <m/>
    <m/>
    <n v="0"/>
    <n v="0"/>
    <n v="0"/>
    <n v="0"/>
    <n v="0"/>
    <n v="0"/>
    <n v="0"/>
    <n v="0"/>
    <n v="0"/>
    <n v="0"/>
    <n v="0"/>
    <n v="0"/>
    <n v="0"/>
    <n v="0"/>
    <x v="0"/>
    <n v="0"/>
    <s v="MMR001CMP126"/>
    <x v="2"/>
    <x v="1"/>
    <x v="5"/>
    <n v="3.10192023633678E-2"/>
    <s v="No"/>
    <m/>
  </r>
  <r>
    <n v="37.766666666666666"/>
    <d v="2013-06-13T00:00:00"/>
    <x v="0"/>
    <s v="UNHCR"/>
    <s v="Kachin"/>
    <s v="Momauk"/>
    <s v="Loi Je Baptist Church"/>
    <m/>
    <m/>
    <n v="152"/>
    <n v="11"/>
    <n v="4"/>
    <n v="11"/>
    <n v="4"/>
    <n v="4"/>
    <n v="4"/>
    <n v="4"/>
    <m/>
    <m/>
    <m/>
    <m/>
    <m/>
    <m/>
    <m/>
    <n v="0"/>
    <n v="0"/>
    <n v="0"/>
    <n v="0"/>
    <n v="0"/>
    <n v="0"/>
    <n v="0"/>
    <n v="0"/>
    <n v="0"/>
    <n v="0"/>
    <n v="0"/>
    <n v="0"/>
    <n v="0"/>
    <n v="0"/>
    <x v="0"/>
    <n v="0"/>
    <s v="MMR001CMP071"/>
    <x v="2"/>
    <x v="1"/>
    <x v="4"/>
    <n v="0.1111111111111111"/>
    <s v="No"/>
    <m/>
  </r>
  <r>
    <n v="37.766666666666666"/>
    <d v="2013-06-13T00:00:00"/>
    <x v="0"/>
    <s v="UNHCR"/>
    <s v="Kachin"/>
    <s v="Momauk"/>
    <s v="Loi Je Catholic Church"/>
    <m/>
    <m/>
    <n v="425"/>
    <n v="30"/>
    <n v="11"/>
    <n v="30"/>
    <n v="11"/>
    <n v="11"/>
    <n v="11"/>
    <n v="11"/>
    <m/>
    <m/>
    <m/>
    <m/>
    <m/>
    <m/>
    <m/>
    <n v="0"/>
    <n v="0"/>
    <n v="0"/>
    <n v="0"/>
    <n v="0"/>
    <n v="0"/>
    <n v="0"/>
    <n v="0"/>
    <n v="0"/>
    <n v="0"/>
    <n v="0"/>
    <n v="0"/>
    <n v="0"/>
    <n v="0"/>
    <x v="0"/>
    <n v="0"/>
    <s v="MMR001CMP069"/>
    <x v="2"/>
    <x v="1"/>
    <x v="4"/>
    <n v="8.8709677419354843E-2"/>
    <s v="No"/>
    <m/>
  </r>
  <r>
    <n v="37.766666666666666"/>
    <d v="2013-06-13T00:00:00"/>
    <x v="0"/>
    <s v="UNHCR"/>
    <s v="Kachin"/>
    <s v="Momauk"/>
    <s v="Loi Je Lisu Camp"/>
    <m/>
    <m/>
    <n v="941"/>
    <n v="67"/>
    <n v="24"/>
    <n v="67"/>
    <n v="24"/>
    <n v="24"/>
    <n v="24"/>
    <n v="24"/>
    <m/>
    <m/>
    <m/>
    <m/>
    <m/>
    <m/>
    <m/>
    <n v="0"/>
    <n v="0"/>
    <n v="0"/>
    <n v="0"/>
    <n v="0"/>
    <n v="0"/>
    <n v="0"/>
    <n v="0"/>
    <n v="0"/>
    <n v="0"/>
    <n v="0"/>
    <n v="0"/>
    <n v="0"/>
    <n v="0"/>
    <x v="0"/>
    <n v="0"/>
    <s v="MMR001CMP070"/>
    <x v="2"/>
    <x v="1"/>
    <x v="4"/>
    <n v="0.12631578947368421"/>
    <s v="No"/>
    <m/>
  </r>
  <r>
    <n v="38.5"/>
    <d v="2013-05-22T00:00:00"/>
    <x v="0"/>
    <s v="UNHCR"/>
    <s v="Kachin"/>
    <s v="Chipwi"/>
    <s v="Chipwi KBC camp"/>
    <m/>
    <m/>
    <n v="80"/>
    <n v="84"/>
    <n v="41"/>
    <n v="84"/>
    <n v="41"/>
    <n v="41"/>
    <n v="41"/>
    <n v="41"/>
    <m/>
    <m/>
    <m/>
    <m/>
    <m/>
    <m/>
    <m/>
    <n v="0"/>
    <n v="0"/>
    <n v="0"/>
    <n v="0"/>
    <n v="0"/>
    <n v="0"/>
    <n v="0"/>
    <n v="0"/>
    <n v="0"/>
    <n v="0"/>
    <n v="0"/>
    <n v="0"/>
    <n v="0"/>
    <n v="0"/>
    <x v="0"/>
    <n v="0"/>
    <s v="MMR001CMP042"/>
    <x v="2"/>
    <x v="1"/>
    <x v="3"/>
    <n v="0.37614678899082571"/>
    <s v="No"/>
    <m/>
  </r>
  <r>
    <n v="38.5"/>
    <d v="2013-05-22T00:00:00"/>
    <x v="0"/>
    <s v="UNHCR"/>
    <s v="Kachin"/>
    <s v="Hpakant"/>
    <s v="Mashi Kahtawng Baptist  Church"/>
    <m/>
    <m/>
    <n v="48"/>
    <n v="74"/>
    <n v="31"/>
    <n v="74"/>
    <n v="31"/>
    <n v="31"/>
    <n v="31"/>
    <n v="31"/>
    <m/>
    <m/>
    <m/>
    <m/>
    <m/>
    <m/>
    <m/>
    <n v="0"/>
    <n v="0"/>
    <n v="0"/>
    <n v="0"/>
    <n v="0"/>
    <n v="0"/>
    <n v="0"/>
    <n v="0"/>
    <n v="0"/>
    <n v="0"/>
    <n v="0"/>
    <n v="0"/>
    <n v="0"/>
    <n v="0"/>
    <x v="0"/>
    <n v="0"/>
    <s v="MMR001CMP094"/>
    <x v="2"/>
    <x v="2"/>
    <x v="0"/>
    <s v=""/>
    <s v="No"/>
    <m/>
  </r>
  <r>
    <n v="38.5"/>
    <d v="2013-05-22T00:00:00"/>
    <x v="0"/>
    <s v="UNHCR"/>
    <s v="Kachin"/>
    <s v="Hpakant"/>
    <s v="Nam Ma Phyit, COC"/>
    <m/>
    <m/>
    <n v="34"/>
    <n v="61"/>
    <n v="30"/>
    <n v="61"/>
    <n v="30"/>
    <n v="30"/>
    <n v="30"/>
    <n v="30"/>
    <m/>
    <m/>
    <m/>
    <m/>
    <m/>
    <m/>
    <m/>
    <n v="0"/>
    <n v="0"/>
    <n v="0"/>
    <n v="0"/>
    <n v="0"/>
    <n v="0"/>
    <n v="0"/>
    <n v="0"/>
    <n v="0"/>
    <n v="0"/>
    <n v="0"/>
    <n v="0"/>
    <n v="0"/>
    <n v="0"/>
    <x v="0"/>
    <n v="0"/>
    <s v="MMR001CMP192"/>
    <x v="2"/>
    <x v="1"/>
    <x v="2"/>
    <n v="1.7647058823529411"/>
    <s v="No"/>
    <m/>
  </r>
  <r>
    <n v="25.233333333333334"/>
    <d v="2014-06-24T00:00:00"/>
    <x v="6"/>
    <s v="MRCS"/>
    <s v="Kachin"/>
    <s v="Myitkyina"/>
    <s v="Maw Hpawng Lhaovo Baptist Church"/>
    <m/>
    <m/>
    <m/>
    <m/>
    <m/>
    <m/>
    <m/>
    <m/>
    <m/>
    <m/>
    <m/>
    <m/>
    <m/>
    <n v="28"/>
    <m/>
    <m/>
    <m/>
    <n v="0"/>
    <n v="0"/>
    <n v="0"/>
    <n v="0"/>
    <n v="0"/>
    <n v="0"/>
    <n v="0"/>
    <n v="0"/>
    <n v="0"/>
    <n v="0"/>
    <n v="0"/>
    <n v="0"/>
    <n v="0"/>
    <n v="0"/>
    <x v="1"/>
    <n v="0"/>
    <s v="MMR001CMP021"/>
    <x v="2"/>
    <x v="1"/>
    <x v="2"/>
    <n v="0"/>
    <m/>
    <m/>
  </r>
  <r>
    <n v="38.5"/>
    <d v="2013-05-22T00:00:00"/>
    <x v="0"/>
    <s v="UNHCR"/>
    <s v="Kachin"/>
    <s v="Hpakant"/>
    <s v="Nga Pyaw Taw Baptist Nursery School "/>
    <m/>
    <m/>
    <n v="273"/>
    <n v="339"/>
    <n v="151"/>
    <n v="339"/>
    <n v="151"/>
    <n v="151"/>
    <n v="151"/>
    <n v="151"/>
    <m/>
    <m/>
    <m/>
    <m/>
    <m/>
    <m/>
    <m/>
    <n v="0"/>
    <n v="0"/>
    <n v="0"/>
    <n v="0"/>
    <n v="0"/>
    <n v="0"/>
    <n v="0"/>
    <n v="0"/>
    <n v="0"/>
    <n v="0"/>
    <n v="0"/>
    <n v="0"/>
    <n v="0"/>
    <n v="0"/>
    <x v="0"/>
    <n v="0"/>
    <s v="MMR001CMP082"/>
    <x v="2"/>
    <x v="2"/>
    <x v="0"/>
    <s v=""/>
    <s v="No"/>
    <m/>
  </r>
  <r>
    <n v="43.233333333333334"/>
    <d v="2012-12-31T00:00:00"/>
    <x v="3"/>
    <s v="DRC"/>
    <s v="Kachin"/>
    <s v="Myitkyina"/>
    <s v="Maw Hpawng Lhaovo Baptist Church"/>
    <n v="23"/>
    <m/>
    <m/>
    <m/>
    <m/>
    <m/>
    <m/>
    <m/>
    <n v="0"/>
    <n v="0"/>
    <m/>
    <m/>
    <m/>
    <m/>
    <m/>
    <m/>
    <m/>
    <n v="0"/>
    <n v="0"/>
    <n v="0"/>
    <n v="0"/>
    <n v="0"/>
    <n v="0"/>
    <n v="0"/>
    <n v="0"/>
    <n v="0"/>
    <n v="0"/>
    <n v="0"/>
    <n v="0"/>
    <n v="0"/>
    <n v="0"/>
    <x v="0"/>
    <n v="0"/>
    <s v="MMR001CMP021"/>
    <x v="2"/>
    <x v="1"/>
    <x v="2"/>
    <n v="0"/>
    <s v="No"/>
    <m/>
  </r>
  <r>
    <n v="38.5"/>
    <d v="2013-05-22T00:00:00"/>
    <x v="0"/>
    <s v="UNHCR"/>
    <s v="Kachin"/>
    <s v="Waingmaw"/>
    <s v="Qtr. 2 Lhaovo Baptist Church"/>
    <m/>
    <m/>
    <n v="18"/>
    <n v="20"/>
    <n v="14"/>
    <n v="20"/>
    <n v="10"/>
    <n v="10"/>
    <n v="10"/>
    <n v="10"/>
    <m/>
    <m/>
    <m/>
    <m/>
    <m/>
    <m/>
    <m/>
    <n v="0"/>
    <n v="0"/>
    <n v="0"/>
    <n v="0"/>
    <n v="0"/>
    <n v="0"/>
    <n v="0"/>
    <n v="0"/>
    <n v="0"/>
    <n v="0"/>
    <n v="0"/>
    <n v="0"/>
    <n v="0"/>
    <n v="0"/>
    <x v="0"/>
    <n v="0"/>
    <s v="MMR001CMP032"/>
    <x v="2"/>
    <x v="1"/>
    <x v="2"/>
    <n v="0.10989010989010989"/>
    <s v="No"/>
    <m/>
  </r>
  <r>
    <n v="38.5"/>
    <d v="2013-05-22T00:00:00"/>
    <x v="0"/>
    <s v="UNHCR"/>
    <s v="Kachin"/>
    <s v="Hpakant"/>
    <s v="Yumar Baptist Church"/>
    <m/>
    <m/>
    <n v="42"/>
    <n v="66"/>
    <n v="28"/>
    <n v="66"/>
    <n v="28"/>
    <n v="28"/>
    <n v="28"/>
    <n v="28"/>
    <m/>
    <m/>
    <m/>
    <m/>
    <m/>
    <m/>
    <m/>
    <n v="0"/>
    <n v="0"/>
    <n v="0"/>
    <n v="0"/>
    <n v="0"/>
    <n v="0"/>
    <n v="0"/>
    <n v="0"/>
    <n v="0"/>
    <n v="0"/>
    <n v="0"/>
    <n v="0"/>
    <n v="0"/>
    <n v="0"/>
    <x v="0"/>
    <n v="0"/>
    <s v="MMR001CMP105"/>
    <x v="2"/>
    <x v="1"/>
    <x v="2"/>
    <n v="2.3333333333333335"/>
    <s v="No"/>
    <m/>
  </r>
  <r>
    <n v="40.133333333333333"/>
    <d v="2013-04-03T00:00:00"/>
    <x v="0"/>
    <s v="UNHCR"/>
    <s v="Kachin"/>
    <s v="Waingmaw"/>
    <s v="Maina AG Church"/>
    <m/>
    <m/>
    <n v="15"/>
    <n v="22"/>
    <n v="11"/>
    <n v="22"/>
    <n v="11"/>
    <n v="11"/>
    <n v="11"/>
    <n v="11"/>
    <m/>
    <m/>
    <m/>
    <m/>
    <m/>
    <m/>
    <m/>
    <n v="0"/>
    <n v="0"/>
    <n v="0"/>
    <n v="0"/>
    <n v="0"/>
    <n v="0"/>
    <n v="0"/>
    <n v="0"/>
    <n v="0"/>
    <n v="0"/>
    <n v="0"/>
    <n v="0"/>
    <n v="0"/>
    <n v="0"/>
    <x v="0"/>
    <n v="0"/>
    <s v="MMR001CMP031"/>
    <x v="2"/>
    <x v="1"/>
    <x v="2"/>
    <n v="7.6923076923076927E-2"/>
    <s v="No"/>
    <m/>
  </r>
  <r>
    <n v="43.233333333333334"/>
    <d v="2012-12-31T00:00:00"/>
    <x v="3"/>
    <s v="DRC"/>
    <s v="Kachin"/>
    <s v="Hpakant"/>
    <s v="Maw Si Zar, Thiriyardanar Sein, Damma Compound, Lone Khin"/>
    <n v="3"/>
    <m/>
    <m/>
    <m/>
    <m/>
    <m/>
    <m/>
    <m/>
    <n v="0"/>
    <n v="0"/>
    <m/>
    <m/>
    <m/>
    <m/>
    <m/>
    <m/>
    <m/>
    <n v="0"/>
    <n v="0"/>
    <n v="0"/>
    <n v="0"/>
    <n v="0"/>
    <n v="0"/>
    <n v="0"/>
    <n v="0"/>
    <n v="0"/>
    <n v="0"/>
    <n v="0"/>
    <n v="0"/>
    <n v="0"/>
    <n v="0"/>
    <x v="0"/>
    <n v="0"/>
    <s v="MMR001CMP106"/>
    <x v="2"/>
    <x v="2"/>
    <x v="0"/>
    <s v=""/>
    <s v="No"/>
    <m/>
  </r>
  <r>
    <n v="40.133333333333333"/>
    <d v="2013-04-03T00:00:00"/>
    <x v="0"/>
    <s v="UNHCR"/>
    <s v="Kachin"/>
    <s v="Waingmaw"/>
    <s v="Waingmaw AG Church"/>
    <m/>
    <m/>
    <n v="4"/>
    <n v="7"/>
    <n v="3"/>
    <n v="7"/>
    <n v="3"/>
    <n v="3"/>
    <n v="3"/>
    <n v="3"/>
    <m/>
    <m/>
    <m/>
    <m/>
    <m/>
    <m/>
    <m/>
    <n v="0"/>
    <n v="0"/>
    <n v="0"/>
    <n v="0"/>
    <n v="0"/>
    <n v="0"/>
    <n v="0"/>
    <n v="0"/>
    <n v="0"/>
    <n v="0"/>
    <n v="0"/>
    <n v="0"/>
    <n v="0"/>
    <n v="0"/>
    <x v="0"/>
    <n v="0"/>
    <s v="MMR001CMP038"/>
    <x v="2"/>
    <x v="1"/>
    <x v="2"/>
    <n v="4.2857142857142858E-2"/>
    <s v="No"/>
    <m/>
  </r>
  <r>
    <n v="40.56666666666667"/>
    <d v="2013-03-21T00:00:00"/>
    <x v="0"/>
    <s v="UNHCR"/>
    <s v="Kachin"/>
    <s v="Hpakant"/>
    <s v="Lisu Baptist Church, Maw Shan Vil,. Seik Mu"/>
    <m/>
    <m/>
    <n v="34"/>
    <n v="40"/>
    <n v="40"/>
    <n v="75"/>
    <n v="40"/>
    <n v="75"/>
    <n v="75"/>
    <n v="75"/>
    <m/>
    <m/>
    <m/>
    <m/>
    <m/>
    <m/>
    <m/>
    <n v="0"/>
    <n v="0"/>
    <n v="0"/>
    <n v="0"/>
    <n v="0"/>
    <n v="0"/>
    <n v="0"/>
    <n v="0"/>
    <n v="0"/>
    <n v="0"/>
    <n v="0"/>
    <n v="0"/>
    <n v="0"/>
    <n v="0"/>
    <x v="0"/>
    <n v="0"/>
    <s v="MMR001CMP181"/>
    <x v="2"/>
    <x v="1"/>
    <x v="2"/>
    <n v="1.6"/>
    <s v="No"/>
    <m/>
  </r>
  <r>
    <n v="40.56666666666667"/>
    <d v="2013-03-21T00:00:00"/>
    <x v="0"/>
    <s v="UNHCR"/>
    <s v="Kachin"/>
    <s v="Hpakant"/>
    <s v="Rawan Baptist Church, Maw Shan Vil., Seik Mu"/>
    <m/>
    <m/>
    <n v="15"/>
    <n v="8"/>
    <n v="8"/>
    <n v="17"/>
    <n v="8"/>
    <n v="17"/>
    <n v="17"/>
    <n v="17"/>
    <m/>
    <m/>
    <m/>
    <m/>
    <m/>
    <m/>
    <m/>
    <n v="0"/>
    <n v="0"/>
    <n v="0"/>
    <n v="0"/>
    <n v="0"/>
    <n v="0"/>
    <n v="0"/>
    <n v="0"/>
    <n v="0"/>
    <n v="0"/>
    <n v="0"/>
    <n v="0"/>
    <n v="0"/>
    <n v="0"/>
    <x v="0"/>
    <n v="0"/>
    <s v="MMR001CMP182"/>
    <x v="2"/>
    <x v="1"/>
    <x v="2"/>
    <n v="0.8"/>
    <s v="No"/>
    <m/>
  </r>
  <r>
    <n v="43.233333333333334"/>
    <d v="2012-12-31T00:00:00"/>
    <x v="3"/>
    <s v="DRC"/>
    <s v="Kachin"/>
    <s v="Hpakant"/>
    <s v="Maw Wan, Kachin Baptist Church"/>
    <n v="10"/>
    <m/>
    <m/>
    <m/>
    <m/>
    <m/>
    <m/>
    <m/>
    <n v="0"/>
    <n v="0"/>
    <m/>
    <m/>
    <m/>
    <m/>
    <m/>
    <m/>
    <m/>
    <n v="0"/>
    <n v="0"/>
    <n v="0"/>
    <n v="0"/>
    <n v="0"/>
    <n v="0"/>
    <n v="0"/>
    <n v="0"/>
    <n v="0"/>
    <n v="0"/>
    <n v="0"/>
    <n v="0"/>
    <n v="0"/>
    <n v="0"/>
    <x v="0"/>
    <n v="0"/>
    <s v="MMR001CMP085"/>
    <x v="2"/>
    <x v="2"/>
    <x v="0"/>
    <s v=""/>
    <s v="No"/>
    <m/>
  </r>
  <r>
    <n v="40.6"/>
    <d v="2013-03-20T00:00:00"/>
    <x v="0"/>
    <s v="UNHCR"/>
    <s v="Kachin"/>
    <s v="Hpakant"/>
    <s v="AG Church, Maw Wan"/>
    <m/>
    <m/>
    <n v="24"/>
    <n v="17"/>
    <n v="17"/>
    <n v="41"/>
    <n v="17"/>
    <n v="41"/>
    <n v="41"/>
    <n v="41"/>
    <m/>
    <m/>
    <m/>
    <m/>
    <m/>
    <m/>
    <m/>
    <n v="0"/>
    <n v="0"/>
    <n v="0"/>
    <n v="0"/>
    <n v="0"/>
    <n v="0"/>
    <n v="0"/>
    <n v="0"/>
    <n v="0"/>
    <n v="0"/>
    <n v="0"/>
    <n v="0"/>
    <n v="0"/>
    <n v="0"/>
    <x v="0"/>
    <n v="0"/>
    <s v="MMR001CMP190"/>
    <x v="2"/>
    <x v="1"/>
    <x v="2"/>
    <n v="1.2142857142857142"/>
    <s v="No"/>
    <m/>
  </r>
  <r>
    <n v="20.933333333333334"/>
    <d v="2014-10-31T00:00:00"/>
    <x v="1"/>
    <s v="MRCS"/>
    <s v="Kachin"/>
    <s v="Hpakant"/>
    <s v="Maw Wan, Mu-yin Baptist Church"/>
    <m/>
    <m/>
    <m/>
    <m/>
    <m/>
    <m/>
    <m/>
    <m/>
    <m/>
    <m/>
    <n v="11"/>
    <n v="15"/>
    <m/>
    <m/>
    <m/>
    <m/>
    <m/>
    <n v="0"/>
    <n v="0"/>
    <n v="0"/>
    <n v="0"/>
    <n v="0"/>
    <n v="0"/>
    <n v="0"/>
    <n v="0"/>
    <n v="0"/>
    <n v="0"/>
    <n v="0"/>
    <n v="0"/>
    <n v="0"/>
    <n v="0"/>
    <x v="1"/>
    <n v="0"/>
    <s v="MMR001CMP091"/>
    <x v="2"/>
    <x v="1"/>
    <x v="2"/>
    <n v="0"/>
    <m/>
    <m/>
  </r>
  <r>
    <n v="40.6"/>
    <d v="2013-03-20T00:00:00"/>
    <x v="0"/>
    <s v="UNHCR"/>
    <s v="Kachin"/>
    <s v="Hpakant"/>
    <s v="Anglican Church, Hmaw Si Sar"/>
    <m/>
    <m/>
    <n v="38"/>
    <n v="11"/>
    <n v="11"/>
    <n v="87"/>
    <n v="11"/>
    <n v="26"/>
    <n v="26"/>
    <n v="26"/>
    <m/>
    <m/>
    <m/>
    <m/>
    <m/>
    <m/>
    <m/>
    <n v="0"/>
    <n v="0"/>
    <n v="0"/>
    <n v="0"/>
    <n v="0"/>
    <n v="0"/>
    <n v="0"/>
    <n v="0"/>
    <n v="0"/>
    <n v="0"/>
    <n v="0"/>
    <n v="0"/>
    <n v="0"/>
    <n v="0"/>
    <x v="0"/>
    <n v="0"/>
    <s v="MMR001CMP173"/>
    <x v="2"/>
    <x v="2"/>
    <x v="0"/>
    <s v=""/>
    <s v="No"/>
    <m/>
  </r>
  <r>
    <n v="40.6"/>
    <d v="2013-03-20T00:00:00"/>
    <x v="0"/>
    <s v="UNHCR"/>
    <s v="Kachin"/>
    <s v="Hpakant"/>
    <s v="Chin Church, Seik Mu"/>
    <m/>
    <m/>
    <n v="3"/>
    <n v="8"/>
    <n v="8"/>
    <n v="15"/>
    <n v="8"/>
    <n v="15"/>
    <n v="15"/>
    <n v="15"/>
    <m/>
    <m/>
    <m/>
    <m/>
    <m/>
    <m/>
    <m/>
    <n v="0"/>
    <n v="0"/>
    <n v="0"/>
    <n v="0"/>
    <n v="0"/>
    <n v="0"/>
    <n v="0"/>
    <n v="0"/>
    <n v="0"/>
    <n v="0"/>
    <n v="0"/>
    <n v="0"/>
    <n v="0"/>
    <n v="0"/>
    <x v="0"/>
    <n v="0"/>
    <s v="MMR001CMP109"/>
    <x v="2"/>
    <x v="1"/>
    <x v="2"/>
    <n v="1.3333333333333333"/>
    <s v="No"/>
    <m/>
  </r>
  <r>
    <n v="40.6"/>
    <d v="2013-03-20T00:00:00"/>
    <x v="0"/>
    <s v="UNHCR"/>
    <s v="Kachin"/>
    <s v="Hpakant"/>
    <s v="Chin(Zomi) Baptist Church"/>
    <m/>
    <m/>
    <n v="9"/>
    <n v="6"/>
    <n v="6"/>
    <n v="15"/>
    <n v="6"/>
    <n v="15"/>
    <n v="15"/>
    <n v="15"/>
    <m/>
    <m/>
    <m/>
    <m/>
    <m/>
    <m/>
    <m/>
    <n v="0"/>
    <n v="0"/>
    <n v="0"/>
    <n v="0"/>
    <n v="0"/>
    <n v="0"/>
    <n v="0"/>
    <n v="0"/>
    <n v="0"/>
    <n v="0"/>
    <n v="0"/>
    <n v="0"/>
    <n v="0"/>
    <n v="0"/>
    <x v="0"/>
    <n v="0"/>
    <s v="MMR001CMP086"/>
    <x v="2"/>
    <x v="2"/>
    <x v="0"/>
    <s v=""/>
    <s v="No"/>
    <m/>
  </r>
  <r>
    <n v="43.233333333333334"/>
    <d v="2012-12-31T00:00:00"/>
    <x v="3"/>
    <s v="DRC"/>
    <s v="Kachin"/>
    <s v="Hpakant"/>
    <s v="Maw Wan, Mu-yin Baptist Church"/>
    <n v="2"/>
    <m/>
    <m/>
    <m/>
    <m/>
    <m/>
    <m/>
    <m/>
    <n v="0"/>
    <n v="0"/>
    <m/>
    <m/>
    <m/>
    <m/>
    <m/>
    <m/>
    <m/>
    <n v="0"/>
    <n v="0"/>
    <n v="0"/>
    <n v="0"/>
    <n v="0"/>
    <n v="0"/>
    <n v="0"/>
    <n v="0"/>
    <n v="0"/>
    <n v="0"/>
    <n v="0"/>
    <n v="0"/>
    <n v="0"/>
    <n v="0"/>
    <x v="0"/>
    <n v="0"/>
    <s v="MMR001CMP091"/>
    <x v="2"/>
    <x v="1"/>
    <x v="2"/>
    <n v="0"/>
    <s v="No"/>
    <m/>
  </r>
  <r>
    <n v="40.6"/>
    <d v="2013-03-20T00:00:00"/>
    <x v="0"/>
    <s v="UNHCR"/>
    <s v="Kachin"/>
    <s v="Hpakant"/>
    <s v="Lisu Baptist Church, Maw Wan Ward"/>
    <m/>
    <m/>
    <n v="32"/>
    <n v="27"/>
    <n v="27"/>
    <n v="66"/>
    <n v="27"/>
    <n v="66"/>
    <n v="66"/>
    <n v="66"/>
    <m/>
    <m/>
    <m/>
    <m/>
    <m/>
    <m/>
    <m/>
    <n v="0"/>
    <n v="0"/>
    <n v="0"/>
    <n v="0"/>
    <n v="0"/>
    <n v="0"/>
    <n v="0"/>
    <n v="0"/>
    <n v="0"/>
    <n v="0"/>
    <n v="0"/>
    <n v="0"/>
    <n v="0"/>
    <n v="0"/>
    <x v="0"/>
    <n v="0"/>
    <s v="MMR001CMP167"/>
    <x v="2"/>
    <x v="1"/>
    <x v="2"/>
    <n v="1.8"/>
    <s v="No"/>
    <m/>
  </r>
  <r>
    <n v="43.233333333333334"/>
    <d v="2012-12-31T00:00:00"/>
    <x v="3"/>
    <s v="DRC"/>
    <s v="Kachin"/>
    <s v="Hpakant"/>
    <s v="May Di Ka Rama Monastery(Lon Khin)"/>
    <n v="5"/>
    <m/>
    <m/>
    <m/>
    <m/>
    <m/>
    <m/>
    <m/>
    <n v="0"/>
    <n v="0"/>
    <m/>
    <m/>
    <m/>
    <m/>
    <m/>
    <m/>
    <m/>
    <n v="0"/>
    <n v="0"/>
    <n v="0"/>
    <n v="0"/>
    <n v="0"/>
    <n v="0"/>
    <n v="0"/>
    <n v="0"/>
    <n v="0"/>
    <n v="0"/>
    <n v="0"/>
    <n v="0"/>
    <n v="0"/>
    <n v="0"/>
    <x v="0"/>
    <n v="0"/>
    <s v="MMR001CMP178"/>
    <x v="2"/>
    <x v="2"/>
    <x v="0"/>
    <s v=""/>
    <s v="No"/>
    <m/>
  </r>
  <r>
    <n v="32.1"/>
    <d v="2013-11-30T00:00:00"/>
    <x v="4"/>
    <s v="MDCG"/>
    <s v="Shan_North"/>
    <s v="Kutkai"/>
    <s v="Mine Yu Lay village"/>
    <m/>
    <m/>
    <m/>
    <m/>
    <m/>
    <n v="258"/>
    <m/>
    <m/>
    <m/>
    <m/>
    <n v="349"/>
    <n v="175"/>
    <n v="0"/>
    <m/>
    <m/>
    <m/>
    <m/>
    <n v="0"/>
    <n v="0"/>
    <n v="0"/>
    <n v="0"/>
    <n v="0"/>
    <n v="0"/>
    <n v="0"/>
    <n v="0"/>
    <n v="0"/>
    <n v="0"/>
    <n v="0"/>
    <n v="0"/>
    <n v="0"/>
    <n v="0"/>
    <x v="1"/>
    <n v="0"/>
    <s v="MMR015CMP018"/>
    <x v="2"/>
    <x v="1"/>
    <x v="4"/>
    <n v="0"/>
    <s v="No"/>
    <m/>
  </r>
  <r>
    <n v="40.6"/>
    <d v="2013-03-20T00:00:00"/>
    <x v="0"/>
    <s v="UNHCR"/>
    <s v="Kachin"/>
    <s v="Hpakant"/>
    <s v="Maw Wan, Kachin Baptist Church"/>
    <m/>
    <m/>
    <n v="18"/>
    <n v="17"/>
    <n v="17"/>
    <n v="42"/>
    <n v="17"/>
    <n v="42"/>
    <n v="42"/>
    <n v="42"/>
    <m/>
    <m/>
    <m/>
    <m/>
    <m/>
    <m/>
    <m/>
    <n v="0"/>
    <n v="0"/>
    <n v="0"/>
    <n v="0"/>
    <n v="0"/>
    <n v="0"/>
    <n v="0"/>
    <n v="0"/>
    <n v="0"/>
    <n v="0"/>
    <n v="0"/>
    <n v="0"/>
    <n v="0"/>
    <n v="0"/>
    <x v="0"/>
    <n v="0"/>
    <s v="MMR001CMP085"/>
    <x v="2"/>
    <x v="2"/>
    <x v="0"/>
    <s v=""/>
    <s v="No"/>
    <m/>
  </r>
  <r>
    <n v="40.6"/>
    <d v="2013-03-20T00:00:00"/>
    <x v="0"/>
    <s v="UNHCR"/>
    <s v="Kachin"/>
    <s v="Hpakant"/>
    <s v="Maw Wan, Mu-yin Baptist Church"/>
    <m/>
    <m/>
    <n v="17"/>
    <n v="17"/>
    <n v="17"/>
    <n v="41"/>
    <n v="17"/>
    <n v="41"/>
    <n v="41"/>
    <n v="41"/>
    <m/>
    <m/>
    <m/>
    <m/>
    <m/>
    <m/>
    <m/>
    <n v="0"/>
    <n v="0"/>
    <n v="0"/>
    <n v="0"/>
    <n v="0"/>
    <n v="0"/>
    <n v="0"/>
    <n v="0"/>
    <n v="0"/>
    <n v="0"/>
    <n v="0"/>
    <n v="0"/>
    <n v="0"/>
    <n v="0"/>
    <x v="0"/>
    <n v="0"/>
    <s v="MMR001CMP091"/>
    <x v="2"/>
    <x v="1"/>
    <x v="2"/>
    <n v="3.4"/>
    <s v="No"/>
    <m/>
  </r>
  <r>
    <n v="40.6"/>
    <d v="2013-03-20T00:00:00"/>
    <x v="0"/>
    <s v="UNHCR"/>
    <s v="Kachin"/>
    <s v="Hpakant"/>
    <s v="Muring Baptist Church, Awng Ra, Wa Ra Zut VT"/>
    <m/>
    <m/>
    <n v="48"/>
    <n v="48"/>
    <n v="48"/>
    <n v="98"/>
    <n v="48"/>
    <n v="98"/>
    <n v="98"/>
    <n v="98"/>
    <m/>
    <m/>
    <m/>
    <m/>
    <m/>
    <m/>
    <m/>
    <n v="0"/>
    <n v="0"/>
    <n v="0"/>
    <n v="0"/>
    <n v="0"/>
    <n v="0"/>
    <n v="0"/>
    <n v="0"/>
    <n v="0"/>
    <n v="0"/>
    <n v="0"/>
    <n v="0"/>
    <n v="0"/>
    <n v="0"/>
    <x v="0"/>
    <n v="0"/>
    <s v="MMR001CMP177"/>
    <x v="2"/>
    <x v="2"/>
    <x v="0"/>
    <s v=""/>
    <s v="No"/>
    <m/>
  </r>
  <r>
    <n v="40.6"/>
    <d v="2013-03-20T00:00:00"/>
    <x v="0"/>
    <s v="UNHCR"/>
    <s v="Kachin"/>
    <s v="Hpakant"/>
    <s v="Ward 2 Sai Taung Baptist Church, Seik Mu "/>
    <m/>
    <m/>
    <n v="124"/>
    <n v="117"/>
    <n v="121"/>
    <n v="227"/>
    <n v="122"/>
    <n v="263"/>
    <n v="263"/>
    <n v="263"/>
    <m/>
    <m/>
    <m/>
    <m/>
    <m/>
    <m/>
    <m/>
    <n v="0"/>
    <n v="0"/>
    <n v="0"/>
    <n v="0"/>
    <n v="0"/>
    <n v="0"/>
    <n v="0"/>
    <n v="0"/>
    <n v="0"/>
    <n v="0"/>
    <n v="0"/>
    <n v="0"/>
    <n v="0"/>
    <n v="0"/>
    <x v="0"/>
    <n v="0"/>
    <s v="MMR001CMP184"/>
    <x v="2"/>
    <x v="1"/>
    <x v="2"/>
    <n v="3.4857142857142858"/>
    <s v="No"/>
    <m/>
  </r>
  <r>
    <n v="40.6"/>
    <d v="2013-03-20T00:00:00"/>
    <x v="0"/>
    <s v="UNHCR"/>
    <s v="Kachin"/>
    <s v="Hpakant"/>
    <s v="Wrad(5) Christian Association"/>
    <m/>
    <m/>
    <n v="34"/>
    <n v="26"/>
    <n v="26"/>
    <n v="60"/>
    <n v="26"/>
    <n v="60"/>
    <n v="60"/>
    <n v="60"/>
    <m/>
    <m/>
    <m/>
    <m/>
    <m/>
    <m/>
    <m/>
    <n v="0"/>
    <n v="0"/>
    <n v="0"/>
    <n v="0"/>
    <n v="0"/>
    <n v="0"/>
    <n v="0"/>
    <n v="0"/>
    <n v="0"/>
    <n v="0"/>
    <n v="0"/>
    <n v="0"/>
    <n v="0"/>
    <n v="0"/>
    <x v="0"/>
    <n v="0"/>
    <s v="MMR001CMP175"/>
    <x v="2"/>
    <x v="2"/>
    <x v="0"/>
    <s v=""/>
    <s v="No"/>
    <m/>
  </r>
  <r>
    <n v="40.6"/>
    <d v="2013-03-20T00:00:00"/>
    <x v="0"/>
    <s v="UNHCR"/>
    <s v="Kachin"/>
    <s v="Hpakant"/>
    <s v="Zomee Baptist Church camp, Hmaw Wan"/>
    <m/>
    <m/>
    <n v="6"/>
    <n v="0"/>
    <n v="0"/>
    <n v="11"/>
    <n v="0"/>
    <n v="0"/>
    <m/>
    <m/>
    <m/>
    <m/>
    <m/>
    <m/>
    <m/>
    <m/>
    <m/>
    <n v="0"/>
    <n v="0"/>
    <n v="0"/>
    <n v="0"/>
    <n v="0"/>
    <n v="0"/>
    <n v="0"/>
    <n v="0"/>
    <n v="0"/>
    <n v="0"/>
    <n v="0"/>
    <n v="0"/>
    <n v="0"/>
    <n v="0"/>
    <x v="0"/>
    <n v="0"/>
    <s v="MMR001CMP201"/>
    <x v="2"/>
    <x v="2"/>
    <x v="0"/>
    <s v=""/>
    <s v="No"/>
    <m/>
  </r>
  <r>
    <n v="41.06666666666667"/>
    <d v="2013-03-06T00:00:00"/>
    <x v="0"/>
    <s v="UNHCR"/>
    <s v="Kachin"/>
    <s v="Waingmaw"/>
    <s v="Maina KBC (Bawng Ring)"/>
    <m/>
    <m/>
    <n v="34"/>
    <n v="73"/>
    <n v="38"/>
    <n v="73"/>
    <n v="38"/>
    <n v="33"/>
    <n v="33"/>
    <n v="33"/>
    <m/>
    <m/>
    <m/>
    <m/>
    <m/>
    <m/>
    <m/>
    <n v="0"/>
    <n v="0"/>
    <n v="0"/>
    <n v="0"/>
    <n v="0"/>
    <n v="0"/>
    <n v="0"/>
    <n v="0"/>
    <n v="0"/>
    <n v="0"/>
    <n v="0"/>
    <n v="0"/>
    <n v="0"/>
    <n v="0"/>
    <x v="0"/>
    <n v="0"/>
    <s v="MMR001CMP040"/>
    <x v="2"/>
    <x v="1"/>
    <x v="2"/>
    <n v="9.5959595959595953E-2"/>
    <s v="No"/>
    <m/>
  </r>
  <r>
    <n v="41.06666666666667"/>
    <d v="2013-03-06T00:00:00"/>
    <x v="0"/>
    <s v="UNHCR"/>
    <s v="Kachin"/>
    <s v="Waingmaw"/>
    <s v="Qtr. 2 Lhaovo Baptist Church"/>
    <m/>
    <m/>
    <n v="6"/>
    <n v="11"/>
    <n v="5"/>
    <n v="11"/>
    <n v="5"/>
    <n v="5"/>
    <n v="5"/>
    <n v="5"/>
    <m/>
    <m/>
    <m/>
    <m/>
    <m/>
    <m/>
    <m/>
    <n v="0"/>
    <n v="0"/>
    <n v="0"/>
    <n v="0"/>
    <n v="0"/>
    <n v="0"/>
    <n v="0"/>
    <n v="0"/>
    <n v="0"/>
    <n v="0"/>
    <n v="0"/>
    <n v="0"/>
    <n v="0"/>
    <n v="0"/>
    <x v="0"/>
    <n v="0"/>
    <s v="MMR001CMP032"/>
    <x v="2"/>
    <x v="1"/>
    <x v="2"/>
    <n v="5.4945054945054944E-2"/>
    <s v="No"/>
    <m/>
  </r>
  <r>
    <n v="49.1"/>
    <d v="2012-07-08T00:00:00"/>
    <x v="5"/>
    <s v="Solidarities"/>
    <s v="Kachin"/>
    <s v="Momauk"/>
    <s v="Momauk Baptist Church"/>
    <n v="64"/>
    <m/>
    <m/>
    <m/>
    <m/>
    <m/>
    <m/>
    <m/>
    <m/>
    <m/>
    <m/>
    <m/>
    <m/>
    <m/>
    <m/>
    <m/>
    <m/>
    <n v="0"/>
    <n v="0"/>
    <n v="0"/>
    <n v="0"/>
    <n v="0"/>
    <n v="0"/>
    <n v="0"/>
    <n v="0"/>
    <n v="0"/>
    <n v="0"/>
    <n v="0"/>
    <n v="0"/>
    <n v="0"/>
    <n v="0"/>
    <x v="0"/>
    <n v="0"/>
    <s v="MMR001CMP056"/>
    <x v="2"/>
    <x v="1"/>
    <x v="2"/>
    <n v="0"/>
    <m/>
    <m/>
  </r>
  <r>
    <n v="54.1"/>
    <d v="2012-02-09T00:00:00"/>
    <x v="5"/>
    <s v="Solidarities"/>
    <s v="Kachin"/>
    <s v="Momauk"/>
    <s v="Momauk Baptist Church"/>
    <n v="138"/>
    <m/>
    <m/>
    <m/>
    <m/>
    <m/>
    <m/>
    <m/>
    <m/>
    <m/>
    <m/>
    <m/>
    <m/>
    <m/>
    <m/>
    <m/>
    <m/>
    <n v="0"/>
    <n v="0"/>
    <n v="0"/>
    <n v="0"/>
    <n v="0"/>
    <n v="0"/>
    <n v="0"/>
    <n v="0"/>
    <n v="0"/>
    <n v="0"/>
    <n v="0"/>
    <n v="0"/>
    <n v="0"/>
    <n v="0"/>
    <x v="0"/>
    <n v="0"/>
    <s v="MMR001CMP056"/>
    <x v="2"/>
    <x v="1"/>
    <x v="2"/>
    <n v="0"/>
    <m/>
    <m/>
  </r>
  <r>
    <n v="25.2"/>
    <d v="2014-06-25T00:00:00"/>
    <x v="6"/>
    <s v="MRCS"/>
    <s v="Kachin"/>
    <s v="Momauk"/>
    <s v="Momauk Baptist Church"/>
    <m/>
    <m/>
    <m/>
    <m/>
    <m/>
    <m/>
    <m/>
    <m/>
    <m/>
    <m/>
    <m/>
    <m/>
    <m/>
    <n v="832"/>
    <m/>
    <m/>
    <m/>
    <n v="0"/>
    <n v="0"/>
    <n v="0"/>
    <n v="0"/>
    <n v="0"/>
    <n v="0"/>
    <n v="0"/>
    <n v="0"/>
    <n v="0"/>
    <n v="0"/>
    <n v="0"/>
    <n v="0"/>
    <n v="0"/>
    <n v="0"/>
    <x v="1"/>
    <n v="0"/>
    <s v="MMR001CMP056"/>
    <x v="2"/>
    <x v="1"/>
    <x v="2"/>
    <n v="0"/>
    <m/>
    <m/>
  </r>
  <r>
    <n v="41.3"/>
    <d v="2013-02-27T00:00:00"/>
    <x v="0"/>
    <s v="UNHCR"/>
    <s v="Kachin"/>
    <s v="Waingmaw"/>
    <s v="Maina AG Church"/>
    <m/>
    <m/>
    <n v="23"/>
    <n v="40"/>
    <n v="18"/>
    <n v="40"/>
    <n v="18"/>
    <n v="18"/>
    <n v="18"/>
    <n v="18"/>
    <m/>
    <m/>
    <m/>
    <m/>
    <m/>
    <m/>
    <m/>
    <n v="0"/>
    <n v="0"/>
    <n v="0"/>
    <n v="0"/>
    <n v="0"/>
    <n v="0"/>
    <n v="0"/>
    <n v="0"/>
    <n v="0"/>
    <n v="0"/>
    <n v="0"/>
    <n v="0"/>
    <n v="0"/>
    <n v="0"/>
    <x v="0"/>
    <n v="0"/>
    <s v="MMR001CMP031"/>
    <x v="2"/>
    <x v="1"/>
    <x v="2"/>
    <n v="0.12587412587412589"/>
    <s v="No"/>
    <m/>
  </r>
  <r>
    <n v="41.366666666666667"/>
    <d v="2013-02-25T00:00:00"/>
    <x v="0"/>
    <s v="Chipwe CM"/>
    <s v="Kachin"/>
    <s v="Chipwi"/>
    <s v="Chipwi KBC camp"/>
    <m/>
    <m/>
    <n v="11"/>
    <n v="17"/>
    <n v="7"/>
    <n v="17"/>
    <n v="7"/>
    <n v="7"/>
    <n v="7"/>
    <n v="7"/>
    <m/>
    <m/>
    <m/>
    <m/>
    <m/>
    <m/>
    <m/>
    <n v="0"/>
    <n v="0"/>
    <n v="0"/>
    <n v="0"/>
    <n v="0"/>
    <n v="0"/>
    <n v="0"/>
    <n v="0"/>
    <n v="0"/>
    <n v="0"/>
    <n v="0"/>
    <n v="0"/>
    <n v="0"/>
    <n v="0"/>
    <x v="0"/>
    <n v="0"/>
    <s v="MMR001CMP042"/>
    <x v="2"/>
    <x v="1"/>
    <x v="3"/>
    <n v="6.4220183486238536E-2"/>
    <s v="No"/>
    <m/>
  </r>
  <r>
    <n v="41.366666666666667"/>
    <d v="2013-02-25T00:00:00"/>
    <x v="0"/>
    <s v="Chipwe CM"/>
    <s v="Kachin"/>
    <s v="Chipwi"/>
    <s v="Gant Gwin"/>
    <m/>
    <m/>
    <n v="11"/>
    <n v="17"/>
    <n v="7"/>
    <n v="17"/>
    <n v="7"/>
    <n v="7"/>
    <n v="7"/>
    <n v="7"/>
    <m/>
    <m/>
    <m/>
    <m/>
    <m/>
    <m/>
    <m/>
    <n v="0"/>
    <n v="0"/>
    <n v="0"/>
    <n v="0"/>
    <n v="0"/>
    <n v="0"/>
    <n v="0"/>
    <n v="0"/>
    <n v="0"/>
    <n v="0"/>
    <n v="0"/>
    <n v="0"/>
    <n v="0"/>
    <n v="0"/>
    <x v="0"/>
    <n v="0"/>
    <s v="MMR001CMP046"/>
    <x v="2"/>
    <x v="2"/>
    <x v="3"/>
    <s v=""/>
    <s v="No"/>
    <m/>
  </r>
  <r>
    <n v="41.366666666666667"/>
    <d v="2013-02-25T00:00:00"/>
    <x v="0"/>
    <s v="Chipwe CM"/>
    <s v="Kachin"/>
    <s v="Chipwi"/>
    <s v="Hpare Hkyer - BP6"/>
    <m/>
    <m/>
    <n v="11"/>
    <n v="17"/>
    <n v="7"/>
    <n v="17"/>
    <n v="7"/>
    <n v="7"/>
    <n v="7"/>
    <n v="7"/>
    <m/>
    <m/>
    <m/>
    <m/>
    <m/>
    <m/>
    <m/>
    <n v="0"/>
    <n v="0"/>
    <n v="0"/>
    <n v="0"/>
    <n v="0"/>
    <n v="0"/>
    <n v="0"/>
    <n v="0"/>
    <n v="0"/>
    <n v="0"/>
    <n v="0"/>
    <n v="0"/>
    <n v="0"/>
    <n v="0"/>
    <x v="0"/>
    <n v="0"/>
    <s v="MMR001CMP043"/>
    <x v="2"/>
    <x v="1"/>
    <x v="3"/>
    <n v="4.6052631578947366E-2"/>
    <s v="No"/>
    <m/>
  </r>
  <r>
    <n v="41.366666666666667"/>
    <d v="2013-02-25T00:00:00"/>
    <x v="0"/>
    <s v="Chipwe CM"/>
    <s v="Kachin"/>
    <s v="Chipwi"/>
    <s v="Lan Jaw "/>
    <m/>
    <m/>
    <n v="11"/>
    <n v="17"/>
    <n v="7"/>
    <n v="17"/>
    <n v="7"/>
    <n v="7"/>
    <n v="7"/>
    <n v="7"/>
    <m/>
    <m/>
    <m/>
    <m/>
    <m/>
    <m/>
    <m/>
    <n v="0"/>
    <n v="0"/>
    <n v="0"/>
    <n v="0"/>
    <n v="0"/>
    <n v="0"/>
    <n v="0"/>
    <n v="0"/>
    <n v="0"/>
    <n v="0"/>
    <n v="0"/>
    <n v="0"/>
    <n v="0"/>
    <n v="0"/>
    <x v="0"/>
    <n v="0"/>
    <s v="MMR001CMP045"/>
    <x v="2"/>
    <x v="1"/>
    <x v="3"/>
    <s v=""/>
    <s v="No"/>
    <m/>
  </r>
  <r>
    <n v="41.366666666666667"/>
    <d v="2013-02-25T00:00:00"/>
    <x v="0"/>
    <s v="Chipwe CM"/>
    <s v="Kachin"/>
    <s v="Chipwi"/>
    <s v="Lhaovao Baptist Church (LBC)"/>
    <m/>
    <m/>
    <n v="12"/>
    <n v="17"/>
    <n v="7"/>
    <n v="17"/>
    <n v="7"/>
    <n v="7"/>
    <n v="7"/>
    <n v="7"/>
    <m/>
    <m/>
    <m/>
    <m/>
    <m/>
    <m/>
    <m/>
    <n v="0"/>
    <n v="0"/>
    <n v="0"/>
    <n v="0"/>
    <n v="0"/>
    <n v="0"/>
    <n v="0"/>
    <n v="0"/>
    <n v="0"/>
    <n v="0"/>
    <n v="0"/>
    <n v="0"/>
    <n v="0"/>
    <n v="0"/>
    <x v="0"/>
    <n v="0"/>
    <s v="MMR001CMP195"/>
    <x v="2"/>
    <x v="1"/>
    <x v="3"/>
    <n v="4.8951048951048952E-2"/>
    <s v="No"/>
    <m/>
  </r>
  <r>
    <n v="32.1"/>
    <d v="2013-11-30T00:00:00"/>
    <x v="5"/>
    <m/>
    <s v="Kachin"/>
    <s v="Momauk"/>
    <s v="Momauk Baptist Church"/>
    <m/>
    <m/>
    <m/>
    <m/>
    <m/>
    <m/>
    <m/>
    <m/>
    <m/>
    <n v="906"/>
    <m/>
    <m/>
    <m/>
    <m/>
    <m/>
    <m/>
    <m/>
    <n v="0"/>
    <n v="0"/>
    <n v="0"/>
    <n v="0"/>
    <n v="0"/>
    <n v="0"/>
    <n v="0"/>
    <n v="0"/>
    <n v="0"/>
    <n v="0"/>
    <n v="0"/>
    <n v="0"/>
    <n v="0"/>
    <n v="0"/>
    <x v="0"/>
    <n v="0"/>
    <s v="MMR001CMP056"/>
    <x v="2"/>
    <x v="1"/>
    <x v="2"/>
    <n v="0"/>
    <s v="No"/>
    <m/>
  </r>
  <r>
    <n v="42.7"/>
    <d v="2013-01-16T00:00:00"/>
    <x v="5"/>
    <s v="Solidarities"/>
    <s v="Kachin"/>
    <s v="Momauk"/>
    <s v="Momauk Baptist Church"/>
    <n v="1215"/>
    <m/>
    <m/>
    <m/>
    <m/>
    <m/>
    <m/>
    <m/>
    <n v="0"/>
    <n v="0"/>
    <m/>
    <m/>
    <m/>
    <m/>
    <m/>
    <m/>
    <m/>
    <n v="0"/>
    <n v="0"/>
    <n v="0"/>
    <n v="0"/>
    <n v="0"/>
    <n v="0"/>
    <n v="0"/>
    <n v="0"/>
    <n v="0"/>
    <n v="0"/>
    <n v="0"/>
    <n v="0"/>
    <n v="0"/>
    <n v="0"/>
    <x v="0"/>
    <n v="0"/>
    <s v="MMR001CMP056"/>
    <x v="2"/>
    <x v="1"/>
    <x v="2"/>
    <n v="0"/>
    <s v="No"/>
    <m/>
  </r>
  <r>
    <n v="41.366666666666667"/>
    <d v="2013-02-25T00:00:00"/>
    <x v="0"/>
    <s v="Chipwe CM"/>
    <s v="Kachin"/>
    <s v="Chipwi"/>
    <s v="Women's Affairs Association Building"/>
    <m/>
    <m/>
    <n v="12"/>
    <n v="18"/>
    <n v="8"/>
    <n v="18"/>
    <n v="8"/>
    <n v="8"/>
    <n v="8"/>
    <n v="8"/>
    <m/>
    <m/>
    <m/>
    <m/>
    <m/>
    <m/>
    <m/>
    <n v="0"/>
    <n v="0"/>
    <n v="0"/>
    <n v="0"/>
    <n v="0"/>
    <n v="0"/>
    <n v="0"/>
    <n v="0"/>
    <n v="0"/>
    <n v="0"/>
    <n v="0"/>
    <n v="0"/>
    <n v="0"/>
    <n v="0"/>
    <x v="0"/>
    <n v="0"/>
    <s v="MMR001CMP044"/>
    <x v="2"/>
    <x v="2"/>
    <x v="0"/>
    <s v=""/>
    <s v="No"/>
    <m/>
  </r>
  <r>
    <n v="25.3"/>
    <d v="2014-06-22T00:00:00"/>
    <x v="6"/>
    <s v="MRCS"/>
    <s v="Kachin"/>
    <s v="Momauk"/>
    <s v="Momauk Catholic Church (St. Patrick)"/>
    <m/>
    <m/>
    <m/>
    <m/>
    <m/>
    <m/>
    <m/>
    <m/>
    <m/>
    <m/>
    <m/>
    <m/>
    <m/>
    <n v="462"/>
    <m/>
    <m/>
    <m/>
    <n v="0"/>
    <n v="0"/>
    <n v="0"/>
    <n v="0"/>
    <n v="0"/>
    <n v="0"/>
    <n v="0"/>
    <n v="0"/>
    <n v="0"/>
    <n v="0"/>
    <n v="0"/>
    <n v="0"/>
    <n v="0"/>
    <n v="0"/>
    <x v="1"/>
    <n v="0"/>
    <s v="MMR001CMP057"/>
    <x v="2"/>
    <x v="2"/>
    <x v="2"/>
    <s v=""/>
    <m/>
    <m/>
  </r>
  <r>
    <n v="32.1"/>
    <d v="2013-11-30T00:00:00"/>
    <x v="5"/>
    <m/>
    <s v="Kachin"/>
    <s v="Momauk"/>
    <s v="Momauk Catholic Church (St. Patrick)"/>
    <m/>
    <m/>
    <m/>
    <m/>
    <m/>
    <m/>
    <m/>
    <m/>
    <m/>
    <n v="543"/>
    <m/>
    <m/>
    <m/>
    <m/>
    <m/>
    <m/>
    <m/>
    <n v="0"/>
    <n v="0"/>
    <n v="0"/>
    <n v="0"/>
    <n v="0"/>
    <n v="0"/>
    <n v="0"/>
    <n v="0"/>
    <n v="0"/>
    <n v="0"/>
    <n v="0"/>
    <n v="0"/>
    <n v="0"/>
    <n v="0"/>
    <x v="0"/>
    <n v="0"/>
    <s v="MMR001CMP057"/>
    <x v="2"/>
    <x v="2"/>
    <x v="2"/>
    <s v=""/>
    <s v="No"/>
    <m/>
  </r>
  <r>
    <n v="42.43333333333333"/>
    <d v="2013-01-24T00:00:00"/>
    <x v="5"/>
    <s v="Solidarities"/>
    <s v="Kachin"/>
    <s v="Momauk"/>
    <s v="Momauk Catholic Church (St. Patrick)"/>
    <n v="793"/>
    <m/>
    <m/>
    <m/>
    <m/>
    <m/>
    <m/>
    <m/>
    <n v="0"/>
    <n v="0"/>
    <m/>
    <m/>
    <m/>
    <m/>
    <m/>
    <m/>
    <m/>
    <n v="0"/>
    <n v="0"/>
    <n v="0"/>
    <n v="0"/>
    <n v="0"/>
    <n v="0"/>
    <n v="0"/>
    <n v="0"/>
    <n v="0"/>
    <n v="0"/>
    <n v="0"/>
    <n v="0"/>
    <n v="0"/>
    <n v="0"/>
    <x v="0"/>
    <n v="0"/>
    <s v="MMR001CMP057"/>
    <x v="2"/>
    <x v="2"/>
    <x v="2"/>
    <s v=""/>
    <s v="No"/>
    <m/>
  </r>
  <r>
    <n v="41.533333333333331"/>
    <d v="2013-02-20T00:00:00"/>
    <x v="0"/>
    <s v="UNHCR"/>
    <s v="Kachin"/>
    <s v="Hpakant"/>
    <s v="AG Church, Maw Wan"/>
    <m/>
    <m/>
    <m/>
    <n v="59"/>
    <n v="28"/>
    <n v="0"/>
    <n v="28"/>
    <n v="28"/>
    <n v="28"/>
    <n v="28"/>
    <m/>
    <m/>
    <m/>
    <m/>
    <m/>
    <m/>
    <m/>
    <n v="0"/>
    <n v="0"/>
    <n v="0"/>
    <n v="0"/>
    <n v="0"/>
    <n v="0"/>
    <n v="0"/>
    <n v="0"/>
    <n v="0"/>
    <n v="0"/>
    <n v="0"/>
    <n v="0"/>
    <n v="0"/>
    <n v="0"/>
    <x v="0"/>
    <n v="0"/>
    <s v="MMR001CMP190"/>
    <x v="2"/>
    <x v="1"/>
    <x v="2"/>
    <n v="2"/>
    <s v="No"/>
    <m/>
  </r>
  <r>
    <n v="41.533333333333331"/>
    <d v="2013-02-20T00:00:00"/>
    <x v="0"/>
    <s v="UNHCR"/>
    <s v="Kachin"/>
    <s v="Hpakant"/>
    <s v="Aye Mya Tharyar Church of Christ "/>
    <m/>
    <m/>
    <n v="18"/>
    <n v="0"/>
    <n v="0"/>
    <n v="0"/>
    <n v="0"/>
    <n v="0"/>
    <m/>
    <m/>
    <m/>
    <m/>
    <m/>
    <m/>
    <m/>
    <m/>
    <m/>
    <n v="0"/>
    <n v="0"/>
    <n v="0"/>
    <n v="0"/>
    <n v="0"/>
    <n v="0"/>
    <n v="0"/>
    <n v="0"/>
    <n v="0"/>
    <n v="0"/>
    <n v="0"/>
    <n v="0"/>
    <n v="0"/>
    <n v="0"/>
    <x v="0"/>
    <n v="0"/>
    <s v="MMR001CMP092"/>
    <x v="2"/>
    <x v="2"/>
    <x v="0"/>
    <s v=""/>
    <s v="No"/>
    <m/>
  </r>
  <r>
    <n v="41.533333333333331"/>
    <d v="2013-02-20T00:00:00"/>
    <x v="0"/>
    <s v="UNHCR"/>
    <s v="Kachin"/>
    <s v="Hpakant"/>
    <s v="Chin(Zomi) Baptist Church"/>
    <m/>
    <m/>
    <n v="13"/>
    <n v="28"/>
    <n v="15"/>
    <n v="28"/>
    <n v="15"/>
    <n v="15"/>
    <n v="15"/>
    <n v="15"/>
    <m/>
    <m/>
    <m/>
    <m/>
    <m/>
    <m/>
    <m/>
    <n v="0"/>
    <n v="0"/>
    <n v="0"/>
    <n v="0"/>
    <n v="0"/>
    <n v="0"/>
    <n v="0"/>
    <n v="0"/>
    <n v="0"/>
    <n v="0"/>
    <n v="0"/>
    <n v="0"/>
    <n v="0"/>
    <n v="0"/>
    <x v="0"/>
    <n v="0"/>
    <s v="MMR001CMP086"/>
    <x v="2"/>
    <x v="2"/>
    <x v="0"/>
    <s v=""/>
    <s v="No"/>
    <m/>
  </r>
  <r>
    <n v="54.06666666666667"/>
    <d v="2012-02-10T00:00:00"/>
    <x v="5"/>
    <s v="Solidarities"/>
    <s v="Kachin"/>
    <s v="Momauk"/>
    <s v="Momauk Catholic Church (St. Patrick)"/>
    <n v="192"/>
    <m/>
    <m/>
    <m/>
    <m/>
    <m/>
    <m/>
    <m/>
    <m/>
    <m/>
    <m/>
    <m/>
    <m/>
    <m/>
    <m/>
    <m/>
    <m/>
    <n v="0"/>
    <n v="0"/>
    <n v="0"/>
    <n v="0"/>
    <n v="0"/>
    <n v="0"/>
    <n v="0"/>
    <n v="0"/>
    <n v="0"/>
    <n v="0"/>
    <n v="0"/>
    <n v="0"/>
    <n v="0"/>
    <n v="0"/>
    <x v="0"/>
    <n v="0"/>
    <s v="MMR001CMP057"/>
    <x v="2"/>
    <x v="2"/>
    <x v="2"/>
    <s v=""/>
    <m/>
    <m/>
  </r>
  <r>
    <n v="41.533333333333331"/>
    <d v="2013-02-20T00:00:00"/>
    <x v="0"/>
    <s v="UNHCR"/>
    <s v="Kachin"/>
    <s v="Hpakant"/>
    <s v="Lisu Baptist Church, Maw Wan Ward"/>
    <m/>
    <m/>
    <n v="12"/>
    <n v="20"/>
    <n v="8"/>
    <n v="20"/>
    <n v="8"/>
    <n v="8"/>
    <n v="8"/>
    <n v="8"/>
    <m/>
    <m/>
    <m/>
    <m/>
    <m/>
    <m/>
    <m/>
    <n v="0"/>
    <n v="0"/>
    <n v="0"/>
    <n v="0"/>
    <n v="0"/>
    <n v="0"/>
    <n v="0"/>
    <n v="0"/>
    <n v="0"/>
    <n v="0"/>
    <n v="0"/>
    <n v="0"/>
    <n v="0"/>
    <n v="0"/>
    <x v="0"/>
    <n v="0"/>
    <s v="MMR001CMP167"/>
    <x v="2"/>
    <x v="1"/>
    <x v="2"/>
    <n v="0.53333333333333333"/>
    <s v="No"/>
    <m/>
  </r>
  <r>
    <n v="41.533333333333331"/>
    <d v="2013-02-20T00:00:00"/>
    <x v="0"/>
    <s v="UNHCR"/>
    <s v="Kachin"/>
    <s v="Hpakant"/>
    <s v="Mashi Kahtawng Baptist  Church"/>
    <m/>
    <m/>
    <n v="74"/>
    <n v="0"/>
    <n v="0"/>
    <n v="0"/>
    <n v="0"/>
    <n v="0"/>
    <m/>
    <m/>
    <m/>
    <m/>
    <m/>
    <m/>
    <m/>
    <m/>
    <m/>
    <n v="0"/>
    <n v="0"/>
    <n v="0"/>
    <n v="0"/>
    <n v="0"/>
    <n v="0"/>
    <n v="0"/>
    <n v="0"/>
    <n v="0"/>
    <n v="0"/>
    <n v="0"/>
    <n v="0"/>
    <n v="0"/>
    <n v="0"/>
    <x v="0"/>
    <n v="0"/>
    <s v="MMR001CMP094"/>
    <x v="2"/>
    <x v="2"/>
    <x v="0"/>
    <s v=""/>
    <s v="No"/>
    <m/>
  </r>
  <r>
    <n v="41.533333333333331"/>
    <d v="2013-02-20T00:00:00"/>
    <x v="0"/>
    <s v="UNHCR"/>
    <s v="Kachin"/>
    <s v="Hpakant"/>
    <s v="Mashi Kahtawng Catholic Church"/>
    <m/>
    <m/>
    <n v="16"/>
    <n v="26"/>
    <n v="13"/>
    <n v="26"/>
    <n v="13"/>
    <n v="13"/>
    <n v="13"/>
    <n v="13"/>
    <m/>
    <m/>
    <m/>
    <m/>
    <m/>
    <m/>
    <m/>
    <n v="0"/>
    <n v="0"/>
    <n v="0"/>
    <n v="0"/>
    <n v="0"/>
    <n v="0"/>
    <n v="0"/>
    <n v="0"/>
    <n v="0"/>
    <n v="0"/>
    <n v="0"/>
    <n v="0"/>
    <n v="0"/>
    <n v="0"/>
    <x v="0"/>
    <n v="0"/>
    <s v="MMR001CMP093"/>
    <x v="2"/>
    <x v="2"/>
    <x v="0"/>
    <s v=""/>
    <s v="No"/>
    <m/>
  </r>
  <r>
    <n v="41.533333333333331"/>
    <d v="2013-02-20T00:00:00"/>
    <x v="0"/>
    <s v="UNHCR"/>
    <s v="Kachin"/>
    <s v="Hpakant"/>
    <s v="Maw Wan, Kachin Baptist Church"/>
    <m/>
    <m/>
    <n v="85"/>
    <n v="138"/>
    <n v="65"/>
    <n v="138"/>
    <n v="65"/>
    <n v="65"/>
    <n v="65"/>
    <n v="65"/>
    <m/>
    <m/>
    <m/>
    <m/>
    <m/>
    <m/>
    <m/>
    <n v="0"/>
    <n v="0"/>
    <n v="0"/>
    <n v="0"/>
    <n v="0"/>
    <n v="0"/>
    <n v="0"/>
    <n v="0"/>
    <n v="0"/>
    <n v="0"/>
    <n v="0"/>
    <n v="0"/>
    <n v="0"/>
    <n v="0"/>
    <x v="0"/>
    <n v="0"/>
    <s v="MMR001CMP085"/>
    <x v="2"/>
    <x v="2"/>
    <x v="0"/>
    <s v=""/>
    <s v="No"/>
    <m/>
  </r>
  <r>
    <n v="41.533333333333331"/>
    <d v="2013-02-20T00:00:00"/>
    <x v="0"/>
    <s v="UNHCR"/>
    <s v="Kachin"/>
    <s v="Hpakant"/>
    <s v="Nant Ma Hpit Catholic Church"/>
    <m/>
    <m/>
    <n v="35"/>
    <n v="0"/>
    <n v="0"/>
    <n v="0"/>
    <n v="0"/>
    <n v="0"/>
    <m/>
    <m/>
    <m/>
    <m/>
    <m/>
    <m/>
    <m/>
    <m/>
    <m/>
    <n v="0"/>
    <n v="0"/>
    <n v="0"/>
    <n v="0"/>
    <n v="0"/>
    <n v="0"/>
    <n v="0"/>
    <n v="0"/>
    <n v="0"/>
    <n v="0"/>
    <n v="0"/>
    <n v="0"/>
    <n v="0"/>
    <n v="0"/>
    <x v="0"/>
    <n v="0"/>
    <s v="MMR001CMP103"/>
    <x v="2"/>
    <x v="1"/>
    <x v="2"/>
    <n v="0"/>
    <s v="No"/>
    <m/>
  </r>
  <r>
    <n v="41.533333333333331"/>
    <d v="2013-02-20T00:00:00"/>
    <x v="0"/>
    <s v="UNHCR"/>
    <s v="Kachin"/>
    <s v="Hpakant"/>
    <s v="Nant Ma Hpit Catholic Church"/>
    <m/>
    <m/>
    <n v="32"/>
    <n v="64"/>
    <n v="33"/>
    <n v="64"/>
    <n v="33"/>
    <n v="33"/>
    <n v="33"/>
    <n v="33"/>
    <m/>
    <m/>
    <m/>
    <m/>
    <m/>
    <m/>
    <m/>
    <n v="0"/>
    <n v="0"/>
    <n v="0"/>
    <n v="0"/>
    <n v="0"/>
    <n v="0"/>
    <n v="0"/>
    <n v="0"/>
    <n v="0"/>
    <n v="0"/>
    <n v="0"/>
    <n v="0"/>
    <n v="0"/>
    <n v="0"/>
    <x v="0"/>
    <n v="0"/>
    <s v="MMR001CMP103"/>
    <x v="2"/>
    <x v="1"/>
    <x v="2"/>
    <n v="0.63461538461538458"/>
    <s v="No"/>
    <m/>
  </r>
  <r>
    <n v="41.533333333333331"/>
    <d v="2013-02-20T00:00:00"/>
    <x v="0"/>
    <s v="UNHCR"/>
    <s v="Kachin"/>
    <s v="Hpakant"/>
    <s v="Nga Pyaw Taw Baptist Nursery School "/>
    <m/>
    <m/>
    <n v="175"/>
    <n v="0"/>
    <n v="0"/>
    <n v="0"/>
    <n v="0"/>
    <n v="0"/>
    <m/>
    <m/>
    <m/>
    <m/>
    <m/>
    <m/>
    <m/>
    <m/>
    <m/>
    <n v="0"/>
    <n v="0"/>
    <n v="0"/>
    <n v="0"/>
    <n v="0"/>
    <n v="0"/>
    <n v="0"/>
    <n v="0"/>
    <n v="0"/>
    <n v="0"/>
    <n v="0"/>
    <n v="0"/>
    <n v="0"/>
    <n v="0"/>
    <x v="0"/>
    <n v="0"/>
    <s v="MMR001CMP082"/>
    <x v="2"/>
    <x v="2"/>
    <x v="0"/>
    <s v=""/>
    <s v="No"/>
    <m/>
  </r>
  <r>
    <n v="43.233333333333334"/>
    <d v="2012-12-31T00:00:00"/>
    <x v="3"/>
    <s v="DRC"/>
    <s v="Kachin"/>
    <s v="Hpakant"/>
    <s v="Muring Baptist Church, Awng Ra, Wa Ra Zut VT"/>
    <n v="1"/>
    <m/>
    <m/>
    <m/>
    <m/>
    <m/>
    <m/>
    <m/>
    <n v="0"/>
    <n v="0"/>
    <m/>
    <m/>
    <m/>
    <m/>
    <m/>
    <m/>
    <m/>
    <n v="0"/>
    <n v="0"/>
    <n v="0"/>
    <n v="0"/>
    <n v="0"/>
    <n v="0"/>
    <n v="0"/>
    <n v="0"/>
    <n v="0"/>
    <n v="0"/>
    <n v="0"/>
    <n v="0"/>
    <n v="0"/>
    <n v="0"/>
    <x v="0"/>
    <n v="0"/>
    <s v="MMR001CMP177"/>
    <x v="2"/>
    <x v="2"/>
    <x v="0"/>
    <s v=""/>
    <s v="No"/>
    <m/>
  </r>
  <r>
    <n v="41.533333333333331"/>
    <d v="2013-02-20T00:00:00"/>
    <x v="0"/>
    <s v="UNHCR"/>
    <s v="Kachin"/>
    <s v="Hpakant"/>
    <s v="Nga Pyaw Taw Roman Catholic Church"/>
    <m/>
    <m/>
    <n v="38"/>
    <n v="89"/>
    <n v="44"/>
    <n v="89"/>
    <n v="44"/>
    <n v="44"/>
    <n v="44"/>
    <n v="44"/>
    <m/>
    <m/>
    <m/>
    <m/>
    <m/>
    <m/>
    <m/>
    <n v="0"/>
    <n v="0"/>
    <n v="0"/>
    <n v="0"/>
    <n v="0"/>
    <n v="0"/>
    <n v="0"/>
    <n v="0"/>
    <n v="0"/>
    <n v="0"/>
    <n v="0"/>
    <n v="0"/>
    <n v="0"/>
    <n v="0"/>
    <x v="0"/>
    <n v="0"/>
    <s v="MMR001CMP083"/>
    <x v="2"/>
    <x v="2"/>
    <x v="0"/>
    <s v=""/>
    <s v="No"/>
    <m/>
  </r>
  <r>
    <n v="41.533333333333331"/>
    <d v="2013-02-20T00:00:00"/>
    <x v="0"/>
    <s v="UNHCR"/>
    <s v="Kachin"/>
    <s v="Hpakant"/>
    <s v="Yumar Baptist Church"/>
    <m/>
    <m/>
    <n v="46"/>
    <n v="0"/>
    <n v="0"/>
    <n v="0"/>
    <n v="0"/>
    <n v="0"/>
    <m/>
    <m/>
    <m/>
    <m/>
    <m/>
    <m/>
    <m/>
    <m/>
    <m/>
    <n v="0"/>
    <n v="0"/>
    <n v="0"/>
    <n v="0"/>
    <n v="0"/>
    <n v="0"/>
    <n v="0"/>
    <n v="0"/>
    <n v="0"/>
    <n v="0"/>
    <n v="0"/>
    <n v="0"/>
    <n v="0"/>
    <n v="0"/>
    <x v="0"/>
    <n v="0"/>
    <s v="MMR001CMP105"/>
    <x v="2"/>
    <x v="1"/>
    <x v="2"/>
    <n v="0"/>
    <s v="No"/>
    <m/>
  </r>
  <r>
    <n v="41.533333333333331"/>
    <d v="2013-02-20T00:00:00"/>
    <x v="0"/>
    <s v="UNHCR"/>
    <s v="Kachin"/>
    <s v="Hpakant"/>
    <s v="Zomee Baptist Church camp, Hmaw Wan"/>
    <m/>
    <m/>
    <m/>
    <n v="11"/>
    <n v="6"/>
    <n v="0"/>
    <n v="6"/>
    <n v="6"/>
    <n v="6"/>
    <n v="6"/>
    <m/>
    <m/>
    <m/>
    <m/>
    <m/>
    <m/>
    <m/>
    <n v="0"/>
    <n v="0"/>
    <n v="0"/>
    <n v="0"/>
    <n v="0"/>
    <n v="0"/>
    <n v="0"/>
    <n v="0"/>
    <n v="0"/>
    <n v="0"/>
    <n v="0"/>
    <n v="0"/>
    <n v="0"/>
    <n v="0"/>
    <x v="0"/>
    <n v="0"/>
    <s v="MMR001CMP201"/>
    <x v="2"/>
    <x v="2"/>
    <x v="0"/>
    <s v=""/>
    <s v="No"/>
    <m/>
  </r>
  <r>
    <n v="41.56666666666667"/>
    <d v="2013-02-19T00:00:00"/>
    <x v="0"/>
    <s v="UNHCR"/>
    <s v="Kachin"/>
    <s v="Hpakant"/>
    <s v="1 Ward, Sein Yadanar Company(Lon Khin)"/>
    <m/>
    <m/>
    <n v="3"/>
    <n v="7"/>
    <n v="4"/>
    <n v="7"/>
    <n v="4"/>
    <n v="4"/>
    <n v="4"/>
    <n v="4"/>
    <m/>
    <m/>
    <m/>
    <m/>
    <m/>
    <m/>
    <m/>
    <n v="0"/>
    <n v="0"/>
    <n v="0"/>
    <n v="0"/>
    <n v="0"/>
    <n v="0"/>
    <n v="0"/>
    <n v="0"/>
    <n v="0"/>
    <n v="0"/>
    <n v="0"/>
    <n v="0"/>
    <n v="0"/>
    <n v="0"/>
    <x v="0"/>
    <n v="0"/>
    <s v="MMR001CMP171"/>
    <x v="2"/>
    <x v="2"/>
    <x v="0"/>
    <s v=""/>
    <s v="No"/>
    <m/>
  </r>
  <r>
    <n v="41.56666666666667"/>
    <d v="2013-02-19T00:00:00"/>
    <x v="0"/>
    <s v="UNHCR"/>
    <s v="Kachin"/>
    <s v="Hpakant"/>
    <s v="5 Ward Baptist Church(lon Khin)"/>
    <m/>
    <m/>
    <n v="18"/>
    <n v="30"/>
    <n v="17"/>
    <n v="64"/>
    <n v="17"/>
    <n v="17"/>
    <n v="17"/>
    <n v="17"/>
    <m/>
    <m/>
    <m/>
    <m/>
    <m/>
    <m/>
    <m/>
    <n v="0"/>
    <n v="0"/>
    <n v="0"/>
    <n v="0"/>
    <n v="0"/>
    <n v="0"/>
    <n v="0"/>
    <n v="0"/>
    <n v="0"/>
    <n v="0"/>
    <n v="0"/>
    <n v="0"/>
    <n v="0"/>
    <n v="0"/>
    <x v="0"/>
    <n v="0"/>
    <s v="MMR001CMP179"/>
    <x v="2"/>
    <x v="1"/>
    <x v="2"/>
    <n v="0.23287671232876711"/>
    <s v="No"/>
    <m/>
  </r>
  <r>
    <n v="41.56666666666667"/>
    <d v="2013-02-19T00:00:00"/>
    <x v="0"/>
    <s v="UNHCR"/>
    <s v="Kachin"/>
    <s v="Hpakant"/>
    <s v="Anglican Church, Hmaw Si Sar"/>
    <m/>
    <m/>
    <n v="1"/>
    <n v="6"/>
    <n v="3"/>
    <n v="15"/>
    <n v="4"/>
    <n v="4"/>
    <n v="4"/>
    <n v="4"/>
    <m/>
    <m/>
    <m/>
    <m/>
    <m/>
    <m/>
    <m/>
    <n v="0"/>
    <n v="0"/>
    <n v="0"/>
    <n v="0"/>
    <n v="0"/>
    <n v="0"/>
    <n v="0"/>
    <n v="0"/>
    <n v="0"/>
    <n v="0"/>
    <n v="0"/>
    <n v="0"/>
    <n v="0"/>
    <n v="0"/>
    <x v="0"/>
    <n v="0"/>
    <s v="MMR001CMP173"/>
    <x v="2"/>
    <x v="2"/>
    <x v="0"/>
    <s v=""/>
    <s v="No"/>
    <m/>
  </r>
  <r>
    <n v="41.56666666666667"/>
    <d v="2013-02-19T00:00:00"/>
    <x v="0"/>
    <s v="UNHCR"/>
    <s v="Kachin"/>
    <s v="Hpakant"/>
    <s v="Anglican Church, Hmaw Si Sar"/>
    <m/>
    <m/>
    <n v="92"/>
    <n v="130"/>
    <n v="67"/>
    <n v="130"/>
    <n v="67"/>
    <n v="67"/>
    <n v="67"/>
    <n v="67"/>
    <m/>
    <m/>
    <m/>
    <m/>
    <m/>
    <m/>
    <m/>
    <n v="0"/>
    <n v="0"/>
    <n v="0"/>
    <n v="0"/>
    <n v="0"/>
    <n v="0"/>
    <n v="0"/>
    <n v="0"/>
    <n v="0"/>
    <n v="0"/>
    <n v="0"/>
    <n v="0"/>
    <n v="0"/>
    <n v="0"/>
    <x v="0"/>
    <n v="0"/>
    <s v="MMR001CMP173"/>
    <x v="2"/>
    <x v="2"/>
    <x v="0"/>
    <s v=""/>
    <s v="No"/>
    <m/>
  </r>
  <r>
    <n v="41.56666666666667"/>
    <d v="2013-02-19T00:00:00"/>
    <x v="0"/>
    <s v="UNHCR"/>
    <s v="Kachin"/>
    <s v="Hpakant"/>
    <s v="Away Yar Rama Monastery, Ka Day village"/>
    <m/>
    <m/>
    <n v="8"/>
    <n v="16"/>
    <n v="8"/>
    <n v="16"/>
    <n v="8"/>
    <n v="8"/>
    <n v="8"/>
    <n v="8"/>
    <m/>
    <m/>
    <m/>
    <m/>
    <m/>
    <m/>
    <m/>
    <n v="0"/>
    <n v="0"/>
    <n v="0"/>
    <n v="0"/>
    <n v="0"/>
    <n v="0"/>
    <n v="0"/>
    <n v="0"/>
    <n v="0"/>
    <n v="0"/>
    <n v="0"/>
    <n v="0"/>
    <n v="0"/>
    <n v="0"/>
    <x v="0"/>
    <n v="0"/>
    <s v="MMR001CMP170"/>
    <x v="2"/>
    <x v="2"/>
    <x v="0"/>
    <s v=""/>
    <s v="No"/>
    <m/>
  </r>
  <r>
    <n v="41.56666666666667"/>
    <d v="2013-02-19T00:00:00"/>
    <x v="0"/>
    <s v="UNHCR"/>
    <s v="Kachin"/>
    <s v="Hpakant"/>
    <s v="Dhama Rakhita, Nyein Chan Tar Yar Ward(Lon Khin)"/>
    <m/>
    <m/>
    <n v="74"/>
    <n v="105"/>
    <n v="59"/>
    <n v="105"/>
    <n v="59"/>
    <n v="59"/>
    <n v="59"/>
    <n v="59"/>
    <m/>
    <m/>
    <m/>
    <m/>
    <m/>
    <m/>
    <m/>
    <n v="0"/>
    <n v="0"/>
    <n v="0"/>
    <n v="0"/>
    <n v="0"/>
    <n v="0"/>
    <n v="0"/>
    <n v="0"/>
    <n v="0"/>
    <n v="0"/>
    <n v="0"/>
    <n v="0"/>
    <n v="0"/>
    <n v="0"/>
    <x v="0"/>
    <n v="0"/>
    <s v="MMR001CMP174"/>
    <x v="2"/>
    <x v="1"/>
    <x v="2"/>
    <n v="0.89393939393939392"/>
    <s v="No"/>
    <m/>
  </r>
  <r>
    <n v="41.56666666666667"/>
    <d v="2013-02-19T00:00:00"/>
    <x v="0"/>
    <s v="UNHCR"/>
    <s v="Kachin"/>
    <s v="Hpakant"/>
    <s v="May Di Ka Rama Monastery(Lon Khin)"/>
    <m/>
    <m/>
    <n v="9"/>
    <n v="21"/>
    <n v="9"/>
    <n v="21"/>
    <n v="9"/>
    <n v="9"/>
    <n v="9"/>
    <n v="9"/>
    <m/>
    <m/>
    <m/>
    <m/>
    <m/>
    <m/>
    <m/>
    <n v="0"/>
    <n v="0"/>
    <n v="0"/>
    <n v="0"/>
    <n v="0"/>
    <n v="0"/>
    <n v="0"/>
    <n v="0"/>
    <n v="0"/>
    <n v="0"/>
    <n v="0"/>
    <n v="0"/>
    <n v="0"/>
    <n v="0"/>
    <x v="0"/>
    <n v="0"/>
    <s v="MMR001CMP178"/>
    <x v="2"/>
    <x v="2"/>
    <x v="0"/>
    <s v=""/>
    <s v="No"/>
    <m/>
  </r>
  <r>
    <n v="26.366666666666667"/>
    <d v="2014-05-21T00:00:00"/>
    <x v="6"/>
    <s v="MRCS"/>
    <s v="Kachin"/>
    <s v="Myitkyina"/>
    <s v="Myay Myint Baptist Church"/>
    <m/>
    <m/>
    <m/>
    <m/>
    <m/>
    <m/>
    <m/>
    <m/>
    <m/>
    <m/>
    <m/>
    <m/>
    <m/>
    <n v="24"/>
    <m/>
    <m/>
    <m/>
    <n v="0"/>
    <n v="0"/>
    <n v="0"/>
    <n v="0"/>
    <n v="0"/>
    <n v="0"/>
    <n v="0"/>
    <n v="0"/>
    <n v="0"/>
    <n v="0"/>
    <n v="0"/>
    <n v="0"/>
    <n v="0"/>
    <n v="0"/>
    <x v="1"/>
    <n v="0"/>
    <s v="MMR001CMP017"/>
    <x v="2"/>
    <x v="2"/>
    <x v="2"/>
    <s v=""/>
    <m/>
    <m/>
  </r>
  <r>
    <n v="43.233333333333334"/>
    <d v="2012-12-31T00:00:00"/>
    <x v="3"/>
    <s v="DRC"/>
    <s v="Kachin"/>
    <s v="Myitkyina"/>
    <s v="Myay Myint Baptist Church"/>
    <n v="12"/>
    <m/>
    <m/>
    <m/>
    <m/>
    <m/>
    <m/>
    <m/>
    <n v="0"/>
    <n v="0"/>
    <m/>
    <m/>
    <m/>
    <m/>
    <m/>
    <m/>
    <m/>
    <n v="0"/>
    <n v="0"/>
    <n v="0"/>
    <n v="0"/>
    <n v="0"/>
    <n v="0"/>
    <n v="0"/>
    <n v="0"/>
    <n v="0"/>
    <n v="0"/>
    <n v="0"/>
    <n v="0"/>
    <n v="0"/>
    <n v="0"/>
    <x v="0"/>
    <n v="0"/>
    <s v="MMR001CMP017"/>
    <x v="2"/>
    <x v="2"/>
    <x v="2"/>
    <s v=""/>
    <s v="No"/>
    <m/>
  </r>
  <r>
    <n v="41.56666666666667"/>
    <d v="2013-02-19T00:00:00"/>
    <x v="0"/>
    <s v="UNHCR"/>
    <s v="Kachin"/>
    <s v="Hpakant"/>
    <s v="Nam Ma Phyit, COC"/>
    <m/>
    <m/>
    <n v="19"/>
    <n v="30"/>
    <n v="18"/>
    <n v="68"/>
    <n v="18"/>
    <n v="18"/>
    <n v="18"/>
    <n v="18"/>
    <m/>
    <m/>
    <m/>
    <m/>
    <m/>
    <m/>
    <m/>
    <n v="0"/>
    <n v="0"/>
    <n v="0"/>
    <n v="0"/>
    <n v="0"/>
    <n v="0"/>
    <n v="0"/>
    <n v="0"/>
    <n v="0"/>
    <n v="0"/>
    <n v="0"/>
    <n v="0"/>
    <n v="0"/>
    <n v="0"/>
    <x v="0"/>
    <n v="0"/>
    <s v="MMR001CMP192"/>
    <x v="2"/>
    <x v="1"/>
    <x v="2"/>
    <n v="1.0588235294117647"/>
    <s v="No"/>
    <m/>
  </r>
  <r>
    <n v="41.56666666666667"/>
    <d v="2013-02-19T00:00:00"/>
    <x v="0"/>
    <s v="UNHCR"/>
    <s v="Kachin"/>
    <s v="Hpakant"/>
    <s v="Wrad(5) Christian Association"/>
    <m/>
    <m/>
    <n v="2"/>
    <n v="3"/>
    <n v="2"/>
    <n v="7"/>
    <n v="2"/>
    <n v="2"/>
    <n v="2"/>
    <n v="2"/>
    <m/>
    <m/>
    <m/>
    <m/>
    <m/>
    <m/>
    <m/>
    <n v="0"/>
    <n v="0"/>
    <n v="0"/>
    <n v="0"/>
    <n v="0"/>
    <n v="0"/>
    <n v="0"/>
    <n v="0"/>
    <n v="0"/>
    <n v="0"/>
    <n v="0"/>
    <n v="0"/>
    <n v="0"/>
    <n v="0"/>
    <x v="0"/>
    <n v="0"/>
    <s v="MMR001CMP175"/>
    <x v="2"/>
    <x v="2"/>
    <x v="0"/>
    <s v=""/>
    <s v="No"/>
    <m/>
  </r>
  <r>
    <n v="41.6"/>
    <d v="2013-02-18T00:00:00"/>
    <x v="0"/>
    <s v="UNHCR"/>
    <s v="Kachin"/>
    <s v="Hpakant"/>
    <s v="Hlaing Naung Baptist"/>
    <m/>
    <m/>
    <n v="30"/>
    <n v="0"/>
    <n v="0"/>
    <n v="0"/>
    <n v="0"/>
    <n v="0"/>
    <m/>
    <m/>
    <m/>
    <m/>
    <m/>
    <m/>
    <m/>
    <m/>
    <m/>
    <n v="0"/>
    <n v="0"/>
    <n v="0"/>
    <n v="0"/>
    <n v="0"/>
    <n v="0"/>
    <n v="0"/>
    <n v="0"/>
    <n v="0"/>
    <n v="0"/>
    <n v="0"/>
    <n v="0"/>
    <n v="0"/>
    <n v="0"/>
    <x v="0"/>
    <n v="0"/>
    <s v="MMR001CMP148"/>
    <x v="2"/>
    <x v="1"/>
    <x v="2"/>
    <n v="0"/>
    <s v="No"/>
    <m/>
  </r>
  <r>
    <n v="41.6"/>
    <d v="2013-02-18T00:00:00"/>
    <x v="0"/>
    <s v="KBC"/>
    <s v="Shan_North"/>
    <s v="Kutkai"/>
    <s v="Kutkai downtown (KBC Church)"/>
    <m/>
    <m/>
    <n v="120"/>
    <n v="120"/>
    <n v="60"/>
    <n v="120"/>
    <n v="60"/>
    <n v="60"/>
    <n v="60"/>
    <n v="60"/>
    <m/>
    <m/>
    <m/>
    <m/>
    <m/>
    <m/>
    <m/>
    <n v="0"/>
    <n v="0"/>
    <n v="0"/>
    <n v="0"/>
    <n v="0"/>
    <n v="0"/>
    <n v="0"/>
    <n v="0"/>
    <n v="0"/>
    <n v="0"/>
    <n v="0"/>
    <n v="0"/>
    <n v="0"/>
    <n v="0"/>
    <x v="0"/>
    <n v="0"/>
    <s v="MMR015CMP016"/>
    <x v="2"/>
    <x v="1"/>
    <x v="4"/>
    <n v="0.95238095238095233"/>
    <s v="No"/>
    <m/>
  </r>
  <r>
    <n v="41.6"/>
    <d v="2013-02-18T00:00:00"/>
    <x v="0"/>
    <s v="KBC"/>
    <s v="Kachin"/>
    <s v="Mansi"/>
    <s v="Man Wing Baptist Church"/>
    <m/>
    <m/>
    <n v="221"/>
    <n v="221"/>
    <n v="110"/>
    <n v="221"/>
    <n v="110"/>
    <n v="110"/>
    <n v="110"/>
    <n v="110"/>
    <m/>
    <m/>
    <m/>
    <m/>
    <m/>
    <m/>
    <m/>
    <n v="0"/>
    <n v="0"/>
    <n v="0"/>
    <n v="0"/>
    <n v="0"/>
    <n v="0"/>
    <n v="0"/>
    <n v="0"/>
    <n v="0"/>
    <n v="0"/>
    <n v="0"/>
    <n v="0"/>
    <n v="0"/>
    <n v="0"/>
    <x v="0"/>
    <n v="0"/>
    <s v="MMR001CMP133"/>
    <x v="2"/>
    <x v="1"/>
    <x v="2"/>
    <n v="1.02803738317757"/>
    <s v="No"/>
    <m/>
  </r>
  <r>
    <n v="41.6"/>
    <d v="2013-02-18T00:00:00"/>
    <x v="0"/>
    <s v="KBC"/>
    <s v="Shan_North"/>
    <s v="Manton"/>
    <s v="Mandung - Jinghpaw"/>
    <m/>
    <m/>
    <n v="57"/>
    <n v="57"/>
    <n v="29"/>
    <n v="57"/>
    <n v="29"/>
    <n v="29"/>
    <n v="29"/>
    <n v="29"/>
    <m/>
    <m/>
    <m/>
    <m/>
    <m/>
    <m/>
    <m/>
    <n v="0"/>
    <n v="0"/>
    <n v="0"/>
    <n v="0"/>
    <n v="0"/>
    <n v="0"/>
    <n v="0"/>
    <n v="0"/>
    <n v="0"/>
    <n v="0"/>
    <n v="0"/>
    <n v="0"/>
    <n v="0"/>
    <n v="0"/>
    <x v="0"/>
    <n v="0"/>
    <s v="MMR015CMP009"/>
    <x v="2"/>
    <x v="1"/>
    <x v="5"/>
    <n v="0.78378378378378377"/>
    <s v="No"/>
    <m/>
  </r>
  <r>
    <n v="41.6"/>
    <d v="2013-02-18T00:00:00"/>
    <x v="0"/>
    <s v="KBC"/>
    <s v="Shan_North"/>
    <s v="Muse"/>
    <s v="Munekoe Pa (Giwang) - Hka San (Mung  Go  Pa ) "/>
    <m/>
    <m/>
    <n v="60"/>
    <n v="60"/>
    <n v="30"/>
    <n v="60"/>
    <n v="30"/>
    <n v="30"/>
    <n v="30"/>
    <n v="30"/>
    <m/>
    <m/>
    <m/>
    <m/>
    <m/>
    <m/>
    <m/>
    <n v="0"/>
    <n v="0"/>
    <n v="0"/>
    <n v="0"/>
    <n v="0"/>
    <n v="0"/>
    <n v="0"/>
    <n v="0"/>
    <n v="0"/>
    <n v="0"/>
    <n v="0"/>
    <n v="0"/>
    <n v="0"/>
    <n v="0"/>
    <x v="0"/>
    <n v="0"/>
    <s v="MMR015CMP012"/>
    <x v="2"/>
    <x v="2"/>
    <x v="3"/>
    <s v=""/>
    <s v="No"/>
    <m/>
  </r>
  <r>
    <n v="41.6"/>
    <d v="2013-02-18T00:00:00"/>
    <x v="0"/>
    <s v="KBC"/>
    <s v="Shan_North"/>
    <s v="Kutkai"/>
    <s v="Mungji Pa Dabang (Baptist Church)         "/>
    <m/>
    <m/>
    <n v="93"/>
    <n v="93"/>
    <n v="46"/>
    <n v="93"/>
    <n v="46"/>
    <n v="46"/>
    <n v="46"/>
    <n v="46"/>
    <m/>
    <m/>
    <m/>
    <m/>
    <m/>
    <m/>
    <m/>
    <n v="0"/>
    <n v="0"/>
    <n v="0"/>
    <n v="0"/>
    <n v="0"/>
    <n v="0"/>
    <n v="0"/>
    <n v="0"/>
    <n v="0"/>
    <n v="0"/>
    <n v="0"/>
    <n v="0"/>
    <n v="0"/>
    <n v="0"/>
    <x v="0"/>
    <n v="0"/>
    <s v="MMR015CMP006"/>
    <x v="2"/>
    <x v="1"/>
    <x v="3"/>
    <n v="0.74193548387096775"/>
    <s v="No"/>
    <m/>
  </r>
  <r>
    <n v="41.6"/>
    <d v="2013-02-18T00:00:00"/>
    <x v="0"/>
    <s v="KBC"/>
    <s v="Shan_North"/>
    <s v="Namhkan"/>
    <s v="Nam Hkam - Nay Win Ni (Palawng)"/>
    <m/>
    <m/>
    <n v="118"/>
    <n v="118"/>
    <n v="59"/>
    <n v="118"/>
    <n v="59"/>
    <n v="59"/>
    <n v="59"/>
    <n v="59"/>
    <m/>
    <m/>
    <m/>
    <m/>
    <m/>
    <m/>
    <m/>
    <n v="0"/>
    <n v="0"/>
    <n v="0"/>
    <n v="0"/>
    <n v="0"/>
    <n v="0"/>
    <n v="0"/>
    <n v="0"/>
    <n v="0"/>
    <n v="0"/>
    <n v="0"/>
    <n v="0"/>
    <n v="0"/>
    <n v="0"/>
    <x v="0"/>
    <n v="0"/>
    <s v="MMR015CMP004"/>
    <x v="2"/>
    <x v="1"/>
    <x v="4"/>
    <n v="0.84285714285714286"/>
    <s v="No"/>
    <m/>
  </r>
  <r>
    <n v="41.6"/>
    <d v="2013-02-18T00:00:00"/>
    <x v="0"/>
    <s v="KBC"/>
    <s v="Shan_North"/>
    <s v="Namhkan"/>
    <s v="Nam Hkam (KBC Jaw Wang)"/>
    <m/>
    <m/>
    <n v="139"/>
    <n v="139"/>
    <n v="70"/>
    <n v="139"/>
    <n v="70"/>
    <n v="70"/>
    <n v="70"/>
    <n v="70"/>
    <m/>
    <m/>
    <m/>
    <m/>
    <m/>
    <m/>
    <m/>
    <n v="0"/>
    <n v="0"/>
    <n v="0"/>
    <n v="0"/>
    <n v="0"/>
    <n v="0"/>
    <n v="0"/>
    <n v="0"/>
    <n v="0"/>
    <n v="0"/>
    <n v="0"/>
    <n v="0"/>
    <n v="0"/>
    <n v="0"/>
    <x v="0"/>
    <n v="0"/>
    <s v="MMR015CMP001"/>
    <x v="2"/>
    <x v="1"/>
    <x v="4"/>
    <n v="1.0294117647058822"/>
    <s v="No"/>
    <m/>
  </r>
  <r>
    <n v="41.6"/>
    <d v="2013-02-18T00:00:00"/>
    <x v="0"/>
    <s v="KBC"/>
    <s v="Shan_North"/>
    <s v="Namhkan"/>
    <s v="Nam Hkawng"/>
    <m/>
    <m/>
    <n v="16"/>
    <n v="16"/>
    <n v="8"/>
    <n v="16"/>
    <n v="8"/>
    <n v="8"/>
    <n v="8"/>
    <n v="8"/>
    <m/>
    <m/>
    <m/>
    <m/>
    <m/>
    <m/>
    <m/>
    <n v="0"/>
    <n v="0"/>
    <n v="0"/>
    <n v="0"/>
    <n v="0"/>
    <n v="0"/>
    <n v="0"/>
    <n v="0"/>
    <n v="0"/>
    <n v="0"/>
    <n v="0"/>
    <n v="0"/>
    <n v="0"/>
    <n v="0"/>
    <x v="0"/>
    <n v="0"/>
    <s v="MMR015CMP139"/>
    <x v="2"/>
    <x v="2"/>
    <x v="5"/>
    <s v=""/>
    <s v="No"/>
    <m/>
  </r>
  <r>
    <n v="41.6"/>
    <d v="2013-02-18T00:00:00"/>
    <x v="0"/>
    <s v="KBC"/>
    <s v="Shan_North"/>
    <s v="Kutkai"/>
    <s v="Nam Hpak Ka Mare "/>
    <m/>
    <m/>
    <n v="86"/>
    <n v="86"/>
    <n v="43"/>
    <n v="86"/>
    <n v="43"/>
    <n v="43"/>
    <n v="43"/>
    <n v="43"/>
    <m/>
    <m/>
    <m/>
    <m/>
    <m/>
    <m/>
    <m/>
    <n v="0"/>
    <n v="0"/>
    <n v="0"/>
    <n v="0"/>
    <n v="0"/>
    <n v="0"/>
    <n v="0"/>
    <n v="0"/>
    <n v="0"/>
    <n v="0"/>
    <n v="0"/>
    <n v="0"/>
    <n v="0"/>
    <n v="0"/>
    <x v="0"/>
    <n v="0"/>
    <s v="MMR015CMP007"/>
    <x v="2"/>
    <x v="1"/>
    <x v="4"/>
    <n v="0.69354838709677424"/>
    <s v="No"/>
    <m/>
  </r>
  <r>
    <n v="41.6"/>
    <d v="2013-02-18T00:00:00"/>
    <x v="0"/>
    <s v="KBC"/>
    <s v="Shan_North"/>
    <s v="Namtu"/>
    <s v="Nam Tu RC"/>
    <m/>
    <m/>
    <n v="90"/>
    <n v="90"/>
    <n v="45"/>
    <n v="90"/>
    <n v="45"/>
    <n v="45"/>
    <n v="45"/>
    <n v="45"/>
    <m/>
    <m/>
    <m/>
    <m/>
    <m/>
    <m/>
    <m/>
    <n v="0"/>
    <n v="0"/>
    <n v="0"/>
    <n v="0"/>
    <n v="0"/>
    <n v="0"/>
    <n v="0"/>
    <n v="0"/>
    <n v="0"/>
    <n v="0"/>
    <n v="0"/>
    <n v="0"/>
    <n v="0"/>
    <n v="0"/>
    <x v="0"/>
    <n v="0"/>
    <s v="MMR015CMP210"/>
    <x v="2"/>
    <x v="1"/>
    <x v="4"/>
    <n v="0.38135593220338981"/>
    <s v="No"/>
    <m/>
  </r>
  <r>
    <n v="42"/>
    <d v="2013-02-06T00:00:00"/>
    <x v="0"/>
    <s v="UNHCR"/>
    <s v="Kachin"/>
    <s v="Waingmaw"/>
    <s v="Qtr. 2 Lhaovo Baptist Church"/>
    <m/>
    <m/>
    <n v="17"/>
    <n v="20"/>
    <n v="15"/>
    <n v="20"/>
    <n v="14"/>
    <n v="11"/>
    <n v="11"/>
    <n v="11"/>
    <m/>
    <m/>
    <m/>
    <m/>
    <m/>
    <m/>
    <m/>
    <n v="0"/>
    <n v="0"/>
    <n v="0"/>
    <n v="0"/>
    <n v="0"/>
    <n v="0"/>
    <n v="0"/>
    <n v="0"/>
    <n v="0"/>
    <n v="0"/>
    <n v="0"/>
    <n v="0"/>
    <n v="0"/>
    <n v="0"/>
    <x v="0"/>
    <n v="0"/>
    <s v="MMR001CMP032"/>
    <x v="2"/>
    <x v="1"/>
    <x v="2"/>
    <n v="0.15384615384615385"/>
    <s v="No"/>
    <m/>
  </r>
  <r>
    <n v="42.033333333333331"/>
    <d v="2013-02-05T00:00:00"/>
    <x v="0"/>
    <s v="UNHCR"/>
    <s v="Kachin"/>
    <s v="Waingmaw"/>
    <s v="Maina AG Church"/>
    <m/>
    <m/>
    <n v="37"/>
    <n v="70"/>
    <n v="34"/>
    <n v="70"/>
    <n v="34"/>
    <n v="34"/>
    <n v="34"/>
    <n v="34"/>
    <m/>
    <m/>
    <m/>
    <m/>
    <m/>
    <m/>
    <m/>
    <n v="0"/>
    <n v="0"/>
    <n v="0"/>
    <n v="0"/>
    <n v="0"/>
    <n v="0"/>
    <n v="0"/>
    <n v="0"/>
    <n v="0"/>
    <n v="0"/>
    <n v="0"/>
    <n v="0"/>
    <n v="0"/>
    <n v="0"/>
    <x v="0"/>
    <n v="0"/>
    <s v="MMR001CMP031"/>
    <x v="2"/>
    <x v="1"/>
    <x v="2"/>
    <n v="0.23776223776223776"/>
    <s v="No"/>
    <m/>
  </r>
  <r>
    <n v="32.1"/>
    <d v="2013-11-30T00:00:00"/>
    <x v="5"/>
    <s v="KBC"/>
    <s v="Kachin"/>
    <s v="Mansi"/>
    <s v="Nam Lim Pa - Scattered IDPs in forest"/>
    <m/>
    <m/>
    <m/>
    <m/>
    <m/>
    <m/>
    <m/>
    <m/>
    <m/>
    <m/>
    <m/>
    <m/>
    <m/>
    <m/>
    <m/>
    <m/>
    <m/>
    <n v="0"/>
    <n v="0"/>
    <n v="0"/>
    <n v="0"/>
    <n v="0"/>
    <n v="0"/>
    <n v="0"/>
    <n v="0"/>
    <n v="0"/>
    <n v="0"/>
    <n v="0"/>
    <n v="0"/>
    <n v="0"/>
    <n v="0"/>
    <x v="0"/>
    <n v="0"/>
    <s v="MMR001CMP137"/>
    <x v="2"/>
    <x v="2"/>
    <x v="0"/>
    <s v=""/>
    <s v="No"/>
    <m/>
  </r>
  <r>
    <n v="42.033333333333331"/>
    <d v="2013-02-05T00:00:00"/>
    <x v="0"/>
    <s v="UNHCR"/>
    <s v="Kachin"/>
    <s v="Myitkyina"/>
    <s v="Maw Hpawng Lhaovo Baptist Church"/>
    <m/>
    <m/>
    <n v="10"/>
    <n v="16"/>
    <n v="7"/>
    <n v="16"/>
    <n v="7"/>
    <n v="7"/>
    <n v="7"/>
    <n v="7"/>
    <m/>
    <m/>
    <m/>
    <m/>
    <m/>
    <m/>
    <m/>
    <n v="0"/>
    <n v="0"/>
    <n v="0"/>
    <n v="0"/>
    <n v="0"/>
    <n v="0"/>
    <n v="0"/>
    <n v="0"/>
    <n v="0"/>
    <n v="0"/>
    <n v="0"/>
    <n v="0"/>
    <n v="0"/>
    <n v="0"/>
    <x v="0"/>
    <n v="0"/>
    <s v="MMR001CMP021"/>
    <x v="2"/>
    <x v="1"/>
    <x v="2"/>
    <n v="0.5"/>
    <s v="No"/>
    <m/>
  </r>
  <r>
    <n v="20.6"/>
    <d v="2014-11-10T00:00:00"/>
    <x v="1"/>
    <s v="MRCS"/>
    <s v="Kachin"/>
    <s v="Hpakant"/>
    <s v="Nam Ma Phyit, COC"/>
    <m/>
    <m/>
    <m/>
    <m/>
    <m/>
    <m/>
    <m/>
    <m/>
    <m/>
    <m/>
    <n v="50"/>
    <n v="17"/>
    <m/>
    <m/>
    <m/>
    <m/>
    <m/>
    <n v="0"/>
    <n v="0"/>
    <n v="0"/>
    <n v="0"/>
    <n v="0"/>
    <n v="0"/>
    <n v="0"/>
    <n v="0"/>
    <n v="0"/>
    <n v="0"/>
    <n v="0"/>
    <n v="0"/>
    <n v="0"/>
    <n v="0"/>
    <x v="1"/>
    <n v="0"/>
    <s v="MMR001CMP192"/>
    <x v="2"/>
    <x v="1"/>
    <x v="2"/>
    <n v="0"/>
    <m/>
    <m/>
  </r>
  <r>
    <n v="42.06666666666667"/>
    <d v="2013-02-04T00:00:00"/>
    <x v="0"/>
    <s v="UNHCR"/>
    <s v="Kachin"/>
    <s v="Myitkyina"/>
    <s v="Pa Dauk Myaing(Pa La Na)"/>
    <m/>
    <m/>
    <n v="5"/>
    <n v="8"/>
    <n v="5"/>
    <n v="8"/>
    <n v="5"/>
    <n v="5"/>
    <n v="5"/>
    <n v="5"/>
    <m/>
    <m/>
    <m/>
    <m/>
    <m/>
    <m/>
    <m/>
    <n v="0"/>
    <n v="0"/>
    <n v="0"/>
    <n v="0"/>
    <n v="0"/>
    <n v="0"/>
    <n v="0"/>
    <n v="0"/>
    <n v="0"/>
    <n v="0"/>
    <n v="0"/>
    <n v="0"/>
    <n v="0"/>
    <n v="0"/>
    <x v="0"/>
    <n v="0"/>
    <s v="MMR001CMP162"/>
    <x v="2"/>
    <x v="1"/>
    <x v="2"/>
    <n v="0.11363636363636363"/>
    <s v="No"/>
    <m/>
  </r>
  <r>
    <n v="43.56666666666667"/>
    <d v="2012-12-21T00:00:00"/>
    <x v="0"/>
    <s v="UNHCR"/>
    <s v="Kachin"/>
    <s v="Bhamo"/>
    <s v="Lisu Boarding-House"/>
    <m/>
    <m/>
    <m/>
    <n v="0"/>
    <n v="12"/>
    <n v="0"/>
    <n v="12"/>
    <n v="12"/>
    <n v="12"/>
    <n v="12"/>
    <m/>
    <m/>
    <m/>
    <m/>
    <m/>
    <m/>
    <m/>
    <n v="0"/>
    <n v="0"/>
    <n v="0"/>
    <n v="0"/>
    <n v="0"/>
    <n v="0"/>
    <n v="0"/>
    <n v="0"/>
    <n v="0"/>
    <n v="0"/>
    <n v="0"/>
    <n v="0"/>
    <n v="0"/>
    <n v="0"/>
    <x v="0"/>
    <n v="0"/>
    <s v="MMR001CMP049"/>
    <x v="2"/>
    <x v="1"/>
    <x v="2"/>
    <n v="0.10344827586206896"/>
    <s v="No"/>
    <m/>
  </r>
  <r>
    <n v="43.56666666666667"/>
    <d v="2012-12-21T00:00:00"/>
    <x v="0"/>
    <s v="UNHCR"/>
    <s v="Kachin"/>
    <s v="Bhamo"/>
    <s v="Robert Church"/>
    <m/>
    <m/>
    <m/>
    <n v="0"/>
    <n v="0"/>
    <n v="73"/>
    <n v="0"/>
    <n v="0"/>
    <m/>
    <m/>
    <m/>
    <m/>
    <m/>
    <m/>
    <m/>
    <m/>
    <m/>
    <n v="0"/>
    <n v="0"/>
    <n v="0"/>
    <n v="0"/>
    <n v="0"/>
    <n v="0"/>
    <n v="0"/>
    <n v="0"/>
    <n v="0"/>
    <n v="0"/>
    <n v="0"/>
    <n v="0"/>
    <n v="0"/>
    <n v="0"/>
    <x v="0"/>
    <n v="0"/>
    <s v="MMR001CMP047"/>
    <x v="2"/>
    <x v="1"/>
    <x v="2"/>
    <n v="0"/>
    <s v="No"/>
    <m/>
  </r>
  <r>
    <n v="43.56666666666667"/>
    <d v="2012-12-21T00:00:00"/>
    <x v="0"/>
    <s v="UNHCR"/>
    <s v="Kachin"/>
    <s v="Bhamo"/>
    <s v="Robert Church"/>
    <m/>
    <m/>
    <m/>
    <n v="24"/>
    <n v="12"/>
    <n v="24"/>
    <n v="12"/>
    <n v="12"/>
    <n v="12"/>
    <n v="12"/>
    <m/>
    <m/>
    <m/>
    <m/>
    <m/>
    <m/>
    <m/>
    <n v="0"/>
    <n v="0"/>
    <n v="0"/>
    <n v="0"/>
    <n v="0"/>
    <n v="0"/>
    <n v="0"/>
    <n v="0"/>
    <n v="0"/>
    <n v="0"/>
    <n v="0"/>
    <n v="0"/>
    <n v="0"/>
    <n v="0"/>
    <x v="0"/>
    <n v="0"/>
    <s v="MMR001CMP047"/>
    <x v="2"/>
    <x v="1"/>
    <x v="2"/>
    <n v="1.9077901430842606E-2"/>
    <s v="No"/>
    <m/>
  </r>
  <r>
    <n v="43.233333333333334"/>
    <d v="2012-12-31T00:00:00"/>
    <x v="3"/>
    <s v="DRC"/>
    <s v="Kachin"/>
    <s v="Hpakant"/>
    <s v="Nam Ma Phyit, COC"/>
    <n v="32"/>
    <m/>
    <m/>
    <m/>
    <m/>
    <m/>
    <m/>
    <m/>
    <n v="0"/>
    <n v="0"/>
    <m/>
    <m/>
    <m/>
    <m/>
    <m/>
    <m/>
    <m/>
    <n v="0"/>
    <n v="0"/>
    <n v="0"/>
    <n v="0"/>
    <n v="0"/>
    <n v="0"/>
    <n v="0"/>
    <n v="0"/>
    <n v="0"/>
    <n v="0"/>
    <n v="0"/>
    <n v="0"/>
    <n v="0"/>
    <n v="0"/>
    <x v="0"/>
    <n v="0"/>
    <s v="MMR001CMP192"/>
    <x v="2"/>
    <x v="1"/>
    <x v="2"/>
    <n v="0"/>
    <s v="No"/>
    <m/>
  </r>
  <r>
    <n v="43.56666666666667"/>
    <d v="2012-12-21T00:00:00"/>
    <x v="0"/>
    <s v="UNHCR"/>
    <s v="Kachin"/>
    <s v="Shwegu"/>
    <s v="Shwe Gu Baptist Church"/>
    <m/>
    <m/>
    <m/>
    <n v="0"/>
    <n v="0"/>
    <n v="83"/>
    <n v="0"/>
    <n v="0"/>
    <m/>
    <m/>
    <m/>
    <m/>
    <m/>
    <m/>
    <m/>
    <m/>
    <m/>
    <n v="0"/>
    <n v="0"/>
    <n v="0"/>
    <n v="0"/>
    <n v="0"/>
    <n v="0"/>
    <n v="0"/>
    <n v="0"/>
    <n v="0"/>
    <n v="0"/>
    <n v="0"/>
    <n v="0"/>
    <n v="0"/>
    <n v="0"/>
    <x v="0"/>
    <n v="0"/>
    <s v="MMR001CMP067"/>
    <x v="2"/>
    <x v="1"/>
    <x v="2"/>
    <n v="0"/>
    <s v="No"/>
    <m/>
  </r>
  <r>
    <n v="43.56666666666667"/>
    <d v="2012-12-21T00:00:00"/>
    <x v="0"/>
    <s v="UNHCR"/>
    <s v="Kachin"/>
    <s v="Bhamo"/>
    <s v="Yoe Kyi Monastery"/>
    <m/>
    <m/>
    <m/>
    <n v="0"/>
    <n v="3"/>
    <n v="0"/>
    <n v="3"/>
    <n v="3"/>
    <n v="3"/>
    <n v="3"/>
    <m/>
    <m/>
    <m/>
    <m/>
    <m/>
    <m/>
    <m/>
    <n v="0"/>
    <n v="0"/>
    <n v="0"/>
    <n v="0"/>
    <n v="0"/>
    <n v="0"/>
    <n v="0"/>
    <n v="0"/>
    <n v="0"/>
    <n v="0"/>
    <n v="0"/>
    <n v="0"/>
    <n v="0"/>
    <n v="0"/>
    <x v="0"/>
    <n v="0"/>
    <s v="MMR001CMP053"/>
    <x v="2"/>
    <x v="1"/>
    <x v="2"/>
    <n v="0.2"/>
    <s v="No"/>
    <m/>
  </r>
  <r>
    <n v="43.6"/>
    <d v="2012-12-20T00:00:00"/>
    <x v="0"/>
    <s v="KBC"/>
    <s v="Kachin"/>
    <s v="Hpakant"/>
    <s v="Hlaing Naung Baptist"/>
    <m/>
    <m/>
    <m/>
    <n v="12"/>
    <n v="0"/>
    <n v="12"/>
    <n v="0"/>
    <n v="0"/>
    <m/>
    <m/>
    <m/>
    <m/>
    <m/>
    <m/>
    <m/>
    <m/>
    <m/>
    <n v="0"/>
    <n v="0"/>
    <n v="0"/>
    <n v="0"/>
    <n v="0"/>
    <n v="0"/>
    <n v="0"/>
    <n v="0"/>
    <n v="0"/>
    <n v="0"/>
    <n v="0"/>
    <n v="0"/>
    <n v="0"/>
    <n v="0"/>
    <x v="0"/>
    <n v="0"/>
    <s v="MMR001CMP148"/>
    <x v="2"/>
    <x v="1"/>
    <x v="2"/>
    <n v="0"/>
    <s v="No"/>
    <m/>
  </r>
  <r>
    <n v="43.6"/>
    <d v="2012-12-20T00:00:00"/>
    <x v="0"/>
    <s v="UNHCR"/>
    <s v="Kachin"/>
    <s v="Myitkyina"/>
    <s v="Jan Mai Kawng Baptist Church"/>
    <m/>
    <m/>
    <m/>
    <n v="19"/>
    <n v="10"/>
    <n v="19"/>
    <n v="10"/>
    <n v="10"/>
    <n v="10"/>
    <n v="10"/>
    <m/>
    <m/>
    <m/>
    <m/>
    <m/>
    <m/>
    <m/>
    <n v="0"/>
    <n v="0"/>
    <n v="0"/>
    <n v="0"/>
    <n v="0"/>
    <n v="0"/>
    <n v="0"/>
    <n v="0"/>
    <n v="0"/>
    <n v="0"/>
    <n v="0"/>
    <n v="0"/>
    <n v="0"/>
    <n v="0"/>
    <x v="0"/>
    <n v="0"/>
    <s v="MMR001CMP018"/>
    <x v="2"/>
    <x v="1"/>
    <x v="2"/>
    <n v="5.0505050505050504E-2"/>
    <s v="No"/>
    <m/>
  </r>
  <r>
    <n v="26.533333333333335"/>
    <d v="2014-05-16T00:00:00"/>
    <x v="6"/>
    <s v="MRCS"/>
    <s v="Kachin"/>
    <s v="Myitkyina"/>
    <s v="Nan Kway St. John Catholic Church"/>
    <m/>
    <m/>
    <m/>
    <m/>
    <m/>
    <m/>
    <m/>
    <m/>
    <m/>
    <m/>
    <m/>
    <m/>
    <m/>
    <n v="142"/>
    <m/>
    <m/>
    <m/>
    <n v="0"/>
    <n v="0"/>
    <n v="0"/>
    <n v="0"/>
    <n v="0"/>
    <n v="0"/>
    <n v="0"/>
    <n v="0"/>
    <n v="0"/>
    <n v="0"/>
    <n v="0"/>
    <n v="0"/>
    <n v="0"/>
    <n v="0"/>
    <x v="1"/>
    <n v="0"/>
    <s v="MMR001CMP024"/>
    <x v="2"/>
    <x v="1"/>
    <x v="2"/>
    <n v="0"/>
    <m/>
    <m/>
  </r>
  <r>
    <n v="43.633333333333333"/>
    <d v="2012-12-19T00:00:00"/>
    <x v="0"/>
    <s v="UNHCR"/>
    <s v="Kachin"/>
    <s v="Myitkyina"/>
    <s v="Pa Dauk Myaing(Pa La Na)"/>
    <m/>
    <m/>
    <m/>
    <n v="37"/>
    <n v="10"/>
    <n v="37"/>
    <n v="10"/>
    <n v="10"/>
    <n v="10"/>
    <n v="10"/>
    <m/>
    <m/>
    <m/>
    <m/>
    <m/>
    <m/>
    <m/>
    <n v="0"/>
    <n v="0"/>
    <n v="0"/>
    <n v="0"/>
    <n v="0"/>
    <n v="0"/>
    <n v="0"/>
    <n v="0"/>
    <n v="0"/>
    <n v="0"/>
    <n v="0"/>
    <n v="0"/>
    <n v="0"/>
    <n v="0"/>
    <x v="0"/>
    <n v="0"/>
    <s v="MMR001CMP162"/>
    <x v="2"/>
    <x v="1"/>
    <x v="2"/>
    <n v="0.22727272727272727"/>
    <s v="No"/>
    <m/>
  </r>
  <r>
    <n v="38.93333333333333"/>
    <d v="2013-05-09T00:00:00"/>
    <x v="8"/>
    <s v="KMSS"/>
    <s v="Kachin"/>
    <s v="Myitkyina"/>
    <s v="Nan Kway St. John Catholic Church"/>
    <n v="324"/>
    <m/>
    <m/>
    <m/>
    <m/>
    <m/>
    <m/>
    <m/>
    <m/>
    <m/>
    <m/>
    <m/>
    <m/>
    <m/>
    <m/>
    <m/>
    <m/>
    <n v="0"/>
    <n v="0"/>
    <n v="0"/>
    <n v="0"/>
    <n v="0"/>
    <n v="0"/>
    <n v="0"/>
    <n v="0"/>
    <n v="0"/>
    <n v="0"/>
    <n v="0"/>
    <n v="0"/>
    <n v="0"/>
    <n v="0"/>
    <x v="0"/>
    <n v="0"/>
    <s v="MMR001CMP024"/>
    <x v="2"/>
    <x v="1"/>
    <x v="2"/>
    <n v="0"/>
    <s v="No"/>
    <m/>
  </r>
  <r>
    <n v="43.666666666666664"/>
    <d v="2012-12-18T00:00:00"/>
    <x v="0"/>
    <s v="UNHCR"/>
    <s v="Kachin"/>
    <s v="Myitkyina"/>
    <s v="Shwe Zet Baptist Church"/>
    <m/>
    <m/>
    <m/>
    <n v="30"/>
    <n v="20"/>
    <n v="30"/>
    <n v="20"/>
    <n v="20"/>
    <n v="20"/>
    <n v="20"/>
    <m/>
    <m/>
    <m/>
    <m/>
    <m/>
    <m/>
    <m/>
    <n v="0"/>
    <n v="0"/>
    <n v="0"/>
    <n v="0"/>
    <n v="0"/>
    <n v="0"/>
    <n v="0"/>
    <n v="0"/>
    <n v="0"/>
    <n v="0"/>
    <n v="0"/>
    <n v="0"/>
    <n v="0"/>
    <n v="0"/>
    <x v="0"/>
    <n v="0"/>
    <s v="MMR001CMP009"/>
    <x v="2"/>
    <x v="1"/>
    <x v="2"/>
    <n v="0.2247191011235955"/>
    <s v="No"/>
    <m/>
  </r>
  <r>
    <n v="43.833333333333336"/>
    <d v="2012-12-13T00:00:00"/>
    <x v="0"/>
    <s v="UNHCR"/>
    <s v="Kachin"/>
    <s v="Myitkyina"/>
    <s v="Nan Kway St. John Catholic Church"/>
    <m/>
    <m/>
    <m/>
    <n v="16"/>
    <n v="7"/>
    <n v="16"/>
    <n v="7"/>
    <n v="7"/>
    <n v="7"/>
    <n v="7"/>
    <m/>
    <m/>
    <m/>
    <m/>
    <m/>
    <m/>
    <m/>
    <n v="0"/>
    <n v="0"/>
    <n v="0"/>
    <n v="0"/>
    <n v="0"/>
    <n v="0"/>
    <n v="0"/>
    <n v="0"/>
    <n v="0"/>
    <n v="0"/>
    <n v="0"/>
    <n v="0"/>
    <n v="0"/>
    <n v="0"/>
    <x v="0"/>
    <n v="0"/>
    <s v="MMR001CMP024"/>
    <x v="2"/>
    <x v="1"/>
    <x v="2"/>
    <n v="0.10294117647058823"/>
    <s v="No"/>
    <m/>
  </r>
  <r>
    <n v="44.866666666666667"/>
    <d v="2012-11-12T00:00:00"/>
    <x v="0"/>
    <s v="UNHCR"/>
    <s v="Kachin"/>
    <s v="Waingmaw"/>
    <s v="Qtr. 2 Lhaovo Baptist Church"/>
    <m/>
    <m/>
    <m/>
    <n v="12"/>
    <n v="12"/>
    <n v="12"/>
    <n v="5"/>
    <n v="5"/>
    <n v="5"/>
    <n v="5"/>
    <m/>
    <m/>
    <m/>
    <m/>
    <m/>
    <m/>
    <m/>
    <n v="0"/>
    <n v="0"/>
    <n v="0"/>
    <n v="0"/>
    <n v="0"/>
    <n v="0"/>
    <n v="0"/>
    <n v="0"/>
    <n v="0"/>
    <n v="0"/>
    <n v="0"/>
    <n v="0"/>
    <n v="0"/>
    <n v="0"/>
    <x v="0"/>
    <n v="0"/>
    <s v="MMR001CMP032"/>
    <x v="2"/>
    <x v="1"/>
    <x v="2"/>
    <n v="5.4945054945054944E-2"/>
    <s v="No"/>
    <m/>
  </r>
  <r>
    <n v="44.93333333333333"/>
    <d v="2012-11-10T00:00:00"/>
    <x v="0"/>
    <s v="UNHCR"/>
    <s v="Kachin"/>
    <s v="Hpakant"/>
    <s v="Hlaing Naung Baptist"/>
    <m/>
    <m/>
    <m/>
    <n v="12"/>
    <n v="0"/>
    <n v="12"/>
    <n v="0"/>
    <n v="0"/>
    <m/>
    <m/>
    <m/>
    <m/>
    <m/>
    <m/>
    <m/>
    <m/>
    <m/>
    <n v="0"/>
    <n v="0"/>
    <n v="0"/>
    <n v="0"/>
    <n v="0"/>
    <n v="0"/>
    <n v="0"/>
    <n v="0"/>
    <n v="0"/>
    <n v="0"/>
    <n v="0"/>
    <n v="0"/>
    <n v="0"/>
    <n v="0"/>
    <x v="0"/>
    <n v="0"/>
    <s v="MMR001CMP148"/>
    <x v="2"/>
    <x v="1"/>
    <x v="2"/>
    <n v="0"/>
    <s v="No"/>
    <m/>
  </r>
  <r>
    <n v="32.1"/>
    <d v="2013-11-30T00:00:00"/>
    <x v="5"/>
    <m/>
    <s v="Kachin"/>
    <s v="Bhamo"/>
    <s v="Nant Hlaing Church"/>
    <m/>
    <m/>
    <m/>
    <m/>
    <m/>
    <m/>
    <m/>
    <m/>
    <m/>
    <n v="57"/>
    <m/>
    <m/>
    <m/>
    <m/>
    <m/>
    <m/>
    <m/>
    <n v="0"/>
    <n v="0"/>
    <n v="0"/>
    <n v="0"/>
    <n v="0"/>
    <n v="0"/>
    <n v="0"/>
    <n v="0"/>
    <n v="0"/>
    <n v="0"/>
    <n v="0"/>
    <n v="0"/>
    <n v="0"/>
    <n v="0"/>
    <x v="0"/>
    <n v="0"/>
    <s v="MMR001CMP054"/>
    <x v="2"/>
    <x v="1"/>
    <x v="2"/>
    <n v="0"/>
    <s v="No"/>
    <m/>
  </r>
  <r>
    <n v="50.1"/>
    <d v="2012-06-08T00:00:00"/>
    <x v="5"/>
    <s v="Solidarities"/>
    <s v="Kachin"/>
    <s v="Bhamo"/>
    <s v="Nant Hlaing Church"/>
    <n v="21"/>
    <m/>
    <m/>
    <m/>
    <m/>
    <m/>
    <m/>
    <m/>
    <m/>
    <m/>
    <m/>
    <m/>
    <m/>
    <m/>
    <m/>
    <m/>
    <m/>
    <n v="0"/>
    <n v="0"/>
    <n v="0"/>
    <n v="0"/>
    <n v="0"/>
    <n v="0"/>
    <n v="0"/>
    <n v="0"/>
    <n v="0"/>
    <n v="0"/>
    <n v="0"/>
    <n v="0"/>
    <n v="0"/>
    <n v="0"/>
    <x v="0"/>
    <n v="0"/>
    <s v="MMR001CMP054"/>
    <x v="2"/>
    <x v="1"/>
    <x v="2"/>
    <n v="0"/>
    <m/>
    <m/>
  </r>
  <r>
    <n v="54.166666666666664"/>
    <d v="2012-02-07T00:00:00"/>
    <x v="5"/>
    <s v="Solidarities"/>
    <s v="Kachin"/>
    <s v="Bhamo"/>
    <s v="Nant Hlaing Church"/>
    <n v="90"/>
    <m/>
    <m/>
    <m/>
    <m/>
    <m/>
    <m/>
    <m/>
    <m/>
    <m/>
    <m/>
    <m/>
    <m/>
    <m/>
    <m/>
    <m/>
    <m/>
    <n v="0"/>
    <n v="0"/>
    <n v="0"/>
    <n v="0"/>
    <n v="0"/>
    <n v="0"/>
    <n v="0"/>
    <n v="0"/>
    <n v="0"/>
    <n v="0"/>
    <n v="0"/>
    <n v="0"/>
    <n v="0"/>
    <n v="0"/>
    <x v="0"/>
    <n v="0"/>
    <s v="MMR001CMP054"/>
    <x v="2"/>
    <x v="1"/>
    <x v="2"/>
    <n v="0"/>
    <m/>
    <m/>
  </r>
  <r>
    <n v="42.533333333333331"/>
    <d v="2013-01-21T00:00:00"/>
    <x v="5"/>
    <s v="Solidarities"/>
    <s v="Kachin"/>
    <s v="Bhamo"/>
    <s v="Nant Hlaing Church"/>
    <n v="85"/>
    <m/>
    <m/>
    <m/>
    <m/>
    <m/>
    <m/>
    <m/>
    <n v="0"/>
    <n v="0"/>
    <m/>
    <m/>
    <m/>
    <m/>
    <m/>
    <m/>
    <m/>
    <n v="0"/>
    <n v="0"/>
    <n v="0"/>
    <n v="0"/>
    <n v="0"/>
    <n v="0"/>
    <n v="0"/>
    <n v="0"/>
    <n v="0"/>
    <n v="0"/>
    <n v="0"/>
    <n v="0"/>
    <n v="0"/>
    <n v="0"/>
    <x v="0"/>
    <n v="0"/>
    <s v="MMR001CMP054"/>
    <x v="2"/>
    <x v="1"/>
    <x v="2"/>
    <n v="0"/>
    <s v="No"/>
    <m/>
  </r>
  <r>
    <n v="45.1"/>
    <d v="2012-11-05T00:00:00"/>
    <x v="0"/>
    <s v="UNHCR"/>
    <s v="Kachin"/>
    <s v="Hpakant"/>
    <s v="Hlaing Naung Baptist"/>
    <m/>
    <m/>
    <m/>
    <n v="70"/>
    <n v="40"/>
    <n v="70"/>
    <n v="40"/>
    <n v="40"/>
    <n v="40"/>
    <n v="40"/>
    <m/>
    <m/>
    <m/>
    <m/>
    <m/>
    <m/>
    <m/>
    <n v="0"/>
    <n v="0"/>
    <n v="0"/>
    <n v="0"/>
    <n v="0"/>
    <n v="0"/>
    <n v="0"/>
    <n v="0"/>
    <n v="0"/>
    <n v="0"/>
    <n v="0"/>
    <n v="0"/>
    <n v="0"/>
    <n v="0"/>
    <x v="0"/>
    <n v="0"/>
    <s v="MMR001CMP148"/>
    <x v="2"/>
    <x v="1"/>
    <x v="2"/>
    <n v="2.8571428571428572"/>
    <s v="No"/>
    <m/>
  </r>
  <r>
    <n v="20.6"/>
    <d v="2014-11-10T00:00:00"/>
    <x v="1"/>
    <s v="MRCS"/>
    <s v="Kachin"/>
    <s v="Hpakant"/>
    <s v="Nant Ma Hpit Catholic Church"/>
    <m/>
    <m/>
    <m/>
    <m/>
    <m/>
    <m/>
    <m/>
    <m/>
    <m/>
    <m/>
    <n v="117"/>
    <n v="65"/>
    <m/>
    <m/>
    <m/>
    <m/>
    <m/>
    <n v="0"/>
    <n v="0"/>
    <n v="0"/>
    <n v="0"/>
    <n v="0"/>
    <n v="0"/>
    <n v="0"/>
    <n v="0"/>
    <n v="0"/>
    <n v="0"/>
    <n v="0"/>
    <n v="0"/>
    <n v="0"/>
    <n v="0"/>
    <x v="1"/>
    <n v="0"/>
    <s v="MMR001CMP103"/>
    <x v="2"/>
    <x v="1"/>
    <x v="2"/>
    <n v="0"/>
    <m/>
    <m/>
  </r>
  <r>
    <n v="45.93333333333333"/>
    <d v="2012-10-11T00:00:00"/>
    <x v="0"/>
    <s v="UNHCR"/>
    <s v="Kachin"/>
    <s v="Momauk"/>
    <s v="Seng Ja "/>
    <m/>
    <m/>
    <m/>
    <n v="28"/>
    <n v="17"/>
    <n v="28"/>
    <n v="17"/>
    <n v="17"/>
    <n v="17"/>
    <n v="17"/>
    <m/>
    <m/>
    <m/>
    <m/>
    <m/>
    <m/>
    <m/>
    <n v="0"/>
    <n v="0"/>
    <n v="0"/>
    <n v="0"/>
    <n v="0"/>
    <n v="0"/>
    <n v="0"/>
    <n v="0"/>
    <n v="0"/>
    <n v="0"/>
    <n v="0"/>
    <n v="0"/>
    <n v="0"/>
    <n v="0"/>
    <x v="0"/>
    <n v="0"/>
    <s v="MMR001CMP073"/>
    <x v="2"/>
    <x v="1"/>
    <x v="4"/>
    <n v="0.4358974358974359"/>
    <s v="No"/>
    <m/>
  </r>
  <r>
    <n v="46.3"/>
    <d v="2012-09-30T00:00:00"/>
    <x v="0"/>
    <s v="Chipwe CM"/>
    <s v="Kachin"/>
    <s v="Chipwi"/>
    <s v="Women's Affairs Association Building"/>
    <m/>
    <m/>
    <m/>
    <n v="34"/>
    <n v="12"/>
    <n v="34"/>
    <n v="12"/>
    <n v="12"/>
    <n v="12"/>
    <n v="12"/>
    <m/>
    <m/>
    <m/>
    <m/>
    <m/>
    <m/>
    <m/>
    <n v="0"/>
    <n v="0"/>
    <n v="0"/>
    <n v="0"/>
    <n v="0"/>
    <n v="0"/>
    <n v="0"/>
    <n v="0"/>
    <n v="0"/>
    <n v="0"/>
    <n v="0"/>
    <n v="0"/>
    <n v="0"/>
    <n v="0"/>
    <x v="0"/>
    <n v="0"/>
    <s v="MMR001CMP044"/>
    <x v="2"/>
    <x v="2"/>
    <x v="0"/>
    <s v=""/>
    <s v="No"/>
    <m/>
  </r>
  <r>
    <n v="46.333333333333336"/>
    <d v="2012-09-29T00:00:00"/>
    <x v="0"/>
    <s v="Chipwe CM"/>
    <s v="Kachin"/>
    <s v="Chipwi"/>
    <s v="Lhaovao Baptist Church (LBC)"/>
    <m/>
    <m/>
    <m/>
    <n v="34"/>
    <n v="12"/>
    <n v="34"/>
    <n v="12"/>
    <n v="12"/>
    <n v="12"/>
    <n v="12"/>
    <m/>
    <m/>
    <m/>
    <m/>
    <m/>
    <m/>
    <m/>
    <n v="0"/>
    <n v="0"/>
    <n v="0"/>
    <n v="0"/>
    <n v="0"/>
    <n v="0"/>
    <n v="0"/>
    <n v="0"/>
    <n v="0"/>
    <n v="0"/>
    <n v="0"/>
    <n v="0"/>
    <n v="0"/>
    <n v="0"/>
    <x v="0"/>
    <n v="0"/>
    <s v="MMR001CMP195"/>
    <x v="2"/>
    <x v="1"/>
    <x v="3"/>
    <n v="8.3916083916083919E-2"/>
    <s v="No"/>
    <m/>
  </r>
  <r>
    <n v="38.700000000000003"/>
    <d v="2013-05-16T00:00:00"/>
    <x v="8"/>
    <s v="KMSS"/>
    <s v="Kachin"/>
    <s v="Hpakant"/>
    <s v="Nant Ma Hpit Catholic Church"/>
    <n v="423"/>
    <m/>
    <m/>
    <m/>
    <m/>
    <m/>
    <m/>
    <m/>
    <m/>
    <m/>
    <m/>
    <m/>
    <m/>
    <m/>
    <m/>
    <m/>
    <m/>
    <n v="0"/>
    <n v="0"/>
    <n v="0"/>
    <n v="0"/>
    <n v="0"/>
    <n v="0"/>
    <n v="0"/>
    <n v="0"/>
    <n v="0"/>
    <n v="0"/>
    <n v="0"/>
    <n v="0"/>
    <n v="0"/>
    <n v="0"/>
    <x v="0"/>
    <n v="0"/>
    <s v="MMR001CMP103"/>
    <x v="2"/>
    <x v="1"/>
    <x v="2"/>
    <n v="0"/>
    <s v="No"/>
    <m/>
  </r>
  <r>
    <n v="46.333333333333336"/>
    <d v="2012-09-29T00:00:00"/>
    <x v="0"/>
    <s v="UNHCR"/>
    <s v="Kachin"/>
    <s v="Momauk"/>
    <s v="Loi Je Lisu Camp"/>
    <m/>
    <m/>
    <m/>
    <n v="151"/>
    <n v="59"/>
    <n v="151"/>
    <n v="59"/>
    <n v="59"/>
    <n v="59"/>
    <n v="59"/>
    <m/>
    <m/>
    <m/>
    <m/>
    <m/>
    <m/>
    <m/>
    <n v="0"/>
    <n v="0"/>
    <n v="0"/>
    <n v="0"/>
    <n v="0"/>
    <n v="0"/>
    <n v="0"/>
    <n v="0"/>
    <n v="0"/>
    <n v="0"/>
    <n v="0"/>
    <n v="0"/>
    <n v="0"/>
    <n v="0"/>
    <x v="0"/>
    <n v="0"/>
    <s v="MMR001CMP070"/>
    <x v="2"/>
    <x v="1"/>
    <x v="4"/>
    <n v="0.31052631578947371"/>
    <s v="No"/>
    <m/>
  </r>
  <r>
    <n v="46.366666666666667"/>
    <d v="2012-09-28T00:00:00"/>
    <x v="0"/>
    <s v="Chipwe CM"/>
    <s v="Kachin"/>
    <s v="Chipwi"/>
    <s v="Lan Jaw "/>
    <m/>
    <m/>
    <m/>
    <n v="33"/>
    <n v="11"/>
    <n v="33"/>
    <n v="11"/>
    <n v="11"/>
    <n v="11"/>
    <n v="11"/>
    <m/>
    <m/>
    <m/>
    <m/>
    <m/>
    <m/>
    <m/>
    <n v="0"/>
    <n v="0"/>
    <n v="0"/>
    <n v="0"/>
    <n v="0"/>
    <n v="0"/>
    <n v="0"/>
    <n v="0"/>
    <n v="0"/>
    <n v="0"/>
    <n v="0"/>
    <n v="0"/>
    <n v="0"/>
    <n v="0"/>
    <x v="0"/>
    <n v="0"/>
    <s v="MMR001CMP045"/>
    <x v="2"/>
    <x v="1"/>
    <x v="3"/>
    <s v=""/>
    <s v="No"/>
    <m/>
  </r>
  <r>
    <n v="43.233333333333334"/>
    <d v="2012-12-31T00:00:00"/>
    <x v="3"/>
    <s v="DRC"/>
    <s v="Kachin"/>
    <s v="Hpakant"/>
    <s v="Nant Ma Hpit Catholic Church"/>
    <n v="4"/>
    <m/>
    <m/>
    <m/>
    <m/>
    <m/>
    <m/>
    <m/>
    <n v="0"/>
    <n v="0"/>
    <m/>
    <m/>
    <m/>
    <m/>
    <m/>
    <m/>
    <m/>
    <n v="0"/>
    <n v="0"/>
    <n v="0"/>
    <n v="0"/>
    <n v="0"/>
    <n v="0"/>
    <n v="0"/>
    <n v="0"/>
    <n v="0"/>
    <n v="0"/>
    <n v="0"/>
    <n v="0"/>
    <n v="0"/>
    <n v="0"/>
    <x v="0"/>
    <n v="0"/>
    <s v="MMR001CMP103"/>
    <x v="2"/>
    <x v="1"/>
    <x v="2"/>
    <n v="0"/>
    <s v="No"/>
    <m/>
  </r>
  <r>
    <n v="31.033333333333335"/>
    <d v="2014-01-01T00:00:00"/>
    <x v="11"/>
    <s v="MRCS"/>
    <s v="Kachin"/>
    <s v="Mohnyin"/>
    <s v="Nant Mun"/>
    <m/>
    <m/>
    <m/>
    <m/>
    <m/>
    <m/>
    <n v="12"/>
    <m/>
    <m/>
    <m/>
    <m/>
    <m/>
    <m/>
    <m/>
    <m/>
    <m/>
    <m/>
    <n v="0"/>
    <n v="0"/>
    <n v="0"/>
    <n v="0"/>
    <n v="0"/>
    <n v="0"/>
    <n v="0"/>
    <n v="0"/>
    <n v="0"/>
    <n v="0"/>
    <n v="0"/>
    <n v="0"/>
    <n v="0"/>
    <n v="0"/>
    <x v="0"/>
    <n v="0"/>
    <s v="MMR001CMP081"/>
    <x v="2"/>
    <x v="2"/>
    <x v="2"/>
    <s v=""/>
    <s v="No"/>
    <m/>
  </r>
  <r>
    <n v="41.866666666666667"/>
    <d v="2013-02-10T00:00:00"/>
    <x v="2"/>
    <s v="MRCS"/>
    <s v="Kachin"/>
    <s v="Mohnyin"/>
    <s v="Nant Mun"/>
    <m/>
    <m/>
    <m/>
    <m/>
    <n v="36"/>
    <m/>
    <n v="22"/>
    <m/>
    <n v="0"/>
    <n v="0"/>
    <m/>
    <m/>
    <m/>
    <m/>
    <m/>
    <m/>
    <m/>
    <n v="0"/>
    <n v="0"/>
    <n v="0"/>
    <n v="0"/>
    <n v="0"/>
    <n v="0"/>
    <n v="0"/>
    <n v="0"/>
    <n v="0"/>
    <n v="0"/>
    <n v="0"/>
    <n v="0"/>
    <n v="0"/>
    <n v="0"/>
    <x v="0"/>
    <n v="0"/>
    <s v="MMR001CMP081"/>
    <x v="2"/>
    <x v="2"/>
    <x v="2"/>
    <s v=""/>
    <s v="No"/>
    <m/>
  </r>
  <r>
    <n v="46.4"/>
    <d v="2012-09-27T00:00:00"/>
    <x v="0"/>
    <s v="Chipwe CM"/>
    <s v="Kachin"/>
    <s v="Chipwi"/>
    <s v="Hpare Hkyer - BP6"/>
    <m/>
    <m/>
    <m/>
    <n v="33"/>
    <n v="11"/>
    <n v="33"/>
    <n v="11"/>
    <n v="11"/>
    <n v="11"/>
    <n v="11"/>
    <m/>
    <m/>
    <m/>
    <m/>
    <m/>
    <m/>
    <m/>
    <n v="0"/>
    <n v="0"/>
    <n v="0"/>
    <n v="0"/>
    <n v="0"/>
    <n v="0"/>
    <n v="0"/>
    <n v="0"/>
    <n v="0"/>
    <n v="0"/>
    <n v="0"/>
    <n v="0"/>
    <n v="0"/>
    <n v="0"/>
    <x v="0"/>
    <n v="0"/>
    <s v="MMR001CMP043"/>
    <x v="2"/>
    <x v="1"/>
    <x v="3"/>
    <n v="7.2368421052631582E-2"/>
    <s v="No"/>
    <m/>
  </r>
  <r>
    <n v="32.1"/>
    <d v="2013-11-30T00:00:00"/>
    <x v="4"/>
    <s v="MDCG"/>
    <s v="Shan_North"/>
    <s v="Hseni"/>
    <s v="Narte"/>
    <m/>
    <m/>
    <m/>
    <m/>
    <m/>
    <n v="201"/>
    <m/>
    <m/>
    <m/>
    <m/>
    <n v="266"/>
    <n v="126"/>
    <n v="0"/>
    <m/>
    <m/>
    <m/>
    <m/>
    <n v="0"/>
    <n v="0"/>
    <n v="0"/>
    <n v="0"/>
    <n v="0"/>
    <n v="0"/>
    <n v="0"/>
    <n v="0"/>
    <n v="0"/>
    <n v="0"/>
    <n v="0"/>
    <n v="0"/>
    <n v="0"/>
    <n v="0"/>
    <x v="1"/>
    <n v="0"/>
    <s v="MMR015CMP207"/>
    <x v="2"/>
    <x v="1"/>
    <x v="2"/>
    <n v="0"/>
    <s v="No"/>
    <m/>
  </r>
  <r>
    <n v="46.43333333333333"/>
    <d v="2012-09-26T00:00:00"/>
    <x v="0"/>
    <s v="Chipwe CM"/>
    <s v="Kachin"/>
    <s v="Chipwi"/>
    <s v="Gant Gwin"/>
    <m/>
    <m/>
    <m/>
    <n v="33"/>
    <n v="11"/>
    <n v="33"/>
    <n v="11"/>
    <n v="11"/>
    <n v="11"/>
    <n v="11"/>
    <m/>
    <m/>
    <m/>
    <m/>
    <m/>
    <m/>
    <m/>
    <n v="0"/>
    <n v="0"/>
    <n v="0"/>
    <n v="0"/>
    <n v="0"/>
    <n v="0"/>
    <n v="0"/>
    <n v="0"/>
    <n v="0"/>
    <n v="0"/>
    <n v="0"/>
    <n v="0"/>
    <n v="0"/>
    <n v="0"/>
    <x v="0"/>
    <n v="0"/>
    <s v="MMR001CMP046"/>
    <x v="2"/>
    <x v="2"/>
    <x v="3"/>
    <s v=""/>
    <s v="No"/>
    <m/>
  </r>
  <r>
    <n v="29.2"/>
    <d v="2014-02-25T00:00:00"/>
    <x v="6"/>
    <s v="MRCS"/>
    <s v="Kachin"/>
    <s v="Mogaung"/>
    <s v="Nat Gyi Kone Baptist Church "/>
    <m/>
    <m/>
    <m/>
    <m/>
    <m/>
    <m/>
    <m/>
    <m/>
    <m/>
    <m/>
    <m/>
    <m/>
    <m/>
    <n v="28"/>
    <m/>
    <m/>
    <m/>
    <n v="0"/>
    <n v="0"/>
    <n v="0"/>
    <n v="0"/>
    <n v="0"/>
    <n v="0"/>
    <n v="0"/>
    <n v="0"/>
    <n v="0"/>
    <n v="0"/>
    <n v="0"/>
    <n v="0"/>
    <n v="0"/>
    <n v="0"/>
    <x v="1"/>
    <n v="0"/>
    <s v="MMR001CMP079"/>
    <x v="2"/>
    <x v="1"/>
    <x v="2"/>
    <n v="0"/>
    <m/>
    <m/>
  </r>
  <r>
    <n v="31.033333333333335"/>
    <d v="2014-01-01T00:00:00"/>
    <x v="11"/>
    <s v="MRCS"/>
    <s v="Kachin"/>
    <s v="Mogaung"/>
    <s v="Nat Gyi Kone Baptist Church "/>
    <m/>
    <m/>
    <m/>
    <m/>
    <m/>
    <m/>
    <n v="13"/>
    <m/>
    <m/>
    <m/>
    <m/>
    <m/>
    <m/>
    <m/>
    <m/>
    <m/>
    <m/>
    <n v="0"/>
    <n v="0"/>
    <n v="0"/>
    <n v="0"/>
    <n v="0"/>
    <n v="0"/>
    <n v="0"/>
    <n v="0"/>
    <n v="0"/>
    <n v="0"/>
    <n v="0"/>
    <n v="0"/>
    <n v="0"/>
    <n v="0"/>
    <x v="0"/>
    <n v="0"/>
    <s v="MMR001CMP079"/>
    <x v="2"/>
    <x v="1"/>
    <x v="2"/>
    <n v="1.0833333333333333"/>
    <s v="No"/>
    <m/>
  </r>
  <r>
    <n v="46.466666666666669"/>
    <d v="2012-09-25T00:00:00"/>
    <x v="0"/>
    <s v="Chipwe CM"/>
    <s v="Kachin"/>
    <s v="Chipwi"/>
    <s v="Chipwi KBC camp"/>
    <m/>
    <m/>
    <m/>
    <n v="33"/>
    <n v="11"/>
    <n v="33"/>
    <n v="11"/>
    <n v="11"/>
    <n v="11"/>
    <n v="11"/>
    <m/>
    <m/>
    <m/>
    <m/>
    <m/>
    <m/>
    <m/>
    <n v="0"/>
    <n v="0"/>
    <n v="0"/>
    <n v="0"/>
    <n v="0"/>
    <n v="0"/>
    <n v="0"/>
    <n v="0"/>
    <n v="0"/>
    <n v="0"/>
    <n v="0"/>
    <n v="0"/>
    <n v="0"/>
    <n v="0"/>
    <x v="0"/>
    <n v="0"/>
    <s v="MMR001CMP042"/>
    <x v="2"/>
    <x v="1"/>
    <x v="3"/>
    <n v="0.10091743119266056"/>
    <s v="No"/>
    <m/>
  </r>
  <r>
    <n v="46.733333333333334"/>
    <d v="2012-09-17T00:00:00"/>
    <x v="0"/>
    <s v="UNHCR"/>
    <s v="Kachin"/>
    <s v="Momauk"/>
    <s v="Man Bung Catholic compound"/>
    <m/>
    <m/>
    <m/>
    <n v="86"/>
    <n v="43"/>
    <n v="86"/>
    <n v="43"/>
    <n v="43"/>
    <n v="43"/>
    <n v="43"/>
    <m/>
    <m/>
    <m/>
    <m/>
    <m/>
    <m/>
    <m/>
    <n v="0"/>
    <n v="0"/>
    <n v="0"/>
    <n v="0"/>
    <n v="0"/>
    <n v="0"/>
    <n v="0"/>
    <n v="0"/>
    <n v="0"/>
    <n v="0"/>
    <n v="0"/>
    <n v="0"/>
    <n v="0"/>
    <n v="0"/>
    <x v="0"/>
    <n v="0"/>
    <s v="MMR001CMP062"/>
    <x v="2"/>
    <x v="1"/>
    <x v="2"/>
    <n v="0.16475095785440613"/>
    <s v="No"/>
    <m/>
  </r>
  <r>
    <n v="20.6"/>
    <d v="2014-11-10T00:00:00"/>
    <x v="1"/>
    <s v="MRCS"/>
    <s v="Kachin"/>
    <s v="Puta-O"/>
    <s v="Naung Khaing"/>
    <m/>
    <m/>
    <m/>
    <m/>
    <m/>
    <m/>
    <m/>
    <m/>
    <m/>
    <m/>
    <n v="52"/>
    <n v="16"/>
    <m/>
    <m/>
    <m/>
    <m/>
    <m/>
    <n v="0"/>
    <n v="0"/>
    <n v="0"/>
    <n v="0"/>
    <n v="0"/>
    <n v="0"/>
    <n v="0"/>
    <n v="0"/>
    <n v="0"/>
    <n v="0"/>
    <n v="0"/>
    <n v="0"/>
    <n v="0"/>
    <n v="0"/>
    <x v="1"/>
    <n v="0"/>
    <s v="MMR001CMP220"/>
    <x v="2"/>
    <x v="2"/>
    <x v="4"/>
    <s v=""/>
    <m/>
    <m/>
  </r>
  <r>
    <n v="30.4"/>
    <d v="2014-01-20T00:00:00"/>
    <x v="1"/>
    <s v="MRCS"/>
    <s v="Kachin"/>
    <s v="Puta-O"/>
    <s v="Naung Khaing"/>
    <m/>
    <m/>
    <m/>
    <n v="17"/>
    <n v="34"/>
    <n v="34"/>
    <n v="17"/>
    <m/>
    <m/>
    <m/>
    <n v="31"/>
    <n v="28"/>
    <m/>
    <m/>
    <m/>
    <m/>
    <m/>
    <n v="0"/>
    <n v="0"/>
    <n v="0"/>
    <n v="0"/>
    <n v="0"/>
    <n v="0"/>
    <n v="0"/>
    <n v="0"/>
    <n v="0"/>
    <n v="0"/>
    <n v="0"/>
    <n v="0"/>
    <n v="0"/>
    <n v="0"/>
    <x v="1"/>
    <n v="0"/>
    <s v="MMR001CMP220"/>
    <x v="2"/>
    <x v="2"/>
    <x v="4"/>
    <s v=""/>
    <m/>
    <m/>
  </r>
  <r>
    <n v="46.733333333333334"/>
    <d v="2012-09-17T00:00:00"/>
    <x v="0"/>
    <s v="UNHCR"/>
    <s v="Kachin"/>
    <s v="Momauk"/>
    <s v="Momauk Catholic Church (St. Patrick)"/>
    <m/>
    <m/>
    <m/>
    <n v="86"/>
    <n v="43"/>
    <n v="86"/>
    <n v="43"/>
    <n v="43"/>
    <n v="43"/>
    <n v="43"/>
    <m/>
    <m/>
    <m/>
    <m/>
    <m/>
    <m/>
    <m/>
    <n v="0"/>
    <n v="0"/>
    <n v="0"/>
    <n v="0"/>
    <n v="0"/>
    <n v="0"/>
    <n v="0"/>
    <n v="0"/>
    <n v="0"/>
    <n v="0"/>
    <n v="0"/>
    <n v="0"/>
    <n v="0"/>
    <n v="0"/>
    <x v="0"/>
    <n v="0"/>
    <s v="MMR001CMP057"/>
    <x v="2"/>
    <x v="2"/>
    <x v="2"/>
    <s v=""/>
    <s v="No"/>
    <m/>
  </r>
  <r>
    <n v="26.2"/>
    <d v="2014-05-26T00:00:00"/>
    <x v="6"/>
    <s v="MRCS"/>
    <s v="Kachin"/>
    <s v="Waingmaw"/>
    <s v="Nawng Hee Village"/>
    <m/>
    <m/>
    <m/>
    <m/>
    <m/>
    <m/>
    <m/>
    <m/>
    <m/>
    <m/>
    <m/>
    <m/>
    <m/>
    <n v="36"/>
    <m/>
    <m/>
    <m/>
    <n v="0"/>
    <n v="0"/>
    <n v="0"/>
    <n v="0"/>
    <n v="0"/>
    <n v="0"/>
    <n v="0"/>
    <n v="0"/>
    <n v="0"/>
    <n v="0"/>
    <n v="0"/>
    <n v="0"/>
    <n v="0"/>
    <n v="0"/>
    <x v="1"/>
    <n v="0"/>
    <s v="MMR001CMP033"/>
    <x v="2"/>
    <x v="1"/>
    <x v="2"/>
    <n v="0"/>
    <m/>
    <m/>
  </r>
  <r>
    <n v="25.8"/>
    <d v="2014-06-07T00:00:00"/>
    <x v="6"/>
    <s v="MRCS"/>
    <s v="Kachin"/>
    <s v="Mohnyin"/>
    <s v="Nawng Ing (Indawgyi) Baptist Church  "/>
    <m/>
    <m/>
    <m/>
    <m/>
    <m/>
    <m/>
    <m/>
    <m/>
    <m/>
    <m/>
    <m/>
    <m/>
    <m/>
    <n v="40"/>
    <m/>
    <m/>
    <m/>
    <n v="0"/>
    <n v="0"/>
    <n v="0"/>
    <n v="0"/>
    <n v="0"/>
    <n v="0"/>
    <n v="0"/>
    <n v="0"/>
    <n v="0"/>
    <n v="0"/>
    <n v="0"/>
    <n v="0"/>
    <n v="0"/>
    <n v="0"/>
    <x v="1"/>
    <n v="0"/>
    <s v="MMR001CMP152"/>
    <x v="2"/>
    <x v="1"/>
    <x v="2"/>
    <n v="0"/>
    <m/>
    <m/>
  </r>
  <r>
    <n v="46.833333333333336"/>
    <d v="2012-09-14T00:00:00"/>
    <x v="0"/>
    <s v="UNHCR"/>
    <s v="Kachin"/>
    <s v="Waingmaw"/>
    <s v="Maina Catholic Church (St. Joseph)"/>
    <m/>
    <m/>
    <m/>
    <n v="94"/>
    <n v="48"/>
    <n v="94"/>
    <n v="48"/>
    <n v="48"/>
    <n v="48"/>
    <n v="48"/>
    <m/>
    <m/>
    <m/>
    <m/>
    <m/>
    <m/>
    <m/>
    <n v="0"/>
    <n v="0"/>
    <n v="0"/>
    <n v="0"/>
    <n v="0"/>
    <n v="0"/>
    <n v="0"/>
    <n v="0"/>
    <n v="0"/>
    <n v="0"/>
    <n v="0"/>
    <n v="0"/>
    <n v="0"/>
    <n v="0"/>
    <x v="0"/>
    <n v="0"/>
    <s v="MMR001CMP029"/>
    <x v="2"/>
    <x v="1"/>
    <x v="2"/>
    <n v="0.21621621621621623"/>
    <s v="No"/>
    <m/>
  </r>
  <r>
    <n v="46.833333333333336"/>
    <d v="2012-09-14T00:00:00"/>
    <x v="0"/>
    <s v="UNHCR"/>
    <s v="Kachin"/>
    <s v="Waingmaw"/>
    <s v="Waingmaw AG Church"/>
    <m/>
    <m/>
    <m/>
    <n v="14"/>
    <n v="8"/>
    <n v="14"/>
    <n v="8"/>
    <n v="8"/>
    <n v="8"/>
    <n v="8"/>
    <m/>
    <m/>
    <m/>
    <m/>
    <m/>
    <m/>
    <m/>
    <n v="0"/>
    <n v="0"/>
    <n v="0"/>
    <n v="0"/>
    <n v="0"/>
    <n v="0"/>
    <n v="0"/>
    <n v="0"/>
    <n v="0"/>
    <n v="0"/>
    <n v="0"/>
    <n v="0"/>
    <n v="0"/>
    <n v="0"/>
    <x v="0"/>
    <n v="0"/>
    <s v="MMR001CMP038"/>
    <x v="2"/>
    <x v="1"/>
    <x v="2"/>
    <n v="0.11428571428571428"/>
    <s v="No"/>
    <m/>
  </r>
  <r>
    <n v="46.966666666666669"/>
    <d v="2012-09-10T00:00:00"/>
    <x v="0"/>
    <s v="UNHCR"/>
    <s v="Kachin"/>
    <s v="Myitkyina"/>
    <s v="Myay Myint Baptist Church"/>
    <m/>
    <m/>
    <m/>
    <n v="10"/>
    <n v="6"/>
    <n v="10"/>
    <n v="6"/>
    <n v="6"/>
    <n v="6"/>
    <n v="6"/>
    <m/>
    <m/>
    <m/>
    <m/>
    <m/>
    <m/>
    <m/>
    <n v="0"/>
    <n v="0"/>
    <n v="0"/>
    <n v="0"/>
    <n v="0"/>
    <n v="0"/>
    <n v="0"/>
    <n v="0"/>
    <n v="0"/>
    <n v="0"/>
    <n v="0"/>
    <n v="0"/>
    <n v="0"/>
    <n v="0"/>
    <x v="0"/>
    <n v="0"/>
    <s v="MMR001CMP017"/>
    <x v="2"/>
    <x v="2"/>
    <x v="2"/>
    <s v=""/>
    <s v="No"/>
    <m/>
  </r>
  <r>
    <n v="47.133333333333333"/>
    <d v="2012-09-05T00:00:00"/>
    <x v="0"/>
    <s v="UNHCR"/>
    <s v="Kachin"/>
    <s v="Momauk"/>
    <s v="Loi Je Baptist Church"/>
    <m/>
    <m/>
    <m/>
    <n v="40"/>
    <n v="17"/>
    <n v="40"/>
    <n v="17"/>
    <n v="17"/>
    <n v="17"/>
    <n v="17"/>
    <m/>
    <m/>
    <m/>
    <m/>
    <m/>
    <m/>
    <m/>
    <n v="0"/>
    <n v="0"/>
    <n v="0"/>
    <n v="0"/>
    <n v="0"/>
    <n v="0"/>
    <n v="0"/>
    <n v="0"/>
    <n v="0"/>
    <n v="0"/>
    <n v="0"/>
    <n v="0"/>
    <n v="0"/>
    <n v="0"/>
    <x v="0"/>
    <n v="0"/>
    <s v="MMR001CMP071"/>
    <x v="2"/>
    <x v="1"/>
    <x v="4"/>
    <n v="0.47222222222222221"/>
    <s v="No"/>
    <m/>
  </r>
  <r>
    <n v="43.233333333333334"/>
    <d v="2012-12-31T00:00:00"/>
    <x v="3"/>
    <s v="DRC"/>
    <s v="Kachin"/>
    <s v="Hpakant"/>
    <s v="Nga Pyaw Taw Roman Catholic Church"/>
    <n v="3"/>
    <m/>
    <m/>
    <m/>
    <m/>
    <m/>
    <m/>
    <m/>
    <n v="0"/>
    <n v="0"/>
    <m/>
    <m/>
    <m/>
    <m/>
    <m/>
    <m/>
    <m/>
    <n v="0"/>
    <n v="0"/>
    <n v="0"/>
    <n v="0"/>
    <n v="0"/>
    <n v="0"/>
    <n v="0"/>
    <n v="0"/>
    <n v="0"/>
    <n v="0"/>
    <n v="0"/>
    <n v="0"/>
    <n v="0"/>
    <n v="0"/>
    <x v="0"/>
    <n v="0"/>
    <s v="MMR001CMP083"/>
    <x v="2"/>
    <x v="2"/>
    <x v="0"/>
    <s v=""/>
    <s v="No"/>
    <m/>
  </r>
  <r>
    <n v="47.133333333333333"/>
    <d v="2012-09-05T00:00:00"/>
    <x v="0"/>
    <s v="UNHCR"/>
    <s v="Kachin"/>
    <s v="Momauk"/>
    <s v="Loi Je Catholic Church"/>
    <m/>
    <m/>
    <m/>
    <n v="21"/>
    <n v="10"/>
    <n v="21"/>
    <n v="10"/>
    <n v="10"/>
    <n v="10"/>
    <n v="10"/>
    <m/>
    <m/>
    <m/>
    <m/>
    <m/>
    <m/>
    <m/>
    <n v="0"/>
    <n v="0"/>
    <n v="0"/>
    <n v="0"/>
    <n v="0"/>
    <n v="0"/>
    <n v="0"/>
    <n v="0"/>
    <n v="0"/>
    <n v="0"/>
    <n v="0"/>
    <n v="0"/>
    <n v="0"/>
    <n v="0"/>
    <x v="0"/>
    <n v="0"/>
    <s v="MMR001CMP069"/>
    <x v="2"/>
    <x v="1"/>
    <x v="4"/>
    <n v="8.0645161290322578E-2"/>
    <s v="No"/>
    <m/>
  </r>
  <r>
    <n v="47.133333333333333"/>
    <d v="2012-09-05T00:00:00"/>
    <x v="0"/>
    <s v="UNHCR"/>
    <s v="Kachin"/>
    <s v="Momauk"/>
    <s v="Loi Je Lisu Camp"/>
    <m/>
    <m/>
    <m/>
    <n v="133"/>
    <n v="62"/>
    <n v="133"/>
    <n v="62"/>
    <n v="62"/>
    <n v="62"/>
    <n v="62"/>
    <m/>
    <m/>
    <m/>
    <m/>
    <m/>
    <m/>
    <m/>
    <n v="0"/>
    <n v="0"/>
    <n v="0"/>
    <n v="0"/>
    <n v="0"/>
    <n v="0"/>
    <n v="0"/>
    <n v="0"/>
    <n v="0"/>
    <n v="0"/>
    <n v="0"/>
    <n v="0"/>
    <n v="0"/>
    <n v="0"/>
    <x v="0"/>
    <n v="0"/>
    <s v="MMR001CMP070"/>
    <x v="2"/>
    <x v="1"/>
    <x v="4"/>
    <n v="0.32631578947368423"/>
    <s v="No"/>
    <m/>
  </r>
  <r>
    <n v="31.733333333333334"/>
    <d v="2013-12-11T00:00:00"/>
    <x v="9"/>
    <s v="WPN"/>
    <s v="Kachin"/>
    <s v="Momauk"/>
    <s v="Nhkawng Pa "/>
    <m/>
    <m/>
    <m/>
    <m/>
    <m/>
    <n v="350"/>
    <m/>
    <m/>
    <m/>
    <m/>
    <m/>
    <m/>
    <m/>
    <m/>
    <m/>
    <m/>
    <m/>
    <n v="0"/>
    <n v="0"/>
    <n v="0"/>
    <n v="0"/>
    <n v="0"/>
    <n v="0"/>
    <n v="0"/>
    <n v="0"/>
    <n v="0"/>
    <n v="0"/>
    <n v="0"/>
    <n v="0"/>
    <n v="0"/>
    <n v="0"/>
    <x v="0"/>
    <n v="0"/>
    <s v="MMR001CMP131"/>
    <x v="2"/>
    <x v="1"/>
    <x v="3"/>
    <n v="0"/>
    <s v="No"/>
    <m/>
  </r>
  <r>
    <n v="32.1"/>
    <d v="2013-11-30T00:00:00"/>
    <x v="5"/>
    <s v="LDO"/>
    <s v="Kachin"/>
    <s v="Momauk"/>
    <s v="Nhkawng Pa "/>
    <m/>
    <m/>
    <m/>
    <m/>
    <m/>
    <m/>
    <m/>
    <m/>
    <m/>
    <m/>
    <m/>
    <m/>
    <m/>
    <m/>
    <m/>
    <m/>
    <m/>
    <n v="0"/>
    <n v="0"/>
    <n v="0"/>
    <n v="0"/>
    <n v="0"/>
    <n v="0"/>
    <n v="0"/>
    <n v="0"/>
    <n v="0"/>
    <n v="0"/>
    <n v="0"/>
    <n v="0"/>
    <n v="0"/>
    <n v="0"/>
    <x v="0"/>
    <n v="0"/>
    <s v="MMR001CMP131"/>
    <x v="2"/>
    <x v="1"/>
    <x v="3"/>
    <n v="0"/>
    <s v="No"/>
    <m/>
  </r>
  <r>
    <n v="32.6"/>
    <d v="2013-11-15T00:00:00"/>
    <x v="5"/>
    <s v="LDO"/>
    <s v="Kachin"/>
    <s v="Momauk"/>
    <s v="Nhkawng Pa "/>
    <m/>
    <m/>
    <m/>
    <m/>
    <m/>
    <m/>
    <m/>
    <m/>
    <m/>
    <m/>
    <n v="387"/>
    <n v="760"/>
    <n v="2294"/>
    <n v="1147"/>
    <m/>
    <m/>
    <m/>
    <n v="0"/>
    <n v="0"/>
    <n v="0"/>
    <n v="0"/>
    <n v="0"/>
    <n v="0"/>
    <n v="0"/>
    <n v="0"/>
    <n v="0"/>
    <n v="0"/>
    <n v="0"/>
    <n v="0"/>
    <n v="0"/>
    <n v="0"/>
    <x v="1"/>
    <n v="0"/>
    <s v="MMR001CMP131"/>
    <x v="2"/>
    <x v="1"/>
    <x v="3"/>
    <n v="0"/>
    <m/>
    <m/>
  </r>
  <r>
    <n v="47.133333333333333"/>
    <d v="2012-09-05T00:00:00"/>
    <x v="0"/>
    <s v="UNHCR"/>
    <s v="Kachin"/>
    <s v="Momauk"/>
    <s v="Seng Ja "/>
    <m/>
    <m/>
    <m/>
    <n v="26"/>
    <n v="11"/>
    <n v="26"/>
    <n v="11"/>
    <n v="11"/>
    <n v="11"/>
    <n v="11"/>
    <m/>
    <m/>
    <m/>
    <m/>
    <m/>
    <m/>
    <m/>
    <n v="0"/>
    <n v="0"/>
    <n v="0"/>
    <n v="0"/>
    <n v="0"/>
    <n v="0"/>
    <n v="0"/>
    <n v="0"/>
    <n v="0"/>
    <n v="0"/>
    <n v="0"/>
    <n v="0"/>
    <n v="0"/>
    <n v="0"/>
    <x v="0"/>
    <n v="0"/>
    <s v="MMR001CMP073"/>
    <x v="2"/>
    <x v="1"/>
    <x v="4"/>
    <n v="0.28205128205128205"/>
    <s v="No"/>
    <m/>
  </r>
  <r>
    <n v="47.366666666666667"/>
    <d v="2012-08-29T00:00:00"/>
    <x v="0"/>
    <s v="UNHCR"/>
    <s v="Kachin"/>
    <s v="Momauk"/>
    <s v="Nyaung Na Pin "/>
    <m/>
    <m/>
    <m/>
    <n v="112"/>
    <n v="41"/>
    <n v="112"/>
    <n v="41"/>
    <n v="41"/>
    <n v="41"/>
    <n v="41"/>
    <m/>
    <m/>
    <m/>
    <m/>
    <m/>
    <m/>
    <m/>
    <n v="0"/>
    <n v="0"/>
    <n v="0"/>
    <n v="0"/>
    <n v="0"/>
    <n v="0"/>
    <n v="0"/>
    <n v="0"/>
    <n v="0"/>
    <n v="0"/>
    <n v="0"/>
    <n v="0"/>
    <n v="0"/>
    <n v="0"/>
    <x v="0"/>
    <n v="0"/>
    <s v="MMR001CMP072"/>
    <x v="2"/>
    <x v="1"/>
    <x v="4"/>
    <n v="0.82"/>
    <s v="No"/>
    <m/>
  </r>
  <r>
    <n v="47.43333333333333"/>
    <d v="2012-08-27T00:00:00"/>
    <x v="0"/>
    <s v="UNHCR"/>
    <s v="Kachin"/>
    <s v="Myitkyina"/>
    <s v="Jan Mai Kawng Baptist Church"/>
    <m/>
    <m/>
    <m/>
    <n v="7"/>
    <n v="4"/>
    <n v="7"/>
    <n v="3"/>
    <n v="3"/>
    <n v="3"/>
    <n v="3"/>
    <m/>
    <m/>
    <m/>
    <m/>
    <m/>
    <m/>
    <m/>
    <n v="0"/>
    <n v="0"/>
    <n v="0"/>
    <n v="0"/>
    <n v="0"/>
    <n v="0"/>
    <n v="0"/>
    <n v="0"/>
    <n v="0"/>
    <n v="0"/>
    <n v="0"/>
    <n v="0"/>
    <n v="0"/>
    <n v="0"/>
    <x v="0"/>
    <n v="0"/>
    <s v="MMR001CMP018"/>
    <x v="2"/>
    <x v="1"/>
    <x v="2"/>
    <n v="1.5151515151515152E-2"/>
    <s v="No"/>
    <m/>
  </r>
  <r>
    <n v="47.43333333333333"/>
    <d v="2012-08-27T00:00:00"/>
    <x v="0"/>
    <s v="UNHCR"/>
    <s v="Kachin"/>
    <s v="Myitkyina"/>
    <s v="Maliyang Baptist Church"/>
    <m/>
    <m/>
    <m/>
    <n v="2"/>
    <n v="1"/>
    <n v="2"/>
    <n v="1"/>
    <n v="1"/>
    <n v="1"/>
    <n v="1"/>
    <m/>
    <m/>
    <m/>
    <m/>
    <m/>
    <m/>
    <m/>
    <n v="0"/>
    <n v="0"/>
    <n v="0"/>
    <n v="0"/>
    <n v="0"/>
    <n v="0"/>
    <n v="0"/>
    <n v="0"/>
    <n v="0"/>
    <n v="0"/>
    <n v="0"/>
    <n v="0"/>
    <n v="0"/>
    <n v="0"/>
    <x v="0"/>
    <n v="0"/>
    <s v="MMR001CMP016"/>
    <x v="2"/>
    <x v="1"/>
    <x v="2"/>
    <n v="1.6666666666666666E-2"/>
    <s v="No"/>
    <m/>
  </r>
  <r>
    <n v="47.43333333333333"/>
    <d v="2012-08-27T00:00:00"/>
    <x v="0"/>
    <s v="UNHCR"/>
    <s v="Kachin"/>
    <s v="Myitkyina"/>
    <s v="Maw Hpawng Hka Nan Baptist Church"/>
    <m/>
    <m/>
    <m/>
    <n v="2"/>
    <n v="1"/>
    <n v="2"/>
    <n v="1"/>
    <n v="1"/>
    <n v="1"/>
    <n v="1"/>
    <m/>
    <m/>
    <m/>
    <m/>
    <m/>
    <m/>
    <m/>
    <n v="0"/>
    <n v="0"/>
    <n v="0"/>
    <n v="0"/>
    <n v="0"/>
    <n v="0"/>
    <n v="0"/>
    <n v="0"/>
    <n v="0"/>
    <n v="0"/>
    <n v="0"/>
    <n v="0"/>
    <n v="0"/>
    <n v="0"/>
    <x v="0"/>
    <n v="0"/>
    <s v="MMR001CMP020"/>
    <x v="2"/>
    <x v="1"/>
    <x v="2"/>
    <n v="4.7619047619047616E-2"/>
    <s v="No"/>
    <m/>
  </r>
  <r>
    <n v="47.43333333333333"/>
    <d v="2012-08-27T00:00:00"/>
    <x v="0"/>
    <s v="UNHCR"/>
    <s v="Kachin"/>
    <s v="Myitkyina"/>
    <s v="Maw Hpawng Lhaovo Baptist Church"/>
    <m/>
    <m/>
    <m/>
    <n v="10"/>
    <n v="5"/>
    <n v="10"/>
    <n v="5"/>
    <n v="5"/>
    <n v="5"/>
    <n v="5"/>
    <m/>
    <m/>
    <m/>
    <m/>
    <m/>
    <m/>
    <m/>
    <n v="0"/>
    <n v="0"/>
    <n v="0"/>
    <n v="0"/>
    <n v="0"/>
    <n v="0"/>
    <n v="0"/>
    <n v="0"/>
    <n v="0"/>
    <n v="0"/>
    <n v="0"/>
    <n v="0"/>
    <n v="0"/>
    <n v="0"/>
    <x v="0"/>
    <n v="0"/>
    <s v="MMR001CMP021"/>
    <x v="2"/>
    <x v="1"/>
    <x v="2"/>
    <n v="0.35714285714285715"/>
    <s v="No"/>
    <m/>
  </r>
  <r>
    <n v="47.43333333333333"/>
    <d v="2012-08-27T00:00:00"/>
    <x v="0"/>
    <s v="UNHCR"/>
    <s v="Kachin"/>
    <s v="Myitkyina"/>
    <s v="Wun Tho Buddhist Monastery"/>
    <m/>
    <m/>
    <m/>
    <n v="10"/>
    <n v="5"/>
    <n v="10"/>
    <n v="5"/>
    <n v="5"/>
    <n v="5"/>
    <n v="5"/>
    <m/>
    <m/>
    <m/>
    <m/>
    <m/>
    <m/>
    <m/>
    <n v="0"/>
    <n v="0"/>
    <n v="0"/>
    <n v="0"/>
    <n v="0"/>
    <n v="0"/>
    <n v="0"/>
    <n v="0"/>
    <n v="0"/>
    <n v="0"/>
    <n v="0"/>
    <n v="0"/>
    <n v="0"/>
    <n v="0"/>
    <x v="0"/>
    <n v="0"/>
    <s v="MMR001CMP022"/>
    <x v="2"/>
    <x v="1"/>
    <x v="2"/>
    <n v="0.7142857142857143"/>
    <s v="No"/>
    <m/>
  </r>
  <r>
    <n v="47.9"/>
    <d v="2012-08-13T00:00:00"/>
    <x v="0"/>
    <s v="UNHCR "/>
    <s v="Kachin"/>
    <s v="Bhamo"/>
    <s v="Robert Church"/>
    <m/>
    <m/>
    <m/>
    <n v="310"/>
    <n v="151"/>
    <n v="310"/>
    <n v="151"/>
    <n v="151"/>
    <n v="151"/>
    <n v="151"/>
    <m/>
    <m/>
    <m/>
    <m/>
    <m/>
    <m/>
    <m/>
    <n v="0"/>
    <n v="0"/>
    <n v="0"/>
    <n v="0"/>
    <n v="0"/>
    <n v="0"/>
    <n v="0"/>
    <n v="0"/>
    <n v="0"/>
    <n v="0"/>
    <n v="0"/>
    <n v="0"/>
    <n v="0"/>
    <n v="0"/>
    <x v="0"/>
    <n v="0"/>
    <s v="MMR001CMP047"/>
    <x v="2"/>
    <x v="1"/>
    <x v="2"/>
    <n v="0.24006359300476948"/>
    <s v="No"/>
    <m/>
  </r>
  <r>
    <n v="27.8"/>
    <d v="2014-04-08T00:00:00"/>
    <x v="6"/>
    <s v="MRCS"/>
    <s v="Kachin"/>
    <s v="Momauk"/>
    <s v="Ni Thaw Ka Monestry"/>
    <m/>
    <m/>
    <m/>
    <m/>
    <m/>
    <m/>
    <m/>
    <m/>
    <m/>
    <m/>
    <m/>
    <m/>
    <m/>
    <n v="46"/>
    <m/>
    <m/>
    <m/>
    <n v="0"/>
    <n v="0"/>
    <n v="0"/>
    <n v="0"/>
    <n v="0"/>
    <n v="0"/>
    <n v="0"/>
    <n v="0"/>
    <n v="0"/>
    <n v="0"/>
    <n v="0"/>
    <n v="0"/>
    <n v="0"/>
    <n v="0"/>
    <x v="1"/>
    <n v="0"/>
    <s v="MMR001CMP059"/>
    <x v="2"/>
    <x v="2"/>
    <x v="2"/>
    <s v=""/>
    <m/>
    <m/>
  </r>
  <r>
    <n v="19.600000000000001"/>
    <d v="2014-12-10T00:00:00"/>
    <x v="5"/>
    <s v="Solidarities"/>
    <s v="Kachin"/>
    <s v="Momauk"/>
    <s v="Ni Thaw Ka Monestry"/>
    <m/>
    <m/>
    <n v="33"/>
    <m/>
    <m/>
    <m/>
    <m/>
    <m/>
    <m/>
    <m/>
    <m/>
    <m/>
    <m/>
    <m/>
    <m/>
    <m/>
    <m/>
    <n v="0"/>
    <n v="0"/>
    <n v="0"/>
    <n v="0"/>
    <n v="0"/>
    <n v="0"/>
    <n v="0"/>
    <n v="0"/>
    <n v="0"/>
    <n v="0"/>
    <n v="0"/>
    <n v="0"/>
    <n v="0"/>
    <n v="0"/>
    <x v="0"/>
    <n v="0"/>
    <s v="MMR001CMP059"/>
    <x v="2"/>
    <x v="2"/>
    <x v="2"/>
    <s v=""/>
    <m/>
    <m/>
  </r>
  <r>
    <n v="16.100000000000001"/>
    <d v="2015-03-25T00:00:00"/>
    <x v="5"/>
    <s v="Solidarities"/>
    <s v="Kachin"/>
    <s v="Momauk"/>
    <s v="Ni Thaw Ka Monestry"/>
    <m/>
    <m/>
    <m/>
    <m/>
    <m/>
    <m/>
    <m/>
    <m/>
    <m/>
    <m/>
    <m/>
    <m/>
    <m/>
    <m/>
    <m/>
    <n v="1"/>
    <m/>
    <n v="0"/>
    <n v="0"/>
    <n v="0"/>
    <n v="0"/>
    <n v="0"/>
    <n v="0"/>
    <n v="0"/>
    <n v="0"/>
    <n v="0"/>
    <n v="0"/>
    <n v="0"/>
    <n v="0"/>
    <n v="0"/>
    <n v="0"/>
    <x v="0"/>
    <n v="0"/>
    <s v="MMR001CMP059"/>
    <x v="2"/>
    <x v="2"/>
    <x v="2"/>
    <s v=""/>
    <m/>
    <m/>
  </r>
  <r>
    <n v="7.166666666666667"/>
    <d v="2015-12-18T00:00:00"/>
    <x v="5"/>
    <s v="Solidarities"/>
    <s v="Kachin"/>
    <s v="Momauk"/>
    <s v="Ni Thaw Ka Monestry"/>
    <m/>
    <m/>
    <m/>
    <m/>
    <m/>
    <m/>
    <m/>
    <m/>
    <m/>
    <m/>
    <m/>
    <m/>
    <m/>
    <m/>
    <m/>
    <n v="5"/>
    <m/>
    <n v="0"/>
    <n v="0"/>
    <n v="0"/>
    <n v="0"/>
    <n v="0"/>
    <n v="0"/>
    <n v="0"/>
    <n v="0"/>
    <n v="0"/>
    <n v="0"/>
    <n v="0"/>
    <n v="0"/>
    <n v="0"/>
    <n v="0"/>
    <x v="0"/>
    <n v="0"/>
    <s v="MMR001CMP059"/>
    <x v="2"/>
    <x v="2"/>
    <x v="2"/>
    <s v=""/>
    <m/>
    <m/>
  </r>
  <r>
    <n v="4.7333333333333334"/>
    <d v="2016-02-29T00:00:00"/>
    <x v="5"/>
    <s v="Solidarities"/>
    <s v="Kachin"/>
    <s v="Momauk"/>
    <s v="Ni Thaw Ka Monestry"/>
    <m/>
    <m/>
    <m/>
    <m/>
    <m/>
    <m/>
    <m/>
    <m/>
    <m/>
    <m/>
    <m/>
    <m/>
    <m/>
    <m/>
    <m/>
    <n v="5"/>
    <m/>
    <n v="0"/>
    <n v="0"/>
    <n v="0"/>
    <n v="0"/>
    <n v="0"/>
    <n v="0"/>
    <n v="0"/>
    <n v="0"/>
    <n v="0"/>
    <n v="0"/>
    <n v="0"/>
    <n v="0"/>
    <n v="0"/>
    <n v="0"/>
    <x v="0"/>
    <n v="0"/>
    <s v="MMR001CMP059"/>
    <x v="2"/>
    <x v="2"/>
    <x v="2"/>
    <s v=""/>
    <m/>
    <m/>
  </r>
  <r>
    <n v="2.7333333333333334"/>
    <d v="2016-04-29T00:00:00"/>
    <x v="5"/>
    <s v="Solidarities"/>
    <s v="Kachin"/>
    <s v="Momauk"/>
    <s v="Ni Thaw Ka Monestry"/>
    <m/>
    <m/>
    <m/>
    <m/>
    <m/>
    <m/>
    <m/>
    <m/>
    <m/>
    <m/>
    <m/>
    <m/>
    <m/>
    <m/>
    <m/>
    <n v="10"/>
    <m/>
    <n v="0"/>
    <n v="0"/>
    <n v="0"/>
    <n v="0"/>
    <n v="0"/>
    <n v="0"/>
    <n v="0"/>
    <n v="0"/>
    <n v="0"/>
    <n v="0"/>
    <n v="0"/>
    <n v="0"/>
    <n v="0"/>
    <n v="0"/>
    <x v="0"/>
    <n v="0"/>
    <s v="MMR001CMP059"/>
    <x v="2"/>
    <x v="2"/>
    <x v="2"/>
    <s v=""/>
    <m/>
    <m/>
  </r>
  <r>
    <n v="13.866666666666667"/>
    <d v="2015-05-31T00:00:00"/>
    <x v="5"/>
    <s v="Solidarities"/>
    <s v="Kachin"/>
    <s v="Momauk"/>
    <s v="Ni Thaw Ka Monestry"/>
    <m/>
    <m/>
    <n v="34"/>
    <m/>
    <m/>
    <m/>
    <m/>
    <m/>
    <m/>
    <m/>
    <m/>
    <m/>
    <m/>
    <m/>
    <m/>
    <m/>
    <m/>
    <n v="0"/>
    <n v="0"/>
    <n v="0"/>
    <n v="0"/>
    <n v="0"/>
    <n v="0"/>
    <n v="0"/>
    <n v="0"/>
    <n v="0"/>
    <n v="0"/>
    <n v="0"/>
    <n v="0"/>
    <n v="0"/>
    <n v="0"/>
    <x v="0"/>
    <n v="0"/>
    <s v="MMR001CMP059"/>
    <x v="2"/>
    <x v="2"/>
    <x v="2"/>
    <s v=""/>
    <m/>
    <m/>
  </r>
  <r>
    <n v="5.5666666666666664"/>
    <d v="2016-02-04T00:00:00"/>
    <x v="5"/>
    <s v="Solidarities"/>
    <s v="Kachin"/>
    <s v="Momauk"/>
    <s v="Ni Thaw Ka Monestry"/>
    <m/>
    <m/>
    <n v="33"/>
    <m/>
    <m/>
    <m/>
    <m/>
    <m/>
    <m/>
    <m/>
    <m/>
    <m/>
    <m/>
    <m/>
    <m/>
    <m/>
    <m/>
    <n v="0"/>
    <n v="0"/>
    <n v="33"/>
    <n v="0"/>
    <n v="0"/>
    <n v="0"/>
    <n v="0"/>
    <n v="0"/>
    <n v="0"/>
    <n v="0"/>
    <n v="0"/>
    <n v="0"/>
    <n v="0"/>
    <n v="0"/>
    <x v="0"/>
    <n v="0"/>
    <s v="MMR001CMP059"/>
    <x v="2"/>
    <x v="2"/>
    <x v="2"/>
    <s v=""/>
    <m/>
    <m/>
  </r>
  <r>
    <n v="4.2"/>
    <d v="2016-03-16T00:00:00"/>
    <x v="5"/>
    <s v="Solidarities"/>
    <s v="Kachin"/>
    <s v="Momauk"/>
    <s v="Ni Thaw Ka Monestry"/>
    <m/>
    <m/>
    <m/>
    <m/>
    <m/>
    <m/>
    <m/>
    <m/>
    <m/>
    <m/>
    <m/>
    <m/>
    <m/>
    <m/>
    <n v="1"/>
    <m/>
    <m/>
    <n v="0"/>
    <n v="0"/>
    <n v="0"/>
    <n v="0"/>
    <n v="0"/>
    <n v="0"/>
    <n v="0"/>
    <n v="0"/>
    <n v="0"/>
    <n v="0"/>
    <n v="0"/>
    <n v="0"/>
    <n v="0"/>
    <n v="0"/>
    <x v="0"/>
    <n v="1"/>
    <s v="MMR001CMP059"/>
    <x v="2"/>
    <x v="2"/>
    <x v="2"/>
    <s v=""/>
    <m/>
    <m/>
  </r>
  <r>
    <n v="49.1"/>
    <d v="2012-07-08T00:00:00"/>
    <x v="5"/>
    <s v="Solidarities"/>
    <s v="Kachin"/>
    <s v="Momauk"/>
    <s v="Ni Thaw Ka Monestry"/>
    <n v="16"/>
    <m/>
    <m/>
    <m/>
    <m/>
    <m/>
    <m/>
    <m/>
    <m/>
    <m/>
    <m/>
    <m/>
    <m/>
    <m/>
    <m/>
    <m/>
    <m/>
    <n v="0"/>
    <n v="0"/>
    <n v="0"/>
    <n v="0"/>
    <n v="0"/>
    <n v="0"/>
    <n v="0"/>
    <n v="0"/>
    <n v="0"/>
    <n v="0"/>
    <n v="0"/>
    <n v="0"/>
    <n v="0"/>
    <n v="0"/>
    <x v="0"/>
    <n v="0"/>
    <s v="MMR001CMP059"/>
    <x v="2"/>
    <x v="2"/>
    <x v="2"/>
    <s v=""/>
    <m/>
    <m/>
  </r>
  <r>
    <n v="53.666666666666664"/>
    <d v="2012-02-22T00:00:00"/>
    <x v="5"/>
    <s v="Solidarities"/>
    <s v="Kachin"/>
    <s v="Momauk"/>
    <s v="Ni Thaw Ka Monestry"/>
    <n v="149"/>
    <m/>
    <m/>
    <m/>
    <m/>
    <m/>
    <m/>
    <m/>
    <m/>
    <m/>
    <m/>
    <m/>
    <m/>
    <m/>
    <m/>
    <m/>
    <m/>
    <n v="0"/>
    <n v="0"/>
    <n v="0"/>
    <n v="0"/>
    <n v="0"/>
    <n v="0"/>
    <n v="0"/>
    <n v="0"/>
    <n v="0"/>
    <n v="0"/>
    <n v="0"/>
    <n v="0"/>
    <n v="0"/>
    <n v="0"/>
    <x v="0"/>
    <n v="0"/>
    <s v="MMR001CMP059"/>
    <x v="2"/>
    <x v="2"/>
    <x v="2"/>
    <s v=""/>
    <m/>
    <m/>
  </r>
  <r>
    <n v="32.1"/>
    <d v="2013-11-30T00:00:00"/>
    <x v="5"/>
    <m/>
    <s v="Kachin"/>
    <s v="Momauk"/>
    <s v="Ni Thaw Ka Monestry"/>
    <m/>
    <m/>
    <m/>
    <m/>
    <m/>
    <m/>
    <m/>
    <m/>
    <m/>
    <n v="60"/>
    <m/>
    <m/>
    <m/>
    <m/>
    <m/>
    <m/>
    <m/>
    <n v="0"/>
    <n v="0"/>
    <n v="0"/>
    <n v="0"/>
    <n v="0"/>
    <n v="0"/>
    <n v="0"/>
    <n v="0"/>
    <n v="0"/>
    <n v="0"/>
    <n v="0"/>
    <n v="0"/>
    <n v="0"/>
    <n v="0"/>
    <x v="0"/>
    <n v="0"/>
    <s v="MMR001CMP059"/>
    <x v="2"/>
    <x v="2"/>
    <x v="2"/>
    <s v=""/>
    <s v="No"/>
    <m/>
  </r>
  <r>
    <n v="42.4"/>
    <d v="2013-01-25T00:00:00"/>
    <x v="5"/>
    <s v="Solidarities"/>
    <s v="Kachin"/>
    <s v="Momauk"/>
    <s v="Ni Thaw Ka Monestry"/>
    <n v="75"/>
    <m/>
    <m/>
    <m/>
    <m/>
    <m/>
    <m/>
    <m/>
    <n v="0"/>
    <n v="0"/>
    <m/>
    <m/>
    <m/>
    <m/>
    <m/>
    <m/>
    <m/>
    <n v="0"/>
    <n v="0"/>
    <n v="0"/>
    <n v="0"/>
    <n v="0"/>
    <n v="0"/>
    <n v="0"/>
    <n v="0"/>
    <n v="0"/>
    <n v="0"/>
    <n v="0"/>
    <n v="0"/>
    <n v="0"/>
    <n v="0"/>
    <x v="0"/>
    <n v="0"/>
    <s v="MMR001CMP059"/>
    <x v="2"/>
    <x v="2"/>
    <x v="2"/>
    <s v=""/>
    <s v="No"/>
    <m/>
  </r>
  <r>
    <n v="26.633333333333333"/>
    <d v="2014-05-13T00:00:00"/>
    <x v="6"/>
    <s v="MRCS"/>
    <s v="Kachin"/>
    <s v="Myitkyina"/>
    <s v="Njang Dung Baptist Church "/>
    <m/>
    <m/>
    <m/>
    <m/>
    <m/>
    <m/>
    <m/>
    <m/>
    <m/>
    <m/>
    <m/>
    <m/>
    <m/>
    <n v="112"/>
    <m/>
    <m/>
    <m/>
    <n v="0"/>
    <n v="0"/>
    <n v="0"/>
    <n v="0"/>
    <n v="0"/>
    <n v="0"/>
    <n v="0"/>
    <n v="0"/>
    <n v="0"/>
    <n v="0"/>
    <n v="0"/>
    <n v="0"/>
    <n v="0"/>
    <n v="0"/>
    <x v="1"/>
    <n v="0"/>
    <s v="MMR001CMP002"/>
    <x v="2"/>
    <x v="1"/>
    <x v="2"/>
    <n v="0"/>
    <m/>
    <m/>
  </r>
  <r>
    <n v="48.033333333333331"/>
    <d v="2012-08-09T00:00:00"/>
    <x v="0"/>
    <s v="UNHCR"/>
    <s v="Kachin"/>
    <s v="Myitkyina"/>
    <s v="Jan Mai Kawng Baptist Church"/>
    <m/>
    <m/>
    <m/>
    <n v="7"/>
    <n v="3"/>
    <n v="7"/>
    <n v="3"/>
    <n v="3"/>
    <n v="3"/>
    <n v="3"/>
    <m/>
    <m/>
    <m/>
    <m/>
    <m/>
    <m/>
    <m/>
    <n v="0"/>
    <n v="0"/>
    <n v="0"/>
    <n v="0"/>
    <n v="0"/>
    <n v="0"/>
    <n v="0"/>
    <n v="0"/>
    <n v="0"/>
    <n v="0"/>
    <n v="0"/>
    <n v="0"/>
    <n v="0"/>
    <n v="0"/>
    <x v="0"/>
    <n v="0"/>
    <s v="MMR001CMP018"/>
    <x v="2"/>
    <x v="1"/>
    <x v="2"/>
    <n v="1.5151515151515152E-2"/>
    <s v="No"/>
    <m/>
  </r>
  <r>
    <n v="48.033333333333331"/>
    <d v="2012-08-09T00:00:00"/>
    <x v="0"/>
    <s v="UNHCR"/>
    <s v="Kachin"/>
    <s v="Myitkyina"/>
    <s v="Maliyang Baptist Church"/>
    <m/>
    <m/>
    <m/>
    <n v="2"/>
    <n v="1"/>
    <n v="2"/>
    <n v="1"/>
    <n v="1"/>
    <n v="1"/>
    <n v="1"/>
    <m/>
    <m/>
    <m/>
    <m/>
    <m/>
    <m/>
    <m/>
    <n v="0"/>
    <n v="0"/>
    <n v="0"/>
    <n v="0"/>
    <n v="0"/>
    <n v="0"/>
    <n v="0"/>
    <n v="0"/>
    <n v="0"/>
    <n v="0"/>
    <n v="0"/>
    <n v="0"/>
    <n v="0"/>
    <n v="0"/>
    <x v="0"/>
    <n v="0"/>
    <s v="MMR001CMP016"/>
    <x v="2"/>
    <x v="1"/>
    <x v="2"/>
    <n v="1.6666666666666666E-2"/>
    <s v="No"/>
    <m/>
  </r>
  <r>
    <n v="18.466666666666665"/>
    <d v="2015-01-13T00:00:00"/>
    <x v="1"/>
    <s v="MRCS"/>
    <s v="Kachin"/>
    <s v="Momauk"/>
    <s v="Nyaung Na Pin "/>
    <m/>
    <m/>
    <m/>
    <m/>
    <m/>
    <m/>
    <m/>
    <m/>
    <m/>
    <m/>
    <n v="195"/>
    <n v="91"/>
    <m/>
    <n v="92"/>
    <m/>
    <m/>
    <m/>
    <n v="0"/>
    <n v="0"/>
    <n v="0"/>
    <n v="0"/>
    <n v="0"/>
    <n v="0"/>
    <n v="0"/>
    <n v="0"/>
    <n v="0"/>
    <n v="0"/>
    <n v="0"/>
    <n v="0"/>
    <n v="0"/>
    <n v="0"/>
    <x v="1"/>
    <n v="0"/>
    <s v="MMR001CMP072"/>
    <x v="2"/>
    <x v="1"/>
    <x v="4"/>
    <n v="0"/>
    <m/>
    <m/>
  </r>
  <r>
    <n v="48.033333333333331"/>
    <d v="2012-08-09T00:00:00"/>
    <x v="0"/>
    <s v="UNHCR"/>
    <s v="Kachin"/>
    <s v="Myitkyina"/>
    <s v="Maw Hpawng Hka Nan Baptist Church"/>
    <m/>
    <m/>
    <m/>
    <n v="2"/>
    <n v="1"/>
    <n v="2"/>
    <n v="1"/>
    <n v="1"/>
    <n v="1"/>
    <n v="1"/>
    <m/>
    <m/>
    <m/>
    <m/>
    <m/>
    <m/>
    <m/>
    <n v="0"/>
    <n v="0"/>
    <n v="0"/>
    <n v="0"/>
    <n v="0"/>
    <n v="0"/>
    <n v="0"/>
    <n v="0"/>
    <n v="0"/>
    <n v="0"/>
    <n v="0"/>
    <n v="0"/>
    <n v="0"/>
    <n v="0"/>
    <x v="0"/>
    <n v="0"/>
    <s v="MMR001CMP020"/>
    <x v="2"/>
    <x v="1"/>
    <x v="2"/>
    <n v="4.7619047619047616E-2"/>
    <s v="No"/>
    <m/>
  </r>
  <r>
    <n v="19.333333333333332"/>
    <d v="2014-12-18T00:00:00"/>
    <x v="5"/>
    <s v="Solidarities"/>
    <s v="Kachin"/>
    <s v="Momauk"/>
    <s v="Nyaung Na Pin "/>
    <m/>
    <m/>
    <n v="85"/>
    <m/>
    <m/>
    <m/>
    <m/>
    <m/>
    <m/>
    <m/>
    <m/>
    <m/>
    <m/>
    <m/>
    <m/>
    <m/>
    <m/>
    <n v="0"/>
    <n v="0"/>
    <n v="0"/>
    <n v="0"/>
    <n v="0"/>
    <n v="0"/>
    <n v="0"/>
    <n v="0"/>
    <n v="0"/>
    <n v="0"/>
    <n v="0"/>
    <n v="0"/>
    <n v="0"/>
    <n v="0"/>
    <x v="0"/>
    <n v="0"/>
    <s v="MMR001CMP072"/>
    <x v="2"/>
    <x v="1"/>
    <x v="4"/>
    <n v="0"/>
    <m/>
    <m/>
  </r>
  <r>
    <n v="16.600000000000001"/>
    <d v="2015-03-10T00:00:00"/>
    <x v="5"/>
    <s v="Solidarities"/>
    <s v="Kachin"/>
    <s v="Momauk"/>
    <s v="Nyaung Na Pin "/>
    <m/>
    <m/>
    <m/>
    <m/>
    <m/>
    <m/>
    <m/>
    <m/>
    <m/>
    <m/>
    <m/>
    <m/>
    <m/>
    <m/>
    <m/>
    <n v="2"/>
    <m/>
    <n v="0"/>
    <n v="0"/>
    <n v="0"/>
    <n v="0"/>
    <n v="0"/>
    <n v="0"/>
    <n v="0"/>
    <n v="0"/>
    <n v="0"/>
    <n v="0"/>
    <n v="0"/>
    <n v="0"/>
    <n v="0"/>
    <n v="0"/>
    <x v="0"/>
    <n v="0"/>
    <s v="MMR001CMP072"/>
    <x v="2"/>
    <x v="1"/>
    <x v="4"/>
    <n v="0"/>
    <m/>
    <m/>
  </r>
  <r>
    <n v="7.2666666666666666"/>
    <d v="2015-12-15T00:00:00"/>
    <x v="5"/>
    <s v="Solidarities"/>
    <s v="Kachin"/>
    <s v="Momauk"/>
    <s v="Nyaung Na Pin "/>
    <m/>
    <m/>
    <m/>
    <m/>
    <m/>
    <m/>
    <m/>
    <m/>
    <m/>
    <m/>
    <m/>
    <m/>
    <m/>
    <m/>
    <m/>
    <n v="5"/>
    <m/>
    <n v="0"/>
    <n v="0"/>
    <n v="0"/>
    <n v="0"/>
    <n v="0"/>
    <n v="0"/>
    <n v="0"/>
    <n v="0"/>
    <n v="0"/>
    <n v="0"/>
    <n v="0"/>
    <n v="0"/>
    <n v="0"/>
    <n v="0"/>
    <x v="0"/>
    <n v="0"/>
    <s v="MMR001CMP072"/>
    <x v="2"/>
    <x v="1"/>
    <x v="4"/>
    <n v="0"/>
    <m/>
    <m/>
  </r>
  <r>
    <n v="2.7"/>
    <d v="2016-04-30T00:00:00"/>
    <x v="5"/>
    <s v="Solidarities"/>
    <s v="Kachin"/>
    <s v="Momauk"/>
    <s v="Nyaung Na Pin "/>
    <m/>
    <m/>
    <m/>
    <m/>
    <m/>
    <m/>
    <m/>
    <m/>
    <m/>
    <m/>
    <m/>
    <m/>
    <m/>
    <m/>
    <m/>
    <n v="5"/>
    <m/>
    <n v="0"/>
    <n v="0"/>
    <n v="0"/>
    <n v="0"/>
    <n v="0"/>
    <n v="0"/>
    <n v="0"/>
    <n v="0"/>
    <n v="0"/>
    <n v="0"/>
    <n v="0"/>
    <n v="0"/>
    <n v="0"/>
    <n v="0"/>
    <x v="0"/>
    <n v="0"/>
    <s v="MMR001CMP072"/>
    <x v="2"/>
    <x v="1"/>
    <x v="4"/>
    <n v="0"/>
    <m/>
    <m/>
  </r>
  <r>
    <n v="13.733333333333333"/>
    <d v="2015-06-04T00:00:00"/>
    <x v="5"/>
    <s v="Solidarities"/>
    <s v="Kachin"/>
    <s v="Momauk"/>
    <s v="Nyaung Na Pin "/>
    <m/>
    <m/>
    <n v="87"/>
    <m/>
    <m/>
    <m/>
    <m/>
    <m/>
    <m/>
    <m/>
    <m/>
    <m/>
    <m/>
    <m/>
    <m/>
    <m/>
    <m/>
    <n v="0"/>
    <n v="0"/>
    <n v="0"/>
    <n v="0"/>
    <n v="0"/>
    <n v="0"/>
    <n v="0"/>
    <n v="0"/>
    <n v="0"/>
    <n v="0"/>
    <n v="0"/>
    <n v="0"/>
    <n v="0"/>
    <n v="0"/>
    <x v="0"/>
    <n v="0"/>
    <s v="MMR001CMP072"/>
    <x v="2"/>
    <x v="1"/>
    <x v="4"/>
    <n v="0"/>
    <m/>
    <m/>
  </r>
  <r>
    <n v="5.4333333333333336"/>
    <d v="2016-02-08T00:00:00"/>
    <x v="5"/>
    <s v="Solidarities"/>
    <s v="Kachin"/>
    <s v="Momauk"/>
    <s v="Nyaung Na Pin "/>
    <m/>
    <m/>
    <n v="82"/>
    <m/>
    <m/>
    <m/>
    <m/>
    <m/>
    <m/>
    <m/>
    <m/>
    <m/>
    <m/>
    <m/>
    <m/>
    <m/>
    <m/>
    <n v="0"/>
    <n v="0"/>
    <n v="82"/>
    <n v="0"/>
    <n v="0"/>
    <n v="0"/>
    <n v="0"/>
    <n v="0"/>
    <n v="0"/>
    <n v="0"/>
    <n v="0"/>
    <n v="0"/>
    <n v="0"/>
    <n v="0"/>
    <x v="0"/>
    <n v="0"/>
    <s v="MMR001CMP072"/>
    <x v="2"/>
    <x v="1"/>
    <x v="4"/>
    <n v="0"/>
    <m/>
    <m/>
  </r>
  <r>
    <n v="32.1"/>
    <d v="2013-11-30T00:00:00"/>
    <x v="5"/>
    <m/>
    <s v="Kachin"/>
    <s v="Momauk"/>
    <s v="Nyaung Na Pin "/>
    <m/>
    <m/>
    <m/>
    <m/>
    <m/>
    <m/>
    <m/>
    <m/>
    <m/>
    <n v="135"/>
    <m/>
    <m/>
    <m/>
    <m/>
    <m/>
    <m/>
    <m/>
    <n v="0"/>
    <n v="0"/>
    <n v="0"/>
    <n v="0"/>
    <n v="0"/>
    <n v="0"/>
    <n v="0"/>
    <n v="0"/>
    <n v="0"/>
    <n v="0"/>
    <n v="0"/>
    <n v="0"/>
    <n v="0"/>
    <n v="0"/>
    <x v="0"/>
    <n v="0"/>
    <s v="MMR001CMP072"/>
    <x v="2"/>
    <x v="1"/>
    <x v="4"/>
    <n v="0"/>
    <s v="No"/>
    <m/>
  </r>
  <r>
    <n v="32.533333333333331"/>
    <d v="2013-11-17T00:00:00"/>
    <x v="3"/>
    <m/>
    <s v="Kachin"/>
    <s v="Momauk"/>
    <s v="Nyaung Na Pin "/>
    <m/>
    <m/>
    <m/>
    <m/>
    <m/>
    <n v="145"/>
    <m/>
    <m/>
    <m/>
    <m/>
    <m/>
    <m/>
    <m/>
    <m/>
    <m/>
    <m/>
    <m/>
    <n v="0"/>
    <n v="0"/>
    <n v="0"/>
    <n v="0"/>
    <n v="0"/>
    <n v="0"/>
    <n v="0"/>
    <n v="0"/>
    <n v="0"/>
    <n v="0"/>
    <n v="0"/>
    <n v="0"/>
    <n v="0"/>
    <n v="0"/>
    <x v="0"/>
    <n v="0"/>
    <s v="MMR001CMP072"/>
    <x v="2"/>
    <x v="1"/>
    <x v="4"/>
    <n v="0"/>
    <s v="No"/>
    <m/>
  </r>
  <r>
    <n v="48.033333333333331"/>
    <d v="2012-08-09T00:00:00"/>
    <x v="0"/>
    <s v="UNHCR"/>
    <s v="Kachin"/>
    <s v="Myitkyina"/>
    <s v="Maw Hpawng Lhaovo Baptist Church"/>
    <m/>
    <m/>
    <m/>
    <n v="10"/>
    <n v="5"/>
    <n v="10"/>
    <n v="5"/>
    <n v="5"/>
    <n v="5"/>
    <n v="5"/>
    <m/>
    <m/>
    <m/>
    <m/>
    <m/>
    <m/>
    <m/>
    <n v="0"/>
    <n v="0"/>
    <n v="0"/>
    <n v="0"/>
    <n v="0"/>
    <n v="0"/>
    <n v="0"/>
    <n v="0"/>
    <n v="0"/>
    <n v="0"/>
    <n v="0"/>
    <n v="0"/>
    <n v="0"/>
    <n v="0"/>
    <x v="0"/>
    <n v="0"/>
    <s v="MMR001CMP021"/>
    <x v="2"/>
    <x v="1"/>
    <x v="2"/>
    <n v="0.35714285714285715"/>
    <s v="No"/>
    <m/>
  </r>
  <r>
    <n v="48.033333333333331"/>
    <d v="2012-08-09T00:00:00"/>
    <x v="0"/>
    <s v="UNHCR"/>
    <s v="Kachin"/>
    <s v="Myitkyina"/>
    <s v="Nan Kway St. John Catholic Church"/>
    <m/>
    <m/>
    <m/>
    <n v="42"/>
    <n v="20"/>
    <n v="42"/>
    <n v="20"/>
    <n v="20"/>
    <n v="20"/>
    <n v="20"/>
    <m/>
    <m/>
    <m/>
    <m/>
    <m/>
    <m/>
    <m/>
    <n v="0"/>
    <n v="0"/>
    <n v="0"/>
    <n v="0"/>
    <n v="0"/>
    <n v="0"/>
    <n v="0"/>
    <n v="0"/>
    <n v="0"/>
    <n v="0"/>
    <n v="0"/>
    <n v="0"/>
    <n v="0"/>
    <n v="0"/>
    <x v="0"/>
    <n v="0"/>
    <s v="MMR001CMP024"/>
    <x v="2"/>
    <x v="1"/>
    <x v="2"/>
    <n v="0.29411764705882354"/>
    <s v="No"/>
    <m/>
  </r>
  <r>
    <n v="48.033333333333331"/>
    <d v="2012-08-09T00:00:00"/>
    <x v="0"/>
    <s v="UNHCR"/>
    <s v="Kachin"/>
    <s v="Myitkyina"/>
    <s v="Wun Tho Buddhist Monastery"/>
    <m/>
    <m/>
    <m/>
    <n v="10"/>
    <n v="5"/>
    <n v="10"/>
    <n v="5"/>
    <n v="5"/>
    <n v="5"/>
    <n v="5"/>
    <m/>
    <m/>
    <m/>
    <m/>
    <m/>
    <m/>
    <m/>
    <n v="0"/>
    <n v="0"/>
    <n v="0"/>
    <n v="0"/>
    <n v="0"/>
    <n v="0"/>
    <n v="0"/>
    <n v="0"/>
    <n v="0"/>
    <n v="0"/>
    <n v="0"/>
    <n v="0"/>
    <n v="0"/>
    <n v="0"/>
    <x v="0"/>
    <n v="0"/>
    <s v="MMR001CMP022"/>
    <x v="2"/>
    <x v="1"/>
    <x v="2"/>
    <n v="0.7142857142857143"/>
    <s v="No"/>
    <m/>
  </r>
  <r>
    <n v="48.1"/>
    <d v="2012-08-07T00:00:00"/>
    <x v="0"/>
    <s v="UNHCR "/>
    <s v="Kachin"/>
    <s v="Mansi"/>
    <s v="Mansi Baptist Church"/>
    <m/>
    <m/>
    <m/>
    <n v="0"/>
    <n v="73"/>
    <n v="0"/>
    <n v="73"/>
    <n v="73"/>
    <n v="73"/>
    <n v="73"/>
    <m/>
    <m/>
    <m/>
    <m/>
    <m/>
    <m/>
    <m/>
    <n v="0"/>
    <n v="0"/>
    <n v="0"/>
    <n v="0"/>
    <n v="0"/>
    <n v="0"/>
    <n v="0"/>
    <n v="0"/>
    <n v="0"/>
    <n v="0"/>
    <n v="0"/>
    <n v="0"/>
    <n v="0"/>
    <n v="0"/>
    <x v="0"/>
    <n v="0"/>
    <s v="MMR001CMP066"/>
    <x v="2"/>
    <x v="1"/>
    <x v="2"/>
    <n v="0.37244897959183676"/>
    <s v="No"/>
    <m/>
  </r>
  <r>
    <n v="18.466666666666665"/>
    <d v="2015-01-13T00:00:00"/>
    <x v="1"/>
    <s v="MRCS"/>
    <s v="Kachin"/>
    <s v="Myitkyina"/>
    <s v="Pa Dauk Myaing(Pa La Na)"/>
    <m/>
    <m/>
    <m/>
    <m/>
    <m/>
    <m/>
    <m/>
    <m/>
    <m/>
    <m/>
    <n v="323"/>
    <n v="178"/>
    <m/>
    <m/>
    <m/>
    <m/>
    <m/>
    <n v="0"/>
    <n v="0"/>
    <n v="0"/>
    <n v="0"/>
    <n v="0"/>
    <n v="0"/>
    <n v="0"/>
    <n v="0"/>
    <n v="0"/>
    <n v="0"/>
    <n v="0"/>
    <n v="0"/>
    <n v="0"/>
    <n v="0"/>
    <x v="1"/>
    <n v="0"/>
    <s v="MMR001CMP162"/>
    <x v="2"/>
    <x v="1"/>
    <x v="2"/>
    <n v="0"/>
    <m/>
    <m/>
  </r>
  <r>
    <n v="48.466666666666669"/>
    <d v="2012-07-27T00:00:00"/>
    <x v="0"/>
    <s v="UNHCR"/>
    <s v="Kachin"/>
    <s v="Mogaung"/>
    <s v="Kyun Taw Baptist Church "/>
    <m/>
    <m/>
    <m/>
    <n v="35"/>
    <n v="14"/>
    <n v="35"/>
    <n v="14"/>
    <n v="14"/>
    <n v="14"/>
    <n v="14"/>
    <m/>
    <m/>
    <m/>
    <m/>
    <m/>
    <m/>
    <m/>
    <n v="0"/>
    <n v="0"/>
    <n v="0"/>
    <n v="0"/>
    <n v="0"/>
    <n v="0"/>
    <n v="0"/>
    <n v="0"/>
    <n v="0"/>
    <n v="0"/>
    <n v="0"/>
    <n v="0"/>
    <n v="0"/>
    <n v="0"/>
    <x v="0"/>
    <n v="0"/>
    <s v="MMR001CMP078"/>
    <x v="2"/>
    <x v="1"/>
    <x v="2"/>
    <n v="1.0769230769230769"/>
    <s v="No"/>
    <m/>
  </r>
  <r>
    <n v="26.766666666666666"/>
    <d v="2014-05-09T00:00:00"/>
    <x v="6"/>
    <s v="MRCS"/>
    <s v="Kachin"/>
    <s v="Myitkyina"/>
    <s v="Pa Dauk Myaing(Pa La Na)"/>
    <m/>
    <m/>
    <m/>
    <m/>
    <m/>
    <m/>
    <m/>
    <m/>
    <m/>
    <m/>
    <m/>
    <m/>
    <m/>
    <n v="58"/>
    <m/>
    <m/>
    <m/>
    <n v="0"/>
    <n v="0"/>
    <n v="0"/>
    <n v="0"/>
    <n v="0"/>
    <n v="0"/>
    <n v="0"/>
    <n v="0"/>
    <n v="0"/>
    <n v="0"/>
    <n v="0"/>
    <n v="0"/>
    <n v="0"/>
    <n v="0"/>
    <x v="1"/>
    <n v="0"/>
    <s v="MMR001CMP162"/>
    <x v="2"/>
    <x v="1"/>
    <x v="2"/>
    <n v="0"/>
    <m/>
    <m/>
  </r>
  <r>
    <n v="48.466666666666669"/>
    <d v="2012-07-27T00:00:00"/>
    <x v="0"/>
    <s v="UNHCR"/>
    <s v="Kachin"/>
    <s v="Mohnyin"/>
    <s v="St. Patrick Catholic Church "/>
    <m/>
    <m/>
    <m/>
    <n v="0"/>
    <n v="8"/>
    <n v="0"/>
    <n v="8"/>
    <n v="8"/>
    <n v="8"/>
    <n v="8"/>
    <m/>
    <m/>
    <m/>
    <m/>
    <m/>
    <m/>
    <m/>
    <n v="0"/>
    <n v="0"/>
    <n v="0"/>
    <n v="0"/>
    <n v="0"/>
    <n v="0"/>
    <n v="0"/>
    <n v="0"/>
    <n v="0"/>
    <n v="0"/>
    <n v="0"/>
    <n v="0"/>
    <n v="0"/>
    <n v="0"/>
    <x v="0"/>
    <n v="0"/>
    <s v="MMR001CMP080"/>
    <x v="2"/>
    <x v="1"/>
    <x v="2"/>
    <n v="0.66666666666666663"/>
    <s v="No"/>
    <m/>
  </r>
  <r>
    <n v="39"/>
    <d v="2013-05-07T00:00:00"/>
    <x v="8"/>
    <s v="KMSS"/>
    <s v="Kachin"/>
    <s v="Myitkyina"/>
    <s v="Pa Dauk Myaing(Pa La Na)"/>
    <n v="149"/>
    <m/>
    <m/>
    <m/>
    <m/>
    <m/>
    <m/>
    <m/>
    <m/>
    <m/>
    <m/>
    <m/>
    <m/>
    <m/>
    <m/>
    <m/>
    <m/>
    <n v="0"/>
    <n v="0"/>
    <n v="0"/>
    <n v="0"/>
    <n v="0"/>
    <n v="0"/>
    <n v="0"/>
    <n v="0"/>
    <n v="0"/>
    <n v="0"/>
    <n v="0"/>
    <n v="0"/>
    <n v="0"/>
    <n v="0"/>
    <x v="0"/>
    <n v="0"/>
    <s v="MMR001CMP162"/>
    <x v="2"/>
    <x v="1"/>
    <x v="2"/>
    <n v="0"/>
    <s v="No"/>
    <m/>
  </r>
  <r>
    <n v="48.5"/>
    <d v="2012-07-26T00:00:00"/>
    <x v="0"/>
    <s v="UNHCR"/>
    <s v="Kachin"/>
    <s v="Mogaung"/>
    <s v="Mang Hawng Baptist Church"/>
    <m/>
    <m/>
    <m/>
    <n v="31"/>
    <n v="15"/>
    <n v="31"/>
    <n v="15"/>
    <n v="16"/>
    <n v="16"/>
    <n v="16"/>
    <m/>
    <m/>
    <m/>
    <m/>
    <m/>
    <m/>
    <m/>
    <n v="0"/>
    <n v="0"/>
    <n v="0"/>
    <n v="0"/>
    <n v="0"/>
    <n v="0"/>
    <n v="0"/>
    <n v="0"/>
    <n v="0"/>
    <n v="0"/>
    <n v="0"/>
    <n v="0"/>
    <n v="0"/>
    <n v="0"/>
    <x v="0"/>
    <n v="0"/>
    <s v="MMR001CMP077"/>
    <x v="2"/>
    <x v="1"/>
    <x v="2"/>
    <n v="0.9375"/>
    <s v="No"/>
    <m/>
  </r>
  <r>
    <n v="48.5"/>
    <d v="2012-07-26T00:00:00"/>
    <x v="0"/>
    <s v="UNHCR"/>
    <s v="Kachin"/>
    <s v="Mogaung"/>
    <s v="Nat Gyi Kone Baptist Church "/>
    <m/>
    <m/>
    <m/>
    <n v="21"/>
    <n v="17"/>
    <n v="21"/>
    <n v="17"/>
    <n v="17"/>
    <n v="17"/>
    <n v="17"/>
    <m/>
    <m/>
    <m/>
    <m/>
    <m/>
    <m/>
    <m/>
    <n v="0"/>
    <n v="0"/>
    <n v="0"/>
    <n v="0"/>
    <n v="0"/>
    <n v="0"/>
    <n v="0"/>
    <n v="0"/>
    <n v="0"/>
    <n v="0"/>
    <n v="0"/>
    <n v="0"/>
    <n v="0"/>
    <n v="0"/>
    <x v="0"/>
    <n v="0"/>
    <s v="MMR001CMP079"/>
    <x v="2"/>
    <x v="1"/>
    <x v="2"/>
    <n v="1.4166666666666667"/>
    <s v="No"/>
    <m/>
  </r>
  <r>
    <n v="48.6"/>
    <d v="2012-07-23T00:00:00"/>
    <x v="0"/>
    <s v="UNHCR"/>
    <s v="Kachin"/>
    <s v="Myitkyina"/>
    <s v="Jan Mai Kawng Catholic Church"/>
    <m/>
    <m/>
    <m/>
    <n v="19"/>
    <n v="10"/>
    <n v="19"/>
    <n v="10"/>
    <n v="11"/>
    <n v="11"/>
    <n v="11"/>
    <m/>
    <m/>
    <m/>
    <m/>
    <m/>
    <m/>
    <m/>
    <n v="0"/>
    <n v="0"/>
    <n v="0"/>
    <n v="0"/>
    <n v="0"/>
    <n v="0"/>
    <n v="0"/>
    <n v="0"/>
    <n v="0"/>
    <n v="0"/>
    <n v="0"/>
    <n v="0"/>
    <n v="0"/>
    <n v="0"/>
    <x v="0"/>
    <n v="0"/>
    <s v="MMR001CMP019"/>
    <x v="2"/>
    <x v="1"/>
    <x v="2"/>
    <n v="9.9009900990099015E-2"/>
    <s v="No"/>
    <m/>
  </r>
  <r>
    <n v="48.6"/>
    <d v="2012-07-23T00:00:00"/>
    <x v="0"/>
    <s v="UNHCR"/>
    <s v="Kachin"/>
    <s v="Myitkyina"/>
    <s v="Maliyang Baptist Church"/>
    <m/>
    <m/>
    <m/>
    <n v="72"/>
    <n v="39"/>
    <n v="72"/>
    <n v="39"/>
    <n v="39"/>
    <n v="39"/>
    <n v="39"/>
    <m/>
    <m/>
    <m/>
    <m/>
    <m/>
    <m/>
    <m/>
    <n v="0"/>
    <n v="0"/>
    <n v="0"/>
    <n v="0"/>
    <n v="0"/>
    <n v="0"/>
    <n v="0"/>
    <n v="0"/>
    <n v="0"/>
    <n v="0"/>
    <n v="0"/>
    <n v="0"/>
    <n v="0"/>
    <n v="0"/>
    <x v="0"/>
    <n v="0"/>
    <s v="MMR001CMP016"/>
    <x v="2"/>
    <x v="1"/>
    <x v="2"/>
    <n v="0.65"/>
    <s v="No"/>
    <m/>
  </r>
  <r>
    <n v="48.6"/>
    <d v="2012-07-23T00:00:00"/>
    <x v="0"/>
    <s v="UNHCR"/>
    <s v="Kachin"/>
    <s v="Myitkyina"/>
    <s v="Shatapru Thida Aye Baptist Church"/>
    <m/>
    <m/>
    <m/>
    <n v="30"/>
    <n v="12"/>
    <n v="30"/>
    <n v="12"/>
    <n v="14"/>
    <n v="14"/>
    <n v="14"/>
    <m/>
    <m/>
    <m/>
    <m/>
    <m/>
    <m/>
    <m/>
    <n v="0"/>
    <n v="0"/>
    <n v="0"/>
    <n v="0"/>
    <n v="0"/>
    <n v="0"/>
    <n v="0"/>
    <n v="0"/>
    <n v="0"/>
    <n v="0"/>
    <n v="0"/>
    <n v="0"/>
    <n v="0"/>
    <n v="0"/>
    <x v="0"/>
    <n v="0"/>
    <s v="MMR001CMP007"/>
    <x v="2"/>
    <x v="1"/>
    <x v="2"/>
    <n v="0.54545454545454541"/>
    <s v="No"/>
    <m/>
  </r>
  <r>
    <n v="31.733333333333334"/>
    <d v="2013-12-11T00:00:00"/>
    <x v="9"/>
    <s v="WPN"/>
    <s v="Kachin"/>
    <s v="Momauk"/>
    <s v="Pa Kahtawng "/>
    <m/>
    <m/>
    <m/>
    <m/>
    <m/>
    <n v="417"/>
    <m/>
    <m/>
    <m/>
    <m/>
    <m/>
    <m/>
    <m/>
    <m/>
    <m/>
    <m/>
    <m/>
    <n v="0"/>
    <n v="0"/>
    <n v="0"/>
    <n v="0"/>
    <n v="0"/>
    <n v="0"/>
    <n v="0"/>
    <n v="0"/>
    <n v="0"/>
    <n v="0"/>
    <n v="0"/>
    <n v="0"/>
    <n v="0"/>
    <n v="0"/>
    <x v="0"/>
    <n v="0"/>
    <s v="MMR001CMP126"/>
    <x v="2"/>
    <x v="1"/>
    <x v="5"/>
    <n v="0"/>
    <s v="No"/>
    <m/>
  </r>
  <r>
    <n v="32.1"/>
    <d v="2013-11-30T00:00:00"/>
    <x v="5"/>
    <s v="LDO"/>
    <s v="Kachin"/>
    <s v="Momauk"/>
    <s v="Pa Kahtawng "/>
    <m/>
    <m/>
    <m/>
    <m/>
    <m/>
    <m/>
    <m/>
    <m/>
    <m/>
    <m/>
    <m/>
    <m/>
    <m/>
    <m/>
    <m/>
    <m/>
    <m/>
    <n v="0"/>
    <n v="0"/>
    <n v="0"/>
    <n v="0"/>
    <n v="0"/>
    <n v="0"/>
    <n v="0"/>
    <n v="0"/>
    <n v="0"/>
    <n v="0"/>
    <n v="0"/>
    <n v="0"/>
    <n v="0"/>
    <n v="0"/>
    <x v="0"/>
    <n v="0"/>
    <s v="MMR001CMP126"/>
    <x v="2"/>
    <x v="1"/>
    <x v="5"/>
    <n v="0"/>
    <s v="No"/>
    <m/>
  </r>
  <r>
    <n v="48.6"/>
    <d v="2012-07-23T00:00:00"/>
    <x v="0"/>
    <s v="UNHCR"/>
    <s v="Kachin"/>
    <s v="Myitkyina"/>
    <s v="Tat Kone San Pya Baptist Church"/>
    <m/>
    <m/>
    <m/>
    <n v="24"/>
    <n v="8"/>
    <n v="24"/>
    <n v="8"/>
    <n v="13"/>
    <n v="13"/>
    <n v="13"/>
    <m/>
    <m/>
    <m/>
    <m/>
    <m/>
    <m/>
    <m/>
    <n v="0"/>
    <n v="0"/>
    <n v="0"/>
    <n v="0"/>
    <n v="0"/>
    <n v="0"/>
    <n v="0"/>
    <n v="0"/>
    <n v="0"/>
    <n v="0"/>
    <n v="0"/>
    <n v="0"/>
    <n v="0"/>
    <n v="0"/>
    <x v="0"/>
    <n v="0"/>
    <s v="MMR001CMP005"/>
    <x v="2"/>
    <x v="1"/>
    <x v="2"/>
    <n v="0.18604651162790697"/>
    <s v="No"/>
    <m/>
  </r>
  <r>
    <n v="32.666666666666664"/>
    <d v="2013-11-13T00:00:00"/>
    <x v="5"/>
    <s v="LDO"/>
    <s v="Kachin"/>
    <s v="Momauk"/>
    <s v="Pa Kahtawng "/>
    <m/>
    <m/>
    <m/>
    <m/>
    <m/>
    <m/>
    <m/>
    <m/>
    <m/>
    <m/>
    <n v="514"/>
    <n v="1016"/>
    <n v="3060"/>
    <n v="1530"/>
    <m/>
    <m/>
    <m/>
    <n v="0"/>
    <n v="0"/>
    <n v="0"/>
    <n v="0"/>
    <n v="0"/>
    <n v="0"/>
    <n v="0"/>
    <n v="0"/>
    <n v="0"/>
    <n v="0"/>
    <n v="0"/>
    <n v="0"/>
    <n v="0"/>
    <n v="0"/>
    <x v="1"/>
    <n v="0"/>
    <s v="MMR001CMP126"/>
    <x v="2"/>
    <x v="1"/>
    <x v="5"/>
    <n v="0"/>
    <m/>
    <m/>
  </r>
  <r>
    <n v="48.733333333333334"/>
    <d v="2012-07-19T00:00:00"/>
    <x v="0"/>
    <s v="UNHCR"/>
    <s v="Kachin"/>
    <s v="Myitkyina"/>
    <s v="Kyun Pin Thar Baptist Church"/>
    <m/>
    <m/>
    <m/>
    <n v="6"/>
    <n v="4"/>
    <n v="6"/>
    <n v="4"/>
    <n v="4"/>
    <n v="4"/>
    <n v="4"/>
    <m/>
    <m/>
    <m/>
    <m/>
    <m/>
    <m/>
    <m/>
    <n v="0"/>
    <n v="0"/>
    <n v="0"/>
    <n v="0"/>
    <n v="0"/>
    <n v="0"/>
    <n v="0"/>
    <n v="0"/>
    <n v="0"/>
    <n v="0"/>
    <n v="0"/>
    <n v="0"/>
    <n v="0"/>
    <n v="0"/>
    <x v="0"/>
    <n v="0"/>
    <s v="MMR001CMP013"/>
    <x v="2"/>
    <x v="1"/>
    <x v="2"/>
    <n v="9.0909090909090912E-2"/>
    <s v="No"/>
    <m/>
  </r>
  <r>
    <n v="48.733333333333334"/>
    <d v="2012-07-19T00:00:00"/>
    <x v="0"/>
    <s v="UNHCR"/>
    <s v="Kachin"/>
    <s v="Myitkyina"/>
    <s v="Tat Kone COC Baptist - Tat Kone Htoi San"/>
    <m/>
    <m/>
    <m/>
    <n v="3"/>
    <n v="2"/>
    <n v="3"/>
    <n v="2"/>
    <n v="2"/>
    <n v="2"/>
    <n v="2"/>
    <m/>
    <m/>
    <m/>
    <m/>
    <m/>
    <m/>
    <m/>
    <n v="0"/>
    <n v="0"/>
    <n v="0"/>
    <n v="0"/>
    <n v="0"/>
    <n v="0"/>
    <n v="0"/>
    <n v="0"/>
    <n v="0"/>
    <n v="0"/>
    <n v="0"/>
    <n v="0"/>
    <n v="0"/>
    <n v="0"/>
    <x v="0"/>
    <n v="0"/>
    <s v="MMR001CMP023"/>
    <x v="2"/>
    <x v="1"/>
    <x v="2"/>
    <n v="3.7037037037037035E-2"/>
    <s v="No"/>
    <m/>
  </r>
  <r>
    <n v="48.733333333333334"/>
    <d v="2012-07-19T00:00:00"/>
    <x v="0"/>
    <s v="UNHCR"/>
    <s v="Kachin"/>
    <s v="Myitkyina"/>
    <s v="Wun Tho Buddhist Monastery"/>
    <m/>
    <m/>
    <m/>
    <n v="9"/>
    <n v="5"/>
    <n v="9"/>
    <n v="5"/>
    <n v="5"/>
    <n v="5"/>
    <n v="5"/>
    <m/>
    <m/>
    <m/>
    <m/>
    <m/>
    <m/>
    <m/>
    <n v="0"/>
    <n v="0"/>
    <n v="0"/>
    <n v="0"/>
    <n v="0"/>
    <n v="0"/>
    <n v="0"/>
    <n v="0"/>
    <n v="0"/>
    <n v="0"/>
    <n v="0"/>
    <n v="0"/>
    <n v="0"/>
    <n v="0"/>
    <x v="0"/>
    <n v="0"/>
    <s v="MMR001CMP022"/>
    <x v="2"/>
    <x v="1"/>
    <x v="2"/>
    <n v="0.7142857142857143"/>
    <s v="No"/>
    <m/>
  </r>
  <r>
    <n v="48.766666666666666"/>
    <d v="2012-07-18T00:00:00"/>
    <x v="0"/>
    <s v="UNHCR"/>
    <s v="Kachin"/>
    <s v="Mansi"/>
    <s v="Mung Ding Pa  (Boarder)"/>
    <m/>
    <m/>
    <m/>
    <n v="170"/>
    <n v="16"/>
    <n v="170"/>
    <n v="85"/>
    <n v="85"/>
    <n v="85"/>
    <n v="85"/>
    <m/>
    <m/>
    <m/>
    <m/>
    <m/>
    <m/>
    <m/>
    <n v="0"/>
    <n v="0"/>
    <n v="0"/>
    <n v="0"/>
    <n v="0"/>
    <n v="0"/>
    <n v="0"/>
    <n v="0"/>
    <n v="0"/>
    <n v="0"/>
    <n v="0"/>
    <n v="0"/>
    <n v="0"/>
    <n v="0"/>
    <x v="0"/>
    <n v="0"/>
    <s v="MMR001CMP203"/>
    <x v="2"/>
    <x v="2"/>
    <x v="0"/>
    <s v=""/>
    <s v="No"/>
    <m/>
  </r>
  <r>
    <n v="48.766666666666666"/>
    <d v="2012-07-18T00:00:00"/>
    <x v="0"/>
    <s v="UNHCR"/>
    <s v="Kachin"/>
    <s v="Mansi"/>
    <s v="Nam Lim Pa - Scattered IDPs in forest"/>
    <m/>
    <m/>
    <m/>
    <n v="206"/>
    <n v="78"/>
    <n v="206"/>
    <n v="103"/>
    <n v="103"/>
    <n v="103"/>
    <n v="103"/>
    <m/>
    <m/>
    <m/>
    <m/>
    <m/>
    <m/>
    <m/>
    <n v="0"/>
    <n v="0"/>
    <n v="0"/>
    <n v="0"/>
    <n v="0"/>
    <n v="0"/>
    <n v="0"/>
    <n v="0"/>
    <n v="0"/>
    <n v="0"/>
    <n v="0"/>
    <n v="0"/>
    <n v="0"/>
    <n v="0"/>
    <x v="0"/>
    <n v="0"/>
    <s v="MMR001CMP137"/>
    <x v="2"/>
    <x v="2"/>
    <x v="0"/>
    <s v=""/>
    <s v="No"/>
    <m/>
  </r>
  <r>
    <n v="48.8"/>
    <d v="2012-07-17T00:00:00"/>
    <x v="0"/>
    <s v="UNHCR"/>
    <s v="Kachin"/>
    <s v="Waingmaw"/>
    <s v="Border Post 8"/>
    <m/>
    <m/>
    <m/>
    <n v="19"/>
    <n v="19"/>
    <n v="19"/>
    <n v="19"/>
    <n v="19"/>
    <n v="19"/>
    <n v="19"/>
    <m/>
    <m/>
    <m/>
    <m/>
    <m/>
    <m/>
    <m/>
    <n v="0"/>
    <n v="0"/>
    <n v="0"/>
    <n v="0"/>
    <n v="0"/>
    <n v="0"/>
    <n v="0"/>
    <n v="0"/>
    <n v="0"/>
    <n v="0"/>
    <n v="0"/>
    <n v="0"/>
    <n v="0"/>
    <n v="0"/>
    <x v="0"/>
    <n v="0"/>
    <s v="MMR001CMP113"/>
    <x v="2"/>
    <x v="1"/>
    <x v="3"/>
    <n v="0.11874999999999999"/>
    <s v="No"/>
    <m/>
  </r>
  <r>
    <n v="48.8"/>
    <d v="2012-07-17T00:00:00"/>
    <x v="0"/>
    <s v="UNHCR"/>
    <s v="Kachin"/>
    <s v="Myitkyina"/>
    <s v="Du Kahtawng Qtr. 14"/>
    <m/>
    <m/>
    <m/>
    <n v="5"/>
    <n v="5"/>
    <n v="5"/>
    <n v="5"/>
    <n v="5"/>
    <n v="5"/>
    <n v="5"/>
    <m/>
    <m/>
    <m/>
    <m/>
    <m/>
    <m/>
    <m/>
    <n v="0"/>
    <n v="0"/>
    <n v="0"/>
    <n v="0"/>
    <n v="0"/>
    <n v="0"/>
    <n v="0"/>
    <n v="0"/>
    <n v="0"/>
    <n v="0"/>
    <n v="0"/>
    <n v="0"/>
    <n v="0"/>
    <n v="0"/>
    <x v="0"/>
    <n v="0"/>
    <s v="MMR001CMP012"/>
    <x v="2"/>
    <x v="1"/>
    <x v="2"/>
    <n v="0.83333333333333337"/>
    <s v="No"/>
    <m/>
  </r>
  <r>
    <n v="22.933333333333334"/>
    <d v="2014-09-01T00:00:00"/>
    <x v="10"/>
    <m/>
    <s v="Kachin"/>
    <s v="Waingmaw"/>
    <s v="Pajau - Jan Mai"/>
    <m/>
    <m/>
    <m/>
    <m/>
    <m/>
    <m/>
    <m/>
    <m/>
    <m/>
    <m/>
    <m/>
    <n v="291"/>
    <m/>
    <m/>
    <m/>
    <m/>
    <m/>
    <n v="0"/>
    <n v="0"/>
    <n v="0"/>
    <n v="0"/>
    <n v="0"/>
    <n v="0"/>
    <n v="0"/>
    <n v="0"/>
    <n v="0"/>
    <n v="0"/>
    <n v="0"/>
    <n v="0"/>
    <n v="0"/>
    <n v="0"/>
    <x v="1"/>
    <n v="0"/>
    <s v="MMR001CMP120"/>
    <x v="2"/>
    <x v="1"/>
    <x v="3"/>
    <n v="0"/>
    <m/>
    <m/>
  </r>
  <r>
    <n v="30.233333333333334"/>
    <d v="2014-01-25T00:00:00"/>
    <x v="10"/>
    <s v="KBC"/>
    <s v="Kachin"/>
    <s v="Waingmaw"/>
    <s v="Pajau - Jan Mai"/>
    <m/>
    <m/>
    <m/>
    <m/>
    <m/>
    <n v="191"/>
    <n v="191"/>
    <n v="191"/>
    <m/>
    <n v="191"/>
    <m/>
    <m/>
    <m/>
    <m/>
    <m/>
    <m/>
    <m/>
    <n v="0"/>
    <n v="0"/>
    <n v="0"/>
    <n v="0"/>
    <n v="0"/>
    <n v="0"/>
    <n v="0"/>
    <n v="0"/>
    <n v="0"/>
    <n v="0"/>
    <n v="0"/>
    <n v="0"/>
    <n v="0"/>
    <n v="0"/>
    <x v="0"/>
    <n v="0"/>
    <s v="MMR001CMP120"/>
    <x v="2"/>
    <x v="1"/>
    <x v="3"/>
    <n v="1.0790960451977401"/>
    <s v="No"/>
    <m/>
  </r>
  <r>
    <n v="32.1"/>
    <d v="2013-11-30T00:00:00"/>
    <x v="5"/>
    <s v="KBC"/>
    <s v="Kachin"/>
    <s v="Waingmaw"/>
    <s v="Pajau - Jan Mai"/>
    <m/>
    <m/>
    <m/>
    <m/>
    <m/>
    <m/>
    <m/>
    <m/>
    <m/>
    <m/>
    <m/>
    <m/>
    <m/>
    <m/>
    <m/>
    <m/>
    <m/>
    <n v="0"/>
    <n v="0"/>
    <n v="0"/>
    <n v="0"/>
    <n v="0"/>
    <n v="0"/>
    <n v="0"/>
    <n v="0"/>
    <n v="0"/>
    <n v="0"/>
    <n v="0"/>
    <n v="0"/>
    <n v="0"/>
    <n v="0"/>
    <x v="0"/>
    <n v="0"/>
    <s v="MMR001CMP120"/>
    <x v="2"/>
    <x v="1"/>
    <x v="3"/>
    <n v="0"/>
    <s v="No"/>
    <m/>
  </r>
  <r>
    <n v="32.233333333333334"/>
    <d v="2013-11-26T00:00:00"/>
    <x v="5"/>
    <s v="KBC"/>
    <s v="Kachin"/>
    <s v="Waingmaw"/>
    <s v="Pajau - Jan Mai"/>
    <m/>
    <m/>
    <m/>
    <m/>
    <m/>
    <m/>
    <m/>
    <m/>
    <m/>
    <m/>
    <n v="98"/>
    <n v="196"/>
    <n v="588"/>
    <n v="294"/>
    <m/>
    <m/>
    <m/>
    <n v="0"/>
    <n v="0"/>
    <n v="0"/>
    <n v="0"/>
    <n v="0"/>
    <n v="0"/>
    <n v="0"/>
    <n v="0"/>
    <n v="0"/>
    <n v="0"/>
    <n v="0"/>
    <n v="0"/>
    <n v="0"/>
    <n v="0"/>
    <x v="1"/>
    <n v="0"/>
    <s v="MMR001CMP120"/>
    <x v="2"/>
    <x v="1"/>
    <x v="3"/>
    <n v="0"/>
    <m/>
    <m/>
  </r>
  <r>
    <n v="48.8"/>
    <d v="2012-07-17T00:00:00"/>
    <x v="0"/>
    <s v="UNHCR"/>
    <s v="Kachin"/>
    <s v="Myitkyina"/>
    <s v="Du Kahtawng Qtr. 4"/>
    <m/>
    <m/>
    <m/>
    <n v="6"/>
    <n v="6"/>
    <n v="6"/>
    <n v="6"/>
    <n v="6"/>
    <n v="6"/>
    <n v="6"/>
    <m/>
    <m/>
    <m/>
    <m/>
    <m/>
    <m/>
    <m/>
    <n v="0"/>
    <n v="0"/>
    <n v="0"/>
    <n v="0"/>
    <n v="0"/>
    <n v="0"/>
    <n v="0"/>
    <n v="0"/>
    <n v="0"/>
    <n v="0"/>
    <n v="0"/>
    <n v="0"/>
    <n v="0"/>
    <n v="0"/>
    <x v="0"/>
    <n v="0"/>
    <s v="MMR001CMP010"/>
    <x v="2"/>
    <x v="1"/>
    <x v="2"/>
    <n v="1"/>
    <s v="No"/>
    <m/>
  </r>
  <r>
    <n v="48.8"/>
    <d v="2012-07-17T00:00:00"/>
    <x v="0"/>
    <s v="UNHCR"/>
    <s v="Kachin"/>
    <s v="Myitkyina"/>
    <s v="Du Kahtawng Qtr. 5"/>
    <m/>
    <m/>
    <m/>
    <n v="6"/>
    <n v="6"/>
    <n v="6"/>
    <n v="6"/>
    <n v="6"/>
    <n v="6"/>
    <n v="6"/>
    <m/>
    <m/>
    <m/>
    <m/>
    <m/>
    <m/>
    <m/>
    <n v="0"/>
    <n v="0"/>
    <n v="0"/>
    <n v="0"/>
    <n v="0"/>
    <n v="0"/>
    <n v="0"/>
    <n v="0"/>
    <n v="0"/>
    <n v="0"/>
    <n v="0"/>
    <n v="0"/>
    <n v="0"/>
    <n v="0"/>
    <x v="0"/>
    <n v="0"/>
    <s v="MMR001CMP011"/>
    <x v="2"/>
    <x v="1"/>
    <x v="2"/>
    <n v="0.13636363636363635"/>
    <s v="No"/>
    <m/>
  </r>
  <r>
    <n v="18.466666666666665"/>
    <d v="2015-01-13T00:00:00"/>
    <x v="1"/>
    <s v="MRCS"/>
    <s v="Kachin"/>
    <s v="Chipwi"/>
    <s v="Pan Wa"/>
    <m/>
    <m/>
    <m/>
    <m/>
    <m/>
    <m/>
    <m/>
    <m/>
    <m/>
    <m/>
    <n v="187"/>
    <n v="137"/>
    <m/>
    <n v="118"/>
    <m/>
    <m/>
    <m/>
    <n v="0"/>
    <n v="0"/>
    <n v="0"/>
    <n v="0"/>
    <n v="0"/>
    <n v="0"/>
    <n v="0"/>
    <n v="0"/>
    <n v="0"/>
    <n v="0"/>
    <n v="0"/>
    <n v="0"/>
    <n v="0"/>
    <n v="0"/>
    <x v="1"/>
    <n v="0"/>
    <s v="MMR001CMP210"/>
    <x v="2"/>
    <x v="1"/>
    <x v="3"/>
    <n v="0"/>
    <m/>
    <m/>
  </r>
  <r>
    <n v="48.8"/>
    <d v="2012-07-17T00:00:00"/>
    <x v="0"/>
    <s v="UNHCR"/>
    <s v="Kachin"/>
    <s v="Momauk"/>
    <s v="Dum Bung "/>
    <m/>
    <m/>
    <m/>
    <n v="380"/>
    <n v="156"/>
    <n v="380"/>
    <n v="156"/>
    <n v="156"/>
    <n v="156"/>
    <n v="156"/>
    <m/>
    <m/>
    <m/>
    <m/>
    <m/>
    <m/>
    <m/>
    <n v="0"/>
    <n v="0"/>
    <n v="0"/>
    <n v="0"/>
    <n v="0"/>
    <n v="0"/>
    <n v="0"/>
    <n v="0"/>
    <n v="0"/>
    <n v="0"/>
    <n v="0"/>
    <n v="0"/>
    <n v="0"/>
    <n v="0"/>
    <x v="0"/>
    <n v="0"/>
    <s v="MMR001CMP123"/>
    <x v="2"/>
    <x v="1"/>
    <x v="5"/>
    <n v="1.3448275862068966"/>
    <s v="No"/>
    <m/>
  </r>
  <r>
    <n v="29.3"/>
    <d v="2014-02-22T00:00:00"/>
    <x v="6"/>
    <s v="MRCS"/>
    <s v="Kachin"/>
    <s v="Chipwi"/>
    <s v="Pan Wa"/>
    <m/>
    <m/>
    <m/>
    <m/>
    <m/>
    <m/>
    <m/>
    <m/>
    <m/>
    <m/>
    <m/>
    <m/>
    <m/>
    <n v="126"/>
    <m/>
    <m/>
    <m/>
    <n v="0"/>
    <n v="0"/>
    <n v="0"/>
    <n v="0"/>
    <n v="0"/>
    <n v="0"/>
    <n v="0"/>
    <n v="0"/>
    <n v="0"/>
    <n v="0"/>
    <n v="0"/>
    <n v="0"/>
    <n v="0"/>
    <n v="0"/>
    <x v="1"/>
    <n v="0"/>
    <s v="MMR001CMP210"/>
    <x v="2"/>
    <x v="1"/>
    <x v="3"/>
    <n v="0"/>
    <m/>
    <m/>
  </r>
  <r>
    <n v="31.033333333333335"/>
    <d v="2014-01-01T00:00:00"/>
    <x v="11"/>
    <s v="MRCS"/>
    <s v="Kachin"/>
    <s v="Chipwi"/>
    <s v="Pan Wa"/>
    <m/>
    <m/>
    <m/>
    <m/>
    <m/>
    <m/>
    <n v="92"/>
    <m/>
    <m/>
    <m/>
    <m/>
    <m/>
    <m/>
    <m/>
    <m/>
    <m/>
    <m/>
    <n v="0"/>
    <n v="0"/>
    <n v="0"/>
    <n v="0"/>
    <n v="0"/>
    <n v="0"/>
    <n v="0"/>
    <n v="0"/>
    <n v="0"/>
    <n v="0"/>
    <n v="0"/>
    <n v="0"/>
    <n v="0"/>
    <n v="0"/>
    <x v="0"/>
    <n v="0"/>
    <s v="MMR001CMP210"/>
    <x v="2"/>
    <x v="1"/>
    <x v="3"/>
    <n v="1.5333333333333334"/>
    <s v="No"/>
    <m/>
  </r>
  <r>
    <n v="27.8"/>
    <d v="2014-04-08T00:00:00"/>
    <x v="6"/>
    <s v="MRCS"/>
    <s v="Kachin"/>
    <s v="Bhamo"/>
    <s v="Phan Khar Kone"/>
    <m/>
    <m/>
    <m/>
    <m/>
    <m/>
    <m/>
    <m/>
    <m/>
    <m/>
    <m/>
    <m/>
    <m/>
    <m/>
    <n v="372"/>
    <m/>
    <m/>
    <m/>
    <n v="0"/>
    <n v="0"/>
    <n v="0"/>
    <n v="0"/>
    <n v="0"/>
    <n v="0"/>
    <n v="0"/>
    <n v="0"/>
    <n v="0"/>
    <n v="0"/>
    <n v="0"/>
    <n v="0"/>
    <n v="0"/>
    <n v="0"/>
    <x v="1"/>
    <n v="0"/>
    <s v="MMR001CMP193"/>
    <x v="2"/>
    <x v="1"/>
    <x v="2"/>
    <n v="0"/>
    <m/>
    <m/>
  </r>
  <r>
    <n v="48.8"/>
    <d v="2012-07-17T00:00:00"/>
    <x v="0"/>
    <s v="UNHCR"/>
    <s v="Kachin"/>
    <s v="Momauk"/>
    <s v="Hpun Lum Yang "/>
    <m/>
    <m/>
    <m/>
    <n v="0"/>
    <n v="0"/>
    <n v="0"/>
    <n v="0"/>
    <n v="0"/>
    <m/>
    <m/>
    <m/>
    <m/>
    <m/>
    <m/>
    <m/>
    <m/>
    <m/>
    <n v="0"/>
    <n v="0"/>
    <n v="0"/>
    <n v="0"/>
    <n v="0"/>
    <n v="0"/>
    <n v="0"/>
    <n v="0"/>
    <n v="0"/>
    <n v="0"/>
    <n v="0"/>
    <n v="0"/>
    <n v="0"/>
    <n v="0"/>
    <x v="0"/>
    <n v="0"/>
    <s v="MMR001CMP122"/>
    <x v="2"/>
    <x v="1"/>
    <x v="5"/>
    <n v="0"/>
    <s v="No"/>
    <m/>
  </r>
  <r>
    <n v="32.1"/>
    <d v="2013-11-30T00:00:00"/>
    <x v="4"/>
    <s v="MDCG"/>
    <s v="Kachin"/>
    <s v="Bhamo"/>
    <s v="Phan Khar Kone"/>
    <m/>
    <m/>
    <m/>
    <m/>
    <m/>
    <n v="320"/>
    <m/>
    <m/>
    <m/>
    <m/>
    <n v="234"/>
    <n v="336"/>
    <n v="0"/>
    <m/>
    <m/>
    <m/>
    <m/>
    <n v="0"/>
    <n v="0"/>
    <n v="0"/>
    <n v="0"/>
    <n v="0"/>
    <n v="0"/>
    <n v="0"/>
    <n v="0"/>
    <n v="0"/>
    <n v="0"/>
    <n v="0"/>
    <n v="0"/>
    <n v="0"/>
    <n v="0"/>
    <x v="1"/>
    <n v="0"/>
    <s v="MMR001CMP193"/>
    <x v="2"/>
    <x v="1"/>
    <x v="2"/>
    <n v="0"/>
    <s v="No"/>
    <m/>
  </r>
  <r>
    <n v="13.866666666666667"/>
    <d v="2015-05-31T00:00:00"/>
    <x v="5"/>
    <s v="Solidarities"/>
    <s v="Kachin"/>
    <s v="Bhamo"/>
    <s v="Phan Khar Kone"/>
    <m/>
    <m/>
    <m/>
    <m/>
    <m/>
    <m/>
    <m/>
    <m/>
    <m/>
    <m/>
    <m/>
    <m/>
    <m/>
    <m/>
    <n v="6"/>
    <m/>
    <m/>
    <n v="0"/>
    <n v="0"/>
    <n v="0"/>
    <n v="0"/>
    <n v="0"/>
    <n v="0"/>
    <n v="0"/>
    <n v="0"/>
    <n v="0"/>
    <n v="0"/>
    <n v="0"/>
    <n v="0"/>
    <n v="0"/>
    <n v="0"/>
    <x v="0"/>
    <n v="0"/>
    <s v="MMR001CMP193"/>
    <x v="2"/>
    <x v="1"/>
    <x v="2"/>
    <n v="0"/>
    <m/>
    <m/>
  </r>
  <r>
    <n v="12.866666666666667"/>
    <d v="2015-06-30T00:00:00"/>
    <x v="5"/>
    <s v="Solidarities"/>
    <s v="Kachin"/>
    <s v="Bhamo"/>
    <s v="Phan Khar Kone"/>
    <m/>
    <m/>
    <m/>
    <m/>
    <m/>
    <m/>
    <m/>
    <m/>
    <m/>
    <m/>
    <m/>
    <m/>
    <m/>
    <m/>
    <n v="5"/>
    <m/>
    <m/>
    <n v="0"/>
    <n v="0"/>
    <n v="0"/>
    <n v="0"/>
    <n v="0"/>
    <n v="0"/>
    <n v="0"/>
    <n v="0"/>
    <n v="0"/>
    <n v="0"/>
    <n v="0"/>
    <n v="0"/>
    <n v="0"/>
    <n v="0"/>
    <x v="0"/>
    <n v="0"/>
    <s v="MMR001CMP193"/>
    <x v="2"/>
    <x v="1"/>
    <x v="2"/>
    <n v="0"/>
    <m/>
    <m/>
  </r>
  <r>
    <n v="7.6333333333333337"/>
    <d v="2015-12-04T00:00:00"/>
    <x v="5"/>
    <s v="Solidarities"/>
    <s v="Kachin"/>
    <s v="Bhamo"/>
    <s v="Phan Khar Kone"/>
    <m/>
    <m/>
    <m/>
    <m/>
    <m/>
    <m/>
    <m/>
    <m/>
    <m/>
    <m/>
    <m/>
    <m/>
    <m/>
    <m/>
    <n v="5"/>
    <m/>
    <m/>
    <n v="0"/>
    <n v="0"/>
    <n v="0"/>
    <n v="0"/>
    <n v="0"/>
    <n v="0"/>
    <n v="0"/>
    <n v="0"/>
    <n v="0"/>
    <n v="0"/>
    <n v="0"/>
    <n v="0"/>
    <n v="0"/>
    <n v="0"/>
    <x v="0"/>
    <n v="5"/>
    <s v="MMR001CMP193"/>
    <x v="2"/>
    <x v="1"/>
    <x v="2"/>
    <n v="0"/>
    <m/>
    <m/>
  </r>
  <r>
    <n v="6"/>
    <d v="2016-01-22T00:00:00"/>
    <x v="5"/>
    <s v="Solidarities"/>
    <s v="Kachin"/>
    <s v="Bhamo"/>
    <s v="Phan Khar Kone"/>
    <m/>
    <m/>
    <m/>
    <m/>
    <m/>
    <m/>
    <m/>
    <m/>
    <m/>
    <m/>
    <m/>
    <m/>
    <m/>
    <m/>
    <n v="4"/>
    <m/>
    <m/>
    <n v="0"/>
    <n v="0"/>
    <n v="0"/>
    <n v="0"/>
    <n v="0"/>
    <n v="0"/>
    <n v="0"/>
    <n v="0"/>
    <n v="0"/>
    <n v="0"/>
    <n v="0"/>
    <n v="0"/>
    <n v="0"/>
    <n v="0"/>
    <x v="0"/>
    <n v="4"/>
    <s v="MMR001CMP193"/>
    <x v="2"/>
    <x v="1"/>
    <x v="2"/>
    <n v="0"/>
    <m/>
    <m/>
  </r>
  <r>
    <n v="16.533333333333335"/>
    <d v="2015-03-12T00:00:00"/>
    <x v="5"/>
    <s v="Solidarities"/>
    <s v="Kachin"/>
    <s v="Bhamo"/>
    <s v="Phan Khar Kone"/>
    <m/>
    <m/>
    <m/>
    <m/>
    <m/>
    <m/>
    <m/>
    <m/>
    <m/>
    <m/>
    <m/>
    <m/>
    <m/>
    <m/>
    <m/>
    <n v="7"/>
    <m/>
    <n v="0"/>
    <n v="0"/>
    <n v="0"/>
    <n v="0"/>
    <n v="0"/>
    <n v="0"/>
    <n v="0"/>
    <n v="0"/>
    <n v="0"/>
    <n v="0"/>
    <n v="0"/>
    <n v="0"/>
    <n v="0"/>
    <n v="0"/>
    <x v="0"/>
    <n v="0"/>
    <s v="MMR001CMP193"/>
    <x v="2"/>
    <x v="1"/>
    <x v="2"/>
    <n v="0"/>
    <m/>
    <m/>
  </r>
  <r>
    <n v="7.166666666666667"/>
    <d v="2015-12-18T00:00:00"/>
    <x v="5"/>
    <s v="Solidarities"/>
    <s v="Kachin"/>
    <s v="Bhamo"/>
    <s v="Phan Khar Kone"/>
    <m/>
    <m/>
    <m/>
    <m/>
    <m/>
    <m/>
    <m/>
    <m/>
    <m/>
    <m/>
    <m/>
    <m/>
    <m/>
    <m/>
    <m/>
    <n v="24"/>
    <m/>
    <n v="0"/>
    <n v="0"/>
    <n v="0"/>
    <n v="0"/>
    <n v="0"/>
    <n v="0"/>
    <n v="0"/>
    <n v="0"/>
    <n v="0"/>
    <n v="0"/>
    <n v="0"/>
    <n v="0"/>
    <n v="0"/>
    <n v="0"/>
    <x v="0"/>
    <n v="0"/>
    <s v="MMR001CMP193"/>
    <x v="2"/>
    <x v="1"/>
    <x v="2"/>
    <n v="0"/>
    <m/>
    <m/>
  </r>
  <r>
    <n v="4.8666666666666663"/>
    <d v="2016-02-25T00:00:00"/>
    <x v="5"/>
    <s v="Solidarities"/>
    <s v="Kachin"/>
    <s v="Bhamo"/>
    <s v="Phan Khar Kone"/>
    <m/>
    <m/>
    <m/>
    <m/>
    <m/>
    <m/>
    <m/>
    <m/>
    <m/>
    <m/>
    <m/>
    <m/>
    <m/>
    <m/>
    <m/>
    <n v="24"/>
    <m/>
    <n v="0"/>
    <n v="0"/>
    <n v="0"/>
    <n v="0"/>
    <n v="0"/>
    <n v="0"/>
    <n v="0"/>
    <n v="0"/>
    <n v="0"/>
    <n v="0"/>
    <n v="0"/>
    <n v="0"/>
    <n v="0"/>
    <n v="0"/>
    <x v="0"/>
    <n v="0"/>
    <s v="MMR001CMP193"/>
    <x v="2"/>
    <x v="1"/>
    <x v="2"/>
    <n v="0"/>
    <m/>
    <m/>
  </r>
  <r>
    <n v="2.7333333333333334"/>
    <d v="2016-04-29T00:00:00"/>
    <x v="5"/>
    <s v="Solidarities"/>
    <s v="Kachin"/>
    <s v="Bhamo"/>
    <s v="Phan Khar Kone"/>
    <m/>
    <m/>
    <m/>
    <m/>
    <m/>
    <m/>
    <m/>
    <m/>
    <m/>
    <m/>
    <m/>
    <m/>
    <m/>
    <m/>
    <m/>
    <n v="48"/>
    <m/>
    <n v="0"/>
    <n v="0"/>
    <n v="0"/>
    <n v="0"/>
    <n v="0"/>
    <n v="0"/>
    <n v="0"/>
    <n v="0"/>
    <n v="0"/>
    <n v="0"/>
    <n v="0"/>
    <n v="0"/>
    <n v="0"/>
    <n v="0"/>
    <x v="0"/>
    <n v="0"/>
    <s v="MMR001CMP193"/>
    <x v="2"/>
    <x v="1"/>
    <x v="2"/>
    <n v="0"/>
    <m/>
    <m/>
  </r>
  <r>
    <n v="4.2"/>
    <d v="2016-03-16T00:00:00"/>
    <x v="5"/>
    <s v="Solidarities"/>
    <s v="Kachin"/>
    <s v="Bhamo"/>
    <s v="Phan Khar Kone"/>
    <m/>
    <m/>
    <m/>
    <m/>
    <m/>
    <m/>
    <m/>
    <m/>
    <m/>
    <m/>
    <m/>
    <m/>
    <m/>
    <m/>
    <n v="4"/>
    <m/>
    <m/>
    <n v="0"/>
    <n v="0"/>
    <n v="0"/>
    <n v="0"/>
    <n v="0"/>
    <n v="0"/>
    <n v="0"/>
    <n v="0"/>
    <n v="0"/>
    <n v="0"/>
    <n v="0"/>
    <n v="0"/>
    <n v="0"/>
    <n v="0"/>
    <x v="0"/>
    <n v="4"/>
    <s v="MMR001CMP193"/>
    <x v="2"/>
    <x v="1"/>
    <x v="2"/>
    <n v="0"/>
    <m/>
    <m/>
  </r>
  <r>
    <n v="19.600000000000001"/>
    <d v="2014-12-10T00:00:00"/>
    <x v="5"/>
    <s v="Solidarities"/>
    <s v="Kachin"/>
    <s v="Bhamo"/>
    <s v="Phan Khar Kone"/>
    <m/>
    <m/>
    <n v="245"/>
    <m/>
    <m/>
    <m/>
    <m/>
    <m/>
    <m/>
    <m/>
    <m/>
    <m/>
    <m/>
    <m/>
    <m/>
    <m/>
    <m/>
    <n v="0"/>
    <n v="0"/>
    <n v="0"/>
    <n v="0"/>
    <n v="0"/>
    <n v="0"/>
    <n v="0"/>
    <n v="0"/>
    <n v="0"/>
    <n v="0"/>
    <n v="0"/>
    <n v="0"/>
    <n v="0"/>
    <n v="0"/>
    <x v="0"/>
    <n v="0"/>
    <s v="MMR001CMP193"/>
    <x v="2"/>
    <x v="1"/>
    <x v="2"/>
    <n v="0"/>
    <m/>
    <m/>
  </r>
  <r>
    <n v="13.933333333333334"/>
    <d v="2015-05-29T00:00:00"/>
    <x v="5"/>
    <s v="Solidarities"/>
    <s v="Kachin"/>
    <s v="Bhamo"/>
    <s v="Phan Khar Kone"/>
    <m/>
    <m/>
    <n v="258"/>
    <m/>
    <m/>
    <m/>
    <m/>
    <m/>
    <m/>
    <m/>
    <m/>
    <m/>
    <m/>
    <m/>
    <m/>
    <m/>
    <m/>
    <n v="0"/>
    <n v="0"/>
    <n v="0"/>
    <n v="0"/>
    <n v="0"/>
    <n v="0"/>
    <n v="0"/>
    <n v="0"/>
    <n v="0"/>
    <n v="0"/>
    <n v="0"/>
    <n v="0"/>
    <n v="0"/>
    <n v="0"/>
    <x v="0"/>
    <n v="0"/>
    <s v="MMR001CMP193"/>
    <x v="2"/>
    <x v="1"/>
    <x v="2"/>
    <n v="0"/>
    <m/>
    <m/>
  </r>
  <r>
    <n v="5.6333333333333337"/>
    <d v="2016-02-02T00:00:00"/>
    <x v="5"/>
    <s v="Solidarities"/>
    <s v="Kachin"/>
    <s v="Bhamo"/>
    <s v="Phan Khar Kone"/>
    <m/>
    <m/>
    <n v="204"/>
    <m/>
    <m/>
    <m/>
    <m/>
    <m/>
    <m/>
    <m/>
    <m/>
    <m/>
    <m/>
    <m/>
    <m/>
    <m/>
    <m/>
    <n v="0"/>
    <n v="0"/>
    <n v="204"/>
    <n v="0"/>
    <n v="0"/>
    <n v="0"/>
    <n v="0"/>
    <n v="0"/>
    <n v="0"/>
    <n v="0"/>
    <n v="0"/>
    <n v="0"/>
    <n v="0"/>
    <n v="0"/>
    <x v="0"/>
    <n v="0"/>
    <s v="MMR001CMP193"/>
    <x v="2"/>
    <x v="1"/>
    <x v="2"/>
    <n v="0"/>
    <m/>
    <m/>
  </r>
  <r>
    <n v="32.1"/>
    <d v="2013-11-30T00:00:00"/>
    <x v="5"/>
    <m/>
    <s v="Kachin"/>
    <s v="Bhamo"/>
    <s v="Phan Khar Kone"/>
    <m/>
    <m/>
    <m/>
    <m/>
    <m/>
    <m/>
    <m/>
    <m/>
    <m/>
    <m/>
    <m/>
    <m/>
    <m/>
    <m/>
    <m/>
    <m/>
    <m/>
    <n v="0"/>
    <n v="0"/>
    <n v="0"/>
    <n v="0"/>
    <n v="0"/>
    <n v="0"/>
    <n v="0"/>
    <n v="0"/>
    <n v="0"/>
    <n v="0"/>
    <n v="0"/>
    <n v="0"/>
    <n v="0"/>
    <n v="0"/>
    <x v="0"/>
    <n v="0"/>
    <s v="MMR001CMP193"/>
    <x v="2"/>
    <x v="1"/>
    <x v="2"/>
    <n v="0"/>
    <s v="No"/>
    <m/>
  </r>
  <r>
    <n v="48.8"/>
    <d v="2012-07-17T00:00:00"/>
    <x v="0"/>
    <s v="UNHCR"/>
    <s v="Kachin"/>
    <s v="Myitkyina"/>
    <s v="Jan Mai Kawng Baptist Church"/>
    <m/>
    <m/>
    <m/>
    <n v="21"/>
    <n v="21"/>
    <n v="21"/>
    <n v="21"/>
    <n v="21"/>
    <n v="21"/>
    <n v="21"/>
    <m/>
    <m/>
    <m/>
    <m/>
    <m/>
    <m/>
    <m/>
    <n v="0"/>
    <n v="0"/>
    <n v="0"/>
    <n v="0"/>
    <n v="0"/>
    <n v="0"/>
    <n v="0"/>
    <n v="0"/>
    <n v="0"/>
    <n v="0"/>
    <n v="0"/>
    <n v="0"/>
    <n v="0"/>
    <n v="0"/>
    <x v="0"/>
    <n v="0"/>
    <s v="MMR001CMP018"/>
    <x v="2"/>
    <x v="1"/>
    <x v="2"/>
    <n v="0.10606060606060606"/>
    <s v="No"/>
    <m/>
  </r>
  <r>
    <n v="48.8"/>
    <d v="2012-07-17T00:00:00"/>
    <x v="0"/>
    <s v="UNHCR"/>
    <s v="Kachin"/>
    <s v="Momauk"/>
    <s v="Loi Je Lisu Camp"/>
    <m/>
    <m/>
    <m/>
    <n v="0"/>
    <n v="0"/>
    <n v="0"/>
    <n v="0"/>
    <n v="0"/>
    <m/>
    <m/>
    <m/>
    <m/>
    <m/>
    <m/>
    <m/>
    <m/>
    <m/>
    <n v="0"/>
    <n v="0"/>
    <n v="0"/>
    <n v="0"/>
    <n v="0"/>
    <n v="0"/>
    <n v="0"/>
    <n v="0"/>
    <n v="0"/>
    <n v="0"/>
    <n v="0"/>
    <n v="0"/>
    <n v="0"/>
    <n v="0"/>
    <x v="0"/>
    <n v="0"/>
    <s v="MMR001CMP070"/>
    <x v="2"/>
    <x v="1"/>
    <x v="4"/>
    <n v="0"/>
    <s v="No"/>
    <m/>
  </r>
  <r>
    <n v="32.866666666666667"/>
    <d v="2013-11-07T00:00:00"/>
    <x v="5"/>
    <s v="Solidarities"/>
    <s v="Kachin"/>
    <s v="Bhamo"/>
    <s v="Phan Khar Kone"/>
    <m/>
    <m/>
    <m/>
    <m/>
    <m/>
    <m/>
    <m/>
    <m/>
    <m/>
    <m/>
    <n v="23"/>
    <n v="41"/>
    <n v="128"/>
    <n v="64"/>
    <m/>
    <m/>
    <m/>
    <n v="0"/>
    <n v="0"/>
    <n v="0"/>
    <n v="0"/>
    <n v="0"/>
    <n v="0"/>
    <n v="0"/>
    <n v="0"/>
    <n v="0"/>
    <n v="0"/>
    <n v="0"/>
    <n v="0"/>
    <n v="0"/>
    <n v="0"/>
    <x v="1"/>
    <n v="0"/>
    <s v="MMR001CMP193"/>
    <x v="2"/>
    <x v="1"/>
    <x v="2"/>
    <n v="0"/>
    <m/>
    <m/>
  </r>
  <r>
    <n v="48.8"/>
    <d v="2012-07-17T00:00:00"/>
    <x v="0"/>
    <s v="UNHCR"/>
    <s v="Kachin"/>
    <s v="Mansi"/>
    <s v="Lung Kawk  ( Hka Hkye Zup)"/>
    <m/>
    <m/>
    <m/>
    <n v="0"/>
    <n v="0"/>
    <n v="0"/>
    <n v="0"/>
    <n v="0"/>
    <m/>
    <m/>
    <m/>
    <m/>
    <m/>
    <m/>
    <m/>
    <m/>
    <m/>
    <n v="0"/>
    <n v="0"/>
    <n v="0"/>
    <n v="0"/>
    <n v="0"/>
    <n v="0"/>
    <n v="0"/>
    <n v="0"/>
    <n v="0"/>
    <n v="0"/>
    <n v="0"/>
    <n v="0"/>
    <n v="0"/>
    <n v="0"/>
    <x v="0"/>
    <n v="0"/>
    <s v="MMR001CMP135"/>
    <x v="2"/>
    <x v="2"/>
    <x v="5"/>
    <s v=""/>
    <s v="No"/>
    <m/>
  </r>
  <r>
    <n v="33"/>
    <d v="2013-11-03T00:00:00"/>
    <x v="2"/>
    <s v="MRCS"/>
    <s v="Kachin"/>
    <s v="Bhamo"/>
    <s v="Phan Khar Kone"/>
    <m/>
    <m/>
    <n v="49"/>
    <m/>
    <m/>
    <m/>
    <n v="49"/>
    <m/>
    <m/>
    <m/>
    <m/>
    <m/>
    <m/>
    <m/>
    <m/>
    <m/>
    <m/>
    <n v="0"/>
    <n v="0"/>
    <n v="0"/>
    <n v="0"/>
    <n v="0"/>
    <n v="0"/>
    <n v="0"/>
    <n v="0"/>
    <n v="0"/>
    <n v="0"/>
    <n v="0"/>
    <n v="0"/>
    <n v="0"/>
    <n v="0"/>
    <x v="0"/>
    <n v="0"/>
    <s v="MMR001CMP193"/>
    <x v="2"/>
    <x v="1"/>
    <x v="2"/>
    <n v="0.32666666666666666"/>
    <s v="No"/>
    <m/>
  </r>
  <r>
    <n v="48.8"/>
    <d v="2012-07-17T00:00:00"/>
    <x v="0"/>
    <s v="UNHCR"/>
    <s v="Kachin"/>
    <s v="Momauk"/>
    <s v="Mai Khat "/>
    <m/>
    <m/>
    <m/>
    <n v="0"/>
    <n v="0"/>
    <n v="0"/>
    <n v="0"/>
    <n v="0"/>
    <m/>
    <m/>
    <m/>
    <m/>
    <m/>
    <m/>
    <m/>
    <m/>
    <m/>
    <n v="0"/>
    <n v="0"/>
    <n v="0"/>
    <n v="0"/>
    <n v="0"/>
    <n v="0"/>
    <n v="0"/>
    <n v="0"/>
    <n v="0"/>
    <n v="0"/>
    <n v="0"/>
    <n v="0"/>
    <n v="0"/>
    <n v="0"/>
    <x v="0"/>
    <n v="0"/>
    <s v="MMR001CMP064"/>
    <x v="2"/>
    <x v="1"/>
    <x v="2"/>
    <n v="0"/>
    <s v="No"/>
    <m/>
  </r>
  <r>
    <n v="48.8"/>
    <d v="2012-07-17T00:00:00"/>
    <x v="0"/>
    <s v="UNHCR"/>
    <s v="Kachin"/>
    <s v="Momauk"/>
    <s v="Mai Khat "/>
    <m/>
    <m/>
    <m/>
    <n v="0"/>
    <n v="0"/>
    <n v="0"/>
    <n v="0"/>
    <n v="0"/>
    <m/>
    <m/>
    <m/>
    <m/>
    <m/>
    <m/>
    <m/>
    <m/>
    <m/>
    <n v="0"/>
    <n v="0"/>
    <n v="0"/>
    <n v="0"/>
    <n v="0"/>
    <n v="0"/>
    <n v="0"/>
    <n v="0"/>
    <n v="0"/>
    <n v="0"/>
    <n v="0"/>
    <n v="0"/>
    <n v="0"/>
    <n v="0"/>
    <x v="0"/>
    <n v="0"/>
    <s v="MMR001CMP064"/>
    <x v="2"/>
    <x v="1"/>
    <x v="2"/>
    <n v="0"/>
    <s v="No"/>
    <m/>
  </r>
  <r>
    <n v="30.4"/>
    <d v="2014-01-20T00:00:00"/>
    <x v="3"/>
    <s v="KMSS"/>
    <s v="Kachin"/>
    <s v="Waingmaw"/>
    <s v="Post 6 Camp"/>
    <m/>
    <m/>
    <m/>
    <m/>
    <m/>
    <m/>
    <m/>
    <n v="127"/>
    <m/>
    <m/>
    <m/>
    <m/>
    <m/>
    <m/>
    <m/>
    <m/>
    <m/>
    <n v="0"/>
    <n v="0"/>
    <n v="0"/>
    <n v="0"/>
    <n v="0"/>
    <n v="0"/>
    <n v="0"/>
    <n v="0"/>
    <n v="0"/>
    <n v="0"/>
    <n v="0"/>
    <n v="0"/>
    <n v="0"/>
    <n v="0"/>
    <x v="0"/>
    <n v="0"/>
    <s v="MMR001CMP160"/>
    <x v="2"/>
    <x v="1"/>
    <x v="3"/>
    <n v="0"/>
    <s v="No"/>
    <m/>
  </r>
  <r>
    <n v="30.4"/>
    <d v="2014-01-20T00:00:00"/>
    <x v="3"/>
    <s v="KMSS"/>
    <s v="Kachin"/>
    <s v="Waingmaw"/>
    <s v="Post 6 Camp"/>
    <m/>
    <m/>
    <m/>
    <m/>
    <m/>
    <m/>
    <m/>
    <m/>
    <m/>
    <m/>
    <n v="443"/>
    <n v="218"/>
    <m/>
    <m/>
    <m/>
    <m/>
    <m/>
    <n v="0"/>
    <n v="0"/>
    <n v="0"/>
    <n v="0"/>
    <n v="0"/>
    <n v="0"/>
    <n v="0"/>
    <n v="0"/>
    <n v="0"/>
    <n v="0"/>
    <n v="0"/>
    <n v="0"/>
    <n v="0"/>
    <n v="0"/>
    <x v="1"/>
    <n v="0"/>
    <s v="MMR001CMP160"/>
    <x v="2"/>
    <x v="1"/>
    <x v="3"/>
    <n v="0"/>
    <s v="No"/>
    <m/>
  </r>
  <r>
    <n v="32.033333333333331"/>
    <d v="2013-12-02T00:00:00"/>
    <x v="5"/>
    <s v="KBC"/>
    <s v="Kachin"/>
    <s v="Waingmaw"/>
    <s v="Post 6 Camp"/>
    <m/>
    <m/>
    <m/>
    <m/>
    <m/>
    <m/>
    <m/>
    <m/>
    <m/>
    <m/>
    <n v="124"/>
    <n v="248"/>
    <n v="744"/>
    <n v="372"/>
    <m/>
    <m/>
    <m/>
    <n v="0"/>
    <n v="0"/>
    <n v="0"/>
    <n v="0"/>
    <n v="0"/>
    <n v="0"/>
    <n v="0"/>
    <n v="0"/>
    <n v="0"/>
    <n v="0"/>
    <n v="0"/>
    <n v="0"/>
    <n v="0"/>
    <n v="0"/>
    <x v="1"/>
    <n v="0"/>
    <s v="MMR001CMP160"/>
    <x v="2"/>
    <x v="1"/>
    <x v="3"/>
    <n v="0"/>
    <m/>
    <m/>
  </r>
  <r>
    <n v="32.1"/>
    <d v="2013-11-30T00:00:00"/>
    <x v="5"/>
    <s v="KBC"/>
    <s v="Kachin"/>
    <s v="Waingmaw"/>
    <s v="Post 6 Camp"/>
    <m/>
    <m/>
    <m/>
    <m/>
    <m/>
    <m/>
    <m/>
    <m/>
    <m/>
    <m/>
    <m/>
    <m/>
    <m/>
    <m/>
    <m/>
    <m/>
    <m/>
    <n v="0"/>
    <n v="0"/>
    <n v="0"/>
    <n v="0"/>
    <n v="0"/>
    <n v="0"/>
    <n v="0"/>
    <n v="0"/>
    <n v="0"/>
    <n v="0"/>
    <n v="0"/>
    <n v="0"/>
    <n v="0"/>
    <n v="0"/>
    <x v="0"/>
    <n v="0"/>
    <s v="MMR001CMP160"/>
    <x v="2"/>
    <x v="1"/>
    <x v="3"/>
    <n v="0"/>
    <s v="No"/>
    <m/>
  </r>
  <r>
    <n v="38.866666666666667"/>
    <d v="2013-05-11T00:00:00"/>
    <x v="8"/>
    <s v="KMSS"/>
    <s v="Kachin"/>
    <s v="Waingmaw"/>
    <s v="Post 6 Camp"/>
    <n v="490"/>
    <m/>
    <m/>
    <m/>
    <m/>
    <m/>
    <m/>
    <m/>
    <m/>
    <m/>
    <m/>
    <m/>
    <m/>
    <m/>
    <m/>
    <m/>
    <m/>
    <n v="0"/>
    <n v="0"/>
    <n v="0"/>
    <n v="0"/>
    <n v="0"/>
    <n v="0"/>
    <n v="0"/>
    <n v="0"/>
    <n v="0"/>
    <n v="0"/>
    <n v="0"/>
    <n v="0"/>
    <n v="0"/>
    <n v="0"/>
    <x v="0"/>
    <n v="0"/>
    <s v="MMR001CMP160"/>
    <x v="2"/>
    <x v="1"/>
    <x v="3"/>
    <n v="0"/>
    <s v="No"/>
    <m/>
  </r>
  <r>
    <n v="48.8"/>
    <d v="2012-07-17T00:00:00"/>
    <x v="0"/>
    <s v="UNHCR"/>
    <s v="Kachin"/>
    <s v="Mansi"/>
    <s v="Man Wing Baptist Church"/>
    <m/>
    <m/>
    <m/>
    <n v="0"/>
    <n v="0"/>
    <n v="0"/>
    <n v="0"/>
    <n v="0"/>
    <m/>
    <m/>
    <m/>
    <m/>
    <m/>
    <m/>
    <m/>
    <m/>
    <m/>
    <n v="0"/>
    <n v="0"/>
    <n v="0"/>
    <n v="0"/>
    <n v="0"/>
    <n v="0"/>
    <n v="0"/>
    <n v="0"/>
    <n v="0"/>
    <n v="0"/>
    <n v="0"/>
    <n v="0"/>
    <n v="0"/>
    <n v="0"/>
    <x v="0"/>
    <n v="0"/>
    <s v="MMR001CMP133"/>
    <x v="2"/>
    <x v="1"/>
    <x v="2"/>
    <n v="0"/>
    <s v="No"/>
    <m/>
  </r>
  <r>
    <n v="48.8"/>
    <d v="2012-07-17T00:00:00"/>
    <x v="0"/>
    <s v="UNHCR"/>
    <s v="Kachin"/>
    <s v="Myitkyina"/>
    <s v="Maw Hpawng Hka Nan Baptist Church"/>
    <m/>
    <m/>
    <m/>
    <n v="0"/>
    <n v="0"/>
    <n v="0"/>
    <n v="0"/>
    <n v="0"/>
    <m/>
    <m/>
    <m/>
    <m/>
    <m/>
    <m/>
    <m/>
    <m/>
    <m/>
    <n v="0"/>
    <n v="0"/>
    <n v="0"/>
    <n v="0"/>
    <n v="0"/>
    <n v="0"/>
    <n v="0"/>
    <n v="0"/>
    <n v="0"/>
    <n v="0"/>
    <n v="0"/>
    <n v="0"/>
    <n v="0"/>
    <n v="0"/>
    <x v="0"/>
    <n v="0"/>
    <s v="MMR001CMP020"/>
    <x v="2"/>
    <x v="1"/>
    <x v="2"/>
    <n v="0"/>
    <s v="No"/>
    <m/>
  </r>
  <r>
    <n v="48.8"/>
    <d v="2012-07-17T00:00:00"/>
    <x v="0"/>
    <s v="UNHCR"/>
    <s v="Kachin"/>
    <s v="Myitkyina"/>
    <s v="Maw Hpawng Hka Nan Baptist Church"/>
    <m/>
    <m/>
    <m/>
    <n v="19"/>
    <n v="19"/>
    <n v="19"/>
    <n v="19"/>
    <n v="19"/>
    <n v="19"/>
    <n v="19"/>
    <m/>
    <m/>
    <m/>
    <m/>
    <m/>
    <m/>
    <m/>
    <n v="0"/>
    <n v="0"/>
    <n v="0"/>
    <n v="0"/>
    <n v="0"/>
    <n v="0"/>
    <n v="0"/>
    <n v="0"/>
    <n v="0"/>
    <n v="0"/>
    <n v="0"/>
    <n v="0"/>
    <n v="0"/>
    <n v="0"/>
    <x v="0"/>
    <n v="0"/>
    <s v="MMR001CMP020"/>
    <x v="2"/>
    <x v="1"/>
    <x v="2"/>
    <n v="0.90476190476190477"/>
    <s v="No"/>
    <m/>
  </r>
  <r>
    <n v="48.8"/>
    <d v="2012-07-17T00:00:00"/>
    <x v="0"/>
    <s v="UNHCR"/>
    <s v="Kachin"/>
    <s v="Waingmaw"/>
    <s v="Moke Lwe Village - Hkar Shi"/>
    <m/>
    <m/>
    <m/>
    <n v="0"/>
    <n v="0"/>
    <n v="0"/>
    <n v="0"/>
    <n v="0"/>
    <m/>
    <m/>
    <m/>
    <m/>
    <m/>
    <m/>
    <m/>
    <m/>
    <m/>
    <n v="0"/>
    <n v="0"/>
    <n v="0"/>
    <n v="0"/>
    <n v="0"/>
    <n v="0"/>
    <n v="0"/>
    <n v="0"/>
    <n v="0"/>
    <n v="0"/>
    <n v="0"/>
    <n v="0"/>
    <n v="0"/>
    <n v="0"/>
    <x v="0"/>
    <n v="0"/>
    <s v="MMR001CMP035"/>
    <x v="2"/>
    <x v="2"/>
    <x v="0"/>
    <s v=""/>
    <s v="No"/>
    <m/>
  </r>
  <r>
    <n v="48.8"/>
    <d v="2012-07-17T00:00:00"/>
    <x v="0"/>
    <s v="UNHCR"/>
    <s v="Kachin"/>
    <s v="Myitkyina"/>
    <s v="Nan Kway St. John Catholic Church"/>
    <m/>
    <m/>
    <m/>
    <n v="6"/>
    <n v="6"/>
    <n v="6"/>
    <n v="6"/>
    <n v="6"/>
    <n v="6"/>
    <n v="6"/>
    <m/>
    <m/>
    <m/>
    <m/>
    <m/>
    <m/>
    <m/>
    <n v="0"/>
    <n v="0"/>
    <n v="0"/>
    <n v="0"/>
    <n v="0"/>
    <n v="0"/>
    <n v="0"/>
    <n v="0"/>
    <n v="0"/>
    <n v="0"/>
    <n v="0"/>
    <n v="0"/>
    <n v="0"/>
    <n v="0"/>
    <x v="0"/>
    <n v="0"/>
    <s v="MMR001CMP024"/>
    <x v="2"/>
    <x v="1"/>
    <x v="2"/>
    <n v="8.8235294117647065E-2"/>
    <s v="No"/>
    <m/>
  </r>
  <r>
    <n v="26.333333333333332"/>
    <d v="2014-05-22T00:00:00"/>
    <x v="6"/>
    <s v="MRCS"/>
    <s v="Kachin"/>
    <s v="Waingmaw"/>
    <s v="Qtr. 2 Lhaovo Baptist Church"/>
    <m/>
    <m/>
    <m/>
    <m/>
    <m/>
    <m/>
    <m/>
    <m/>
    <m/>
    <m/>
    <m/>
    <m/>
    <m/>
    <n v="88"/>
    <m/>
    <m/>
    <m/>
    <n v="0"/>
    <n v="0"/>
    <n v="0"/>
    <n v="0"/>
    <n v="0"/>
    <n v="0"/>
    <n v="0"/>
    <n v="0"/>
    <n v="0"/>
    <n v="0"/>
    <n v="0"/>
    <n v="0"/>
    <n v="0"/>
    <n v="0"/>
    <x v="1"/>
    <n v="0"/>
    <s v="MMR001CMP032"/>
    <x v="2"/>
    <x v="1"/>
    <x v="2"/>
    <n v="0"/>
    <m/>
    <m/>
  </r>
  <r>
    <n v="31.333333333333332"/>
    <d v="2013-12-23T00:00:00"/>
    <x v="5"/>
    <s v="KBC"/>
    <s v="Kachin"/>
    <s v="Waingmaw"/>
    <s v="Qtr. 2 Lhaovo Baptist Church"/>
    <m/>
    <m/>
    <m/>
    <m/>
    <m/>
    <m/>
    <m/>
    <m/>
    <m/>
    <m/>
    <n v="59"/>
    <n v="196"/>
    <n v="510"/>
    <n v="255"/>
    <m/>
    <m/>
    <m/>
    <n v="0"/>
    <n v="0"/>
    <n v="0"/>
    <n v="0"/>
    <n v="0"/>
    <n v="0"/>
    <n v="0"/>
    <n v="0"/>
    <n v="0"/>
    <n v="0"/>
    <n v="0"/>
    <n v="0"/>
    <n v="0"/>
    <n v="0"/>
    <x v="1"/>
    <n v="0"/>
    <s v="MMR001CMP032"/>
    <x v="2"/>
    <x v="1"/>
    <x v="2"/>
    <n v="0"/>
    <m/>
    <m/>
  </r>
  <r>
    <n v="48.8"/>
    <d v="2012-07-17T00:00:00"/>
    <x v="0"/>
    <s v="UNHCR"/>
    <s v="Kachin"/>
    <s v="Momauk"/>
    <s v="Pa Kahtawng "/>
    <m/>
    <m/>
    <m/>
    <n v="0"/>
    <n v="0"/>
    <n v="0"/>
    <n v="0"/>
    <n v="0"/>
    <m/>
    <m/>
    <m/>
    <m/>
    <m/>
    <m/>
    <m/>
    <m/>
    <m/>
    <n v="0"/>
    <n v="0"/>
    <n v="0"/>
    <n v="0"/>
    <n v="0"/>
    <n v="0"/>
    <n v="0"/>
    <n v="0"/>
    <n v="0"/>
    <n v="0"/>
    <n v="0"/>
    <n v="0"/>
    <n v="0"/>
    <n v="0"/>
    <x v="0"/>
    <n v="0"/>
    <s v="MMR001CMP126"/>
    <x v="2"/>
    <x v="1"/>
    <x v="5"/>
    <n v="0"/>
    <s v="No"/>
    <m/>
  </r>
  <r>
    <n v="48.8"/>
    <d v="2012-07-17T00:00:00"/>
    <x v="0"/>
    <s v="UNHCR"/>
    <s v="Kachin"/>
    <s v="Momauk"/>
    <s v="Pa Kahtawng "/>
    <m/>
    <m/>
    <m/>
    <n v="0"/>
    <n v="0"/>
    <n v="0"/>
    <n v="0"/>
    <n v="0"/>
    <m/>
    <m/>
    <m/>
    <m/>
    <m/>
    <m/>
    <m/>
    <m/>
    <m/>
    <n v="0"/>
    <n v="0"/>
    <n v="0"/>
    <n v="0"/>
    <n v="0"/>
    <n v="0"/>
    <n v="0"/>
    <n v="0"/>
    <n v="0"/>
    <n v="0"/>
    <n v="0"/>
    <n v="0"/>
    <n v="0"/>
    <n v="0"/>
    <x v="0"/>
    <n v="0"/>
    <s v="MMR001CMP126"/>
    <x v="2"/>
    <x v="1"/>
    <x v="5"/>
    <n v="0"/>
    <s v="No"/>
    <m/>
  </r>
  <r>
    <n v="48.8"/>
    <d v="2012-07-17T00:00:00"/>
    <x v="0"/>
    <s v="UNHCR"/>
    <s v="Kachin"/>
    <s v="Myitkyina"/>
    <s v="Shatapru Thida Aye Baptist Church"/>
    <m/>
    <m/>
    <m/>
    <n v="3"/>
    <n v="3"/>
    <n v="3"/>
    <n v="3"/>
    <n v="3"/>
    <n v="3"/>
    <n v="3"/>
    <m/>
    <m/>
    <m/>
    <m/>
    <m/>
    <m/>
    <m/>
    <n v="0"/>
    <n v="0"/>
    <n v="0"/>
    <n v="0"/>
    <n v="0"/>
    <n v="0"/>
    <n v="0"/>
    <n v="0"/>
    <n v="0"/>
    <n v="0"/>
    <n v="0"/>
    <n v="0"/>
    <n v="0"/>
    <n v="0"/>
    <x v="0"/>
    <n v="0"/>
    <s v="MMR001CMP007"/>
    <x v="2"/>
    <x v="1"/>
    <x v="2"/>
    <n v="0.13636363636363635"/>
    <s v="No"/>
    <m/>
  </r>
  <r>
    <n v="42.2"/>
    <d v="2013-01-31T00:00:00"/>
    <x v="7"/>
    <s v="World Vision"/>
    <s v="Kachin"/>
    <s v="Waingmaw"/>
    <s v="Qtr. 2 Lhaovo Baptist Church"/>
    <m/>
    <m/>
    <m/>
    <m/>
    <m/>
    <n v="184"/>
    <m/>
    <m/>
    <n v="0"/>
    <n v="0"/>
    <m/>
    <m/>
    <m/>
    <m/>
    <m/>
    <m/>
    <m/>
    <n v="0"/>
    <n v="0"/>
    <n v="0"/>
    <n v="0"/>
    <n v="0"/>
    <n v="0"/>
    <n v="0"/>
    <n v="0"/>
    <n v="0"/>
    <n v="0"/>
    <n v="0"/>
    <n v="0"/>
    <n v="0"/>
    <n v="0"/>
    <x v="0"/>
    <n v="0"/>
    <s v="MMR001CMP032"/>
    <x v="2"/>
    <x v="1"/>
    <x v="2"/>
    <n v="0"/>
    <s v="No"/>
    <m/>
  </r>
  <r>
    <n v="43.233333333333334"/>
    <d v="2012-12-31T00:00:00"/>
    <x v="3"/>
    <s v="DRC"/>
    <s v="Kachin"/>
    <s v="Waingmaw"/>
    <s v="Qtr. 2 Lhaovo Baptist Church"/>
    <n v="92"/>
    <m/>
    <m/>
    <m/>
    <m/>
    <m/>
    <m/>
    <m/>
    <n v="0"/>
    <n v="0"/>
    <m/>
    <m/>
    <m/>
    <m/>
    <m/>
    <m/>
    <m/>
    <n v="0"/>
    <n v="0"/>
    <n v="0"/>
    <n v="0"/>
    <n v="0"/>
    <n v="0"/>
    <n v="0"/>
    <n v="0"/>
    <n v="0"/>
    <n v="0"/>
    <n v="0"/>
    <n v="0"/>
    <n v="0"/>
    <n v="0"/>
    <x v="0"/>
    <n v="0"/>
    <s v="MMR001CMP032"/>
    <x v="2"/>
    <x v="1"/>
    <x v="2"/>
    <n v="0"/>
    <s v="No"/>
    <m/>
  </r>
  <r>
    <n v="48.8"/>
    <d v="2012-07-17T00:00:00"/>
    <x v="0"/>
    <s v="UNHCR"/>
    <s v="Kachin"/>
    <s v="Myitkyina"/>
    <s v="Tat Kone Galile Baptist Church"/>
    <m/>
    <m/>
    <m/>
    <n v="7"/>
    <n v="7"/>
    <n v="7"/>
    <n v="7"/>
    <n v="7"/>
    <n v="7"/>
    <n v="7"/>
    <m/>
    <m/>
    <m/>
    <m/>
    <m/>
    <m/>
    <m/>
    <n v="0"/>
    <n v="0"/>
    <n v="0"/>
    <n v="0"/>
    <n v="0"/>
    <n v="0"/>
    <n v="0"/>
    <n v="0"/>
    <n v="0"/>
    <n v="0"/>
    <n v="0"/>
    <n v="0"/>
    <n v="0"/>
    <n v="0"/>
    <x v="0"/>
    <n v="0"/>
    <s v="MMR001CMP003"/>
    <x v="2"/>
    <x v="1"/>
    <x v="2"/>
    <n v="0.21875"/>
    <s v="No"/>
    <m/>
  </r>
  <r>
    <n v="48.833333333333336"/>
    <d v="2012-07-16T00:00:00"/>
    <x v="0"/>
    <s v="UNHCR"/>
    <s v="Kachin"/>
    <s v="Myitkyina"/>
    <s v="Kyun Pin Thar Baptist Church"/>
    <m/>
    <m/>
    <m/>
    <n v="33"/>
    <n v="33"/>
    <n v="33"/>
    <n v="33"/>
    <n v="33"/>
    <n v="33"/>
    <n v="33"/>
    <m/>
    <m/>
    <m/>
    <m/>
    <m/>
    <m/>
    <m/>
    <n v="0"/>
    <n v="0"/>
    <n v="0"/>
    <n v="0"/>
    <n v="0"/>
    <n v="0"/>
    <n v="0"/>
    <n v="0"/>
    <n v="0"/>
    <n v="0"/>
    <n v="0"/>
    <n v="0"/>
    <n v="0"/>
    <n v="0"/>
    <x v="0"/>
    <n v="0"/>
    <s v="MMR001CMP013"/>
    <x v="2"/>
    <x v="1"/>
    <x v="2"/>
    <n v="0.75"/>
    <s v="No"/>
    <m/>
  </r>
  <r>
    <n v="48.833333333333336"/>
    <d v="2012-07-16T00:00:00"/>
    <x v="0"/>
    <s v="UNHCR"/>
    <s v="Kachin"/>
    <s v="Myitkyina"/>
    <s v="Le Kone Bethlehem Church"/>
    <m/>
    <m/>
    <m/>
    <n v="6"/>
    <n v="6"/>
    <n v="6"/>
    <n v="6"/>
    <n v="6"/>
    <n v="6"/>
    <n v="6"/>
    <m/>
    <m/>
    <m/>
    <m/>
    <m/>
    <m/>
    <m/>
    <n v="0"/>
    <n v="0"/>
    <n v="0"/>
    <n v="0"/>
    <n v="0"/>
    <n v="0"/>
    <n v="0"/>
    <n v="0"/>
    <n v="0"/>
    <n v="0"/>
    <n v="0"/>
    <n v="0"/>
    <n v="0"/>
    <n v="0"/>
    <x v="0"/>
    <n v="0"/>
    <s v="MMR001CMP015"/>
    <x v="2"/>
    <x v="1"/>
    <x v="2"/>
    <n v="6.25E-2"/>
    <s v="No"/>
    <m/>
  </r>
  <r>
    <n v="48.833333333333336"/>
    <d v="2012-07-16T00:00:00"/>
    <x v="0"/>
    <s v="UNHCR"/>
    <s v="Kachin"/>
    <s v="Myitkyina"/>
    <s v="Le Kone Bethlehem Church"/>
    <m/>
    <m/>
    <m/>
    <n v="13"/>
    <n v="13"/>
    <n v="13"/>
    <n v="13"/>
    <n v="13"/>
    <n v="13"/>
    <n v="13"/>
    <m/>
    <m/>
    <m/>
    <m/>
    <m/>
    <m/>
    <m/>
    <n v="0"/>
    <n v="0"/>
    <n v="0"/>
    <n v="0"/>
    <n v="0"/>
    <n v="0"/>
    <n v="0"/>
    <n v="0"/>
    <n v="0"/>
    <n v="0"/>
    <n v="0"/>
    <n v="0"/>
    <n v="0"/>
    <n v="0"/>
    <x v="0"/>
    <n v="0"/>
    <s v="MMR001CMP015"/>
    <x v="2"/>
    <x v="1"/>
    <x v="2"/>
    <n v="0.13541666666666666"/>
    <s v="No"/>
    <m/>
  </r>
  <r>
    <n v="48.833333333333336"/>
    <d v="2012-07-16T00:00:00"/>
    <x v="0"/>
    <s v="UNHCR"/>
    <s v="Kachin"/>
    <s v="Myitkyina"/>
    <s v="Le Kone Ziun Baptist Church "/>
    <m/>
    <m/>
    <m/>
    <n v="50"/>
    <n v="50"/>
    <n v="50"/>
    <n v="50"/>
    <n v="50"/>
    <n v="50"/>
    <n v="50"/>
    <m/>
    <m/>
    <m/>
    <m/>
    <m/>
    <m/>
    <m/>
    <n v="0"/>
    <n v="0"/>
    <n v="0"/>
    <n v="0"/>
    <n v="0"/>
    <n v="0"/>
    <n v="0"/>
    <n v="0"/>
    <n v="0"/>
    <n v="0"/>
    <n v="0"/>
    <n v="0"/>
    <n v="0"/>
    <n v="0"/>
    <x v="0"/>
    <n v="0"/>
    <s v="MMR001CMP014"/>
    <x v="2"/>
    <x v="1"/>
    <x v="2"/>
    <n v="0.36231884057971014"/>
    <s v="No"/>
    <m/>
  </r>
  <r>
    <n v="26.333333333333332"/>
    <d v="2014-05-22T00:00:00"/>
    <x v="6"/>
    <s v="MRCS"/>
    <s v="Kachin"/>
    <s v="Waingmaw"/>
    <s v="Qtr. 2 Myoma Baptist Church"/>
    <m/>
    <m/>
    <m/>
    <m/>
    <m/>
    <m/>
    <m/>
    <m/>
    <m/>
    <m/>
    <m/>
    <m/>
    <m/>
    <n v="140"/>
    <m/>
    <m/>
    <m/>
    <n v="0"/>
    <n v="0"/>
    <n v="0"/>
    <n v="0"/>
    <n v="0"/>
    <n v="0"/>
    <n v="0"/>
    <n v="0"/>
    <n v="0"/>
    <n v="0"/>
    <n v="0"/>
    <n v="0"/>
    <n v="0"/>
    <n v="0"/>
    <x v="1"/>
    <n v="0"/>
    <s v="MMR001CMP025"/>
    <x v="2"/>
    <x v="1"/>
    <x v="2"/>
    <n v="0"/>
    <m/>
    <m/>
  </r>
  <r>
    <n v="31.533333333333335"/>
    <d v="2013-12-17T00:00:00"/>
    <x v="5"/>
    <s v="KBC"/>
    <s v="Kachin"/>
    <s v="Waingmaw"/>
    <s v="Qtr. 2 Myoma Baptist Church"/>
    <m/>
    <m/>
    <m/>
    <m/>
    <m/>
    <m/>
    <m/>
    <m/>
    <m/>
    <m/>
    <n v="73"/>
    <n v="146"/>
    <n v="438"/>
    <n v="219"/>
    <m/>
    <m/>
    <m/>
    <n v="0"/>
    <n v="0"/>
    <n v="0"/>
    <n v="0"/>
    <n v="0"/>
    <n v="0"/>
    <n v="0"/>
    <n v="0"/>
    <n v="0"/>
    <n v="0"/>
    <n v="0"/>
    <n v="0"/>
    <n v="0"/>
    <n v="0"/>
    <x v="1"/>
    <n v="0"/>
    <s v="MMR001CMP025"/>
    <x v="2"/>
    <x v="1"/>
    <x v="2"/>
    <n v="0"/>
    <m/>
    <m/>
  </r>
  <r>
    <n v="32.1"/>
    <d v="2013-11-30T00:00:00"/>
    <x v="5"/>
    <s v="KBC"/>
    <s v="Kachin"/>
    <s v="Waingmaw"/>
    <s v="Qtr. 2 Myoma Baptist Church"/>
    <m/>
    <m/>
    <m/>
    <m/>
    <m/>
    <m/>
    <m/>
    <m/>
    <m/>
    <m/>
    <m/>
    <m/>
    <m/>
    <m/>
    <m/>
    <m/>
    <m/>
    <n v="0"/>
    <n v="0"/>
    <n v="0"/>
    <n v="0"/>
    <n v="0"/>
    <n v="0"/>
    <n v="0"/>
    <n v="0"/>
    <n v="0"/>
    <n v="0"/>
    <n v="0"/>
    <n v="0"/>
    <n v="0"/>
    <n v="0"/>
    <x v="0"/>
    <n v="0"/>
    <s v="MMR001CMP025"/>
    <x v="2"/>
    <x v="1"/>
    <x v="2"/>
    <n v="0"/>
    <s v="No"/>
    <m/>
  </r>
  <r>
    <n v="48.833333333333336"/>
    <d v="2012-07-16T00:00:00"/>
    <x v="0"/>
    <s v="UNHCR"/>
    <s v="Kachin"/>
    <s v="Myitkyina"/>
    <s v="Maliyang Baptist Church"/>
    <m/>
    <m/>
    <m/>
    <n v="3"/>
    <n v="3"/>
    <n v="3"/>
    <n v="3"/>
    <n v="3"/>
    <n v="3"/>
    <n v="3"/>
    <m/>
    <m/>
    <m/>
    <m/>
    <m/>
    <m/>
    <m/>
    <n v="0"/>
    <n v="0"/>
    <n v="0"/>
    <n v="0"/>
    <n v="0"/>
    <n v="0"/>
    <n v="0"/>
    <n v="0"/>
    <n v="0"/>
    <n v="0"/>
    <n v="0"/>
    <n v="0"/>
    <n v="0"/>
    <n v="0"/>
    <x v="0"/>
    <n v="0"/>
    <s v="MMR001CMP016"/>
    <x v="2"/>
    <x v="1"/>
    <x v="2"/>
    <n v="0.05"/>
    <s v="No"/>
    <m/>
  </r>
  <r>
    <n v="42.2"/>
    <d v="2013-01-31T00:00:00"/>
    <x v="7"/>
    <s v="World Vision"/>
    <s v="Kachin"/>
    <s v="Waingmaw"/>
    <s v="Qtr. 2 Myoma Baptist Church"/>
    <m/>
    <m/>
    <m/>
    <m/>
    <m/>
    <n v="242"/>
    <m/>
    <m/>
    <n v="0"/>
    <n v="0"/>
    <m/>
    <m/>
    <m/>
    <m/>
    <m/>
    <m/>
    <m/>
    <n v="0"/>
    <n v="0"/>
    <n v="0"/>
    <n v="0"/>
    <n v="0"/>
    <n v="0"/>
    <n v="0"/>
    <n v="0"/>
    <n v="0"/>
    <n v="0"/>
    <n v="0"/>
    <n v="0"/>
    <n v="0"/>
    <n v="0"/>
    <x v="0"/>
    <n v="0"/>
    <s v="MMR001CMP025"/>
    <x v="2"/>
    <x v="1"/>
    <x v="2"/>
    <n v="0"/>
    <s v="No"/>
    <m/>
  </r>
  <r>
    <n v="48.833333333333336"/>
    <d v="2012-07-16T00:00:00"/>
    <x v="0"/>
    <s v="UNHCR"/>
    <s v="Kachin"/>
    <s v="Myitkyina"/>
    <s v="Njang Dung Baptist Church "/>
    <m/>
    <m/>
    <m/>
    <n v="25"/>
    <n v="25"/>
    <n v="25"/>
    <n v="25"/>
    <n v="25"/>
    <n v="25"/>
    <n v="25"/>
    <m/>
    <m/>
    <m/>
    <m/>
    <m/>
    <m/>
    <m/>
    <n v="0"/>
    <n v="0"/>
    <n v="0"/>
    <n v="0"/>
    <n v="0"/>
    <n v="0"/>
    <n v="0"/>
    <n v="0"/>
    <n v="0"/>
    <n v="0"/>
    <n v="0"/>
    <n v="0"/>
    <n v="0"/>
    <n v="0"/>
    <x v="0"/>
    <n v="0"/>
    <s v="MMR001CMP002"/>
    <x v="2"/>
    <x v="1"/>
    <x v="2"/>
    <n v="0.41666666666666669"/>
    <s v="No"/>
    <m/>
  </r>
  <r>
    <n v="48.93333333333333"/>
    <d v="2012-07-13T00:00:00"/>
    <x v="0"/>
    <s v="UNHCR"/>
    <s v="Kachin"/>
    <s v="Waingmaw"/>
    <s v="Hkat Cho "/>
    <m/>
    <m/>
    <m/>
    <n v="9"/>
    <n v="9"/>
    <n v="9"/>
    <n v="9"/>
    <n v="9"/>
    <n v="9"/>
    <n v="9"/>
    <m/>
    <m/>
    <m/>
    <m/>
    <m/>
    <m/>
    <m/>
    <n v="0"/>
    <n v="0"/>
    <n v="0"/>
    <n v="0"/>
    <n v="0"/>
    <n v="0"/>
    <n v="0"/>
    <n v="0"/>
    <n v="0"/>
    <n v="0"/>
    <n v="0"/>
    <n v="0"/>
    <n v="0"/>
    <n v="0"/>
    <x v="0"/>
    <n v="0"/>
    <s v="MMR001CMP028"/>
    <x v="2"/>
    <x v="1"/>
    <x v="2"/>
    <n v="9.0909090909090912E-2"/>
    <s v="No"/>
    <m/>
  </r>
  <r>
    <n v="26.433333333333334"/>
    <d v="2014-05-19T00:00:00"/>
    <x v="6"/>
    <s v="MRCS"/>
    <s v="Kachin"/>
    <s v="Waingmaw"/>
    <s v="Qtr. 3 Mu-yin  Baptist Church"/>
    <m/>
    <m/>
    <m/>
    <m/>
    <m/>
    <m/>
    <m/>
    <m/>
    <m/>
    <m/>
    <m/>
    <m/>
    <m/>
    <n v="60"/>
    <m/>
    <m/>
    <m/>
    <n v="0"/>
    <n v="0"/>
    <n v="0"/>
    <n v="0"/>
    <n v="0"/>
    <n v="0"/>
    <n v="0"/>
    <n v="0"/>
    <n v="0"/>
    <n v="0"/>
    <n v="0"/>
    <n v="0"/>
    <n v="0"/>
    <n v="0"/>
    <x v="1"/>
    <n v="0"/>
    <s v="MMR001CMP030"/>
    <x v="2"/>
    <x v="1"/>
    <x v="2"/>
    <n v="0"/>
    <m/>
    <m/>
  </r>
  <r>
    <n v="31.5"/>
    <d v="2013-12-18T00:00:00"/>
    <x v="5"/>
    <s v="KBC"/>
    <s v="Kachin"/>
    <s v="Waingmaw"/>
    <s v="Qtr. 3 Mu-yin  Baptist Church"/>
    <m/>
    <m/>
    <m/>
    <m/>
    <m/>
    <m/>
    <m/>
    <m/>
    <m/>
    <m/>
    <n v="30"/>
    <n v="57"/>
    <n v="174"/>
    <n v="87"/>
    <m/>
    <m/>
    <m/>
    <n v="0"/>
    <n v="0"/>
    <n v="0"/>
    <n v="0"/>
    <n v="0"/>
    <n v="0"/>
    <n v="0"/>
    <n v="0"/>
    <n v="0"/>
    <n v="0"/>
    <n v="0"/>
    <n v="0"/>
    <n v="0"/>
    <n v="0"/>
    <x v="1"/>
    <n v="0"/>
    <s v="MMR001CMP030"/>
    <x v="2"/>
    <x v="1"/>
    <x v="2"/>
    <n v="0"/>
    <m/>
    <m/>
  </r>
  <r>
    <n v="32.1"/>
    <d v="2013-11-30T00:00:00"/>
    <x v="5"/>
    <s v="KBC"/>
    <s v="Kachin"/>
    <s v="Waingmaw"/>
    <s v="Qtr. 3 Mu-yin  Baptist Church"/>
    <m/>
    <m/>
    <m/>
    <m/>
    <m/>
    <m/>
    <m/>
    <m/>
    <m/>
    <m/>
    <m/>
    <m/>
    <m/>
    <m/>
    <m/>
    <m/>
    <m/>
    <n v="0"/>
    <n v="0"/>
    <n v="0"/>
    <n v="0"/>
    <n v="0"/>
    <n v="0"/>
    <n v="0"/>
    <n v="0"/>
    <n v="0"/>
    <n v="0"/>
    <n v="0"/>
    <n v="0"/>
    <n v="0"/>
    <n v="0"/>
    <x v="0"/>
    <n v="0"/>
    <s v="MMR001CMP030"/>
    <x v="2"/>
    <x v="1"/>
    <x v="2"/>
    <n v="0"/>
    <s v="No"/>
    <m/>
  </r>
  <r>
    <n v="42.2"/>
    <d v="2013-01-31T00:00:00"/>
    <x v="7"/>
    <s v="World Vision"/>
    <s v="Kachin"/>
    <s v="Waingmaw"/>
    <s v="Qtr. 3 Mu-yin  Baptist Church"/>
    <m/>
    <m/>
    <m/>
    <m/>
    <m/>
    <n v="54"/>
    <m/>
    <m/>
    <n v="0"/>
    <n v="0"/>
    <m/>
    <m/>
    <m/>
    <m/>
    <m/>
    <m/>
    <m/>
    <n v="0"/>
    <n v="0"/>
    <n v="0"/>
    <n v="0"/>
    <n v="0"/>
    <n v="0"/>
    <n v="0"/>
    <n v="0"/>
    <n v="0"/>
    <n v="0"/>
    <n v="0"/>
    <n v="0"/>
    <n v="0"/>
    <n v="0"/>
    <x v="0"/>
    <n v="0"/>
    <s v="MMR001CMP030"/>
    <x v="2"/>
    <x v="1"/>
    <x v="2"/>
    <n v="0"/>
    <s v="No"/>
    <m/>
  </r>
  <r>
    <n v="43.233333333333334"/>
    <d v="2012-12-31T00:00:00"/>
    <x v="3"/>
    <s v="DRC"/>
    <s v="Kachin"/>
    <s v="Waingmaw"/>
    <s v="Qtr. 3 Mu-yin  Baptist Church"/>
    <n v="27"/>
    <m/>
    <m/>
    <m/>
    <m/>
    <m/>
    <m/>
    <m/>
    <n v="0"/>
    <n v="0"/>
    <m/>
    <m/>
    <m/>
    <m/>
    <m/>
    <m/>
    <m/>
    <n v="0"/>
    <n v="0"/>
    <n v="0"/>
    <n v="0"/>
    <n v="0"/>
    <n v="0"/>
    <n v="0"/>
    <n v="0"/>
    <n v="0"/>
    <n v="0"/>
    <n v="0"/>
    <n v="0"/>
    <n v="0"/>
    <n v="0"/>
    <x v="0"/>
    <n v="0"/>
    <s v="MMR001CMP030"/>
    <x v="2"/>
    <x v="1"/>
    <x v="2"/>
    <n v="0"/>
    <s v="No"/>
    <m/>
  </r>
  <r>
    <n v="48.93333333333333"/>
    <d v="2012-07-13T00:00:00"/>
    <x v="0"/>
    <s v="UNHCR"/>
    <s v="Kachin"/>
    <s v="Waingmaw"/>
    <s v="Maina Lawang Baptist Church"/>
    <m/>
    <m/>
    <m/>
    <n v="6"/>
    <n v="6"/>
    <n v="6"/>
    <n v="6"/>
    <n v="6"/>
    <n v="6"/>
    <n v="6"/>
    <m/>
    <m/>
    <m/>
    <m/>
    <m/>
    <m/>
    <m/>
    <n v="0"/>
    <n v="0"/>
    <n v="0"/>
    <n v="0"/>
    <n v="0"/>
    <n v="0"/>
    <n v="0"/>
    <n v="0"/>
    <n v="0"/>
    <n v="0"/>
    <n v="0"/>
    <n v="0"/>
    <n v="0"/>
    <n v="0"/>
    <x v="0"/>
    <n v="0"/>
    <s v="MMR001CMP039"/>
    <x v="2"/>
    <x v="1"/>
    <x v="2"/>
    <n v="0.13043478260869565"/>
    <s v="No"/>
    <m/>
  </r>
  <r>
    <n v="48.93333333333333"/>
    <d v="2012-07-13T00:00:00"/>
    <x v="0"/>
    <s v="UNHCR"/>
    <s v="Kachin"/>
    <s v="Waingmaw"/>
    <s v="Qtr. 2 Lhaovo Baptist Church"/>
    <m/>
    <m/>
    <m/>
    <n v="13"/>
    <n v="13"/>
    <n v="13"/>
    <n v="13"/>
    <n v="13"/>
    <n v="13"/>
    <n v="13"/>
    <m/>
    <m/>
    <m/>
    <m/>
    <m/>
    <m/>
    <m/>
    <n v="0"/>
    <n v="0"/>
    <n v="0"/>
    <n v="0"/>
    <n v="0"/>
    <n v="0"/>
    <n v="0"/>
    <n v="0"/>
    <n v="0"/>
    <n v="0"/>
    <n v="0"/>
    <n v="0"/>
    <n v="0"/>
    <n v="0"/>
    <x v="0"/>
    <n v="0"/>
    <s v="MMR001CMP032"/>
    <x v="2"/>
    <x v="1"/>
    <x v="2"/>
    <n v="0.14285714285714285"/>
    <s v="No"/>
    <m/>
  </r>
  <r>
    <n v="48.93333333333333"/>
    <d v="2012-07-13T00:00:00"/>
    <x v="0"/>
    <s v="UNHCR"/>
    <s v="Kachin"/>
    <s v="Waingmaw"/>
    <s v="Qtr. 4 Monestry (Thargaya Thayett Taw)"/>
    <m/>
    <m/>
    <m/>
    <n v="3"/>
    <n v="3"/>
    <n v="3"/>
    <n v="3"/>
    <n v="3"/>
    <n v="3"/>
    <n v="3"/>
    <m/>
    <m/>
    <m/>
    <m/>
    <m/>
    <m/>
    <m/>
    <n v="0"/>
    <n v="0"/>
    <n v="0"/>
    <n v="0"/>
    <n v="0"/>
    <n v="0"/>
    <n v="0"/>
    <n v="0"/>
    <n v="0"/>
    <n v="0"/>
    <n v="0"/>
    <n v="0"/>
    <n v="0"/>
    <n v="0"/>
    <x v="0"/>
    <n v="0"/>
    <s v="MMR001CMP026"/>
    <x v="2"/>
    <x v="1"/>
    <x v="2"/>
    <n v="3.4090909090909088E-2"/>
    <s v="No"/>
    <m/>
  </r>
  <r>
    <n v="48.93333333333333"/>
    <d v="2012-07-13T00:00:00"/>
    <x v="0"/>
    <s v="UNHCR"/>
    <s v="Kachin"/>
    <s v="Waingmaw"/>
    <s v="Thargaya Lisu Baptist Church"/>
    <m/>
    <m/>
    <m/>
    <n v="8"/>
    <n v="8"/>
    <n v="8"/>
    <n v="8"/>
    <n v="8"/>
    <n v="8"/>
    <n v="8"/>
    <m/>
    <m/>
    <m/>
    <m/>
    <m/>
    <m/>
    <m/>
    <n v="0"/>
    <n v="0"/>
    <n v="0"/>
    <n v="0"/>
    <n v="0"/>
    <n v="0"/>
    <n v="0"/>
    <n v="0"/>
    <n v="0"/>
    <n v="0"/>
    <n v="0"/>
    <n v="0"/>
    <n v="0"/>
    <n v="0"/>
    <x v="0"/>
    <n v="0"/>
    <s v="MMR001CMP037"/>
    <x v="2"/>
    <x v="1"/>
    <x v="2"/>
    <n v="0.18181818181818182"/>
    <s v="No"/>
    <m/>
  </r>
  <r>
    <n v="26.233333333333334"/>
    <d v="2014-05-25T00:00:00"/>
    <x v="6"/>
    <s v="MRCS"/>
    <s v="Kachin"/>
    <s v="Waingmaw"/>
    <s v="Qtr. 4 Monestry (Thargaya Thayett Taw)"/>
    <m/>
    <m/>
    <m/>
    <m/>
    <m/>
    <m/>
    <m/>
    <m/>
    <m/>
    <m/>
    <m/>
    <m/>
    <m/>
    <n v="182"/>
    <m/>
    <m/>
    <m/>
    <n v="0"/>
    <n v="0"/>
    <n v="0"/>
    <n v="0"/>
    <n v="0"/>
    <n v="0"/>
    <n v="0"/>
    <n v="0"/>
    <n v="0"/>
    <n v="0"/>
    <n v="0"/>
    <n v="0"/>
    <n v="0"/>
    <n v="0"/>
    <x v="1"/>
    <n v="0"/>
    <s v="MMR001CMP026"/>
    <x v="2"/>
    <x v="1"/>
    <x v="2"/>
    <n v="0"/>
    <m/>
    <m/>
  </r>
  <r>
    <n v="31.433333333333334"/>
    <d v="2013-12-20T00:00:00"/>
    <x v="5"/>
    <s v="KBC"/>
    <s v="Kachin"/>
    <s v="Waingmaw"/>
    <s v="Qtr. 4 Monestry (Thargaya Thayett Taw)"/>
    <m/>
    <m/>
    <m/>
    <m/>
    <m/>
    <m/>
    <m/>
    <m/>
    <m/>
    <m/>
    <n v="102"/>
    <n v="188"/>
    <n v="580"/>
    <n v="290"/>
    <m/>
    <m/>
    <m/>
    <n v="0"/>
    <n v="0"/>
    <n v="0"/>
    <n v="0"/>
    <n v="0"/>
    <n v="0"/>
    <n v="0"/>
    <n v="0"/>
    <n v="0"/>
    <n v="0"/>
    <n v="0"/>
    <n v="0"/>
    <n v="0"/>
    <n v="0"/>
    <x v="1"/>
    <n v="0"/>
    <s v="MMR001CMP026"/>
    <x v="2"/>
    <x v="1"/>
    <x v="2"/>
    <n v="0"/>
    <m/>
    <m/>
  </r>
  <r>
    <n v="32.1"/>
    <d v="2013-11-30T00:00:00"/>
    <x v="5"/>
    <s v="KBC"/>
    <s v="Kachin"/>
    <s v="Waingmaw"/>
    <s v="Qtr. 4 Monestry (Thargaya Thayett Taw)"/>
    <m/>
    <m/>
    <m/>
    <m/>
    <m/>
    <m/>
    <m/>
    <m/>
    <m/>
    <m/>
    <m/>
    <m/>
    <m/>
    <m/>
    <m/>
    <m/>
    <m/>
    <n v="0"/>
    <n v="0"/>
    <n v="0"/>
    <n v="0"/>
    <n v="0"/>
    <n v="0"/>
    <n v="0"/>
    <n v="0"/>
    <n v="0"/>
    <n v="0"/>
    <n v="0"/>
    <n v="0"/>
    <n v="0"/>
    <n v="0"/>
    <x v="0"/>
    <n v="0"/>
    <s v="MMR001CMP026"/>
    <x v="2"/>
    <x v="1"/>
    <x v="2"/>
    <n v="0"/>
    <s v="No"/>
    <m/>
  </r>
  <r>
    <n v="48.93333333333333"/>
    <d v="2012-07-13T00:00:00"/>
    <x v="0"/>
    <s v="UNHCR"/>
    <s v="Kachin"/>
    <s v="Waingmaw"/>
    <s v="Waingmaw Baptist Zonal Office"/>
    <m/>
    <m/>
    <m/>
    <n v="2"/>
    <n v="2"/>
    <n v="2"/>
    <n v="2"/>
    <n v="2"/>
    <n v="2"/>
    <n v="2"/>
    <m/>
    <m/>
    <m/>
    <m/>
    <m/>
    <m/>
    <m/>
    <n v="0"/>
    <n v="0"/>
    <n v="0"/>
    <n v="0"/>
    <n v="0"/>
    <n v="0"/>
    <n v="0"/>
    <n v="0"/>
    <n v="0"/>
    <n v="0"/>
    <n v="0"/>
    <n v="0"/>
    <n v="0"/>
    <n v="0"/>
    <x v="0"/>
    <n v="0"/>
    <s v="MMR001CMP036"/>
    <x v="2"/>
    <x v="2"/>
    <x v="2"/>
    <s v=""/>
    <s v="No"/>
    <m/>
  </r>
  <r>
    <n v="42.033333333333331"/>
    <d v="2013-02-05T00:00:00"/>
    <x v="2"/>
    <s v="MRCS"/>
    <s v="Kachin"/>
    <s v="Waingmaw"/>
    <s v="Qtr. 4 Monestry (Thargaya Thayett Taw)"/>
    <n v="20"/>
    <m/>
    <m/>
    <m/>
    <m/>
    <m/>
    <m/>
    <m/>
    <n v="0"/>
    <n v="0"/>
    <m/>
    <m/>
    <m/>
    <m/>
    <m/>
    <m/>
    <m/>
    <n v="0"/>
    <n v="0"/>
    <n v="0"/>
    <n v="0"/>
    <n v="0"/>
    <n v="0"/>
    <n v="0"/>
    <n v="0"/>
    <n v="0"/>
    <n v="0"/>
    <n v="0"/>
    <n v="0"/>
    <n v="0"/>
    <n v="0"/>
    <x v="0"/>
    <n v="0"/>
    <s v="MMR001CMP026"/>
    <x v="2"/>
    <x v="1"/>
    <x v="2"/>
    <n v="0"/>
    <s v="No"/>
    <m/>
  </r>
  <r>
    <n v="42.2"/>
    <d v="2013-01-31T00:00:00"/>
    <x v="7"/>
    <s v="World Vision"/>
    <s v="Kachin"/>
    <s v="Waingmaw"/>
    <s v="Qtr. 4 Monestry (Thargaya Thayett Taw)"/>
    <m/>
    <m/>
    <m/>
    <m/>
    <m/>
    <n v="188"/>
    <m/>
    <m/>
    <n v="0"/>
    <n v="0"/>
    <m/>
    <m/>
    <m/>
    <m/>
    <m/>
    <m/>
    <m/>
    <n v="0"/>
    <n v="0"/>
    <n v="0"/>
    <n v="0"/>
    <n v="0"/>
    <n v="0"/>
    <n v="0"/>
    <n v="0"/>
    <n v="0"/>
    <n v="0"/>
    <n v="0"/>
    <n v="0"/>
    <n v="0"/>
    <n v="0"/>
    <x v="0"/>
    <n v="0"/>
    <s v="MMR001CMP026"/>
    <x v="2"/>
    <x v="1"/>
    <x v="2"/>
    <n v="0"/>
    <s v="No"/>
    <m/>
  </r>
  <r>
    <n v="43.233333333333334"/>
    <d v="2012-12-31T00:00:00"/>
    <x v="3"/>
    <s v="DRC"/>
    <s v="Kachin"/>
    <s v="Waingmaw"/>
    <s v="Qtr. 4 Monestry (Thargaya Thayett Taw)"/>
    <n v="96"/>
    <m/>
    <m/>
    <m/>
    <m/>
    <m/>
    <m/>
    <m/>
    <n v="0"/>
    <n v="0"/>
    <m/>
    <m/>
    <m/>
    <m/>
    <m/>
    <m/>
    <m/>
    <n v="0"/>
    <n v="0"/>
    <n v="0"/>
    <n v="0"/>
    <n v="0"/>
    <n v="0"/>
    <n v="0"/>
    <n v="0"/>
    <n v="0"/>
    <n v="0"/>
    <n v="0"/>
    <n v="0"/>
    <n v="0"/>
    <n v="0"/>
    <x v="0"/>
    <n v="0"/>
    <s v="MMR001CMP026"/>
    <x v="2"/>
    <x v="1"/>
    <x v="2"/>
    <n v="0"/>
    <s v="No"/>
    <m/>
  </r>
  <r>
    <n v="49.033333333333331"/>
    <d v="2012-07-10T00:00:00"/>
    <x v="0"/>
    <s v="KMSS"/>
    <s v="Kachin"/>
    <s v="Waingmaw"/>
    <s v="Maga Yang "/>
    <m/>
    <m/>
    <m/>
    <n v="0"/>
    <n v="599"/>
    <n v="675"/>
    <n v="599"/>
    <n v="0"/>
    <m/>
    <m/>
    <m/>
    <m/>
    <m/>
    <m/>
    <m/>
    <m/>
    <m/>
    <n v="0"/>
    <n v="0"/>
    <n v="0"/>
    <n v="0"/>
    <n v="0"/>
    <n v="0"/>
    <n v="0"/>
    <n v="0"/>
    <n v="0"/>
    <n v="0"/>
    <n v="0"/>
    <n v="0"/>
    <n v="0"/>
    <n v="0"/>
    <x v="0"/>
    <n v="0"/>
    <s v="MMR001CMP119"/>
    <x v="2"/>
    <x v="1"/>
    <x v="5"/>
    <n v="1.0221843003412969"/>
    <s v="No"/>
    <m/>
  </r>
  <r>
    <n v="49.06666666666667"/>
    <d v="2012-07-09T00:00:00"/>
    <x v="0"/>
    <s v="UNHCR"/>
    <s v="Kachin"/>
    <s v="Waingmaw"/>
    <s v="Qtr. 2 Lhaovo Baptist Church"/>
    <m/>
    <m/>
    <m/>
    <n v="77"/>
    <n v="34"/>
    <n v="77"/>
    <n v="35"/>
    <n v="52"/>
    <n v="52"/>
    <n v="52"/>
    <m/>
    <m/>
    <m/>
    <m/>
    <m/>
    <m/>
    <m/>
    <n v="0"/>
    <n v="0"/>
    <n v="0"/>
    <n v="0"/>
    <n v="0"/>
    <n v="0"/>
    <n v="0"/>
    <n v="0"/>
    <n v="0"/>
    <n v="0"/>
    <n v="0"/>
    <n v="0"/>
    <n v="0"/>
    <n v="0"/>
    <x v="0"/>
    <n v="0"/>
    <s v="MMR001CMP032"/>
    <x v="2"/>
    <x v="1"/>
    <x v="2"/>
    <n v="0.38461538461538464"/>
    <s v="No"/>
    <m/>
  </r>
  <r>
    <n v="49.1"/>
    <d v="2012-07-08T00:00:00"/>
    <x v="0"/>
    <s v="Shalom"/>
    <s v="Kachin"/>
    <s v="Momauk"/>
    <s v="Ni Thaw Ka Monestry"/>
    <n v="16"/>
    <m/>
    <m/>
    <m/>
    <m/>
    <m/>
    <m/>
    <m/>
    <m/>
    <m/>
    <m/>
    <m/>
    <m/>
    <m/>
    <m/>
    <m/>
    <m/>
    <n v="0"/>
    <n v="0"/>
    <n v="0"/>
    <n v="0"/>
    <n v="0"/>
    <n v="0"/>
    <n v="0"/>
    <n v="0"/>
    <n v="0"/>
    <n v="0"/>
    <n v="0"/>
    <n v="0"/>
    <n v="0"/>
    <n v="0"/>
    <x v="0"/>
    <n v="0"/>
    <s v="MMR001CMP059"/>
    <x v="2"/>
    <x v="2"/>
    <x v="2"/>
    <s v=""/>
    <m/>
    <m/>
  </r>
  <r>
    <n v="49.166666666666664"/>
    <d v="2012-07-06T00:00:00"/>
    <x v="0"/>
    <s v="UNHCR"/>
    <s v="Kachin"/>
    <s v="Waingmaw"/>
    <s v="Waingmaw AG Church"/>
    <m/>
    <m/>
    <m/>
    <n v="17"/>
    <n v="17"/>
    <n v="17"/>
    <n v="17"/>
    <n v="17"/>
    <n v="17"/>
    <n v="17"/>
    <m/>
    <m/>
    <m/>
    <m/>
    <m/>
    <m/>
    <m/>
    <n v="0"/>
    <n v="0"/>
    <n v="0"/>
    <n v="0"/>
    <n v="0"/>
    <n v="0"/>
    <n v="0"/>
    <n v="0"/>
    <n v="0"/>
    <n v="0"/>
    <n v="0"/>
    <n v="0"/>
    <n v="0"/>
    <n v="0"/>
    <x v="0"/>
    <n v="0"/>
    <s v="MMR001CMP038"/>
    <x v="2"/>
    <x v="1"/>
    <x v="2"/>
    <n v="0.24285714285714285"/>
    <s v="No"/>
    <m/>
  </r>
  <r>
    <n v="49.2"/>
    <d v="2012-07-05T00:00:00"/>
    <x v="0"/>
    <s v="UNHCR"/>
    <s v="Kachin"/>
    <s v="Bhamo"/>
    <s v="Ta Gun Taing Monastery (Shwe Kyi Na)"/>
    <m/>
    <m/>
    <m/>
    <n v="36"/>
    <n v="14"/>
    <n v="36"/>
    <n v="14"/>
    <n v="14"/>
    <n v="14"/>
    <n v="14"/>
    <m/>
    <m/>
    <m/>
    <m/>
    <m/>
    <m/>
    <m/>
    <n v="0"/>
    <n v="0"/>
    <n v="0"/>
    <n v="0"/>
    <n v="0"/>
    <n v="0"/>
    <n v="0"/>
    <n v="0"/>
    <n v="0"/>
    <n v="0"/>
    <n v="0"/>
    <n v="0"/>
    <n v="0"/>
    <n v="0"/>
    <x v="0"/>
    <n v="0"/>
    <s v="MMR001CMP055"/>
    <x v="2"/>
    <x v="1"/>
    <x v="2"/>
    <n v="0.66666666666666663"/>
    <s v="No"/>
    <m/>
  </r>
  <r>
    <n v="18.466666666666665"/>
    <d v="2015-01-13T00:00:00"/>
    <x v="1"/>
    <s v="MRCS"/>
    <s v="Kachin"/>
    <s v="Hpakant"/>
    <s v="Rawan Baptist Church, Maw Shan Vil., Seik Mu"/>
    <m/>
    <m/>
    <m/>
    <m/>
    <m/>
    <m/>
    <m/>
    <m/>
    <m/>
    <m/>
    <n v="26"/>
    <n v="14"/>
    <m/>
    <m/>
    <m/>
    <m/>
    <m/>
    <n v="0"/>
    <n v="0"/>
    <n v="0"/>
    <n v="0"/>
    <n v="0"/>
    <n v="0"/>
    <n v="0"/>
    <n v="0"/>
    <n v="0"/>
    <n v="0"/>
    <n v="0"/>
    <n v="0"/>
    <n v="0"/>
    <n v="0"/>
    <x v="1"/>
    <n v="0"/>
    <s v="MMR001CMP182"/>
    <x v="2"/>
    <x v="1"/>
    <x v="2"/>
    <n v="0"/>
    <m/>
    <m/>
  </r>
  <r>
    <n v="49.533333333333331"/>
    <d v="2012-06-25T00:00:00"/>
    <x v="0"/>
    <s v="UNHCR"/>
    <s v="Kachin"/>
    <s v="Momauk"/>
    <s v="Momauk Baptist Church"/>
    <m/>
    <m/>
    <m/>
    <n v="290"/>
    <n v="145"/>
    <n v="290"/>
    <n v="145"/>
    <n v="145"/>
    <n v="145"/>
    <n v="145"/>
    <m/>
    <m/>
    <m/>
    <m/>
    <m/>
    <m/>
    <m/>
    <n v="0"/>
    <n v="0"/>
    <n v="0"/>
    <n v="0"/>
    <n v="0"/>
    <n v="0"/>
    <n v="0"/>
    <n v="0"/>
    <n v="0"/>
    <n v="0"/>
    <n v="0"/>
    <n v="0"/>
    <n v="0"/>
    <n v="0"/>
    <x v="0"/>
    <n v="0"/>
    <s v="MMR001CMP056"/>
    <x v="2"/>
    <x v="1"/>
    <x v="2"/>
    <n v="0.6415929203539823"/>
    <s v="No"/>
    <m/>
  </r>
  <r>
    <n v="49.6"/>
    <d v="2012-06-23T00:00:00"/>
    <x v="0"/>
    <s v="UNHCR"/>
    <s v="Kachin"/>
    <s v="Momauk"/>
    <s v="Dum Bung "/>
    <m/>
    <m/>
    <m/>
    <n v="24"/>
    <n v="13"/>
    <n v="24"/>
    <n v="13"/>
    <n v="13"/>
    <n v="13"/>
    <n v="13"/>
    <m/>
    <m/>
    <m/>
    <m/>
    <m/>
    <m/>
    <m/>
    <n v="0"/>
    <n v="0"/>
    <n v="0"/>
    <n v="0"/>
    <n v="0"/>
    <n v="0"/>
    <n v="0"/>
    <n v="0"/>
    <n v="0"/>
    <n v="0"/>
    <n v="0"/>
    <n v="0"/>
    <n v="0"/>
    <n v="0"/>
    <x v="0"/>
    <n v="0"/>
    <s v="MMR001CMP123"/>
    <x v="2"/>
    <x v="1"/>
    <x v="5"/>
    <n v="0.11206896551724138"/>
    <s v="No"/>
    <m/>
  </r>
  <r>
    <n v="49.633333333333333"/>
    <d v="2012-06-22T00:00:00"/>
    <x v="0"/>
    <s v="UNHCR"/>
    <s v="Kachin"/>
    <s v="Momauk"/>
    <s v="Nhkawng Pa "/>
    <m/>
    <m/>
    <m/>
    <n v="140"/>
    <n v="70"/>
    <n v="140"/>
    <n v="70"/>
    <n v="70"/>
    <n v="70"/>
    <n v="70"/>
    <m/>
    <m/>
    <m/>
    <m/>
    <m/>
    <m/>
    <m/>
    <n v="0"/>
    <n v="0"/>
    <n v="0"/>
    <n v="0"/>
    <n v="0"/>
    <n v="0"/>
    <n v="0"/>
    <n v="0"/>
    <n v="0"/>
    <n v="0"/>
    <n v="0"/>
    <n v="0"/>
    <n v="0"/>
    <n v="0"/>
    <x v="0"/>
    <n v="0"/>
    <s v="MMR001CMP131"/>
    <x v="2"/>
    <x v="1"/>
    <x v="3"/>
    <n v="0.18666666666666668"/>
    <s v="No"/>
    <m/>
  </r>
  <r>
    <n v="49.7"/>
    <d v="2012-06-20T00:00:00"/>
    <x v="0"/>
    <s v="UNHCR"/>
    <s v="Kachin"/>
    <s v="Waingmaw"/>
    <s v="Waingmaw Baptist Zonal Office"/>
    <m/>
    <m/>
    <m/>
    <n v="141"/>
    <n v="81"/>
    <n v="148"/>
    <n v="84"/>
    <n v="78"/>
    <n v="78"/>
    <n v="78"/>
    <m/>
    <m/>
    <m/>
    <m/>
    <m/>
    <m/>
    <m/>
    <n v="0"/>
    <n v="0"/>
    <n v="0"/>
    <n v="0"/>
    <n v="0"/>
    <n v="0"/>
    <n v="0"/>
    <n v="0"/>
    <n v="0"/>
    <n v="0"/>
    <n v="0"/>
    <n v="0"/>
    <n v="0"/>
    <n v="0"/>
    <x v="0"/>
    <n v="0"/>
    <s v="MMR001CMP036"/>
    <x v="2"/>
    <x v="2"/>
    <x v="2"/>
    <s v=""/>
    <s v="No"/>
    <m/>
  </r>
  <r>
    <n v="49.733333333333334"/>
    <d v="2012-06-19T00:00:00"/>
    <x v="0"/>
    <s v="UNHCR"/>
    <s v="Kachin"/>
    <s v="Waingmaw"/>
    <s v="Maina KBC (Bawng Ring)"/>
    <m/>
    <m/>
    <m/>
    <n v="32"/>
    <n v="17"/>
    <n v="32"/>
    <n v="17"/>
    <n v="17"/>
    <n v="17"/>
    <n v="17"/>
    <m/>
    <m/>
    <m/>
    <m/>
    <m/>
    <m/>
    <m/>
    <n v="0"/>
    <n v="0"/>
    <n v="0"/>
    <n v="0"/>
    <n v="0"/>
    <n v="0"/>
    <n v="0"/>
    <n v="0"/>
    <n v="0"/>
    <n v="0"/>
    <n v="0"/>
    <n v="0"/>
    <n v="0"/>
    <n v="0"/>
    <x v="0"/>
    <n v="0"/>
    <s v="MMR001CMP040"/>
    <x v="2"/>
    <x v="1"/>
    <x v="2"/>
    <n v="4.2929292929292928E-2"/>
    <s v="No"/>
    <m/>
  </r>
  <r>
    <n v="49.733333333333334"/>
    <d v="2012-06-19T00:00:00"/>
    <x v="0"/>
    <s v="UNHCR"/>
    <s v="Kachin"/>
    <s v="Waingmaw"/>
    <s v="Thargaya Lisu Baptist Church"/>
    <m/>
    <m/>
    <m/>
    <n v="31"/>
    <n v="15"/>
    <n v="31"/>
    <n v="15"/>
    <n v="15"/>
    <n v="15"/>
    <n v="15"/>
    <m/>
    <m/>
    <m/>
    <m/>
    <m/>
    <m/>
    <m/>
    <n v="0"/>
    <n v="0"/>
    <n v="0"/>
    <n v="0"/>
    <n v="0"/>
    <n v="0"/>
    <n v="0"/>
    <n v="0"/>
    <n v="0"/>
    <n v="0"/>
    <n v="0"/>
    <n v="0"/>
    <n v="0"/>
    <n v="0"/>
    <x v="0"/>
    <n v="0"/>
    <s v="MMR001CMP037"/>
    <x v="2"/>
    <x v="1"/>
    <x v="2"/>
    <n v="0.34090909090909088"/>
    <s v="No"/>
    <m/>
  </r>
  <r>
    <n v="49.733333333333334"/>
    <d v="2012-06-19T00:00:00"/>
    <x v="0"/>
    <s v="UNHCR"/>
    <s v="Kachin"/>
    <s v="Waingmaw"/>
    <s v="Waingmaw AG Church"/>
    <m/>
    <m/>
    <m/>
    <n v="28"/>
    <n v="15"/>
    <n v="28"/>
    <n v="15"/>
    <n v="15"/>
    <n v="15"/>
    <n v="15"/>
    <m/>
    <m/>
    <m/>
    <m/>
    <m/>
    <m/>
    <m/>
    <n v="0"/>
    <n v="0"/>
    <n v="0"/>
    <n v="0"/>
    <n v="0"/>
    <n v="0"/>
    <n v="0"/>
    <n v="0"/>
    <n v="0"/>
    <n v="0"/>
    <n v="0"/>
    <n v="0"/>
    <n v="0"/>
    <n v="0"/>
    <x v="0"/>
    <n v="0"/>
    <s v="MMR001CMP038"/>
    <x v="2"/>
    <x v="1"/>
    <x v="2"/>
    <n v="0.21428571428571427"/>
    <s v="No"/>
    <m/>
  </r>
  <r>
    <n v="50.033333333333331"/>
    <d v="2012-06-10T00:00:00"/>
    <x v="0"/>
    <s v="UNHCR"/>
    <s v="Kachin"/>
    <s v="Chipwi"/>
    <s v="Lhaovao Baptist Church (LBC)"/>
    <m/>
    <m/>
    <m/>
    <n v="200"/>
    <n v="100"/>
    <n v="150"/>
    <n v="100"/>
    <n v="100"/>
    <n v="100"/>
    <n v="100"/>
    <m/>
    <m/>
    <m/>
    <m/>
    <m/>
    <m/>
    <m/>
    <n v="0"/>
    <n v="0"/>
    <n v="0"/>
    <n v="0"/>
    <n v="0"/>
    <n v="0"/>
    <n v="0"/>
    <n v="0"/>
    <n v="0"/>
    <n v="0"/>
    <n v="0"/>
    <n v="0"/>
    <n v="0"/>
    <n v="0"/>
    <x v="0"/>
    <n v="0"/>
    <s v="MMR001CMP195"/>
    <x v="2"/>
    <x v="1"/>
    <x v="3"/>
    <n v="0.69930069930069927"/>
    <s v="No"/>
    <m/>
  </r>
  <r>
    <n v="32.1"/>
    <d v="2013-11-30T00:00:00"/>
    <x v="5"/>
    <m/>
    <s v="Kachin"/>
    <s v="Bhamo"/>
    <s v="Robert Church"/>
    <m/>
    <m/>
    <m/>
    <m/>
    <m/>
    <m/>
    <m/>
    <m/>
    <m/>
    <n v="1164"/>
    <m/>
    <m/>
    <m/>
    <m/>
    <m/>
    <m/>
    <m/>
    <n v="0"/>
    <n v="0"/>
    <n v="0"/>
    <n v="0"/>
    <n v="0"/>
    <n v="0"/>
    <n v="0"/>
    <n v="0"/>
    <n v="0"/>
    <n v="0"/>
    <n v="0"/>
    <n v="0"/>
    <n v="0"/>
    <n v="0"/>
    <x v="0"/>
    <n v="0"/>
    <s v="MMR001CMP047"/>
    <x v="2"/>
    <x v="1"/>
    <x v="2"/>
    <n v="0"/>
    <s v="No"/>
    <m/>
  </r>
  <r>
    <n v="50.1"/>
    <d v="2012-06-08T00:00:00"/>
    <x v="0"/>
    <s v="UNHCR"/>
    <s v="Kachin"/>
    <s v="Bhamo"/>
    <s v="Nant Hlaing Church"/>
    <m/>
    <m/>
    <m/>
    <n v="12"/>
    <n v="6"/>
    <n v="12"/>
    <n v="6"/>
    <n v="6"/>
    <n v="6"/>
    <n v="6"/>
    <m/>
    <m/>
    <m/>
    <m/>
    <m/>
    <m/>
    <m/>
    <n v="0"/>
    <n v="0"/>
    <n v="0"/>
    <n v="0"/>
    <n v="0"/>
    <n v="0"/>
    <n v="0"/>
    <n v="0"/>
    <n v="0"/>
    <n v="0"/>
    <n v="0"/>
    <n v="0"/>
    <n v="0"/>
    <n v="0"/>
    <x v="0"/>
    <n v="0"/>
    <s v="MMR001CMP054"/>
    <x v="2"/>
    <x v="1"/>
    <x v="2"/>
    <n v="0.3"/>
    <s v="No"/>
    <m/>
  </r>
  <r>
    <n v="32.43333333333333"/>
    <d v="2013-11-20T00:00:00"/>
    <x v="5"/>
    <s v="Solidarities"/>
    <s v="Kachin"/>
    <s v="Bhamo"/>
    <s v="Robert Church"/>
    <m/>
    <m/>
    <m/>
    <m/>
    <m/>
    <m/>
    <m/>
    <m/>
    <m/>
    <m/>
    <m/>
    <n v="19"/>
    <n v="38"/>
    <n v="19"/>
    <m/>
    <m/>
    <m/>
    <n v="0"/>
    <n v="0"/>
    <n v="0"/>
    <n v="0"/>
    <n v="0"/>
    <n v="0"/>
    <n v="0"/>
    <n v="0"/>
    <n v="0"/>
    <n v="0"/>
    <n v="0"/>
    <n v="0"/>
    <n v="0"/>
    <n v="0"/>
    <x v="1"/>
    <n v="0"/>
    <s v="MMR001CMP047"/>
    <x v="2"/>
    <x v="1"/>
    <x v="2"/>
    <n v="0"/>
    <m/>
    <m/>
  </r>
  <r>
    <n v="50.166666666666664"/>
    <d v="2012-06-06T00:00:00"/>
    <x v="0"/>
    <s v="UNHCR "/>
    <s v="Kachin"/>
    <s v="Momauk"/>
    <s v="Hpun Lum Yang "/>
    <m/>
    <m/>
    <m/>
    <n v="0"/>
    <n v="200"/>
    <n v="0"/>
    <n v="0"/>
    <n v="0"/>
    <m/>
    <m/>
    <m/>
    <m/>
    <m/>
    <m/>
    <m/>
    <m/>
    <m/>
    <n v="0"/>
    <n v="0"/>
    <n v="0"/>
    <n v="0"/>
    <n v="0"/>
    <n v="0"/>
    <n v="0"/>
    <n v="0"/>
    <n v="0"/>
    <n v="0"/>
    <n v="0"/>
    <n v="0"/>
    <n v="0"/>
    <n v="0"/>
    <x v="0"/>
    <n v="0"/>
    <s v="MMR001CMP122"/>
    <x v="2"/>
    <x v="1"/>
    <x v="5"/>
    <n v="0"/>
    <s v="No"/>
    <m/>
  </r>
  <r>
    <n v="50.166666666666664"/>
    <d v="2012-06-06T00:00:00"/>
    <x v="0"/>
    <s v="UNHCR"/>
    <s v="Kachin"/>
    <s v="Momauk"/>
    <s v="Pa Kahtawng "/>
    <m/>
    <m/>
    <m/>
    <n v="144"/>
    <n v="76"/>
    <n v="143"/>
    <n v="76"/>
    <n v="78"/>
    <n v="78"/>
    <n v="78"/>
    <m/>
    <m/>
    <m/>
    <m/>
    <m/>
    <m/>
    <m/>
    <n v="0"/>
    <n v="0"/>
    <n v="0"/>
    <n v="0"/>
    <n v="0"/>
    <n v="0"/>
    <n v="0"/>
    <n v="0"/>
    <n v="0"/>
    <n v="0"/>
    <n v="0"/>
    <n v="0"/>
    <n v="0"/>
    <n v="0"/>
    <x v="0"/>
    <n v="0"/>
    <s v="MMR001CMP126"/>
    <x v="2"/>
    <x v="1"/>
    <x v="5"/>
    <n v="0.11225997045790251"/>
    <s v="No"/>
    <m/>
  </r>
  <r>
    <n v="50.2"/>
    <d v="2012-06-05T00:00:00"/>
    <x v="0"/>
    <s v="UNHCR"/>
    <s v="Kachin"/>
    <s v="Momauk"/>
    <s v="Momauk Catholic Church (St. Patrick)"/>
    <m/>
    <m/>
    <m/>
    <n v="10"/>
    <n v="5"/>
    <n v="10"/>
    <n v="5"/>
    <n v="5"/>
    <n v="5"/>
    <n v="5"/>
    <m/>
    <m/>
    <m/>
    <m/>
    <m/>
    <m/>
    <m/>
    <n v="0"/>
    <n v="0"/>
    <n v="0"/>
    <n v="0"/>
    <n v="0"/>
    <n v="0"/>
    <n v="0"/>
    <n v="0"/>
    <n v="0"/>
    <n v="0"/>
    <n v="0"/>
    <n v="0"/>
    <n v="0"/>
    <n v="0"/>
    <x v="0"/>
    <n v="0"/>
    <s v="MMR001CMP057"/>
    <x v="2"/>
    <x v="2"/>
    <x v="2"/>
    <s v=""/>
    <s v="No"/>
    <m/>
  </r>
  <r>
    <n v="13.9"/>
    <d v="2015-05-30T00:00:00"/>
    <x v="5"/>
    <s v="Solidarities"/>
    <s v="Kachin"/>
    <s v="Bhamo"/>
    <s v="Robert Church"/>
    <m/>
    <m/>
    <m/>
    <m/>
    <m/>
    <m/>
    <m/>
    <m/>
    <m/>
    <m/>
    <m/>
    <m/>
    <m/>
    <m/>
    <n v="3"/>
    <m/>
    <m/>
    <n v="0"/>
    <n v="0"/>
    <n v="0"/>
    <n v="0"/>
    <n v="0"/>
    <n v="0"/>
    <n v="0"/>
    <n v="0"/>
    <n v="0"/>
    <n v="0"/>
    <n v="0"/>
    <n v="0"/>
    <n v="0"/>
    <n v="0"/>
    <x v="0"/>
    <n v="0"/>
    <s v="MMR001CMP047"/>
    <x v="2"/>
    <x v="1"/>
    <x v="2"/>
    <n v="0"/>
    <m/>
    <m/>
  </r>
  <r>
    <n v="17.033333333333335"/>
    <d v="2015-02-25T00:00:00"/>
    <x v="5"/>
    <s v="Solidarities"/>
    <s v="Kachin"/>
    <s v="Bhamo"/>
    <s v="Robert Church"/>
    <m/>
    <m/>
    <m/>
    <m/>
    <m/>
    <m/>
    <m/>
    <m/>
    <m/>
    <m/>
    <m/>
    <m/>
    <m/>
    <m/>
    <m/>
    <n v="76"/>
    <m/>
    <n v="0"/>
    <n v="0"/>
    <n v="0"/>
    <n v="0"/>
    <n v="0"/>
    <n v="0"/>
    <n v="0"/>
    <n v="0"/>
    <n v="0"/>
    <n v="0"/>
    <n v="0"/>
    <n v="0"/>
    <n v="0"/>
    <n v="0"/>
    <x v="0"/>
    <n v="0"/>
    <s v="MMR001CMP047"/>
    <x v="2"/>
    <x v="1"/>
    <x v="2"/>
    <n v="0"/>
    <m/>
    <m/>
  </r>
  <r>
    <n v="16.533333333333335"/>
    <d v="2015-03-12T00:00:00"/>
    <x v="5"/>
    <s v="Solidarities"/>
    <s v="Kachin"/>
    <s v="Bhamo"/>
    <s v="Robert Church"/>
    <m/>
    <m/>
    <m/>
    <m/>
    <m/>
    <m/>
    <m/>
    <m/>
    <m/>
    <m/>
    <m/>
    <m/>
    <m/>
    <m/>
    <m/>
    <n v="11"/>
    <m/>
    <n v="0"/>
    <n v="0"/>
    <n v="0"/>
    <n v="0"/>
    <n v="0"/>
    <n v="0"/>
    <n v="0"/>
    <n v="0"/>
    <n v="0"/>
    <n v="0"/>
    <n v="0"/>
    <n v="0"/>
    <n v="0"/>
    <n v="0"/>
    <x v="0"/>
    <n v="0"/>
    <s v="MMR001CMP047"/>
    <x v="2"/>
    <x v="1"/>
    <x v="2"/>
    <n v="0"/>
    <m/>
    <m/>
  </r>
  <r>
    <n v="7.2"/>
    <d v="2015-12-17T00:00:00"/>
    <x v="5"/>
    <s v="Solidarities"/>
    <s v="Kachin"/>
    <s v="Bhamo"/>
    <s v="Robert Church"/>
    <m/>
    <m/>
    <m/>
    <m/>
    <m/>
    <m/>
    <m/>
    <m/>
    <m/>
    <m/>
    <m/>
    <m/>
    <m/>
    <m/>
    <m/>
    <n v="76"/>
    <m/>
    <n v="0"/>
    <n v="0"/>
    <n v="0"/>
    <n v="0"/>
    <n v="0"/>
    <n v="0"/>
    <n v="0"/>
    <n v="0"/>
    <n v="0"/>
    <n v="0"/>
    <n v="0"/>
    <n v="0"/>
    <n v="0"/>
    <n v="0"/>
    <x v="0"/>
    <n v="0"/>
    <s v="MMR001CMP047"/>
    <x v="2"/>
    <x v="1"/>
    <x v="2"/>
    <n v="0"/>
    <m/>
    <m/>
  </r>
  <r>
    <n v="4.8666666666666663"/>
    <d v="2016-02-25T00:00:00"/>
    <x v="5"/>
    <s v="Solidarities"/>
    <s v="Kachin"/>
    <s v="Bhamo"/>
    <s v="Robert Church"/>
    <m/>
    <m/>
    <m/>
    <m/>
    <m/>
    <m/>
    <m/>
    <m/>
    <m/>
    <m/>
    <m/>
    <m/>
    <m/>
    <m/>
    <m/>
    <n v="76"/>
    <m/>
    <n v="0"/>
    <n v="0"/>
    <n v="0"/>
    <n v="0"/>
    <n v="0"/>
    <n v="0"/>
    <n v="0"/>
    <n v="0"/>
    <n v="0"/>
    <n v="0"/>
    <n v="0"/>
    <n v="0"/>
    <n v="0"/>
    <n v="0"/>
    <x v="0"/>
    <n v="0"/>
    <s v="MMR001CMP047"/>
    <x v="2"/>
    <x v="1"/>
    <x v="2"/>
    <n v="0"/>
    <m/>
    <m/>
  </r>
  <r>
    <n v="2.7333333333333334"/>
    <d v="2016-04-29T00:00:00"/>
    <x v="5"/>
    <s v="Solidarities"/>
    <s v="Kachin"/>
    <s v="Bhamo"/>
    <s v="Robert Church"/>
    <m/>
    <m/>
    <m/>
    <m/>
    <m/>
    <m/>
    <m/>
    <m/>
    <m/>
    <m/>
    <m/>
    <m/>
    <m/>
    <m/>
    <m/>
    <n v="152"/>
    <m/>
    <n v="0"/>
    <n v="0"/>
    <n v="0"/>
    <n v="0"/>
    <n v="0"/>
    <n v="0"/>
    <n v="0"/>
    <n v="0"/>
    <n v="0"/>
    <n v="0"/>
    <n v="0"/>
    <n v="0"/>
    <n v="0"/>
    <n v="0"/>
    <x v="0"/>
    <n v="0"/>
    <s v="MMR001CMP047"/>
    <x v="2"/>
    <x v="1"/>
    <x v="2"/>
    <n v="0"/>
    <m/>
    <m/>
  </r>
  <r>
    <n v="7.3"/>
    <d v="2015-12-14T00:00:00"/>
    <x v="5"/>
    <s v="Solidarities"/>
    <s v="Kachin"/>
    <s v="Bhamo"/>
    <s v="Robert Church"/>
    <m/>
    <m/>
    <m/>
    <m/>
    <m/>
    <m/>
    <m/>
    <m/>
    <m/>
    <m/>
    <m/>
    <m/>
    <m/>
    <m/>
    <n v="2"/>
    <m/>
    <m/>
    <n v="0"/>
    <n v="0"/>
    <n v="0"/>
    <n v="0"/>
    <n v="0"/>
    <n v="0"/>
    <n v="0"/>
    <n v="0"/>
    <n v="0"/>
    <n v="0"/>
    <n v="0"/>
    <n v="0"/>
    <n v="0"/>
    <n v="0"/>
    <x v="0"/>
    <n v="2"/>
    <s v="MMR001CMP047"/>
    <x v="2"/>
    <x v="1"/>
    <x v="2"/>
    <n v="0"/>
    <m/>
    <m/>
  </r>
  <r>
    <n v="5.8666666666666663"/>
    <d v="2016-01-26T00:00:00"/>
    <x v="5"/>
    <s v="Solidarities"/>
    <s v="Kachin"/>
    <s v="Bhamo"/>
    <s v="Robert Church"/>
    <m/>
    <m/>
    <m/>
    <m/>
    <m/>
    <m/>
    <m/>
    <m/>
    <m/>
    <m/>
    <m/>
    <m/>
    <m/>
    <m/>
    <n v="5"/>
    <m/>
    <m/>
    <n v="0"/>
    <n v="0"/>
    <n v="0"/>
    <n v="0"/>
    <n v="0"/>
    <n v="0"/>
    <n v="0"/>
    <n v="0"/>
    <n v="0"/>
    <n v="0"/>
    <n v="0"/>
    <n v="0"/>
    <n v="0"/>
    <n v="0"/>
    <x v="0"/>
    <n v="5"/>
    <s v="MMR001CMP047"/>
    <x v="2"/>
    <x v="1"/>
    <x v="2"/>
    <n v="0"/>
    <m/>
    <m/>
  </r>
  <r>
    <n v="4.166666666666667"/>
    <d v="2016-03-17T00:00:00"/>
    <x v="5"/>
    <s v="Solidarities"/>
    <s v="Kachin"/>
    <s v="Bhamo"/>
    <s v="Robert Church"/>
    <m/>
    <m/>
    <m/>
    <m/>
    <m/>
    <m/>
    <m/>
    <m/>
    <m/>
    <m/>
    <m/>
    <m/>
    <m/>
    <m/>
    <n v="1"/>
    <m/>
    <m/>
    <n v="0"/>
    <n v="0"/>
    <n v="0"/>
    <n v="0"/>
    <n v="0"/>
    <n v="0"/>
    <n v="0"/>
    <n v="0"/>
    <n v="0"/>
    <n v="0"/>
    <n v="0"/>
    <n v="0"/>
    <n v="0"/>
    <n v="0"/>
    <x v="0"/>
    <n v="1"/>
    <s v="MMR001CMP047"/>
    <x v="2"/>
    <x v="1"/>
    <x v="2"/>
    <n v="0"/>
    <m/>
    <m/>
  </r>
  <r>
    <n v="19.633333333333333"/>
    <d v="2014-12-09T00:00:00"/>
    <x v="5"/>
    <s v="Solidarities"/>
    <s v="Kachin"/>
    <s v="Bhamo"/>
    <s v="Robert Church"/>
    <m/>
    <m/>
    <n v="1135"/>
    <m/>
    <m/>
    <m/>
    <m/>
    <m/>
    <m/>
    <m/>
    <m/>
    <m/>
    <m/>
    <m/>
    <m/>
    <m/>
    <m/>
    <n v="0"/>
    <n v="0"/>
    <n v="0"/>
    <n v="0"/>
    <n v="0"/>
    <n v="0"/>
    <n v="0"/>
    <n v="0"/>
    <n v="0"/>
    <n v="0"/>
    <n v="0"/>
    <n v="0"/>
    <n v="0"/>
    <n v="0"/>
    <x v="0"/>
    <n v="0"/>
    <s v="MMR001CMP047"/>
    <x v="2"/>
    <x v="1"/>
    <x v="2"/>
    <n v="0"/>
    <m/>
    <m/>
  </r>
  <r>
    <n v="13.8"/>
    <d v="2015-06-02T00:00:00"/>
    <x v="5"/>
    <s v="Solidarities"/>
    <s v="Kachin"/>
    <s v="Bhamo"/>
    <s v="Robert Church"/>
    <m/>
    <m/>
    <n v="1048"/>
    <m/>
    <m/>
    <m/>
    <m/>
    <m/>
    <m/>
    <m/>
    <m/>
    <m/>
    <m/>
    <m/>
    <m/>
    <m/>
    <m/>
    <n v="0"/>
    <n v="0"/>
    <n v="0"/>
    <n v="0"/>
    <n v="0"/>
    <n v="0"/>
    <n v="0"/>
    <n v="0"/>
    <n v="0"/>
    <n v="0"/>
    <n v="0"/>
    <n v="0"/>
    <n v="0"/>
    <n v="0"/>
    <x v="0"/>
    <n v="0"/>
    <s v="MMR001CMP047"/>
    <x v="2"/>
    <x v="1"/>
    <x v="2"/>
    <n v="0"/>
    <m/>
    <m/>
  </r>
  <r>
    <n v="5.4333333333333336"/>
    <d v="2016-02-08T00:00:00"/>
    <x v="5"/>
    <s v="Solidarities"/>
    <s v="Kachin"/>
    <s v="Bhamo"/>
    <s v="Robert Church"/>
    <m/>
    <m/>
    <n v="996"/>
    <m/>
    <m/>
    <m/>
    <m/>
    <m/>
    <m/>
    <m/>
    <m/>
    <m/>
    <m/>
    <m/>
    <m/>
    <m/>
    <m/>
    <n v="0"/>
    <n v="0"/>
    <n v="996"/>
    <n v="0"/>
    <n v="0"/>
    <n v="0"/>
    <n v="0"/>
    <n v="0"/>
    <n v="0"/>
    <n v="0"/>
    <n v="0"/>
    <n v="0"/>
    <n v="0"/>
    <n v="0"/>
    <x v="0"/>
    <n v="0"/>
    <s v="MMR001CMP047"/>
    <x v="2"/>
    <x v="1"/>
    <x v="2"/>
    <n v="0"/>
    <m/>
    <m/>
  </r>
  <r>
    <n v="52.966666666666669"/>
    <d v="2012-03-14T00:00:00"/>
    <x v="5"/>
    <s v="Solidarities"/>
    <s v="Kachin"/>
    <s v="Bhamo"/>
    <s v="Robert Church"/>
    <n v="2188"/>
    <m/>
    <m/>
    <m/>
    <m/>
    <m/>
    <m/>
    <m/>
    <m/>
    <m/>
    <m/>
    <m/>
    <m/>
    <m/>
    <m/>
    <m/>
    <m/>
    <n v="0"/>
    <n v="0"/>
    <n v="0"/>
    <n v="0"/>
    <n v="0"/>
    <n v="0"/>
    <n v="0"/>
    <n v="0"/>
    <n v="0"/>
    <n v="0"/>
    <n v="0"/>
    <n v="0"/>
    <n v="0"/>
    <n v="0"/>
    <x v="0"/>
    <n v="0"/>
    <s v="MMR001CMP047"/>
    <x v="2"/>
    <x v="1"/>
    <x v="2"/>
    <n v="0"/>
    <m/>
    <m/>
  </r>
  <r>
    <n v="42.5"/>
    <d v="2013-01-22T00:00:00"/>
    <x v="5"/>
    <s v="Solidarities"/>
    <s v="Kachin"/>
    <s v="Bhamo"/>
    <s v="Robert Church"/>
    <n v="1824"/>
    <m/>
    <m/>
    <m/>
    <m/>
    <m/>
    <m/>
    <m/>
    <n v="0"/>
    <n v="0"/>
    <m/>
    <m/>
    <m/>
    <m/>
    <m/>
    <m/>
    <m/>
    <n v="0"/>
    <n v="0"/>
    <n v="0"/>
    <n v="0"/>
    <n v="0"/>
    <n v="0"/>
    <n v="0"/>
    <n v="0"/>
    <n v="0"/>
    <n v="0"/>
    <n v="0"/>
    <n v="0"/>
    <n v="0"/>
    <n v="0"/>
    <x v="0"/>
    <n v="0"/>
    <s v="MMR001CMP047"/>
    <x v="2"/>
    <x v="1"/>
    <x v="2"/>
    <n v="0"/>
    <s v="No"/>
    <m/>
  </r>
  <r>
    <n v="50.333333333333336"/>
    <d v="2012-06-01T00:00:00"/>
    <x v="0"/>
    <s v="UNHCR"/>
    <s v="Kachin"/>
    <s v="Myitkyina"/>
    <s v="Maw Hpawng Hka Nan Baptist Church"/>
    <m/>
    <m/>
    <m/>
    <n v="22"/>
    <n v="11"/>
    <n v="22"/>
    <n v="11"/>
    <n v="11"/>
    <n v="11"/>
    <n v="11"/>
    <m/>
    <m/>
    <m/>
    <m/>
    <m/>
    <m/>
    <m/>
    <n v="0"/>
    <n v="0"/>
    <n v="0"/>
    <n v="0"/>
    <n v="0"/>
    <n v="0"/>
    <n v="0"/>
    <n v="0"/>
    <n v="0"/>
    <n v="0"/>
    <n v="0"/>
    <n v="0"/>
    <n v="0"/>
    <n v="0"/>
    <x v="0"/>
    <n v="0"/>
    <s v="MMR001CMP020"/>
    <x v="2"/>
    <x v="1"/>
    <x v="2"/>
    <n v="0.52380952380952384"/>
    <s v="No"/>
    <m/>
  </r>
  <r>
    <n v="50.333333333333336"/>
    <d v="2012-06-01T00:00:00"/>
    <x v="0"/>
    <s v="UNHCR"/>
    <s v="Kachin"/>
    <s v="Myitkyina"/>
    <s v="Maw Hpawng Lhaovo Baptist Church"/>
    <m/>
    <m/>
    <m/>
    <n v="35"/>
    <n v="17"/>
    <n v="35"/>
    <n v="17"/>
    <n v="17"/>
    <n v="17"/>
    <n v="17"/>
    <m/>
    <m/>
    <m/>
    <m/>
    <m/>
    <m/>
    <m/>
    <n v="0"/>
    <n v="0"/>
    <n v="0"/>
    <n v="0"/>
    <n v="0"/>
    <n v="0"/>
    <n v="0"/>
    <n v="0"/>
    <n v="0"/>
    <n v="0"/>
    <n v="0"/>
    <n v="0"/>
    <n v="0"/>
    <n v="0"/>
    <x v="0"/>
    <n v="0"/>
    <s v="MMR001CMP021"/>
    <x v="2"/>
    <x v="1"/>
    <x v="2"/>
    <n v="1.2142857142857142"/>
    <s v="No"/>
    <m/>
  </r>
  <r>
    <n v="50.366666666666667"/>
    <d v="2012-05-31T00:00:00"/>
    <x v="0"/>
    <s v="KBC"/>
    <s v="Kachin"/>
    <s v="Bhamo"/>
    <s v="Robert Church"/>
    <m/>
    <m/>
    <m/>
    <n v="0"/>
    <n v="20"/>
    <n v="0"/>
    <n v="0"/>
    <n v="0"/>
    <m/>
    <m/>
    <m/>
    <m/>
    <m/>
    <m/>
    <m/>
    <m/>
    <m/>
    <n v="0"/>
    <n v="0"/>
    <n v="0"/>
    <n v="0"/>
    <n v="0"/>
    <n v="0"/>
    <n v="0"/>
    <n v="0"/>
    <n v="0"/>
    <n v="0"/>
    <n v="0"/>
    <n v="0"/>
    <n v="0"/>
    <n v="0"/>
    <x v="0"/>
    <n v="0"/>
    <s v="MMR001CMP047"/>
    <x v="2"/>
    <x v="1"/>
    <x v="2"/>
    <n v="0"/>
    <s v="No"/>
    <m/>
  </r>
  <r>
    <n v="50.466666666666669"/>
    <d v="2012-05-28T00:00:00"/>
    <x v="0"/>
    <s v="UNHCR"/>
    <s v="Kachin"/>
    <s v="Waingmaw"/>
    <s v="Qtr. 3 Mu-yin  Baptist Church"/>
    <m/>
    <m/>
    <m/>
    <n v="0"/>
    <n v="11"/>
    <n v="0"/>
    <n v="0"/>
    <n v="0"/>
    <m/>
    <m/>
    <m/>
    <m/>
    <m/>
    <m/>
    <m/>
    <m/>
    <m/>
    <n v="0"/>
    <n v="0"/>
    <n v="0"/>
    <n v="0"/>
    <n v="0"/>
    <n v="0"/>
    <n v="0"/>
    <n v="0"/>
    <n v="0"/>
    <n v="0"/>
    <n v="0"/>
    <n v="0"/>
    <n v="0"/>
    <n v="0"/>
    <x v="0"/>
    <n v="0"/>
    <s v="MMR001CMP030"/>
    <x v="2"/>
    <x v="1"/>
    <x v="2"/>
    <n v="0"/>
    <s v="No"/>
    <m/>
  </r>
  <r>
    <n v="50.533333333333331"/>
    <d v="2012-05-26T00:00:00"/>
    <x v="0"/>
    <s v="KBC"/>
    <s v="Kachin"/>
    <s v="Shwegu"/>
    <s v="Lawk Awng Mare D. (Sinbo Area)"/>
    <m/>
    <m/>
    <m/>
    <n v="200"/>
    <n v="200"/>
    <n v="0"/>
    <n v="0"/>
    <n v="0"/>
    <m/>
    <m/>
    <m/>
    <m/>
    <m/>
    <m/>
    <m/>
    <m/>
    <m/>
    <n v="0"/>
    <n v="0"/>
    <n v="0"/>
    <n v="0"/>
    <n v="0"/>
    <n v="0"/>
    <n v="0"/>
    <n v="0"/>
    <n v="0"/>
    <n v="0"/>
    <n v="0"/>
    <n v="0"/>
    <n v="0"/>
    <n v="0"/>
    <x v="0"/>
    <n v="0"/>
    <s v="MMR001CMP147"/>
    <x v="1"/>
    <x v="1"/>
    <x v="2"/>
    <n v="0"/>
    <s v="No"/>
    <m/>
  </r>
  <r>
    <n v="18.466666666666665"/>
    <d v="2015-01-13T00:00:00"/>
    <x v="1"/>
    <s v="MRCS"/>
    <s v="Kachin"/>
    <s v="Hpakant"/>
    <s v="Sai Nai Baptish Church, Maw Shan Vil., Seki Mu"/>
    <m/>
    <m/>
    <m/>
    <m/>
    <m/>
    <m/>
    <m/>
    <m/>
    <m/>
    <m/>
    <n v="34"/>
    <n v="9"/>
    <m/>
    <m/>
    <m/>
    <m/>
    <m/>
    <n v="0"/>
    <n v="0"/>
    <n v="0"/>
    <n v="0"/>
    <n v="0"/>
    <n v="0"/>
    <n v="0"/>
    <n v="0"/>
    <n v="0"/>
    <n v="0"/>
    <n v="0"/>
    <n v="0"/>
    <n v="0"/>
    <n v="0"/>
    <x v="1"/>
    <n v="0"/>
    <s v="MMR001CMP183"/>
    <x v="2"/>
    <x v="1"/>
    <x v="2"/>
    <n v="0"/>
    <m/>
    <m/>
  </r>
  <r>
    <n v="50.56666666666667"/>
    <d v="2012-05-25T00:00:00"/>
    <x v="0"/>
    <s v="UNHCR"/>
    <s v="Kachin"/>
    <s v="Myitkyina"/>
    <s v="Shwe Zet Baptist Church"/>
    <m/>
    <m/>
    <m/>
    <n v="0"/>
    <n v="25"/>
    <n v="0"/>
    <n v="0"/>
    <n v="0"/>
    <m/>
    <m/>
    <m/>
    <m/>
    <m/>
    <m/>
    <m/>
    <m/>
    <m/>
    <n v="0"/>
    <n v="0"/>
    <n v="0"/>
    <n v="0"/>
    <n v="0"/>
    <n v="0"/>
    <n v="0"/>
    <n v="0"/>
    <n v="0"/>
    <n v="0"/>
    <n v="0"/>
    <n v="0"/>
    <n v="0"/>
    <n v="0"/>
    <x v="0"/>
    <n v="0"/>
    <s v="MMR001CMP009"/>
    <x v="2"/>
    <x v="1"/>
    <x v="2"/>
    <n v="0"/>
    <s v="No"/>
    <m/>
  </r>
  <r>
    <n v="18.466666666666665"/>
    <d v="2015-01-13T00:00:00"/>
    <x v="1"/>
    <s v="MRCS"/>
    <s v="Kachin"/>
    <s v="Chipwi"/>
    <s v="Saw Zam"/>
    <m/>
    <m/>
    <m/>
    <m/>
    <m/>
    <m/>
    <m/>
    <m/>
    <m/>
    <m/>
    <n v="111"/>
    <n v="56"/>
    <m/>
    <n v="58"/>
    <m/>
    <m/>
    <m/>
    <n v="0"/>
    <n v="0"/>
    <n v="0"/>
    <n v="0"/>
    <n v="0"/>
    <n v="0"/>
    <n v="0"/>
    <n v="0"/>
    <n v="0"/>
    <n v="0"/>
    <n v="0"/>
    <n v="0"/>
    <n v="0"/>
    <n v="0"/>
    <x v="1"/>
    <n v="0"/>
    <s v="MMR001CMP225"/>
    <x v="2"/>
    <x v="1"/>
    <x v="3"/>
    <n v="0"/>
    <m/>
    <m/>
  </r>
  <r>
    <n v="50.633333333333333"/>
    <d v="2012-05-23T00:00:00"/>
    <x v="0"/>
    <s v="UNHCR"/>
    <s v="Kachin"/>
    <s v="Myitkyina"/>
    <s v="Jan Mai Kawng Baptist Church"/>
    <m/>
    <m/>
    <m/>
    <n v="22"/>
    <n v="15"/>
    <n v="22"/>
    <n v="15"/>
    <n v="15"/>
    <n v="15"/>
    <n v="15"/>
    <m/>
    <m/>
    <m/>
    <m/>
    <m/>
    <m/>
    <m/>
    <n v="0"/>
    <n v="0"/>
    <n v="0"/>
    <n v="0"/>
    <n v="0"/>
    <n v="0"/>
    <n v="0"/>
    <n v="0"/>
    <n v="0"/>
    <n v="0"/>
    <n v="0"/>
    <n v="0"/>
    <n v="0"/>
    <n v="0"/>
    <x v="0"/>
    <n v="0"/>
    <s v="MMR001CMP018"/>
    <x v="2"/>
    <x v="1"/>
    <x v="2"/>
    <n v="7.575757575757576E-2"/>
    <s v="No"/>
    <m/>
  </r>
  <r>
    <n v="29.3"/>
    <d v="2014-02-22T00:00:00"/>
    <x v="6"/>
    <s v="MRCS"/>
    <s v="Kachin"/>
    <s v="Chipwi"/>
    <s v="Saw Zam"/>
    <m/>
    <m/>
    <m/>
    <m/>
    <m/>
    <m/>
    <m/>
    <m/>
    <m/>
    <m/>
    <m/>
    <m/>
    <m/>
    <n v="58"/>
    <m/>
    <m/>
    <m/>
    <n v="0"/>
    <n v="0"/>
    <n v="0"/>
    <n v="0"/>
    <n v="0"/>
    <n v="0"/>
    <n v="0"/>
    <n v="0"/>
    <n v="0"/>
    <n v="0"/>
    <n v="0"/>
    <n v="0"/>
    <n v="0"/>
    <n v="0"/>
    <x v="1"/>
    <n v="0"/>
    <s v="MMR001CMP225"/>
    <x v="2"/>
    <x v="1"/>
    <x v="3"/>
    <n v="0"/>
    <m/>
    <m/>
  </r>
  <r>
    <n v="18.466666666666665"/>
    <d v="2015-01-13T00:00:00"/>
    <x v="1"/>
    <s v="MRCS"/>
    <s v="Kachin"/>
    <s v="Momauk"/>
    <s v="Seng Ja "/>
    <m/>
    <m/>
    <m/>
    <m/>
    <m/>
    <m/>
    <m/>
    <m/>
    <m/>
    <m/>
    <n v="155"/>
    <n v="73"/>
    <m/>
    <n v="96"/>
    <m/>
    <m/>
    <m/>
    <n v="0"/>
    <n v="0"/>
    <n v="0"/>
    <n v="0"/>
    <n v="0"/>
    <n v="0"/>
    <n v="0"/>
    <n v="0"/>
    <n v="0"/>
    <n v="0"/>
    <n v="0"/>
    <n v="0"/>
    <n v="0"/>
    <n v="0"/>
    <x v="1"/>
    <n v="0"/>
    <s v="MMR001CMP073"/>
    <x v="2"/>
    <x v="1"/>
    <x v="4"/>
    <n v="0"/>
    <m/>
    <m/>
  </r>
  <r>
    <n v="29.266666666666666"/>
    <d v="2014-02-23T00:00:00"/>
    <x v="6"/>
    <s v="MRCS"/>
    <s v="Kachin"/>
    <s v="Momauk"/>
    <s v="Seng Ja "/>
    <m/>
    <m/>
    <m/>
    <m/>
    <m/>
    <m/>
    <m/>
    <m/>
    <m/>
    <m/>
    <m/>
    <m/>
    <m/>
    <n v="376"/>
    <m/>
    <m/>
    <m/>
    <n v="0"/>
    <n v="0"/>
    <n v="0"/>
    <n v="0"/>
    <n v="0"/>
    <n v="0"/>
    <n v="0"/>
    <n v="0"/>
    <n v="0"/>
    <n v="0"/>
    <n v="0"/>
    <n v="0"/>
    <n v="0"/>
    <n v="0"/>
    <x v="1"/>
    <n v="0"/>
    <s v="MMR001CMP073"/>
    <x v="2"/>
    <x v="1"/>
    <x v="4"/>
    <n v="0"/>
    <m/>
    <m/>
  </r>
  <r>
    <n v="19.333333333333332"/>
    <d v="2014-12-18T00:00:00"/>
    <x v="5"/>
    <s v="Solidarities"/>
    <s v="Kachin"/>
    <s v="Momauk"/>
    <s v="Seng Ja "/>
    <m/>
    <m/>
    <n v="61"/>
    <m/>
    <m/>
    <m/>
    <m/>
    <m/>
    <m/>
    <m/>
    <m/>
    <m/>
    <m/>
    <m/>
    <m/>
    <m/>
    <m/>
    <n v="0"/>
    <n v="0"/>
    <n v="0"/>
    <n v="0"/>
    <n v="0"/>
    <n v="0"/>
    <n v="0"/>
    <n v="0"/>
    <n v="0"/>
    <n v="0"/>
    <n v="0"/>
    <n v="0"/>
    <n v="0"/>
    <n v="0"/>
    <x v="0"/>
    <n v="0"/>
    <s v="MMR001CMP073"/>
    <x v="2"/>
    <x v="1"/>
    <x v="4"/>
    <n v="0"/>
    <m/>
    <m/>
  </r>
  <r>
    <n v="13.866666666666667"/>
    <d v="2015-05-31T00:00:00"/>
    <x v="5"/>
    <s v="Solidarities"/>
    <s v="Kachin"/>
    <s v="Momauk"/>
    <s v="Seng Ja "/>
    <m/>
    <m/>
    <m/>
    <m/>
    <m/>
    <m/>
    <m/>
    <m/>
    <m/>
    <m/>
    <m/>
    <m/>
    <m/>
    <m/>
    <n v="3"/>
    <m/>
    <m/>
    <n v="0"/>
    <n v="0"/>
    <n v="0"/>
    <n v="0"/>
    <n v="0"/>
    <n v="0"/>
    <n v="0"/>
    <n v="0"/>
    <n v="0"/>
    <n v="0"/>
    <n v="0"/>
    <n v="0"/>
    <n v="0"/>
    <n v="0"/>
    <x v="0"/>
    <n v="0"/>
    <s v="MMR001CMP073"/>
    <x v="2"/>
    <x v="1"/>
    <x v="4"/>
    <n v="0"/>
    <m/>
    <m/>
  </r>
  <r>
    <n v="16.533333333333335"/>
    <d v="2015-03-12T00:00:00"/>
    <x v="5"/>
    <s v="Solidarities"/>
    <s v="Kachin"/>
    <s v="Momauk"/>
    <s v="Seng Ja "/>
    <m/>
    <m/>
    <m/>
    <m/>
    <m/>
    <m/>
    <m/>
    <m/>
    <m/>
    <m/>
    <m/>
    <m/>
    <m/>
    <m/>
    <m/>
    <n v="4"/>
    <m/>
    <n v="0"/>
    <n v="0"/>
    <n v="0"/>
    <n v="0"/>
    <n v="0"/>
    <n v="0"/>
    <n v="0"/>
    <n v="0"/>
    <n v="0"/>
    <n v="0"/>
    <n v="0"/>
    <n v="0"/>
    <n v="0"/>
    <n v="0"/>
    <x v="0"/>
    <n v="0"/>
    <s v="MMR001CMP073"/>
    <x v="2"/>
    <x v="1"/>
    <x v="4"/>
    <n v="0"/>
    <m/>
    <m/>
  </r>
  <r>
    <n v="7.2666666666666666"/>
    <d v="2015-12-15T00:00:00"/>
    <x v="5"/>
    <s v="Solidarities"/>
    <s v="Kachin"/>
    <s v="Momauk"/>
    <s v="Seng Ja "/>
    <m/>
    <m/>
    <m/>
    <m/>
    <m/>
    <m/>
    <m/>
    <m/>
    <m/>
    <m/>
    <m/>
    <m/>
    <m/>
    <m/>
    <m/>
    <n v="4"/>
    <m/>
    <n v="0"/>
    <n v="0"/>
    <n v="0"/>
    <n v="0"/>
    <n v="0"/>
    <n v="0"/>
    <n v="0"/>
    <n v="0"/>
    <n v="0"/>
    <n v="0"/>
    <n v="0"/>
    <n v="0"/>
    <n v="0"/>
    <n v="0"/>
    <x v="0"/>
    <n v="0"/>
    <s v="MMR001CMP073"/>
    <x v="2"/>
    <x v="1"/>
    <x v="4"/>
    <n v="0"/>
    <m/>
    <m/>
  </r>
  <r>
    <n v="2.7"/>
    <d v="2016-04-30T00:00:00"/>
    <x v="5"/>
    <s v="Solidarities"/>
    <s v="Kachin"/>
    <s v="Momauk"/>
    <s v="Seng Ja "/>
    <m/>
    <m/>
    <m/>
    <m/>
    <m/>
    <m/>
    <m/>
    <m/>
    <m/>
    <m/>
    <m/>
    <m/>
    <m/>
    <m/>
    <m/>
    <n v="4"/>
    <m/>
    <n v="0"/>
    <n v="0"/>
    <n v="0"/>
    <n v="0"/>
    <n v="0"/>
    <n v="0"/>
    <n v="0"/>
    <n v="0"/>
    <n v="0"/>
    <n v="0"/>
    <n v="0"/>
    <n v="0"/>
    <n v="0"/>
    <n v="0"/>
    <x v="0"/>
    <n v="0"/>
    <s v="MMR001CMP073"/>
    <x v="2"/>
    <x v="1"/>
    <x v="4"/>
    <n v="0"/>
    <m/>
    <m/>
  </r>
  <r>
    <n v="5.7666666666666666"/>
    <d v="2016-01-29T00:00:00"/>
    <x v="5"/>
    <s v="Solidarities"/>
    <s v="Kachin"/>
    <s v="Momauk"/>
    <s v="Seng Ja "/>
    <m/>
    <m/>
    <m/>
    <m/>
    <m/>
    <m/>
    <m/>
    <m/>
    <m/>
    <m/>
    <m/>
    <m/>
    <m/>
    <m/>
    <n v="3"/>
    <m/>
    <m/>
    <n v="0"/>
    <n v="0"/>
    <n v="0"/>
    <n v="0"/>
    <n v="0"/>
    <n v="0"/>
    <n v="0"/>
    <n v="0"/>
    <n v="0"/>
    <n v="0"/>
    <n v="0"/>
    <n v="0"/>
    <n v="0"/>
    <n v="0"/>
    <x v="0"/>
    <n v="3"/>
    <s v="MMR001CMP073"/>
    <x v="2"/>
    <x v="1"/>
    <x v="4"/>
    <n v="0"/>
    <m/>
    <m/>
  </r>
  <r>
    <n v="13.733333333333333"/>
    <d v="2015-06-04T00:00:00"/>
    <x v="5"/>
    <s v="Solidarities"/>
    <s v="Kachin"/>
    <s v="Momauk"/>
    <s v="Seng Ja "/>
    <m/>
    <m/>
    <n v="73"/>
    <m/>
    <m/>
    <m/>
    <m/>
    <m/>
    <m/>
    <m/>
    <m/>
    <m/>
    <m/>
    <m/>
    <m/>
    <m/>
    <m/>
    <n v="0"/>
    <n v="0"/>
    <n v="0"/>
    <n v="0"/>
    <n v="0"/>
    <n v="0"/>
    <n v="0"/>
    <n v="0"/>
    <n v="0"/>
    <n v="0"/>
    <n v="0"/>
    <n v="0"/>
    <n v="0"/>
    <n v="0"/>
    <x v="0"/>
    <n v="0"/>
    <s v="MMR001CMP073"/>
    <x v="2"/>
    <x v="1"/>
    <x v="4"/>
    <n v="0"/>
    <m/>
    <m/>
  </r>
  <r>
    <n v="5.4333333333333336"/>
    <d v="2016-02-08T00:00:00"/>
    <x v="5"/>
    <s v="Solidarities"/>
    <s v="Kachin"/>
    <s v="Momauk"/>
    <s v="Seng Ja "/>
    <m/>
    <m/>
    <n v="62"/>
    <m/>
    <m/>
    <m/>
    <m/>
    <m/>
    <m/>
    <m/>
    <m/>
    <m/>
    <m/>
    <m/>
    <m/>
    <m/>
    <m/>
    <n v="0"/>
    <n v="0"/>
    <n v="62"/>
    <n v="0"/>
    <n v="0"/>
    <n v="0"/>
    <n v="0"/>
    <n v="0"/>
    <n v="0"/>
    <n v="0"/>
    <n v="0"/>
    <n v="0"/>
    <n v="0"/>
    <n v="0"/>
    <x v="0"/>
    <n v="0"/>
    <s v="MMR001CMP073"/>
    <x v="2"/>
    <x v="1"/>
    <x v="4"/>
    <n v="0"/>
    <m/>
    <m/>
  </r>
  <r>
    <n v="32.1"/>
    <d v="2013-11-30T00:00:00"/>
    <x v="5"/>
    <m/>
    <s v="Kachin"/>
    <s v="Momauk"/>
    <s v="Seng Ja "/>
    <m/>
    <m/>
    <m/>
    <m/>
    <m/>
    <m/>
    <m/>
    <m/>
    <m/>
    <n v="99"/>
    <m/>
    <m/>
    <m/>
    <m/>
    <m/>
    <m/>
    <m/>
    <n v="0"/>
    <n v="0"/>
    <n v="0"/>
    <n v="0"/>
    <n v="0"/>
    <n v="0"/>
    <n v="0"/>
    <n v="0"/>
    <n v="0"/>
    <n v="0"/>
    <n v="0"/>
    <n v="0"/>
    <n v="0"/>
    <n v="0"/>
    <x v="0"/>
    <n v="0"/>
    <s v="MMR001CMP073"/>
    <x v="2"/>
    <x v="1"/>
    <x v="4"/>
    <n v="0"/>
    <s v="No"/>
    <m/>
  </r>
  <r>
    <n v="32.633333333333333"/>
    <d v="2013-11-14T00:00:00"/>
    <x v="3"/>
    <m/>
    <s v="Kachin"/>
    <s v="Momauk"/>
    <s v="Seng Ja "/>
    <m/>
    <m/>
    <m/>
    <m/>
    <m/>
    <n v="110"/>
    <m/>
    <m/>
    <m/>
    <m/>
    <m/>
    <m/>
    <m/>
    <m/>
    <m/>
    <m/>
    <m/>
    <n v="0"/>
    <n v="0"/>
    <n v="0"/>
    <n v="0"/>
    <n v="0"/>
    <n v="0"/>
    <n v="0"/>
    <n v="0"/>
    <n v="0"/>
    <n v="0"/>
    <n v="0"/>
    <n v="0"/>
    <n v="0"/>
    <n v="0"/>
    <x v="0"/>
    <n v="0"/>
    <s v="MMR001CMP073"/>
    <x v="2"/>
    <x v="1"/>
    <x v="4"/>
    <n v="0"/>
    <s v="No"/>
    <m/>
  </r>
  <r>
    <n v="41.166666666666664"/>
    <d v="2013-03-03T00:00:00"/>
    <x v="5"/>
    <s v="Solidarities"/>
    <s v="Kachin"/>
    <s v="Momauk"/>
    <s v="Seng Ja "/>
    <n v="33"/>
    <m/>
    <m/>
    <m/>
    <m/>
    <m/>
    <m/>
    <m/>
    <n v="0"/>
    <n v="0"/>
    <m/>
    <m/>
    <m/>
    <m/>
    <m/>
    <m/>
    <m/>
    <n v="0"/>
    <n v="0"/>
    <n v="0"/>
    <n v="0"/>
    <n v="0"/>
    <n v="0"/>
    <n v="0"/>
    <n v="0"/>
    <n v="0"/>
    <n v="0"/>
    <n v="0"/>
    <n v="0"/>
    <n v="0"/>
    <n v="0"/>
    <x v="0"/>
    <n v="0"/>
    <s v="MMR001CMP073"/>
    <x v="2"/>
    <x v="1"/>
    <x v="4"/>
    <n v="0"/>
    <s v="No"/>
    <m/>
  </r>
  <r>
    <n v="50.633333333333333"/>
    <d v="2012-05-23T00:00:00"/>
    <x v="0"/>
    <s v="UNHCR"/>
    <s v="Kachin"/>
    <s v="Myitkyina"/>
    <s v="Nan Kway St. John Catholic Church"/>
    <m/>
    <m/>
    <m/>
    <n v="58"/>
    <n v="29"/>
    <n v="58"/>
    <n v="29"/>
    <n v="29"/>
    <n v="29"/>
    <n v="29"/>
    <m/>
    <m/>
    <m/>
    <m/>
    <m/>
    <m/>
    <m/>
    <n v="0"/>
    <n v="0"/>
    <n v="0"/>
    <n v="0"/>
    <n v="0"/>
    <n v="0"/>
    <n v="0"/>
    <n v="0"/>
    <n v="0"/>
    <n v="0"/>
    <n v="0"/>
    <n v="0"/>
    <n v="0"/>
    <n v="0"/>
    <x v="0"/>
    <n v="0"/>
    <s v="MMR001CMP024"/>
    <x v="2"/>
    <x v="1"/>
    <x v="2"/>
    <n v="0.4264705882352941"/>
    <s v="No"/>
    <m/>
  </r>
  <r>
    <n v="50.633333333333333"/>
    <d v="2012-05-23T00:00:00"/>
    <x v="0"/>
    <s v="UNHCR"/>
    <s v="Kachin"/>
    <s v="Myitkyina"/>
    <s v="Tat Kone Baptist Church"/>
    <m/>
    <m/>
    <m/>
    <n v="54"/>
    <n v="29"/>
    <n v="54"/>
    <n v="29"/>
    <n v="29"/>
    <n v="29"/>
    <n v="29"/>
    <m/>
    <m/>
    <m/>
    <m/>
    <m/>
    <m/>
    <m/>
    <n v="0"/>
    <n v="0"/>
    <n v="0"/>
    <n v="0"/>
    <n v="0"/>
    <n v="0"/>
    <n v="0"/>
    <n v="0"/>
    <n v="0"/>
    <n v="0"/>
    <n v="0"/>
    <n v="0"/>
    <n v="0"/>
    <n v="0"/>
    <x v="0"/>
    <n v="0"/>
    <s v="MMR001CMP001"/>
    <x v="2"/>
    <x v="1"/>
    <x v="2"/>
    <n v="0.43283582089552236"/>
    <s v="No"/>
    <m/>
  </r>
  <r>
    <n v="50.7"/>
    <d v="2012-05-21T00:00:00"/>
    <x v="0"/>
    <s v="UNHCR"/>
    <s v="Kachin"/>
    <s v="Bhamo"/>
    <s v="AD-2000 Tharthana Compound"/>
    <m/>
    <m/>
    <m/>
    <n v="0"/>
    <n v="15"/>
    <n v="0"/>
    <n v="0"/>
    <n v="0"/>
    <m/>
    <m/>
    <m/>
    <m/>
    <m/>
    <m/>
    <m/>
    <m/>
    <m/>
    <n v="0"/>
    <n v="0"/>
    <n v="0"/>
    <n v="0"/>
    <n v="0"/>
    <n v="0"/>
    <n v="0"/>
    <n v="0"/>
    <n v="0"/>
    <n v="0"/>
    <n v="0"/>
    <n v="0"/>
    <n v="0"/>
    <n v="0"/>
    <x v="0"/>
    <n v="0"/>
    <s v="MMR001CMP050"/>
    <x v="2"/>
    <x v="1"/>
    <x v="2"/>
    <n v="0"/>
    <s v="No"/>
    <m/>
  </r>
  <r>
    <n v="50.9"/>
    <d v="2012-05-15T00:00:00"/>
    <x v="0"/>
    <s v="KBSS"/>
    <s v="Kachin"/>
    <s v="Bhamo"/>
    <s v="AD-2000 Tharthana Compound"/>
    <m/>
    <m/>
    <m/>
    <n v="90"/>
    <n v="0"/>
    <n v="0"/>
    <n v="0"/>
    <n v="0"/>
    <m/>
    <m/>
    <m/>
    <m/>
    <m/>
    <m/>
    <m/>
    <m/>
    <m/>
    <n v="0"/>
    <n v="0"/>
    <n v="0"/>
    <n v="0"/>
    <n v="0"/>
    <n v="0"/>
    <n v="0"/>
    <n v="0"/>
    <n v="0"/>
    <n v="0"/>
    <n v="0"/>
    <n v="0"/>
    <n v="0"/>
    <n v="0"/>
    <x v="0"/>
    <n v="0"/>
    <s v="MMR001CMP050"/>
    <x v="2"/>
    <x v="1"/>
    <x v="2"/>
    <n v="0"/>
    <s v="No"/>
    <m/>
  </r>
  <r>
    <n v="26.766666666666666"/>
    <d v="2014-05-09T00:00:00"/>
    <x v="6"/>
    <s v="MRCS"/>
    <s v="Kachin"/>
    <s v="Myitkyina"/>
    <s v="Shatapru Sut Ngai Tawng"/>
    <m/>
    <m/>
    <m/>
    <m/>
    <m/>
    <m/>
    <m/>
    <m/>
    <m/>
    <m/>
    <m/>
    <m/>
    <m/>
    <n v="208"/>
    <m/>
    <m/>
    <m/>
    <n v="0"/>
    <n v="0"/>
    <n v="0"/>
    <n v="0"/>
    <n v="0"/>
    <n v="0"/>
    <n v="0"/>
    <n v="0"/>
    <n v="0"/>
    <n v="0"/>
    <n v="0"/>
    <n v="0"/>
    <n v="0"/>
    <n v="0"/>
    <x v="1"/>
    <n v="0"/>
    <s v="MMR001CMP006"/>
    <x v="2"/>
    <x v="1"/>
    <x v="2"/>
    <n v="0"/>
    <m/>
    <m/>
  </r>
  <r>
    <n v="51.033333333333331"/>
    <d v="2012-05-11T00:00:00"/>
    <x v="0"/>
    <s v="UNHCR"/>
    <s v="Kachin"/>
    <s v="Waingmaw"/>
    <s v="Maina Catholic Church (St. Joseph)"/>
    <m/>
    <m/>
    <m/>
    <n v="57"/>
    <n v="29"/>
    <n v="57"/>
    <n v="29"/>
    <n v="29"/>
    <n v="29"/>
    <n v="29"/>
    <m/>
    <m/>
    <m/>
    <m/>
    <m/>
    <m/>
    <m/>
    <n v="0"/>
    <n v="0"/>
    <n v="0"/>
    <n v="0"/>
    <n v="0"/>
    <n v="0"/>
    <n v="0"/>
    <n v="0"/>
    <n v="0"/>
    <n v="0"/>
    <n v="0"/>
    <n v="0"/>
    <n v="0"/>
    <n v="0"/>
    <x v="0"/>
    <n v="0"/>
    <s v="MMR001CMP029"/>
    <x v="2"/>
    <x v="1"/>
    <x v="2"/>
    <n v="0.13063063063063063"/>
    <s v="No"/>
    <m/>
  </r>
  <r>
    <n v="41.9"/>
    <d v="2013-02-09T00:00:00"/>
    <x v="2"/>
    <s v="MRCS"/>
    <s v="Kachin"/>
    <s v="Myitkyina"/>
    <s v="Shatapru Sut Ngai Tawng"/>
    <m/>
    <m/>
    <m/>
    <m/>
    <n v="109"/>
    <n v="10"/>
    <n v="10"/>
    <m/>
    <n v="0"/>
    <n v="0"/>
    <m/>
    <m/>
    <m/>
    <m/>
    <m/>
    <m/>
    <m/>
    <n v="0"/>
    <n v="0"/>
    <n v="0"/>
    <n v="0"/>
    <n v="0"/>
    <n v="0"/>
    <n v="0"/>
    <n v="0"/>
    <n v="0"/>
    <n v="0"/>
    <n v="0"/>
    <n v="0"/>
    <n v="0"/>
    <n v="0"/>
    <x v="0"/>
    <n v="0"/>
    <s v="MMR001CMP006"/>
    <x v="2"/>
    <x v="1"/>
    <x v="2"/>
    <n v="0.1111111111111111"/>
    <s v="No"/>
    <m/>
  </r>
  <r>
    <n v="42.033333333333331"/>
    <d v="2013-02-05T00:00:00"/>
    <x v="2"/>
    <s v="MRCS"/>
    <s v="Kachin"/>
    <s v="Myitkyina"/>
    <s v="Shatapru Sut Ngai Tawng"/>
    <n v="36"/>
    <m/>
    <m/>
    <m/>
    <m/>
    <m/>
    <m/>
    <m/>
    <n v="0"/>
    <n v="0"/>
    <m/>
    <m/>
    <m/>
    <m/>
    <m/>
    <m/>
    <m/>
    <n v="0"/>
    <n v="0"/>
    <n v="0"/>
    <n v="0"/>
    <n v="0"/>
    <n v="0"/>
    <n v="0"/>
    <n v="0"/>
    <n v="0"/>
    <n v="0"/>
    <n v="0"/>
    <n v="0"/>
    <n v="0"/>
    <n v="0"/>
    <x v="0"/>
    <n v="0"/>
    <s v="MMR001CMP006"/>
    <x v="2"/>
    <x v="1"/>
    <x v="2"/>
    <n v="0"/>
    <s v="No"/>
    <m/>
  </r>
  <r>
    <n v="51.033333333333331"/>
    <d v="2012-05-11T00:00:00"/>
    <x v="0"/>
    <s v="UNHCR"/>
    <s v="Kachin"/>
    <s v="Waingmaw"/>
    <s v="Maina KBC (Bawng Ring)"/>
    <m/>
    <m/>
    <m/>
    <n v="50"/>
    <n v="25"/>
    <n v="50"/>
    <n v="24"/>
    <n v="13"/>
    <n v="13"/>
    <n v="13"/>
    <m/>
    <m/>
    <m/>
    <m/>
    <m/>
    <m/>
    <m/>
    <n v="0"/>
    <n v="0"/>
    <n v="0"/>
    <n v="0"/>
    <n v="0"/>
    <n v="0"/>
    <n v="0"/>
    <n v="0"/>
    <n v="0"/>
    <n v="0"/>
    <n v="0"/>
    <n v="0"/>
    <n v="0"/>
    <n v="0"/>
    <x v="0"/>
    <n v="0"/>
    <s v="MMR001CMP040"/>
    <x v="2"/>
    <x v="1"/>
    <x v="2"/>
    <n v="6.0606060606060608E-2"/>
    <s v="No"/>
    <m/>
  </r>
  <r>
    <n v="51.033333333333331"/>
    <d v="2012-05-11T00:00:00"/>
    <x v="0"/>
    <s v="KBSS"/>
    <s v="Kachin"/>
    <s v="Shwegu"/>
    <s v="Shwe Gu Baptist Church"/>
    <m/>
    <m/>
    <m/>
    <n v="38"/>
    <n v="23"/>
    <n v="38"/>
    <n v="23"/>
    <n v="23"/>
    <n v="23"/>
    <n v="23"/>
    <m/>
    <m/>
    <m/>
    <m/>
    <m/>
    <m/>
    <m/>
    <n v="0"/>
    <n v="0"/>
    <n v="0"/>
    <n v="0"/>
    <n v="0"/>
    <n v="0"/>
    <n v="0"/>
    <n v="0"/>
    <n v="0"/>
    <n v="0"/>
    <n v="0"/>
    <n v="0"/>
    <n v="0"/>
    <n v="0"/>
    <x v="0"/>
    <n v="0"/>
    <s v="MMR001CMP067"/>
    <x v="2"/>
    <x v="1"/>
    <x v="2"/>
    <n v="0.26744186046511625"/>
    <s v="No"/>
    <m/>
  </r>
  <r>
    <n v="51.033333333333331"/>
    <d v="2012-05-11T00:00:00"/>
    <x v="0"/>
    <s v="KBSS"/>
    <s v="Kachin"/>
    <s v="Shwegu"/>
    <s v="Shwe Gu Catholic Church"/>
    <m/>
    <m/>
    <m/>
    <n v="37"/>
    <n v="22"/>
    <n v="37"/>
    <n v="22"/>
    <n v="22"/>
    <n v="22"/>
    <n v="22"/>
    <m/>
    <m/>
    <m/>
    <m/>
    <m/>
    <m/>
    <m/>
    <n v="0"/>
    <n v="0"/>
    <n v="0"/>
    <n v="0"/>
    <n v="0"/>
    <n v="0"/>
    <n v="0"/>
    <n v="0"/>
    <n v="0"/>
    <n v="0"/>
    <n v="0"/>
    <n v="0"/>
    <n v="0"/>
    <n v="0"/>
    <x v="0"/>
    <n v="0"/>
    <s v="MMR001CMP068"/>
    <x v="2"/>
    <x v="1"/>
    <x v="2"/>
    <n v="0.53658536585365857"/>
    <s v="No"/>
    <m/>
  </r>
  <r>
    <n v="26.366666666666667"/>
    <d v="2014-05-21T00:00:00"/>
    <x v="6"/>
    <s v="MRCS"/>
    <s v="Kachin"/>
    <s v="Myitkyina"/>
    <s v="Shatapru Thida Aye Baptist Church"/>
    <m/>
    <m/>
    <m/>
    <m/>
    <m/>
    <m/>
    <m/>
    <m/>
    <m/>
    <m/>
    <m/>
    <m/>
    <m/>
    <n v="30"/>
    <m/>
    <m/>
    <m/>
    <n v="0"/>
    <n v="0"/>
    <n v="0"/>
    <n v="0"/>
    <n v="0"/>
    <n v="0"/>
    <n v="0"/>
    <n v="0"/>
    <n v="0"/>
    <n v="0"/>
    <n v="0"/>
    <n v="0"/>
    <n v="0"/>
    <n v="0"/>
    <x v="1"/>
    <n v="0"/>
    <s v="MMR001CMP007"/>
    <x v="2"/>
    <x v="1"/>
    <x v="2"/>
    <n v="0"/>
    <m/>
    <m/>
  </r>
  <r>
    <n v="43.233333333333334"/>
    <d v="2012-12-31T00:00:00"/>
    <x v="3"/>
    <s v="DRC"/>
    <s v="Kachin"/>
    <s v="Myitkyina"/>
    <s v="Shatapru Thida Aye Baptist Church"/>
    <n v="17"/>
    <m/>
    <m/>
    <m/>
    <m/>
    <m/>
    <m/>
    <m/>
    <n v="0"/>
    <n v="0"/>
    <m/>
    <m/>
    <m/>
    <m/>
    <m/>
    <m/>
    <m/>
    <n v="0"/>
    <n v="0"/>
    <n v="0"/>
    <n v="0"/>
    <n v="0"/>
    <n v="0"/>
    <n v="0"/>
    <n v="0"/>
    <n v="0"/>
    <n v="0"/>
    <n v="0"/>
    <n v="0"/>
    <n v="0"/>
    <n v="0"/>
    <x v="0"/>
    <n v="0"/>
    <s v="MMR001CMP007"/>
    <x v="2"/>
    <x v="1"/>
    <x v="2"/>
    <n v="0"/>
    <s v="No"/>
    <m/>
  </r>
  <r>
    <n v="51.1"/>
    <d v="2012-05-09T00:00:00"/>
    <x v="0"/>
    <s v="UNHCR"/>
    <s v="Kachin"/>
    <s v="Waingmaw"/>
    <s v="Waingmaw Baptist Zonal Office"/>
    <m/>
    <m/>
    <m/>
    <n v="161"/>
    <n v="83"/>
    <n v="161"/>
    <n v="83"/>
    <n v="83"/>
    <n v="83"/>
    <n v="83"/>
    <m/>
    <m/>
    <m/>
    <m/>
    <m/>
    <m/>
    <m/>
    <n v="0"/>
    <n v="0"/>
    <n v="0"/>
    <n v="0"/>
    <n v="0"/>
    <n v="0"/>
    <n v="0"/>
    <n v="0"/>
    <n v="0"/>
    <n v="0"/>
    <n v="0"/>
    <n v="0"/>
    <n v="0"/>
    <n v="0"/>
    <x v="0"/>
    <n v="0"/>
    <s v="MMR001CMP036"/>
    <x v="2"/>
    <x v="2"/>
    <x v="2"/>
    <s v=""/>
    <s v="No"/>
    <m/>
  </r>
  <r>
    <n v="51.3"/>
    <d v="2012-05-03T00:00:00"/>
    <x v="0"/>
    <s v="UNHCR"/>
    <s v="Kachin"/>
    <s v="Waingmaw"/>
    <s v="Maina AG Church"/>
    <m/>
    <m/>
    <m/>
    <n v="42"/>
    <n v="0"/>
    <n v="42"/>
    <n v="0"/>
    <n v="20"/>
    <n v="20"/>
    <n v="20"/>
    <m/>
    <m/>
    <m/>
    <m/>
    <m/>
    <m/>
    <m/>
    <n v="0"/>
    <n v="0"/>
    <n v="0"/>
    <n v="0"/>
    <n v="0"/>
    <n v="0"/>
    <n v="0"/>
    <n v="0"/>
    <n v="0"/>
    <n v="0"/>
    <n v="0"/>
    <n v="0"/>
    <n v="0"/>
    <n v="0"/>
    <x v="0"/>
    <n v="0"/>
    <s v="MMR001CMP031"/>
    <x v="2"/>
    <x v="1"/>
    <x v="2"/>
    <n v="0"/>
    <s v="No"/>
    <m/>
  </r>
  <r>
    <n v="51.3"/>
    <d v="2012-05-03T00:00:00"/>
    <x v="0"/>
    <s v="UNHCR"/>
    <s v="Kachin"/>
    <s v="Myitkyina"/>
    <s v="Myay Myint Baptist Church"/>
    <m/>
    <m/>
    <m/>
    <n v="0"/>
    <n v="0"/>
    <n v="0"/>
    <n v="0"/>
    <n v="5"/>
    <n v="5"/>
    <n v="5"/>
    <m/>
    <m/>
    <m/>
    <m/>
    <m/>
    <m/>
    <m/>
    <n v="0"/>
    <n v="0"/>
    <n v="0"/>
    <n v="0"/>
    <n v="0"/>
    <n v="0"/>
    <n v="0"/>
    <n v="0"/>
    <n v="0"/>
    <n v="0"/>
    <n v="0"/>
    <n v="0"/>
    <n v="0"/>
    <n v="0"/>
    <x v="0"/>
    <n v="0"/>
    <s v="MMR001CMP017"/>
    <x v="2"/>
    <x v="2"/>
    <x v="2"/>
    <s v=""/>
    <s v="No"/>
    <m/>
  </r>
  <r>
    <n v="51.3"/>
    <d v="2012-05-03T00:00:00"/>
    <x v="0"/>
    <s v="UNHCR"/>
    <s v="Kachin"/>
    <s v="Waingmaw"/>
    <s v="Qtr. 3 Mu-yin  Baptist Church"/>
    <m/>
    <m/>
    <m/>
    <n v="12"/>
    <n v="0"/>
    <n v="12"/>
    <n v="6"/>
    <n v="6"/>
    <n v="6"/>
    <n v="6"/>
    <m/>
    <m/>
    <m/>
    <m/>
    <m/>
    <m/>
    <m/>
    <n v="0"/>
    <n v="0"/>
    <n v="0"/>
    <n v="0"/>
    <n v="0"/>
    <n v="0"/>
    <n v="0"/>
    <n v="0"/>
    <n v="0"/>
    <n v="0"/>
    <n v="0"/>
    <n v="0"/>
    <n v="0"/>
    <n v="0"/>
    <x v="0"/>
    <n v="0"/>
    <s v="MMR001CMP030"/>
    <x v="2"/>
    <x v="1"/>
    <x v="2"/>
    <n v="0.19354838709677419"/>
    <s v="No"/>
    <m/>
  </r>
  <r>
    <n v="51.3"/>
    <d v="2012-05-03T00:00:00"/>
    <x v="0"/>
    <s v="UNHCR"/>
    <s v="Kachin"/>
    <s v="Waingmaw"/>
    <s v="Qtr. 4 Monestry (Thargaya Thayett Taw)"/>
    <m/>
    <m/>
    <m/>
    <n v="34"/>
    <n v="0"/>
    <n v="34"/>
    <n v="0"/>
    <n v="18"/>
    <n v="18"/>
    <n v="18"/>
    <m/>
    <m/>
    <m/>
    <m/>
    <m/>
    <m/>
    <m/>
    <n v="0"/>
    <n v="0"/>
    <n v="0"/>
    <n v="0"/>
    <n v="0"/>
    <n v="0"/>
    <n v="0"/>
    <n v="0"/>
    <n v="0"/>
    <n v="0"/>
    <n v="0"/>
    <n v="0"/>
    <n v="0"/>
    <n v="0"/>
    <x v="0"/>
    <n v="0"/>
    <s v="MMR001CMP026"/>
    <x v="2"/>
    <x v="1"/>
    <x v="2"/>
    <n v="0"/>
    <s v="No"/>
    <m/>
  </r>
  <r>
    <n v="22.933333333333334"/>
    <d v="2014-09-01T00:00:00"/>
    <x v="10"/>
    <m/>
    <s v="Kachin"/>
    <s v="Waingmaw"/>
    <s v="Shing Jai"/>
    <m/>
    <m/>
    <m/>
    <m/>
    <m/>
    <m/>
    <m/>
    <m/>
    <m/>
    <m/>
    <m/>
    <n v="288"/>
    <m/>
    <m/>
    <m/>
    <m/>
    <m/>
    <n v="0"/>
    <n v="0"/>
    <n v="0"/>
    <n v="0"/>
    <n v="0"/>
    <n v="0"/>
    <n v="0"/>
    <n v="0"/>
    <n v="0"/>
    <n v="0"/>
    <n v="0"/>
    <n v="0"/>
    <n v="0"/>
    <n v="0"/>
    <x v="1"/>
    <n v="0"/>
    <s v="MMR001CMP041"/>
    <x v="2"/>
    <x v="1"/>
    <x v="3"/>
    <n v="0"/>
    <m/>
    <m/>
  </r>
  <r>
    <n v="30.233333333333334"/>
    <d v="2014-01-25T00:00:00"/>
    <x v="10"/>
    <s v="KBC"/>
    <s v="Kachin"/>
    <s v="Waingmaw"/>
    <s v="Shing Jai"/>
    <m/>
    <m/>
    <m/>
    <m/>
    <m/>
    <n v="198"/>
    <n v="198"/>
    <n v="198"/>
    <m/>
    <n v="198"/>
    <m/>
    <m/>
    <m/>
    <m/>
    <m/>
    <m/>
    <m/>
    <n v="0"/>
    <n v="0"/>
    <n v="0"/>
    <n v="0"/>
    <n v="0"/>
    <n v="0"/>
    <n v="0"/>
    <n v="0"/>
    <n v="0"/>
    <n v="0"/>
    <n v="0"/>
    <n v="0"/>
    <n v="0"/>
    <n v="0"/>
    <x v="0"/>
    <n v="0"/>
    <s v="MMR001CMP041"/>
    <x v="2"/>
    <x v="1"/>
    <x v="3"/>
    <n v="1.1061452513966481"/>
    <s v="No"/>
    <m/>
  </r>
  <r>
    <n v="31.533333333333335"/>
    <d v="2013-12-17T00:00:00"/>
    <x v="5"/>
    <s v="KBC"/>
    <s v="Kachin"/>
    <s v="Waingmaw"/>
    <s v="Shing Jai"/>
    <m/>
    <m/>
    <m/>
    <m/>
    <m/>
    <m/>
    <m/>
    <m/>
    <m/>
    <m/>
    <n v="188"/>
    <n v="343"/>
    <n v="1062"/>
    <n v="531"/>
    <m/>
    <m/>
    <m/>
    <n v="0"/>
    <n v="0"/>
    <n v="0"/>
    <n v="0"/>
    <n v="0"/>
    <n v="0"/>
    <n v="0"/>
    <n v="0"/>
    <n v="0"/>
    <n v="0"/>
    <n v="0"/>
    <n v="0"/>
    <n v="0"/>
    <n v="0"/>
    <x v="1"/>
    <n v="0"/>
    <s v="MMR001CMP041"/>
    <x v="2"/>
    <x v="1"/>
    <x v="3"/>
    <n v="0"/>
    <m/>
    <m/>
  </r>
  <r>
    <n v="32.1"/>
    <d v="2013-11-30T00:00:00"/>
    <x v="5"/>
    <s v="KBC"/>
    <s v="Kachin"/>
    <s v="Waingmaw"/>
    <s v="Shing Jai"/>
    <m/>
    <m/>
    <m/>
    <m/>
    <m/>
    <m/>
    <m/>
    <m/>
    <m/>
    <m/>
    <m/>
    <m/>
    <m/>
    <m/>
    <m/>
    <m/>
    <m/>
    <n v="0"/>
    <n v="0"/>
    <n v="0"/>
    <n v="0"/>
    <n v="0"/>
    <n v="0"/>
    <n v="0"/>
    <n v="0"/>
    <n v="0"/>
    <n v="0"/>
    <n v="0"/>
    <n v="0"/>
    <n v="0"/>
    <n v="0"/>
    <x v="0"/>
    <n v="0"/>
    <s v="MMR001CMP041"/>
    <x v="2"/>
    <x v="1"/>
    <x v="3"/>
    <n v="0"/>
    <s v="No"/>
    <m/>
  </r>
  <r>
    <n v="42.2"/>
    <d v="2013-01-31T00:00:00"/>
    <x v="7"/>
    <s v="World Vision"/>
    <s v="Kachin"/>
    <s v="Waingmaw"/>
    <s v="Shing Jai"/>
    <m/>
    <m/>
    <m/>
    <m/>
    <m/>
    <n v="358"/>
    <m/>
    <m/>
    <n v="0"/>
    <n v="0"/>
    <m/>
    <m/>
    <m/>
    <m/>
    <m/>
    <m/>
    <m/>
    <n v="0"/>
    <n v="0"/>
    <n v="0"/>
    <n v="0"/>
    <n v="0"/>
    <n v="0"/>
    <n v="0"/>
    <n v="0"/>
    <n v="0"/>
    <n v="0"/>
    <n v="0"/>
    <n v="0"/>
    <n v="0"/>
    <n v="0"/>
    <x v="0"/>
    <n v="0"/>
    <s v="MMR001CMP041"/>
    <x v="2"/>
    <x v="1"/>
    <x v="3"/>
    <n v="0"/>
    <s v="No"/>
    <m/>
  </r>
  <r>
    <n v="51.366666666666667"/>
    <d v="2012-05-01T00:00:00"/>
    <x v="0"/>
    <s v="UNHCR"/>
    <s v="Kachin"/>
    <s v="Waingmaw"/>
    <s v="Qtr. 4 Monestry (Thargaya Thayett Taw)"/>
    <m/>
    <m/>
    <m/>
    <n v="52"/>
    <n v="0"/>
    <n v="52"/>
    <n v="0"/>
    <n v="24"/>
    <n v="24"/>
    <n v="24"/>
    <m/>
    <m/>
    <m/>
    <m/>
    <m/>
    <m/>
    <m/>
    <n v="0"/>
    <n v="0"/>
    <n v="0"/>
    <n v="0"/>
    <n v="0"/>
    <n v="0"/>
    <n v="0"/>
    <n v="0"/>
    <n v="0"/>
    <n v="0"/>
    <n v="0"/>
    <n v="0"/>
    <n v="0"/>
    <n v="0"/>
    <x v="0"/>
    <n v="0"/>
    <s v="MMR001CMP026"/>
    <x v="2"/>
    <x v="1"/>
    <x v="2"/>
    <n v="0"/>
    <s v="No"/>
    <m/>
  </r>
  <r>
    <n v="51.56666666666667"/>
    <d v="2012-04-25T00:00:00"/>
    <x v="0"/>
    <s v="UNHCR"/>
    <s v="Kachin"/>
    <s v="Momauk"/>
    <s v="Dum Bung "/>
    <m/>
    <m/>
    <m/>
    <n v="198"/>
    <n v="99"/>
    <n v="198"/>
    <n v="99"/>
    <n v="99"/>
    <n v="99"/>
    <n v="99"/>
    <m/>
    <m/>
    <m/>
    <m/>
    <m/>
    <m/>
    <m/>
    <n v="0"/>
    <n v="0"/>
    <n v="0"/>
    <n v="0"/>
    <n v="0"/>
    <n v="0"/>
    <n v="0"/>
    <n v="0"/>
    <n v="0"/>
    <n v="0"/>
    <n v="0"/>
    <n v="0"/>
    <n v="0"/>
    <n v="0"/>
    <x v="0"/>
    <n v="0"/>
    <s v="MMR001CMP123"/>
    <x v="2"/>
    <x v="1"/>
    <x v="5"/>
    <n v="0.85344827586206895"/>
    <s v="No"/>
    <m/>
  </r>
  <r>
    <n v="51.56666666666667"/>
    <d v="2012-04-25T00:00:00"/>
    <x v="0"/>
    <s v="UNHCR"/>
    <s v="Kachin"/>
    <s v="Myitkyina"/>
    <s v="Wun Tho Buddhist Monastery"/>
    <m/>
    <m/>
    <m/>
    <n v="39"/>
    <n v="19"/>
    <n v="78"/>
    <n v="19"/>
    <n v="0"/>
    <m/>
    <m/>
    <m/>
    <m/>
    <m/>
    <m/>
    <m/>
    <m/>
    <m/>
    <n v="0"/>
    <n v="0"/>
    <n v="0"/>
    <n v="0"/>
    <n v="0"/>
    <n v="0"/>
    <n v="0"/>
    <n v="0"/>
    <n v="0"/>
    <n v="0"/>
    <n v="0"/>
    <n v="0"/>
    <n v="0"/>
    <n v="0"/>
    <x v="0"/>
    <n v="0"/>
    <s v="MMR001CMP022"/>
    <x v="2"/>
    <x v="1"/>
    <x v="2"/>
    <n v="2.7142857142857144"/>
    <s v="No"/>
    <m/>
  </r>
  <r>
    <n v="25.533333333333335"/>
    <d v="2014-06-15T00:00:00"/>
    <x v="6"/>
    <s v="MRCS"/>
    <s v="Kachin"/>
    <s v="Shwegu"/>
    <s v="Shwe Gu Baptist Church"/>
    <m/>
    <m/>
    <m/>
    <m/>
    <m/>
    <m/>
    <m/>
    <m/>
    <m/>
    <m/>
    <m/>
    <m/>
    <m/>
    <n v="158"/>
    <m/>
    <m/>
    <m/>
    <n v="0"/>
    <n v="0"/>
    <n v="0"/>
    <n v="0"/>
    <n v="0"/>
    <n v="0"/>
    <n v="0"/>
    <n v="0"/>
    <n v="0"/>
    <n v="0"/>
    <n v="0"/>
    <n v="0"/>
    <n v="0"/>
    <n v="0"/>
    <x v="1"/>
    <n v="0"/>
    <s v="MMR001CMP067"/>
    <x v="2"/>
    <x v="1"/>
    <x v="2"/>
    <n v="0"/>
    <m/>
    <m/>
  </r>
  <r>
    <n v="32.1"/>
    <d v="2013-11-30T00:00:00"/>
    <x v="4"/>
    <s v="MDCG"/>
    <s v="Kachin"/>
    <s v="Shwegu"/>
    <s v="Shwe Gu Baptist Church"/>
    <m/>
    <m/>
    <m/>
    <m/>
    <m/>
    <n v="197"/>
    <m/>
    <m/>
    <m/>
    <m/>
    <n v="226"/>
    <n v="68"/>
    <n v="0"/>
    <m/>
    <m/>
    <m/>
    <m/>
    <n v="0"/>
    <n v="0"/>
    <n v="0"/>
    <n v="0"/>
    <n v="0"/>
    <n v="0"/>
    <n v="0"/>
    <n v="0"/>
    <n v="0"/>
    <n v="0"/>
    <n v="0"/>
    <n v="0"/>
    <n v="0"/>
    <n v="0"/>
    <x v="1"/>
    <n v="0"/>
    <s v="MMR001CMP067"/>
    <x v="2"/>
    <x v="1"/>
    <x v="2"/>
    <n v="0"/>
    <s v="No"/>
    <m/>
  </r>
  <r>
    <n v="32.1"/>
    <d v="2013-11-30T00:00:00"/>
    <x v="5"/>
    <m/>
    <s v="Kachin"/>
    <s v="Shwegu"/>
    <s v="Shwe Gu Baptist Church"/>
    <m/>
    <m/>
    <m/>
    <m/>
    <m/>
    <m/>
    <m/>
    <m/>
    <m/>
    <n v="204"/>
    <m/>
    <m/>
    <m/>
    <m/>
    <m/>
    <m/>
    <m/>
    <n v="0"/>
    <n v="0"/>
    <n v="0"/>
    <n v="0"/>
    <n v="0"/>
    <n v="0"/>
    <n v="0"/>
    <n v="0"/>
    <n v="0"/>
    <n v="0"/>
    <n v="0"/>
    <n v="0"/>
    <n v="0"/>
    <n v="0"/>
    <x v="0"/>
    <n v="0"/>
    <s v="MMR001CMP067"/>
    <x v="2"/>
    <x v="1"/>
    <x v="2"/>
    <n v="0"/>
    <s v="No"/>
    <m/>
  </r>
  <r>
    <n v="52.9"/>
    <d v="2012-03-16T00:00:00"/>
    <x v="5"/>
    <s v="LDO"/>
    <s v="Kachin"/>
    <s v="Shwegu"/>
    <s v="Shwe Gu Baptist Church"/>
    <n v="94"/>
    <m/>
    <m/>
    <m/>
    <m/>
    <m/>
    <m/>
    <m/>
    <m/>
    <m/>
    <m/>
    <m/>
    <m/>
    <m/>
    <m/>
    <m/>
    <m/>
    <n v="0"/>
    <n v="0"/>
    <n v="0"/>
    <n v="0"/>
    <n v="0"/>
    <n v="0"/>
    <n v="0"/>
    <n v="0"/>
    <n v="0"/>
    <n v="0"/>
    <n v="0"/>
    <n v="0"/>
    <n v="0"/>
    <n v="0"/>
    <x v="0"/>
    <n v="0"/>
    <s v="MMR001CMP067"/>
    <x v="2"/>
    <x v="1"/>
    <x v="2"/>
    <n v="0"/>
    <m/>
    <m/>
  </r>
  <r>
    <n v="46.7"/>
    <d v="2012-09-18T00:00:00"/>
    <x v="5"/>
    <s v="LDO"/>
    <s v="Kachin"/>
    <s v="Shwegu"/>
    <s v="Shwe Gu Baptist Church"/>
    <n v="98"/>
    <m/>
    <m/>
    <m/>
    <m/>
    <m/>
    <m/>
    <m/>
    <m/>
    <m/>
    <m/>
    <m/>
    <m/>
    <m/>
    <m/>
    <m/>
    <m/>
    <n v="0"/>
    <n v="0"/>
    <n v="0"/>
    <n v="0"/>
    <n v="0"/>
    <n v="0"/>
    <n v="0"/>
    <n v="0"/>
    <n v="0"/>
    <n v="0"/>
    <n v="0"/>
    <n v="0"/>
    <n v="0"/>
    <n v="0"/>
    <x v="0"/>
    <n v="0"/>
    <s v="MMR001CMP067"/>
    <x v="2"/>
    <x v="1"/>
    <x v="2"/>
    <n v="0"/>
    <m/>
    <m/>
  </r>
  <r>
    <n v="42.233333333333334"/>
    <d v="2013-01-30T00:00:00"/>
    <x v="5"/>
    <s v="LDO"/>
    <s v="Kachin"/>
    <s v="Shwegu"/>
    <s v="Shwe Gu Baptist Church"/>
    <n v="272"/>
    <m/>
    <m/>
    <m/>
    <m/>
    <m/>
    <m/>
    <m/>
    <n v="0"/>
    <n v="0"/>
    <m/>
    <m/>
    <m/>
    <m/>
    <m/>
    <m/>
    <m/>
    <n v="0"/>
    <n v="0"/>
    <n v="0"/>
    <n v="0"/>
    <n v="0"/>
    <n v="0"/>
    <n v="0"/>
    <n v="0"/>
    <n v="0"/>
    <n v="0"/>
    <n v="0"/>
    <n v="0"/>
    <n v="0"/>
    <n v="0"/>
    <x v="0"/>
    <n v="0"/>
    <s v="MMR001CMP067"/>
    <x v="2"/>
    <x v="1"/>
    <x v="2"/>
    <n v="0"/>
    <s v="No"/>
    <m/>
  </r>
  <r>
    <n v="51.666666666666664"/>
    <d v="2012-04-22T00:00:00"/>
    <x v="0"/>
    <s v="UNHCR"/>
    <s v="Kachin"/>
    <s v="Momauk"/>
    <s v="Je Gau  (+ WaRaPa )"/>
    <m/>
    <m/>
    <m/>
    <n v="846"/>
    <n v="423"/>
    <n v="846"/>
    <n v="423"/>
    <n v="423"/>
    <n v="423"/>
    <n v="423"/>
    <m/>
    <m/>
    <m/>
    <m/>
    <m/>
    <m/>
    <m/>
    <n v="0"/>
    <n v="0"/>
    <n v="0"/>
    <n v="0"/>
    <n v="0"/>
    <n v="0"/>
    <n v="0"/>
    <n v="0"/>
    <n v="0"/>
    <n v="0"/>
    <n v="0"/>
    <n v="0"/>
    <n v="0"/>
    <n v="0"/>
    <x v="0"/>
    <n v="0"/>
    <s v=""/>
    <x v="0"/>
    <x v="0"/>
    <x v="0"/>
    <s v=""/>
    <s v="No"/>
    <m/>
  </r>
  <r>
    <n v="52"/>
    <d v="2012-04-12T00:00:00"/>
    <x v="0"/>
    <s v="UNHCR"/>
    <s v="Kachin"/>
    <s v="Waingmaw"/>
    <s v="Post 6 Camp"/>
    <m/>
    <m/>
    <m/>
    <n v="123"/>
    <n v="95"/>
    <n v="123"/>
    <n v="95"/>
    <n v="95"/>
    <n v="95"/>
    <n v="95"/>
    <m/>
    <m/>
    <m/>
    <m/>
    <m/>
    <m/>
    <m/>
    <n v="0"/>
    <n v="0"/>
    <n v="0"/>
    <n v="0"/>
    <n v="0"/>
    <n v="0"/>
    <n v="0"/>
    <n v="0"/>
    <n v="0"/>
    <n v="0"/>
    <n v="0"/>
    <n v="0"/>
    <n v="0"/>
    <n v="0"/>
    <x v="0"/>
    <n v="0"/>
    <s v="MMR001CMP160"/>
    <x v="2"/>
    <x v="1"/>
    <x v="3"/>
    <n v="0.96938775510204078"/>
    <s v="No"/>
    <m/>
  </r>
  <r>
    <n v="52.06666666666667"/>
    <d v="2012-04-10T00:00:00"/>
    <x v="0"/>
    <s v="KBSS"/>
    <s v="Kachin"/>
    <s v="Shwegu"/>
    <s v="Shwe Gu Baptist Church"/>
    <m/>
    <m/>
    <m/>
    <n v="46"/>
    <n v="27"/>
    <n v="46"/>
    <n v="27"/>
    <n v="27"/>
    <n v="27"/>
    <n v="27"/>
    <m/>
    <m/>
    <m/>
    <m/>
    <m/>
    <m/>
    <m/>
    <n v="0"/>
    <n v="0"/>
    <n v="0"/>
    <n v="0"/>
    <n v="0"/>
    <n v="0"/>
    <n v="0"/>
    <n v="0"/>
    <n v="0"/>
    <n v="0"/>
    <n v="0"/>
    <n v="0"/>
    <n v="0"/>
    <n v="0"/>
    <x v="0"/>
    <n v="0"/>
    <s v="MMR001CMP067"/>
    <x v="2"/>
    <x v="1"/>
    <x v="2"/>
    <n v="0.31395348837209303"/>
    <s v="No"/>
    <m/>
  </r>
  <r>
    <n v="52.06666666666667"/>
    <d v="2012-04-10T00:00:00"/>
    <x v="0"/>
    <s v="KBSS"/>
    <s v="Kachin"/>
    <s v="Shwegu"/>
    <s v="Shwe Gu Catholic Church"/>
    <m/>
    <m/>
    <m/>
    <n v="43"/>
    <n v="25"/>
    <n v="43"/>
    <n v="25"/>
    <n v="25"/>
    <n v="25"/>
    <n v="25"/>
    <m/>
    <m/>
    <m/>
    <m/>
    <m/>
    <m/>
    <m/>
    <n v="0"/>
    <n v="0"/>
    <n v="0"/>
    <n v="0"/>
    <n v="0"/>
    <n v="0"/>
    <n v="0"/>
    <n v="0"/>
    <n v="0"/>
    <n v="0"/>
    <n v="0"/>
    <n v="0"/>
    <n v="0"/>
    <n v="0"/>
    <x v="0"/>
    <n v="0"/>
    <s v="MMR001CMP068"/>
    <x v="2"/>
    <x v="1"/>
    <x v="2"/>
    <n v="0.6097560975609756"/>
    <s v="No"/>
    <m/>
  </r>
  <r>
    <n v="25.533333333333335"/>
    <d v="2014-06-15T00:00:00"/>
    <x v="6"/>
    <s v="MRCS"/>
    <s v="Kachin"/>
    <s v="Shwegu"/>
    <s v="Shwe Gu Catholic Church"/>
    <m/>
    <m/>
    <m/>
    <m/>
    <m/>
    <m/>
    <m/>
    <m/>
    <m/>
    <m/>
    <m/>
    <m/>
    <m/>
    <n v="112"/>
    <m/>
    <m/>
    <m/>
    <n v="0"/>
    <n v="0"/>
    <n v="0"/>
    <n v="0"/>
    <n v="0"/>
    <n v="0"/>
    <n v="0"/>
    <n v="0"/>
    <n v="0"/>
    <n v="0"/>
    <n v="0"/>
    <n v="0"/>
    <n v="0"/>
    <n v="0"/>
    <x v="1"/>
    <n v="0"/>
    <s v="MMR001CMP068"/>
    <x v="2"/>
    <x v="1"/>
    <x v="2"/>
    <n v="0"/>
    <m/>
    <m/>
  </r>
  <r>
    <n v="32.1"/>
    <d v="2013-11-30T00:00:00"/>
    <x v="4"/>
    <s v="MDCG"/>
    <s v="Kachin"/>
    <s v="Shwegu"/>
    <s v="Shwe Gu Catholic Church"/>
    <m/>
    <m/>
    <m/>
    <m/>
    <m/>
    <n v="142"/>
    <m/>
    <m/>
    <m/>
    <m/>
    <n v="182"/>
    <n v="60"/>
    <n v="0"/>
    <m/>
    <m/>
    <m/>
    <m/>
    <n v="0"/>
    <n v="0"/>
    <n v="0"/>
    <n v="0"/>
    <n v="0"/>
    <n v="0"/>
    <n v="0"/>
    <n v="0"/>
    <n v="0"/>
    <n v="0"/>
    <n v="0"/>
    <n v="0"/>
    <n v="0"/>
    <n v="0"/>
    <x v="1"/>
    <n v="0"/>
    <s v="MMR001CMP068"/>
    <x v="2"/>
    <x v="1"/>
    <x v="2"/>
    <n v="0"/>
    <s v="No"/>
    <m/>
  </r>
  <r>
    <n v="32.1"/>
    <d v="2013-11-30T00:00:00"/>
    <x v="5"/>
    <m/>
    <s v="Kachin"/>
    <s v="Shwegu"/>
    <s v="Shwe Gu Catholic Church"/>
    <m/>
    <m/>
    <m/>
    <m/>
    <m/>
    <m/>
    <m/>
    <m/>
    <m/>
    <n v="126"/>
    <m/>
    <m/>
    <m/>
    <m/>
    <m/>
    <m/>
    <m/>
    <n v="0"/>
    <n v="0"/>
    <n v="0"/>
    <n v="0"/>
    <n v="0"/>
    <n v="0"/>
    <n v="0"/>
    <n v="0"/>
    <n v="0"/>
    <n v="0"/>
    <n v="0"/>
    <n v="0"/>
    <n v="0"/>
    <n v="0"/>
    <x v="0"/>
    <n v="0"/>
    <s v="MMR001CMP068"/>
    <x v="2"/>
    <x v="1"/>
    <x v="2"/>
    <n v="0"/>
    <s v="No"/>
    <m/>
  </r>
  <r>
    <n v="52.9"/>
    <d v="2012-03-16T00:00:00"/>
    <x v="5"/>
    <s v="LDO"/>
    <s v="Kachin"/>
    <s v="Shwegu"/>
    <s v="Shwe Gu Catholic Church"/>
    <n v="49"/>
    <m/>
    <m/>
    <m/>
    <m/>
    <m/>
    <m/>
    <m/>
    <m/>
    <m/>
    <m/>
    <m/>
    <m/>
    <m/>
    <m/>
    <m/>
    <m/>
    <n v="0"/>
    <n v="0"/>
    <n v="0"/>
    <n v="0"/>
    <n v="0"/>
    <n v="0"/>
    <n v="0"/>
    <n v="0"/>
    <n v="0"/>
    <n v="0"/>
    <n v="0"/>
    <n v="0"/>
    <n v="0"/>
    <n v="0"/>
    <x v="0"/>
    <n v="0"/>
    <s v="MMR001CMP068"/>
    <x v="2"/>
    <x v="1"/>
    <x v="2"/>
    <n v="0"/>
    <m/>
    <m/>
  </r>
  <r>
    <n v="46.7"/>
    <d v="2012-09-18T00:00:00"/>
    <x v="5"/>
    <s v="LDO"/>
    <s v="Kachin"/>
    <s v="Shwegu"/>
    <s v="Shwe Gu Catholic Church"/>
    <n v="59"/>
    <m/>
    <m/>
    <m/>
    <m/>
    <m/>
    <m/>
    <m/>
    <m/>
    <m/>
    <m/>
    <m/>
    <m/>
    <m/>
    <m/>
    <m/>
    <m/>
    <n v="0"/>
    <n v="0"/>
    <n v="0"/>
    <n v="0"/>
    <n v="0"/>
    <n v="0"/>
    <n v="0"/>
    <n v="0"/>
    <n v="0"/>
    <n v="0"/>
    <n v="0"/>
    <n v="0"/>
    <n v="0"/>
    <n v="0"/>
    <x v="0"/>
    <n v="0"/>
    <s v="MMR001CMP068"/>
    <x v="2"/>
    <x v="1"/>
    <x v="2"/>
    <n v="0"/>
    <m/>
    <m/>
  </r>
  <r>
    <n v="42.266666666666666"/>
    <d v="2013-01-29T00:00:00"/>
    <x v="5"/>
    <s v="LDO"/>
    <s v="Kachin"/>
    <s v="Shwegu"/>
    <s v="Shwe Gu Catholic Church"/>
    <n v="177"/>
    <m/>
    <m/>
    <m/>
    <m/>
    <m/>
    <m/>
    <m/>
    <n v="0"/>
    <n v="0"/>
    <m/>
    <m/>
    <m/>
    <m/>
    <m/>
    <m/>
    <m/>
    <n v="0"/>
    <n v="0"/>
    <n v="0"/>
    <n v="0"/>
    <n v="0"/>
    <n v="0"/>
    <n v="0"/>
    <n v="0"/>
    <n v="0"/>
    <n v="0"/>
    <n v="0"/>
    <n v="0"/>
    <n v="0"/>
    <n v="0"/>
    <x v="0"/>
    <n v="0"/>
    <s v="MMR001CMP068"/>
    <x v="2"/>
    <x v="1"/>
    <x v="2"/>
    <n v="0"/>
    <s v="No"/>
    <m/>
  </r>
  <r>
    <n v="52.233333333333334"/>
    <d v="2012-04-05T00:00:00"/>
    <x v="0"/>
    <s v="UNHCR"/>
    <s v="Kachin"/>
    <s v="Momauk"/>
    <s v="Momauk Catholic Church (St. Patrick)"/>
    <m/>
    <m/>
    <m/>
    <n v="0"/>
    <n v="50"/>
    <n v="0"/>
    <n v="0"/>
    <n v="0"/>
    <m/>
    <m/>
    <m/>
    <m/>
    <m/>
    <m/>
    <m/>
    <m/>
    <m/>
    <n v="0"/>
    <n v="0"/>
    <n v="0"/>
    <n v="0"/>
    <n v="0"/>
    <n v="0"/>
    <n v="0"/>
    <n v="0"/>
    <n v="0"/>
    <n v="0"/>
    <n v="0"/>
    <n v="0"/>
    <n v="0"/>
    <n v="0"/>
    <x v="0"/>
    <n v="0"/>
    <s v="MMR001CMP057"/>
    <x v="2"/>
    <x v="2"/>
    <x v="2"/>
    <s v=""/>
    <s v="No"/>
    <m/>
  </r>
  <r>
    <n v="52.266666666666666"/>
    <d v="2012-04-04T00:00:00"/>
    <x v="0"/>
    <s v="UNHCR"/>
    <s v="Kachin"/>
    <s v="Mansi"/>
    <s v="Bum Tsit Pa "/>
    <m/>
    <m/>
    <m/>
    <n v="216"/>
    <n v="108"/>
    <n v="216"/>
    <n v="108"/>
    <n v="108"/>
    <n v="108"/>
    <n v="108"/>
    <m/>
    <m/>
    <m/>
    <m/>
    <m/>
    <m/>
    <m/>
    <n v="0"/>
    <n v="0"/>
    <n v="0"/>
    <n v="0"/>
    <n v="0"/>
    <n v="0"/>
    <n v="0"/>
    <n v="0"/>
    <n v="0"/>
    <n v="0"/>
    <n v="0"/>
    <n v="0"/>
    <n v="0"/>
    <n v="0"/>
    <x v="0"/>
    <n v="0"/>
    <s v="MMR001CMP129"/>
    <x v="2"/>
    <x v="1"/>
    <x v="5"/>
    <n v="0.44081632653061226"/>
    <s v="No"/>
    <m/>
  </r>
  <r>
    <n v="26.666666666666668"/>
    <d v="2014-05-12T00:00:00"/>
    <x v="6"/>
    <s v="MRCS"/>
    <s v="Kachin"/>
    <s v="Myitkyina"/>
    <s v="Shwe Zet Baptist Church"/>
    <m/>
    <m/>
    <m/>
    <m/>
    <m/>
    <m/>
    <m/>
    <m/>
    <m/>
    <m/>
    <m/>
    <m/>
    <m/>
    <n v="168"/>
    <m/>
    <m/>
    <m/>
    <n v="0"/>
    <n v="0"/>
    <n v="0"/>
    <n v="0"/>
    <n v="0"/>
    <n v="0"/>
    <n v="0"/>
    <n v="0"/>
    <n v="0"/>
    <n v="0"/>
    <n v="0"/>
    <n v="0"/>
    <n v="0"/>
    <n v="0"/>
    <x v="1"/>
    <n v="0"/>
    <s v="MMR001CMP009"/>
    <x v="2"/>
    <x v="1"/>
    <x v="2"/>
    <n v="0"/>
    <m/>
    <m/>
  </r>
  <r>
    <n v="52.3"/>
    <d v="2012-04-03T00:00:00"/>
    <x v="0"/>
    <s v="UNHCR"/>
    <s v="Kachin"/>
    <s v="Mansi"/>
    <s v="Lana Zup Ja "/>
    <m/>
    <m/>
    <m/>
    <n v="510"/>
    <n v="0"/>
    <n v="510"/>
    <n v="255"/>
    <n v="255"/>
    <n v="255"/>
    <n v="255"/>
    <m/>
    <m/>
    <m/>
    <m/>
    <m/>
    <m/>
    <m/>
    <n v="0"/>
    <n v="0"/>
    <n v="0"/>
    <n v="0"/>
    <n v="0"/>
    <n v="0"/>
    <n v="0"/>
    <n v="0"/>
    <n v="0"/>
    <n v="0"/>
    <n v="0"/>
    <n v="0"/>
    <n v="0"/>
    <n v="0"/>
    <x v="0"/>
    <n v="0"/>
    <s v="MMR001CMP128"/>
    <x v="2"/>
    <x v="1"/>
    <x v="5"/>
    <n v="0.46788990825688076"/>
    <s v="No"/>
    <m/>
  </r>
  <r>
    <n v="52.466666666666669"/>
    <d v="2012-03-29T00:00:00"/>
    <x v="0"/>
    <s v="UNHCR"/>
    <s v="Kachin"/>
    <s v="Mansi"/>
    <s v="Bum Tsit Pa "/>
    <m/>
    <m/>
    <m/>
    <n v="66"/>
    <n v="66"/>
    <n v="0"/>
    <n v="0"/>
    <n v="0"/>
    <m/>
    <m/>
    <m/>
    <m/>
    <m/>
    <m/>
    <m/>
    <m/>
    <m/>
    <n v="0"/>
    <n v="0"/>
    <n v="0"/>
    <n v="0"/>
    <n v="0"/>
    <n v="0"/>
    <n v="0"/>
    <n v="0"/>
    <n v="0"/>
    <n v="0"/>
    <n v="0"/>
    <n v="0"/>
    <n v="0"/>
    <n v="0"/>
    <x v="0"/>
    <n v="0"/>
    <s v="MMR001CMP129"/>
    <x v="2"/>
    <x v="1"/>
    <x v="5"/>
    <n v="0"/>
    <s v="No"/>
    <m/>
  </r>
  <r>
    <n v="52.466666666666669"/>
    <d v="2012-03-29T00:00:00"/>
    <x v="0"/>
    <s v="UNHCR"/>
    <s v="Kachin"/>
    <s v="Momauk"/>
    <s v="Pa Kahtawng "/>
    <m/>
    <m/>
    <m/>
    <n v="0"/>
    <n v="50"/>
    <n v="0"/>
    <n v="0"/>
    <n v="0"/>
    <m/>
    <m/>
    <m/>
    <m/>
    <m/>
    <m/>
    <m/>
    <m/>
    <m/>
    <n v="0"/>
    <n v="0"/>
    <n v="0"/>
    <n v="0"/>
    <n v="0"/>
    <n v="0"/>
    <n v="0"/>
    <n v="0"/>
    <n v="0"/>
    <n v="0"/>
    <n v="0"/>
    <n v="0"/>
    <n v="0"/>
    <n v="0"/>
    <x v="0"/>
    <n v="0"/>
    <s v="MMR001CMP126"/>
    <x v="2"/>
    <x v="1"/>
    <x v="5"/>
    <n v="0"/>
    <s v="No"/>
    <m/>
  </r>
  <r>
    <n v="52.466666666666669"/>
    <d v="2012-03-29T00:00:00"/>
    <x v="0"/>
    <s v="UNHCR"/>
    <s v="Kachin"/>
    <s v="Momauk"/>
    <s v="Seng Ja "/>
    <m/>
    <m/>
    <m/>
    <n v="66"/>
    <n v="66"/>
    <n v="0"/>
    <n v="0"/>
    <n v="0"/>
    <m/>
    <m/>
    <m/>
    <m/>
    <m/>
    <m/>
    <m/>
    <m/>
    <m/>
    <n v="0"/>
    <n v="0"/>
    <n v="0"/>
    <n v="0"/>
    <n v="0"/>
    <n v="0"/>
    <n v="0"/>
    <n v="0"/>
    <n v="0"/>
    <n v="0"/>
    <n v="0"/>
    <n v="0"/>
    <n v="0"/>
    <n v="0"/>
    <x v="0"/>
    <n v="0"/>
    <s v="MMR001CMP073"/>
    <x v="2"/>
    <x v="1"/>
    <x v="4"/>
    <n v="0"/>
    <s v="No"/>
    <m/>
  </r>
  <r>
    <n v="52.5"/>
    <d v="2012-03-28T00:00:00"/>
    <x v="0"/>
    <s v="UNHCR"/>
    <s v="Kachin"/>
    <s v="Momauk"/>
    <s v="Mai Ja Yang Ung Lung "/>
    <m/>
    <m/>
    <m/>
    <n v="217"/>
    <n v="217"/>
    <n v="0"/>
    <n v="0"/>
    <n v="0"/>
    <m/>
    <m/>
    <m/>
    <m/>
    <m/>
    <m/>
    <m/>
    <m/>
    <m/>
    <n v="0"/>
    <n v="0"/>
    <n v="0"/>
    <n v="0"/>
    <n v="0"/>
    <n v="0"/>
    <n v="0"/>
    <n v="0"/>
    <n v="0"/>
    <n v="0"/>
    <n v="0"/>
    <n v="0"/>
    <n v="0"/>
    <n v="0"/>
    <x v="0"/>
    <n v="0"/>
    <s v=""/>
    <x v="0"/>
    <x v="0"/>
    <x v="0"/>
    <s v=""/>
    <s v="No"/>
    <m/>
  </r>
  <r>
    <n v="52.533333333333331"/>
    <d v="2012-03-27T00:00:00"/>
    <x v="0"/>
    <s v="UNHCR"/>
    <s v="Kachin"/>
    <s v="Bhamo"/>
    <s v="AD-2000 Tharthana Compound"/>
    <m/>
    <m/>
    <m/>
    <n v="560"/>
    <n v="280"/>
    <n v="560"/>
    <n v="280"/>
    <n v="280"/>
    <n v="280"/>
    <n v="280"/>
    <m/>
    <m/>
    <m/>
    <m/>
    <m/>
    <m/>
    <m/>
    <n v="0"/>
    <n v="0"/>
    <n v="0"/>
    <n v="0"/>
    <n v="0"/>
    <n v="0"/>
    <n v="0"/>
    <n v="0"/>
    <n v="0"/>
    <n v="0"/>
    <n v="0"/>
    <n v="0"/>
    <n v="0"/>
    <n v="0"/>
    <x v="0"/>
    <n v="0"/>
    <s v="MMR001CMP050"/>
    <x v="2"/>
    <x v="1"/>
    <x v="2"/>
    <n v="1.0218978102189782"/>
    <s v="No"/>
    <m/>
  </r>
  <r>
    <n v="25.833333333333332"/>
    <d v="2014-06-06T00:00:00"/>
    <x v="6"/>
    <s v="MRCS"/>
    <s v="Kachin"/>
    <s v="Mohnyin"/>
    <s v="St. Patrick Catholic Church "/>
    <m/>
    <m/>
    <m/>
    <m/>
    <m/>
    <m/>
    <m/>
    <m/>
    <m/>
    <m/>
    <m/>
    <m/>
    <m/>
    <n v="24"/>
    <m/>
    <m/>
    <m/>
    <n v="0"/>
    <n v="0"/>
    <n v="0"/>
    <n v="0"/>
    <n v="0"/>
    <n v="0"/>
    <n v="0"/>
    <n v="0"/>
    <n v="0"/>
    <n v="0"/>
    <n v="0"/>
    <n v="0"/>
    <n v="0"/>
    <n v="0"/>
    <x v="1"/>
    <n v="0"/>
    <s v="MMR001CMP080"/>
    <x v="2"/>
    <x v="1"/>
    <x v="2"/>
    <n v="0"/>
    <m/>
    <m/>
  </r>
  <r>
    <n v="41.866666666666667"/>
    <d v="2013-02-10T00:00:00"/>
    <x v="2"/>
    <s v="MRCS"/>
    <s v="Kachin"/>
    <s v="Mohnyin"/>
    <s v="St. Patrick Catholic Church "/>
    <m/>
    <m/>
    <m/>
    <m/>
    <n v="20"/>
    <m/>
    <n v="12"/>
    <m/>
    <n v="0"/>
    <n v="0"/>
    <m/>
    <m/>
    <m/>
    <m/>
    <m/>
    <m/>
    <m/>
    <n v="0"/>
    <n v="0"/>
    <n v="0"/>
    <n v="0"/>
    <n v="0"/>
    <n v="0"/>
    <n v="0"/>
    <n v="0"/>
    <n v="0"/>
    <n v="0"/>
    <n v="0"/>
    <n v="0"/>
    <n v="0"/>
    <n v="0"/>
    <x v="0"/>
    <n v="0"/>
    <s v="MMR001CMP080"/>
    <x v="2"/>
    <x v="1"/>
    <x v="2"/>
    <n v="1"/>
    <s v="No"/>
    <m/>
  </r>
  <r>
    <n v="52.533333333333331"/>
    <d v="2012-03-27T00:00:00"/>
    <x v="0"/>
    <s v="UNHCR"/>
    <s v="Kachin"/>
    <s v="Waingmaw"/>
    <s v="Border Post 8"/>
    <m/>
    <m/>
    <m/>
    <n v="460"/>
    <n v="228"/>
    <n v="460"/>
    <n v="228"/>
    <n v="228"/>
    <n v="228"/>
    <n v="228"/>
    <m/>
    <m/>
    <m/>
    <m/>
    <m/>
    <m/>
    <m/>
    <n v="0"/>
    <n v="0"/>
    <n v="0"/>
    <n v="0"/>
    <n v="0"/>
    <n v="0"/>
    <n v="0"/>
    <n v="0"/>
    <n v="0"/>
    <n v="0"/>
    <n v="0"/>
    <n v="0"/>
    <n v="0"/>
    <n v="0"/>
    <x v="0"/>
    <n v="0"/>
    <s v="MMR001CMP113"/>
    <x v="2"/>
    <x v="1"/>
    <x v="3"/>
    <n v="1.425"/>
    <s v="No"/>
    <m/>
  </r>
  <r>
    <n v="52.533333333333331"/>
    <d v="2012-03-27T00:00:00"/>
    <x v="0"/>
    <s v="UNHCR"/>
    <s v="Kachin"/>
    <s v="Momauk"/>
    <s v="Mai Ja Yang Gat Pa "/>
    <m/>
    <m/>
    <m/>
    <n v="52"/>
    <n v="52"/>
    <n v="0"/>
    <n v="0"/>
    <n v="0"/>
    <m/>
    <m/>
    <m/>
    <m/>
    <m/>
    <m/>
    <m/>
    <m/>
    <m/>
    <n v="0"/>
    <n v="0"/>
    <n v="0"/>
    <n v="0"/>
    <n v="0"/>
    <n v="0"/>
    <n v="0"/>
    <n v="0"/>
    <n v="0"/>
    <n v="0"/>
    <n v="0"/>
    <n v="0"/>
    <n v="0"/>
    <n v="0"/>
    <x v="0"/>
    <n v="0"/>
    <s v=""/>
    <x v="0"/>
    <x v="0"/>
    <x v="0"/>
    <s v=""/>
    <s v="No"/>
    <m/>
  </r>
  <r>
    <n v="18.466666666666665"/>
    <d v="2015-01-13T00:00:00"/>
    <x v="1"/>
    <s v="MRCS"/>
    <s v="Kachin"/>
    <s v="Sumprabum"/>
    <s v="Sumprabum"/>
    <m/>
    <m/>
    <m/>
    <m/>
    <m/>
    <m/>
    <m/>
    <m/>
    <m/>
    <m/>
    <n v="91"/>
    <n v="32"/>
    <m/>
    <n v="36"/>
    <m/>
    <m/>
    <m/>
    <n v="0"/>
    <n v="0"/>
    <n v="0"/>
    <n v="0"/>
    <n v="0"/>
    <n v="0"/>
    <n v="0"/>
    <n v="0"/>
    <n v="0"/>
    <n v="0"/>
    <n v="0"/>
    <n v="0"/>
    <n v="0"/>
    <n v="0"/>
    <x v="1"/>
    <n v="0"/>
    <s v="MMR001CMP206"/>
    <x v="2"/>
    <x v="1"/>
    <x v="2"/>
    <n v="0"/>
    <m/>
    <m/>
  </r>
  <r>
    <n v="29.3"/>
    <d v="2014-02-22T00:00:00"/>
    <x v="6"/>
    <s v="MRCS"/>
    <s v="Kachin"/>
    <s v="Sumprabum"/>
    <s v="Sumprabum"/>
    <m/>
    <m/>
    <m/>
    <m/>
    <m/>
    <m/>
    <m/>
    <m/>
    <m/>
    <m/>
    <m/>
    <m/>
    <m/>
    <n v="16"/>
    <m/>
    <m/>
    <m/>
    <n v="0"/>
    <n v="0"/>
    <n v="0"/>
    <n v="0"/>
    <n v="0"/>
    <n v="0"/>
    <n v="0"/>
    <n v="0"/>
    <n v="0"/>
    <n v="0"/>
    <n v="0"/>
    <n v="0"/>
    <n v="0"/>
    <n v="0"/>
    <x v="1"/>
    <n v="0"/>
    <s v="MMR001CMP206"/>
    <x v="2"/>
    <x v="1"/>
    <x v="2"/>
    <n v="0"/>
    <m/>
    <m/>
  </r>
  <r>
    <n v="40.299999999999997"/>
    <d v="2013-03-29T00:00:00"/>
    <x v="2"/>
    <s v="MRCS"/>
    <s v="Kachin"/>
    <s v="Sumprabum"/>
    <s v="Sumprabum"/>
    <m/>
    <m/>
    <n v="6"/>
    <m/>
    <m/>
    <m/>
    <n v="6"/>
    <m/>
    <n v="0"/>
    <n v="0"/>
    <m/>
    <m/>
    <m/>
    <m/>
    <m/>
    <m/>
    <m/>
    <n v="0"/>
    <n v="0"/>
    <n v="0"/>
    <n v="0"/>
    <n v="0"/>
    <n v="0"/>
    <n v="0"/>
    <n v="0"/>
    <n v="0"/>
    <n v="0"/>
    <n v="0"/>
    <n v="0"/>
    <n v="0"/>
    <n v="0"/>
    <x v="0"/>
    <n v="0"/>
    <s v="MMR001CMP206"/>
    <x v="2"/>
    <x v="1"/>
    <x v="2"/>
    <n v="1.2"/>
    <s v="No"/>
    <m/>
  </r>
  <r>
    <n v="52.533333333333331"/>
    <d v="2012-03-27T00:00:00"/>
    <x v="0"/>
    <s v="UNHCR"/>
    <s v="Kachin"/>
    <s v="Waingmaw"/>
    <s v="Post 6 Camp"/>
    <m/>
    <m/>
    <m/>
    <n v="0"/>
    <n v="40"/>
    <n v="0"/>
    <n v="0"/>
    <n v="0"/>
    <m/>
    <m/>
    <m/>
    <m/>
    <m/>
    <m/>
    <m/>
    <m/>
    <m/>
    <n v="0"/>
    <n v="0"/>
    <n v="0"/>
    <n v="0"/>
    <n v="0"/>
    <n v="0"/>
    <n v="0"/>
    <n v="0"/>
    <n v="0"/>
    <n v="0"/>
    <n v="0"/>
    <n v="0"/>
    <n v="0"/>
    <n v="0"/>
    <x v="0"/>
    <n v="0"/>
    <s v="MMR001CMP160"/>
    <x v="2"/>
    <x v="1"/>
    <x v="3"/>
    <n v="0"/>
    <s v="No"/>
    <m/>
  </r>
  <r>
    <n v="52.533333333333331"/>
    <d v="2012-03-27T00:00:00"/>
    <x v="0"/>
    <s v="UNHCR"/>
    <s v="Kachin"/>
    <s v="Bhamo"/>
    <s v="Robert Church"/>
    <m/>
    <m/>
    <m/>
    <n v="1000"/>
    <n v="500"/>
    <n v="1000"/>
    <n v="500"/>
    <n v="500"/>
    <n v="500"/>
    <n v="500"/>
    <m/>
    <m/>
    <m/>
    <m/>
    <m/>
    <m/>
    <m/>
    <n v="0"/>
    <n v="0"/>
    <n v="0"/>
    <n v="0"/>
    <n v="0"/>
    <n v="0"/>
    <n v="0"/>
    <n v="0"/>
    <n v="0"/>
    <n v="0"/>
    <n v="0"/>
    <n v="0"/>
    <n v="0"/>
    <n v="0"/>
    <x v="0"/>
    <n v="0"/>
    <s v="MMR001CMP047"/>
    <x v="2"/>
    <x v="1"/>
    <x v="2"/>
    <n v="0.79491255961844198"/>
    <s v="No"/>
    <m/>
  </r>
  <r>
    <n v="27.766666666666666"/>
    <d v="2014-04-09T00:00:00"/>
    <x v="6"/>
    <s v="MRCS"/>
    <s v="Kachin"/>
    <s v="Bhamo"/>
    <s v="Ta Gun Taing Monastery (Shwe Kyi Na)"/>
    <m/>
    <m/>
    <m/>
    <m/>
    <m/>
    <m/>
    <m/>
    <m/>
    <m/>
    <m/>
    <m/>
    <m/>
    <m/>
    <n v="122"/>
    <m/>
    <m/>
    <m/>
    <n v="0"/>
    <n v="0"/>
    <n v="0"/>
    <n v="0"/>
    <n v="0"/>
    <n v="0"/>
    <n v="0"/>
    <n v="0"/>
    <n v="0"/>
    <n v="0"/>
    <n v="0"/>
    <n v="0"/>
    <n v="0"/>
    <n v="0"/>
    <x v="1"/>
    <n v="0"/>
    <s v="MMR001CMP055"/>
    <x v="2"/>
    <x v="1"/>
    <x v="2"/>
    <n v="0"/>
    <m/>
    <m/>
  </r>
  <r>
    <n v="45.666666666666664"/>
    <d v="2012-10-19T00:00:00"/>
    <x v="5"/>
    <s v="Solidarities"/>
    <s v="Kachin"/>
    <s v="Bhamo"/>
    <s v="Ta Gun Taing Monastery (Shwe Kyi Na)"/>
    <n v="47"/>
    <m/>
    <m/>
    <m/>
    <m/>
    <m/>
    <m/>
    <m/>
    <m/>
    <m/>
    <m/>
    <m/>
    <m/>
    <m/>
    <m/>
    <m/>
    <m/>
    <n v="0"/>
    <n v="0"/>
    <n v="0"/>
    <n v="0"/>
    <n v="0"/>
    <n v="0"/>
    <n v="0"/>
    <n v="0"/>
    <n v="0"/>
    <n v="0"/>
    <n v="0"/>
    <n v="0"/>
    <n v="0"/>
    <n v="0"/>
    <x v="0"/>
    <n v="0"/>
    <s v="MMR001CMP055"/>
    <x v="2"/>
    <x v="1"/>
    <x v="2"/>
    <n v="0"/>
    <m/>
    <m/>
  </r>
  <r>
    <n v="32.1"/>
    <d v="2013-11-30T00:00:00"/>
    <x v="4"/>
    <s v="MDCG"/>
    <s v="Kachin"/>
    <s v="Bhamo"/>
    <s v="Ta Gun Taing Monastery (Shwe Kyi Na)"/>
    <m/>
    <m/>
    <m/>
    <m/>
    <m/>
    <n v="135"/>
    <m/>
    <m/>
    <m/>
    <m/>
    <n v="68"/>
    <n v="61"/>
    <n v="0"/>
    <m/>
    <m/>
    <m/>
    <m/>
    <n v="0"/>
    <n v="0"/>
    <n v="0"/>
    <n v="0"/>
    <n v="0"/>
    <n v="0"/>
    <n v="0"/>
    <n v="0"/>
    <n v="0"/>
    <n v="0"/>
    <n v="0"/>
    <n v="0"/>
    <n v="0"/>
    <n v="0"/>
    <x v="1"/>
    <n v="0"/>
    <s v="MMR001CMP055"/>
    <x v="2"/>
    <x v="1"/>
    <x v="2"/>
    <n v="0"/>
    <s v="No"/>
    <m/>
  </r>
  <r>
    <n v="19.600000000000001"/>
    <d v="2014-12-10T00:00:00"/>
    <x v="5"/>
    <s v="Solidarities"/>
    <s v="Kachin"/>
    <s v="Bhamo"/>
    <s v="Ta Gun Taing Monastery (Shwe Kyi Na)"/>
    <m/>
    <m/>
    <n v="55"/>
    <m/>
    <m/>
    <m/>
    <m/>
    <m/>
    <m/>
    <m/>
    <m/>
    <m/>
    <m/>
    <m/>
    <m/>
    <m/>
    <m/>
    <n v="0"/>
    <n v="0"/>
    <n v="0"/>
    <n v="0"/>
    <n v="0"/>
    <n v="0"/>
    <n v="0"/>
    <n v="0"/>
    <n v="0"/>
    <n v="0"/>
    <n v="0"/>
    <n v="0"/>
    <n v="0"/>
    <n v="0"/>
    <x v="0"/>
    <n v="0"/>
    <s v="MMR001CMP055"/>
    <x v="2"/>
    <x v="1"/>
    <x v="2"/>
    <n v="0"/>
    <m/>
    <m/>
  </r>
  <r>
    <n v="15.633333333333333"/>
    <d v="2015-04-08T00:00:00"/>
    <x v="5"/>
    <s v="Solidarities"/>
    <s v="Kachin"/>
    <s v="Bhamo"/>
    <s v="Ta Gun Taing Monastery (Shwe Kyi Na)"/>
    <m/>
    <m/>
    <m/>
    <m/>
    <m/>
    <m/>
    <m/>
    <m/>
    <m/>
    <m/>
    <m/>
    <m/>
    <m/>
    <m/>
    <m/>
    <n v="2"/>
    <m/>
    <n v="0"/>
    <n v="0"/>
    <n v="0"/>
    <n v="0"/>
    <n v="0"/>
    <n v="0"/>
    <n v="0"/>
    <n v="0"/>
    <n v="0"/>
    <n v="0"/>
    <n v="0"/>
    <n v="0"/>
    <n v="0"/>
    <n v="0"/>
    <x v="0"/>
    <n v="0"/>
    <s v="MMR001CMP055"/>
    <x v="2"/>
    <x v="1"/>
    <x v="2"/>
    <n v="0"/>
    <m/>
    <m/>
  </r>
  <r>
    <n v="49.1"/>
    <d v="2012-07-08T00:00:00"/>
    <x v="5"/>
    <s v="Solidarities"/>
    <s v="Kachin"/>
    <s v="Bhamo"/>
    <s v="Chan Myae monastery"/>
    <n v="3"/>
    <m/>
    <m/>
    <m/>
    <m/>
    <m/>
    <m/>
    <m/>
    <m/>
    <m/>
    <m/>
    <m/>
    <m/>
    <m/>
    <m/>
    <m/>
    <m/>
    <n v="0"/>
    <n v="0"/>
    <n v="0"/>
    <n v="0"/>
    <n v="0"/>
    <n v="0"/>
    <n v="0"/>
    <n v="0"/>
    <n v="0"/>
    <n v="0"/>
    <n v="0"/>
    <n v="0"/>
    <n v="0"/>
    <n v="0"/>
    <x v="0"/>
    <n v="0"/>
    <s v=""/>
    <x v="0"/>
    <x v="0"/>
    <x v="0"/>
    <s v=""/>
    <m/>
    <m/>
  </r>
  <r>
    <n v="53.666666666666664"/>
    <d v="2012-02-22T00:00:00"/>
    <x v="5"/>
    <s v="Solidarities"/>
    <s v="Kachin"/>
    <s v="Bhamo"/>
    <s v="Chan Myae monastery"/>
    <n v="23"/>
    <m/>
    <m/>
    <m/>
    <m/>
    <m/>
    <m/>
    <m/>
    <m/>
    <m/>
    <m/>
    <m/>
    <m/>
    <m/>
    <m/>
    <m/>
    <m/>
    <n v="0"/>
    <n v="0"/>
    <n v="0"/>
    <n v="0"/>
    <n v="0"/>
    <n v="0"/>
    <n v="0"/>
    <n v="0"/>
    <n v="0"/>
    <n v="0"/>
    <n v="0"/>
    <n v="0"/>
    <n v="0"/>
    <n v="0"/>
    <x v="0"/>
    <n v="0"/>
    <s v=""/>
    <x v="0"/>
    <x v="0"/>
    <x v="0"/>
    <s v=""/>
    <m/>
    <m/>
  </r>
  <r>
    <n v="46.633333333333333"/>
    <d v="2012-09-20T00:00:00"/>
    <x v="5"/>
    <s v="LDO"/>
    <s v="Kachin"/>
    <s v="Shwegu"/>
    <s v="Kapaung"/>
    <n v="92"/>
    <m/>
    <m/>
    <m/>
    <m/>
    <m/>
    <m/>
    <m/>
    <m/>
    <m/>
    <m/>
    <m/>
    <m/>
    <m/>
    <m/>
    <m/>
    <m/>
    <n v="0"/>
    <n v="0"/>
    <n v="0"/>
    <n v="0"/>
    <n v="0"/>
    <n v="0"/>
    <n v="0"/>
    <n v="0"/>
    <n v="0"/>
    <n v="0"/>
    <n v="0"/>
    <n v="0"/>
    <n v="0"/>
    <n v="0"/>
    <x v="0"/>
    <n v="0"/>
    <s v=""/>
    <x v="0"/>
    <x v="0"/>
    <x v="0"/>
    <s v=""/>
    <m/>
    <m/>
  </r>
  <r>
    <n v="46.7"/>
    <d v="2012-09-18T00:00:00"/>
    <x v="5"/>
    <s v="LDO"/>
    <s v="Kachin"/>
    <s v="Shwegu"/>
    <s v="Lot Aung"/>
    <n v="45"/>
    <m/>
    <m/>
    <m/>
    <m/>
    <m/>
    <m/>
    <m/>
    <m/>
    <m/>
    <m/>
    <m/>
    <m/>
    <m/>
    <m/>
    <m/>
    <m/>
    <n v="0"/>
    <n v="0"/>
    <n v="0"/>
    <n v="0"/>
    <n v="0"/>
    <n v="0"/>
    <n v="0"/>
    <n v="0"/>
    <n v="0"/>
    <n v="0"/>
    <n v="0"/>
    <n v="0"/>
    <n v="0"/>
    <n v="0"/>
    <x v="0"/>
    <n v="0"/>
    <s v=""/>
    <x v="0"/>
    <x v="0"/>
    <x v="0"/>
    <s v=""/>
    <m/>
    <m/>
  </r>
  <r>
    <n v="46.7"/>
    <d v="2012-09-18T00:00:00"/>
    <x v="5"/>
    <s v="LDO"/>
    <s v="Kachin"/>
    <s v="Shwegu"/>
    <s v="Pan Dang"/>
    <n v="22"/>
    <m/>
    <m/>
    <m/>
    <m/>
    <m/>
    <m/>
    <m/>
    <m/>
    <m/>
    <m/>
    <m/>
    <m/>
    <m/>
    <m/>
    <m/>
    <m/>
    <n v="0"/>
    <n v="0"/>
    <n v="0"/>
    <n v="0"/>
    <n v="0"/>
    <n v="0"/>
    <n v="0"/>
    <n v="0"/>
    <n v="0"/>
    <n v="0"/>
    <n v="0"/>
    <n v="0"/>
    <n v="0"/>
    <n v="0"/>
    <x v="0"/>
    <n v="0"/>
    <s v=""/>
    <x v="0"/>
    <x v="0"/>
    <x v="0"/>
    <s v=""/>
    <m/>
    <m/>
  </r>
  <r>
    <n v="46.7"/>
    <d v="2012-09-18T00:00:00"/>
    <x v="5"/>
    <s v="LDO"/>
    <s v="Kachin"/>
    <s v="Shwegu"/>
    <s v="Pan Hkawn"/>
    <n v="130"/>
    <m/>
    <m/>
    <m/>
    <m/>
    <m/>
    <m/>
    <m/>
    <m/>
    <m/>
    <m/>
    <m/>
    <m/>
    <m/>
    <m/>
    <m/>
    <m/>
    <n v="0"/>
    <n v="0"/>
    <n v="0"/>
    <n v="0"/>
    <n v="0"/>
    <n v="0"/>
    <n v="0"/>
    <n v="0"/>
    <n v="0"/>
    <n v="0"/>
    <n v="0"/>
    <n v="0"/>
    <n v="0"/>
    <n v="0"/>
    <x v="0"/>
    <n v="0"/>
    <s v=""/>
    <x v="0"/>
    <x v="0"/>
    <x v="0"/>
    <s v=""/>
    <m/>
    <m/>
  </r>
  <r>
    <n v="45.8"/>
    <d v="2012-10-15T00:00:00"/>
    <x v="5"/>
    <s v="LDO"/>
    <s v="Kachin"/>
    <s v="Shwegu"/>
    <s v="Thai Ra Yan"/>
    <n v="38"/>
    <m/>
    <m/>
    <m/>
    <m/>
    <m/>
    <m/>
    <m/>
    <m/>
    <m/>
    <m/>
    <m/>
    <m/>
    <m/>
    <m/>
    <m/>
    <m/>
    <n v="0"/>
    <n v="0"/>
    <n v="0"/>
    <n v="0"/>
    <n v="0"/>
    <n v="0"/>
    <n v="0"/>
    <n v="0"/>
    <n v="0"/>
    <n v="0"/>
    <n v="0"/>
    <n v="0"/>
    <n v="0"/>
    <n v="0"/>
    <x v="0"/>
    <n v="0"/>
    <s v=""/>
    <x v="0"/>
    <x v="0"/>
    <x v="0"/>
    <s v=""/>
    <m/>
    <m/>
  </r>
  <r>
    <n v="53.1"/>
    <d v="2012-03-10T00:00:00"/>
    <x v="5"/>
    <m/>
    <s v="Kachin"/>
    <s v="Momauk"/>
    <s v="Tarli camp"/>
    <n v="36"/>
    <m/>
    <m/>
    <m/>
    <m/>
    <m/>
    <m/>
    <m/>
    <m/>
    <m/>
    <m/>
    <m/>
    <m/>
    <m/>
    <m/>
    <m/>
    <m/>
    <n v="0"/>
    <n v="0"/>
    <n v="0"/>
    <n v="0"/>
    <n v="0"/>
    <n v="0"/>
    <n v="0"/>
    <n v="0"/>
    <n v="0"/>
    <n v="0"/>
    <n v="0"/>
    <n v="0"/>
    <n v="0"/>
    <n v="0"/>
    <x v="0"/>
    <n v="0"/>
    <s v=""/>
    <x v="0"/>
    <x v="0"/>
    <x v="0"/>
    <s v=""/>
    <m/>
    <m/>
  </r>
  <r>
    <n v="7.166666666666667"/>
    <d v="2015-12-18T00:00:00"/>
    <x v="5"/>
    <s v="Solidarities"/>
    <s v="Kachin"/>
    <s v="Bhamo"/>
    <s v="Ta Gun Taing Monastery (Shwe Kyi Na)"/>
    <m/>
    <m/>
    <m/>
    <m/>
    <m/>
    <m/>
    <m/>
    <m/>
    <m/>
    <m/>
    <m/>
    <m/>
    <m/>
    <m/>
    <m/>
    <n v="5"/>
    <m/>
    <n v="0"/>
    <n v="0"/>
    <n v="0"/>
    <n v="0"/>
    <n v="0"/>
    <n v="0"/>
    <n v="0"/>
    <n v="0"/>
    <n v="0"/>
    <n v="0"/>
    <n v="0"/>
    <n v="0"/>
    <n v="0"/>
    <n v="0"/>
    <x v="0"/>
    <n v="0"/>
    <s v="MMR001CMP055"/>
    <x v="2"/>
    <x v="1"/>
    <x v="2"/>
    <n v="0"/>
    <m/>
    <m/>
  </r>
  <r>
    <n v="4.833333333333333"/>
    <d v="2016-02-26T00:00:00"/>
    <x v="5"/>
    <s v="Solidarities"/>
    <s v="Kachin"/>
    <s v="Bhamo"/>
    <s v="Ta Gun Taing Monastery (Shwe Kyi Na)"/>
    <m/>
    <m/>
    <m/>
    <m/>
    <m/>
    <m/>
    <m/>
    <m/>
    <m/>
    <m/>
    <m/>
    <m/>
    <m/>
    <m/>
    <m/>
    <n v="5"/>
    <m/>
    <n v="0"/>
    <n v="0"/>
    <n v="0"/>
    <n v="0"/>
    <n v="0"/>
    <n v="0"/>
    <n v="0"/>
    <n v="0"/>
    <n v="0"/>
    <n v="0"/>
    <n v="0"/>
    <n v="0"/>
    <n v="0"/>
    <n v="0"/>
    <x v="0"/>
    <n v="0"/>
    <s v="MMR001CMP055"/>
    <x v="2"/>
    <x v="1"/>
    <x v="2"/>
    <n v="0"/>
    <m/>
    <m/>
  </r>
  <r>
    <n v="2.7333333333333334"/>
    <d v="2016-04-29T00:00:00"/>
    <x v="5"/>
    <s v="Solidarities"/>
    <s v="Kachin"/>
    <s v="Bhamo"/>
    <s v="Ta Gun Taing Monastery (Shwe Kyi Na)"/>
    <m/>
    <m/>
    <m/>
    <m/>
    <m/>
    <m/>
    <m/>
    <m/>
    <m/>
    <m/>
    <m/>
    <m/>
    <m/>
    <m/>
    <m/>
    <n v="10"/>
    <m/>
    <n v="0"/>
    <n v="0"/>
    <n v="0"/>
    <n v="0"/>
    <n v="0"/>
    <n v="0"/>
    <n v="0"/>
    <n v="0"/>
    <n v="0"/>
    <n v="0"/>
    <n v="0"/>
    <n v="0"/>
    <n v="0"/>
    <n v="0"/>
    <x v="0"/>
    <n v="0"/>
    <s v="MMR001CMP055"/>
    <x v="2"/>
    <x v="1"/>
    <x v="2"/>
    <n v="0"/>
    <m/>
    <m/>
  </r>
  <r>
    <n v="13.966666666666667"/>
    <d v="2015-05-28T00:00:00"/>
    <x v="5"/>
    <s v="Solidarities"/>
    <s v="Kachin"/>
    <s v="Bhamo"/>
    <s v="Ta Gun Taing Monastery (Shwe Kyi Na)"/>
    <m/>
    <m/>
    <n v="36"/>
    <m/>
    <m/>
    <m/>
    <m/>
    <m/>
    <m/>
    <m/>
    <m/>
    <m/>
    <m/>
    <m/>
    <m/>
    <m/>
    <m/>
    <n v="0"/>
    <n v="0"/>
    <n v="0"/>
    <n v="0"/>
    <n v="0"/>
    <n v="0"/>
    <n v="0"/>
    <n v="0"/>
    <n v="0"/>
    <n v="0"/>
    <n v="0"/>
    <n v="0"/>
    <n v="0"/>
    <n v="0"/>
    <x v="0"/>
    <n v="0"/>
    <s v="MMR001CMP055"/>
    <x v="2"/>
    <x v="1"/>
    <x v="2"/>
    <n v="0"/>
    <m/>
    <m/>
  </r>
  <r>
    <n v="5.5666666666666664"/>
    <d v="2016-02-04T00:00:00"/>
    <x v="5"/>
    <s v="Solidarities"/>
    <s v="Kachin"/>
    <s v="Bhamo"/>
    <s v="Ta Gun Taing Monastery (Shwe Kyi Na)"/>
    <m/>
    <m/>
    <n v="29"/>
    <m/>
    <m/>
    <m/>
    <m/>
    <m/>
    <m/>
    <m/>
    <m/>
    <m/>
    <m/>
    <m/>
    <m/>
    <m/>
    <m/>
    <n v="0"/>
    <n v="0"/>
    <n v="29"/>
    <n v="0"/>
    <n v="0"/>
    <n v="0"/>
    <n v="0"/>
    <n v="0"/>
    <n v="0"/>
    <n v="0"/>
    <n v="0"/>
    <n v="0"/>
    <n v="0"/>
    <n v="0"/>
    <x v="0"/>
    <n v="0"/>
    <s v="MMR001CMP055"/>
    <x v="2"/>
    <x v="1"/>
    <x v="2"/>
    <n v="0"/>
    <m/>
    <m/>
  </r>
  <r>
    <n v="32.1"/>
    <d v="2013-11-30T00:00:00"/>
    <x v="5"/>
    <m/>
    <s v="Kachin"/>
    <s v="Bhamo"/>
    <s v="Ta Gun Taing Monastery (Shwe Kyi Na)"/>
    <m/>
    <m/>
    <m/>
    <m/>
    <m/>
    <m/>
    <m/>
    <m/>
    <m/>
    <m/>
    <m/>
    <m/>
    <m/>
    <m/>
    <m/>
    <m/>
    <m/>
    <n v="0"/>
    <n v="0"/>
    <n v="0"/>
    <n v="0"/>
    <n v="0"/>
    <n v="0"/>
    <n v="0"/>
    <n v="0"/>
    <n v="0"/>
    <n v="0"/>
    <n v="0"/>
    <n v="0"/>
    <n v="0"/>
    <n v="0"/>
    <x v="0"/>
    <n v="0"/>
    <s v="MMR001CMP055"/>
    <x v="2"/>
    <x v="1"/>
    <x v="2"/>
    <n v="0"/>
    <s v="No"/>
    <m/>
  </r>
  <r>
    <n v="32.866666666666667"/>
    <d v="2013-11-07T00:00:00"/>
    <x v="5"/>
    <s v="Solidarities"/>
    <s v="Kachin"/>
    <s v="Bhamo"/>
    <s v="Ta Gun Taing Monastery (Shwe Kyi Na)"/>
    <m/>
    <m/>
    <m/>
    <m/>
    <m/>
    <m/>
    <m/>
    <m/>
    <m/>
    <m/>
    <n v="64"/>
    <n v="118"/>
    <n v="364"/>
    <n v="182"/>
    <m/>
    <m/>
    <m/>
    <n v="0"/>
    <n v="0"/>
    <n v="0"/>
    <n v="0"/>
    <n v="0"/>
    <n v="0"/>
    <n v="0"/>
    <n v="0"/>
    <n v="0"/>
    <n v="0"/>
    <n v="0"/>
    <n v="0"/>
    <n v="0"/>
    <n v="0"/>
    <x v="1"/>
    <n v="0"/>
    <s v="MMR001CMP055"/>
    <x v="2"/>
    <x v="1"/>
    <x v="2"/>
    <n v="0"/>
    <m/>
    <m/>
  </r>
  <r>
    <n v="52.56666666666667"/>
    <d v="2012-03-26T00:00:00"/>
    <x v="0"/>
    <s v="UNHCR"/>
    <s v="Kachin"/>
    <s v="Waingmaw"/>
    <s v="Border Post 8"/>
    <m/>
    <m/>
    <m/>
    <n v="460"/>
    <n v="250"/>
    <n v="460"/>
    <n v="230"/>
    <n v="0"/>
    <m/>
    <m/>
    <m/>
    <m/>
    <m/>
    <m/>
    <m/>
    <m/>
    <m/>
    <n v="0"/>
    <n v="0"/>
    <n v="0"/>
    <n v="0"/>
    <n v="0"/>
    <n v="0"/>
    <n v="0"/>
    <n v="0"/>
    <n v="0"/>
    <n v="0"/>
    <n v="0"/>
    <n v="0"/>
    <n v="0"/>
    <n v="0"/>
    <x v="0"/>
    <n v="0"/>
    <s v="MMR001CMP113"/>
    <x v="2"/>
    <x v="1"/>
    <x v="3"/>
    <n v="1.4375"/>
    <s v="No"/>
    <m/>
  </r>
  <r>
    <n v="26.133333333333333"/>
    <d v="2014-05-28T00:00:00"/>
    <x v="6"/>
    <s v="MRCS"/>
    <s v="Kachin"/>
    <s v="Myitkyina"/>
    <s v="Tat Kone Baptist Church"/>
    <m/>
    <m/>
    <m/>
    <m/>
    <m/>
    <m/>
    <m/>
    <m/>
    <m/>
    <m/>
    <m/>
    <m/>
    <m/>
    <n v="120"/>
    <m/>
    <m/>
    <m/>
    <n v="0"/>
    <n v="0"/>
    <n v="0"/>
    <n v="0"/>
    <n v="0"/>
    <n v="0"/>
    <n v="0"/>
    <n v="0"/>
    <n v="0"/>
    <n v="0"/>
    <n v="0"/>
    <n v="0"/>
    <n v="0"/>
    <n v="0"/>
    <x v="1"/>
    <n v="0"/>
    <s v="MMR001CMP001"/>
    <x v="2"/>
    <x v="1"/>
    <x v="2"/>
    <n v="0"/>
    <m/>
    <m/>
  </r>
  <r>
    <n v="52.56666666666667"/>
    <d v="2012-03-26T00:00:00"/>
    <x v="0"/>
    <s v="UNHCR"/>
    <s v="Kachin"/>
    <s v="Momauk"/>
    <s v="Momauk Catholic Church (St. Patrick)"/>
    <m/>
    <m/>
    <m/>
    <n v="49"/>
    <n v="49"/>
    <n v="0"/>
    <n v="0"/>
    <n v="49"/>
    <n v="49"/>
    <n v="49"/>
    <m/>
    <m/>
    <m/>
    <m/>
    <m/>
    <m/>
    <m/>
    <n v="0"/>
    <n v="0"/>
    <n v="0"/>
    <n v="0"/>
    <n v="0"/>
    <n v="0"/>
    <n v="0"/>
    <n v="0"/>
    <n v="0"/>
    <n v="0"/>
    <n v="0"/>
    <n v="0"/>
    <n v="0"/>
    <n v="0"/>
    <x v="0"/>
    <n v="0"/>
    <s v="MMR001CMP057"/>
    <x v="2"/>
    <x v="2"/>
    <x v="2"/>
    <s v=""/>
    <s v="No"/>
    <m/>
  </r>
  <r>
    <n v="53.2"/>
    <d v="2012-03-07T00:00:00"/>
    <x v="0"/>
    <s v="UNHCR"/>
    <s v="Kachin"/>
    <s v="Waingmaw"/>
    <s v="Qtr. 2 Lhaovo Baptist Church"/>
    <m/>
    <m/>
    <m/>
    <n v="12"/>
    <n v="8"/>
    <n v="12"/>
    <n v="8"/>
    <n v="8"/>
    <n v="8"/>
    <n v="8"/>
    <m/>
    <m/>
    <m/>
    <m/>
    <m/>
    <m/>
    <m/>
    <n v="0"/>
    <n v="0"/>
    <n v="0"/>
    <n v="0"/>
    <n v="0"/>
    <n v="0"/>
    <n v="0"/>
    <n v="0"/>
    <n v="0"/>
    <n v="0"/>
    <n v="0"/>
    <n v="0"/>
    <n v="0"/>
    <n v="0"/>
    <x v="0"/>
    <n v="0"/>
    <s v="MMR001CMP032"/>
    <x v="2"/>
    <x v="1"/>
    <x v="2"/>
    <n v="8.7912087912087919E-2"/>
    <s v="No"/>
    <m/>
  </r>
  <r>
    <n v="53.2"/>
    <d v="2012-03-07T00:00:00"/>
    <x v="0"/>
    <s v="UNHCR"/>
    <s v="Kachin"/>
    <s v="Waingmaw"/>
    <s v="Thargaya Lisu Baptist Church"/>
    <m/>
    <m/>
    <m/>
    <n v="38"/>
    <n v="18"/>
    <n v="38"/>
    <n v="17"/>
    <n v="18"/>
    <n v="18"/>
    <n v="18"/>
    <m/>
    <m/>
    <m/>
    <m/>
    <m/>
    <m/>
    <m/>
    <n v="0"/>
    <n v="0"/>
    <n v="0"/>
    <n v="0"/>
    <n v="0"/>
    <n v="0"/>
    <n v="0"/>
    <n v="0"/>
    <n v="0"/>
    <n v="0"/>
    <n v="0"/>
    <n v="0"/>
    <n v="0"/>
    <n v="0"/>
    <x v="0"/>
    <n v="0"/>
    <s v="MMR001CMP037"/>
    <x v="2"/>
    <x v="1"/>
    <x v="2"/>
    <n v="0.38636363636363635"/>
    <s v="No"/>
    <m/>
  </r>
  <r>
    <n v="26.133333333333333"/>
    <d v="2014-05-28T00:00:00"/>
    <x v="6"/>
    <s v="MRCS"/>
    <s v="Kachin"/>
    <s v="Myitkyina"/>
    <s v="Tat Kone COC Baptist - Tat Kone Htoi San"/>
    <m/>
    <m/>
    <m/>
    <m/>
    <m/>
    <m/>
    <m/>
    <m/>
    <m/>
    <m/>
    <m/>
    <m/>
    <m/>
    <n v="138"/>
    <m/>
    <m/>
    <m/>
    <n v="0"/>
    <n v="0"/>
    <n v="0"/>
    <n v="0"/>
    <n v="0"/>
    <n v="0"/>
    <n v="0"/>
    <n v="0"/>
    <n v="0"/>
    <n v="0"/>
    <n v="0"/>
    <n v="0"/>
    <n v="0"/>
    <n v="0"/>
    <x v="1"/>
    <n v="0"/>
    <s v="MMR001CMP023"/>
    <x v="2"/>
    <x v="1"/>
    <x v="2"/>
    <n v="0"/>
    <m/>
    <m/>
  </r>
  <r>
    <n v="53.5"/>
    <d v="2012-02-27T00:00:00"/>
    <x v="0"/>
    <s v="SC&amp;L Group"/>
    <s v="Kachin"/>
    <s v="Myitkyina"/>
    <s v="Wun Tho Buddhist Monastery"/>
    <m/>
    <m/>
    <m/>
    <n v="34"/>
    <n v="0"/>
    <n v="34"/>
    <n v="0"/>
    <n v="34"/>
    <n v="34"/>
    <n v="34"/>
    <m/>
    <m/>
    <m/>
    <m/>
    <m/>
    <m/>
    <m/>
    <n v="0"/>
    <n v="0"/>
    <n v="0"/>
    <n v="0"/>
    <n v="0"/>
    <n v="0"/>
    <n v="0"/>
    <n v="0"/>
    <n v="0"/>
    <n v="0"/>
    <n v="0"/>
    <n v="0"/>
    <n v="0"/>
    <n v="0"/>
    <x v="0"/>
    <n v="0"/>
    <s v="MMR001CMP022"/>
    <x v="2"/>
    <x v="1"/>
    <x v="2"/>
    <n v="0"/>
    <s v="No"/>
    <m/>
  </r>
  <r>
    <n v="53.533333333333331"/>
    <d v="2012-02-26T00:00:00"/>
    <x v="0"/>
    <s v="UNHCR"/>
    <s v="Kachin"/>
    <s v="Myitkyina"/>
    <s v="Pamati Kayan"/>
    <m/>
    <m/>
    <m/>
    <n v="25"/>
    <n v="18"/>
    <n v="25"/>
    <n v="18"/>
    <n v="18"/>
    <n v="18"/>
    <n v="18"/>
    <m/>
    <m/>
    <m/>
    <m/>
    <m/>
    <m/>
    <m/>
    <n v="0"/>
    <n v="0"/>
    <n v="0"/>
    <n v="0"/>
    <n v="0"/>
    <n v="0"/>
    <n v="0"/>
    <n v="0"/>
    <n v="0"/>
    <n v="0"/>
    <n v="0"/>
    <n v="0"/>
    <n v="0"/>
    <n v="0"/>
    <x v="0"/>
    <n v="0"/>
    <s v=""/>
    <x v="0"/>
    <x v="0"/>
    <x v="0"/>
    <s v=""/>
    <s v="No"/>
    <s v="Lone Zut"/>
  </r>
  <r>
    <n v="43.233333333333334"/>
    <d v="2012-12-31T00:00:00"/>
    <x v="3"/>
    <s v="DRC"/>
    <s v="Kachin"/>
    <s v="Myitkyina"/>
    <s v="Tat Kone COC Baptist - Tat Kone Htoi San"/>
    <n v="34"/>
    <m/>
    <m/>
    <m/>
    <m/>
    <m/>
    <m/>
    <m/>
    <n v="0"/>
    <n v="0"/>
    <m/>
    <m/>
    <m/>
    <m/>
    <m/>
    <m/>
    <m/>
    <n v="0"/>
    <n v="0"/>
    <n v="0"/>
    <n v="0"/>
    <n v="0"/>
    <n v="0"/>
    <n v="0"/>
    <n v="0"/>
    <n v="0"/>
    <n v="0"/>
    <n v="0"/>
    <n v="0"/>
    <n v="0"/>
    <n v="0"/>
    <x v="0"/>
    <n v="0"/>
    <s v="MMR001CMP023"/>
    <x v="2"/>
    <x v="1"/>
    <x v="2"/>
    <n v="0"/>
    <s v="No"/>
    <m/>
  </r>
  <r>
    <n v="53.533333333333331"/>
    <d v="2012-02-26T00:00:00"/>
    <x v="0"/>
    <s v="SC&amp;L Group"/>
    <s v="Kachin"/>
    <s v="Myitkyina"/>
    <s v="Pan Ma Tee"/>
    <m/>
    <m/>
    <m/>
    <n v="25"/>
    <n v="0"/>
    <n v="25"/>
    <n v="0"/>
    <n v="10"/>
    <n v="10"/>
    <n v="10"/>
    <m/>
    <m/>
    <m/>
    <m/>
    <m/>
    <m/>
    <m/>
    <n v="0"/>
    <n v="0"/>
    <n v="0"/>
    <n v="0"/>
    <n v="0"/>
    <n v="0"/>
    <n v="0"/>
    <n v="0"/>
    <n v="0"/>
    <n v="0"/>
    <n v="0"/>
    <n v="0"/>
    <n v="0"/>
    <n v="0"/>
    <x v="0"/>
    <n v="0"/>
    <s v=""/>
    <x v="0"/>
    <x v="0"/>
    <x v="0"/>
    <s v=""/>
    <s v="No"/>
    <m/>
  </r>
  <r>
    <n v="53.666666666666664"/>
    <d v="2012-02-22T00:00:00"/>
    <x v="0"/>
    <s v="Shalom"/>
    <s v="Kachin"/>
    <s v="Momauk"/>
    <s v="Ni Thaw Ka Monestry"/>
    <n v="149"/>
    <m/>
    <m/>
    <m/>
    <m/>
    <m/>
    <m/>
    <m/>
    <m/>
    <m/>
    <m/>
    <m/>
    <m/>
    <m/>
    <m/>
    <m/>
    <m/>
    <n v="0"/>
    <n v="0"/>
    <n v="0"/>
    <n v="0"/>
    <n v="0"/>
    <n v="0"/>
    <n v="0"/>
    <n v="0"/>
    <n v="0"/>
    <n v="0"/>
    <n v="0"/>
    <n v="0"/>
    <n v="0"/>
    <n v="0"/>
    <x v="0"/>
    <n v="0"/>
    <s v="MMR001CMP059"/>
    <x v="2"/>
    <x v="2"/>
    <x v="2"/>
    <s v=""/>
    <m/>
    <m/>
  </r>
  <r>
    <n v="54.166666666666664"/>
    <d v="2012-02-07T00:00:00"/>
    <x v="0"/>
    <s v="SC&amp;L Group"/>
    <s v="Kachin"/>
    <s v="Myitkyina"/>
    <s v="Maw Hpawng Hka Nan Baptist Church"/>
    <m/>
    <m/>
    <m/>
    <n v="38"/>
    <n v="18"/>
    <n v="38"/>
    <n v="18"/>
    <n v="18"/>
    <n v="18"/>
    <n v="18"/>
    <m/>
    <m/>
    <m/>
    <m/>
    <m/>
    <m/>
    <m/>
    <n v="0"/>
    <n v="0"/>
    <n v="0"/>
    <n v="0"/>
    <n v="0"/>
    <n v="0"/>
    <n v="0"/>
    <n v="0"/>
    <n v="0"/>
    <n v="0"/>
    <n v="0"/>
    <n v="0"/>
    <n v="0"/>
    <n v="0"/>
    <x v="0"/>
    <n v="0"/>
    <s v="MMR001CMP020"/>
    <x v="2"/>
    <x v="1"/>
    <x v="2"/>
    <n v="0.8571428571428571"/>
    <s v="No"/>
    <m/>
  </r>
  <r>
    <n v="54.2"/>
    <d v="2012-02-06T00:00:00"/>
    <x v="0"/>
    <s v="UNHCR"/>
    <s v="Kachin"/>
    <s v="Waingmaw"/>
    <s v="Qtr. 4 Monestry (Thargaya Thayett Taw)"/>
    <m/>
    <m/>
    <m/>
    <n v="0"/>
    <n v="0"/>
    <n v="0"/>
    <n v="0"/>
    <n v="13"/>
    <n v="13"/>
    <n v="13"/>
    <m/>
    <m/>
    <m/>
    <m/>
    <m/>
    <m/>
    <m/>
    <n v="0"/>
    <n v="0"/>
    <n v="0"/>
    <n v="0"/>
    <n v="0"/>
    <n v="0"/>
    <n v="0"/>
    <n v="0"/>
    <n v="0"/>
    <n v="0"/>
    <n v="0"/>
    <n v="0"/>
    <n v="0"/>
    <n v="0"/>
    <x v="0"/>
    <n v="0"/>
    <s v="MMR001CMP026"/>
    <x v="2"/>
    <x v="1"/>
    <x v="2"/>
    <n v="0"/>
    <s v="No"/>
    <m/>
  </r>
  <r>
    <n v="25.366666666666667"/>
    <d v="2014-06-20T00:00:00"/>
    <x v="6"/>
    <s v="MRCS"/>
    <s v="Kachin"/>
    <s v="Myitkyina"/>
    <s v="Tat Kone Emanuel Church"/>
    <m/>
    <m/>
    <m/>
    <m/>
    <m/>
    <m/>
    <m/>
    <m/>
    <m/>
    <m/>
    <m/>
    <m/>
    <m/>
    <n v="16"/>
    <m/>
    <m/>
    <m/>
    <n v="0"/>
    <n v="0"/>
    <n v="0"/>
    <n v="0"/>
    <n v="0"/>
    <n v="0"/>
    <n v="0"/>
    <n v="0"/>
    <n v="0"/>
    <n v="0"/>
    <n v="0"/>
    <n v="0"/>
    <n v="0"/>
    <n v="0"/>
    <x v="1"/>
    <n v="0"/>
    <s v="MMR001CMP004"/>
    <x v="2"/>
    <x v="1"/>
    <x v="2"/>
    <n v="0"/>
    <m/>
    <m/>
  </r>
  <r>
    <n v="43.233333333333334"/>
    <d v="2012-12-31T00:00:00"/>
    <x v="3"/>
    <s v="DRC"/>
    <s v="Kachin"/>
    <s v="Myitkyina"/>
    <s v="Tat Kone Emanuel Church"/>
    <n v="14"/>
    <m/>
    <m/>
    <m/>
    <m/>
    <m/>
    <m/>
    <m/>
    <n v="0"/>
    <n v="0"/>
    <m/>
    <m/>
    <m/>
    <m/>
    <m/>
    <m/>
    <m/>
    <n v="0"/>
    <n v="0"/>
    <n v="0"/>
    <n v="0"/>
    <n v="0"/>
    <n v="0"/>
    <n v="0"/>
    <n v="0"/>
    <n v="0"/>
    <n v="0"/>
    <n v="0"/>
    <n v="0"/>
    <n v="0"/>
    <n v="0"/>
    <x v="0"/>
    <n v="0"/>
    <s v="MMR001CMP004"/>
    <x v="2"/>
    <x v="1"/>
    <x v="2"/>
    <n v="0"/>
    <s v="No"/>
    <m/>
  </r>
  <r>
    <n v="54.333333333333336"/>
    <d v="2012-02-02T00:00:00"/>
    <x v="0"/>
    <s v="UNHCR"/>
    <s v="Kachin"/>
    <s v="Mansi"/>
    <s v="Mansi Baptist Church"/>
    <n v="718"/>
    <m/>
    <m/>
    <m/>
    <m/>
    <m/>
    <m/>
    <m/>
    <m/>
    <m/>
    <m/>
    <m/>
    <m/>
    <m/>
    <m/>
    <m/>
    <m/>
    <n v="0"/>
    <n v="0"/>
    <n v="0"/>
    <n v="0"/>
    <n v="0"/>
    <n v="0"/>
    <n v="0"/>
    <n v="0"/>
    <n v="0"/>
    <n v="0"/>
    <n v="0"/>
    <n v="0"/>
    <n v="0"/>
    <n v="0"/>
    <x v="0"/>
    <n v="0"/>
    <s v="MMR001CMP066"/>
    <x v="2"/>
    <x v="1"/>
    <x v="2"/>
    <n v="0"/>
    <m/>
    <m/>
  </r>
  <r>
    <n v="54.4"/>
    <d v="2012-01-31T00:00:00"/>
    <x v="0"/>
    <s v="UNHCR"/>
    <s v="Kachin"/>
    <s v="Waingmaw"/>
    <s v="Qtr. 4 Monestry (Thargaya Thayett Taw)"/>
    <m/>
    <m/>
    <m/>
    <n v="0"/>
    <n v="0"/>
    <n v="0"/>
    <n v="0"/>
    <n v="61"/>
    <n v="61"/>
    <n v="61"/>
    <m/>
    <m/>
    <m/>
    <m/>
    <m/>
    <m/>
    <m/>
    <n v="0"/>
    <n v="0"/>
    <n v="0"/>
    <n v="0"/>
    <n v="0"/>
    <n v="0"/>
    <n v="0"/>
    <n v="0"/>
    <n v="0"/>
    <n v="0"/>
    <n v="0"/>
    <n v="0"/>
    <n v="0"/>
    <n v="0"/>
    <x v="0"/>
    <n v="0"/>
    <s v="MMR001CMP026"/>
    <x v="2"/>
    <x v="1"/>
    <x v="2"/>
    <n v="0"/>
    <s v="No"/>
    <m/>
  </r>
  <r>
    <n v="26.133333333333333"/>
    <d v="2014-05-28T00:00:00"/>
    <x v="6"/>
    <s v="MRCS"/>
    <s v="Kachin"/>
    <s v="Myitkyina"/>
    <s v="Tat Kone Galile Baptist Church"/>
    <m/>
    <m/>
    <m/>
    <m/>
    <m/>
    <m/>
    <m/>
    <m/>
    <m/>
    <m/>
    <m/>
    <m/>
    <m/>
    <n v="58"/>
    <m/>
    <m/>
    <m/>
    <n v="0"/>
    <n v="0"/>
    <n v="0"/>
    <n v="0"/>
    <n v="0"/>
    <n v="0"/>
    <n v="0"/>
    <n v="0"/>
    <n v="0"/>
    <n v="0"/>
    <n v="0"/>
    <n v="0"/>
    <n v="0"/>
    <n v="0"/>
    <x v="1"/>
    <n v="0"/>
    <s v="MMR001CMP003"/>
    <x v="2"/>
    <x v="1"/>
    <x v="2"/>
    <n v="0"/>
    <m/>
    <m/>
  </r>
  <r>
    <n v="54.8"/>
    <d v="2012-01-19T00:00:00"/>
    <x v="0"/>
    <s v="KBC"/>
    <s v="Kachin"/>
    <s v="Myitkyina"/>
    <s v="Jan Mai Kawng Baptist Church"/>
    <m/>
    <m/>
    <m/>
    <n v="0"/>
    <n v="0"/>
    <n v="0"/>
    <n v="0"/>
    <n v="118"/>
    <n v="118"/>
    <n v="118"/>
    <m/>
    <m/>
    <m/>
    <m/>
    <m/>
    <m/>
    <m/>
    <n v="0"/>
    <n v="0"/>
    <n v="0"/>
    <n v="0"/>
    <n v="0"/>
    <n v="0"/>
    <n v="0"/>
    <n v="0"/>
    <n v="0"/>
    <n v="0"/>
    <n v="0"/>
    <n v="0"/>
    <n v="0"/>
    <n v="0"/>
    <x v="0"/>
    <n v="0"/>
    <s v="MMR001CMP018"/>
    <x v="2"/>
    <x v="1"/>
    <x v="2"/>
    <n v="0"/>
    <s v="No"/>
    <m/>
  </r>
  <r>
    <n v="55"/>
    <d v="2012-01-13T00:00:00"/>
    <x v="0"/>
    <s v="KBC"/>
    <s v="Kachin"/>
    <s v="Hpakant"/>
    <s v="5 Ward Baptist Church(lon Khin)"/>
    <m/>
    <m/>
    <m/>
    <n v="52"/>
    <n v="26"/>
    <n v="36"/>
    <n v="0"/>
    <n v="26"/>
    <n v="26"/>
    <n v="26"/>
    <m/>
    <m/>
    <m/>
    <m/>
    <m/>
    <m/>
    <m/>
    <n v="0"/>
    <n v="0"/>
    <n v="0"/>
    <n v="0"/>
    <n v="0"/>
    <n v="0"/>
    <n v="0"/>
    <n v="0"/>
    <n v="0"/>
    <n v="0"/>
    <n v="0"/>
    <n v="0"/>
    <n v="0"/>
    <n v="0"/>
    <x v="0"/>
    <n v="0"/>
    <s v="MMR001CMP179"/>
    <x v="2"/>
    <x v="1"/>
    <x v="2"/>
    <n v="0"/>
    <s v="No"/>
    <m/>
  </r>
  <r>
    <n v="25.266666666666666"/>
    <d v="2014-06-23T00:00:00"/>
    <x v="6"/>
    <s v="MRCS"/>
    <s v="Kachin"/>
    <s v="Myitkyina"/>
    <s v="Tat Kone San Pya Baptist Church"/>
    <m/>
    <m/>
    <m/>
    <m/>
    <m/>
    <m/>
    <m/>
    <m/>
    <m/>
    <m/>
    <m/>
    <m/>
    <m/>
    <n v="88"/>
    <m/>
    <m/>
    <m/>
    <n v="0"/>
    <n v="0"/>
    <n v="0"/>
    <n v="0"/>
    <n v="0"/>
    <n v="0"/>
    <n v="0"/>
    <n v="0"/>
    <n v="0"/>
    <n v="0"/>
    <n v="0"/>
    <n v="0"/>
    <n v="0"/>
    <n v="0"/>
    <x v="1"/>
    <n v="0"/>
    <s v="MMR001CMP005"/>
    <x v="2"/>
    <x v="1"/>
    <x v="2"/>
    <n v="0"/>
    <m/>
    <m/>
  </r>
  <r>
    <n v="55"/>
    <d v="2012-01-13T00:00:00"/>
    <x v="0"/>
    <s v="KBC"/>
    <s v="Kachin"/>
    <s v="Hpakant"/>
    <s v="5 Ward Baptist Church(lon Khin)"/>
    <m/>
    <m/>
    <m/>
    <n v="120"/>
    <n v="60"/>
    <n v="60"/>
    <n v="0"/>
    <n v="60"/>
    <n v="60"/>
    <n v="60"/>
    <m/>
    <m/>
    <m/>
    <m/>
    <m/>
    <m/>
    <m/>
    <n v="0"/>
    <n v="0"/>
    <n v="0"/>
    <n v="0"/>
    <n v="0"/>
    <n v="0"/>
    <n v="0"/>
    <n v="0"/>
    <n v="0"/>
    <n v="0"/>
    <n v="0"/>
    <n v="0"/>
    <n v="0"/>
    <n v="0"/>
    <x v="0"/>
    <n v="0"/>
    <s v="MMR001CMP179"/>
    <x v="2"/>
    <x v="1"/>
    <x v="2"/>
    <n v="0"/>
    <s v="No"/>
    <m/>
  </r>
  <r>
    <n v="55"/>
    <d v="2012-01-13T00:00:00"/>
    <x v="0"/>
    <s v="KBC"/>
    <s v="Kachin"/>
    <s v="Hpakant"/>
    <s v="5 Ward Baptist Church(lon Khin)"/>
    <m/>
    <m/>
    <m/>
    <n v="148"/>
    <n v="74"/>
    <n v="74"/>
    <n v="0"/>
    <n v="74"/>
    <n v="74"/>
    <n v="74"/>
    <m/>
    <m/>
    <m/>
    <m/>
    <m/>
    <m/>
    <m/>
    <n v="0"/>
    <n v="0"/>
    <n v="0"/>
    <n v="0"/>
    <n v="0"/>
    <n v="0"/>
    <n v="0"/>
    <n v="0"/>
    <n v="0"/>
    <n v="0"/>
    <n v="0"/>
    <n v="0"/>
    <n v="0"/>
    <n v="0"/>
    <x v="0"/>
    <n v="0"/>
    <s v="MMR001CMP179"/>
    <x v="2"/>
    <x v="1"/>
    <x v="2"/>
    <n v="0"/>
    <s v="No"/>
    <m/>
  </r>
  <r>
    <n v="55"/>
    <d v="2012-01-13T00:00:00"/>
    <x v="0"/>
    <s v="KBC"/>
    <s v="Kachin"/>
    <s v="Hpakant"/>
    <s v="Baptist Church, Hmaw Si Sar(Lon Khin)"/>
    <m/>
    <m/>
    <m/>
    <n v="70"/>
    <n v="35"/>
    <n v="35"/>
    <n v="0"/>
    <n v="35"/>
    <n v="35"/>
    <n v="35"/>
    <m/>
    <m/>
    <m/>
    <m/>
    <m/>
    <m/>
    <m/>
    <n v="0"/>
    <n v="0"/>
    <n v="0"/>
    <n v="0"/>
    <n v="0"/>
    <n v="0"/>
    <n v="0"/>
    <n v="0"/>
    <n v="0"/>
    <n v="0"/>
    <n v="0"/>
    <n v="0"/>
    <n v="0"/>
    <n v="0"/>
    <x v="0"/>
    <n v="0"/>
    <s v="MMR001CMP169"/>
    <x v="2"/>
    <x v="1"/>
    <x v="2"/>
    <n v="0"/>
    <s v="No"/>
    <m/>
  </r>
  <r>
    <n v="55"/>
    <d v="2012-01-13T00:00:00"/>
    <x v="0"/>
    <s v="KBC"/>
    <s v="Kachin"/>
    <s v="Hpakant"/>
    <s v="Hlaing Naung Baptist"/>
    <m/>
    <m/>
    <m/>
    <n v="10"/>
    <n v="5"/>
    <n v="5"/>
    <n v="0"/>
    <n v="5"/>
    <n v="5"/>
    <n v="5"/>
    <m/>
    <m/>
    <m/>
    <m/>
    <m/>
    <m/>
    <m/>
    <n v="0"/>
    <n v="0"/>
    <n v="0"/>
    <n v="0"/>
    <n v="0"/>
    <n v="0"/>
    <n v="0"/>
    <n v="0"/>
    <n v="0"/>
    <n v="0"/>
    <n v="0"/>
    <n v="0"/>
    <n v="0"/>
    <n v="0"/>
    <x v="0"/>
    <n v="0"/>
    <s v="MMR001CMP148"/>
    <x v="2"/>
    <x v="1"/>
    <x v="2"/>
    <n v="0"/>
    <s v="No"/>
    <m/>
  </r>
  <r>
    <n v="55"/>
    <d v="2012-01-13T00:00:00"/>
    <x v="0"/>
    <s v="KBC"/>
    <s v="Kachin"/>
    <m/>
    <s v="Kat Hmaw Zut Baptist Church"/>
    <m/>
    <m/>
    <m/>
    <n v="76"/>
    <n v="38"/>
    <n v="38"/>
    <n v="0"/>
    <n v="38"/>
    <n v="38"/>
    <n v="38"/>
    <m/>
    <m/>
    <m/>
    <m/>
    <m/>
    <m/>
    <m/>
    <n v="0"/>
    <n v="0"/>
    <n v="0"/>
    <n v="0"/>
    <n v="0"/>
    <n v="0"/>
    <n v="0"/>
    <n v="0"/>
    <n v="0"/>
    <n v="0"/>
    <n v="0"/>
    <n v="0"/>
    <n v="0"/>
    <n v="0"/>
    <x v="0"/>
    <n v="0"/>
    <s v=""/>
    <x v="0"/>
    <x v="0"/>
    <x v="0"/>
    <s v=""/>
    <s v="No"/>
    <m/>
  </r>
  <r>
    <n v="26.366666666666667"/>
    <d v="2014-05-21T00:00:00"/>
    <x v="6"/>
    <s v="MRCS"/>
    <s v="Kachin"/>
    <s v="Waingmaw"/>
    <s v="Thargaya Lisu Baptist Church"/>
    <m/>
    <m/>
    <m/>
    <m/>
    <m/>
    <m/>
    <m/>
    <m/>
    <m/>
    <m/>
    <m/>
    <m/>
    <m/>
    <n v="136"/>
    <m/>
    <m/>
    <m/>
    <n v="0"/>
    <n v="0"/>
    <n v="0"/>
    <n v="0"/>
    <n v="0"/>
    <n v="0"/>
    <n v="0"/>
    <n v="0"/>
    <n v="0"/>
    <n v="0"/>
    <n v="0"/>
    <n v="0"/>
    <n v="0"/>
    <n v="0"/>
    <x v="1"/>
    <n v="0"/>
    <s v="MMR001CMP037"/>
    <x v="2"/>
    <x v="1"/>
    <x v="2"/>
    <n v="0"/>
    <m/>
    <m/>
  </r>
  <r>
    <n v="31.4"/>
    <d v="2013-12-21T00:00:00"/>
    <x v="5"/>
    <s v="KBC"/>
    <s v="Kachin"/>
    <s v="Waingmaw"/>
    <s v="Thargaya Lisu Baptist Church"/>
    <m/>
    <m/>
    <m/>
    <m/>
    <m/>
    <m/>
    <m/>
    <m/>
    <m/>
    <m/>
    <n v="75"/>
    <n v="139"/>
    <n v="428"/>
    <n v="214"/>
    <m/>
    <m/>
    <m/>
    <n v="0"/>
    <n v="0"/>
    <n v="0"/>
    <n v="0"/>
    <n v="0"/>
    <n v="0"/>
    <n v="0"/>
    <n v="0"/>
    <n v="0"/>
    <n v="0"/>
    <n v="0"/>
    <n v="0"/>
    <n v="0"/>
    <n v="0"/>
    <x v="1"/>
    <n v="0"/>
    <s v="MMR001CMP037"/>
    <x v="2"/>
    <x v="1"/>
    <x v="2"/>
    <n v="0"/>
    <m/>
    <m/>
  </r>
  <r>
    <n v="32.1"/>
    <d v="2013-11-30T00:00:00"/>
    <x v="5"/>
    <s v="KBC"/>
    <s v="Kachin"/>
    <s v="Waingmaw"/>
    <s v="Thargaya Lisu Baptist Church"/>
    <m/>
    <m/>
    <m/>
    <m/>
    <m/>
    <m/>
    <m/>
    <m/>
    <m/>
    <m/>
    <m/>
    <m/>
    <m/>
    <m/>
    <m/>
    <m/>
    <m/>
    <n v="0"/>
    <n v="0"/>
    <n v="0"/>
    <n v="0"/>
    <n v="0"/>
    <n v="0"/>
    <n v="0"/>
    <n v="0"/>
    <n v="0"/>
    <n v="0"/>
    <n v="0"/>
    <n v="0"/>
    <n v="0"/>
    <n v="0"/>
    <x v="0"/>
    <n v="0"/>
    <s v="MMR001CMP037"/>
    <x v="2"/>
    <x v="1"/>
    <x v="2"/>
    <n v="0"/>
    <s v="No"/>
    <m/>
  </r>
  <r>
    <n v="42.2"/>
    <d v="2013-01-31T00:00:00"/>
    <x v="7"/>
    <s v="World Vision"/>
    <s v="Kachin"/>
    <s v="Waingmaw"/>
    <s v="Thargaya Lisu Baptist Church"/>
    <m/>
    <m/>
    <m/>
    <m/>
    <m/>
    <n v="122"/>
    <m/>
    <m/>
    <n v="0"/>
    <n v="0"/>
    <m/>
    <m/>
    <m/>
    <m/>
    <m/>
    <m/>
    <m/>
    <n v="0"/>
    <n v="0"/>
    <n v="0"/>
    <n v="0"/>
    <n v="0"/>
    <n v="0"/>
    <n v="0"/>
    <n v="0"/>
    <n v="0"/>
    <n v="0"/>
    <n v="0"/>
    <n v="0"/>
    <n v="0"/>
    <n v="0"/>
    <x v="0"/>
    <n v="0"/>
    <s v="MMR001CMP037"/>
    <x v="2"/>
    <x v="1"/>
    <x v="2"/>
    <n v="0"/>
    <s v="No"/>
    <m/>
  </r>
  <r>
    <n v="43.233333333333334"/>
    <d v="2012-12-31T00:00:00"/>
    <x v="3"/>
    <s v="DRC"/>
    <s v="Kachin"/>
    <s v="Waingmaw"/>
    <s v="Thargaya Lisu Baptist Church"/>
    <n v="68"/>
    <m/>
    <m/>
    <m/>
    <m/>
    <m/>
    <m/>
    <m/>
    <n v="0"/>
    <n v="0"/>
    <m/>
    <m/>
    <m/>
    <m/>
    <m/>
    <m/>
    <m/>
    <n v="0"/>
    <n v="0"/>
    <n v="0"/>
    <n v="0"/>
    <n v="0"/>
    <n v="0"/>
    <n v="0"/>
    <n v="0"/>
    <n v="0"/>
    <n v="0"/>
    <n v="0"/>
    <n v="0"/>
    <n v="0"/>
    <n v="0"/>
    <x v="0"/>
    <n v="0"/>
    <s v="MMR001CMP037"/>
    <x v="2"/>
    <x v="1"/>
    <x v="2"/>
    <n v="0"/>
    <s v="No"/>
    <m/>
  </r>
  <r>
    <n v="55"/>
    <d v="2012-01-13T00:00:00"/>
    <x v="0"/>
    <s v="KBC"/>
    <s v="Kachin"/>
    <m/>
    <s v="Le Pyin - Kar Gyi Winn"/>
    <m/>
    <m/>
    <m/>
    <n v="18"/>
    <n v="9"/>
    <n v="9"/>
    <n v="0"/>
    <n v="9"/>
    <n v="9"/>
    <n v="9"/>
    <m/>
    <m/>
    <m/>
    <m/>
    <m/>
    <m/>
    <m/>
    <n v="0"/>
    <n v="0"/>
    <n v="0"/>
    <n v="0"/>
    <n v="0"/>
    <n v="0"/>
    <n v="0"/>
    <n v="0"/>
    <n v="0"/>
    <n v="0"/>
    <n v="0"/>
    <n v="0"/>
    <n v="0"/>
    <n v="0"/>
    <x v="0"/>
    <n v="0"/>
    <s v=""/>
    <x v="0"/>
    <x v="0"/>
    <x v="0"/>
    <s v=""/>
    <s v="No"/>
    <s v="Lone Zut"/>
  </r>
  <r>
    <n v="55"/>
    <d v="2012-01-13T00:00:00"/>
    <x v="0"/>
    <s v="KBC"/>
    <s v="Kachin"/>
    <m/>
    <s v="Le Pyin Christian Church"/>
    <m/>
    <m/>
    <m/>
    <n v="10"/>
    <n v="5"/>
    <n v="5"/>
    <n v="0"/>
    <n v="5"/>
    <n v="5"/>
    <n v="5"/>
    <m/>
    <m/>
    <m/>
    <m/>
    <m/>
    <m/>
    <m/>
    <n v="0"/>
    <n v="0"/>
    <n v="0"/>
    <n v="0"/>
    <n v="0"/>
    <n v="0"/>
    <n v="0"/>
    <n v="0"/>
    <n v="0"/>
    <n v="0"/>
    <n v="0"/>
    <n v="0"/>
    <n v="0"/>
    <n v="0"/>
    <x v="0"/>
    <n v="0"/>
    <s v=""/>
    <x v="0"/>
    <x v="0"/>
    <x v="0"/>
    <s v=""/>
    <s v="No"/>
    <s v="CBP"/>
  </r>
  <r>
    <n v="55"/>
    <d v="2012-01-13T00:00:00"/>
    <x v="0"/>
    <s v="UNHCR"/>
    <s v="Kachin"/>
    <s v="Waingmaw"/>
    <s v="Maina Lawang Baptist Church"/>
    <m/>
    <m/>
    <m/>
    <n v="35"/>
    <n v="17"/>
    <n v="35"/>
    <n v="17"/>
    <n v="17"/>
    <n v="17"/>
    <n v="17"/>
    <m/>
    <m/>
    <m/>
    <m/>
    <m/>
    <m/>
    <m/>
    <n v="0"/>
    <n v="0"/>
    <n v="0"/>
    <n v="0"/>
    <n v="0"/>
    <n v="0"/>
    <n v="0"/>
    <n v="0"/>
    <n v="0"/>
    <n v="0"/>
    <n v="0"/>
    <n v="0"/>
    <n v="0"/>
    <n v="0"/>
    <x v="0"/>
    <n v="0"/>
    <s v="MMR001CMP039"/>
    <x v="2"/>
    <x v="1"/>
    <x v="2"/>
    <n v="0.36956521739130432"/>
    <s v="No"/>
    <m/>
  </r>
  <r>
    <n v="55"/>
    <d v="2012-01-13T00:00:00"/>
    <x v="0"/>
    <s v="KBC"/>
    <s v="Kachin"/>
    <s v="Hpakant"/>
    <s v="Maw Si Zar, Thiriyardanar Sein, Damma Compound, Lone Khin"/>
    <m/>
    <m/>
    <m/>
    <n v="224"/>
    <n v="112"/>
    <n v="112"/>
    <n v="0"/>
    <n v="112"/>
    <n v="112"/>
    <n v="112"/>
    <m/>
    <m/>
    <m/>
    <m/>
    <m/>
    <m/>
    <m/>
    <n v="0"/>
    <n v="0"/>
    <n v="0"/>
    <n v="0"/>
    <n v="0"/>
    <n v="0"/>
    <n v="0"/>
    <n v="0"/>
    <n v="0"/>
    <n v="0"/>
    <n v="0"/>
    <n v="0"/>
    <n v="0"/>
    <n v="0"/>
    <x v="0"/>
    <n v="0"/>
    <s v="MMR001CMP106"/>
    <x v="2"/>
    <x v="2"/>
    <x v="0"/>
    <s v=""/>
    <s v="No"/>
    <m/>
  </r>
  <r>
    <n v="55"/>
    <d v="2012-01-13T00:00:00"/>
    <x v="0"/>
    <s v="KBC"/>
    <s v="Kachin"/>
    <s v="Hpakant"/>
    <s v="Maw Wan, Kachin Baptist Church"/>
    <m/>
    <m/>
    <m/>
    <n v="34"/>
    <n v="17"/>
    <n v="17"/>
    <n v="0"/>
    <n v="17"/>
    <n v="17"/>
    <n v="17"/>
    <m/>
    <m/>
    <m/>
    <m/>
    <m/>
    <m/>
    <m/>
    <n v="0"/>
    <n v="0"/>
    <n v="0"/>
    <n v="0"/>
    <n v="0"/>
    <n v="0"/>
    <n v="0"/>
    <n v="0"/>
    <n v="0"/>
    <n v="0"/>
    <n v="0"/>
    <n v="0"/>
    <n v="0"/>
    <n v="0"/>
    <x v="0"/>
    <n v="0"/>
    <s v="MMR001CMP085"/>
    <x v="2"/>
    <x v="2"/>
    <x v="0"/>
    <s v=""/>
    <s v="No"/>
    <m/>
  </r>
  <r>
    <n v="55"/>
    <d v="2012-01-13T00:00:00"/>
    <x v="0"/>
    <s v="KBC"/>
    <s v="Kachin"/>
    <m/>
    <s v="Nant Yar Baptist Church"/>
    <m/>
    <m/>
    <m/>
    <n v="126"/>
    <n v="63"/>
    <n v="63"/>
    <n v="0"/>
    <n v="63"/>
    <n v="63"/>
    <n v="63"/>
    <m/>
    <m/>
    <m/>
    <m/>
    <m/>
    <m/>
    <m/>
    <n v="0"/>
    <n v="0"/>
    <n v="0"/>
    <n v="0"/>
    <n v="0"/>
    <n v="0"/>
    <n v="0"/>
    <n v="0"/>
    <n v="0"/>
    <n v="0"/>
    <n v="0"/>
    <n v="0"/>
    <n v="0"/>
    <n v="0"/>
    <x v="0"/>
    <n v="0"/>
    <s v=""/>
    <x v="0"/>
    <x v="0"/>
    <x v="0"/>
    <s v=""/>
    <s v="No"/>
    <s v="Emergency Aung Bar Li"/>
  </r>
  <r>
    <n v="20.6"/>
    <d v="2014-11-10T00:00:00"/>
    <x v="1"/>
    <s v="MRCS"/>
    <s v="Kachin"/>
    <s v="Puta-O"/>
    <s v="Tote Tan Ward"/>
    <m/>
    <m/>
    <m/>
    <m/>
    <m/>
    <m/>
    <m/>
    <m/>
    <m/>
    <m/>
    <n v="72"/>
    <n v="11"/>
    <m/>
    <m/>
    <m/>
    <m/>
    <m/>
    <n v="0"/>
    <n v="0"/>
    <n v="0"/>
    <n v="0"/>
    <n v="0"/>
    <n v="0"/>
    <n v="0"/>
    <n v="0"/>
    <n v="0"/>
    <n v="0"/>
    <n v="0"/>
    <n v="0"/>
    <n v="0"/>
    <n v="0"/>
    <x v="1"/>
    <n v="0"/>
    <s v="MMR001CMP075"/>
    <x v="2"/>
    <x v="1"/>
    <x v="4"/>
    <n v="0"/>
    <m/>
    <m/>
  </r>
  <r>
    <n v="30.4"/>
    <d v="2014-01-20T00:00:00"/>
    <x v="1"/>
    <s v="MRCS"/>
    <s v="Kachin"/>
    <s v="Puta-O"/>
    <s v="Tote Tan Ward"/>
    <m/>
    <m/>
    <m/>
    <n v="18"/>
    <n v="36"/>
    <n v="36"/>
    <n v="18"/>
    <m/>
    <m/>
    <m/>
    <n v="53"/>
    <n v="42"/>
    <m/>
    <m/>
    <m/>
    <m/>
    <m/>
    <n v="0"/>
    <n v="0"/>
    <n v="0"/>
    <n v="0"/>
    <n v="0"/>
    <n v="0"/>
    <n v="0"/>
    <n v="0"/>
    <n v="0"/>
    <n v="0"/>
    <n v="0"/>
    <n v="0"/>
    <n v="0"/>
    <n v="0"/>
    <x v="1"/>
    <n v="0"/>
    <s v="MMR001CMP075"/>
    <x v="2"/>
    <x v="1"/>
    <x v="4"/>
    <n v="1.2857142857142858"/>
    <m/>
    <m/>
  </r>
  <r>
    <n v="55"/>
    <d v="2012-01-13T00:00:00"/>
    <x v="0"/>
    <s v="KBC"/>
    <s v="Kachin"/>
    <s v="Hpakant"/>
    <s v="Nga Pyaw Taw Baptist Nursery School "/>
    <m/>
    <m/>
    <m/>
    <n v="112"/>
    <n v="56"/>
    <n v="56"/>
    <n v="0"/>
    <n v="56"/>
    <n v="56"/>
    <n v="56"/>
    <m/>
    <m/>
    <m/>
    <m/>
    <m/>
    <m/>
    <m/>
    <n v="0"/>
    <n v="0"/>
    <n v="0"/>
    <n v="0"/>
    <n v="0"/>
    <n v="0"/>
    <n v="0"/>
    <n v="0"/>
    <n v="0"/>
    <n v="0"/>
    <n v="0"/>
    <n v="0"/>
    <n v="0"/>
    <n v="0"/>
    <x v="0"/>
    <n v="0"/>
    <s v="MMR001CMP082"/>
    <x v="2"/>
    <x v="2"/>
    <x v="0"/>
    <s v=""/>
    <s v="No"/>
    <m/>
  </r>
  <r>
    <n v="24.866666666666667"/>
    <d v="2014-07-05T00:00:00"/>
    <x v="6"/>
    <s v="MRCS"/>
    <s v="Kachin"/>
    <s v="Waingmaw"/>
    <s v="Waingmaw AG Church"/>
    <m/>
    <m/>
    <m/>
    <m/>
    <m/>
    <m/>
    <m/>
    <m/>
    <m/>
    <m/>
    <m/>
    <m/>
    <m/>
    <n v="124"/>
    <m/>
    <m/>
    <m/>
    <n v="0"/>
    <n v="0"/>
    <n v="0"/>
    <n v="0"/>
    <n v="0"/>
    <n v="0"/>
    <n v="0"/>
    <n v="0"/>
    <n v="0"/>
    <n v="0"/>
    <n v="0"/>
    <n v="0"/>
    <n v="0"/>
    <n v="0"/>
    <x v="1"/>
    <n v="0"/>
    <s v="MMR001CMP038"/>
    <x v="2"/>
    <x v="1"/>
    <x v="2"/>
    <n v="0"/>
    <m/>
    <m/>
  </r>
  <r>
    <n v="31.566666666666666"/>
    <d v="2013-12-16T00:00:00"/>
    <x v="5"/>
    <s v="KBC"/>
    <s v="Kachin"/>
    <s v="Waingmaw"/>
    <s v="Waingmaw AG Church"/>
    <m/>
    <m/>
    <m/>
    <m/>
    <m/>
    <m/>
    <m/>
    <m/>
    <m/>
    <m/>
    <n v="77"/>
    <n v="153"/>
    <n v="460"/>
    <n v="230"/>
    <m/>
    <m/>
    <m/>
    <n v="0"/>
    <n v="0"/>
    <n v="0"/>
    <n v="0"/>
    <n v="0"/>
    <n v="0"/>
    <n v="0"/>
    <n v="0"/>
    <n v="0"/>
    <n v="0"/>
    <n v="0"/>
    <n v="0"/>
    <n v="0"/>
    <n v="0"/>
    <x v="1"/>
    <n v="0"/>
    <s v="MMR001CMP038"/>
    <x v="2"/>
    <x v="1"/>
    <x v="2"/>
    <n v="0"/>
    <m/>
    <m/>
  </r>
  <r>
    <n v="32.1"/>
    <d v="2013-11-30T00:00:00"/>
    <x v="5"/>
    <s v="KBC"/>
    <s v="Kachin"/>
    <s v="Waingmaw"/>
    <s v="Waingmaw AG Church"/>
    <m/>
    <m/>
    <m/>
    <m/>
    <m/>
    <m/>
    <m/>
    <m/>
    <m/>
    <m/>
    <m/>
    <m/>
    <m/>
    <m/>
    <m/>
    <m/>
    <m/>
    <n v="0"/>
    <n v="0"/>
    <n v="0"/>
    <n v="0"/>
    <n v="0"/>
    <n v="0"/>
    <n v="0"/>
    <n v="0"/>
    <n v="0"/>
    <n v="0"/>
    <n v="0"/>
    <n v="0"/>
    <n v="0"/>
    <n v="0"/>
    <x v="0"/>
    <n v="0"/>
    <s v="MMR001CMP038"/>
    <x v="2"/>
    <x v="1"/>
    <x v="2"/>
    <n v="0"/>
    <s v="No"/>
    <m/>
  </r>
  <r>
    <n v="55.06666666666667"/>
    <d v="2012-01-11T00:00:00"/>
    <x v="0"/>
    <s v="KBC"/>
    <s v="Kachin"/>
    <s v="Waingmaw"/>
    <s v="Shing Jai"/>
    <m/>
    <m/>
    <m/>
    <n v="536"/>
    <n v="268"/>
    <n v="536"/>
    <n v="268"/>
    <n v="268"/>
    <n v="268"/>
    <n v="268"/>
    <m/>
    <m/>
    <m/>
    <m/>
    <m/>
    <m/>
    <m/>
    <n v="0"/>
    <n v="0"/>
    <n v="0"/>
    <n v="0"/>
    <n v="0"/>
    <n v="0"/>
    <n v="0"/>
    <n v="0"/>
    <n v="0"/>
    <n v="0"/>
    <n v="0"/>
    <n v="0"/>
    <n v="0"/>
    <n v="0"/>
    <x v="0"/>
    <n v="0"/>
    <s v="MMR001CMP041"/>
    <x v="2"/>
    <x v="1"/>
    <x v="3"/>
    <n v="1.4972067039106145"/>
    <s v="No"/>
    <m/>
  </r>
  <r>
    <n v="55.2"/>
    <d v="2012-01-07T00:00:00"/>
    <x v="0"/>
    <s v="KMSS"/>
    <s v="Kachin"/>
    <s v="Myitkyina"/>
    <s v="Jan Mai Kawng Baptist Church"/>
    <m/>
    <m/>
    <m/>
    <n v="32"/>
    <n v="16"/>
    <n v="32"/>
    <n v="16"/>
    <n v="16"/>
    <n v="16"/>
    <n v="16"/>
    <m/>
    <m/>
    <m/>
    <m/>
    <m/>
    <m/>
    <m/>
    <n v="0"/>
    <n v="0"/>
    <n v="0"/>
    <n v="0"/>
    <n v="0"/>
    <n v="0"/>
    <n v="0"/>
    <n v="0"/>
    <n v="0"/>
    <n v="0"/>
    <n v="0"/>
    <n v="0"/>
    <n v="0"/>
    <n v="0"/>
    <x v="0"/>
    <n v="0"/>
    <s v="MMR001CMP018"/>
    <x v="2"/>
    <x v="1"/>
    <x v="2"/>
    <n v="8.0808080808080815E-2"/>
    <s v="No"/>
    <m/>
  </r>
  <r>
    <n v="42.2"/>
    <d v="2013-01-31T00:00:00"/>
    <x v="7"/>
    <s v="World Vision"/>
    <s v="Kachin"/>
    <s v="Waingmaw"/>
    <s v="Waingmaw AG Church"/>
    <m/>
    <m/>
    <m/>
    <m/>
    <m/>
    <n v="104"/>
    <m/>
    <m/>
    <n v="0"/>
    <n v="0"/>
    <m/>
    <m/>
    <m/>
    <m/>
    <m/>
    <m/>
    <m/>
    <n v="0"/>
    <n v="0"/>
    <n v="0"/>
    <n v="0"/>
    <n v="0"/>
    <n v="0"/>
    <n v="0"/>
    <n v="0"/>
    <n v="0"/>
    <n v="0"/>
    <n v="0"/>
    <n v="0"/>
    <n v="0"/>
    <n v="0"/>
    <x v="0"/>
    <n v="0"/>
    <s v="MMR001CMP038"/>
    <x v="2"/>
    <x v="1"/>
    <x v="2"/>
    <n v="0"/>
    <s v="No"/>
    <m/>
  </r>
  <r>
    <n v="43.233333333333334"/>
    <d v="2012-12-31T00:00:00"/>
    <x v="3"/>
    <s v="DRC"/>
    <s v="Kachin"/>
    <s v="Waingmaw"/>
    <s v="Waingmaw AG Church"/>
    <n v="56"/>
    <m/>
    <m/>
    <m/>
    <m/>
    <m/>
    <m/>
    <m/>
    <n v="0"/>
    <n v="0"/>
    <m/>
    <m/>
    <m/>
    <m/>
    <m/>
    <m/>
    <m/>
    <n v="0"/>
    <n v="0"/>
    <n v="0"/>
    <n v="0"/>
    <n v="0"/>
    <n v="0"/>
    <n v="0"/>
    <n v="0"/>
    <n v="0"/>
    <n v="0"/>
    <n v="0"/>
    <n v="0"/>
    <n v="0"/>
    <n v="0"/>
    <x v="0"/>
    <n v="0"/>
    <s v="MMR001CMP038"/>
    <x v="2"/>
    <x v="1"/>
    <x v="2"/>
    <n v="0"/>
    <s v="No"/>
    <m/>
  </r>
  <r>
    <n v="55.2"/>
    <d v="2012-01-07T00:00:00"/>
    <x v="0"/>
    <s v="KMSS"/>
    <s v="Kachin"/>
    <s v="Waingmaw"/>
    <s v="Maina Catholic Church (St. Joseph)"/>
    <m/>
    <m/>
    <m/>
    <n v="50"/>
    <n v="25"/>
    <n v="50"/>
    <n v="25"/>
    <n v="27"/>
    <n v="27"/>
    <n v="27"/>
    <m/>
    <m/>
    <m/>
    <m/>
    <m/>
    <m/>
    <m/>
    <n v="0"/>
    <n v="0"/>
    <n v="0"/>
    <n v="0"/>
    <n v="0"/>
    <n v="0"/>
    <n v="0"/>
    <n v="0"/>
    <n v="0"/>
    <n v="0"/>
    <n v="0"/>
    <n v="0"/>
    <n v="0"/>
    <n v="0"/>
    <x v="0"/>
    <n v="0"/>
    <s v="MMR001CMP029"/>
    <x v="2"/>
    <x v="1"/>
    <x v="2"/>
    <n v="0.11261261261261261"/>
    <s v="No"/>
    <m/>
  </r>
  <r>
    <n v="55.233333333333334"/>
    <d v="2012-01-06T00:00:00"/>
    <x v="0"/>
    <s v="KMSS"/>
    <s v="Kachin"/>
    <s v="Myitkyina"/>
    <s v="Jan Mai Kawng Catholic Church"/>
    <m/>
    <m/>
    <m/>
    <n v="0"/>
    <n v="0"/>
    <n v="0"/>
    <n v="0"/>
    <n v="9"/>
    <n v="9"/>
    <n v="9"/>
    <m/>
    <m/>
    <m/>
    <m/>
    <m/>
    <m/>
    <m/>
    <n v="0"/>
    <n v="0"/>
    <n v="0"/>
    <n v="0"/>
    <n v="0"/>
    <n v="0"/>
    <n v="0"/>
    <n v="0"/>
    <n v="0"/>
    <n v="0"/>
    <n v="0"/>
    <n v="0"/>
    <n v="0"/>
    <n v="0"/>
    <x v="0"/>
    <n v="0"/>
    <s v="MMR001CMP019"/>
    <x v="2"/>
    <x v="1"/>
    <x v="2"/>
    <n v="0"/>
    <s v="No"/>
    <m/>
  </r>
  <r>
    <n v="55.233333333333334"/>
    <d v="2012-01-06T00:00:00"/>
    <x v="0"/>
    <s v="UNHCR"/>
    <s v="Kachin"/>
    <s v="Waingmaw"/>
    <s v="Thargaya Lisu Baptist Church"/>
    <m/>
    <m/>
    <m/>
    <n v="29"/>
    <n v="0"/>
    <n v="29"/>
    <n v="15"/>
    <n v="15"/>
    <n v="15"/>
    <n v="15"/>
    <m/>
    <m/>
    <m/>
    <m/>
    <m/>
    <m/>
    <m/>
    <n v="0"/>
    <n v="0"/>
    <n v="0"/>
    <n v="0"/>
    <n v="0"/>
    <n v="0"/>
    <n v="0"/>
    <n v="0"/>
    <n v="0"/>
    <n v="0"/>
    <n v="0"/>
    <n v="0"/>
    <n v="0"/>
    <n v="0"/>
    <x v="0"/>
    <n v="0"/>
    <s v="MMR001CMP037"/>
    <x v="2"/>
    <x v="1"/>
    <x v="2"/>
    <n v="0.34090909090909088"/>
    <s v="No"/>
    <m/>
  </r>
  <r>
    <n v="55.233333333333334"/>
    <d v="2012-01-06T00:00:00"/>
    <x v="0"/>
    <s v="UNHCR"/>
    <s v="Kachin"/>
    <s v="Waingmaw"/>
    <s v="Thargaya Lisu Baptist Church"/>
    <m/>
    <m/>
    <m/>
    <n v="59"/>
    <n v="30"/>
    <n v="59"/>
    <n v="30"/>
    <n v="30"/>
    <n v="30"/>
    <n v="30"/>
    <m/>
    <m/>
    <m/>
    <m/>
    <m/>
    <m/>
    <m/>
    <n v="0"/>
    <n v="0"/>
    <n v="0"/>
    <n v="0"/>
    <n v="0"/>
    <n v="0"/>
    <n v="0"/>
    <n v="0"/>
    <n v="0"/>
    <n v="0"/>
    <n v="0"/>
    <n v="0"/>
    <n v="0"/>
    <n v="0"/>
    <x v="0"/>
    <n v="0"/>
    <s v="MMR001CMP037"/>
    <x v="2"/>
    <x v="1"/>
    <x v="2"/>
    <n v="0.68181818181818177"/>
    <s v="No"/>
    <m/>
  </r>
  <r>
    <n v="42.2"/>
    <d v="2013-01-31T00:00:00"/>
    <x v="7"/>
    <s v="World Vision"/>
    <s v="Kachin"/>
    <s v="Waingmaw"/>
    <s v="Waingmaw Baptist Zonal Office"/>
    <m/>
    <m/>
    <m/>
    <m/>
    <m/>
    <n v="224"/>
    <m/>
    <m/>
    <n v="0"/>
    <n v="0"/>
    <m/>
    <m/>
    <m/>
    <m/>
    <m/>
    <m/>
    <m/>
    <n v="0"/>
    <n v="0"/>
    <n v="0"/>
    <n v="0"/>
    <n v="0"/>
    <n v="0"/>
    <n v="0"/>
    <n v="0"/>
    <n v="0"/>
    <n v="0"/>
    <n v="0"/>
    <n v="0"/>
    <n v="0"/>
    <n v="0"/>
    <x v="0"/>
    <n v="0"/>
    <s v="MMR001CMP036"/>
    <x v="2"/>
    <x v="2"/>
    <x v="2"/>
    <s v=""/>
    <s v="No"/>
    <m/>
  </r>
  <r>
    <n v="55.233333333333334"/>
    <d v="2012-01-06T00:00:00"/>
    <x v="0"/>
    <s v="UNHCR"/>
    <s v="Kachin"/>
    <s v="Waingmaw"/>
    <s v="Waingmaw AG Church"/>
    <m/>
    <m/>
    <m/>
    <n v="29"/>
    <n v="14"/>
    <n v="29"/>
    <n v="14"/>
    <n v="14"/>
    <n v="14"/>
    <n v="14"/>
    <m/>
    <m/>
    <m/>
    <m/>
    <m/>
    <m/>
    <m/>
    <n v="0"/>
    <n v="0"/>
    <n v="0"/>
    <n v="0"/>
    <n v="0"/>
    <n v="0"/>
    <n v="0"/>
    <n v="0"/>
    <n v="0"/>
    <n v="0"/>
    <n v="0"/>
    <n v="0"/>
    <n v="0"/>
    <n v="0"/>
    <x v="0"/>
    <n v="0"/>
    <s v="MMR001CMP038"/>
    <x v="2"/>
    <x v="1"/>
    <x v="2"/>
    <n v="0.2"/>
    <s v="No"/>
    <m/>
  </r>
  <r>
    <n v="55.266666666666666"/>
    <d v="2012-01-05T00:00:00"/>
    <x v="0"/>
    <s v="KBC"/>
    <s v="Kachin"/>
    <s v="Waingmaw"/>
    <s v="Maina Lawang Baptist Church"/>
    <m/>
    <m/>
    <m/>
    <n v="52"/>
    <n v="29"/>
    <n v="52"/>
    <n v="29"/>
    <n v="29"/>
    <n v="29"/>
    <n v="29"/>
    <m/>
    <m/>
    <m/>
    <m/>
    <m/>
    <m/>
    <m/>
    <n v="0"/>
    <n v="0"/>
    <n v="0"/>
    <n v="0"/>
    <n v="0"/>
    <n v="0"/>
    <n v="0"/>
    <n v="0"/>
    <n v="0"/>
    <n v="0"/>
    <n v="0"/>
    <n v="0"/>
    <n v="0"/>
    <n v="0"/>
    <x v="0"/>
    <n v="0"/>
    <s v="MMR001CMP039"/>
    <x v="2"/>
    <x v="1"/>
    <x v="2"/>
    <n v="0.63043478260869568"/>
    <s v="No"/>
    <m/>
  </r>
  <r>
    <n v="55.333333333333336"/>
    <d v="2012-01-03T00:00:00"/>
    <x v="0"/>
    <s v="KMSS"/>
    <s v="Kachin"/>
    <s v="Myitkyina"/>
    <s v="Tat Kone Emanuel Church"/>
    <m/>
    <m/>
    <m/>
    <n v="0"/>
    <n v="0"/>
    <n v="0"/>
    <n v="0"/>
    <n v="8"/>
    <n v="8"/>
    <n v="8"/>
    <m/>
    <m/>
    <m/>
    <m/>
    <m/>
    <m/>
    <m/>
    <n v="0"/>
    <n v="0"/>
    <n v="0"/>
    <n v="0"/>
    <n v="0"/>
    <n v="0"/>
    <n v="0"/>
    <n v="0"/>
    <n v="0"/>
    <n v="0"/>
    <n v="0"/>
    <n v="0"/>
    <n v="0"/>
    <n v="0"/>
    <x v="0"/>
    <n v="0"/>
    <s v="MMR001CMP004"/>
    <x v="2"/>
    <x v="1"/>
    <x v="2"/>
    <n v="0"/>
    <s v="No"/>
    <m/>
  </r>
  <r>
    <n v="38.700000000000003"/>
    <d v="2013-05-16T00:00:00"/>
    <x v="8"/>
    <s v="KMSS"/>
    <s v="Kachin"/>
    <s v="Hpakant"/>
    <s v="Ward 2 Cahotlic Church, Seik Mu"/>
    <n v="103"/>
    <m/>
    <m/>
    <m/>
    <m/>
    <m/>
    <m/>
    <m/>
    <m/>
    <m/>
    <m/>
    <m/>
    <m/>
    <m/>
    <m/>
    <m/>
    <m/>
    <n v="0"/>
    <n v="0"/>
    <n v="0"/>
    <n v="0"/>
    <n v="0"/>
    <n v="0"/>
    <n v="0"/>
    <n v="0"/>
    <n v="0"/>
    <n v="0"/>
    <n v="0"/>
    <n v="0"/>
    <n v="0"/>
    <n v="0"/>
    <x v="0"/>
    <n v="0"/>
    <s v="MMR001CMP185"/>
    <x v="2"/>
    <x v="2"/>
    <x v="0"/>
    <s v=""/>
    <s v="No"/>
    <m/>
  </r>
  <r>
    <n v="18.466666666666665"/>
    <d v="2015-01-13T00:00:00"/>
    <x v="1"/>
    <s v="MRCS"/>
    <s v="Kachin"/>
    <s v="Hpakant"/>
    <s v="Ward 2 Sai Taung Baptist Church, Seik Mu "/>
    <m/>
    <m/>
    <m/>
    <m/>
    <m/>
    <m/>
    <m/>
    <m/>
    <m/>
    <m/>
    <n v="94"/>
    <n v="58"/>
    <m/>
    <m/>
    <m/>
    <m/>
    <m/>
    <n v="0"/>
    <n v="0"/>
    <n v="0"/>
    <n v="0"/>
    <n v="0"/>
    <n v="0"/>
    <n v="0"/>
    <n v="0"/>
    <n v="0"/>
    <n v="0"/>
    <n v="0"/>
    <n v="0"/>
    <n v="0"/>
    <n v="0"/>
    <x v="1"/>
    <n v="0"/>
    <s v="MMR001CMP184"/>
    <x v="2"/>
    <x v="1"/>
    <x v="2"/>
    <n v="0"/>
    <m/>
    <m/>
  </r>
  <r>
    <n v="55.43333333333333"/>
    <d v="2011-12-31T00:00:00"/>
    <x v="0"/>
    <s v="KMSS"/>
    <s v="Kachin"/>
    <s v="Waingmaw"/>
    <s v="Maina Catholic Church (St. Joseph)"/>
    <m/>
    <m/>
    <m/>
    <n v="46"/>
    <n v="27"/>
    <n v="47"/>
    <n v="27"/>
    <n v="27"/>
    <n v="27"/>
    <n v="27"/>
    <m/>
    <m/>
    <m/>
    <m/>
    <m/>
    <m/>
    <m/>
    <n v="0"/>
    <n v="0"/>
    <n v="0"/>
    <n v="0"/>
    <n v="0"/>
    <n v="0"/>
    <n v="0"/>
    <n v="0"/>
    <n v="0"/>
    <n v="0"/>
    <n v="0"/>
    <n v="0"/>
    <n v="0"/>
    <n v="0"/>
    <x v="0"/>
    <n v="0"/>
    <s v="MMR001CMP029"/>
    <x v="2"/>
    <x v="1"/>
    <x v="2"/>
    <n v="0.12162162162162163"/>
    <s v="No"/>
    <m/>
  </r>
  <r>
    <n v="55.466666666666669"/>
    <d v="2011-12-30T00:00:00"/>
    <x v="0"/>
    <s v="KBC"/>
    <s v="Kachin"/>
    <s v="Myitkyina"/>
    <s v="Jan Mai Kawng Baptist Church"/>
    <m/>
    <m/>
    <m/>
    <n v="56"/>
    <n v="29"/>
    <n v="56"/>
    <n v="29"/>
    <n v="29"/>
    <n v="29"/>
    <n v="29"/>
    <m/>
    <m/>
    <m/>
    <m/>
    <m/>
    <m/>
    <m/>
    <n v="0"/>
    <n v="0"/>
    <n v="0"/>
    <n v="0"/>
    <n v="0"/>
    <n v="0"/>
    <n v="0"/>
    <n v="0"/>
    <n v="0"/>
    <n v="0"/>
    <n v="0"/>
    <n v="0"/>
    <n v="0"/>
    <n v="0"/>
    <x v="0"/>
    <n v="0"/>
    <s v="MMR001CMP018"/>
    <x v="2"/>
    <x v="1"/>
    <x v="2"/>
    <n v="0.14646464646464646"/>
    <s v="No"/>
    <m/>
  </r>
  <r>
    <n v="55.533333333333331"/>
    <d v="2011-12-28T00:00:00"/>
    <x v="0"/>
    <s v="Shan Community"/>
    <s v="Kachin"/>
    <s v="Waingmaw"/>
    <s v="Hkat Cho "/>
    <m/>
    <m/>
    <m/>
    <n v="31"/>
    <n v="19"/>
    <n v="31"/>
    <n v="19"/>
    <n v="19"/>
    <n v="19"/>
    <n v="19"/>
    <m/>
    <m/>
    <m/>
    <m/>
    <m/>
    <m/>
    <m/>
    <n v="0"/>
    <n v="0"/>
    <n v="0"/>
    <n v="0"/>
    <n v="0"/>
    <n v="0"/>
    <n v="0"/>
    <n v="0"/>
    <n v="0"/>
    <n v="0"/>
    <n v="0"/>
    <n v="0"/>
    <n v="0"/>
    <n v="0"/>
    <x v="0"/>
    <n v="0"/>
    <s v="MMR001CMP028"/>
    <x v="2"/>
    <x v="1"/>
    <x v="2"/>
    <n v="0.19191919191919191"/>
    <s v="No"/>
    <m/>
  </r>
  <r>
    <n v="55.6"/>
    <d v="2011-12-26T00:00:00"/>
    <x v="0"/>
    <s v="KBC"/>
    <s v="Kachin"/>
    <s v="Waingmaw"/>
    <s v="Qtr. 2 Myoma Baptist Church"/>
    <m/>
    <m/>
    <m/>
    <n v="54"/>
    <n v="33"/>
    <n v="54"/>
    <n v="33"/>
    <n v="33"/>
    <n v="33"/>
    <n v="33"/>
    <m/>
    <m/>
    <m/>
    <m/>
    <m/>
    <m/>
    <m/>
    <n v="0"/>
    <n v="0"/>
    <n v="0"/>
    <n v="0"/>
    <n v="0"/>
    <n v="0"/>
    <n v="0"/>
    <n v="0"/>
    <n v="0"/>
    <n v="0"/>
    <n v="0"/>
    <n v="0"/>
    <n v="0"/>
    <n v="0"/>
    <x v="0"/>
    <n v="0"/>
    <s v="MMR001CMP025"/>
    <x v="2"/>
    <x v="1"/>
    <x v="2"/>
    <n v="0.50769230769230766"/>
    <s v="No"/>
    <m/>
  </r>
  <r>
    <n v="32.1"/>
    <d v="2013-11-30T00:00:00"/>
    <x v="5"/>
    <s v="KBC"/>
    <s v="Kachin"/>
    <s v="Waingmaw"/>
    <s v="Woi Chyai "/>
    <m/>
    <m/>
    <m/>
    <m/>
    <m/>
    <m/>
    <m/>
    <m/>
    <m/>
    <n v="1851"/>
    <m/>
    <m/>
    <m/>
    <m/>
    <m/>
    <m/>
    <m/>
    <n v="0"/>
    <n v="0"/>
    <n v="0"/>
    <n v="0"/>
    <n v="0"/>
    <n v="0"/>
    <n v="0"/>
    <n v="0"/>
    <n v="0"/>
    <n v="0"/>
    <n v="0"/>
    <n v="0"/>
    <n v="0"/>
    <n v="0"/>
    <x v="0"/>
    <n v="0"/>
    <s v="MMR001CMP116"/>
    <x v="2"/>
    <x v="1"/>
    <x v="2"/>
    <n v="0"/>
    <s v="No"/>
    <m/>
  </r>
  <r>
    <n v="55.733333333333334"/>
    <d v="2011-12-22T00:00:00"/>
    <x v="0"/>
    <s v="UNHCR"/>
    <s v="Kachin"/>
    <s v="Waingmaw"/>
    <s v="Qtr. 2 Lhaovo Baptist Church"/>
    <m/>
    <m/>
    <m/>
    <n v="0"/>
    <n v="0"/>
    <n v="0"/>
    <n v="0"/>
    <n v="4"/>
    <n v="4"/>
    <n v="4"/>
    <m/>
    <m/>
    <m/>
    <m/>
    <m/>
    <m/>
    <m/>
    <n v="0"/>
    <n v="0"/>
    <n v="0"/>
    <n v="0"/>
    <n v="0"/>
    <n v="0"/>
    <n v="0"/>
    <n v="0"/>
    <n v="0"/>
    <n v="0"/>
    <n v="0"/>
    <n v="0"/>
    <n v="0"/>
    <n v="0"/>
    <x v="0"/>
    <n v="0"/>
    <s v="MMR001CMP032"/>
    <x v="2"/>
    <x v="1"/>
    <x v="2"/>
    <n v="0"/>
    <s v="No"/>
    <m/>
  </r>
  <r>
    <n v="43.93333333333333"/>
    <d v="2012-12-10T00:00:00"/>
    <x v="5"/>
    <s v="KBC"/>
    <s v="Kachin"/>
    <s v="Waingmaw"/>
    <s v="Woi Chyai "/>
    <n v="4285"/>
    <m/>
    <m/>
    <m/>
    <m/>
    <m/>
    <m/>
    <m/>
    <n v="0"/>
    <n v="0"/>
    <m/>
    <m/>
    <m/>
    <m/>
    <m/>
    <m/>
    <m/>
    <n v="0"/>
    <n v="0"/>
    <n v="0"/>
    <n v="0"/>
    <n v="0"/>
    <n v="0"/>
    <n v="0"/>
    <n v="0"/>
    <n v="0"/>
    <n v="0"/>
    <n v="0"/>
    <n v="0"/>
    <n v="0"/>
    <n v="0"/>
    <x v="0"/>
    <n v="0"/>
    <s v="MMR001CMP116"/>
    <x v="2"/>
    <x v="1"/>
    <x v="2"/>
    <n v="0"/>
    <s v="No"/>
    <m/>
  </r>
  <r>
    <n v="56.033333333333331"/>
    <d v="2011-12-13T00:00:00"/>
    <x v="0"/>
    <s v="IRRC"/>
    <s v="Kachin"/>
    <s v="Momauk"/>
    <s v="Hpun Lum Yang "/>
    <m/>
    <m/>
    <m/>
    <n v="250"/>
    <n v="125"/>
    <n v="250"/>
    <n v="125"/>
    <n v="125"/>
    <n v="125"/>
    <n v="125"/>
    <m/>
    <m/>
    <m/>
    <m/>
    <m/>
    <m/>
    <m/>
    <n v="0"/>
    <n v="0"/>
    <n v="0"/>
    <n v="0"/>
    <n v="0"/>
    <n v="0"/>
    <n v="0"/>
    <n v="0"/>
    <n v="0"/>
    <n v="0"/>
    <n v="0"/>
    <n v="0"/>
    <n v="0"/>
    <n v="0"/>
    <x v="0"/>
    <n v="0"/>
    <s v="MMR001CMP122"/>
    <x v="2"/>
    <x v="1"/>
    <x v="5"/>
    <n v="0.20695364238410596"/>
    <s v="No"/>
    <m/>
  </r>
  <r>
    <n v="56.033333333333331"/>
    <d v="2011-12-13T00:00:00"/>
    <x v="0"/>
    <s v="IRRC"/>
    <s v="Kachin"/>
    <s v="Momauk"/>
    <s v="Je Yang Hka "/>
    <m/>
    <m/>
    <m/>
    <n v="250"/>
    <n v="125"/>
    <n v="250"/>
    <n v="125"/>
    <n v="125"/>
    <n v="125"/>
    <n v="125"/>
    <m/>
    <m/>
    <m/>
    <m/>
    <m/>
    <m/>
    <m/>
    <n v="0"/>
    <n v="0"/>
    <n v="0"/>
    <n v="0"/>
    <n v="0"/>
    <n v="0"/>
    <n v="0"/>
    <n v="0"/>
    <n v="0"/>
    <n v="0"/>
    <n v="0"/>
    <n v="0"/>
    <n v="0"/>
    <n v="0"/>
    <x v="0"/>
    <n v="0"/>
    <s v="MMR001CMP121"/>
    <x v="2"/>
    <x v="1"/>
    <x v="5"/>
    <n v="7.5392038600723757E-2"/>
    <s v="No"/>
    <m/>
  </r>
  <r>
    <n v="56.033333333333331"/>
    <d v="2011-12-13T00:00:00"/>
    <x v="0"/>
    <s v="IRRC"/>
    <s v="Kachin"/>
    <s v="Waingmaw"/>
    <s v="Maga Yang "/>
    <m/>
    <m/>
    <m/>
    <n v="250"/>
    <n v="125"/>
    <n v="250"/>
    <n v="125"/>
    <n v="125"/>
    <n v="125"/>
    <n v="125"/>
    <m/>
    <m/>
    <m/>
    <m/>
    <m/>
    <m/>
    <m/>
    <n v="0"/>
    <n v="0"/>
    <n v="0"/>
    <n v="0"/>
    <n v="0"/>
    <n v="0"/>
    <n v="0"/>
    <n v="0"/>
    <n v="0"/>
    <n v="0"/>
    <n v="0"/>
    <n v="0"/>
    <n v="0"/>
    <n v="0"/>
    <x v="0"/>
    <n v="0"/>
    <s v="MMR001CMP119"/>
    <x v="2"/>
    <x v="1"/>
    <x v="5"/>
    <n v="0.21331058020477817"/>
    <s v="No"/>
    <m/>
  </r>
  <r>
    <n v="56.033333333333331"/>
    <d v="2011-12-13T00:00:00"/>
    <x v="0"/>
    <s v="IRRC"/>
    <s v="Kachin"/>
    <s v="Waingmaw"/>
    <s v="Zai Awng - Mung Ga Zup"/>
    <m/>
    <m/>
    <m/>
    <n v="250"/>
    <n v="125"/>
    <n v="250"/>
    <n v="125"/>
    <n v="125"/>
    <n v="125"/>
    <n v="125"/>
    <m/>
    <m/>
    <m/>
    <m/>
    <m/>
    <m/>
    <m/>
    <n v="0"/>
    <n v="0"/>
    <n v="0"/>
    <n v="0"/>
    <n v="0"/>
    <n v="0"/>
    <n v="0"/>
    <n v="0"/>
    <n v="0"/>
    <n v="0"/>
    <n v="0"/>
    <n v="0"/>
    <n v="0"/>
    <n v="0"/>
    <x v="0"/>
    <n v="0"/>
    <s v="MMR001CMP111"/>
    <x v="2"/>
    <x v="1"/>
    <x v="5"/>
    <n v="0.20695364238410596"/>
    <s v="No"/>
    <m/>
  </r>
  <r>
    <n v="43.233333333333334"/>
    <d v="2012-12-31T00:00:00"/>
    <x v="3"/>
    <s v="DRC"/>
    <s v="Kachin"/>
    <s v="Hpakant"/>
    <s v="Wrad(5) Christian Association"/>
    <n v="3"/>
    <m/>
    <m/>
    <m/>
    <m/>
    <m/>
    <m/>
    <m/>
    <n v="0"/>
    <n v="0"/>
    <m/>
    <m/>
    <m/>
    <m/>
    <m/>
    <m/>
    <m/>
    <n v="0"/>
    <n v="0"/>
    <n v="0"/>
    <n v="0"/>
    <n v="0"/>
    <n v="0"/>
    <n v="0"/>
    <n v="0"/>
    <n v="0"/>
    <n v="0"/>
    <n v="0"/>
    <n v="0"/>
    <n v="0"/>
    <n v="0"/>
    <x v="0"/>
    <n v="0"/>
    <s v="MMR001CMP175"/>
    <x v="2"/>
    <x v="2"/>
    <x v="0"/>
    <s v=""/>
    <s v="No"/>
    <m/>
  </r>
  <r>
    <n v="56.1"/>
    <d v="2011-12-11T00:00:00"/>
    <x v="0"/>
    <s v="KBC"/>
    <s v="Kachin"/>
    <s v="Myitkyina"/>
    <s v="Man Hkring Baptist Church"/>
    <m/>
    <m/>
    <m/>
    <n v="6"/>
    <n v="4"/>
    <n v="6"/>
    <n v="4"/>
    <n v="4"/>
    <n v="4"/>
    <n v="4"/>
    <m/>
    <m/>
    <m/>
    <m/>
    <m/>
    <m/>
    <m/>
    <n v="0"/>
    <n v="0"/>
    <n v="0"/>
    <n v="0"/>
    <n v="0"/>
    <n v="0"/>
    <n v="0"/>
    <n v="0"/>
    <n v="0"/>
    <n v="0"/>
    <n v="0"/>
    <n v="0"/>
    <n v="0"/>
    <n v="0"/>
    <x v="0"/>
    <n v="0"/>
    <s v="MMR001CMP008"/>
    <x v="2"/>
    <x v="1"/>
    <x v="2"/>
    <n v="4.0404040404040407E-2"/>
    <s v="No"/>
    <m/>
  </r>
  <r>
    <n v="26.066666666666666"/>
    <d v="2014-05-30T00:00:00"/>
    <x v="6"/>
    <s v="MRCS"/>
    <s v="Kachin"/>
    <s v="Myitkyina"/>
    <s v="Wun Tho Buddhist Monastery"/>
    <m/>
    <m/>
    <m/>
    <m/>
    <m/>
    <m/>
    <m/>
    <m/>
    <m/>
    <m/>
    <m/>
    <m/>
    <m/>
    <n v="12"/>
    <m/>
    <m/>
    <m/>
    <n v="0"/>
    <n v="0"/>
    <n v="0"/>
    <n v="0"/>
    <n v="0"/>
    <n v="0"/>
    <n v="0"/>
    <n v="0"/>
    <n v="0"/>
    <n v="0"/>
    <n v="0"/>
    <n v="0"/>
    <n v="0"/>
    <n v="0"/>
    <x v="1"/>
    <n v="0"/>
    <s v="MMR001CMP022"/>
    <x v="2"/>
    <x v="1"/>
    <x v="2"/>
    <n v="0"/>
    <m/>
    <m/>
  </r>
  <r>
    <n v="43.233333333333334"/>
    <d v="2012-12-31T00:00:00"/>
    <x v="3"/>
    <s v="DRC"/>
    <s v="Kachin"/>
    <s v="Myitkyina"/>
    <s v="Wun Tho Buddhist Monastery"/>
    <n v="24"/>
    <m/>
    <m/>
    <m/>
    <m/>
    <m/>
    <m/>
    <m/>
    <n v="0"/>
    <n v="0"/>
    <m/>
    <m/>
    <m/>
    <m/>
    <m/>
    <m/>
    <m/>
    <n v="0"/>
    <n v="0"/>
    <n v="0"/>
    <n v="0"/>
    <n v="0"/>
    <n v="0"/>
    <n v="0"/>
    <n v="0"/>
    <n v="0"/>
    <n v="0"/>
    <n v="0"/>
    <n v="0"/>
    <n v="0"/>
    <n v="0"/>
    <x v="0"/>
    <n v="0"/>
    <s v="MMR001CMP022"/>
    <x v="2"/>
    <x v="1"/>
    <x v="2"/>
    <n v="0"/>
    <s v="No"/>
    <m/>
  </r>
  <r>
    <n v="56.1"/>
    <d v="2011-12-11T00:00:00"/>
    <x v="0"/>
    <s v="Shan Community"/>
    <s v="Kachin"/>
    <s v="Myitkyina"/>
    <s v="Shan Ywar Monestary Camp"/>
    <m/>
    <m/>
    <m/>
    <n v="88"/>
    <n v="49"/>
    <n v="88"/>
    <n v="49"/>
    <n v="49"/>
    <n v="49"/>
    <n v="49"/>
    <m/>
    <m/>
    <m/>
    <m/>
    <m/>
    <m/>
    <m/>
    <n v="0"/>
    <n v="0"/>
    <n v="0"/>
    <n v="0"/>
    <n v="0"/>
    <n v="0"/>
    <n v="0"/>
    <n v="0"/>
    <n v="0"/>
    <n v="0"/>
    <n v="0"/>
    <n v="0"/>
    <n v="0"/>
    <n v="0"/>
    <x v="0"/>
    <n v="0"/>
    <s v=""/>
    <x v="0"/>
    <x v="0"/>
    <x v="0"/>
    <s v=""/>
    <s v="No"/>
    <m/>
  </r>
  <r>
    <n v="56.1"/>
    <d v="2011-12-11T00:00:00"/>
    <x v="0"/>
    <s v="KBC"/>
    <s v="Kachin"/>
    <s v="Myitkyina"/>
    <s v="Shatapru Sut Ngai Tawng"/>
    <m/>
    <m/>
    <m/>
    <n v="2"/>
    <n v="2"/>
    <n v="2"/>
    <n v="2"/>
    <n v="2"/>
    <n v="2"/>
    <n v="2"/>
    <m/>
    <m/>
    <m/>
    <m/>
    <m/>
    <m/>
    <m/>
    <n v="0"/>
    <n v="0"/>
    <n v="0"/>
    <n v="0"/>
    <n v="0"/>
    <n v="0"/>
    <n v="0"/>
    <n v="0"/>
    <n v="0"/>
    <n v="0"/>
    <n v="0"/>
    <n v="0"/>
    <n v="0"/>
    <n v="0"/>
    <x v="0"/>
    <n v="0"/>
    <s v="MMR001CMP006"/>
    <x v="2"/>
    <x v="1"/>
    <x v="2"/>
    <n v="2.2222222222222223E-2"/>
    <s v="No"/>
    <m/>
  </r>
  <r>
    <n v="56.1"/>
    <d v="2011-12-11T00:00:00"/>
    <x v="0"/>
    <s v="KBC"/>
    <s v="Kachin"/>
    <s v="Myitkyina"/>
    <s v="Tat Kone San Pya Baptist Church"/>
    <m/>
    <m/>
    <m/>
    <n v="3"/>
    <n v="2"/>
    <n v="3"/>
    <n v="2"/>
    <n v="2"/>
    <n v="2"/>
    <n v="2"/>
    <m/>
    <m/>
    <m/>
    <m/>
    <m/>
    <m/>
    <m/>
    <n v="0"/>
    <n v="0"/>
    <n v="0"/>
    <n v="0"/>
    <n v="0"/>
    <n v="0"/>
    <n v="0"/>
    <n v="0"/>
    <n v="0"/>
    <n v="0"/>
    <n v="0"/>
    <n v="0"/>
    <n v="0"/>
    <n v="0"/>
    <x v="0"/>
    <n v="0"/>
    <s v="MMR001CMP005"/>
    <x v="2"/>
    <x v="1"/>
    <x v="2"/>
    <n v="4.6511627906976744E-2"/>
    <s v="No"/>
    <m/>
  </r>
  <r>
    <n v="56.166666666666664"/>
    <d v="2011-12-09T00:00:00"/>
    <x v="0"/>
    <s v="KBC"/>
    <s v="Kachin"/>
    <s v="Myitkyina"/>
    <s v="Le Kone Bethlehem Church"/>
    <m/>
    <m/>
    <m/>
    <n v="13"/>
    <n v="6"/>
    <n v="13"/>
    <n v="6"/>
    <n v="6"/>
    <n v="6"/>
    <n v="6"/>
    <m/>
    <m/>
    <m/>
    <m/>
    <m/>
    <m/>
    <m/>
    <n v="0"/>
    <n v="0"/>
    <n v="0"/>
    <n v="0"/>
    <n v="0"/>
    <n v="0"/>
    <n v="0"/>
    <n v="0"/>
    <n v="0"/>
    <n v="0"/>
    <n v="0"/>
    <n v="0"/>
    <n v="0"/>
    <n v="0"/>
    <x v="0"/>
    <n v="0"/>
    <s v="MMR001CMP015"/>
    <x v="2"/>
    <x v="1"/>
    <x v="2"/>
    <n v="6.25E-2"/>
    <s v="No"/>
    <m/>
  </r>
  <r>
    <n v="56.3"/>
    <d v="2011-12-05T00:00:00"/>
    <x v="0"/>
    <s v="KMSS"/>
    <s v="Kachin"/>
    <s v="Myitkyina"/>
    <s v="Jan Mai Kawng Baptist Church"/>
    <m/>
    <m/>
    <m/>
    <n v="80"/>
    <n v="45"/>
    <n v="80"/>
    <n v="45"/>
    <n v="45"/>
    <n v="45"/>
    <n v="45"/>
    <m/>
    <m/>
    <m/>
    <m/>
    <m/>
    <m/>
    <m/>
    <n v="0"/>
    <n v="0"/>
    <n v="0"/>
    <n v="0"/>
    <n v="0"/>
    <n v="0"/>
    <n v="0"/>
    <n v="0"/>
    <n v="0"/>
    <n v="0"/>
    <n v="0"/>
    <n v="0"/>
    <n v="0"/>
    <n v="0"/>
    <x v="0"/>
    <n v="0"/>
    <s v="MMR001CMP018"/>
    <x v="2"/>
    <x v="1"/>
    <x v="2"/>
    <n v="0.22727272727272727"/>
    <s v="No"/>
    <m/>
  </r>
  <r>
    <n v="56.333333333333336"/>
    <d v="2011-12-04T00:00:00"/>
    <x v="0"/>
    <s v="KBC"/>
    <s v="Kachin"/>
    <s v="Myitkyina"/>
    <s v="Shwe Zet Baptist Church"/>
    <m/>
    <m/>
    <m/>
    <n v="52"/>
    <n v="27"/>
    <n v="52"/>
    <n v="27"/>
    <n v="27"/>
    <n v="27"/>
    <n v="27"/>
    <m/>
    <m/>
    <m/>
    <m/>
    <m/>
    <m/>
    <m/>
    <n v="0"/>
    <n v="0"/>
    <n v="0"/>
    <n v="0"/>
    <n v="0"/>
    <n v="0"/>
    <n v="0"/>
    <n v="0"/>
    <n v="0"/>
    <n v="0"/>
    <n v="0"/>
    <n v="0"/>
    <n v="0"/>
    <n v="0"/>
    <x v="0"/>
    <n v="0"/>
    <s v="MMR001CMP009"/>
    <x v="2"/>
    <x v="1"/>
    <x v="2"/>
    <n v="0.30337078651685395"/>
    <s v="No"/>
    <m/>
  </r>
  <r>
    <n v="27.766666666666666"/>
    <d v="2014-04-09T00:00:00"/>
    <x v="6"/>
    <s v="MRCS"/>
    <s v="Kachin"/>
    <s v="Bhamo"/>
    <s v="Yoe Kyi Monastery"/>
    <m/>
    <m/>
    <m/>
    <m/>
    <m/>
    <m/>
    <m/>
    <m/>
    <m/>
    <m/>
    <m/>
    <m/>
    <m/>
    <n v="42"/>
    <m/>
    <m/>
    <m/>
    <n v="0"/>
    <n v="0"/>
    <n v="0"/>
    <n v="0"/>
    <n v="0"/>
    <n v="0"/>
    <n v="0"/>
    <n v="0"/>
    <n v="0"/>
    <n v="0"/>
    <n v="0"/>
    <n v="0"/>
    <n v="0"/>
    <n v="0"/>
    <x v="1"/>
    <n v="0"/>
    <s v="MMR001CMP053"/>
    <x v="2"/>
    <x v="1"/>
    <x v="2"/>
    <n v="0"/>
    <m/>
    <m/>
  </r>
  <r>
    <n v="32.1"/>
    <d v="2013-11-30T00:00:00"/>
    <x v="4"/>
    <s v="MDCG"/>
    <s v="Kachin"/>
    <s v="Bhamo"/>
    <s v="Yoe Kyi Monastery"/>
    <m/>
    <m/>
    <m/>
    <m/>
    <m/>
    <n v="64"/>
    <m/>
    <m/>
    <m/>
    <m/>
    <n v="58"/>
    <n v="52"/>
    <n v="0"/>
    <m/>
    <m/>
    <m/>
    <m/>
    <n v="0"/>
    <n v="0"/>
    <n v="0"/>
    <n v="0"/>
    <n v="0"/>
    <n v="0"/>
    <n v="0"/>
    <n v="0"/>
    <n v="0"/>
    <n v="0"/>
    <n v="0"/>
    <n v="0"/>
    <n v="0"/>
    <n v="0"/>
    <x v="1"/>
    <n v="0"/>
    <s v="MMR001CMP053"/>
    <x v="2"/>
    <x v="1"/>
    <x v="2"/>
    <n v="0"/>
    <s v="No"/>
    <m/>
  </r>
  <r>
    <n v="32.1"/>
    <d v="2013-11-30T00:00:00"/>
    <x v="5"/>
    <m/>
    <s v="Kachin"/>
    <s v="Bhamo"/>
    <s v="Yoe Kyi Monastery"/>
    <m/>
    <m/>
    <m/>
    <m/>
    <m/>
    <m/>
    <m/>
    <m/>
    <m/>
    <n v="99"/>
    <m/>
    <m/>
    <m/>
    <m/>
    <m/>
    <m/>
    <m/>
    <n v="0"/>
    <n v="0"/>
    <n v="0"/>
    <n v="0"/>
    <n v="0"/>
    <n v="0"/>
    <n v="0"/>
    <n v="0"/>
    <n v="0"/>
    <n v="0"/>
    <n v="0"/>
    <n v="0"/>
    <n v="0"/>
    <n v="0"/>
    <x v="0"/>
    <n v="0"/>
    <s v="MMR001CMP053"/>
    <x v="2"/>
    <x v="1"/>
    <x v="2"/>
    <n v="0"/>
    <s v="No"/>
    <m/>
  </r>
  <r>
    <n v="42.966666666666669"/>
    <d v="2013-01-08T00:00:00"/>
    <x v="5"/>
    <s v="Solidarities"/>
    <s v="Kachin"/>
    <s v="Bhamo"/>
    <s v="Yoe Kyi Monastery"/>
    <n v="132"/>
    <m/>
    <m/>
    <m/>
    <m/>
    <m/>
    <m/>
    <m/>
    <n v="0"/>
    <n v="0"/>
    <m/>
    <m/>
    <m/>
    <m/>
    <m/>
    <m/>
    <m/>
    <n v="0"/>
    <n v="0"/>
    <n v="0"/>
    <n v="0"/>
    <n v="0"/>
    <n v="0"/>
    <n v="0"/>
    <n v="0"/>
    <n v="0"/>
    <n v="0"/>
    <n v="0"/>
    <n v="0"/>
    <n v="0"/>
    <n v="0"/>
    <x v="0"/>
    <n v="0"/>
    <s v="MMR001CMP053"/>
    <x v="2"/>
    <x v="1"/>
    <x v="2"/>
    <n v="0"/>
    <s v="No"/>
    <m/>
  </r>
  <r>
    <n v="43.56666666666667"/>
    <d v="2012-12-21T00:00:00"/>
    <x v="5"/>
    <s v="Solidarities"/>
    <s v="Kachin"/>
    <s v="Bhamo"/>
    <s v="Yoe Kyi Monastery"/>
    <n v="178"/>
    <m/>
    <m/>
    <m/>
    <m/>
    <m/>
    <m/>
    <m/>
    <m/>
    <m/>
    <m/>
    <m/>
    <m/>
    <m/>
    <m/>
    <m/>
    <m/>
    <n v="0"/>
    <n v="0"/>
    <n v="0"/>
    <n v="0"/>
    <n v="0"/>
    <n v="0"/>
    <n v="0"/>
    <n v="0"/>
    <n v="0"/>
    <n v="0"/>
    <n v="0"/>
    <n v="0"/>
    <n v="0"/>
    <n v="0"/>
    <x v="0"/>
    <n v="0"/>
    <s v="MMR001CMP053"/>
    <x v="2"/>
    <x v="1"/>
    <x v="2"/>
    <n v="0"/>
    <m/>
    <m/>
  </r>
  <r>
    <n v="56.866666666666667"/>
    <d v="2011-11-18T00:00:00"/>
    <x v="0"/>
    <s v="UNHCR"/>
    <s v="Kachin"/>
    <s v="Myitkyina"/>
    <s v="Bomb Blast Victims"/>
    <m/>
    <m/>
    <m/>
    <n v="24"/>
    <n v="3"/>
    <n v="24"/>
    <n v="3"/>
    <n v="3"/>
    <n v="3"/>
    <n v="3"/>
    <m/>
    <m/>
    <m/>
    <m/>
    <m/>
    <m/>
    <m/>
    <n v="0"/>
    <n v="0"/>
    <n v="0"/>
    <n v="0"/>
    <n v="0"/>
    <n v="0"/>
    <n v="0"/>
    <n v="0"/>
    <n v="0"/>
    <n v="0"/>
    <n v="0"/>
    <n v="0"/>
    <n v="0"/>
    <n v="0"/>
    <x v="0"/>
    <n v="0"/>
    <s v=""/>
    <x v="0"/>
    <x v="0"/>
    <x v="0"/>
    <s v=""/>
    <s v="No"/>
    <m/>
  </r>
  <r>
    <n v="18.466666666666665"/>
    <d v="2015-01-13T00:00:00"/>
    <x v="1"/>
    <s v="MRCS"/>
    <s v="Kachin"/>
    <s v="Hpakant"/>
    <s v="Yumar Baptist Church"/>
    <m/>
    <m/>
    <m/>
    <m/>
    <m/>
    <m/>
    <m/>
    <m/>
    <m/>
    <m/>
    <n v="33"/>
    <n v="8"/>
    <m/>
    <m/>
    <m/>
    <m/>
    <m/>
    <n v="0"/>
    <n v="0"/>
    <n v="0"/>
    <n v="0"/>
    <n v="0"/>
    <n v="0"/>
    <n v="0"/>
    <n v="0"/>
    <n v="0"/>
    <n v="0"/>
    <n v="0"/>
    <n v="0"/>
    <n v="0"/>
    <n v="0"/>
    <x v="1"/>
    <n v="0"/>
    <s v="MMR001CMP105"/>
    <x v="2"/>
    <x v="1"/>
    <x v="2"/>
    <n v="0"/>
    <m/>
    <m/>
  </r>
  <r>
    <n v="56.866666666666667"/>
    <d v="2011-11-18T00:00:00"/>
    <x v="0"/>
    <s v="UNHCR"/>
    <s v="Kachin"/>
    <s v="Myitkyina"/>
    <s v="Wun Tho Buddhist Monastery"/>
    <m/>
    <m/>
    <m/>
    <n v="175"/>
    <n v="0"/>
    <n v="175"/>
    <n v="0"/>
    <n v="0"/>
    <m/>
    <m/>
    <m/>
    <m/>
    <m/>
    <m/>
    <m/>
    <m/>
    <m/>
    <n v="0"/>
    <n v="0"/>
    <n v="0"/>
    <n v="0"/>
    <n v="0"/>
    <n v="0"/>
    <n v="0"/>
    <n v="0"/>
    <n v="0"/>
    <n v="0"/>
    <n v="0"/>
    <n v="0"/>
    <n v="0"/>
    <n v="0"/>
    <x v="0"/>
    <n v="0"/>
    <s v="MMR001CMP022"/>
    <x v="2"/>
    <x v="1"/>
    <x v="2"/>
    <n v="0"/>
    <s v="No"/>
    <m/>
  </r>
  <r>
    <n v="56.93333333333333"/>
    <d v="2011-11-16T00:00:00"/>
    <x v="0"/>
    <s v="KBC"/>
    <s v="Kachin"/>
    <s v="Myitkyina"/>
    <s v="Njang Dung Baptist Church "/>
    <m/>
    <m/>
    <m/>
    <n v="92"/>
    <n v="53"/>
    <n v="92"/>
    <n v="53"/>
    <n v="53"/>
    <n v="53"/>
    <n v="53"/>
    <m/>
    <m/>
    <m/>
    <m/>
    <m/>
    <m/>
    <m/>
    <n v="0"/>
    <n v="0"/>
    <n v="0"/>
    <n v="0"/>
    <n v="0"/>
    <n v="0"/>
    <n v="0"/>
    <n v="0"/>
    <n v="0"/>
    <n v="0"/>
    <n v="0"/>
    <n v="0"/>
    <n v="0"/>
    <n v="0"/>
    <x v="0"/>
    <n v="0"/>
    <s v="MMR001CMP002"/>
    <x v="2"/>
    <x v="1"/>
    <x v="2"/>
    <n v="0.8833333333333333"/>
    <s v="No"/>
    <m/>
  </r>
  <r>
    <n v="56.93333333333333"/>
    <d v="2011-11-16T00:00:00"/>
    <x v="0"/>
    <s v="KBC"/>
    <s v="Kachin"/>
    <s v="Myitkyina"/>
    <s v="Shwe Zet Baptist Church"/>
    <m/>
    <m/>
    <m/>
    <n v="63"/>
    <n v="30"/>
    <n v="63"/>
    <n v="30"/>
    <n v="30"/>
    <n v="30"/>
    <n v="30"/>
    <m/>
    <m/>
    <m/>
    <m/>
    <m/>
    <m/>
    <m/>
    <n v="0"/>
    <n v="0"/>
    <n v="0"/>
    <n v="0"/>
    <n v="0"/>
    <n v="0"/>
    <n v="0"/>
    <n v="0"/>
    <n v="0"/>
    <n v="0"/>
    <n v="0"/>
    <n v="0"/>
    <n v="0"/>
    <n v="0"/>
    <x v="0"/>
    <n v="0"/>
    <s v="MMR001CMP009"/>
    <x v="2"/>
    <x v="1"/>
    <x v="2"/>
    <n v="0.33707865168539325"/>
    <s v="No"/>
    <m/>
  </r>
  <r>
    <n v="43.233333333333334"/>
    <d v="2012-12-31T00:00:00"/>
    <x v="3"/>
    <s v="DRC"/>
    <s v="Kachin"/>
    <s v="Hpakant"/>
    <s v="Yumar Baptist Church"/>
    <n v="42"/>
    <m/>
    <m/>
    <m/>
    <m/>
    <m/>
    <m/>
    <m/>
    <n v="0"/>
    <n v="0"/>
    <m/>
    <m/>
    <m/>
    <m/>
    <m/>
    <m/>
    <m/>
    <n v="0"/>
    <n v="0"/>
    <n v="0"/>
    <n v="0"/>
    <n v="0"/>
    <n v="0"/>
    <n v="0"/>
    <n v="0"/>
    <n v="0"/>
    <n v="0"/>
    <n v="0"/>
    <n v="0"/>
    <n v="0"/>
    <n v="0"/>
    <x v="0"/>
    <n v="0"/>
    <s v="MMR001CMP105"/>
    <x v="2"/>
    <x v="1"/>
    <x v="2"/>
    <n v="0"/>
    <s v="No"/>
    <m/>
  </r>
  <r>
    <n v="56.93333333333333"/>
    <d v="2011-11-16T00:00:00"/>
    <x v="0"/>
    <s v="KBC"/>
    <s v="Kachin"/>
    <s v="Myitkyina"/>
    <s v="Tat Kone Galile Baptist Church"/>
    <m/>
    <m/>
    <m/>
    <n v="53"/>
    <n v="31"/>
    <n v="53"/>
    <n v="31"/>
    <n v="31"/>
    <n v="31"/>
    <n v="31"/>
    <m/>
    <m/>
    <m/>
    <m/>
    <m/>
    <m/>
    <m/>
    <n v="0"/>
    <n v="0"/>
    <n v="0"/>
    <n v="0"/>
    <n v="0"/>
    <n v="0"/>
    <n v="0"/>
    <n v="0"/>
    <n v="0"/>
    <n v="0"/>
    <n v="0"/>
    <n v="0"/>
    <n v="0"/>
    <n v="0"/>
    <x v="0"/>
    <n v="0"/>
    <s v="MMR001CMP003"/>
    <x v="2"/>
    <x v="1"/>
    <x v="2"/>
    <n v="0.96875"/>
    <s v="No"/>
    <m/>
  </r>
  <r>
    <n v="22.933333333333334"/>
    <d v="2014-09-01T00:00:00"/>
    <x v="10"/>
    <m/>
    <s v="Kachin"/>
    <s v="Waingmaw"/>
    <s v="Zai Awng - Mung Ga Zup"/>
    <m/>
    <m/>
    <m/>
    <m/>
    <m/>
    <m/>
    <m/>
    <m/>
    <m/>
    <m/>
    <m/>
    <n v="905"/>
    <m/>
    <m/>
    <m/>
    <m/>
    <m/>
    <n v="0"/>
    <n v="0"/>
    <n v="0"/>
    <n v="0"/>
    <n v="0"/>
    <n v="0"/>
    <n v="0"/>
    <n v="0"/>
    <n v="0"/>
    <n v="0"/>
    <n v="0"/>
    <n v="0"/>
    <n v="0"/>
    <n v="0"/>
    <x v="1"/>
    <n v="0"/>
    <s v="MMR001CMP111"/>
    <x v="2"/>
    <x v="1"/>
    <x v="5"/>
    <n v="0"/>
    <m/>
    <m/>
  </r>
  <r>
    <n v="30.233333333333334"/>
    <d v="2014-01-25T00:00:00"/>
    <x v="10"/>
    <s v="KBC"/>
    <s v="Kachin"/>
    <s v="Waingmaw"/>
    <s v="Zai Awng - Mung Ga Zup"/>
    <m/>
    <m/>
    <m/>
    <m/>
    <m/>
    <n v="646"/>
    <n v="646"/>
    <n v="646"/>
    <m/>
    <n v="646"/>
    <m/>
    <m/>
    <m/>
    <m/>
    <m/>
    <m/>
    <m/>
    <n v="0"/>
    <n v="0"/>
    <n v="0"/>
    <n v="0"/>
    <n v="0"/>
    <n v="0"/>
    <n v="0"/>
    <n v="0"/>
    <n v="0"/>
    <n v="0"/>
    <n v="0"/>
    <n v="0"/>
    <n v="0"/>
    <n v="0"/>
    <x v="0"/>
    <n v="0"/>
    <s v="MMR001CMP111"/>
    <x v="2"/>
    <x v="1"/>
    <x v="5"/>
    <n v="1.0695364238410596"/>
    <s v="No"/>
    <m/>
  </r>
  <r>
    <n v="32.1"/>
    <d v="2013-11-30T00:00:00"/>
    <x v="5"/>
    <s v="KBC"/>
    <s v="Kachin"/>
    <s v="Waingmaw"/>
    <s v="Zai Awng - Mung Ga Zup"/>
    <m/>
    <m/>
    <m/>
    <m/>
    <m/>
    <m/>
    <m/>
    <m/>
    <m/>
    <m/>
    <m/>
    <m/>
    <m/>
    <m/>
    <m/>
    <m/>
    <m/>
    <n v="0"/>
    <n v="0"/>
    <n v="0"/>
    <n v="0"/>
    <n v="0"/>
    <n v="0"/>
    <n v="0"/>
    <n v="0"/>
    <n v="0"/>
    <n v="0"/>
    <n v="0"/>
    <n v="0"/>
    <n v="0"/>
    <n v="0"/>
    <x v="0"/>
    <n v="0"/>
    <s v="MMR001CMP111"/>
    <x v="2"/>
    <x v="1"/>
    <x v="5"/>
    <n v="0"/>
    <s v="No"/>
    <m/>
  </r>
  <r>
    <n v="32.166666666666664"/>
    <d v="2013-11-28T00:00:00"/>
    <x v="5"/>
    <s v="KBC"/>
    <s v="Kachin"/>
    <s v="Waingmaw"/>
    <s v="Zai Awng - Mung Ga Zup"/>
    <m/>
    <m/>
    <m/>
    <m/>
    <m/>
    <m/>
    <m/>
    <m/>
    <m/>
    <m/>
    <n v="636"/>
    <n v="1272"/>
    <n v="3816"/>
    <n v="1908"/>
    <m/>
    <m/>
    <m/>
    <n v="0"/>
    <n v="0"/>
    <n v="0"/>
    <n v="0"/>
    <n v="0"/>
    <n v="0"/>
    <n v="0"/>
    <n v="0"/>
    <n v="0"/>
    <n v="0"/>
    <n v="0"/>
    <n v="0"/>
    <n v="0"/>
    <n v="0"/>
    <x v="1"/>
    <n v="0"/>
    <s v="MMR001CMP111"/>
    <x v="2"/>
    <x v="1"/>
    <x v="5"/>
    <n v="0"/>
    <m/>
    <m/>
  </r>
  <r>
    <n v="56.966666666666669"/>
    <d v="2011-11-15T00:00:00"/>
    <x v="0"/>
    <s v="KBC"/>
    <s v="Kachin"/>
    <s v="Myitkyina"/>
    <s v="Tat Kone San Pya Baptist Church"/>
    <m/>
    <m/>
    <m/>
    <n v="30"/>
    <n v="17"/>
    <n v="30"/>
    <n v="17"/>
    <n v="17"/>
    <n v="17"/>
    <n v="17"/>
    <m/>
    <m/>
    <m/>
    <m/>
    <m/>
    <m/>
    <m/>
    <n v="0"/>
    <n v="0"/>
    <n v="0"/>
    <n v="0"/>
    <n v="0"/>
    <n v="0"/>
    <n v="0"/>
    <n v="0"/>
    <n v="0"/>
    <n v="0"/>
    <n v="0"/>
    <n v="0"/>
    <n v="0"/>
    <n v="0"/>
    <x v="0"/>
    <n v="0"/>
    <s v="MMR001CMP005"/>
    <x v="2"/>
    <x v="1"/>
    <x v="2"/>
    <n v="0.39534883720930231"/>
    <s v="No"/>
    <m/>
  </r>
  <r>
    <n v="57"/>
    <d v="2011-11-14T00:00:00"/>
    <x v="0"/>
    <s v="KBC"/>
    <s v="Kachin"/>
    <s v="Myitkyina"/>
    <s v="Kyun Pin Thar Baptist Church"/>
    <m/>
    <m/>
    <m/>
    <n v="47"/>
    <n v="28"/>
    <n v="47"/>
    <n v="28"/>
    <n v="28"/>
    <n v="28"/>
    <n v="28"/>
    <m/>
    <m/>
    <m/>
    <m/>
    <m/>
    <m/>
    <m/>
    <n v="0"/>
    <n v="0"/>
    <n v="0"/>
    <n v="0"/>
    <n v="0"/>
    <n v="0"/>
    <n v="0"/>
    <n v="0"/>
    <n v="0"/>
    <n v="0"/>
    <n v="0"/>
    <n v="0"/>
    <n v="0"/>
    <n v="0"/>
    <x v="0"/>
    <n v="0"/>
    <s v="MMR001CMP013"/>
    <x v="2"/>
    <x v="1"/>
    <x v="2"/>
    <n v="0.63636363636363635"/>
    <s v="No"/>
    <m/>
  </r>
  <r>
    <n v="57"/>
    <d v="2011-11-14T00:00:00"/>
    <x v="0"/>
    <s v="KBC"/>
    <s v="Kachin"/>
    <s v="Myitkyina"/>
    <s v="Le Kone Bethlehem Church"/>
    <m/>
    <m/>
    <m/>
    <n v="52"/>
    <n v="25"/>
    <n v="52"/>
    <n v="25"/>
    <n v="25"/>
    <n v="25"/>
    <n v="25"/>
    <m/>
    <m/>
    <m/>
    <m/>
    <m/>
    <m/>
    <m/>
    <n v="0"/>
    <n v="0"/>
    <n v="0"/>
    <n v="0"/>
    <n v="0"/>
    <n v="0"/>
    <n v="0"/>
    <n v="0"/>
    <n v="0"/>
    <n v="0"/>
    <n v="0"/>
    <n v="0"/>
    <n v="0"/>
    <n v="0"/>
    <x v="0"/>
    <n v="0"/>
    <s v="MMR001CMP015"/>
    <x v="2"/>
    <x v="1"/>
    <x v="2"/>
    <n v="0.26041666666666669"/>
    <s v="No"/>
    <m/>
  </r>
  <r>
    <n v="57"/>
    <d v="2011-11-14T00:00:00"/>
    <x v="0"/>
    <s v="KBC"/>
    <s v="Kachin"/>
    <s v="Myitkyina"/>
    <s v="Maliyang Baptist Church"/>
    <m/>
    <m/>
    <m/>
    <n v="57"/>
    <n v="30"/>
    <n v="57"/>
    <n v="30"/>
    <n v="30"/>
    <n v="30"/>
    <n v="30"/>
    <m/>
    <m/>
    <m/>
    <m/>
    <m/>
    <m/>
    <m/>
    <n v="0"/>
    <n v="0"/>
    <n v="0"/>
    <n v="0"/>
    <n v="0"/>
    <n v="0"/>
    <n v="0"/>
    <n v="0"/>
    <n v="0"/>
    <n v="0"/>
    <n v="0"/>
    <n v="0"/>
    <n v="0"/>
    <n v="0"/>
    <x v="0"/>
    <n v="0"/>
    <s v="MMR001CMP016"/>
    <x v="2"/>
    <x v="1"/>
    <x v="2"/>
    <n v="0.5"/>
    <s v="No"/>
    <m/>
  </r>
  <r>
    <n v="57.333333333333336"/>
    <d v="2011-11-04T00:00:00"/>
    <x v="0"/>
    <s v="KBC"/>
    <s v="Kachin"/>
    <s v="Myitkyina"/>
    <s v="Jan Mai Kawng Baptist Church"/>
    <m/>
    <m/>
    <m/>
    <n v="208"/>
    <n v="102"/>
    <n v="208"/>
    <n v="102"/>
    <n v="102"/>
    <n v="102"/>
    <n v="102"/>
    <m/>
    <m/>
    <m/>
    <m/>
    <m/>
    <m/>
    <m/>
    <n v="0"/>
    <n v="0"/>
    <n v="0"/>
    <n v="0"/>
    <n v="0"/>
    <n v="0"/>
    <n v="0"/>
    <n v="0"/>
    <n v="0"/>
    <n v="0"/>
    <n v="0"/>
    <n v="0"/>
    <n v="0"/>
    <n v="0"/>
    <x v="0"/>
    <n v="0"/>
    <s v="MMR001CMP018"/>
    <x v="2"/>
    <x v="1"/>
    <x v="2"/>
    <n v="0.51515151515151514"/>
    <s v="No"/>
    <m/>
  </r>
  <r>
    <n v="57.333333333333336"/>
    <d v="2011-11-04T00:00:00"/>
    <x v="0"/>
    <s v="KBC"/>
    <s v="Kachin"/>
    <s v="Myitkyina"/>
    <s v="Myay Myint Baptist Church"/>
    <m/>
    <m/>
    <m/>
    <n v="10"/>
    <n v="6"/>
    <n v="10"/>
    <n v="6"/>
    <n v="6"/>
    <n v="6"/>
    <n v="6"/>
    <m/>
    <m/>
    <m/>
    <m/>
    <m/>
    <m/>
    <m/>
    <n v="0"/>
    <n v="0"/>
    <n v="0"/>
    <n v="0"/>
    <n v="0"/>
    <n v="0"/>
    <n v="0"/>
    <n v="0"/>
    <n v="0"/>
    <n v="0"/>
    <n v="0"/>
    <n v="0"/>
    <n v="0"/>
    <n v="0"/>
    <x v="0"/>
    <n v="0"/>
    <s v="MMR001CMP017"/>
    <x v="2"/>
    <x v="2"/>
    <x v="2"/>
    <s v=""/>
    <s v="No"/>
    <m/>
  </r>
  <r>
    <n v="57.366666666666667"/>
    <d v="2011-11-03T00:00:00"/>
    <x v="0"/>
    <s v="KMSS"/>
    <s v="Kachin"/>
    <s v="Myitkyina"/>
    <s v="Jan Mai Kawng Baptist Church"/>
    <m/>
    <m/>
    <m/>
    <n v="106"/>
    <n v="52"/>
    <n v="106"/>
    <n v="52"/>
    <n v="52"/>
    <n v="52"/>
    <n v="52"/>
    <m/>
    <m/>
    <m/>
    <m/>
    <m/>
    <m/>
    <m/>
    <n v="0"/>
    <n v="0"/>
    <n v="0"/>
    <n v="0"/>
    <n v="0"/>
    <n v="0"/>
    <n v="0"/>
    <n v="0"/>
    <n v="0"/>
    <n v="0"/>
    <n v="0"/>
    <n v="0"/>
    <n v="0"/>
    <n v="0"/>
    <x v="0"/>
    <n v="0"/>
    <s v="MMR001CMP018"/>
    <x v="2"/>
    <x v="1"/>
    <x v="2"/>
    <n v="0.26262626262626265"/>
    <s v="No"/>
    <m/>
  </r>
  <r>
    <n v="57.366666666666667"/>
    <d v="2011-11-03T00:00:00"/>
    <x v="0"/>
    <s v="KBC"/>
    <s v="Kachin"/>
    <s v="Myitkyina"/>
    <s v="Le Kone Ziun Baptist Church "/>
    <m/>
    <m/>
    <m/>
    <n v="116"/>
    <n v="49"/>
    <n v="116"/>
    <n v="49"/>
    <n v="49"/>
    <n v="49"/>
    <n v="49"/>
    <m/>
    <m/>
    <m/>
    <m/>
    <m/>
    <m/>
    <m/>
    <n v="0"/>
    <n v="0"/>
    <n v="0"/>
    <n v="0"/>
    <n v="0"/>
    <n v="0"/>
    <n v="0"/>
    <n v="0"/>
    <n v="0"/>
    <n v="0"/>
    <n v="0"/>
    <n v="0"/>
    <n v="0"/>
    <n v="0"/>
    <x v="0"/>
    <n v="0"/>
    <s v="MMR001CMP014"/>
    <x v="2"/>
    <x v="1"/>
    <x v="2"/>
    <n v="0.35507246376811596"/>
    <s v="No"/>
    <m/>
  </r>
  <r>
    <n v="57.366666666666667"/>
    <d v="2011-11-03T00:00:00"/>
    <x v="0"/>
    <s v="KMSS"/>
    <s v="Kachin"/>
    <s v="Myitkyina"/>
    <s v="Shwe Zet Baptist Church"/>
    <m/>
    <m/>
    <m/>
    <n v="18"/>
    <n v="8"/>
    <n v="18"/>
    <n v="8"/>
    <n v="8"/>
    <n v="8"/>
    <n v="8"/>
    <m/>
    <m/>
    <m/>
    <m/>
    <m/>
    <m/>
    <m/>
    <n v="0"/>
    <n v="0"/>
    <n v="0"/>
    <n v="0"/>
    <n v="0"/>
    <n v="0"/>
    <n v="0"/>
    <n v="0"/>
    <n v="0"/>
    <n v="0"/>
    <n v="0"/>
    <n v="0"/>
    <n v="0"/>
    <n v="0"/>
    <x v="0"/>
    <n v="0"/>
    <s v="MMR001CMP009"/>
    <x v="2"/>
    <x v="1"/>
    <x v="2"/>
    <n v="8.98876404494382E-2"/>
    <s v="No"/>
    <m/>
  </r>
  <r>
    <n v="57.366666666666667"/>
    <d v="2011-11-03T00:00:00"/>
    <x v="0"/>
    <s v="KBC"/>
    <s v="Kachin"/>
    <s v="Myitkyina"/>
    <s v="Tat Kone Baptist Church"/>
    <m/>
    <m/>
    <m/>
    <n v="73"/>
    <n v="34"/>
    <n v="73"/>
    <n v="34"/>
    <n v="34"/>
    <n v="34"/>
    <n v="34"/>
    <m/>
    <m/>
    <m/>
    <m/>
    <m/>
    <m/>
    <m/>
    <n v="0"/>
    <n v="0"/>
    <n v="0"/>
    <n v="0"/>
    <n v="0"/>
    <n v="0"/>
    <n v="0"/>
    <n v="0"/>
    <n v="0"/>
    <n v="0"/>
    <n v="0"/>
    <n v="0"/>
    <n v="0"/>
    <n v="0"/>
    <x v="0"/>
    <n v="0"/>
    <s v="MMR001CMP001"/>
    <x v="2"/>
    <x v="1"/>
    <x v="2"/>
    <n v="0.5074626865671642"/>
    <s v="No"/>
    <m/>
  </r>
  <r>
    <n v="57.366666666666667"/>
    <d v="2011-11-03T00:00:00"/>
    <x v="0"/>
    <s v="KMSS"/>
    <s v="Kachin"/>
    <s v="Myitkyina"/>
    <s v="Tat Kone Emanuel Church"/>
    <m/>
    <m/>
    <m/>
    <n v="18"/>
    <n v="8"/>
    <n v="18"/>
    <n v="8"/>
    <n v="8"/>
    <n v="8"/>
    <n v="8"/>
    <m/>
    <m/>
    <m/>
    <m/>
    <m/>
    <m/>
    <m/>
    <n v="0"/>
    <n v="0"/>
    <n v="0"/>
    <n v="0"/>
    <n v="0"/>
    <n v="0"/>
    <n v="0"/>
    <n v="0"/>
    <n v="0"/>
    <n v="0"/>
    <n v="0"/>
    <n v="0"/>
    <n v="0"/>
    <n v="0"/>
    <x v="0"/>
    <n v="0"/>
    <s v="MMR001CMP004"/>
    <x v="2"/>
    <x v="1"/>
    <x v="2"/>
    <n v="1.3333333333333333"/>
    <s v="No"/>
    <m/>
  </r>
  <r>
    <n v="57.4"/>
    <d v="2011-11-02T00:00:00"/>
    <x v="0"/>
    <s v="KBC"/>
    <s v="Kachin"/>
    <s v="Myitkyina"/>
    <s v="Du Kahtawng Qtr. 14"/>
    <m/>
    <m/>
    <m/>
    <n v="0"/>
    <n v="5"/>
    <n v="0"/>
    <n v="5"/>
    <n v="5"/>
    <n v="5"/>
    <n v="5"/>
    <m/>
    <m/>
    <m/>
    <m/>
    <m/>
    <m/>
    <m/>
    <n v="0"/>
    <n v="0"/>
    <n v="0"/>
    <n v="0"/>
    <n v="0"/>
    <n v="0"/>
    <n v="0"/>
    <n v="0"/>
    <n v="0"/>
    <n v="0"/>
    <n v="0"/>
    <n v="0"/>
    <n v="0"/>
    <n v="0"/>
    <x v="0"/>
    <n v="0"/>
    <s v="MMR001CMP012"/>
    <x v="2"/>
    <x v="1"/>
    <x v="2"/>
    <n v="0.83333333333333337"/>
    <s v="No"/>
    <m/>
  </r>
  <r>
    <n v="57.4"/>
    <d v="2011-11-02T00:00:00"/>
    <x v="0"/>
    <s v="KBC"/>
    <s v="Kachin"/>
    <s v="Myitkyina"/>
    <s v="Du Kahtawng Qtr. 4"/>
    <m/>
    <m/>
    <m/>
    <n v="0"/>
    <n v="6"/>
    <n v="0"/>
    <n v="6"/>
    <n v="6"/>
    <n v="6"/>
    <n v="6"/>
    <m/>
    <m/>
    <m/>
    <m/>
    <m/>
    <m/>
    <m/>
    <n v="0"/>
    <n v="0"/>
    <n v="0"/>
    <n v="0"/>
    <n v="0"/>
    <n v="0"/>
    <n v="0"/>
    <n v="0"/>
    <n v="0"/>
    <n v="0"/>
    <n v="0"/>
    <n v="0"/>
    <n v="0"/>
    <n v="0"/>
    <x v="0"/>
    <n v="0"/>
    <s v="MMR001CMP010"/>
    <x v="2"/>
    <x v="1"/>
    <x v="2"/>
    <n v="1"/>
    <s v="No"/>
    <m/>
  </r>
  <r>
    <n v="57.4"/>
    <d v="2011-11-02T00:00:00"/>
    <x v="0"/>
    <s v="KBC"/>
    <s v="Kachin"/>
    <s v="Myitkyina"/>
    <s v="Du Kahtawng Qtr. 5"/>
    <m/>
    <m/>
    <m/>
    <n v="39"/>
    <n v="8"/>
    <n v="39"/>
    <n v="8"/>
    <n v="8"/>
    <n v="8"/>
    <n v="8"/>
    <m/>
    <m/>
    <m/>
    <m/>
    <m/>
    <m/>
    <m/>
    <n v="0"/>
    <n v="0"/>
    <n v="0"/>
    <n v="0"/>
    <n v="0"/>
    <n v="0"/>
    <n v="0"/>
    <n v="0"/>
    <n v="0"/>
    <n v="0"/>
    <n v="0"/>
    <n v="0"/>
    <n v="0"/>
    <n v="0"/>
    <x v="0"/>
    <n v="0"/>
    <s v="MMR001CMP011"/>
    <x v="2"/>
    <x v="1"/>
    <x v="2"/>
    <n v="0.18181818181818182"/>
    <s v="No"/>
    <m/>
  </r>
  <r>
    <n v="57.4"/>
    <d v="2011-11-02T00:00:00"/>
    <x v="0"/>
    <s v="KBC"/>
    <s v="Kachin"/>
    <s v="Myitkyina"/>
    <s v="Man Hkring Baptist Church"/>
    <m/>
    <m/>
    <m/>
    <n v="112"/>
    <n v="68"/>
    <n v="112"/>
    <n v="68"/>
    <n v="68"/>
    <n v="68"/>
    <n v="68"/>
    <m/>
    <m/>
    <m/>
    <m/>
    <m/>
    <m/>
    <m/>
    <n v="0"/>
    <n v="0"/>
    <n v="0"/>
    <n v="0"/>
    <n v="0"/>
    <n v="0"/>
    <n v="0"/>
    <n v="0"/>
    <n v="0"/>
    <n v="0"/>
    <n v="0"/>
    <n v="0"/>
    <n v="0"/>
    <n v="0"/>
    <x v="0"/>
    <n v="0"/>
    <s v="MMR001CMP008"/>
    <x v="2"/>
    <x v="1"/>
    <x v="2"/>
    <n v="0.68686868686868685"/>
    <s v="No"/>
    <m/>
  </r>
  <r>
    <n v="57.4"/>
    <d v="2011-11-02T00:00:00"/>
    <x v="0"/>
    <s v="KBC"/>
    <s v="Kachin"/>
    <s v="Myitkyina"/>
    <s v="Shatapru Sut Ngai Tawng"/>
    <m/>
    <m/>
    <m/>
    <n v="219"/>
    <n v="117"/>
    <n v="219"/>
    <n v="117"/>
    <n v="117"/>
    <n v="117"/>
    <n v="117"/>
    <m/>
    <m/>
    <m/>
    <m/>
    <m/>
    <m/>
    <m/>
    <n v="0"/>
    <n v="0"/>
    <n v="0"/>
    <n v="0"/>
    <n v="0"/>
    <n v="0"/>
    <n v="0"/>
    <n v="0"/>
    <n v="0"/>
    <n v="0"/>
    <n v="0"/>
    <n v="0"/>
    <n v="0"/>
    <n v="0"/>
    <x v="0"/>
    <n v="0"/>
    <s v="MMR001CMP006"/>
    <x v="2"/>
    <x v="1"/>
    <x v="2"/>
    <n v="1.3"/>
    <s v="No"/>
    <m/>
  </r>
  <r>
    <n v="57.4"/>
    <d v="2011-11-02T00:00:00"/>
    <x v="0"/>
    <s v="KBC"/>
    <s v="Kachin"/>
    <s v="Myitkyina"/>
    <s v="Shatapru Thida Aye Baptist Church"/>
    <m/>
    <m/>
    <m/>
    <n v="2"/>
    <n v="1"/>
    <n v="2"/>
    <n v="1"/>
    <n v="1"/>
    <n v="1"/>
    <n v="1"/>
    <m/>
    <m/>
    <m/>
    <m/>
    <m/>
    <m/>
    <m/>
    <n v="0"/>
    <n v="0"/>
    <n v="0"/>
    <n v="0"/>
    <n v="0"/>
    <n v="0"/>
    <n v="0"/>
    <n v="0"/>
    <n v="0"/>
    <n v="0"/>
    <n v="0"/>
    <n v="0"/>
    <n v="0"/>
    <n v="0"/>
    <x v="0"/>
    <n v="0"/>
    <s v="MMR001CMP007"/>
    <x v="2"/>
    <x v="1"/>
    <x v="2"/>
    <n v="4.5454545454545456E-2"/>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s v="No"/>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r>
    <s v=""/>
    <m/>
    <x v="12"/>
    <m/>
    <m/>
    <m/>
    <m/>
    <m/>
    <m/>
    <m/>
    <m/>
    <m/>
    <m/>
    <m/>
    <m/>
    <m/>
    <m/>
    <m/>
    <m/>
    <m/>
    <m/>
    <m/>
    <m/>
    <m/>
    <n v="0"/>
    <n v="0"/>
    <n v="0"/>
    <n v="0"/>
    <n v="0"/>
    <n v="0"/>
    <n v="0"/>
    <n v="0"/>
    <n v="0"/>
    <n v="0"/>
    <n v="0"/>
    <n v="0"/>
    <n v="0"/>
    <n v="0"/>
    <x v="0"/>
    <n v="0"/>
    <s v=""/>
    <x v="0"/>
    <x v="0"/>
    <x v="0"/>
    <s v=""/>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16"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C35" firstHeaderRow="0" firstDataRow="1" firstDataCol="1" rowPageCount="3" colPageCount="1"/>
  <pivotFields count="42">
    <pivotField axis="axisRow" multipleItemSelectionAllowed="1" showAll="0">
      <items count="3">
        <item x="0"/>
        <item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axis="axisPage" multipleItemSelectionAllowed="1" showAll="0" defaultSubtotal="0">
      <items count="22">
        <item x="4"/>
        <item x="3"/>
        <item x="12"/>
        <item x="20"/>
        <item x="13"/>
        <item x="8"/>
        <item x="15"/>
        <item x="17"/>
        <item x="6"/>
        <item x="18"/>
        <item x="10"/>
        <item x="11"/>
        <item x="5"/>
        <item x="14"/>
        <item x="0"/>
        <item x="1"/>
        <item x="19"/>
        <item x="9"/>
        <item x="7"/>
        <item x="16"/>
        <item x="2"/>
        <item x="2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dataField="1" subtotalTop="0" showAll="0"/>
    <pivotField dataField="1" subtotalTop="0" showAll="0"/>
    <pivotField showAll="0" defaultSubtotal="0"/>
    <pivotField showAll="0" defaultSubtotal="0"/>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2">
    <field x="0"/>
    <field x="38"/>
  </rowFields>
  <rowItems count="26">
    <i>
      <x/>
    </i>
    <i r="1">
      <x/>
    </i>
    <i r="1">
      <x v="1"/>
    </i>
    <i r="1">
      <x v="2"/>
    </i>
    <i r="1">
      <x v="3"/>
    </i>
    <i r="1">
      <x v="5"/>
    </i>
    <i r="1">
      <x v="6"/>
    </i>
    <i r="1">
      <x v="7"/>
    </i>
    <i r="1">
      <x v="8"/>
    </i>
    <i r="1">
      <x v="9"/>
    </i>
    <i r="1">
      <x v="10"/>
    </i>
    <i r="1">
      <x v="11"/>
    </i>
    <i r="1">
      <x v="12"/>
    </i>
    <i>
      <x v="1"/>
    </i>
    <i r="1">
      <x/>
    </i>
    <i r="1">
      <x v="1"/>
    </i>
    <i r="1">
      <x v="2"/>
    </i>
    <i r="1">
      <x v="4"/>
    </i>
    <i r="1">
      <x v="5"/>
    </i>
    <i r="1">
      <x v="6"/>
    </i>
    <i r="1">
      <x v="7"/>
    </i>
    <i r="1">
      <x v="8"/>
    </i>
    <i r="1">
      <x v="9"/>
    </i>
    <i r="1">
      <x v="10"/>
    </i>
    <i r="1">
      <x v="11"/>
    </i>
    <i t="grand">
      <x/>
    </i>
  </rowItems>
  <colFields count="1">
    <field x="-2"/>
  </colFields>
  <colItems count="2">
    <i>
      <x/>
    </i>
    <i i="1">
      <x v="1"/>
    </i>
  </colItems>
  <pageFields count="3">
    <pageField fld="1" hier="-1"/>
    <pageField fld="5" hier="-1"/>
    <pageField fld="20" item="1" hier="-1"/>
  </pageFields>
  <dataFields count="2">
    <dataField name="Households" fld="16" baseField="2" baseItem="0"/>
    <dataField name="Population" fld="17" baseField="2" baseItem="0"/>
  </dataFields>
  <formats count="20">
    <format dxfId="802">
      <pivotArea type="all" dataOnly="0" outline="0" fieldPosition="0"/>
    </format>
    <format dxfId="801">
      <pivotArea field="1" type="button" dataOnly="0" labelOnly="1" outline="0" axis="axisPage" fieldPosition="0"/>
    </format>
    <format dxfId="800">
      <pivotArea dataOnly="0" labelOnly="1" outline="0" fieldPosition="0">
        <references count="1">
          <reference field="4294967294" count="2">
            <x v="0"/>
            <x v="1"/>
          </reference>
        </references>
      </pivotArea>
    </format>
    <format dxfId="799">
      <pivotArea grandRow="1" outline="0" collapsedLevelsAreSubtotals="1" fieldPosition="0"/>
    </format>
    <format dxfId="798">
      <pivotArea dataOnly="0" labelOnly="1" grandRow="1" outline="0" fieldPosition="0"/>
    </format>
    <format dxfId="797">
      <pivotArea outline="0" collapsedLevelsAreSubtotals="1" fieldPosition="0"/>
    </format>
    <format dxfId="796">
      <pivotArea dataOnly="0" labelOnly="1" fieldPosition="0">
        <references count="1">
          <reference field="0" count="0"/>
        </references>
      </pivotArea>
    </format>
    <format dxfId="795">
      <pivotArea dataOnly="0" labelOnly="1" grandRow="1" outline="0" fieldPosition="0"/>
    </format>
    <format dxfId="794">
      <pivotArea outline="0" collapsedLevelsAreSubtotals="1" fieldPosition="0">
        <references count="1">
          <reference field="4294967294" count="1" selected="0">
            <x v="1"/>
          </reference>
        </references>
      </pivotArea>
    </format>
    <format dxfId="793">
      <pivotArea dataOnly="0" labelOnly="1" outline="0" fieldPosition="0">
        <references count="1">
          <reference field="4294967294" count="1">
            <x v="1"/>
          </reference>
        </references>
      </pivotArea>
    </format>
    <format dxfId="792">
      <pivotArea type="all" dataOnly="0" outline="0" fieldPosition="0"/>
    </format>
    <format dxfId="791">
      <pivotArea field="1" type="button" dataOnly="0" labelOnly="1" outline="0" axis="axisPage" fieldPosition="0"/>
    </format>
    <format dxfId="790">
      <pivotArea dataOnly="0" labelOnly="1" outline="0" fieldPosition="0">
        <references count="1">
          <reference field="1" count="0"/>
        </references>
      </pivotArea>
    </format>
    <format dxfId="789">
      <pivotArea field="5" type="button" dataOnly="0" labelOnly="1" outline="0" axis="axisPage" fieldPosition="1"/>
    </format>
    <format dxfId="788">
      <pivotArea dataOnly="0" labelOnly="1" outline="0" fieldPosition="0">
        <references count="1">
          <reference field="5" count="0"/>
        </references>
      </pivotArea>
    </format>
    <format dxfId="787">
      <pivotArea field="1" type="button" dataOnly="0" labelOnly="1" outline="0" axis="axisPage" fieldPosition="0"/>
    </format>
    <format dxfId="786">
      <pivotArea dataOnly="0" labelOnly="1" outline="0" fieldPosition="0">
        <references count="1">
          <reference field="1" count="0"/>
        </references>
      </pivotArea>
    </format>
    <format dxfId="785">
      <pivotArea field="5" type="button" dataOnly="0" labelOnly="1" outline="0" axis="axisPage" fieldPosition="1"/>
    </format>
    <format dxfId="784">
      <pivotArea dataOnly="0" labelOnly="1" outline="0" fieldPosition="0">
        <references count="1">
          <reference field="5" count="0"/>
        </references>
      </pivotArea>
    </format>
    <format dxfId="783">
      <pivotArea field="0" grandRow="1" outline="0" collapsedLevelsAreSubtotals="1" axis="axisRow" fieldPosition="0">
        <references count="1">
          <reference field="4294967294" count="1" selected="0">
            <x v="1"/>
          </reference>
        </references>
      </pivotArea>
    </format>
  </formats>
  <chartFormats count="2">
    <chartFormat chart="4"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81:D94" firstHeaderRow="0" firstDataRow="1" firstDataCol="1" rowPageCount="2" colPageCount="1"/>
  <pivotFields count="42">
    <pivotField axis="axisPage" multipleItemSelectionAllowed="1" showAll="0">
      <items count="3">
        <item x="0"/>
        <item h="1" x="1"/>
        <item t="default"/>
      </items>
    </pivotField>
    <pivotField axis="axisRow" multipleItemSelectionAllowed="1" showAll="0">
      <items count="3">
        <item x="0"/>
        <item sd="0" x="1"/>
        <item t="default"/>
      </items>
    </pivotField>
    <pivotField showAll="0" defaultSubtotal="0"/>
    <pivotField showAll="0" defaultSubtotal="0"/>
    <pivotField showAll="0" defaultSubtotal="0"/>
    <pivotField showAll="0" defaultSubtotal="0">
      <items count="22">
        <item x="4"/>
        <item x="3"/>
        <item x="12"/>
        <item x="20"/>
        <item x="13"/>
        <item x="8"/>
        <item x="15"/>
        <item x="17"/>
        <item x="6"/>
        <item x="18"/>
        <item x="10"/>
        <item x="11"/>
        <item x="5"/>
        <item x="14"/>
        <item x="0"/>
        <item x="1"/>
        <item x="19"/>
        <item x="9"/>
        <item x="7"/>
        <item x="16"/>
        <item x="2"/>
        <item x="21"/>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defaultSubtotal="0"/>
    <pivotField showAll="0" defaultSubtotal="0"/>
    <pivotField showAll="0"/>
    <pivotField dataField="1" showAll="0"/>
    <pivotField showAll="0" defaultSubtotal="0"/>
    <pivotField axis="axisRow" showAll="0" defaultSubtotal="0">
      <items count="3">
        <item x="0"/>
        <item x="1"/>
        <item x="2"/>
      </items>
    </pivotField>
    <pivotField axis="axisPage" multipleItemSelectionAllowed="1" showAll="0" defaultSubtotal="0">
      <items count="2">
        <item h="1" x="1"/>
        <item x="0"/>
      </items>
    </pivotField>
    <pivotField axis="axisRow" showAll="0">
      <items count="6">
        <item x="1"/>
        <item x="0"/>
        <item x="2"/>
        <item x="3"/>
        <item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3">
    <field x="1"/>
    <field x="19"/>
    <field x="21"/>
  </rowFields>
  <rowItems count="13">
    <i>
      <x/>
    </i>
    <i r="1">
      <x/>
    </i>
    <i r="2">
      <x/>
    </i>
    <i r="2">
      <x v="1"/>
    </i>
    <i r="2">
      <x v="2"/>
    </i>
    <i r="1">
      <x v="1"/>
    </i>
    <i r="2">
      <x/>
    </i>
    <i r="2">
      <x v="1"/>
    </i>
    <i r="2">
      <x v="2"/>
    </i>
    <i r="1">
      <x v="2"/>
    </i>
    <i r="2">
      <x v="1"/>
    </i>
    <i>
      <x v="1"/>
    </i>
    <i t="grand">
      <x/>
    </i>
  </rowItems>
  <colFields count="1">
    <field x="-2"/>
  </colFields>
  <colItems count="3">
    <i>
      <x/>
    </i>
    <i i="1">
      <x v="1"/>
    </i>
    <i i="2">
      <x v="2"/>
    </i>
  </colItems>
  <pageFields count="2">
    <pageField fld="0" hier="-1"/>
    <pageField fld="20" hier="-1"/>
  </pageFields>
  <dataFields count="3">
    <dataField name="Count of Camp" fld="11" subtotal="count" baseField="0" baseItem="0"/>
    <dataField name="Sum of Total" fld="17" baseField="2" baseItem="0"/>
    <dataField name="Sum of Total2" fld="17" showDataAs="percentOfTotal" baseField="20" baseItem="1" numFmtId="10"/>
  </dataFields>
  <formats count="21">
    <format dxfId="823">
      <pivotArea type="all" dataOnly="0" outline="0" fieldPosition="0"/>
    </format>
    <format dxfId="822">
      <pivotArea grandRow="1" outline="0" collapsedLevelsAreSubtotals="1" fieldPosition="0"/>
    </format>
    <format dxfId="821">
      <pivotArea dataOnly="0" labelOnly="1" grandRow="1" outline="0" fieldPosition="0"/>
    </format>
    <format dxfId="820">
      <pivotArea outline="0" collapsedLevelsAreSubtotals="1" fieldPosition="0"/>
    </format>
    <format dxfId="819">
      <pivotArea dataOnly="0" labelOnly="1" fieldPosition="0">
        <references count="1">
          <reference field="0" count="0"/>
        </references>
      </pivotArea>
    </format>
    <format dxfId="818">
      <pivotArea dataOnly="0" labelOnly="1" grandRow="1" outline="0" fieldPosition="0"/>
    </format>
    <format dxfId="817">
      <pivotArea outline="0" fieldPosition="0">
        <references count="1">
          <reference field="4294967294" count="1">
            <x v="2"/>
          </reference>
        </references>
      </pivotArea>
    </format>
    <format dxfId="816">
      <pivotArea collapsedLevelsAreSubtotals="1" fieldPosition="0">
        <references count="4">
          <reference field="4294967294" count="1" selected="0">
            <x v="2"/>
          </reference>
          <reference field="1" count="1" selected="0">
            <x v="0"/>
          </reference>
          <reference field="19" count="1" selected="0">
            <x v="0"/>
          </reference>
          <reference field="21" count="3">
            <x v="0"/>
            <x v="1"/>
            <x v="2"/>
          </reference>
        </references>
      </pivotArea>
    </format>
    <format dxfId="815">
      <pivotArea collapsedLevelsAreSubtotals="1" fieldPosition="0">
        <references count="3">
          <reference field="4294967294" count="1" selected="0">
            <x v="2"/>
          </reference>
          <reference field="1" count="1" selected="0">
            <x v="0"/>
          </reference>
          <reference field="19" count="1">
            <x v="1"/>
          </reference>
        </references>
      </pivotArea>
    </format>
    <format dxfId="814">
      <pivotArea collapsedLevelsAreSubtotals="1" fieldPosition="0">
        <references count="4">
          <reference field="4294967294" count="1" selected="0">
            <x v="2"/>
          </reference>
          <reference field="1" count="1" selected="0">
            <x v="0"/>
          </reference>
          <reference field="19" count="1" selected="0">
            <x v="1"/>
          </reference>
          <reference field="21" count="3">
            <x v="0"/>
            <x v="1"/>
            <x v="2"/>
          </reference>
        </references>
      </pivotArea>
    </format>
    <format dxfId="813">
      <pivotArea collapsedLevelsAreSubtotals="1" fieldPosition="0">
        <references count="2">
          <reference field="4294967294" count="1" selected="0">
            <x v="2"/>
          </reference>
          <reference field="1" count="1">
            <x v="1"/>
          </reference>
        </references>
      </pivotArea>
    </format>
    <format dxfId="812">
      <pivotArea field="1" grandRow="1" outline="0" collapsedLevelsAreSubtotals="1" axis="axisRow" fieldPosition="0">
        <references count="1">
          <reference field="4294967294" count="1" selected="0">
            <x v="2"/>
          </reference>
        </references>
      </pivotArea>
    </format>
    <format dxfId="811">
      <pivotArea field="0" type="button" dataOnly="0" labelOnly="1" outline="0" axis="axisPage" fieldPosition="0"/>
    </format>
    <format dxfId="810">
      <pivotArea dataOnly="0" labelOnly="1" outline="0" fieldPosition="0">
        <references count="1">
          <reference field="0" count="0"/>
        </references>
      </pivotArea>
    </format>
    <format dxfId="809">
      <pivotArea field="0" type="button" dataOnly="0" labelOnly="1" outline="0" axis="axisPage" fieldPosition="0"/>
    </format>
    <format dxfId="808">
      <pivotArea dataOnly="0" labelOnly="1" outline="0" fieldPosition="0">
        <references count="1">
          <reference field="0" count="0"/>
        </references>
      </pivotArea>
    </format>
    <format dxfId="807">
      <pivotArea collapsedLevelsAreSubtotals="1" fieldPosition="0">
        <references count="1">
          <reference field="1" count="1">
            <x v="0"/>
          </reference>
        </references>
      </pivotArea>
    </format>
    <format dxfId="806">
      <pivotArea field="1" type="button" dataOnly="0" labelOnly="1" outline="0" axis="axisRow" fieldPosition="0"/>
    </format>
    <format dxfId="805">
      <pivotArea dataOnly="0" labelOnly="1" fieldPosition="0">
        <references count="1">
          <reference field="1" count="1">
            <x v="0"/>
          </reference>
        </references>
      </pivotArea>
    </format>
    <format dxfId="804">
      <pivotArea dataOnly="0" labelOnly="1" outline="0" fieldPosition="0">
        <references count="1">
          <reference field="4294967294" count="3">
            <x v="0"/>
            <x v="1"/>
            <x v="2"/>
          </reference>
        </references>
      </pivotArea>
    </format>
    <format dxfId="80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68:E73"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2">
        <item x="4"/>
        <item x="3"/>
        <item x="12"/>
        <item x="20"/>
        <item x="13"/>
        <item x="8"/>
        <item x="15"/>
        <item x="17"/>
        <item x="6"/>
        <item x="18"/>
        <item x="10"/>
        <item x="11"/>
        <item x="5"/>
        <item x="14"/>
        <item x="0"/>
        <item x="1"/>
        <item x="19"/>
        <item x="9"/>
        <item x="7"/>
        <item x="16"/>
        <item x="2"/>
        <item x="21"/>
      </items>
    </pivotField>
    <pivotField showAll="0" defaultSubtotal="0"/>
    <pivotField showAll="0" defaultSubtotal="0"/>
    <pivotField showAll="0" defaultSubtotal="0"/>
    <pivotField showAll="0"/>
    <pivotField showAll="0" defaultSubtotal="0"/>
    <pivotField showAll="0" defaultSubtotal="0"/>
    <pivotField dataField="1" showAll="0" defaultSubtotal="0"/>
    <pivotField showAll="0"/>
    <pivotField showAll="0" defaultSubtotal="0"/>
    <pivotField showAll="0" defaultSubtotal="0"/>
    <pivotField showAll="0"/>
    <pivotField showAll="0"/>
    <pivotField showAll="0"/>
    <pivotField axis="axisCol" showAll="0">
      <items count="4">
        <item x="0"/>
        <item x="1"/>
        <item x="2"/>
        <item t="default"/>
      </items>
    </pivotField>
    <pivotField axis="axisPage" multipleItemSelectionAllowed="1" showAll="0" defaultSubtotal="0">
      <items count="2">
        <item h="1" x="1"/>
        <item x="0"/>
      </items>
    </pivotField>
    <pivotField axis="axisRow" showAll="0">
      <items count="6">
        <item x="0"/>
        <item x="2"/>
        <item x="1"/>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4">
    <i>
      <x/>
    </i>
    <i>
      <x v="1"/>
    </i>
    <i>
      <x v="2"/>
    </i>
    <i t="grand">
      <x/>
    </i>
  </colItems>
  <pageFields count="2">
    <pageField fld="0" hier="-1"/>
    <pageField fld="20" hier="-1"/>
  </pageFields>
  <dataFields count="1">
    <dataField name="Count of CP_Pcode" fld="12" subtotal="count" baseField="0" baseItem="0"/>
  </dataFields>
  <formats count="2">
    <format dxfId="825">
      <pivotArea outline="0" collapsedLevelsAreSubtotals="1" fieldPosition="0"/>
    </format>
    <format dxfId="8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A56:E61" firstHeaderRow="1" firstDataRow="2" firstDataCol="1" rowPageCount="2" colPageCount="1"/>
  <pivotFields count="42">
    <pivotField axis="axisPage" multipleItemSelectionAllowed="1" showAll="0">
      <items count="3">
        <item x="0"/>
        <item h="1" x="1"/>
        <item t="default"/>
      </items>
    </pivotField>
    <pivotField showAll="0"/>
    <pivotField showAll="0" defaultSubtotal="0"/>
    <pivotField showAll="0"/>
    <pivotField showAll="0" defaultSubtotal="0"/>
    <pivotField showAll="0" defaultSubtotal="0">
      <items count="22">
        <item x="4"/>
        <item x="3"/>
        <item x="12"/>
        <item x="20"/>
        <item x="13"/>
        <item x="8"/>
        <item x="15"/>
        <item x="17"/>
        <item x="6"/>
        <item x="18"/>
        <item x="10"/>
        <item x="11"/>
        <item x="5"/>
        <item x="14"/>
        <item x="0"/>
        <item x="1"/>
        <item x="19"/>
        <item x="9"/>
        <item x="7"/>
        <item x="16"/>
        <item x="2"/>
        <item x="21"/>
      </items>
    </pivotField>
    <pivotField showAll="0" defaultSubtotal="0"/>
    <pivotField showAll="0" defaultSubtotal="0"/>
    <pivotField showAll="0" defaultSubtotal="0"/>
    <pivotField showAll="0"/>
    <pivotField showAll="0" defaultSubtotal="0"/>
    <pivotField showAll="0" defaultSubtotal="0"/>
    <pivotField showAll="0" defaultSubtotal="0"/>
    <pivotField showAll="0"/>
    <pivotField showAll="0" defaultSubtotal="0"/>
    <pivotField showAll="0" defaultSubtotal="0"/>
    <pivotField showAll="0"/>
    <pivotField dataField="1" showAll="0"/>
    <pivotField showAll="0"/>
    <pivotField axis="axisCol" showAll="0">
      <items count="4">
        <item x="0"/>
        <item x="1"/>
        <item x="2"/>
        <item t="default"/>
      </items>
    </pivotField>
    <pivotField axis="axisPage" multipleItemSelectionAllowed="1" showAll="0" defaultSubtotal="0">
      <items count="2">
        <item h="1" x="1"/>
        <item x="0"/>
      </items>
    </pivotField>
    <pivotField axis="axisRow" showAll="0">
      <items count="6">
        <item x="0"/>
        <item x="2"/>
        <item x="1"/>
        <item x="3"/>
        <item x="4"/>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21"/>
  </rowFields>
  <rowItems count="4">
    <i>
      <x/>
    </i>
    <i>
      <x v="1"/>
    </i>
    <i>
      <x v="2"/>
    </i>
    <i t="grand">
      <x/>
    </i>
  </rowItems>
  <colFields count="1">
    <field x="19"/>
  </colFields>
  <colItems count="4">
    <i>
      <x/>
    </i>
    <i>
      <x v="1"/>
    </i>
    <i>
      <x v="2"/>
    </i>
    <i t="grand">
      <x/>
    </i>
  </colItems>
  <pageFields count="2">
    <pageField fld="0" hier="-1"/>
    <pageField fld="20" hier="-1"/>
  </pageFields>
  <dataFields count="1">
    <dataField name="Sum of Total" fld="17" baseField="20" baseItem="0" numFmtId="3"/>
  </dataFields>
  <formats count="6">
    <format dxfId="831">
      <pivotArea field="0" type="button" dataOnly="0" labelOnly="1" outline="0" axis="axisPage" fieldPosition="0"/>
    </format>
    <format dxfId="830">
      <pivotArea dataOnly="0" labelOnly="1" outline="0" fieldPosition="0">
        <references count="1">
          <reference field="0" count="0"/>
        </references>
      </pivotArea>
    </format>
    <format dxfId="829">
      <pivotArea type="all" dataOnly="0" outline="0" fieldPosition="0"/>
    </format>
    <format dxfId="828">
      <pivotArea type="all" dataOnly="0" outline="0" fieldPosition="0"/>
    </format>
    <format dxfId="827">
      <pivotArea collapsedLevelsAreSubtotals="1" fieldPosition="0">
        <references count="1">
          <reference field="21" count="4">
            <x v="0"/>
            <x v="1"/>
            <x v="2"/>
            <x v="3"/>
          </reference>
        </references>
      </pivotArea>
    </format>
    <format dxfId="826">
      <pivotArea dataOnly="0" labelOnly="1" fieldPosition="0">
        <references count="1">
          <reference field="21"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6"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46:E50" firstHeaderRow="1" firstDataRow="2" firstDataCol="1" rowPageCount="2" colPageCount="1"/>
  <pivotFields count="42">
    <pivotField axis="axisRow" multipleItemSelectionAllowed="1" showAll="0">
      <items count="3">
        <item x="0"/>
        <item x="1"/>
        <item t="default"/>
      </items>
    </pivotField>
    <pivotField axis="axisPage" subtotalTop="0" multipleItemSelectionAllowed="1" showAll="0">
      <items count="3">
        <item x="0"/>
        <item x="1"/>
        <item t="default"/>
      </items>
    </pivotField>
    <pivotField showAll="0" defaultSubtotal="0"/>
    <pivotField showAll="0" defaultSubtotal="0"/>
    <pivotField showAll="0" defaultSubtotal="0"/>
    <pivotField showAll="0" defaultSubtotal="0">
      <items count="22">
        <item x="4"/>
        <item x="3"/>
        <item x="12"/>
        <item x="20"/>
        <item x="13"/>
        <item x="8"/>
        <item x="15"/>
        <item x="17"/>
        <item x="6"/>
        <item x="18"/>
        <item x="10"/>
        <item x="11"/>
        <item x="5"/>
        <item x="14"/>
        <item x="0"/>
        <item x="1"/>
        <item x="19"/>
        <item x="9"/>
        <item x="7"/>
        <item x="16"/>
        <item x="2"/>
        <item x="2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axis="axisCol" showAll="0" defaultSubtotal="0">
      <items count="3">
        <item x="0"/>
        <item x="1"/>
        <item x="2"/>
      </items>
    </pivotField>
    <pivotField axis="axisPage" showAll="0" defaultSubtotal="0">
      <items count="2">
        <item x="1"/>
        <item x="0"/>
      </items>
    </pivotField>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i>
    <i>
      <x v="1"/>
    </i>
    <i t="grand">
      <x/>
    </i>
  </rowItems>
  <colFields count="1">
    <field x="19"/>
  </colFields>
  <colItems count="4">
    <i>
      <x/>
    </i>
    <i>
      <x v="1"/>
    </i>
    <i>
      <x v="2"/>
    </i>
    <i t="grand">
      <x/>
    </i>
  </colItems>
  <pageFields count="2">
    <pageField fld="1" hier="-1"/>
    <pageField fld="20" item="1" hier="-1"/>
  </pageFields>
  <dataFields count="1">
    <dataField name="Sum of Total" fld="17" baseField="2" baseItem="0"/>
  </dataFields>
  <formats count="13">
    <format dxfId="844">
      <pivotArea type="all" dataOnly="0" outline="0" fieldPosition="0"/>
    </format>
    <format dxfId="843">
      <pivotArea field="1" type="button" dataOnly="0" labelOnly="1" outline="0" axis="axisPage" fieldPosition="0"/>
    </format>
    <format dxfId="842">
      <pivotArea grandRow="1" outline="0" collapsedLevelsAreSubtotals="1" fieldPosition="0"/>
    </format>
    <format dxfId="841">
      <pivotArea dataOnly="0" labelOnly="1" grandRow="1" outline="0" fieldPosition="0"/>
    </format>
    <format dxfId="840">
      <pivotArea outline="0" collapsedLevelsAreSubtotals="1" fieldPosition="0"/>
    </format>
    <format dxfId="839">
      <pivotArea dataOnly="0" labelOnly="1" fieldPosition="0">
        <references count="1">
          <reference field="0" count="0"/>
        </references>
      </pivotArea>
    </format>
    <format dxfId="838">
      <pivotArea dataOnly="0" labelOnly="1" grandRow="1" outline="0" fieldPosition="0"/>
    </format>
    <format dxfId="837">
      <pivotArea type="topRight" dataOnly="0" labelOnly="1" outline="0" fieldPosition="0"/>
    </format>
    <format dxfId="836">
      <pivotArea type="all" dataOnly="0" outline="0" fieldPosition="0"/>
    </format>
    <format dxfId="835">
      <pivotArea dataOnly="0" labelOnly="1" outline="0" fieldPosition="0">
        <references count="1">
          <reference field="1" count="0"/>
        </references>
      </pivotArea>
    </format>
    <format dxfId="834">
      <pivotArea type="all" dataOnly="0" outline="0" fieldPosition="0"/>
    </format>
    <format dxfId="833">
      <pivotArea collapsedLevelsAreSubtotals="1" fieldPosition="0">
        <references count="1">
          <reference field="0" count="0"/>
        </references>
      </pivotArea>
    </format>
    <format dxfId="832">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16"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P11:Q47" firstHeaderRow="1" firstDataRow="1" firstDataCol="1" rowPageCount="1" colPageCount="1"/>
  <pivotFields count="42">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howAll="0" defaultSubtotal="0">
      <items count="22">
        <item x="4"/>
        <item x="3"/>
        <item x="12"/>
        <item x="20"/>
        <item x="13"/>
        <item x="8"/>
        <item x="15"/>
        <item x="17"/>
        <item x="6"/>
        <item x="18"/>
        <item x="10"/>
        <item x="11"/>
        <item x="5"/>
        <item x="14"/>
        <item x="0"/>
        <item x="1"/>
        <item x="19"/>
        <item x="9"/>
        <item x="7"/>
        <item x="16"/>
        <item x="2"/>
        <item x="2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ubtotalTop="0" showAll="0"/>
    <pivotField dataField="1" subtotalTop="0" showAll="0"/>
    <pivotField showAll="0" defaultSubtotal="0"/>
    <pivotField showAll="0" defaultSubtotal="0"/>
    <pivotField showAll="0" defaultSubtotal="0"/>
    <pivotField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11"/>
        <item x="4"/>
        <item x="1"/>
        <item x="6"/>
        <item x="9"/>
        <item x="7"/>
        <item x="2"/>
        <item x="12"/>
      </items>
    </pivotField>
    <pivotField dragToRow="0" dragToCol="0" dragToPage="0" showAll="0" defaultSubtotal="0"/>
    <pivotField dragToRow="0" dragToCol="0" dragToPage="0" showAll="0" defaultSubtotal="0"/>
    <pivotField dragToRow="0" dragToCol="0" dragToPage="0" showAll="0" defaultSubtotal="0"/>
  </pivotFields>
  <rowFields count="2">
    <field x="38"/>
    <field x="5"/>
  </rowFields>
  <rowItems count="36">
    <i>
      <x/>
    </i>
    <i r="1">
      <x/>
    </i>
    <i>
      <x v="1"/>
    </i>
    <i r="1">
      <x v="1"/>
    </i>
    <i>
      <x v="2"/>
    </i>
    <i r="1">
      <x v="2"/>
    </i>
    <i>
      <x v="3"/>
    </i>
    <i r="1">
      <x v="3"/>
    </i>
    <i>
      <x v="4"/>
    </i>
    <i r="1">
      <x v="4"/>
    </i>
    <i>
      <x v="5"/>
    </i>
    <i r="1">
      <x v="5"/>
    </i>
    <i r="1">
      <x v="7"/>
    </i>
    <i r="1">
      <x v="9"/>
    </i>
    <i r="1">
      <x v="10"/>
    </i>
    <i r="1">
      <x v="11"/>
    </i>
    <i r="1">
      <x v="13"/>
    </i>
    <i r="1">
      <x v="16"/>
    </i>
    <i r="1">
      <x v="17"/>
    </i>
    <i r="1">
      <x v="18"/>
    </i>
    <i r="1">
      <x v="19"/>
    </i>
    <i>
      <x v="6"/>
    </i>
    <i r="1">
      <x v="6"/>
    </i>
    <i>
      <x v="7"/>
    </i>
    <i r="1">
      <x v="8"/>
    </i>
    <i>
      <x v="8"/>
    </i>
    <i r="1">
      <x v="12"/>
    </i>
    <i>
      <x v="9"/>
    </i>
    <i r="1">
      <x v="14"/>
    </i>
    <i>
      <x v="10"/>
    </i>
    <i r="1">
      <x v="15"/>
    </i>
    <i>
      <x v="11"/>
    </i>
    <i r="1">
      <x v="20"/>
    </i>
    <i>
      <x v="12"/>
    </i>
    <i r="1">
      <x v="21"/>
    </i>
    <i t="grand">
      <x/>
    </i>
  </rowItems>
  <colItems count="1">
    <i/>
  </colItems>
  <pageFields count="1">
    <pageField fld="1" hier="-1"/>
  </pageFields>
  <dataFields count="1">
    <dataField name="Population" fld="17" baseField="5" baseItem="22"/>
  </dataFields>
  <formats count="5">
    <format dxfId="849">
      <pivotArea type="all" dataOnly="0" outline="0" fieldPosition="0"/>
    </format>
    <format dxfId="848">
      <pivotArea field="1" type="button" dataOnly="0" labelOnly="1" outline="0" axis="axisPage" fieldPosition="0"/>
    </format>
    <format dxfId="847">
      <pivotArea dataOnly="0" labelOnly="1" outline="0" fieldPosition="0">
        <references count="1">
          <reference field="4294967294" count="1">
            <x v="0"/>
          </reference>
        </references>
      </pivotArea>
    </format>
    <format dxfId="846">
      <pivotArea grandRow="1" outline="0" collapsedLevelsAreSubtotals="1" fieldPosition="0"/>
    </format>
    <format dxfId="845">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16" applyNumberFormats="0" applyBorderFormats="0" applyFontFormats="0" applyPatternFormats="0" applyAlignmentFormats="0" applyWidthHeightFormats="1" dataCaption="Values" updatedVersion="5" minRefreshableVersion="3" showDrill="0" showDataTips="0" itemPrintTitles="1" createdVersion="4" indent="0" compact="0" compactData="0" multipleFieldFilters="0">
  <location ref="A7:J175" firstHeaderRow="0" firstDataRow="1" firstDataCol="7" rowPageCount="2" colPageCount="1"/>
  <pivotFields count="42">
    <pivotField axis="axisPage" compact="0" outline="0" multipleItemSelectionAllowed="1" showAll="0">
      <items count="3">
        <item x="0"/>
        <item h="1" x="1"/>
        <item t="default"/>
      </items>
    </pivotField>
    <pivotField axis="axisRow" dataField="1" compact="0" outline="0" showAll="0">
      <items count="3">
        <item x="0"/>
        <item x="1"/>
        <item t="default"/>
      </items>
    </pivotField>
    <pivotField compact="0" outline="0" showAll="0" defaultSubtotal="0"/>
    <pivotField compact="0" outline="0" showAll="0"/>
    <pivotField compact="0" outline="0" showAll="0" defaultSubtotal="0"/>
    <pivotField axis="axisRow" compact="0" outline="0" showAll="0">
      <items count="23">
        <item x="4"/>
        <item x="3"/>
        <item x="12"/>
        <item x="20"/>
        <item x="13"/>
        <item x="8"/>
        <item x="15"/>
        <item x="17"/>
        <item x="6"/>
        <item x="18"/>
        <item x="10"/>
        <item x="11"/>
        <item x="5"/>
        <item x="14"/>
        <item x="0"/>
        <item x="1"/>
        <item x="19"/>
        <item x="9"/>
        <item x="7"/>
        <item x="16"/>
        <item x="2"/>
        <item x="21"/>
        <item t="default"/>
      </items>
    </pivotField>
    <pivotField compact="0" outline="0" showAll="0" defaultSubtotal="0"/>
    <pivotField compact="0" outline="0" showAll="0" defaultSubtotal="0"/>
    <pivotField compact="0" outline="0" showAll="0" defaultSubtotal="0"/>
    <pivotField compact="0" outline="0" showAll="0"/>
    <pivotField compact="0" outline="0" showAll="0" defaultSubtotal="0"/>
    <pivotField axis="axisRow" compact="0" outline="0" showAll="0" defaultSubtotal="0">
      <items count="249">
        <item x="146"/>
        <item x="157"/>
        <item x="143"/>
        <item x="52"/>
        <item x="151"/>
        <item x="167"/>
        <item x="148"/>
        <item x="171"/>
        <item x="145"/>
        <item x="91"/>
        <item x="187"/>
        <item x="188"/>
        <item x="186"/>
        <item x="144"/>
        <item x="165"/>
        <item x="147"/>
        <item x="112"/>
        <item x="111"/>
        <item x="124"/>
        <item x="108"/>
        <item x="87"/>
        <item x="44"/>
        <item x="137"/>
        <item x="149"/>
        <item x="11"/>
        <item x="9"/>
        <item x="10"/>
        <item x="121"/>
        <item x="158"/>
        <item x="164"/>
        <item x="223"/>
        <item x="227"/>
        <item x="48"/>
        <item x="28"/>
        <item x="113"/>
        <item x="134"/>
        <item x="168"/>
        <item x="166"/>
        <item x="140"/>
        <item x="204"/>
        <item x="217"/>
        <item x="45"/>
        <item x="120"/>
        <item x="54"/>
        <item x="180"/>
        <item x="189"/>
        <item x="17"/>
        <item x="18"/>
        <item x="119"/>
        <item x="50"/>
        <item x="174"/>
        <item x="208"/>
        <item x="209"/>
        <item x="211"/>
        <item x="12"/>
        <item x="79"/>
        <item x="76"/>
        <item x="176"/>
        <item x="135"/>
        <item x="47"/>
        <item x="123"/>
        <item x="133"/>
        <item x="132"/>
        <item x="14"/>
        <item x="13"/>
        <item x="172"/>
        <item x="159"/>
        <item x="141"/>
        <item x="51"/>
        <item x="73"/>
        <item x="71"/>
        <item x="72"/>
        <item x="129"/>
        <item x="106"/>
        <item x="193"/>
        <item x="27"/>
        <item x="117"/>
        <item x="66"/>
        <item x="31"/>
        <item x="29"/>
        <item x="42"/>
        <item x="41"/>
        <item x="190"/>
        <item x="15"/>
        <item x="64"/>
        <item x="7"/>
        <item x="184"/>
        <item x="185"/>
        <item x="65"/>
        <item x="173"/>
        <item x="127"/>
        <item x="126"/>
        <item x="128"/>
        <item x="116"/>
        <item x="60"/>
        <item x="203"/>
        <item x="221"/>
        <item x="78"/>
        <item x="68"/>
        <item x="93"/>
        <item x="92"/>
        <item x="95"/>
        <item x="97"/>
        <item x="98"/>
        <item x="94"/>
        <item x="99"/>
        <item x="96"/>
        <item x="20"/>
        <item x="21"/>
        <item x="105"/>
        <item x="89"/>
        <item x="86"/>
        <item x="85"/>
        <item x="90"/>
        <item x="88"/>
        <item x="153"/>
        <item x="213"/>
        <item x="58"/>
        <item x="59"/>
        <item x="206"/>
        <item x="154"/>
        <item x="240"/>
        <item x="177"/>
        <item x="155"/>
        <item x="214"/>
        <item x="152"/>
        <item x="53"/>
        <item x="16"/>
        <item x="63"/>
        <item x="130"/>
        <item x="142"/>
        <item x="19"/>
        <item x="33"/>
        <item x="218"/>
        <item x="32"/>
        <item x="219"/>
        <item x="205"/>
        <item x="156"/>
        <item x="178"/>
        <item x="181"/>
        <item x="131"/>
        <item x="169"/>
        <item x="207"/>
        <item x="222"/>
        <item x="24"/>
        <item x="56"/>
        <item x="102"/>
        <item x="82"/>
        <item x="220"/>
        <item x="80"/>
        <item x="192"/>
        <item x="35"/>
        <item x="136"/>
        <item x="83"/>
        <item x="84"/>
        <item x="125"/>
        <item x="61"/>
        <item x="1"/>
        <item x="74"/>
        <item x="139"/>
        <item x="122"/>
        <item x="182"/>
        <item x="101"/>
        <item x="170"/>
        <item x="67"/>
        <item x="138"/>
        <item x="34"/>
        <item x="25"/>
        <item x="30"/>
        <item x="26"/>
        <item x="160"/>
        <item x="49"/>
        <item x="107"/>
        <item x="161"/>
        <item x="103"/>
        <item x="75"/>
        <item x="5"/>
        <item x="6"/>
        <item x="43"/>
        <item x="69"/>
        <item x="70"/>
        <item x="8"/>
        <item x="191"/>
        <item x="81"/>
        <item x="194"/>
        <item x="179"/>
        <item x="57"/>
        <item x="109"/>
        <item x="62"/>
        <item x="0"/>
        <item x="3"/>
        <item x="2"/>
        <item x="4"/>
        <item x="39"/>
        <item x="100"/>
        <item x="183"/>
        <item x="77"/>
        <item x="40"/>
        <item x="38"/>
        <item x="163"/>
        <item x="162"/>
        <item x="114"/>
        <item x="46"/>
        <item x="150"/>
        <item x="22"/>
        <item x="55"/>
        <item x="104"/>
        <item x="175"/>
        <item x="216"/>
        <item x="195"/>
        <item x="197"/>
        <item x="196"/>
        <item x="198"/>
        <item x="199"/>
        <item x="228"/>
        <item x="231"/>
        <item x="200"/>
        <item x="235"/>
        <item x="201"/>
        <item x="232"/>
        <item x="202"/>
        <item x="236"/>
        <item x="210"/>
        <item x="212"/>
        <item x="215"/>
        <item x="37"/>
        <item x="36"/>
        <item x="115"/>
        <item x="118"/>
        <item x="23"/>
        <item x="110"/>
        <item x="224"/>
        <item x="237"/>
        <item x="225"/>
        <item x="226"/>
        <item x="229"/>
        <item x="230"/>
        <item x="233"/>
        <item x="234"/>
        <item x="238"/>
        <item x="239"/>
        <item x="241"/>
        <item x="244"/>
        <item x="245"/>
        <item x="246"/>
        <item x="242"/>
        <item x="243"/>
        <item x="247"/>
        <item x="248"/>
      </items>
    </pivotField>
    <pivotField axis="axisRow" compact="0" outline="0" showAll="0" defaultSubtotal="0">
      <items count="252">
        <item x="0"/>
        <item x="1"/>
        <item x="2"/>
        <item x="3"/>
        <item x="4"/>
        <item x="5"/>
        <item x="6"/>
        <item x="7"/>
        <item x="8"/>
        <item x="9"/>
        <item x="10"/>
        <item x="11"/>
        <item x="12"/>
        <item x="13"/>
        <item x="14"/>
        <item x="15"/>
        <item x="16"/>
        <item x="17"/>
        <item x="18"/>
        <item x="20"/>
        <item x="21"/>
        <item x="22"/>
        <item x="23"/>
        <item x="24"/>
        <item x="25"/>
        <item x="26"/>
        <item x="27"/>
        <item x="28"/>
        <item x="29"/>
        <item x="30"/>
        <item x="31"/>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3"/>
        <item x="144"/>
        <item x="145"/>
        <item x="146"/>
        <item x="147"/>
        <item x="148"/>
        <item x="149"/>
        <item x="150"/>
        <item x="151"/>
        <item x="152"/>
        <item x="153"/>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
        <item x="32"/>
        <item x="33"/>
        <item x="142"/>
        <item x="154"/>
        <item x="155"/>
        <item x="156"/>
        <item x="206"/>
        <item x="207"/>
        <item x="208"/>
        <item x="209"/>
        <item x="210"/>
        <item x="211"/>
        <item x="212"/>
        <item x="214"/>
        <item x="216"/>
        <item x="217"/>
        <item x="219"/>
        <item x="220"/>
        <item x="221"/>
        <item x="222"/>
        <item x="223"/>
        <item x="224"/>
        <item x="225"/>
        <item x="226"/>
        <item x="230"/>
        <item x="198"/>
        <item x="199"/>
        <item x="200"/>
        <item x="201"/>
        <item x="202"/>
        <item x="231"/>
        <item x="234"/>
        <item x="235"/>
        <item x="203"/>
        <item x="238"/>
        <item x="204"/>
        <item x="205"/>
        <item x="239"/>
        <item x="213"/>
        <item x="215"/>
        <item x="218"/>
        <item x="240"/>
        <item x="227"/>
        <item x="228"/>
        <item x="229"/>
        <item x="232"/>
        <item x="233"/>
        <item x="236"/>
        <item x="237"/>
        <item x="241"/>
        <item x="242"/>
        <item x="243"/>
        <item x="244"/>
        <item x="245"/>
        <item x="246"/>
        <item x="247"/>
        <item x="248"/>
        <item x="249"/>
        <item x="250"/>
        <item x="251"/>
      </items>
    </pivotField>
    <pivotField compact="0" outline="0" showAll="0"/>
    <pivotField compact="0" outline="0" showAll="0" defaultSubtotal="0"/>
    <pivotField compact="0" outline="0" showAll="0" defaultSubtotal="0"/>
    <pivotField dataField="1" compact="0" outline="0" showAll="0"/>
    <pivotField dataField="1" compact="0" outline="0" showAll="0" defaultSubtotal="0"/>
    <pivotField compact="0" outline="0" showAll="0"/>
    <pivotField axis="axisRow" compact="0" outline="0" showAll="0" defaultSubtotal="0">
      <items count="3">
        <item x="0"/>
        <item x="1"/>
        <item x="2"/>
      </items>
    </pivotField>
    <pivotField axis="axisPage" compact="0" outline="0" multipleItemSelectionAllowed="1" showAll="0" defaultSubtotal="0">
      <items count="2">
        <item h="1" x="1"/>
        <item x="0"/>
      </items>
    </pivotField>
    <pivotField name="Camps/Host Families" axis="axisRow" compact="0" outline="0" showAll="0" defaultSubtotal="0">
      <items count="5">
        <item x="0"/>
        <item h="1" x="2"/>
        <item h="1" x="1"/>
        <item h="1" x="3"/>
        <item h="1" x="4"/>
      </items>
    </pivotField>
    <pivotField compact="0" outline="0" showAll="0" defaultSubtotal="0">
      <items count="4">
        <item x="3"/>
        <item x="1"/>
        <item x="0"/>
        <item x="2"/>
      </items>
    </pivotField>
    <pivotField compact="0" outline="0" showAll="0" defaultSubtotal="0"/>
    <pivotField compact="0" outline="0" showAll="0" defaultSubtotal="0"/>
    <pivotField axis="axisRow" compact="0" outline="0" showAll="0" defaultSubtotal="0">
      <items count="6">
        <item x="0"/>
        <item x="5"/>
        <item x="2"/>
        <item x="1"/>
        <item n=" " x="3"/>
        <item x="4"/>
      </items>
    </pivotField>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showAll="0" defaultSubtotal="0">
      <items count="13">
        <item x="3"/>
        <item x="8"/>
        <item x="0"/>
        <item x="10"/>
        <item x="5"/>
        <item x="11"/>
        <item x="4"/>
        <item x="1"/>
        <item x="6"/>
        <item x="9"/>
        <item x="7"/>
        <item x="2"/>
        <item x="12"/>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7">
    <field x="1"/>
    <field x="5"/>
    <field x="11"/>
    <field x="12"/>
    <field x="21"/>
    <field x="25"/>
    <field x="19"/>
  </rowFields>
  <rowItems count="168">
    <i>
      <x/>
      <x/>
      <x v="3"/>
      <x v="49"/>
      <x/>
      <x v="1"/>
      <x/>
    </i>
    <i r="2">
      <x v="7"/>
      <x v="164"/>
      <x/>
      <x/>
      <x/>
    </i>
    <i r="2">
      <x v="43"/>
      <x v="51"/>
      <x/>
      <x/>
      <x/>
    </i>
    <i r="2">
      <x v="68"/>
      <x v="48"/>
      <x/>
      <x v="3"/>
      <x/>
    </i>
    <i r="2">
      <x v="126"/>
      <x v="50"/>
      <x/>
      <x v="3"/>
      <x/>
    </i>
    <i r="2">
      <x v="145"/>
      <x v="53"/>
      <x/>
      <x v="1"/>
      <x/>
    </i>
    <i r="2">
      <x v="163"/>
      <x v="163"/>
      <x/>
      <x/>
      <x/>
    </i>
    <i r="2">
      <x v="171"/>
      <x v="46"/>
      <x/>
      <x/>
      <x/>
    </i>
    <i r="2">
      <x v="186"/>
      <x v="54"/>
      <x/>
      <x v="3"/>
      <x/>
    </i>
    <i r="2">
      <x v="205"/>
      <x v="52"/>
      <x/>
      <x v="3"/>
      <x/>
    </i>
    <i t="default" r="1">
      <x/>
    </i>
    <i r="1">
      <x v="1"/>
      <x v="21"/>
      <x v="41"/>
      <x/>
      <x v="3"/>
      <x/>
    </i>
    <i r="2">
      <x v="41"/>
      <x v="42"/>
      <x/>
      <x/>
      <x v="1"/>
    </i>
    <i r="2">
      <x v="65"/>
      <x v="165"/>
      <x/>
      <x v="3"/>
      <x/>
    </i>
    <i r="2">
      <x v="161"/>
      <x v="178"/>
      <x/>
      <x v="2"/>
      <x/>
    </i>
    <i r="2">
      <x v="210"/>
      <x v="219"/>
      <x/>
      <x v="2"/>
      <x/>
    </i>
    <i t="default" r="1">
      <x v="1"/>
    </i>
    <i r="1">
      <x v="2"/>
      <x v="1"/>
      <x v="150"/>
      <x/>
      <x/>
      <x/>
    </i>
    <i r="2">
      <x v="2"/>
      <x v="139"/>
      <x/>
      <x v="2"/>
      <x/>
    </i>
    <i r="2">
      <x v="4"/>
      <x v="147"/>
      <x/>
      <x v="3"/>
      <x/>
    </i>
    <i r="2">
      <x v="5"/>
      <x v="160"/>
      <x/>
      <x v="3"/>
      <x/>
    </i>
    <i r="2">
      <x v="13"/>
      <x v="140"/>
      <x/>
      <x/>
      <x/>
    </i>
    <i r="2">
      <x v="19"/>
      <x v="105"/>
      <x/>
      <x v="3"/>
      <x/>
    </i>
    <i r="2">
      <x v="23"/>
      <x v="145"/>
      <x/>
      <x v="3"/>
      <x/>
    </i>
    <i r="2">
      <x v="35"/>
      <x v="131"/>
      <x/>
      <x/>
      <x/>
    </i>
    <i r="2">
      <x v="36"/>
      <x v="161"/>
      <x/>
      <x v="3"/>
      <x/>
    </i>
    <i r="2">
      <x v="66"/>
      <x v="152"/>
      <x/>
      <x v="3"/>
      <x/>
    </i>
    <i r="2">
      <x v="67"/>
      <x v="138"/>
      <x/>
      <x v="3"/>
      <x/>
    </i>
    <i r="2">
      <x v="113"/>
      <x v="87"/>
      <x/>
      <x v="3"/>
      <x/>
    </i>
    <i r="2">
      <x v="141"/>
      <x v="162"/>
      <x/>
      <x v="3"/>
      <x/>
    </i>
    <i r="2">
      <x v="146"/>
      <x v="99"/>
      <x/>
      <x v="2"/>
      <x/>
    </i>
    <i r="2">
      <x v="170"/>
      <x v="153"/>
      <x/>
      <x v="3"/>
      <x/>
    </i>
    <i r="2">
      <x v="173"/>
      <x v="154"/>
      <x/>
      <x/>
      <x/>
    </i>
    <i r="2">
      <x v="200"/>
      <x v="155"/>
      <x/>
      <x/>
      <x/>
    </i>
    <i r="2">
      <x v="206"/>
      <x v="101"/>
      <x/>
      <x/>
      <x/>
    </i>
    <i r="2">
      <x v="218"/>
      <x v="227"/>
      <x/>
      <x/>
      <x/>
    </i>
    <i r="2">
      <x v="222"/>
      <x v="230"/>
      <x/>
      <x/>
      <x/>
    </i>
    <i t="default" r="1">
      <x v="2"/>
    </i>
    <i r="1">
      <x v="5"/>
      <x v="56"/>
      <x v="73"/>
      <x/>
      <x v="4"/>
      <x/>
    </i>
    <i t="default" r="1">
      <x v="5"/>
    </i>
    <i r="1">
      <x v="8"/>
      <x v="18"/>
      <x v="121"/>
      <x/>
      <x v="1"/>
      <x v="1"/>
    </i>
    <i r="2">
      <x v="60"/>
      <x v="120"/>
      <x/>
      <x v="1"/>
      <x v="1"/>
    </i>
    <i r="2">
      <x v="82"/>
      <x v="186"/>
      <x/>
      <x/>
      <x/>
    </i>
    <i r="2">
      <x v="90"/>
      <x v="124"/>
      <x/>
      <x/>
      <x/>
    </i>
    <i r="2">
      <x v="91"/>
      <x v="123"/>
      <x/>
      <x v="1"/>
      <x/>
    </i>
    <i r="2">
      <x v="98"/>
      <x v="65"/>
      <x/>
      <x/>
      <x/>
    </i>
    <i r="2">
      <x v="209"/>
      <x v="217"/>
      <x/>
      <x v="1"/>
      <x/>
    </i>
    <i r="2">
      <x v="212"/>
      <x v="220"/>
      <x/>
      <x v="1"/>
      <x v="1"/>
    </i>
    <i r="2">
      <x v="216"/>
      <x v="225"/>
      <x/>
      <x v="1"/>
      <x/>
    </i>
    <i r="2">
      <x v="220"/>
      <x v="228"/>
      <x/>
      <x/>
      <x/>
    </i>
    <i t="default" r="1">
      <x v="8"/>
    </i>
    <i r="1">
      <x v="10"/>
      <x v="55"/>
      <x v="76"/>
      <x/>
      <x/>
      <x/>
    </i>
    <i r="2">
      <x v="97"/>
      <x v="75"/>
      <x/>
      <x/>
      <x/>
    </i>
    <i r="2">
      <x v="149"/>
      <x v="77"/>
      <x/>
      <x/>
      <x/>
    </i>
    <i r="2">
      <x v="234"/>
      <x v="236"/>
      <x/>
      <x/>
      <x/>
    </i>
    <i r="2">
      <x v="235"/>
      <x v="237"/>
      <x/>
      <x v="2"/>
      <x/>
    </i>
    <i t="default" r="1">
      <x v="10"/>
    </i>
    <i r="1">
      <x v="11"/>
      <x v="152"/>
      <x v="133"/>
      <x/>
      <x/>
      <x/>
    </i>
    <i r="2">
      <x v="183"/>
      <x v="78"/>
      <x/>
      <x v="2"/>
      <x/>
    </i>
    <i t="default" r="1">
      <x v="11"/>
    </i>
    <i r="1">
      <x v="12"/>
      <x v="27"/>
      <x v="118"/>
      <x/>
      <x v="2"/>
      <x v="1"/>
    </i>
    <i r="2">
      <x v="42"/>
      <x v="117"/>
      <x/>
      <x v="2"/>
      <x v="1"/>
    </i>
    <i r="2">
      <x v="69"/>
      <x v="70"/>
      <x/>
      <x/>
      <x/>
    </i>
    <i r="2">
      <x v="70"/>
      <x v="68"/>
      <x/>
      <x v="1"/>
      <x/>
    </i>
    <i r="2">
      <x v="71"/>
      <x v="69"/>
      <x/>
      <x/>
      <x/>
    </i>
    <i r="2">
      <x v="84"/>
      <x v="61"/>
      <x/>
      <x v="1"/>
      <x/>
    </i>
    <i r="2">
      <x v="117"/>
      <x v="55"/>
      <x/>
      <x/>
      <x/>
    </i>
    <i r="2">
      <x v="155"/>
      <x v="122"/>
      <x/>
      <x v="1"/>
      <x v="1"/>
    </i>
    <i r="2">
      <x v="158"/>
      <x v="71"/>
      <x/>
      <x/>
      <x/>
    </i>
    <i r="2">
      <x v="160"/>
      <x v="119"/>
      <x/>
      <x v="1"/>
      <x v="1"/>
    </i>
    <i r="2">
      <x v="175"/>
      <x v="72"/>
      <x/>
      <x/>
      <x/>
    </i>
    <i t="default" r="1">
      <x v="12"/>
    </i>
    <i r="1">
      <x v="14"/>
      <x v="24"/>
      <x v="11"/>
      <x/>
      <x/>
      <x/>
    </i>
    <i r="2">
      <x v="25"/>
      <x v="9"/>
      <x/>
      <x/>
      <x/>
    </i>
    <i r="2">
      <x v="26"/>
      <x v="10"/>
      <x/>
      <x/>
      <x/>
    </i>
    <i r="2">
      <x v="46"/>
      <x v="17"/>
      <x/>
      <x/>
      <x/>
    </i>
    <i r="2">
      <x v="47"/>
      <x v="18"/>
      <x/>
      <x v="2"/>
      <x/>
    </i>
    <i r="2">
      <x v="54"/>
      <x v="12"/>
      <x/>
      <x/>
      <x/>
    </i>
    <i r="2">
      <x v="63"/>
      <x v="14"/>
      <x/>
      <x/>
      <x/>
    </i>
    <i r="2">
      <x v="64"/>
      <x v="13"/>
      <x/>
      <x/>
      <x/>
    </i>
    <i r="2">
      <x v="83"/>
      <x v="15"/>
      <x/>
      <x/>
      <x/>
    </i>
    <i r="2">
      <x v="85"/>
      <x v="7"/>
      <x/>
      <x/>
      <x/>
    </i>
    <i r="2">
      <x v="107"/>
      <x v="19"/>
      <x/>
      <x v="3"/>
      <x/>
    </i>
    <i r="2">
      <x v="108"/>
      <x v="20"/>
      <x/>
      <x v="3"/>
      <x/>
    </i>
    <i r="2">
      <x v="144"/>
      <x v="23"/>
      <x/>
      <x v="2"/>
      <x/>
    </i>
    <i r="2">
      <x v="157"/>
      <x v="1"/>
      <x/>
      <x/>
      <x/>
    </i>
    <i r="2">
      <x v="159"/>
      <x v="136"/>
      <x/>
      <x v="2"/>
      <x/>
    </i>
    <i r="2">
      <x v="176"/>
      <x v="5"/>
      <x/>
      <x/>
      <x/>
    </i>
    <i r="2">
      <x v="177"/>
      <x v="6"/>
      <x/>
      <x v="3"/>
      <x/>
    </i>
    <i r="2">
      <x v="181"/>
      <x v="8"/>
      <x/>
      <x/>
      <x/>
    </i>
    <i r="2">
      <x v="189"/>
      <x/>
      <x/>
      <x/>
      <x/>
    </i>
    <i r="2">
      <x v="190"/>
      <x v="3"/>
      <x/>
      <x v="3"/>
      <x/>
    </i>
    <i r="2">
      <x v="191"/>
      <x v="2"/>
      <x/>
      <x/>
      <x/>
    </i>
    <i r="2">
      <x v="192"/>
      <x v="4"/>
      <x/>
      <x/>
      <x/>
    </i>
    <i r="2">
      <x v="204"/>
      <x v="21"/>
      <x/>
      <x v="3"/>
      <x/>
    </i>
    <i r="2">
      <x v="229"/>
      <x v="22"/>
      <x/>
      <x v="3"/>
      <x/>
    </i>
    <i t="default" r="1">
      <x v="14"/>
    </i>
    <i r="1">
      <x v="17"/>
      <x v="231"/>
      <x v="234"/>
      <x/>
      <x/>
      <x/>
    </i>
    <i t="default" r="1">
      <x v="17"/>
    </i>
    <i r="1">
      <x v="18"/>
      <x v="179"/>
      <x v="66"/>
      <x/>
      <x/>
      <x/>
    </i>
    <i r="2">
      <x v="180"/>
      <x v="67"/>
      <x/>
      <x v="1"/>
      <x/>
    </i>
    <i t="default" r="1">
      <x v="18"/>
    </i>
    <i r="1">
      <x v="19"/>
      <x v="185"/>
      <x v="175"/>
      <x/>
      <x v="4"/>
      <x/>
    </i>
    <i r="2">
      <x v="236"/>
      <x v="238"/>
      <x/>
      <x v="4"/>
      <x/>
    </i>
    <i r="2">
      <x v="237"/>
      <x v="239"/>
      <x/>
      <x v="4"/>
      <x/>
    </i>
    <i t="default" r="1">
      <x v="19"/>
    </i>
    <i r="1">
      <x v="20"/>
      <x v="17"/>
      <x v="108"/>
      <x/>
      <x v="2"/>
      <x v="1"/>
    </i>
    <i r="2">
      <x v="33"/>
      <x v="27"/>
      <x/>
      <x v="3"/>
      <x/>
    </i>
    <i r="2">
      <x v="34"/>
      <x v="110"/>
      <x/>
      <x/>
      <x v="1"/>
    </i>
    <i r="2">
      <x v="48"/>
      <x v="116"/>
      <x/>
      <x v="2"/>
      <x v="1"/>
    </i>
    <i r="2">
      <x v="75"/>
      <x v="26"/>
      <x/>
      <x/>
      <x/>
    </i>
    <i r="2">
      <x v="76"/>
      <x v="114"/>
      <x/>
      <x v="2"/>
      <x v="1"/>
    </i>
    <i r="2">
      <x v="78"/>
      <x v="30"/>
      <x/>
      <x v="3"/>
      <x/>
    </i>
    <i r="2">
      <x v="79"/>
      <x v="28"/>
      <x/>
      <x v="2"/>
      <x/>
    </i>
    <i r="2">
      <x v="80"/>
      <x v="39"/>
      <x/>
      <x/>
      <x/>
    </i>
    <i r="2">
      <x v="81"/>
      <x v="38"/>
      <x/>
      <x/>
      <x/>
    </i>
    <i r="2">
      <x v="151"/>
      <x v="32"/>
      <x/>
      <x v="3"/>
      <x/>
    </i>
    <i r="2">
      <x v="165"/>
      <x v="135"/>
      <x/>
      <x v="2"/>
      <x v="1"/>
    </i>
    <i r="2">
      <x v="166"/>
      <x v="31"/>
      <x/>
      <x v="3"/>
      <x/>
    </i>
    <i r="2">
      <x v="167"/>
      <x v="24"/>
      <x/>
      <x/>
      <x/>
    </i>
    <i r="2">
      <x v="168"/>
      <x v="29"/>
      <x/>
      <x v="3"/>
      <x/>
    </i>
    <i r="2">
      <x v="169"/>
      <x v="25"/>
      <x/>
      <x v="3"/>
      <x/>
    </i>
    <i r="2">
      <x v="178"/>
      <x v="40"/>
      <x/>
      <x/>
      <x/>
    </i>
    <i r="2">
      <x v="193"/>
      <x v="36"/>
      <x/>
      <x v="3"/>
      <x/>
    </i>
    <i r="2">
      <x v="197"/>
      <x v="37"/>
      <x/>
      <x v="3"/>
      <x/>
    </i>
    <i r="2">
      <x v="201"/>
      <x v="111"/>
      <x/>
      <x v="2"/>
      <x v="1"/>
    </i>
    <i r="2">
      <x v="228"/>
      <x v="115"/>
      <x/>
      <x/>
      <x v="1"/>
    </i>
    <i r="2">
      <x v="230"/>
      <x v="107"/>
      <x/>
      <x/>
      <x v="1"/>
    </i>
    <i t="default" r="1">
      <x v="20"/>
    </i>
    <i r="1">
      <x v="21"/>
      <x v="240"/>
      <x v="242"/>
      <x/>
      <x v="4"/>
      <x v="2"/>
    </i>
    <i t="default" r="1">
      <x v="21"/>
    </i>
    <i t="default">
      <x/>
    </i>
    <i>
      <x v="1"/>
      <x v="3"/>
      <x v="232"/>
      <x v="233"/>
      <x/>
      <x/>
      <x/>
    </i>
    <i r="2">
      <x v="247"/>
      <x v="250"/>
      <x/>
      <x v="4"/>
      <x/>
    </i>
    <i t="default" r="1">
      <x v="3"/>
    </i>
    <i r="1">
      <x v="6"/>
      <x v="51"/>
      <x v="203"/>
      <x/>
      <x/>
      <x/>
    </i>
    <i r="2">
      <x v="52"/>
      <x v="204"/>
      <x/>
      <x/>
      <x/>
    </i>
    <i r="2">
      <x v="53"/>
      <x v="205"/>
      <x/>
      <x v="5"/>
      <x/>
    </i>
    <i r="2">
      <x v="116"/>
      <x v="206"/>
      <x/>
      <x/>
      <x/>
    </i>
    <i r="2">
      <x v="123"/>
      <x v="196"/>
      <x/>
      <x/>
      <x/>
    </i>
    <i r="2">
      <x v="137"/>
      <x v="197"/>
      <x/>
      <x/>
      <x/>
    </i>
    <i r="2">
      <x v="208"/>
      <x v="208"/>
      <x/>
      <x/>
      <x/>
    </i>
    <i r="2">
      <x v="221"/>
      <x v="229"/>
      <x/>
      <x v="5"/>
      <x/>
    </i>
    <i r="2">
      <x v="239"/>
      <x v="241"/>
      <x/>
      <x v="4"/>
      <x/>
    </i>
    <i r="2">
      <x v="241"/>
      <x v="244"/>
      <x/>
      <x v="4"/>
      <x/>
    </i>
    <i r="2">
      <x v="244"/>
      <x v="249"/>
      <x/>
      <x v="4"/>
      <x/>
    </i>
    <i r="2">
      <x v="248"/>
      <x v="251"/>
      <x/>
      <x v="4"/>
      <x/>
    </i>
    <i t="default" r="1">
      <x v="6"/>
    </i>
    <i r="1">
      <x v="9"/>
      <x v="95"/>
      <x v="198"/>
      <x/>
      <x/>
      <x/>
    </i>
    <i r="2">
      <x v="96"/>
      <x v="213"/>
      <x/>
      <x v="5"/>
      <x/>
    </i>
    <i r="2">
      <x v="246"/>
      <x v="246"/>
      <x/>
      <x v="4"/>
      <x/>
    </i>
    <i t="default" r="1">
      <x v="9"/>
    </i>
    <i r="1">
      <x v="13"/>
      <x v="214"/>
      <x v="222"/>
      <x/>
      <x/>
      <x/>
    </i>
    <i r="2">
      <x v="217"/>
      <x v="226"/>
      <x/>
      <x v="5"/>
      <x/>
    </i>
    <i t="default" r="1">
      <x v="13"/>
    </i>
    <i r="1">
      <x v="15"/>
      <x v="130"/>
      <x v="194"/>
      <x/>
      <x/>
      <x/>
    </i>
    <i r="2">
      <x v="131"/>
      <x v="191"/>
      <x/>
      <x/>
      <x/>
    </i>
    <i r="2">
      <x v="132"/>
      <x v="193"/>
      <x/>
      <x v="5"/>
      <x/>
    </i>
    <i r="2">
      <x v="215"/>
      <x v="223"/>
      <x/>
      <x/>
      <x/>
    </i>
    <i r="2">
      <x v="219"/>
      <x v="224"/>
      <x/>
      <x/>
      <x/>
    </i>
    <i r="2">
      <x v="242"/>
      <x v="247"/>
      <x/>
      <x v="4"/>
      <x/>
    </i>
    <i r="2">
      <x v="243"/>
      <x v="248"/>
      <x/>
      <x v="4"/>
      <x/>
    </i>
    <i t="default" r="1">
      <x v="15"/>
    </i>
    <i r="1">
      <x v="16"/>
      <x v="142"/>
      <x v="202"/>
      <x/>
      <x/>
      <x/>
    </i>
    <i r="2">
      <x v="245"/>
      <x v="245"/>
      <x/>
      <x v="4"/>
      <x/>
    </i>
    <i t="default" r="1">
      <x v="16"/>
    </i>
    <i t="default">
      <x v="1"/>
    </i>
    <i t="grand">
      <x/>
    </i>
  </rowItems>
  <colFields count="1">
    <field x="-2"/>
  </colFields>
  <colItems count="3">
    <i>
      <x/>
    </i>
    <i i="1">
      <x v="1"/>
    </i>
    <i i="2">
      <x v="2"/>
    </i>
  </colItems>
  <pageFields count="2">
    <pageField fld="0" hier="-1"/>
    <pageField fld="20" hier="-1"/>
  </pageFields>
  <dataFields count="3">
    <dataField name="HoH" fld="16" baseField="19" baseItem="0"/>
    <dataField name="Individual" fld="17" baseField="19" baseItem="0"/>
    <dataField name="Location" fld="1" subtotal="count" baseField="0" baseItem="0"/>
  </dataFields>
  <formats count="33">
    <format dxfId="782">
      <pivotArea outline="0" collapsedLevelsAreSubtotals="1" fieldPosition="0"/>
    </format>
    <format dxfId="781">
      <pivotArea dataOnly="0" labelOnly="1" outline="0" fieldPosition="0">
        <references count="1">
          <reference field="4294967294" count="2">
            <x v="0"/>
            <x v="1"/>
          </reference>
        </references>
      </pivotArea>
    </format>
    <format dxfId="780">
      <pivotArea grandRow="1" outline="0" collapsedLevelsAreSubtotals="1" fieldPosition="0"/>
    </format>
    <format dxfId="779">
      <pivotArea dataOnly="0" labelOnly="1" grandRow="1" outline="0" fieldPosition="0"/>
    </format>
    <format dxfId="778">
      <pivotArea grandRow="1" outline="0" collapsedLevelsAreSubtotals="1" fieldPosition="0"/>
    </format>
    <format dxfId="777">
      <pivotArea dataOnly="0" labelOnly="1" grandRow="1" outline="0" fieldPosition="0"/>
    </format>
    <format dxfId="776">
      <pivotArea field="21" type="button" dataOnly="0" labelOnly="1" outline="0" axis="axisRow" fieldPosition="4"/>
    </format>
    <format dxfId="775">
      <pivotArea field="25" type="button" dataOnly="0" labelOnly="1" outline="0" axis="axisRow" fieldPosition="5"/>
    </format>
    <format dxfId="774">
      <pivotArea field="25" type="button" dataOnly="0" labelOnly="1" outline="0" axis="axisRow" fieldPosition="5"/>
    </format>
    <format dxfId="773">
      <pivotArea field="1" type="button" dataOnly="0" labelOnly="1" outline="0" axis="axisRow" fieldPosition="0"/>
    </format>
    <format dxfId="772">
      <pivotArea field="5" type="button" dataOnly="0" labelOnly="1" outline="0" axis="axisRow" fieldPosition="1"/>
    </format>
    <format dxfId="771">
      <pivotArea field="11" type="button" dataOnly="0" labelOnly="1" outline="0" axis="axisRow" fieldPosition="2"/>
    </format>
    <format dxfId="770">
      <pivotArea field="12" type="button" dataOnly="0" labelOnly="1" outline="0" axis="axisRow" fieldPosition="3"/>
    </format>
    <format dxfId="769">
      <pivotArea field="21" type="button" dataOnly="0" labelOnly="1" outline="0" axis="axisRow" fieldPosition="4"/>
    </format>
    <format dxfId="768">
      <pivotArea field="22" type="button" dataOnly="0" labelOnly="1" outline="0"/>
    </format>
    <format dxfId="767">
      <pivotArea dataOnly="0" labelOnly="1" outline="0" fieldPosition="0">
        <references count="1">
          <reference field="4294967294" count="2">
            <x v="0"/>
            <x v="1"/>
          </reference>
        </references>
      </pivotArea>
    </format>
    <format dxfId="766">
      <pivotArea field="1" type="button" dataOnly="0" labelOnly="1" outline="0" axis="axisRow" fieldPosition="0"/>
    </format>
    <format dxfId="765">
      <pivotArea field="5" type="button" dataOnly="0" labelOnly="1" outline="0" axis="axisRow" fieldPosition="1"/>
    </format>
    <format dxfId="764">
      <pivotArea field="11" type="button" dataOnly="0" labelOnly="1" outline="0" axis="axisRow" fieldPosition="2"/>
    </format>
    <format dxfId="763">
      <pivotArea field="12" type="button" dataOnly="0" labelOnly="1" outline="0" axis="axisRow" fieldPosition="3"/>
    </format>
    <format dxfId="762">
      <pivotArea field="21" type="button" dataOnly="0" labelOnly="1" outline="0" axis="axisRow" fieldPosition="4"/>
    </format>
    <format dxfId="761">
      <pivotArea field="22" type="button" dataOnly="0" labelOnly="1" outline="0"/>
    </format>
    <format dxfId="760">
      <pivotArea dataOnly="0" labelOnly="1" outline="0" fieldPosition="0">
        <references count="1">
          <reference field="4294967294" count="2">
            <x v="0"/>
            <x v="1"/>
          </reference>
        </references>
      </pivotArea>
    </format>
    <format dxfId="759">
      <pivotArea dataOnly="0" labelOnly="1" outline="0" fieldPosition="0">
        <references count="3">
          <reference field="1" count="1" selected="0">
            <x v="0"/>
          </reference>
          <reference field="5" count="1" selected="0">
            <x v="0"/>
          </reference>
          <reference field="11" count="6">
            <x v="68"/>
            <x v="126"/>
            <x v="145"/>
            <x v="163"/>
            <x v="171"/>
            <x v="186"/>
          </reference>
        </references>
      </pivotArea>
    </format>
    <format dxfId="758">
      <pivotArea dataOnly="0" labelOnly="1" outline="0" fieldPosition="0">
        <references count="3">
          <reference field="1" count="1" selected="0">
            <x v="0"/>
          </reference>
          <reference field="5" count="1" selected="0">
            <x v="14"/>
          </reference>
          <reference field="11" count="7">
            <x v="25"/>
            <x v="26"/>
            <x v="46"/>
            <x v="47"/>
            <x v="54"/>
            <x v="63"/>
            <x v="64"/>
          </reference>
        </references>
      </pivotArea>
    </format>
    <format dxfId="757">
      <pivotArea dataOnly="0" labelOnly="1" outline="0" fieldPosition="0">
        <references count="3">
          <reference field="1" count="1" selected="0">
            <x v="0"/>
          </reference>
          <reference field="5" count="1" selected="0">
            <x v="20"/>
          </reference>
          <reference field="11" count="15">
            <x v="75"/>
            <x v="76"/>
            <x v="78"/>
            <x v="79"/>
            <x v="80"/>
            <x v="81"/>
            <x v="151"/>
            <x v="165"/>
            <x v="166"/>
            <x v="167"/>
            <x v="168"/>
            <x v="169"/>
            <x v="178"/>
            <x v="193"/>
            <x v="197"/>
          </reference>
        </references>
      </pivotArea>
    </format>
    <format dxfId="756">
      <pivotArea field="1" type="button" dataOnly="0" labelOnly="1" outline="0" axis="axisRow" fieldPosition="0"/>
    </format>
    <format dxfId="755">
      <pivotArea field="5" type="button" dataOnly="0" labelOnly="1" outline="0" axis="axisRow" fieldPosition="1"/>
    </format>
    <format dxfId="754">
      <pivotArea field="11" type="button" dataOnly="0" labelOnly="1" outline="0" axis="axisRow" fieldPosition="2"/>
    </format>
    <format dxfId="753">
      <pivotArea field="12" type="button" dataOnly="0" labelOnly="1" outline="0" axis="axisRow" fieldPosition="3"/>
    </format>
    <format dxfId="752">
      <pivotArea field="19" type="button" dataOnly="0" labelOnly="1" outline="0" axis="axisRow" fieldPosition="6"/>
    </format>
    <format dxfId="751">
      <pivotArea dataOnly="0" labelOnly="1" outline="0" fieldPosition="0">
        <references count="1">
          <reference field="4294967294" count="2">
            <x v="0"/>
            <x v="1"/>
          </reference>
        </references>
      </pivotArea>
    </format>
    <format dxfId="750">
      <pivotArea type="all" dataOnly="0" outline="0" fieldPosition="0"/>
    </format>
  </formats>
  <pivotTableStyleInfo name="PivotStyleMedium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H150" firstHeaderRow="0" firstDataRow="1" firstDataCol="6" rowPageCount="1" colPageCount="1"/>
  <pivotFields count="42">
    <pivotField axis="axisPage" compact="0" outline="0" multipleItemSelectionAllowed="1"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4"/>
        <item x="3"/>
        <item x="12"/>
        <item x="20"/>
        <item x="13"/>
        <item x="8"/>
        <item x="15"/>
        <item x="17"/>
        <item x="6"/>
        <item x="18"/>
        <item x="10"/>
        <item x="11"/>
        <item x="5"/>
        <item x="14"/>
        <item x="0"/>
        <item x="1"/>
        <item x="19"/>
        <item x="9"/>
        <item x="7"/>
        <item x="16"/>
        <item x="2"/>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9">
        <item x="146"/>
        <item x="157"/>
        <item x="143"/>
        <item x="52"/>
        <item x="151"/>
        <item x="167"/>
        <item x="148"/>
        <item x="171"/>
        <item x="145"/>
        <item x="91"/>
        <item x="187"/>
        <item x="188"/>
        <item x="186"/>
        <item x="144"/>
        <item x="165"/>
        <item x="147"/>
        <item x="112"/>
        <item x="111"/>
        <item x="124"/>
        <item x="198"/>
        <item x="108"/>
        <item x="87"/>
        <item x="44"/>
        <item x="137"/>
        <item x="149"/>
        <item x="11"/>
        <item x="9"/>
        <item x="10"/>
        <item x="121"/>
        <item x="158"/>
        <item x="164"/>
        <item x="223"/>
        <item x="227"/>
        <item x="48"/>
        <item x="28"/>
        <item x="113"/>
        <item x="134"/>
        <item x="168"/>
        <item x="166"/>
        <item x="140"/>
        <item x="204"/>
        <item x="217"/>
        <item x="201"/>
        <item x="45"/>
        <item x="120"/>
        <item x="54"/>
        <item x="180"/>
        <item x="189"/>
        <item x="199"/>
        <item x="17"/>
        <item x="18"/>
        <item x="119"/>
        <item x="50"/>
        <item x="174"/>
        <item x="208"/>
        <item x="209"/>
        <item x="211"/>
        <item x="12"/>
        <item x="79"/>
        <item x="76"/>
        <item x="176"/>
        <item x="135"/>
        <item x="47"/>
        <item x="123"/>
        <item x="133"/>
        <item x="132"/>
        <item x="14"/>
        <item x="13"/>
        <item x="172"/>
        <item x="159"/>
        <item x="141"/>
        <item x="51"/>
        <item x="73"/>
        <item x="71"/>
        <item x="72"/>
        <item x="129"/>
        <item x="106"/>
        <item x="193"/>
        <item x="27"/>
        <item x="117"/>
        <item x="66"/>
        <item x="31"/>
        <item x="29"/>
        <item x="42"/>
        <item x="41"/>
        <item x="190"/>
        <item x="195"/>
        <item x="15"/>
        <item x="64"/>
        <item x="7"/>
        <item x="184"/>
        <item x="185"/>
        <item x="65"/>
        <item x="173"/>
        <item x="127"/>
        <item x="202"/>
        <item x="126"/>
        <item x="200"/>
        <item x="128"/>
        <item x="116"/>
        <item x="60"/>
        <item x="203"/>
        <item x="221"/>
        <item x="78"/>
        <item x="68"/>
        <item x="93"/>
        <item x="92"/>
        <item x="95"/>
        <item x="97"/>
        <item x="98"/>
        <item x="94"/>
        <item x="99"/>
        <item x="96"/>
        <item x="20"/>
        <item x="21"/>
        <item x="105"/>
        <item x="89"/>
        <item x="86"/>
        <item x="85"/>
        <item x="90"/>
        <item x="88"/>
        <item x="153"/>
        <item x="213"/>
        <item x="58"/>
        <item x="59"/>
        <item x="206"/>
        <item x="154"/>
        <item x="240"/>
        <item x="177"/>
        <item x="155"/>
        <item x="236"/>
        <item x="214"/>
        <item x="152"/>
        <item x="228"/>
        <item x="235"/>
        <item x="53"/>
        <item x="16"/>
        <item x="63"/>
        <item x="130"/>
        <item x="142"/>
        <item x="19"/>
        <item x="231"/>
        <item x="33"/>
        <item x="218"/>
        <item x="32"/>
        <item x="219"/>
        <item x="205"/>
        <item x="156"/>
        <item x="178"/>
        <item x="181"/>
        <item x="131"/>
        <item x="169"/>
        <item x="207"/>
        <item x="222"/>
        <item x="232"/>
        <item x="24"/>
        <item x="56"/>
        <item x="102"/>
        <item x="82"/>
        <item x="220"/>
        <item x="80"/>
        <item x="192"/>
        <item x="35"/>
        <item x="136"/>
        <item x="83"/>
        <item x="84"/>
        <item x="125"/>
        <item x="61"/>
        <item x="1"/>
        <item x="74"/>
        <item x="139"/>
        <item x="122"/>
        <item x="182"/>
        <item x="101"/>
        <item x="170"/>
        <item x="67"/>
        <item x="138"/>
        <item x="34"/>
        <item x="25"/>
        <item x="30"/>
        <item x="26"/>
        <item x="160"/>
        <item x="49"/>
        <item x="107"/>
        <item x="161"/>
        <item x="103"/>
        <item x="197"/>
        <item x="75"/>
        <item x="5"/>
        <item x="6"/>
        <item x="43"/>
        <item x="69"/>
        <item x="70"/>
        <item x="8"/>
        <item x="191"/>
        <item x="81"/>
        <item x="194"/>
        <item x="179"/>
        <item x="57"/>
        <item x="109"/>
        <item x="62"/>
        <item x="0"/>
        <item x="3"/>
        <item x="2"/>
        <item x="4"/>
        <item x="39"/>
        <item x="196"/>
        <item x="100"/>
        <item x="183"/>
        <item x="77"/>
        <item x="40"/>
        <item x="38"/>
        <item x="163"/>
        <item x="162"/>
        <item x="114"/>
        <item x="46"/>
        <item x="150"/>
        <item x="22"/>
        <item x="55"/>
        <item x="104"/>
        <item x="175"/>
        <item x="216"/>
        <item x="210"/>
        <item x="212"/>
        <item x="215"/>
        <item x="37"/>
        <item x="36"/>
        <item x="115"/>
        <item x="118"/>
        <item x="23"/>
        <item x="110"/>
        <item x="224"/>
        <item x="237"/>
        <item x="225"/>
        <item x="226"/>
        <item x="229"/>
        <item x="230"/>
        <item x="233"/>
        <item x="234"/>
        <item x="238"/>
        <item x="239"/>
        <item x="241"/>
        <item x="244"/>
        <item x="245"/>
        <item x="246"/>
        <item x="242"/>
        <item x="243"/>
        <item x="247"/>
        <item x="248"/>
      </items>
      <extLst>
        <ext xmlns:x14="http://schemas.microsoft.com/office/spreadsheetml/2009/9/main" uri="{2946ED86-A175-432a-8AC1-64E0C546D7DE}">
          <x14:pivotField fillDownLabels="1"/>
        </ext>
      </extLst>
    </pivotField>
    <pivotField name="CpPcode" axis="axisRow" compact="0" outline="0" showAll="0" defaultSubtotal="0">
      <items count="252">
        <item x="0"/>
        <item x="1"/>
        <item x="2"/>
        <item x="3"/>
        <item x="4"/>
        <item x="5"/>
        <item x="6"/>
        <item x="7"/>
        <item x="8"/>
        <item x="9"/>
        <item x="10"/>
        <item x="11"/>
        <item x="12"/>
        <item x="13"/>
        <item x="14"/>
        <item x="15"/>
        <item x="16"/>
        <item x="17"/>
        <item x="18"/>
        <item x="20"/>
        <item x="21"/>
        <item x="22"/>
        <item x="23"/>
        <item x="24"/>
        <item x="25"/>
        <item x="26"/>
        <item x="27"/>
        <item x="28"/>
        <item x="29"/>
        <item x="30"/>
        <item x="31"/>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3"/>
        <item x="144"/>
        <item x="145"/>
        <item x="146"/>
        <item x="147"/>
        <item x="148"/>
        <item x="149"/>
        <item x="150"/>
        <item x="151"/>
        <item x="152"/>
        <item x="153"/>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19"/>
        <item x="32"/>
        <item x="33"/>
        <item x="142"/>
        <item x="154"/>
        <item x="155"/>
        <item x="156"/>
        <item x="206"/>
        <item x="207"/>
        <item x="208"/>
        <item x="209"/>
        <item x="210"/>
        <item x="211"/>
        <item x="212"/>
        <item x="214"/>
        <item x="216"/>
        <item x="217"/>
        <item x="219"/>
        <item x="220"/>
        <item x="221"/>
        <item x="222"/>
        <item x="223"/>
        <item x="224"/>
        <item x="225"/>
        <item x="226"/>
        <item x="230"/>
        <item x="231"/>
        <item x="234"/>
        <item x="235"/>
        <item x="238"/>
        <item x="239"/>
        <item x="213"/>
        <item x="215"/>
        <item x="218"/>
        <item x="240"/>
        <item x="227"/>
        <item x="228"/>
        <item x="229"/>
        <item x="232"/>
        <item x="233"/>
        <item x="236"/>
        <item x="237"/>
        <item x="241"/>
        <item x="242"/>
        <item x="243"/>
        <item x="244"/>
        <item x="245"/>
        <item x="246"/>
        <item x="247"/>
        <item x="248"/>
        <item x="249"/>
        <item x="250"/>
        <item x="251"/>
      </items>
      <extLst>
        <ext xmlns:x14="http://schemas.microsoft.com/office/spreadsheetml/2009/9/main" uri="{2946ED86-A175-432a-8AC1-64E0C546D7DE}">
          <x14:pivotField fillDownLabels="1"/>
        </ext>
      </extLst>
    </pivotField>
    <pivotField axis="axisRow" compact="0" outline="0" showAll="0" defaultSubtotal="0">
      <items count="190">
        <item x="128"/>
        <item x="129"/>
        <item x="87"/>
        <item x="131"/>
        <item x="132"/>
        <item x="85"/>
        <item x="83"/>
        <item x="79"/>
        <item x="80"/>
        <item x="144"/>
        <item x="81"/>
        <item x="114"/>
        <item x="135"/>
        <item x="134"/>
        <item x="82"/>
        <item x="136"/>
        <item x="118"/>
        <item x="84"/>
        <item x="86"/>
        <item x="121"/>
        <item x="117"/>
        <item x="120"/>
        <item x="130"/>
        <item x="116"/>
        <item x="122"/>
        <item x="127"/>
        <item x="123"/>
        <item x="119"/>
        <item x="78"/>
        <item x="77"/>
        <item x="133"/>
        <item x="109"/>
        <item x="142"/>
        <item x="66"/>
        <item x="146"/>
        <item x="75"/>
        <item x="74"/>
        <item x="76"/>
        <item x="177"/>
        <item x="161"/>
        <item x="108"/>
        <item x="189"/>
        <item x="47"/>
        <item x="151"/>
        <item x="54"/>
        <item x="113"/>
        <item x="46"/>
        <item x="50"/>
        <item x="51"/>
        <item x="49"/>
        <item x="155"/>
        <item x="48"/>
        <item x="52"/>
        <item x="137"/>
        <item x="141"/>
        <item x="20"/>
        <item x="21"/>
        <item x="65"/>
        <item x="139"/>
        <item x="53"/>
        <item x="62"/>
        <item x="61"/>
        <item x="143"/>
        <item x="55"/>
        <item x="35"/>
        <item x="57"/>
        <item x="56"/>
        <item x="58"/>
        <item x="140"/>
        <item x="17"/>
        <item x="16"/>
        <item x="2"/>
        <item x="18"/>
        <item x="10"/>
        <item x="4"/>
        <item x="9"/>
        <item x="11"/>
        <item x="0"/>
        <item x="3"/>
        <item x="1"/>
        <item x="178"/>
        <item x="5"/>
        <item x="13"/>
        <item x="22"/>
        <item x="165"/>
        <item x="28"/>
        <item x="12"/>
        <item x="60"/>
        <item x="14"/>
        <item x="63"/>
        <item x="15"/>
        <item x="73"/>
        <item x="59"/>
        <item x="6"/>
        <item x="7"/>
        <item x="8"/>
        <item x="36"/>
        <item x="40"/>
        <item x="38"/>
        <item x="64"/>
        <item x="26"/>
        <item x="31"/>
        <item x="112"/>
        <item x="41"/>
        <item x="30"/>
        <item x="29"/>
        <item x="37"/>
        <item x="25"/>
        <item x="34"/>
        <item x="39"/>
        <item x="27"/>
        <item x="99"/>
        <item x="148"/>
        <item x="92"/>
        <item x="94"/>
        <item x="93"/>
        <item x="158"/>
        <item x="97"/>
        <item x="147"/>
        <item x="98"/>
        <item x="159"/>
        <item x="104"/>
        <item x="152"/>
        <item x="107"/>
        <item x="153"/>
        <item x="106"/>
        <item x="105"/>
        <item x="160"/>
        <item x="145"/>
        <item x="157"/>
        <item x="102"/>
        <item x="101"/>
        <item x="103"/>
        <item x="19"/>
        <item x="33"/>
        <item x="175"/>
        <item x="115"/>
        <item x="182"/>
        <item x="183"/>
        <item x="71"/>
        <item x="150"/>
        <item x="95"/>
        <item x="68"/>
        <item x="110"/>
        <item x="69"/>
        <item x="70"/>
        <item x="67"/>
        <item x="96"/>
        <item x="100"/>
        <item x="88"/>
        <item x="170"/>
        <item x="91"/>
        <item x="126"/>
        <item x="173"/>
        <item x="90"/>
        <item x="166"/>
        <item x="180"/>
        <item x="186"/>
        <item x="89"/>
        <item x="167"/>
        <item x="168"/>
        <item x="111"/>
        <item x="42"/>
        <item x="124"/>
        <item x="174"/>
        <item x="162"/>
        <item x="163"/>
        <item x="72"/>
        <item x="171"/>
        <item x="125"/>
        <item x="164"/>
        <item x="176"/>
        <item x="45"/>
        <item x="44"/>
        <item x="32"/>
        <item x="169"/>
        <item x="172"/>
        <item x="154"/>
        <item x="43"/>
        <item x="138"/>
        <item x="149"/>
        <item x="156"/>
        <item x="24"/>
        <item x="179"/>
        <item x="187"/>
        <item x="181"/>
        <item x="184"/>
        <item x="185"/>
        <item x="188"/>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Accomodation" axis="axisRow" compact="0" outline="0" showAll="0" defaultSubtotal="0">
      <items count="5">
        <item x="1"/>
        <item x="0"/>
        <item h="1" x="2"/>
        <item h="1" x="3"/>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ResponsibleAgency" axis="axisRow" compact="0" outline="0" showAll="0" defaultSubtotal="0">
      <items count="6">
        <item x="0"/>
        <item x="5"/>
        <item x="2"/>
        <item x="1"/>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6">
    <field x="11"/>
    <field x="12"/>
    <field x="13"/>
    <field x="19"/>
    <field x="21"/>
    <field x="25"/>
  </rowFields>
  <rowItems count="147">
    <i>
      <x v="1"/>
      <x v="150"/>
      <x v="25"/>
      <x/>
      <x v="1"/>
      <x/>
    </i>
    <i>
      <x v="2"/>
      <x v="139"/>
      <x v="23"/>
      <x/>
      <x v="1"/>
      <x v="2"/>
    </i>
    <i>
      <x v="3"/>
      <x v="49"/>
      <x v="49"/>
      <x/>
      <x v="1"/>
      <x v="1"/>
    </i>
    <i>
      <x v="4"/>
      <x v="147"/>
      <x v="19"/>
      <x/>
      <x v="1"/>
      <x v="3"/>
    </i>
    <i>
      <x v="5"/>
      <x v="160"/>
      <x v="13"/>
      <x/>
      <x v="1"/>
      <x v="3"/>
    </i>
    <i>
      <x v="7"/>
      <x v="164"/>
      <x v="53"/>
      <x/>
      <x v="1"/>
      <x/>
    </i>
    <i>
      <x v="13"/>
      <x v="140"/>
      <x v="20"/>
      <x/>
      <x v="1"/>
      <x/>
    </i>
    <i>
      <x v="17"/>
      <x v="108"/>
      <x v="158"/>
      <x v="1"/>
      <x v="1"/>
      <x v="2"/>
    </i>
    <i>
      <x v="18"/>
      <x v="121"/>
      <x v="130"/>
      <x v="1"/>
      <x v="1"/>
      <x v="1"/>
    </i>
    <i>
      <x v="19"/>
      <x v="194"/>
      <x v="129"/>
      <x v="1"/>
      <x v="1"/>
      <x v="1"/>
    </i>
    <i>
      <x v="20"/>
      <x v="105"/>
      <x v="2"/>
      <x/>
      <x v="1"/>
      <x v="3"/>
    </i>
    <i>
      <x v="22"/>
      <x v="41"/>
      <x v="178"/>
      <x/>
      <x v="1"/>
      <x v="3"/>
    </i>
    <i>
      <x v="24"/>
      <x v="145"/>
      <x v="21"/>
      <x/>
      <x v="1"/>
      <x v="3"/>
    </i>
    <i>
      <x v="25"/>
      <x v="11"/>
      <x v="76"/>
      <x/>
      <x v="1"/>
      <x/>
    </i>
    <i>
      <x v="26"/>
      <x v="9"/>
      <x v="75"/>
      <x/>
      <x v="1"/>
      <x/>
    </i>
    <i>
      <x v="27"/>
      <x v="10"/>
      <x v="73"/>
      <x/>
      <x v="1"/>
      <x/>
    </i>
    <i>
      <x v="28"/>
      <x v="118"/>
      <x v="111"/>
      <x v="1"/>
      <x v="1"/>
      <x v="2"/>
    </i>
    <i>
      <x v="34"/>
      <x v="27"/>
      <x v="85"/>
      <x/>
      <x v="1"/>
      <x v="3"/>
    </i>
    <i>
      <x v="35"/>
      <x v="110"/>
      <x v="151"/>
      <x v="1"/>
      <x v="1"/>
      <x/>
    </i>
    <i>
      <x v="36"/>
      <x v="131"/>
      <x v="31"/>
      <x/>
      <x v="1"/>
      <x/>
    </i>
    <i>
      <x v="37"/>
      <x v="161"/>
      <x v="12"/>
      <x/>
      <x v="1"/>
      <x v="3"/>
    </i>
    <i>
      <x v="42"/>
      <x v="197"/>
      <x v="7"/>
      <x/>
      <x v="1"/>
      <x/>
    </i>
    <i>
      <x v="43"/>
      <x v="42"/>
      <x v="173"/>
      <x v="1"/>
      <x v="1"/>
      <x/>
    </i>
    <i>
      <x v="44"/>
      <x v="117"/>
      <x v="119"/>
      <x v="1"/>
      <x v="1"/>
      <x v="2"/>
    </i>
    <i>
      <x v="45"/>
      <x v="51"/>
      <x v="48"/>
      <x/>
      <x v="1"/>
      <x/>
    </i>
    <i>
      <x v="46"/>
      <x v="176"/>
      <x v="112"/>
      <x v="1"/>
      <x/>
      <x v="4"/>
    </i>
    <i>
      <x v="49"/>
      <x v="17"/>
      <x v="69"/>
      <x/>
      <x v="1"/>
      <x/>
    </i>
    <i>
      <x v="50"/>
      <x v="18"/>
      <x v="72"/>
      <x/>
      <x v="1"/>
      <x v="2"/>
    </i>
    <i>
      <x v="51"/>
      <x v="116"/>
      <x v="117"/>
      <x v="1"/>
      <x v="1"/>
      <x v="2"/>
    </i>
    <i>
      <x v="54"/>
      <x v="211"/>
      <x v="155"/>
      <x/>
      <x v="1"/>
      <x/>
    </i>
    <i>
      <x v="55"/>
      <x v="212"/>
      <x v="159"/>
      <x/>
      <x v="1"/>
      <x/>
    </i>
    <i>
      <x v="56"/>
      <x v="213"/>
      <x v="160"/>
      <x/>
      <x v="1"/>
      <x v="5"/>
    </i>
    <i>
      <x v="57"/>
      <x v="12"/>
      <x v="86"/>
      <x/>
      <x v="1"/>
      <x/>
    </i>
    <i>
      <x v="58"/>
      <x v="76"/>
      <x v="35"/>
      <x/>
      <x v="1"/>
      <x/>
    </i>
    <i>
      <x v="59"/>
      <x v="73"/>
      <x v="167"/>
      <x/>
      <x v="1"/>
      <x v="4"/>
    </i>
    <i>
      <x v="63"/>
      <x v="120"/>
      <x v="131"/>
      <x v="1"/>
      <x v="1"/>
      <x v="1"/>
    </i>
    <i>
      <x v="66"/>
      <x v="14"/>
      <x v="88"/>
      <x/>
      <x v="1"/>
      <x/>
    </i>
    <i>
      <x v="67"/>
      <x v="13"/>
      <x v="82"/>
      <x/>
      <x v="1"/>
      <x/>
    </i>
    <i>
      <x v="68"/>
      <x v="165"/>
      <x v="179"/>
      <x/>
      <x v="1"/>
      <x v="3"/>
    </i>
    <i>
      <x v="69"/>
      <x v="152"/>
      <x/>
      <x/>
      <x v="1"/>
      <x v="3"/>
    </i>
    <i>
      <x v="70"/>
      <x v="138"/>
      <x v="11"/>
      <x/>
      <x v="1"/>
      <x v="3"/>
    </i>
    <i>
      <x v="71"/>
      <x v="48"/>
      <x v="51"/>
      <x/>
      <x v="1"/>
      <x v="3"/>
    </i>
    <i>
      <x v="72"/>
      <x v="70"/>
      <x v="144"/>
      <x/>
      <x v="1"/>
      <x/>
    </i>
    <i>
      <x v="73"/>
      <x v="68"/>
      <x v="146"/>
      <x/>
      <x v="1"/>
      <x v="1"/>
    </i>
    <i>
      <x v="74"/>
      <x v="69"/>
      <x v="142"/>
      <x/>
      <x v="1"/>
      <x/>
    </i>
    <i>
      <x v="78"/>
      <x v="26"/>
      <x v="110"/>
      <x/>
      <x v="1"/>
      <x/>
    </i>
    <i>
      <x v="79"/>
      <x v="114"/>
      <x v="141"/>
      <x v="1"/>
      <x v="1"/>
      <x v="2"/>
    </i>
    <i>
      <x v="81"/>
      <x v="30"/>
      <x v="101"/>
      <x/>
      <x v="1"/>
      <x v="3"/>
    </i>
    <i>
      <x v="82"/>
      <x v="28"/>
      <x v="105"/>
      <x/>
      <x v="1"/>
      <x v="2"/>
    </i>
    <i>
      <x v="83"/>
      <x v="39"/>
      <x v="103"/>
      <x/>
      <x v="1"/>
      <x/>
    </i>
    <i>
      <x v="84"/>
      <x v="38"/>
      <x v="97"/>
      <x/>
      <x v="1"/>
      <x/>
    </i>
    <i>
      <x v="85"/>
      <x v="186"/>
      <x v="43"/>
      <x/>
      <x v="1"/>
      <x/>
    </i>
    <i>
      <x v="86"/>
      <x v="191"/>
      <x v="177"/>
      <x/>
      <x v="1"/>
      <x v="1"/>
    </i>
    <i>
      <x v="87"/>
      <x v="15"/>
      <x v="90"/>
      <x/>
      <x v="1"/>
      <x/>
    </i>
    <i>
      <x v="88"/>
      <x v="61"/>
      <x v="61"/>
      <x/>
      <x v="1"/>
      <x v="1"/>
    </i>
    <i>
      <x v="89"/>
      <x v="7"/>
      <x v="94"/>
      <x/>
      <x v="1"/>
      <x/>
    </i>
    <i>
      <x v="94"/>
      <x v="124"/>
      <x v="126"/>
      <x/>
      <x v="1"/>
      <x/>
    </i>
    <i>
      <x v="95"/>
      <x v="198"/>
      <x v="127"/>
      <x/>
      <x v="1"/>
      <x/>
    </i>
    <i>
      <x v="96"/>
      <x v="123"/>
      <x v="121"/>
      <x/>
      <x v="1"/>
      <x v="1"/>
    </i>
    <i>
      <x v="97"/>
      <x v="196"/>
      <x v="120"/>
      <x/>
      <x v="1"/>
      <x v="1"/>
    </i>
    <i>
      <x v="101"/>
      <x v="206"/>
      <x v="39"/>
      <x/>
      <x v="1"/>
      <x/>
    </i>
    <i>
      <x v="102"/>
      <x v="221"/>
      <x v="38"/>
      <x/>
      <x v="1"/>
      <x v="5"/>
    </i>
    <i>
      <x v="103"/>
      <x v="75"/>
      <x v="36"/>
      <x/>
      <x v="1"/>
      <x/>
    </i>
    <i>
      <x v="104"/>
      <x v="65"/>
      <x v="57"/>
      <x/>
      <x v="1"/>
      <x/>
    </i>
    <i>
      <x v="113"/>
      <x v="19"/>
      <x v="55"/>
      <x/>
      <x v="1"/>
      <x v="3"/>
    </i>
    <i>
      <x v="114"/>
      <x v="20"/>
      <x v="56"/>
      <x/>
      <x v="1"/>
      <x v="3"/>
    </i>
    <i>
      <x v="119"/>
      <x v="87"/>
      <x v="14"/>
      <x/>
      <x v="1"/>
      <x v="3"/>
    </i>
    <i>
      <x v="122"/>
      <x v="214"/>
      <x v="150"/>
      <x/>
      <x v="1"/>
      <x/>
    </i>
    <i>
      <x v="123"/>
      <x v="55"/>
      <x v="63"/>
      <x/>
      <x v="1"/>
      <x/>
    </i>
    <i>
      <x v="129"/>
      <x v="204"/>
      <x v="169"/>
      <x/>
      <x v="1"/>
      <x/>
    </i>
    <i>
      <x v="130"/>
      <x v="229"/>
      <x v="174"/>
      <x/>
      <x v="1"/>
      <x v="5"/>
    </i>
    <i>
      <x v="133"/>
      <x v="225"/>
      <x v="156"/>
      <x/>
      <x v="1"/>
      <x/>
    </i>
    <i>
      <x v="134"/>
      <x v="228"/>
      <x v="157"/>
      <x/>
      <x v="1"/>
      <x v="5"/>
    </i>
    <i>
      <x v="135"/>
      <x v="50"/>
      <x v="47"/>
      <x/>
      <x v="1"/>
      <x v="3"/>
    </i>
    <i>
      <x v="139"/>
      <x v="202"/>
      <x v="136"/>
      <x/>
      <x v="1"/>
      <x/>
    </i>
    <i>
      <x v="140"/>
      <x v="199"/>
      <x v="133"/>
      <x/>
      <x v="1"/>
      <x/>
    </i>
    <i>
      <x v="141"/>
      <x v="226"/>
      <x v="137"/>
      <x/>
      <x v="1"/>
      <x/>
    </i>
    <i>
      <x v="142"/>
      <x v="201"/>
      <x v="134"/>
      <x/>
      <x v="1"/>
      <x v="5"/>
    </i>
    <i>
      <x v="147"/>
      <x v="205"/>
      <x v="152"/>
      <x/>
      <x v="1"/>
      <x/>
    </i>
    <i>
      <x v="151"/>
      <x v="162"/>
      <x v="15"/>
      <x/>
      <x v="1"/>
      <x v="3"/>
    </i>
    <i>
      <x v="152"/>
      <x v="210"/>
      <x v="84"/>
      <x/>
      <x v="1"/>
      <x/>
    </i>
    <i>
      <x v="154"/>
      <x v="227"/>
      <x v="138"/>
      <x/>
      <x v="1"/>
      <x/>
    </i>
    <i>
      <x v="155"/>
      <x v="23"/>
      <x v="182"/>
      <x/>
      <x v="1"/>
      <x v="2"/>
    </i>
    <i>
      <x v="156"/>
      <x v="53"/>
      <x v="59"/>
      <x/>
      <x v="1"/>
      <x v="1"/>
    </i>
    <i>
      <x v="157"/>
      <x v="99"/>
      <x v="17"/>
      <x/>
      <x v="1"/>
      <x v="2"/>
    </i>
    <i>
      <x v="160"/>
      <x v="77"/>
      <x v="37"/>
      <x/>
      <x v="1"/>
      <x/>
    </i>
    <i>
      <x v="162"/>
      <x v="32"/>
      <x v="64"/>
      <x/>
      <x v="1"/>
      <x v="3"/>
    </i>
    <i>
      <x v="163"/>
      <x v="133"/>
      <x v="28"/>
      <x/>
      <x v="1"/>
      <x/>
    </i>
    <i>
      <x v="166"/>
      <x v="122"/>
      <x v="132"/>
      <x v="1"/>
      <x v="1"/>
      <x v="1"/>
    </i>
    <i>
      <x v="168"/>
      <x v="1"/>
      <x v="79"/>
      <x/>
      <x v="1"/>
      <x/>
    </i>
    <i>
      <x v="169"/>
      <x v="71"/>
      <x v="145"/>
      <x/>
      <x v="1"/>
      <x/>
    </i>
    <i>
      <x v="170"/>
      <x v="136"/>
      <x v="102"/>
      <x/>
      <x v="1"/>
      <x v="2"/>
    </i>
    <i>
      <x v="171"/>
      <x v="119"/>
      <x v="148"/>
      <x v="1"/>
      <x v="1"/>
      <x v="1"/>
    </i>
    <i>
      <x v="172"/>
      <x v="178"/>
      <x v="180"/>
      <x/>
      <x v="1"/>
      <x v="2"/>
    </i>
    <i>
      <x v="174"/>
      <x v="163"/>
      <x v="53"/>
      <x/>
      <x v="1"/>
      <x/>
    </i>
    <i>
      <x v="176"/>
      <x v="135"/>
      <x v="161"/>
      <x v="1"/>
      <x v="1"/>
      <x v="2"/>
    </i>
    <i>
      <x v="177"/>
      <x v="31"/>
      <x v="108"/>
      <x/>
      <x v="1"/>
      <x v="3"/>
    </i>
    <i>
      <x v="178"/>
      <x v="24"/>
      <x v="107"/>
      <x/>
      <x v="1"/>
      <x/>
    </i>
    <i>
      <x v="179"/>
      <x v="29"/>
      <x v="104"/>
      <x/>
      <x v="1"/>
      <x v="3"/>
    </i>
    <i>
      <x v="180"/>
      <x v="25"/>
      <x v="100"/>
      <x/>
      <x v="1"/>
      <x v="3"/>
    </i>
    <i>
      <x v="181"/>
      <x v="153"/>
      <x v="1"/>
      <x/>
      <x v="1"/>
      <x v="3"/>
    </i>
    <i>
      <x v="182"/>
      <x v="46"/>
      <x v="46"/>
      <x/>
      <x v="1"/>
      <x/>
    </i>
    <i>
      <x v="184"/>
      <x v="154"/>
      <x v="22"/>
      <x/>
      <x v="1"/>
      <x/>
    </i>
    <i>
      <x v="186"/>
      <x v="193"/>
      <x v="181"/>
      <x/>
      <x v="1"/>
      <x v="2"/>
    </i>
    <i>
      <x v="187"/>
      <x v="72"/>
      <x v="139"/>
      <x/>
      <x v="1"/>
      <x/>
    </i>
    <i>
      <x v="188"/>
      <x v="5"/>
      <x v="81"/>
      <x/>
      <x v="1"/>
      <x/>
    </i>
    <i>
      <x v="189"/>
      <x v="6"/>
      <x v="93"/>
      <x/>
      <x v="1"/>
      <x v="3"/>
    </i>
    <i>
      <x v="190"/>
      <x v="40"/>
      <x v="162"/>
      <x/>
      <x v="1"/>
      <x/>
    </i>
    <i>
      <x v="191"/>
      <x v="66"/>
      <x v="33"/>
      <x/>
      <x v="1"/>
      <x/>
    </i>
    <i>
      <x v="192"/>
      <x v="67"/>
      <x v="33"/>
      <x/>
      <x v="1"/>
      <x v="1"/>
    </i>
    <i>
      <x v="193"/>
      <x v="8"/>
      <x v="95"/>
      <x/>
      <x v="1"/>
      <x/>
    </i>
    <i>
      <x v="195"/>
      <x v="78"/>
      <x v="29"/>
      <x/>
      <x v="1"/>
      <x v="2"/>
    </i>
    <i>
      <x v="197"/>
      <x v="175"/>
      <x v="118"/>
      <x/>
      <x v="1"/>
      <x v="4"/>
    </i>
    <i>
      <x v="198"/>
      <x v="54"/>
      <x v="44"/>
      <x/>
      <x v="1"/>
      <x v="3"/>
    </i>
    <i>
      <x v="201"/>
      <x/>
      <x v="77"/>
      <x/>
      <x v="1"/>
      <x/>
    </i>
    <i>
      <x v="202"/>
      <x v="3"/>
      <x v="78"/>
      <x/>
      <x v="1"/>
      <x v="3"/>
    </i>
    <i>
      <x v="203"/>
      <x v="2"/>
      <x v="71"/>
      <x/>
      <x v="1"/>
      <x/>
    </i>
    <i>
      <x v="204"/>
      <x v="4"/>
      <x v="74"/>
      <x/>
      <x v="1"/>
      <x/>
    </i>
    <i>
      <x v="205"/>
      <x v="36"/>
      <x v="98"/>
      <x/>
      <x v="1"/>
      <x v="3"/>
    </i>
    <i>
      <x v="210"/>
      <x v="37"/>
      <x v="109"/>
      <x/>
      <x v="1"/>
      <x v="3"/>
    </i>
    <i>
      <x v="213"/>
      <x v="155"/>
      <x v="3"/>
      <x/>
      <x v="1"/>
      <x/>
    </i>
    <i>
      <x v="214"/>
      <x v="111"/>
      <x v="113"/>
      <x v="1"/>
      <x v="1"/>
      <x v="2"/>
    </i>
    <i>
      <x v="217"/>
      <x v="21"/>
      <x v="83"/>
      <x/>
      <x v="1"/>
      <x v="3"/>
    </i>
    <i>
      <x v="218"/>
      <x v="52"/>
      <x v="52"/>
      <x/>
      <x v="1"/>
      <x v="3"/>
    </i>
    <i>
      <x v="219"/>
      <x v="101"/>
      <x v="5"/>
      <x/>
      <x v="1"/>
      <x/>
    </i>
    <i>
      <x v="221"/>
      <x v="216"/>
      <x v="153"/>
      <x/>
      <x v="1"/>
      <x/>
    </i>
    <i>
      <x v="222"/>
      <x v="230"/>
      <x v="174"/>
      <x/>
      <x v="1"/>
      <x/>
    </i>
    <i>
      <x v="228"/>
      <x v="115"/>
      <x v="147"/>
      <x v="1"/>
      <x v="1"/>
      <x/>
    </i>
    <i>
      <x v="229"/>
      <x v="22"/>
      <x v="189"/>
      <x/>
      <x v="1"/>
      <x v="3"/>
    </i>
    <i>
      <x v="230"/>
      <x v="107"/>
      <x v="149"/>
      <x v="1"/>
      <x v="1"/>
      <x/>
    </i>
    <i>
      <x v="231"/>
      <x v="234"/>
      <x v="183"/>
      <x/>
      <x v="1"/>
      <x/>
    </i>
    <i>
      <x v="232"/>
      <x v="233"/>
      <x v="184"/>
      <x/>
      <x v="1"/>
      <x/>
    </i>
    <i>
      <x v="234"/>
      <x v="236"/>
      <x v="174"/>
      <x/>
      <x v="1"/>
      <x/>
    </i>
    <i>
      <x v="235"/>
      <x v="237"/>
      <x v="174"/>
      <x/>
      <x v="1"/>
      <x v="2"/>
    </i>
    <i>
      <x v="236"/>
      <x v="238"/>
      <x v="185"/>
      <x/>
      <x v="1"/>
      <x v="4"/>
    </i>
    <i>
      <x v="237"/>
      <x v="239"/>
      <x v="186"/>
      <x/>
      <x v="1"/>
      <x v="4"/>
    </i>
    <i>
      <x v="238"/>
      <x v="240"/>
      <x v="187"/>
      <x/>
      <x/>
      <x v="4"/>
    </i>
    <i>
      <x v="239"/>
      <x v="241"/>
      <x v="188"/>
      <x/>
      <x v="1"/>
      <x v="4"/>
    </i>
    <i>
      <x v="240"/>
      <x v="242"/>
      <x v="174"/>
      <x v="2"/>
      <x v="1"/>
      <x v="4"/>
    </i>
    <i>
      <x v="241"/>
      <x v="244"/>
      <x v="174"/>
      <x/>
      <x v="1"/>
      <x v="4"/>
    </i>
    <i>
      <x v="242"/>
      <x v="247"/>
      <x v="174"/>
      <x/>
      <x v="1"/>
      <x v="4"/>
    </i>
    <i>
      <x v="243"/>
      <x v="248"/>
      <x v="174"/>
      <x/>
      <x v="1"/>
      <x v="4"/>
    </i>
    <i>
      <x v="244"/>
      <x v="249"/>
      <x v="174"/>
      <x/>
      <x v="1"/>
      <x v="4"/>
    </i>
    <i>
      <x v="245"/>
      <x v="245"/>
      <x v="174"/>
      <x/>
      <x v="1"/>
      <x v="4"/>
    </i>
    <i>
      <x v="246"/>
      <x v="246"/>
      <x v="174"/>
      <x/>
      <x v="1"/>
      <x v="4"/>
    </i>
    <i>
      <x v="247"/>
      <x v="250"/>
      <x v="174"/>
      <x/>
      <x v="1"/>
      <x v="4"/>
    </i>
    <i>
      <x v="248"/>
      <x v="251"/>
      <x v="174"/>
      <x/>
      <x v="1"/>
      <x v="4"/>
    </i>
  </rowItems>
  <colFields count="1">
    <field x="-2"/>
  </colFields>
  <colItems count="2">
    <i>
      <x/>
    </i>
    <i i="1">
      <x v="1"/>
    </i>
  </colItems>
  <pageFields count="1">
    <pageField fld="0" hier="-1"/>
  </pageFields>
  <dataFields count="2">
    <dataField name="HouseHold" fld="16" baseField="11" baseItem="0"/>
    <dataField name="Individual" fld="17"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showDrill="0" useAutoFormatting="1" rowGrandTotals="0" colGrandTotals="0" itemPrintTitles="1" createdVersion="4" indent="0" compact="0" compactData="0" multipleFieldFilters="0">
  <location ref="A3:D22" firstHeaderRow="1" firstDataRow="1" firstDataCol="4" rowPageCount="1" colPageCount="1"/>
  <pivotFields count="23">
    <pivotField compact="0" outline="0" showAll="0" defaultSubtotal="0"/>
    <pivotField axis="axisRow" compact="0" outline="0" showAll="0" defaultSubtotal="0">
      <items count="16">
        <item h="1" x="1"/>
        <item h="1" x="9"/>
        <item h="1" x="7"/>
        <item h="1" x="13"/>
        <item h="1" x="4"/>
        <item h="1" x="10"/>
        <item h="1" x="2"/>
        <item h="1" x="11"/>
        <item x="6"/>
        <item h="1" x="15"/>
        <item h="1" x="8"/>
        <item h="1" x="0"/>
        <item h="1" x="5"/>
        <item h="1" x="12"/>
        <item h="1" x="3"/>
        <item h="1" x="14"/>
      </items>
    </pivotField>
    <pivotField compact="0" outline="0" showAll="0" defaultSubtotal="0"/>
    <pivotField compact="0" outline="0" showAll="0" defaultSubtotal="0"/>
    <pivotField axis="axisRow" compact="0" outline="0" showAll="0" defaultSubtotal="0">
      <items count="17">
        <item x="1"/>
        <item x="4"/>
        <item x="0"/>
        <item x="8"/>
        <item x="3"/>
        <item x="7"/>
        <item x="9"/>
        <item x="15"/>
        <item x="6"/>
        <item x="11"/>
        <item x="5"/>
        <item x="12"/>
        <item x="14"/>
        <item x="16"/>
        <item x="2"/>
        <item x="10"/>
        <item x="13"/>
      </items>
    </pivotField>
    <pivotField axis="axisRow" compact="0" outline="0" showAll="0" defaultSubtotal="0">
      <items count="143">
        <item x="0"/>
        <item x="2"/>
        <item x="3"/>
        <item x="4"/>
        <item x="5"/>
        <item x="6"/>
        <item x="7"/>
        <item x="8"/>
        <item x="9"/>
        <item x="10"/>
        <item x="11"/>
        <item x="12"/>
        <item x="13"/>
        <item x="14"/>
        <item x="15"/>
        <item x="16"/>
        <item x="17"/>
        <item x="18"/>
        <item x="19"/>
        <item x="20"/>
        <item x="21"/>
        <item x="23"/>
        <item x="24"/>
        <item x="25"/>
        <item x="26"/>
        <item x="27"/>
        <item x="28"/>
        <item x="30"/>
        <item x="31"/>
        <item x="32"/>
        <item x="33"/>
        <item x="34"/>
        <item x="35"/>
        <item x="36"/>
        <item x="37"/>
        <item x="38"/>
        <item x="39"/>
        <item x="40"/>
        <item x="41"/>
        <item x="42"/>
        <item x="43"/>
        <item x="44"/>
        <item x="45"/>
        <item x="47"/>
        <item x="48"/>
        <item x="49"/>
        <item x="50"/>
        <item x="51"/>
        <item x="52"/>
        <item x="53"/>
        <item x="54"/>
        <item x="55"/>
        <item x="56"/>
        <item x="57"/>
        <item x="58"/>
        <item x="60"/>
        <item x="61"/>
        <item x="62"/>
        <item x="63"/>
        <item x="65"/>
        <item x="66"/>
        <item x="67"/>
        <item x="68"/>
        <item x="69"/>
        <item x="70"/>
        <item x="72"/>
        <item x="73"/>
        <item x="74"/>
        <item x="75"/>
        <item x="79"/>
        <item x="80"/>
        <item x="81"/>
        <item x="84"/>
        <item x="85"/>
        <item x="86"/>
        <item x="88"/>
        <item x="90"/>
        <item x="91"/>
        <item x="92"/>
        <item x="93"/>
        <item x="94"/>
        <item x="95"/>
        <item x="96"/>
        <item x="97"/>
        <item x="98"/>
        <item x="99"/>
        <item x="100"/>
        <item x="101"/>
        <item x="102"/>
        <item x="104"/>
        <item x="105"/>
        <item x="106"/>
        <item x="107"/>
        <item x="108"/>
        <item x="109"/>
        <item x="110"/>
        <item x="111"/>
        <item x="112"/>
        <item x="113"/>
        <item x="114"/>
        <item x="116"/>
        <item x="117"/>
        <item x="118"/>
        <item x="119"/>
        <item x="120"/>
        <item x="121"/>
        <item x="122"/>
        <item x="123"/>
        <item x="124"/>
        <item x="126"/>
        <item x="127"/>
        <item x="128"/>
        <item x="129"/>
        <item x="130"/>
        <item x="131"/>
        <item x="132"/>
        <item x="133"/>
        <item x="134"/>
        <item x="135"/>
        <item x="136"/>
        <item x="137"/>
        <item x="138"/>
        <item x="139"/>
        <item x="142"/>
        <item x="59"/>
        <item x="71"/>
        <item x="77"/>
        <item x="78"/>
        <item x="82"/>
        <item x="89"/>
        <item x="141"/>
        <item x="103"/>
        <item x="125"/>
        <item x="140"/>
        <item x="76"/>
        <item x="64"/>
        <item x="87"/>
        <item x="29"/>
        <item x="1"/>
        <item x="46"/>
        <item x="83"/>
        <item x="115"/>
        <item x="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1">
        <item x="113"/>
        <item x="124"/>
        <item x="99"/>
        <item x="127"/>
        <item x="126"/>
        <item x="128"/>
        <item x="117"/>
        <item x="58"/>
        <item x="121"/>
        <item x="15"/>
        <item x="16"/>
        <item x="14"/>
        <item x="32"/>
        <item x="37"/>
        <item x="36"/>
        <item x="56"/>
        <item x="25"/>
        <item x="26"/>
        <item x="68"/>
        <item x="69"/>
        <item x="136"/>
        <item x="90"/>
        <item x="108"/>
        <item x="110"/>
        <item x="47"/>
        <item x="18"/>
        <item x="51"/>
        <item x="109"/>
        <item x="50"/>
        <item x="107"/>
        <item x="94"/>
        <item x="132"/>
        <item x="129"/>
        <item x="131"/>
        <item x="53"/>
        <item x="52"/>
        <item x="118"/>
        <item x="12"/>
        <item x="112"/>
        <item x="41"/>
        <item x="2"/>
        <item x="79"/>
        <item x="24"/>
        <item x="137"/>
        <item x="91"/>
        <item x="123"/>
        <item x="72"/>
        <item x="73"/>
        <item x="62"/>
        <item x="98"/>
        <item x="57"/>
        <item x="49"/>
        <item x="66"/>
        <item x="119"/>
        <item x="120"/>
        <item x="43"/>
        <item x="44"/>
        <item x="42"/>
        <item x="100"/>
        <item x="116"/>
        <item x="65"/>
        <item x="33"/>
        <item x="93"/>
        <item x="122"/>
        <item x="96"/>
        <item x="70"/>
        <item x="67"/>
        <item x="92"/>
        <item x="138"/>
        <item x="11"/>
        <item x="8"/>
        <item x="19"/>
        <item x="135"/>
        <item x="48"/>
        <item x="27"/>
        <item x="23"/>
        <item x="17"/>
        <item x="102"/>
        <item x="35"/>
        <item x="9"/>
        <item x="97"/>
        <item x="61"/>
        <item x="60"/>
        <item x="45"/>
        <item x="95"/>
        <item x="106"/>
        <item x="101"/>
        <item x="40"/>
        <item x="6"/>
        <item x="13"/>
        <item x="3"/>
        <item x="0"/>
        <item x="39"/>
        <item x="111"/>
        <item x="114"/>
        <item x="134"/>
        <item x="133"/>
        <item x="7"/>
        <item x="4"/>
        <item x="20"/>
        <item x="86"/>
        <item x="105"/>
        <item x="5"/>
        <item x="38"/>
        <item x="34"/>
        <item x="75"/>
        <item x="85"/>
        <item x="104"/>
        <item x="54"/>
        <item x="55"/>
        <item x="130"/>
        <item x="10"/>
        <item x="81"/>
        <item x="80"/>
        <item x="74"/>
        <item x="84"/>
        <item x="63"/>
        <item x="21"/>
        <item x="88"/>
        <item x="28"/>
        <item x="30"/>
        <item x="31"/>
        <item x="59"/>
        <item x="71"/>
        <item x="77"/>
        <item x="78"/>
        <item x="82"/>
        <item x="89"/>
        <item x="140"/>
        <item x="76"/>
        <item x="103"/>
        <item x="125"/>
        <item x="139"/>
        <item x="64"/>
        <item x="87"/>
        <item x="29"/>
        <item x="1"/>
        <item x="46"/>
        <item x="83"/>
        <item x="115"/>
        <item x="22"/>
      </items>
    </pivotField>
    <pivotField axis="axisPage" compact="0" outline="0" multipleItemSelectionAllowed="1" showAll="0" defaultSubtotal="0">
      <items count="3">
        <item h="1" x="2"/>
        <item h="1" x="1"/>
        <item x="0"/>
      </items>
    </pivotField>
    <pivotField compact="0" outline="0" showAll="0" defaultSubtotal="0"/>
    <pivotField compact="0" outline="0" showAll="0" defaultSubtotal="0"/>
    <pivotField compact="0" outline="0" showAll="0" defaultSubtotal="0"/>
  </pivotFields>
  <rowFields count="4">
    <field x="1"/>
    <field x="4"/>
    <field x="5"/>
    <field x="18"/>
  </rowFields>
  <rowItems count="19">
    <i>
      <x v="8"/>
      <x/>
      <x v="22"/>
      <x v="42"/>
    </i>
    <i r="2">
      <x v="38"/>
      <x v="39"/>
    </i>
    <i r="2">
      <x v="90"/>
      <x v="101"/>
    </i>
    <i r="2">
      <x v="97"/>
      <x v="38"/>
    </i>
    <i r="2">
      <x v="121"/>
      <x v="43"/>
    </i>
    <i r="1">
      <x v="3"/>
      <x v="27"/>
      <x v="120"/>
    </i>
    <i r="2">
      <x v="28"/>
      <x v="121"/>
    </i>
    <i r="2">
      <x v="130"/>
      <x v="128"/>
    </i>
    <i r="1">
      <x v="4"/>
      <x v="55"/>
      <x v="82"/>
    </i>
    <i r="2">
      <x v="60"/>
      <x v="52"/>
    </i>
    <i r="1">
      <x v="8"/>
      <x v="53"/>
      <x v="50"/>
    </i>
    <i r="2">
      <x v="65"/>
      <x v="46"/>
    </i>
    <i r="1">
      <x v="9"/>
      <x v="126"/>
      <x v="124"/>
    </i>
    <i r="2">
      <x v="127"/>
      <x v="125"/>
    </i>
    <i r="1">
      <x v="11"/>
      <x v="128"/>
      <x v="126"/>
    </i>
    <i r="2">
      <x v="129"/>
      <x v="127"/>
    </i>
    <i r="1">
      <x v="13"/>
      <x v="103"/>
      <x v="53"/>
    </i>
    <i r="1">
      <x v="14"/>
      <x v="119"/>
      <x v="72"/>
    </i>
    <i r="1">
      <x v="16"/>
      <x v="136"/>
      <x v="134"/>
    </i>
  </rowItems>
  <colItems count="1">
    <i/>
  </colItems>
  <pageFields count="1">
    <pageField fld="19" hier="-1"/>
  </page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4" minRefreshableVersion="3" useAutoFormatting="1" itemPrintTitles="1" createdVersion="4" indent="0" showHeaders="0" outline="1" outlineData="1" multipleFieldFilters="0" chartFormat="8">
  <location ref="H83:I100" firstHeaderRow="1" firstDataRow="1" firstDataCol="1" rowPageCount="1" colPageCount="1"/>
  <pivotFields count="23">
    <pivotField showAll="0" defaultSubtotal="0"/>
    <pivotField axis="axisRow" showAll="0">
      <items count="17">
        <item x="4"/>
        <item x="0"/>
        <item x="5"/>
        <item x="8"/>
        <item x="2"/>
        <item x="9"/>
        <item x="6"/>
        <item x="7"/>
        <item x="11"/>
        <item x="15"/>
        <item x="12"/>
        <item x="1"/>
        <item x="3"/>
        <item x="13"/>
        <item x="10"/>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68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location ref="A83:B100" firstHeaderRow="1" firstDataRow="1" firstDataCol="1" rowPageCount="1" colPageCount="1"/>
  <pivotFields count="23">
    <pivotField showAll="0" defaultSubtotal="0"/>
    <pivotField axis="axisRow" showAll="0">
      <items count="17">
        <item x="4"/>
        <item x="0"/>
        <item x="5"/>
        <item x="8"/>
        <item x="2"/>
        <item x="9"/>
        <item x="6"/>
        <item x="7"/>
        <item x="11"/>
        <item x="15"/>
        <item x="12"/>
        <item x="1"/>
        <item x="3"/>
        <item x="13"/>
        <item x="10"/>
        <item x="14"/>
        <item t="default"/>
      </items>
    </pivotField>
    <pivotField showAll="0" defaultSubtotal="0"/>
    <pivotField axis="axisPage" multipleItemSelectionAllowed="1" showAll="0">
      <items count="3">
        <item x="0"/>
        <item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7">
    <i>
      <x/>
    </i>
    <i>
      <x v="1"/>
    </i>
    <i>
      <x v="2"/>
    </i>
    <i>
      <x v="3"/>
    </i>
    <i>
      <x v="4"/>
    </i>
    <i>
      <x v="5"/>
    </i>
    <i>
      <x v="6"/>
    </i>
    <i>
      <x v="7"/>
    </i>
    <i>
      <x v="8"/>
    </i>
    <i>
      <x v="9"/>
    </i>
    <i>
      <x v="10"/>
    </i>
    <i>
      <x v="11"/>
    </i>
    <i>
      <x v="12"/>
    </i>
    <i>
      <x v="13"/>
    </i>
    <i>
      <x v="14"/>
    </i>
    <i>
      <x v="15"/>
    </i>
    <i t="grand">
      <x/>
    </i>
  </rowItems>
  <colItems count="1">
    <i/>
  </colItems>
  <pageFields count="1">
    <pageField fld="3" hier="-1"/>
  </pageFields>
  <dataFields count="1">
    <dataField name="Sum of HH Covered" fld="15" baseField="0" baseItem="0"/>
  </dataFields>
  <formats count="1">
    <format dxfId="687">
      <pivotArea type="all" dataOnly="0" outline="0" fieldPosition="0"/>
    </format>
  </formats>
  <chartFormats count="1">
    <chartFormat chart="6" format="1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7">
  <location ref="A63:B74" firstHeaderRow="1" firstDataRow="1" firstDataCol="1" rowPageCount="3" colPageCount="1"/>
  <pivotFields count="23">
    <pivotField showAll="0" defaultSubtotal="0"/>
    <pivotField showAll="0" sortType="ascending"/>
    <pivotField showAll="0" defaultSubtotal="0"/>
    <pivotField axis="axisPage" multipleItemSelectionAllowed="1" showAll="0">
      <items count="3">
        <item x="0"/>
        <item x="1"/>
        <item t="default"/>
      </items>
    </pivotField>
    <pivotField axis="axisPage" multipleItemSelectionAllowed="1" showAll="0" sortType="ascending">
      <items count="18">
        <item x="1"/>
        <item h="1" x="4"/>
        <item h="1" x="0"/>
        <item h="1" x="13"/>
        <item h="1" x="8"/>
        <item h="1" x="3"/>
        <item h="1" x="7"/>
        <item h="1" x="9"/>
        <item h="1" x="15"/>
        <item h="1" x="6"/>
        <item h="1" x="11"/>
        <item h="1" x="5"/>
        <item h="1" x="12"/>
        <item h="1" x="14"/>
        <item h="1" x="10"/>
        <item h="1" x="16"/>
        <item h="1" x="2"/>
        <item t="default"/>
      </items>
    </pivotField>
    <pivotField axis="axisRow" showAll="0" defaultSubtotal="0">
      <items count="143">
        <item x="0"/>
        <item x="2"/>
        <item x="3"/>
        <item x="4"/>
        <item x="5"/>
        <item x="6"/>
        <item x="7"/>
        <item x="8"/>
        <item x="9"/>
        <item x="10"/>
        <item x="11"/>
        <item x="12"/>
        <item x="13"/>
        <item x="14"/>
        <item x="15"/>
        <item x="16"/>
        <item x="17"/>
        <item x="18"/>
        <item x="19"/>
        <item x="20"/>
        <item x="21"/>
        <item x="23"/>
        <item x="24"/>
        <item x="25"/>
        <item x="26"/>
        <item x="27"/>
        <item x="28"/>
        <item x="30"/>
        <item x="31"/>
        <item x="32"/>
        <item x="33"/>
        <item x="34"/>
        <item x="35"/>
        <item x="36"/>
        <item x="37"/>
        <item x="38"/>
        <item x="39"/>
        <item x="40"/>
        <item x="41"/>
        <item x="42"/>
        <item x="43"/>
        <item x="44"/>
        <item x="45"/>
        <item x="47"/>
        <item x="48"/>
        <item x="49"/>
        <item x="50"/>
        <item x="51"/>
        <item x="52"/>
        <item x="53"/>
        <item x="54"/>
        <item x="55"/>
        <item x="56"/>
        <item x="57"/>
        <item x="58"/>
        <item x="59"/>
        <item x="60"/>
        <item x="61"/>
        <item x="62"/>
        <item x="63"/>
        <item x="65"/>
        <item x="66"/>
        <item x="67"/>
        <item x="68"/>
        <item x="69"/>
        <item x="70"/>
        <item x="71"/>
        <item x="72"/>
        <item x="73"/>
        <item x="74"/>
        <item x="75"/>
        <item x="77"/>
        <item x="78"/>
        <item x="79"/>
        <item x="80"/>
        <item x="81"/>
        <item x="82"/>
        <item x="84"/>
        <item x="85"/>
        <item x="86"/>
        <item x="88"/>
        <item x="89"/>
        <item x="90"/>
        <item x="91"/>
        <item x="92"/>
        <item x="93"/>
        <item x="94"/>
        <item x="95"/>
        <item x="96"/>
        <item x="97"/>
        <item x="98"/>
        <item x="99"/>
        <item x="100"/>
        <item x="101"/>
        <item x="102"/>
        <item x="104"/>
        <item x="105"/>
        <item x="106"/>
        <item x="107"/>
        <item x="108"/>
        <item x="109"/>
        <item x="110"/>
        <item x="111"/>
        <item x="112"/>
        <item x="113"/>
        <item x="114"/>
        <item x="116"/>
        <item x="117"/>
        <item x="118"/>
        <item x="119"/>
        <item x="120"/>
        <item x="121"/>
        <item x="122"/>
        <item x="123"/>
        <item x="124"/>
        <item x="126"/>
        <item x="127"/>
        <item x="128"/>
        <item x="129"/>
        <item x="130"/>
        <item x="131"/>
        <item x="132"/>
        <item x="133"/>
        <item x="134"/>
        <item x="135"/>
        <item x="136"/>
        <item x="137"/>
        <item x="138"/>
        <item x="139"/>
        <item x="141"/>
        <item x="142"/>
        <item x="103"/>
        <item x="125"/>
        <item x="140"/>
        <item x="76"/>
        <item x="64"/>
        <item x="87"/>
        <item x="29"/>
        <item x="1"/>
        <item x="46"/>
        <item x="83"/>
        <item x="115"/>
        <item x="2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2"/>
        <item h="1" x="1"/>
        <item x="0"/>
      </items>
    </pivotField>
    <pivotField dataField="1" showAll="0" defaultSubtotal="0"/>
    <pivotField showAll="0" defaultSubtotal="0"/>
    <pivotField showAll="0" defaultSubtotal="0"/>
  </pivotFields>
  <rowFields count="1">
    <field x="5"/>
  </rowFields>
  <rowItems count="11">
    <i>
      <x v="1"/>
    </i>
    <i>
      <x v="4"/>
    </i>
    <i>
      <x v="22"/>
    </i>
    <i>
      <x v="38"/>
    </i>
    <i>
      <x v="73"/>
    </i>
    <i>
      <x v="83"/>
    </i>
    <i>
      <x v="96"/>
    </i>
    <i>
      <x v="103"/>
    </i>
    <i>
      <x v="113"/>
    </i>
    <i>
      <x v="127"/>
    </i>
    <i t="grand">
      <x/>
    </i>
  </rowItems>
  <colItems count="1">
    <i/>
  </colItems>
  <pageFields count="3">
    <pageField fld="3" hier="-1"/>
    <pageField fld="4" hier="-1"/>
    <pageField fld="19" hier="-1"/>
  </pageFields>
  <dataFields count="1">
    <dataField name="Average of Coverage" fld="20" subtotal="average" baseField="5" baseItem="16" numFmtId="9"/>
  </dataFields>
  <formats count="18">
    <format dxfId="664">
      <pivotArea field="4" type="button" dataOnly="0" labelOnly="1" outline="0" axis="axisPage" fieldPosition="1"/>
    </format>
    <format dxfId="663">
      <pivotArea field="4" type="button" dataOnly="0" labelOnly="1" outline="0" axis="axisPage" fieldPosition="1"/>
    </format>
    <format dxfId="662">
      <pivotArea collapsedLevelsAreSubtotals="1" fieldPosition="0">
        <references count="2">
          <reference field="4294967294" count="1" selected="0">
            <x v="0"/>
          </reference>
          <reference field="5" count="11">
            <x v="1"/>
            <x v="4"/>
            <x v="22"/>
            <x v="38"/>
            <x v="73"/>
            <x v="83"/>
            <x v="96"/>
            <x v="103"/>
            <x v="113"/>
            <x v="119"/>
            <x v="127"/>
          </reference>
        </references>
      </pivotArea>
    </format>
    <format dxfId="661">
      <pivotArea outline="0" fieldPosition="0">
        <references count="1">
          <reference field="4294967294" count="1">
            <x v="0"/>
          </reference>
        </references>
      </pivotArea>
    </format>
    <format dxfId="660">
      <pivotArea field="3" type="button" dataOnly="0" labelOnly="1" outline="0" axis="axisPage" fieldPosition="0"/>
    </format>
    <format dxfId="659">
      <pivotArea dataOnly="0" labelOnly="1" outline="0" fieldPosition="0">
        <references count="1">
          <reference field="3" count="0"/>
        </references>
      </pivotArea>
    </format>
    <format dxfId="658">
      <pivotArea field="4" type="button" dataOnly="0" labelOnly="1" outline="0" axis="axisPage" fieldPosition="1"/>
    </format>
    <format dxfId="657">
      <pivotArea dataOnly="0" labelOnly="1" outline="0" fieldPosition="0">
        <references count="1">
          <reference field="4" count="0"/>
        </references>
      </pivotArea>
    </format>
    <format dxfId="656">
      <pivotArea field="19" type="button" dataOnly="0" labelOnly="1" outline="0" axis="axisPage" fieldPosition="2"/>
    </format>
    <format dxfId="655">
      <pivotArea dataOnly="0" labelOnly="1" outline="0" fieldPosition="0">
        <references count="1">
          <reference field="19" count="0"/>
        </references>
      </pivotArea>
    </format>
    <format dxfId="654">
      <pivotArea field="3" type="button" dataOnly="0" labelOnly="1" outline="0" axis="axisPage" fieldPosition="0"/>
    </format>
    <format dxfId="653">
      <pivotArea dataOnly="0" labelOnly="1" outline="0" fieldPosition="0">
        <references count="1">
          <reference field="3" count="0"/>
        </references>
      </pivotArea>
    </format>
    <format dxfId="652">
      <pivotArea field="4" type="button" dataOnly="0" labelOnly="1" outline="0" axis="axisPage" fieldPosition="1"/>
    </format>
    <format dxfId="651">
      <pivotArea dataOnly="0" labelOnly="1" outline="0" fieldPosition="0">
        <references count="1">
          <reference field="4" count="0"/>
        </references>
      </pivotArea>
    </format>
    <format dxfId="650">
      <pivotArea field="19" type="button" dataOnly="0" labelOnly="1" outline="0" axis="axisPage" fieldPosition="2"/>
    </format>
    <format dxfId="649">
      <pivotArea dataOnly="0" labelOnly="1" outline="0" fieldPosition="0">
        <references count="1">
          <reference field="19" count="0"/>
        </references>
      </pivotArea>
    </format>
    <format dxfId="648">
      <pivotArea type="all" dataOnly="0" outline="0" fieldPosition="0"/>
    </format>
    <format dxfId="6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6">
  <location ref="E7:F22" firstHeaderRow="1" firstDataRow="1" firstDataCol="1" rowPageCount="1" colPageCount="1"/>
  <pivotFields count="23">
    <pivotField showAll="0" defaultSubtotal="0"/>
    <pivotField axis="axisRow" showAll="0" sortType="ascending">
      <items count="17">
        <item h="1" x="1"/>
        <item x="9"/>
        <item x="7"/>
        <item x="13"/>
        <item x="14"/>
        <item x="4"/>
        <item x="10"/>
        <item x="2"/>
        <item x="11"/>
        <item x="6"/>
        <item x="15"/>
        <item x="8"/>
        <item x="0"/>
        <item x="5"/>
        <item x="12"/>
        <item h="1" x="3"/>
        <item t="default"/>
      </items>
    </pivotField>
    <pivotField showAll="0" defaultSubtotal="0"/>
    <pivotField axis="axisPage" multipleItemSelectionAllowed="1" showAll="0">
      <items count="3">
        <item x="0"/>
        <item x="1"/>
        <item t="default"/>
      </items>
    </pivotField>
    <pivotField showAll="0" sortType="ascending">
      <items count="18">
        <item x="1"/>
        <item h="1" x="4"/>
        <item h="1" x="0"/>
        <item h="1" x="13"/>
        <item h="1" x="8"/>
        <item x="3"/>
        <item x="7"/>
        <item x="9"/>
        <item x="15"/>
        <item x="6"/>
        <item h="1" x="11"/>
        <item x="5"/>
        <item x="12"/>
        <item x="14"/>
        <item h="1" x="10"/>
        <item x="16"/>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Items count="1">
    <i/>
  </colItems>
  <pageFields count="1">
    <pageField fld="3" hier="-1"/>
  </pageFields>
  <dataFields count="1">
    <dataField name="Sum of HH Covered" fld="15" baseField="0" baseItem="0"/>
  </dataFields>
  <formats count="8">
    <format dxfId="672">
      <pivotArea field="4" type="button" dataOnly="0" labelOnly="1" outline="0"/>
    </format>
    <format dxfId="671">
      <pivotArea field="4" type="button" dataOnly="0" labelOnly="1" outline="0"/>
    </format>
    <format dxfId="670">
      <pivotArea outline="0" collapsedLevelsAreSubtotals="1" fieldPosition="0"/>
    </format>
    <format dxfId="669">
      <pivotArea type="all" dataOnly="0" outline="0" fieldPosition="0"/>
    </format>
    <format dxfId="668">
      <pivotArea field="1" type="button" dataOnly="0" labelOnly="1" outline="0" axis="axisRow" fieldPosition="0"/>
    </format>
    <format dxfId="667">
      <pivotArea dataOnly="0" labelOnly="1" outline="0" axis="axisValues" fieldPosition="0"/>
    </format>
    <format dxfId="666">
      <pivotArea collapsedLevelsAreSubtotals="1" fieldPosition="0">
        <references count="1">
          <reference field="1" count="0"/>
        </references>
      </pivotArea>
    </format>
    <format dxfId="665">
      <pivotArea dataOnly="0" labelOnly="1" fieldPosition="0">
        <references count="1">
          <reference field="1" count="0"/>
        </references>
      </pivotArea>
    </format>
  </formats>
  <chartFormats count="2">
    <chartFormat chart="4" format="47" series="1">
      <pivotArea type="data" outline="0" fieldPosition="0">
        <references count="1">
          <reference field="4294967294" count="1" selected="0">
            <x v="0"/>
          </reference>
        </references>
      </pivotArea>
    </chartFormat>
    <chartFormat chart="5"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itemPrintTitles="1" createdVersion="4" indent="0" outline="1" outlineData="1" multipleFieldFilters="0" chartFormat="7">
  <location ref="A7:C22" firstHeaderRow="0" firstDataRow="1" firstDataCol="1" rowPageCount="1" colPageCount="1"/>
  <pivotFields count="23">
    <pivotField showAll="0" defaultSubtotal="0"/>
    <pivotField axis="axisRow" showAll="0" sortType="ascending">
      <items count="17">
        <item h="1" x="1"/>
        <item x="9"/>
        <item x="7"/>
        <item x="13"/>
        <item x="14"/>
        <item x="4"/>
        <item x="10"/>
        <item x="2"/>
        <item x="11"/>
        <item x="6"/>
        <item x="15"/>
        <item x="8"/>
        <item x="0"/>
        <item x="5"/>
        <item x="12"/>
        <item h="1" x="3"/>
        <item t="default"/>
      </items>
    </pivotField>
    <pivotField showAll="0" defaultSubtotal="0"/>
    <pivotField axis="axisPage" multipleItemSelectionAllowed="1" showAll="0">
      <items count="3">
        <item x="0"/>
        <item x="1"/>
        <item t="default"/>
      </items>
    </pivotField>
    <pivotField showAll="0" sortType="ascending">
      <items count="18">
        <item x="1"/>
        <item x="4"/>
        <item x="0"/>
        <item x="13"/>
        <item x="8"/>
        <item x="3"/>
        <item x="7"/>
        <item x="9"/>
        <item x="15"/>
        <item x="6"/>
        <item x="11"/>
        <item x="5"/>
        <item x="12"/>
        <item x="14"/>
        <item x="10"/>
        <item x="16"/>
        <item x="2"/>
        <item t="default"/>
      </items>
    </pivotField>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5">
    <i>
      <x v="1"/>
    </i>
    <i>
      <x v="2"/>
    </i>
    <i>
      <x v="3"/>
    </i>
    <i>
      <x v="4"/>
    </i>
    <i>
      <x v="5"/>
    </i>
    <i>
      <x v="6"/>
    </i>
    <i>
      <x v="7"/>
    </i>
    <i>
      <x v="8"/>
    </i>
    <i>
      <x v="9"/>
    </i>
    <i>
      <x v="10"/>
    </i>
    <i>
      <x v="11"/>
    </i>
    <i>
      <x v="12"/>
    </i>
    <i>
      <x v="13"/>
    </i>
    <i>
      <x v="14"/>
    </i>
    <i t="grand">
      <x/>
    </i>
  </rowItems>
  <colFields count="1">
    <field x="-2"/>
  </colFields>
  <colItems count="2">
    <i>
      <x/>
    </i>
    <i i="1">
      <x v="1"/>
    </i>
  </colItems>
  <pageFields count="1">
    <pageField fld="3" hier="-1"/>
  </pageFields>
  <dataFields count="2">
    <dataField name="Sum of # of Temporary Shelter Units Built" fld="10" baseField="1" baseItem="1"/>
    <dataField name="Sum of # of Temporary Shelter Under  Construction" fld="11" baseField="1" baseItem="1"/>
  </dataFields>
  <formats count="13">
    <format dxfId="685">
      <pivotArea field="4" type="button" dataOnly="0" labelOnly="1" outline="0"/>
    </format>
    <format dxfId="684">
      <pivotArea field="4" type="button" dataOnly="0" labelOnly="1" outline="0"/>
    </format>
    <format dxfId="683">
      <pivotArea outline="0" collapsedLevelsAreSubtotals="1" fieldPosition="0"/>
    </format>
    <format dxfId="682">
      <pivotArea field="3" type="button" dataOnly="0" labelOnly="1" outline="0" axis="axisPage" fieldPosition="0"/>
    </format>
    <format dxfId="681">
      <pivotArea dataOnly="0" labelOnly="1" outline="0" fieldPosition="0">
        <references count="1">
          <reference field="3" count="0"/>
        </references>
      </pivotArea>
    </format>
    <format dxfId="680">
      <pivotArea field="3" type="button" dataOnly="0" labelOnly="1" outline="0" axis="axisPage" fieldPosition="0"/>
    </format>
    <format dxfId="679">
      <pivotArea dataOnly="0" labelOnly="1" outline="0" fieldPosition="0">
        <references count="1">
          <reference field="3" count="0"/>
        </references>
      </pivotArea>
    </format>
    <format dxfId="678">
      <pivotArea type="all" dataOnly="0" outline="0" fieldPosition="0"/>
    </format>
    <format dxfId="677">
      <pivotArea field="1" type="button" dataOnly="0" labelOnly="1" outline="0" axis="axisRow" fieldPosition="0"/>
    </format>
    <format dxfId="676">
      <pivotArea collapsedLevelsAreSubtotals="1" fieldPosition="0">
        <references count="1">
          <reference field="1" count="0"/>
        </references>
      </pivotArea>
    </format>
    <format dxfId="675">
      <pivotArea dataOnly="0" labelOnly="1" fieldPosition="0">
        <references count="1">
          <reference field="1" count="0"/>
        </references>
      </pivotArea>
    </format>
    <format dxfId="674">
      <pivotArea grandRow="1" outline="0" collapsedLevelsAreSubtotals="1" fieldPosition="0"/>
    </format>
    <format dxfId="67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4" cacheId="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H4:M182"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axis="axisRow" showAll="0" sortType="descending">
      <items count="23">
        <item x="4"/>
        <item x="3"/>
        <item x="12"/>
        <item x="20"/>
        <item x="13"/>
        <item x="8"/>
        <item x="15"/>
        <item x="17"/>
        <item x="6"/>
        <item x="18"/>
        <item x="10"/>
        <item x="11"/>
        <item x="5"/>
        <item x="14"/>
        <item x="0"/>
        <item x="1"/>
        <item x="19"/>
        <item x="9"/>
        <item x="7"/>
        <item x="16"/>
        <item x="2"/>
        <item x="2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axis="axisRow" showAll="0" sortType="descending">
      <items count="250">
        <item x="146"/>
        <item x="157"/>
        <item x="143"/>
        <item x="52"/>
        <item x="151"/>
        <item x="167"/>
        <item x="148"/>
        <item x="171"/>
        <item x="145"/>
        <item x="91"/>
        <item x="187"/>
        <item x="188"/>
        <item x="186"/>
        <item x="144"/>
        <item x="165"/>
        <item x="147"/>
        <item x="112"/>
        <item x="111"/>
        <item x="124"/>
        <item x="198"/>
        <item x="108"/>
        <item x="87"/>
        <item x="44"/>
        <item x="137"/>
        <item x="149"/>
        <item x="11"/>
        <item x="9"/>
        <item x="10"/>
        <item x="121"/>
        <item x="158"/>
        <item x="164"/>
        <item x="223"/>
        <item x="227"/>
        <item x="48"/>
        <item x="28"/>
        <item x="113"/>
        <item x="134"/>
        <item x="168"/>
        <item x="166"/>
        <item x="140"/>
        <item x="204"/>
        <item x="217"/>
        <item x="201"/>
        <item x="45"/>
        <item x="120"/>
        <item x="54"/>
        <item x="180"/>
        <item x="189"/>
        <item x="199"/>
        <item x="17"/>
        <item x="18"/>
        <item x="119"/>
        <item x="50"/>
        <item x="174"/>
        <item x="208"/>
        <item x="210"/>
        <item x="209"/>
        <item x="211"/>
        <item x="12"/>
        <item x="79"/>
        <item x="76"/>
        <item x="176"/>
        <item x="135"/>
        <item x="47"/>
        <item x="123"/>
        <item x="133"/>
        <item x="132"/>
        <item x="14"/>
        <item x="13"/>
        <item x="172"/>
        <item x="159"/>
        <item x="141"/>
        <item x="51"/>
        <item x="73"/>
        <item x="71"/>
        <item x="72"/>
        <item x="129"/>
        <item x="106"/>
        <item x="193"/>
        <item x="27"/>
        <item x="117"/>
        <item x="66"/>
        <item x="31"/>
        <item x="29"/>
        <item x="42"/>
        <item x="41"/>
        <item x="190"/>
        <item x="195"/>
        <item x="15"/>
        <item x="64"/>
        <item x="7"/>
        <item x="184"/>
        <item x="185"/>
        <item x="65"/>
        <item x="173"/>
        <item x="127"/>
        <item x="202"/>
        <item x="126"/>
        <item x="200"/>
        <item x="128"/>
        <item x="116"/>
        <item x="60"/>
        <item x="203"/>
        <item x="221"/>
        <item x="78"/>
        <item x="68"/>
        <item x="93"/>
        <item x="92"/>
        <item x="95"/>
        <item x="97"/>
        <item x="98"/>
        <item x="94"/>
        <item x="99"/>
        <item x="96"/>
        <item x="20"/>
        <item x="21"/>
        <item x="105"/>
        <item x="89"/>
        <item x="86"/>
        <item x="85"/>
        <item x="90"/>
        <item x="88"/>
        <item x="153"/>
        <item x="213"/>
        <item x="58"/>
        <item x="59"/>
        <item x="206"/>
        <item x="154"/>
        <item x="240"/>
        <item x="177"/>
        <item x="155"/>
        <item x="236"/>
        <item x="214"/>
        <item x="152"/>
        <item x="228"/>
        <item x="235"/>
        <item x="53"/>
        <item x="16"/>
        <item x="63"/>
        <item x="130"/>
        <item x="142"/>
        <item x="19"/>
        <item x="231"/>
        <item x="33"/>
        <item x="218"/>
        <item x="32"/>
        <item x="219"/>
        <item x="205"/>
        <item x="156"/>
        <item x="178"/>
        <item x="181"/>
        <item x="131"/>
        <item x="169"/>
        <item x="207"/>
        <item x="222"/>
        <item x="232"/>
        <item x="24"/>
        <item x="56"/>
        <item x="102"/>
        <item x="82"/>
        <item x="220"/>
        <item x="80"/>
        <item x="192"/>
        <item x="35"/>
        <item x="136"/>
        <item x="83"/>
        <item x="84"/>
        <item x="125"/>
        <item x="61"/>
        <item x="1"/>
        <item x="74"/>
        <item x="139"/>
        <item x="122"/>
        <item x="182"/>
        <item x="101"/>
        <item x="170"/>
        <item x="67"/>
        <item x="138"/>
        <item x="34"/>
        <item x="25"/>
        <item x="30"/>
        <item x="26"/>
        <item x="160"/>
        <item x="49"/>
        <item x="107"/>
        <item x="161"/>
        <item x="103"/>
        <item x="197"/>
        <item x="75"/>
        <item x="5"/>
        <item x="6"/>
        <item x="43"/>
        <item x="69"/>
        <item x="70"/>
        <item x="8"/>
        <item x="191"/>
        <item x="81"/>
        <item x="194"/>
        <item x="179"/>
        <item x="57"/>
        <item x="109"/>
        <item x="62"/>
        <item x="0"/>
        <item x="3"/>
        <item x="2"/>
        <item x="4"/>
        <item x="39"/>
        <item x="196"/>
        <item x="100"/>
        <item x="183"/>
        <item x="77"/>
        <item x="40"/>
        <item x="38"/>
        <item x="163"/>
        <item x="162"/>
        <item x="114"/>
        <item x="46"/>
        <item x="150"/>
        <item x="22"/>
        <item x="55"/>
        <item x="104"/>
        <item x="175"/>
        <item x="216"/>
        <item x="212"/>
        <item x="215"/>
        <item x="37"/>
        <item x="36"/>
        <item x="115"/>
        <item x="118"/>
        <item x="23"/>
        <item x="110"/>
        <item x="224"/>
        <item x="237"/>
        <item x="225"/>
        <item x="226"/>
        <item x="229"/>
        <item x="230"/>
        <item x="233"/>
        <item x="234"/>
        <item x="238"/>
        <item x="239"/>
        <item x="241"/>
        <item x="244"/>
        <item x="245"/>
        <item x="246"/>
        <item x="242"/>
        <item x="243"/>
        <item x="247"/>
        <item x="248"/>
        <item t="default"/>
      </items>
      <autoSortScope>
        <pivotArea dataOnly="0" outline="0" fieldPosition="0">
          <references count="1">
            <reference field="4294967294" count="1" selected="0">
              <x v="1"/>
            </reference>
          </references>
        </pivotArea>
      </autoSortScope>
    </pivotField>
    <pivotField showAll="0"/>
    <pivotField showAll="0"/>
    <pivotField showAll="0" defaultSubtotal="0"/>
    <pivotField showAll="0"/>
    <pivotField dataField="1" showAll="0"/>
    <pivotField showAll="0"/>
    <pivotField showAll="0"/>
    <pivotField showAll="0"/>
    <pivotField showAll="0" defaultSubtotal="0"/>
    <pivotField axis="axisPage" multipleItemSelectionAllowed="1" showAll="0">
      <items count="6">
        <item h="1" x="1"/>
        <item x="0"/>
        <item h="1" x="2"/>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ataField="1" dragToRow="0" dragToCol="0" dragToPage="0" showAll="0" defaultSubtotal="0"/>
    <pivotField axis="axisRow" showAll="0" defaultSubtotal="0">
      <items count="13">
        <item x="3"/>
        <item x="8"/>
        <item x="0"/>
        <item x="10"/>
        <item x="5"/>
        <item x="11"/>
        <item x="4"/>
        <item x="1"/>
        <item x="6"/>
        <item x="9"/>
        <item x="7"/>
        <item x="2"/>
        <item x="12"/>
      </items>
    </pivotField>
    <pivotField dataField="1" dragToRow="0" dragToCol="0" dragToPage="0" showAll="0" defaultSubtotal="0"/>
    <pivotField dragToRow="0" dragToCol="0" dragToPage="0" showAll="0" defaultSubtotal="0"/>
    <pivotField dragToRow="0" dragToCol="0" dragToPage="0" showAll="0" defaultSubtotal="0"/>
  </pivotFields>
  <rowFields count="3">
    <field x="38"/>
    <field x="5"/>
    <field x="11"/>
  </rowFields>
  <rowItems count="178">
    <i>
      <x/>
    </i>
    <i r="1">
      <x/>
    </i>
    <i r="2">
      <x v="183"/>
    </i>
    <i r="2">
      <x v="3"/>
    </i>
    <i r="2">
      <x v="175"/>
    </i>
    <i r="2">
      <x v="72"/>
    </i>
    <i r="2">
      <x v="157"/>
    </i>
    <i r="2">
      <x v="45"/>
    </i>
    <i r="2">
      <x v="7"/>
    </i>
    <i r="2">
      <x v="199"/>
    </i>
    <i r="2">
      <x v="219"/>
    </i>
    <i r="2">
      <x v="136"/>
    </i>
    <i>
      <x v="1"/>
    </i>
    <i r="1">
      <x v="1"/>
    </i>
    <i r="2">
      <x v="43"/>
    </i>
    <i r="2">
      <x v="69"/>
    </i>
    <i r="2">
      <x v="173"/>
    </i>
    <i r="2">
      <x v="187"/>
    </i>
    <i r="2">
      <x v="22"/>
    </i>
    <i>
      <x v="2"/>
    </i>
    <i r="1">
      <x v="2"/>
    </i>
    <i r="2">
      <x v="42"/>
    </i>
    <i r="2">
      <x v="2"/>
    </i>
    <i r="2">
      <x v="1"/>
    </i>
    <i r="2">
      <x v="214"/>
    </i>
    <i r="2">
      <x v="13"/>
    </i>
    <i r="2">
      <x v="36"/>
    </i>
    <i r="2">
      <x v="4"/>
    </i>
    <i r="2">
      <x v="5"/>
    </i>
    <i r="2">
      <x v="185"/>
    </i>
    <i r="2">
      <x v="220"/>
    </i>
    <i r="2">
      <x v="152"/>
    </i>
    <i r="2">
      <x v="120"/>
    </i>
    <i r="2">
      <x v="37"/>
    </i>
    <i r="2">
      <x v="158"/>
    </i>
    <i r="2">
      <x v="182"/>
    </i>
    <i r="2">
      <x v="24"/>
    </i>
    <i r="2">
      <x v="70"/>
    </i>
    <i r="2">
      <x v="20"/>
    </i>
    <i r="2">
      <x v="71"/>
    </i>
    <i r="2">
      <x v="55"/>
    </i>
    <i>
      <x v="3"/>
    </i>
    <i r="1">
      <x v="3"/>
    </i>
    <i r="2">
      <x v="247"/>
    </i>
    <i r="2">
      <x v="232"/>
    </i>
    <i>
      <x v="5"/>
    </i>
    <i r="1">
      <x v="19"/>
    </i>
    <i r="2">
      <x v="236"/>
    </i>
    <i r="2">
      <x v="198"/>
    </i>
    <i r="2">
      <x v="237"/>
    </i>
    <i r="1">
      <x v="18"/>
    </i>
    <i r="2">
      <x v="192"/>
    </i>
    <i r="2">
      <x v="193"/>
    </i>
    <i r="1">
      <x v="9"/>
    </i>
    <i r="2">
      <x v="246"/>
    </i>
    <i r="2">
      <x v="102"/>
    </i>
    <i r="2">
      <x v="103"/>
    </i>
    <i r="1">
      <x v="10"/>
    </i>
    <i r="2">
      <x v="235"/>
    </i>
    <i r="2">
      <x v="104"/>
    </i>
    <i r="2">
      <x v="234"/>
    </i>
    <i r="2">
      <x v="59"/>
    </i>
    <i r="2">
      <x v="161"/>
    </i>
    <i r="1">
      <x v="13"/>
    </i>
    <i r="2">
      <x v="134"/>
    </i>
    <i r="2">
      <x v="135"/>
    </i>
    <i r="1">
      <x v="17"/>
    </i>
    <i r="2">
      <x v="231"/>
    </i>
    <i r="1">
      <x v="11"/>
    </i>
    <i r="2">
      <x v="196"/>
    </i>
    <i r="2">
      <x v="164"/>
    </i>
    <i r="1">
      <x v="16"/>
    </i>
    <i r="2">
      <x v="245"/>
    </i>
    <i r="2">
      <x v="153"/>
    </i>
    <i r="1">
      <x v="5"/>
    </i>
    <i r="2">
      <x v="60"/>
    </i>
    <i>
      <x v="6"/>
    </i>
    <i r="1">
      <x v="6"/>
    </i>
    <i r="2">
      <x v="244"/>
    </i>
    <i r="2">
      <x v="241"/>
    </i>
    <i r="2">
      <x v="239"/>
    </i>
    <i r="2">
      <x v="222"/>
    </i>
    <i r="2">
      <x v="130"/>
    </i>
    <i r="2">
      <x v="148"/>
    </i>
    <i r="2">
      <x v="248"/>
    </i>
    <i r="2">
      <x v="131"/>
    </i>
    <i r="2">
      <x v="123"/>
    </i>
    <i r="2">
      <x v="57"/>
    </i>
    <i r="2">
      <x v="56"/>
    </i>
    <i r="2">
      <x v="54"/>
    </i>
    <i>
      <x v="7"/>
    </i>
    <i r="1">
      <x v="8"/>
    </i>
    <i r="2">
      <x v="97"/>
    </i>
    <i r="2">
      <x v="98"/>
    </i>
    <i r="2">
      <x v="96"/>
    </i>
    <i r="2">
      <x v="19"/>
    </i>
    <i r="2">
      <x v="105"/>
    </i>
    <i r="2">
      <x v="86"/>
    </i>
    <i r="2">
      <x v="87"/>
    </i>
    <i r="2">
      <x v="18"/>
    </i>
    <i r="2">
      <x v="64"/>
    </i>
    <i r="2">
      <x v="95"/>
    </i>
    <i>
      <x v="8"/>
    </i>
    <i r="1">
      <x v="12"/>
    </i>
    <i r="2">
      <x v="75"/>
    </i>
    <i r="2">
      <x v="89"/>
    </i>
    <i r="2">
      <x v="74"/>
    </i>
    <i r="2">
      <x v="170"/>
    </i>
    <i r="2">
      <x v="167"/>
    </i>
    <i r="2">
      <x v="73"/>
    </i>
    <i r="2">
      <x v="172"/>
    </i>
    <i r="2">
      <x v="44"/>
    </i>
    <i r="2">
      <x v="188"/>
    </i>
    <i r="2">
      <x v="28"/>
    </i>
    <i r="2">
      <x v="124"/>
    </i>
    <i>
      <x v="9"/>
    </i>
    <i r="1">
      <x v="14"/>
    </i>
    <i r="2">
      <x v="67"/>
    </i>
    <i r="2">
      <x v="27"/>
    </i>
    <i r="2">
      <x v="88"/>
    </i>
    <i r="2">
      <x v="58"/>
    </i>
    <i r="2">
      <x v="194"/>
    </i>
    <i r="2">
      <x v="49"/>
    </i>
    <i r="2">
      <x v="189"/>
    </i>
    <i r="2">
      <x v="190"/>
    </i>
    <i r="2">
      <x v="50"/>
    </i>
    <i r="2">
      <x v="90"/>
    </i>
    <i r="2">
      <x v="68"/>
    </i>
    <i r="2">
      <x v="204"/>
    </i>
    <i r="2">
      <x v="205"/>
    </i>
    <i r="2">
      <x v="169"/>
    </i>
    <i r="2">
      <x v="202"/>
    </i>
    <i r="2">
      <x v="25"/>
    </i>
    <i r="2">
      <x v="156"/>
    </i>
    <i r="2">
      <x v="171"/>
    </i>
    <i r="2">
      <x v="229"/>
    </i>
    <i r="2">
      <x v="114"/>
    </i>
    <i r="2">
      <x v="218"/>
    </i>
    <i r="2">
      <x v="26"/>
    </i>
    <i r="2">
      <x v="203"/>
    </i>
    <i r="2">
      <x v="115"/>
    </i>
    <i>
      <x v="10"/>
    </i>
    <i r="1">
      <x v="15"/>
    </i>
    <i r="2">
      <x v="242"/>
    </i>
    <i r="2">
      <x v="243"/>
    </i>
    <i r="2">
      <x v="155"/>
    </i>
    <i r="2">
      <x v="143"/>
    </i>
    <i r="2">
      <x v="141"/>
    </i>
    <i r="2">
      <x v="140"/>
    </i>
    <i r="2">
      <x v="142"/>
    </i>
    <i>
      <x v="11"/>
    </i>
    <i r="1">
      <x v="20"/>
    </i>
    <i r="2">
      <x v="215"/>
    </i>
    <i r="2">
      <x v="51"/>
    </i>
    <i r="2">
      <x v="228"/>
    </i>
    <i r="2">
      <x v="35"/>
    </i>
    <i r="2">
      <x v="82"/>
    </i>
    <i r="2">
      <x v="177"/>
    </i>
    <i r="2">
      <x v="179"/>
    </i>
    <i r="2">
      <x v="211"/>
    </i>
    <i r="2">
      <x v="83"/>
    </i>
    <i r="2">
      <x v="85"/>
    </i>
    <i r="2">
      <x v="206"/>
    </i>
    <i r="2">
      <x v="181"/>
    </i>
    <i r="2">
      <x v="80"/>
    </i>
    <i r="2">
      <x v="34"/>
    </i>
    <i r="2">
      <x v="191"/>
    </i>
    <i r="2">
      <x v="178"/>
    </i>
    <i r="2">
      <x v="84"/>
    </i>
    <i r="2">
      <x v="79"/>
    </i>
    <i r="2">
      <x v="230"/>
    </i>
    <i r="2">
      <x v="180"/>
    </i>
    <i r="2">
      <x v="17"/>
    </i>
    <i r="2">
      <x v="163"/>
    </i>
    <i>
      <x v="12"/>
    </i>
    <i r="1">
      <x v="21"/>
    </i>
    <i r="2">
      <x v="240"/>
    </i>
    <i t="grand">
      <x/>
    </i>
  </rowItems>
  <colFields count="1">
    <field x="-2"/>
  </colFields>
  <colItems count="5">
    <i>
      <x/>
    </i>
    <i i="1">
      <x v="1"/>
    </i>
    <i i="2">
      <x v="2"/>
    </i>
    <i i="3">
      <x v="3"/>
    </i>
    <i i="4">
      <x v="4"/>
    </i>
  </colItems>
  <pageFields count="2">
    <pageField fld="0" hier="-1"/>
    <pageField fld="21" hier="-1"/>
  </pageFields>
  <dataFields count="5">
    <dataField name="Sum of HH" fld="16" baseField="5" baseItem="20" numFmtId="165"/>
    <dataField name="Sum of Shelter Gap" fld="31" baseField="0" baseItem="0" numFmtId="165"/>
    <dataField name="Sum of Shelter Possible" fld="33" baseField="0" baseItem="0" numFmtId="165"/>
    <dataField name="Gap " fld="39" baseField="5" baseItem="0" numFmtId="170"/>
    <dataField name="Possible Units" fld="37" baseField="5" baseItem="0" numFmtId="170"/>
  </dataFields>
  <formats count="109">
    <format dxfId="333">
      <pivotArea outline="0" collapsedLevelsAreSubtotals="1" fieldPosition="0">
        <references count="1">
          <reference field="4294967294" count="1" selected="0">
            <x v="3"/>
          </reference>
        </references>
      </pivotArea>
    </format>
    <format dxfId="332">
      <pivotArea outline="0" collapsedLevelsAreSubtotals="1" fieldPosition="0">
        <references count="1">
          <reference field="4294967294" count="1" selected="0">
            <x v="0"/>
          </reference>
        </references>
      </pivotArea>
    </format>
    <format dxfId="331">
      <pivotArea outline="0" fieldPosition="0">
        <references count="1">
          <reference field="4294967294" count="1">
            <x v="4"/>
          </reference>
        </references>
      </pivotArea>
    </format>
    <format dxfId="330">
      <pivotArea outline="0" fieldPosition="0">
        <references count="1">
          <reference field="4294967294" count="1">
            <x v="3"/>
          </reference>
        </references>
      </pivotArea>
    </format>
    <format dxfId="329">
      <pivotArea outline="0" collapsedLevelsAreSubtotals="1" fieldPosition="0">
        <references count="1">
          <reference field="4294967294" count="2" selected="0">
            <x v="1"/>
            <x v="2"/>
          </reference>
        </references>
      </pivotArea>
    </format>
    <format dxfId="328">
      <pivotArea collapsedLevelsAreSubtotals="1" fieldPosition="0">
        <references count="2">
          <reference field="4294967294" count="1" selected="0">
            <x v="1"/>
          </reference>
          <reference field="11" count="16">
            <x v="3"/>
            <x v="33"/>
            <x v="43"/>
            <x v="51"/>
            <x v="64"/>
            <x v="89"/>
            <x v="96"/>
            <x v="97"/>
            <x v="98"/>
            <x v="124"/>
            <x v="155"/>
            <x v="172"/>
            <x v="177"/>
            <x v="183"/>
            <x v="214"/>
            <x v="215"/>
          </reference>
        </references>
      </pivotArea>
    </format>
    <format dxfId="327">
      <pivotArea dataOnly="0" labelOnly="1" fieldPosition="0">
        <references count="1">
          <reference field="11" count="16">
            <x v="3"/>
            <x v="33"/>
            <x v="43"/>
            <x v="51"/>
            <x v="64"/>
            <x v="89"/>
            <x v="96"/>
            <x v="97"/>
            <x v="98"/>
            <x v="124"/>
            <x v="155"/>
            <x v="172"/>
            <x v="177"/>
            <x v="183"/>
            <x v="214"/>
            <x v="215"/>
          </reference>
        </references>
      </pivotArea>
    </format>
    <format dxfId="326">
      <pivotArea type="all" dataOnly="0" outline="0" fieldPosition="0"/>
    </format>
    <format dxfId="325">
      <pivotArea collapsedLevelsAreSubtotals="1" fieldPosition="0">
        <references count="1">
          <reference field="38" count="1">
            <x v="0"/>
          </reference>
        </references>
      </pivotArea>
    </format>
    <format dxfId="324">
      <pivotArea collapsedLevelsAreSubtotals="1" fieldPosition="0">
        <references count="2">
          <reference field="5" count="1">
            <x v="0"/>
          </reference>
          <reference field="38" count="1" selected="0">
            <x v="0"/>
          </reference>
        </references>
      </pivotArea>
    </format>
    <format dxfId="323">
      <pivotArea collapsedLevelsAreSubtotals="1" fieldPosition="0">
        <references count="3">
          <reference field="5" count="1" selected="0">
            <x v="0"/>
          </reference>
          <reference field="11" count="10">
            <x v="3"/>
            <x v="7"/>
            <x v="45"/>
            <x v="72"/>
            <x v="136"/>
            <x v="157"/>
            <x v="175"/>
            <x v="183"/>
            <x v="199"/>
            <x v="219"/>
          </reference>
          <reference field="38" count="1" selected="0">
            <x v="0"/>
          </reference>
        </references>
      </pivotArea>
    </format>
    <format dxfId="322">
      <pivotArea dataOnly="0" labelOnly="1" fieldPosition="0">
        <references count="1">
          <reference field="38" count="1">
            <x v="0"/>
          </reference>
        </references>
      </pivotArea>
    </format>
    <format dxfId="321">
      <pivotArea dataOnly="0" labelOnly="1" fieldPosition="0">
        <references count="2">
          <reference field="5" count="1">
            <x v="0"/>
          </reference>
          <reference field="38" count="1" selected="0">
            <x v="0"/>
          </reference>
        </references>
      </pivotArea>
    </format>
    <format dxfId="320">
      <pivotArea dataOnly="0" labelOnly="1" fieldPosition="0">
        <references count="3">
          <reference field="5" count="1" selected="0">
            <x v="0"/>
          </reference>
          <reference field="11" count="10">
            <x v="3"/>
            <x v="7"/>
            <x v="45"/>
            <x v="72"/>
            <x v="136"/>
            <x v="157"/>
            <x v="175"/>
            <x v="183"/>
            <x v="199"/>
            <x v="219"/>
          </reference>
          <reference field="38" count="1" selected="0">
            <x v="0"/>
          </reference>
        </references>
      </pivotArea>
    </format>
    <format dxfId="319">
      <pivotArea collapsedLevelsAreSubtotals="1" fieldPosition="0">
        <references count="1">
          <reference field="38" count="1">
            <x v="1"/>
          </reference>
        </references>
      </pivotArea>
    </format>
    <format dxfId="318">
      <pivotArea collapsedLevelsAreSubtotals="1" fieldPosition="0">
        <references count="2">
          <reference field="5" count="1">
            <x v="1"/>
          </reference>
          <reference field="38" count="1" selected="0">
            <x v="1"/>
          </reference>
        </references>
      </pivotArea>
    </format>
    <format dxfId="317">
      <pivotArea collapsedLevelsAreSubtotals="1" fieldPosition="0">
        <references count="3">
          <reference field="5" count="1" selected="0">
            <x v="1"/>
          </reference>
          <reference field="11" count="5">
            <x v="22"/>
            <x v="43"/>
            <x v="69"/>
            <x v="173"/>
            <x v="187"/>
          </reference>
          <reference field="38" count="1" selected="0">
            <x v="1"/>
          </reference>
        </references>
      </pivotArea>
    </format>
    <format dxfId="316">
      <pivotArea dataOnly="0" labelOnly="1" fieldPosition="0">
        <references count="1">
          <reference field="38" count="1">
            <x v="1"/>
          </reference>
        </references>
      </pivotArea>
    </format>
    <format dxfId="315">
      <pivotArea dataOnly="0" labelOnly="1" fieldPosition="0">
        <references count="2">
          <reference field="5" count="1">
            <x v="1"/>
          </reference>
          <reference field="38" count="1" selected="0">
            <x v="1"/>
          </reference>
        </references>
      </pivotArea>
    </format>
    <format dxfId="314">
      <pivotArea dataOnly="0" labelOnly="1" fieldPosition="0">
        <references count="3">
          <reference field="5" count="1" selected="0">
            <x v="1"/>
          </reference>
          <reference field="11" count="5">
            <x v="22"/>
            <x v="43"/>
            <x v="69"/>
            <x v="173"/>
            <x v="187"/>
          </reference>
          <reference field="38" count="1" selected="0">
            <x v="1"/>
          </reference>
        </references>
      </pivotArea>
    </format>
    <format dxfId="313">
      <pivotArea collapsedLevelsAreSubtotals="1" fieldPosition="0">
        <references count="1">
          <reference field="38" count="1">
            <x v="2"/>
          </reference>
        </references>
      </pivotArea>
    </format>
    <format dxfId="312">
      <pivotArea collapsedLevelsAreSubtotals="1" fieldPosition="0">
        <references count="2">
          <reference field="5" count="1">
            <x v="2"/>
          </reference>
          <reference field="38" count="1" selected="0">
            <x v="2"/>
          </reference>
        </references>
      </pivotArea>
    </format>
    <format dxfId="311">
      <pivotArea collapsedLevelsAreSubtotals="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310">
      <pivotArea dataOnly="0" labelOnly="1" fieldPosition="0">
        <references count="1">
          <reference field="38" count="1">
            <x v="2"/>
          </reference>
        </references>
      </pivotArea>
    </format>
    <format dxfId="309">
      <pivotArea dataOnly="0" labelOnly="1" fieldPosition="0">
        <references count="2">
          <reference field="5" count="1">
            <x v="2"/>
          </reference>
          <reference field="38" count="1" selected="0">
            <x v="2"/>
          </reference>
        </references>
      </pivotArea>
    </format>
    <format dxfId="308">
      <pivotArea dataOnly="0" labelOnly="1" fieldPosition="0">
        <references count="3">
          <reference field="5" count="1" selected="0">
            <x v="2"/>
          </reference>
          <reference field="11" count="21">
            <x v="1"/>
            <x v="2"/>
            <x v="4"/>
            <x v="5"/>
            <x v="13"/>
            <x v="14"/>
            <x v="20"/>
            <x v="24"/>
            <x v="36"/>
            <x v="37"/>
            <x v="42"/>
            <x v="55"/>
            <x v="70"/>
            <x v="71"/>
            <x v="120"/>
            <x v="152"/>
            <x v="158"/>
            <x v="182"/>
            <x v="185"/>
            <x v="214"/>
            <x v="220"/>
          </reference>
          <reference field="38" count="1" selected="0">
            <x v="2"/>
          </reference>
        </references>
      </pivotArea>
    </format>
    <format dxfId="307">
      <pivotArea collapsedLevelsAreSubtotals="1" fieldPosition="0">
        <references count="1">
          <reference field="38" count="1">
            <x v="3"/>
          </reference>
        </references>
      </pivotArea>
    </format>
    <format dxfId="306">
      <pivotArea collapsedLevelsAreSubtotals="1" fieldPosition="0">
        <references count="2">
          <reference field="5" count="1">
            <x v="3"/>
          </reference>
          <reference field="38" count="1" selected="0">
            <x v="3"/>
          </reference>
        </references>
      </pivotArea>
    </format>
    <format dxfId="305">
      <pivotArea collapsedLevelsAreSubtotals="1" fieldPosition="0">
        <references count="3">
          <reference field="5" count="1" selected="0">
            <x v="3"/>
          </reference>
          <reference field="11" count="1">
            <x v="232"/>
          </reference>
          <reference field="38" count="1" selected="0">
            <x v="3"/>
          </reference>
        </references>
      </pivotArea>
    </format>
    <format dxfId="304">
      <pivotArea dataOnly="0" labelOnly="1" fieldPosition="0">
        <references count="1">
          <reference field="38" count="1">
            <x v="3"/>
          </reference>
        </references>
      </pivotArea>
    </format>
    <format dxfId="303">
      <pivotArea dataOnly="0" labelOnly="1" fieldPosition="0">
        <references count="2">
          <reference field="5" count="1">
            <x v="3"/>
          </reference>
          <reference field="38" count="1" selected="0">
            <x v="3"/>
          </reference>
        </references>
      </pivotArea>
    </format>
    <format dxfId="302">
      <pivotArea dataOnly="0" labelOnly="1" fieldPosition="0">
        <references count="3">
          <reference field="5" count="1" selected="0">
            <x v="3"/>
          </reference>
          <reference field="11" count="1">
            <x v="232"/>
          </reference>
          <reference field="38" count="1" selected="0">
            <x v="3"/>
          </reference>
        </references>
      </pivotArea>
    </format>
    <format dxfId="301">
      <pivotArea collapsedLevelsAreSubtotals="1" fieldPosition="0">
        <references count="1">
          <reference field="38" count="1">
            <x v="5"/>
          </reference>
        </references>
      </pivotArea>
    </format>
    <format dxfId="300">
      <pivotArea collapsedLevelsAreSubtotals="1" fieldPosition="0">
        <references count="2">
          <reference field="5" count="1">
            <x v="13"/>
          </reference>
          <reference field="38" count="1" selected="0">
            <x v="5"/>
          </reference>
        </references>
      </pivotArea>
    </format>
    <format dxfId="299">
      <pivotArea collapsedLevelsAreSubtotals="1" fieldPosition="0">
        <references count="3">
          <reference field="5" count="1" selected="0">
            <x v="13"/>
          </reference>
          <reference field="11" count="4">
            <x v="126"/>
            <x v="134"/>
            <x v="135"/>
            <x v="146"/>
          </reference>
          <reference field="38" count="1" selected="0">
            <x v="5"/>
          </reference>
        </references>
      </pivotArea>
    </format>
    <format dxfId="298">
      <pivotArea collapsedLevelsAreSubtotals="1" fieldPosition="0">
        <references count="2">
          <reference field="5" count="1">
            <x v="18"/>
          </reference>
          <reference field="38" count="1" selected="0">
            <x v="5"/>
          </reference>
        </references>
      </pivotArea>
    </format>
    <format dxfId="297">
      <pivotArea collapsedLevelsAreSubtotals="1" fieldPosition="0">
        <references count="3">
          <reference field="5" count="1" selected="0">
            <x v="18"/>
          </reference>
          <reference field="11" count="2">
            <x v="192"/>
            <x v="193"/>
          </reference>
          <reference field="38" count="1" selected="0">
            <x v="5"/>
          </reference>
        </references>
      </pivotArea>
    </format>
    <format dxfId="296">
      <pivotArea collapsedLevelsAreSubtotals="1" fieldPosition="0">
        <references count="2">
          <reference field="5" count="1">
            <x v="9"/>
          </reference>
          <reference field="38" count="1" selected="0">
            <x v="5"/>
          </reference>
        </references>
      </pivotArea>
    </format>
    <format dxfId="295">
      <pivotArea collapsedLevelsAreSubtotals="1" fieldPosition="0">
        <references count="3">
          <reference field="5" count="1" selected="0">
            <x v="9"/>
          </reference>
          <reference field="11" count="2">
            <x v="102"/>
            <x v="103"/>
          </reference>
          <reference field="38" count="1" selected="0">
            <x v="5"/>
          </reference>
        </references>
      </pivotArea>
    </format>
    <format dxfId="294">
      <pivotArea collapsedLevelsAreSubtotals="1" fieldPosition="0">
        <references count="2">
          <reference field="5" count="1">
            <x v="17"/>
          </reference>
          <reference field="38" count="1" selected="0">
            <x v="5"/>
          </reference>
        </references>
      </pivotArea>
    </format>
    <format dxfId="293">
      <pivotArea collapsedLevelsAreSubtotals="1" fieldPosition="0">
        <references count="3">
          <reference field="5" count="1" selected="0">
            <x v="17"/>
          </reference>
          <reference field="11" count="1">
            <x v="231"/>
          </reference>
          <reference field="38" count="1" selected="0">
            <x v="5"/>
          </reference>
        </references>
      </pivotArea>
    </format>
    <format dxfId="292">
      <pivotArea collapsedLevelsAreSubtotals="1" fieldPosition="0">
        <references count="2">
          <reference field="5" count="1">
            <x v="10"/>
          </reference>
          <reference field="38" count="1" selected="0">
            <x v="5"/>
          </reference>
        </references>
      </pivotArea>
    </format>
    <format dxfId="291">
      <pivotArea collapsedLevelsAreSubtotals="1" fieldPosition="0">
        <references count="3">
          <reference field="5" count="1" selected="0">
            <x v="10"/>
          </reference>
          <reference field="11" count="3">
            <x v="59"/>
            <x v="104"/>
            <x v="161"/>
          </reference>
          <reference field="38" count="1" selected="0">
            <x v="5"/>
          </reference>
        </references>
      </pivotArea>
    </format>
    <format dxfId="290">
      <pivotArea collapsedLevelsAreSubtotals="1" fieldPosition="0">
        <references count="2">
          <reference field="5" count="1">
            <x v="11"/>
          </reference>
          <reference field="38" count="1" selected="0">
            <x v="5"/>
          </reference>
        </references>
      </pivotArea>
    </format>
    <format dxfId="289">
      <pivotArea collapsedLevelsAreSubtotals="1" fieldPosition="0">
        <references count="3">
          <reference field="5" count="1" selected="0">
            <x v="11"/>
          </reference>
          <reference field="11" count="2">
            <x v="164"/>
            <x v="196"/>
          </reference>
          <reference field="38" count="1" selected="0">
            <x v="5"/>
          </reference>
        </references>
      </pivotArea>
    </format>
    <format dxfId="288">
      <pivotArea collapsedLevelsAreSubtotals="1" fieldPosition="0">
        <references count="2">
          <reference field="5" count="1">
            <x v="16"/>
          </reference>
          <reference field="38" count="1" selected="0">
            <x v="5"/>
          </reference>
        </references>
      </pivotArea>
    </format>
    <format dxfId="287">
      <pivotArea collapsedLevelsAreSubtotals="1" fieldPosition="0">
        <references count="3">
          <reference field="5" count="1" selected="0">
            <x v="16"/>
          </reference>
          <reference field="11" count="1">
            <x v="153"/>
          </reference>
          <reference field="38" count="1" selected="0">
            <x v="5"/>
          </reference>
        </references>
      </pivotArea>
    </format>
    <format dxfId="286">
      <pivotArea collapsedLevelsAreSubtotals="1" fieldPosition="0">
        <references count="2">
          <reference field="5" count="1">
            <x v="5"/>
          </reference>
          <reference field="38" count="1" selected="0">
            <x v="5"/>
          </reference>
        </references>
      </pivotArea>
    </format>
    <format dxfId="285">
      <pivotArea collapsedLevelsAreSubtotals="1" fieldPosition="0">
        <references count="3">
          <reference field="5" count="1" selected="0">
            <x v="5"/>
          </reference>
          <reference field="11" count="1">
            <x v="60"/>
          </reference>
          <reference field="38" count="1" selected="0">
            <x v="5"/>
          </reference>
        </references>
      </pivotArea>
    </format>
    <format dxfId="284">
      <pivotArea collapsedLevelsAreSubtotals="1" fieldPosition="0">
        <references count="2">
          <reference field="5" count="1">
            <x v="19"/>
          </reference>
          <reference field="38" count="1" selected="0">
            <x v="5"/>
          </reference>
        </references>
      </pivotArea>
    </format>
    <format dxfId="283">
      <pivotArea collapsedLevelsAreSubtotals="1" fieldPosition="0">
        <references count="3">
          <reference field="5" count="1" selected="0">
            <x v="19"/>
          </reference>
          <reference field="11" count="1">
            <x v="198"/>
          </reference>
          <reference field="38" count="1" selected="0">
            <x v="5"/>
          </reference>
        </references>
      </pivotArea>
    </format>
    <format dxfId="282">
      <pivotArea dataOnly="0" labelOnly="1" fieldPosition="0">
        <references count="1">
          <reference field="38" count="1">
            <x v="5"/>
          </reference>
        </references>
      </pivotArea>
    </format>
    <format dxfId="281">
      <pivotArea dataOnly="0" labelOnly="1" fieldPosition="0">
        <references count="2">
          <reference field="5" count="9">
            <x v="5"/>
            <x v="9"/>
            <x v="10"/>
            <x v="11"/>
            <x v="13"/>
            <x v="16"/>
            <x v="17"/>
            <x v="18"/>
            <x v="19"/>
          </reference>
          <reference field="38" count="1" selected="0">
            <x v="5"/>
          </reference>
        </references>
      </pivotArea>
    </format>
    <format dxfId="280">
      <pivotArea dataOnly="0" labelOnly="1" fieldPosition="0">
        <references count="3">
          <reference field="5" count="1" selected="0">
            <x v="13"/>
          </reference>
          <reference field="11" count="17">
            <x v="59"/>
            <x v="60"/>
            <x v="102"/>
            <x v="103"/>
            <x v="104"/>
            <x v="126"/>
            <x v="134"/>
            <x v="135"/>
            <x v="146"/>
            <x v="153"/>
            <x v="161"/>
            <x v="164"/>
            <x v="192"/>
            <x v="193"/>
            <x v="196"/>
            <x v="198"/>
            <x v="231"/>
          </reference>
          <reference field="38" count="1" selected="0">
            <x v="5"/>
          </reference>
        </references>
      </pivotArea>
    </format>
    <format dxfId="279">
      <pivotArea collapsedLevelsAreSubtotals="1" fieldPosition="0">
        <references count="1">
          <reference field="38" count="1">
            <x v="6"/>
          </reference>
        </references>
      </pivotArea>
    </format>
    <format dxfId="278">
      <pivotArea collapsedLevelsAreSubtotals="1" fieldPosition="0">
        <references count="2">
          <reference field="5" count="1">
            <x v="6"/>
          </reference>
          <reference field="38" count="1" selected="0">
            <x v="6"/>
          </reference>
        </references>
      </pivotArea>
    </format>
    <format dxfId="277">
      <pivotArea collapsedLevelsAreSubtotals="1" fieldPosition="0">
        <references count="3">
          <reference field="5" count="1" selected="0">
            <x v="6"/>
          </reference>
          <reference field="11" count="8">
            <x v="54"/>
            <x v="56"/>
            <x v="57"/>
            <x v="123"/>
            <x v="130"/>
            <x v="131"/>
            <x v="148"/>
            <x v="222"/>
          </reference>
          <reference field="38" count="1" selected="0">
            <x v="6"/>
          </reference>
        </references>
      </pivotArea>
    </format>
    <format dxfId="276">
      <pivotArea dataOnly="0" labelOnly="1" fieldPosition="0">
        <references count="1">
          <reference field="38" count="1">
            <x v="6"/>
          </reference>
        </references>
      </pivotArea>
    </format>
    <format dxfId="275">
      <pivotArea dataOnly="0" labelOnly="1" fieldPosition="0">
        <references count="2">
          <reference field="5" count="1">
            <x v="6"/>
          </reference>
          <reference field="38" count="1" selected="0">
            <x v="6"/>
          </reference>
        </references>
      </pivotArea>
    </format>
    <format dxfId="274">
      <pivotArea dataOnly="0" labelOnly="1" fieldPosition="0">
        <references count="3">
          <reference field="5" count="1" selected="0">
            <x v="6"/>
          </reference>
          <reference field="11" count="8">
            <x v="54"/>
            <x v="56"/>
            <x v="57"/>
            <x v="123"/>
            <x v="130"/>
            <x v="131"/>
            <x v="148"/>
            <x v="222"/>
          </reference>
          <reference field="38" count="1" selected="0">
            <x v="6"/>
          </reference>
        </references>
      </pivotArea>
    </format>
    <format dxfId="273">
      <pivotArea collapsedLevelsAreSubtotals="1" fieldPosition="0">
        <references count="1">
          <reference field="38" count="1">
            <x v="7"/>
          </reference>
        </references>
      </pivotArea>
    </format>
    <format dxfId="272">
      <pivotArea collapsedLevelsAreSubtotals="1" fieldPosition="0">
        <references count="2">
          <reference field="5" count="1">
            <x v="8"/>
          </reference>
          <reference field="38" count="1" selected="0">
            <x v="7"/>
          </reference>
        </references>
      </pivotArea>
    </format>
    <format dxfId="271">
      <pivotArea collapsedLevelsAreSubtotals="1" fieldPosition="0">
        <references count="3">
          <reference field="5" count="1" selected="0">
            <x v="8"/>
          </reference>
          <reference field="11" count="11">
            <x v="18"/>
            <x v="19"/>
            <x v="64"/>
            <x v="76"/>
            <x v="86"/>
            <x v="87"/>
            <x v="95"/>
            <x v="96"/>
            <x v="97"/>
            <x v="98"/>
            <x v="105"/>
          </reference>
          <reference field="38" count="1" selected="0">
            <x v="7"/>
          </reference>
        </references>
      </pivotArea>
    </format>
    <format dxfId="270">
      <pivotArea dataOnly="0" labelOnly="1" fieldPosition="0">
        <references count="1">
          <reference field="38" count="1">
            <x v="7"/>
          </reference>
        </references>
      </pivotArea>
    </format>
    <format dxfId="269">
      <pivotArea dataOnly="0" labelOnly="1" fieldPosition="0">
        <references count="2">
          <reference field="5" count="1">
            <x v="8"/>
          </reference>
          <reference field="38" count="1" selected="0">
            <x v="7"/>
          </reference>
        </references>
      </pivotArea>
    </format>
    <format dxfId="268">
      <pivotArea dataOnly="0" labelOnly="1" fieldPosition="0">
        <references count="3">
          <reference field="5" count="1" selected="0">
            <x v="8"/>
          </reference>
          <reference field="11" count="11">
            <x v="18"/>
            <x v="19"/>
            <x v="64"/>
            <x v="76"/>
            <x v="86"/>
            <x v="87"/>
            <x v="95"/>
            <x v="96"/>
            <x v="97"/>
            <x v="98"/>
            <x v="105"/>
          </reference>
          <reference field="38" count="1" selected="0">
            <x v="7"/>
          </reference>
        </references>
      </pivotArea>
    </format>
    <format dxfId="267">
      <pivotArea collapsedLevelsAreSubtotals="1" fieldPosition="0">
        <references count="1">
          <reference field="38" count="1">
            <x v="8"/>
          </reference>
        </references>
      </pivotArea>
    </format>
    <format dxfId="266">
      <pivotArea collapsedLevelsAreSubtotals="1" fieldPosition="0">
        <references count="2">
          <reference field="5" count="1">
            <x v="12"/>
          </reference>
          <reference field="38" count="1" selected="0">
            <x v="8"/>
          </reference>
        </references>
      </pivotArea>
    </format>
    <format dxfId="265">
      <pivotArea collapsedLevelsAreSubtotals="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264">
      <pivotArea dataOnly="0" labelOnly="1" fieldPosition="0">
        <references count="1">
          <reference field="38" count="1">
            <x v="8"/>
          </reference>
        </references>
      </pivotArea>
    </format>
    <format dxfId="263">
      <pivotArea dataOnly="0" labelOnly="1" fieldPosition="0">
        <references count="2">
          <reference field="5" count="1">
            <x v="12"/>
          </reference>
          <reference field="38" count="1" selected="0">
            <x v="8"/>
          </reference>
        </references>
      </pivotArea>
    </format>
    <format dxfId="262">
      <pivotArea dataOnly="0" labelOnly="1" fieldPosition="0">
        <references count="3">
          <reference field="5" count="1" selected="0">
            <x v="12"/>
          </reference>
          <reference field="11" count="14">
            <x v="28"/>
            <x v="44"/>
            <x v="51"/>
            <x v="73"/>
            <x v="74"/>
            <x v="75"/>
            <x v="89"/>
            <x v="101"/>
            <x v="124"/>
            <x v="167"/>
            <x v="168"/>
            <x v="170"/>
            <x v="172"/>
            <x v="188"/>
          </reference>
          <reference field="38" count="1" selected="0">
            <x v="8"/>
          </reference>
        </references>
      </pivotArea>
    </format>
    <format dxfId="261">
      <pivotArea collapsedLevelsAreSubtotals="1" fieldPosition="0">
        <references count="1">
          <reference field="38" count="1">
            <x v="9"/>
          </reference>
        </references>
      </pivotArea>
    </format>
    <format dxfId="260">
      <pivotArea collapsedLevelsAreSubtotals="1" fieldPosition="0">
        <references count="2">
          <reference field="5" count="1">
            <x v="14"/>
          </reference>
          <reference field="38" count="1" selected="0">
            <x v="9"/>
          </reference>
        </references>
      </pivotArea>
    </format>
    <format dxfId="259">
      <pivotArea collapsedLevelsAreSubtotals="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258">
      <pivotArea dataOnly="0" labelOnly="1" fieldPosition="0">
        <references count="1">
          <reference field="38" count="1">
            <x v="9"/>
          </reference>
        </references>
      </pivotArea>
    </format>
    <format dxfId="257">
      <pivotArea dataOnly="0" labelOnly="1" fieldPosition="0">
        <references count="2">
          <reference field="5" count="1">
            <x v="14"/>
          </reference>
          <reference field="38" count="1" selected="0">
            <x v="9"/>
          </reference>
        </references>
      </pivotArea>
    </format>
    <format dxfId="256">
      <pivotArea dataOnly="0" labelOnly="1" fieldPosition="0">
        <references count="3">
          <reference field="5" count="1" selected="0">
            <x v="14"/>
          </reference>
          <reference field="11" count="24">
            <x v="25"/>
            <x v="26"/>
            <x v="27"/>
            <x v="49"/>
            <x v="50"/>
            <x v="58"/>
            <x v="67"/>
            <x v="68"/>
            <x v="88"/>
            <x v="90"/>
            <x v="114"/>
            <x v="115"/>
            <x v="156"/>
            <x v="169"/>
            <x v="171"/>
            <x v="189"/>
            <x v="190"/>
            <x v="194"/>
            <x v="202"/>
            <x v="203"/>
            <x v="204"/>
            <x v="205"/>
            <x v="218"/>
            <x v="229"/>
          </reference>
          <reference field="38" count="1" selected="0">
            <x v="9"/>
          </reference>
        </references>
      </pivotArea>
    </format>
    <format dxfId="255">
      <pivotArea collapsedLevelsAreSubtotals="1" fieldPosition="0">
        <references count="1">
          <reference field="38" count="1">
            <x v="10"/>
          </reference>
        </references>
      </pivotArea>
    </format>
    <format dxfId="254">
      <pivotArea collapsedLevelsAreSubtotals="1" fieldPosition="0">
        <references count="2">
          <reference field="5" count="1">
            <x v="15"/>
          </reference>
          <reference field="38" count="1" selected="0">
            <x v="10"/>
          </reference>
        </references>
      </pivotArea>
    </format>
    <format dxfId="253">
      <pivotArea collapsedLevelsAreSubtotals="1" fieldPosition="0">
        <references count="3">
          <reference field="5" count="1" selected="0">
            <x v="15"/>
          </reference>
          <reference field="11" count="5">
            <x v="140"/>
            <x v="141"/>
            <x v="142"/>
            <x v="143"/>
            <x v="155"/>
          </reference>
          <reference field="38" count="1" selected="0">
            <x v="10"/>
          </reference>
        </references>
      </pivotArea>
    </format>
    <format dxfId="252">
      <pivotArea dataOnly="0" labelOnly="1" fieldPosition="0">
        <references count="1">
          <reference field="38" count="1">
            <x v="10"/>
          </reference>
        </references>
      </pivotArea>
    </format>
    <format dxfId="251">
      <pivotArea dataOnly="0" labelOnly="1" fieldPosition="0">
        <references count="2">
          <reference field="5" count="1">
            <x v="15"/>
          </reference>
          <reference field="38" count="1" selected="0">
            <x v="10"/>
          </reference>
        </references>
      </pivotArea>
    </format>
    <format dxfId="250">
      <pivotArea dataOnly="0" labelOnly="1" fieldPosition="0">
        <references count="3">
          <reference field="5" count="1" selected="0">
            <x v="15"/>
          </reference>
          <reference field="11" count="5">
            <x v="140"/>
            <x v="141"/>
            <x v="142"/>
            <x v="143"/>
            <x v="155"/>
          </reference>
          <reference field="38" count="1" selected="0">
            <x v="10"/>
          </reference>
        </references>
      </pivotArea>
    </format>
    <format dxfId="249">
      <pivotArea collapsedLevelsAreSubtotals="1" fieldPosition="0">
        <references count="1">
          <reference field="38" count="1">
            <x v="11"/>
          </reference>
        </references>
      </pivotArea>
    </format>
    <format dxfId="248">
      <pivotArea collapsedLevelsAreSubtotals="1" fieldPosition="0">
        <references count="2">
          <reference field="5" count="1">
            <x v="20"/>
          </reference>
          <reference field="38" count="1" selected="0">
            <x v="11"/>
          </reference>
        </references>
      </pivotArea>
    </format>
    <format dxfId="247">
      <pivotArea collapsedLevelsAreSubtotals="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246">
      <pivotArea dataOnly="0" labelOnly="1" fieldPosition="0">
        <references count="1">
          <reference field="38" count="1">
            <x v="11"/>
          </reference>
        </references>
      </pivotArea>
    </format>
    <format dxfId="245">
      <pivotArea dataOnly="0" labelOnly="1" fieldPosition="0">
        <references count="2">
          <reference field="5" count="1">
            <x v="20"/>
          </reference>
          <reference field="38" count="1" selected="0">
            <x v="11"/>
          </reference>
        </references>
      </pivotArea>
    </format>
    <format dxfId="244">
      <pivotArea dataOnly="0" labelOnly="1" fieldPosition="0">
        <references count="3">
          <reference field="5" count="1" selected="0">
            <x v="20"/>
          </reference>
          <reference field="11" count="21">
            <x v="17"/>
            <x v="34"/>
            <x v="35"/>
            <x v="79"/>
            <x v="80"/>
            <x v="82"/>
            <x v="83"/>
            <x v="84"/>
            <x v="85"/>
            <x v="163"/>
            <x v="177"/>
            <x v="178"/>
            <x v="179"/>
            <x v="180"/>
            <x v="181"/>
            <x v="191"/>
            <x v="206"/>
            <x v="211"/>
            <x v="215"/>
            <x v="228"/>
            <x v="230"/>
          </reference>
          <reference field="38" count="1" selected="0">
            <x v="11"/>
          </reference>
        </references>
      </pivotArea>
    </format>
    <format dxfId="243">
      <pivotArea outline="0" collapsedLevelsAreSubtotals="1" fieldPosition="0">
        <references count="1">
          <reference field="4294967294" count="1" selected="0">
            <x v="0"/>
          </reference>
        </references>
      </pivotArea>
    </format>
    <format dxfId="242">
      <pivotArea dataOnly="0" labelOnly="1" outline="0" fieldPosition="0">
        <references count="1">
          <reference field="4294967294" count="1">
            <x v="0"/>
          </reference>
        </references>
      </pivotArea>
    </format>
    <format dxfId="241">
      <pivotArea outline="0" collapsedLevelsAreSubtotals="1" fieldPosition="0">
        <references count="1">
          <reference field="4294967294" count="1" selected="0">
            <x v="2"/>
          </reference>
        </references>
      </pivotArea>
    </format>
    <format dxfId="240">
      <pivotArea dataOnly="0" labelOnly="1" outline="0" fieldPosition="0">
        <references count="1">
          <reference field="4294967294" count="1">
            <x v="2"/>
          </reference>
        </references>
      </pivotArea>
    </format>
    <format dxfId="239">
      <pivotArea outline="0" collapsedLevelsAreSubtotals="1" fieldPosition="0">
        <references count="1">
          <reference field="4294967294" count="1" selected="0">
            <x v="4"/>
          </reference>
        </references>
      </pivotArea>
    </format>
    <format dxfId="238">
      <pivotArea dataOnly="0" labelOnly="1" outline="0" fieldPosition="0">
        <references count="1">
          <reference field="4294967294" count="1">
            <x v="4"/>
          </reference>
        </references>
      </pivotArea>
    </format>
    <format dxfId="237">
      <pivotArea outline="0" collapsedLevelsAreSubtotals="1" fieldPosition="0">
        <references count="1">
          <reference field="4294967294" count="2" selected="0">
            <x v="0"/>
            <x v="1"/>
          </reference>
        </references>
      </pivotArea>
    </format>
    <format dxfId="236">
      <pivotArea field="0" type="button" dataOnly="0" labelOnly="1" outline="0" axis="axisPage" fieldPosition="0"/>
    </format>
    <format dxfId="235">
      <pivotArea dataOnly="0" labelOnly="1" outline="0" fieldPosition="0">
        <references count="1">
          <reference field="0" count="0"/>
        </references>
      </pivotArea>
    </format>
    <format dxfId="234">
      <pivotArea field="21" type="button" dataOnly="0" labelOnly="1" outline="0" axis="axisPage" fieldPosition="1"/>
    </format>
    <format dxfId="233">
      <pivotArea dataOnly="0" labelOnly="1" outline="0" fieldPosition="0">
        <references count="1">
          <reference field="21" count="0"/>
        </references>
      </pivotArea>
    </format>
    <format dxfId="232">
      <pivotArea field="38" type="button" dataOnly="0" labelOnly="1" outline="0" axis="axisRow" fieldPosition="0"/>
    </format>
    <format dxfId="231">
      <pivotArea dataOnly="0" labelOnly="1" fieldPosition="0">
        <references count="1">
          <reference field="38" count="11">
            <x v="0"/>
            <x v="1"/>
            <x v="2"/>
            <x v="3"/>
            <x v="5"/>
            <x v="6"/>
            <x v="7"/>
            <x v="8"/>
            <x v="9"/>
            <x v="10"/>
            <x v="11"/>
          </reference>
        </references>
      </pivotArea>
    </format>
    <format dxfId="230">
      <pivotArea dataOnly="0" labelOnly="1" grandRow="1" outline="0" fieldPosition="0"/>
    </format>
    <format dxfId="229">
      <pivotArea dataOnly="0" labelOnly="1" fieldPosition="0">
        <references count="2">
          <reference field="5" count="19">
            <x v="0"/>
            <x v="1"/>
            <x v="2"/>
            <x v="3"/>
            <x v="5"/>
            <x v="6"/>
            <x v="8"/>
            <x v="9"/>
            <x v="10"/>
            <x v="11"/>
            <x v="12"/>
            <x v="13"/>
            <x v="14"/>
            <x v="15"/>
            <x v="16"/>
            <x v="17"/>
            <x v="18"/>
            <x v="19"/>
            <x v="20"/>
          </reference>
          <reference field="38" count="1" selected="0">
            <x v="0"/>
          </reference>
        </references>
      </pivotArea>
    </format>
    <format dxfId="228">
      <pivotArea dataOnly="0" labelOnly="1" fieldPosition="0">
        <references count="3">
          <reference field="5" count="1" selected="0">
            <x v="0"/>
          </reference>
          <reference field="11" count="50">
            <x v="1"/>
            <x v="2"/>
            <x v="3"/>
            <x v="4"/>
            <x v="5"/>
            <x v="7"/>
            <x v="13"/>
            <x v="20"/>
            <x v="22"/>
            <x v="24"/>
            <x v="36"/>
            <x v="37"/>
            <x v="42"/>
            <x v="43"/>
            <x v="45"/>
            <x v="55"/>
            <x v="59"/>
            <x v="69"/>
            <x v="70"/>
            <x v="71"/>
            <x v="72"/>
            <x v="102"/>
            <x v="103"/>
            <x v="104"/>
            <x v="120"/>
            <x v="126"/>
            <x v="134"/>
            <x v="135"/>
            <x v="136"/>
            <x v="152"/>
            <x v="157"/>
            <x v="158"/>
            <x v="173"/>
            <x v="175"/>
            <x v="182"/>
            <x v="183"/>
            <x v="185"/>
            <x v="187"/>
            <x v="192"/>
            <x v="193"/>
            <x v="198"/>
            <x v="199"/>
            <x v="214"/>
            <x v="219"/>
            <x v="220"/>
            <x v="231"/>
            <x v="232"/>
            <x v="235"/>
            <x v="236"/>
            <x v="237"/>
          </reference>
          <reference field="38" count="1" selected="0">
            <x v="0"/>
          </reference>
        </references>
      </pivotArea>
    </format>
    <format dxfId="227">
      <pivotArea dataOnly="0" labelOnly="1" fieldPosition="0">
        <references count="3">
          <reference field="5" count="1" selected="0">
            <x v="10"/>
          </reference>
          <reference field="11" count="50">
            <x v="18"/>
            <x v="19"/>
            <x v="27"/>
            <x v="28"/>
            <x v="44"/>
            <x v="49"/>
            <x v="50"/>
            <x v="51"/>
            <x v="54"/>
            <x v="56"/>
            <x v="57"/>
            <x v="58"/>
            <x v="60"/>
            <x v="64"/>
            <x v="67"/>
            <x v="68"/>
            <x v="73"/>
            <x v="74"/>
            <x v="75"/>
            <x v="86"/>
            <x v="87"/>
            <x v="88"/>
            <x v="89"/>
            <x v="90"/>
            <x v="95"/>
            <x v="96"/>
            <x v="97"/>
            <x v="98"/>
            <x v="105"/>
            <x v="123"/>
            <x v="124"/>
            <x v="130"/>
            <x v="131"/>
            <x v="148"/>
            <x v="153"/>
            <x v="161"/>
            <x v="164"/>
            <x v="167"/>
            <x v="168"/>
            <x v="170"/>
            <x v="172"/>
            <x v="188"/>
            <x v="189"/>
            <x v="190"/>
            <x v="194"/>
            <x v="196"/>
            <x v="204"/>
            <x v="205"/>
            <x v="222"/>
            <x v="239"/>
          </reference>
          <reference field="38" count="1" selected="0">
            <x v="5"/>
          </reference>
        </references>
      </pivotArea>
    </format>
    <format dxfId="226">
      <pivotArea dataOnly="0" labelOnly="1" fieldPosition="0">
        <references count="3">
          <reference field="5" count="1" selected="0">
            <x v="14"/>
          </reference>
          <reference field="11" count="37">
            <x v="17"/>
            <x v="25"/>
            <x v="26"/>
            <x v="34"/>
            <x v="35"/>
            <x v="79"/>
            <x v="80"/>
            <x v="82"/>
            <x v="83"/>
            <x v="84"/>
            <x v="85"/>
            <x v="114"/>
            <x v="115"/>
            <x v="140"/>
            <x v="141"/>
            <x v="142"/>
            <x v="143"/>
            <x v="155"/>
            <x v="156"/>
            <x v="163"/>
            <x v="169"/>
            <x v="171"/>
            <x v="177"/>
            <x v="178"/>
            <x v="179"/>
            <x v="180"/>
            <x v="181"/>
            <x v="191"/>
            <x v="202"/>
            <x v="203"/>
            <x v="206"/>
            <x v="211"/>
            <x v="215"/>
            <x v="218"/>
            <x v="228"/>
            <x v="229"/>
            <x v="230"/>
          </reference>
          <reference field="38" count="1" selected="0">
            <x v="9"/>
          </reference>
        </references>
      </pivotArea>
    </format>
    <format dxfId="22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compact="0" compactData="0" multipleFieldFilters="0">
  <location ref="A3:D134" firstHeaderRow="1" firstDataRow="1" firstDataCol="3" rowPageCount="1" colPageCount="1"/>
  <pivotFields count="23">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x="1"/>
        <item x="4"/>
        <item x="0"/>
        <item x="8"/>
        <item x="3"/>
        <item x="7"/>
        <item x="9"/>
        <item x="15"/>
        <item x="6"/>
        <item x="11"/>
        <item x="5"/>
        <item x="12"/>
        <item x="14"/>
        <item x="16"/>
        <item x="2"/>
        <item x="10"/>
        <item x="13"/>
      </items>
    </pivotField>
    <pivotField axis="axisRow" compact="0" outline="0" showAll="0" defaultSubtotal="0">
      <items count="143">
        <item x="0"/>
        <item x="2"/>
        <item x="3"/>
        <item x="6"/>
        <item x="8"/>
        <item x="11"/>
        <item x="12"/>
        <item x="13"/>
        <item x="14"/>
        <item x="15"/>
        <item x="16"/>
        <item x="17"/>
        <item x="18"/>
        <item x="19"/>
        <item x="20"/>
        <item x="21"/>
        <item x="23"/>
        <item x="24"/>
        <item x="25"/>
        <item x="26"/>
        <item x="27"/>
        <item x="30"/>
        <item x="31"/>
        <item x="32"/>
        <item x="33"/>
        <item x="34"/>
        <item x="35"/>
        <item x="36"/>
        <item x="37"/>
        <item x="38"/>
        <item x="39"/>
        <item x="41"/>
        <item x="42"/>
        <item x="43"/>
        <item x="44"/>
        <item x="45"/>
        <item x="47"/>
        <item x="48"/>
        <item x="50"/>
        <item x="51"/>
        <item x="52"/>
        <item x="53"/>
        <item x="56"/>
        <item x="57"/>
        <item x="58"/>
        <item x="60"/>
        <item x="61"/>
        <item x="62"/>
        <item x="63"/>
        <item x="65"/>
        <item x="66"/>
        <item x="67"/>
        <item x="68"/>
        <item x="69"/>
        <item x="70"/>
        <item x="72"/>
        <item x="73"/>
        <item x="74"/>
        <item x="75"/>
        <item x="80"/>
        <item x="81"/>
        <item x="84"/>
        <item x="85"/>
        <item x="86"/>
        <item x="88"/>
        <item x="90"/>
        <item x="91"/>
        <item x="92"/>
        <item x="93"/>
        <item x="95"/>
        <item x="96"/>
        <item x="97"/>
        <item x="98"/>
        <item x="99"/>
        <item x="100"/>
        <item x="101"/>
        <item x="102"/>
        <item x="105"/>
        <item x="106"/>
        <item x="107"/>
        <item x="108"/>
        <item x="109"/>
        <item x="110"/>
        <item x="111"/>
        <item x="112"/>
        <item x="113"/>
        <item x="114"/>
        <item x="116"/>
        <item x="117"/>
        <item x="118"/>
        <item x="119"/>
        <item x="120"/>
        <item x="121"/>
        <item x="122"/>
        <item x="123"/>
        <item x="124"/>
        <item x="126"/>
        <item x="127"/>
        <item x="128"/>
        <item x="129"/>
        <item x="131"/>
        <item x="132"/>
        <item x="134"/>
        <item x="135"/>
        <item x="136"/>
        <item x="137"/>
        <item x="138"/>
        <item x="139"/>
        <item x="54"/>
        <item x="130"/>
        <item x="9"/>
        <item x="94"/>
        <item x="79"/>
        <item x="49"/>
        <item x="7"/>
        <item x="5"/>
        <item x="133"/>
        <item x="142"/>
        <item x="104"/>
        <item x="55"/>
        <item x="28"/>
        <item x="10"/>
        <item x="4"/>
        <item x="40"/>
        <item x="59"/>
        <item x="71"/>
        <item x="77"/>
        <item x="78"/>
        <item x="82"/>
        <item x="89"/>
        <item x="141"/>
        <item x="103"/>
        <item x="125"/>
        <item x="140"/>
        <item x="76"/>
        <item x="64"/>
        <item x="87"/>
        <item x="29"/>
        <item x="1"/>
        <item x="46"/>
        <item x="83"/>
        <item x="115"/>
        <item x="2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41">
        <item x="113"/>
        <item x="124"/>
        <item x="99"/>
        <item x="127"/>
        <item x="126"/>
        <item x="128"/>
        <item x="117"/>
        <item x="58"/>
        <item x="121"/>
        <item x="15"/>
        <item x="16"/>
        <item x="14"/>
        <item x="32"/>
        <item x="37"/>
        <item x="36"/>
        <item x="56"/>
        <item x="25"/>
        <item x="26"/>
        <item x="68"/>
        <item x="69"/>
        <item x="136"/>
        <item x="90"/>
        <item x="108"/>
        <item x="110"/>
        <item x="47"/>
        <item x="18"/>
        <item x="51"/>
        <item x="109"/>
        <item x="50"/>
        <item x="107"/>
        <item x="132"/>
        <item x="129"/>
        <item x="131"/>
        <item x="53"/>
        <item x="52"/>
        <item x="118"/>
        <item x="12"/>
        <item x="112"/>
        <item x="41"/>
        <item x="2"/>
        <item x="24"/>
        <item x="137"/>
        <item x="91"/>
        <item x="123"/>
        <item x="72"/>
        <item x="73"/>
        <item x="62"/>
        <item x="98"/>
        <item x="57"/>
        <item x="66"/>
        <item x="119"/>
        <item x="120"/>
        <item x="43"/>
        <item x="44"/>
        <item x="42"/>
        <item x="100"/>
        <item x="116"/>
        <item x="65"/>
        <item x="33"/>
        <item x="93"/>
        <item x="122"/>
        <item x="96"/>
        <item x="70"/>
        <item x="67"/>
        <item x="92"/>
        <item x="138"/>
        <item x="11"/>
        <item x="8"/>
        <item x="19"/>
        <item x="135"/>
        <item x="48"/>
        <item x="27"/>
        <item x="23"/>
        <item x="17"/>
        <item x="102"/>
        <item x="35"/>
        <item x="97"/>
        <item x="61"/>
        <item x="60"/>
        <item x="45"/>
        <item x="95"/>
        <item x="106"/>
        <item x="101"/>
        <item x="6"/>
        <item x="13"/>
        <item x="3"/>
        <item x="0"/>
        <item x="39"/>
        <item x="111"/>
        <item x="114"/>
        <item x="134"/>
        <item x="20"/>
        <item x="86"/>
        <item x="105"/>
        <item x="38"/>
        <item x="34"/>
        <item x="75"/>
        <item x="85"/>
        <item x="81"/>
        <item x="80"/>
        <item x="74"/>
        <item x="84"/>
        <item x="63"/>
        <item x="21"/>
        <item x="88"/>
        <item x="30"/>
        <item x="31"/>
        <item x="54"/>
        <item x="130"/>
        <item x="9"/>
        <item x="94"/>
        <item x="79"/>
        <item x="49"/>
        <item x="7"/>
        <item x="5"/>
        <item x="133"/>
        <item x="104"/>
        <item x="55"/>
        <item x="28"/>
        <item x="10"/>
        <item x="4"/>
        <item x="40"/>
        <item x="59"/>
        <item x="71"/>
        <item x="77"/>
        <item x="78"/>
        <item x="82"/>
        <item x="89"/>
        <item x="140"/>
        <item x="76"/>
        <item x="103"/>
        <item x="125"/>
        <item x="139"/>
        <item x="64"/>
        <item x="87"/>
        <item x="29"/>
        <item x="1"/>
        <item x="46"/>
        <item x="83"/>
        <item x="115"/>
        <item x="22"/>
      </items>
    </pivotField>
    <pivotField axis="axisPage" compact="0" outline="0" multipleItemSelectionAllowed="1" showAll="0" defaultSubtotal="0">
      <items count="3">
        <item x="2"/>
        <item h="1" x="1"/>
        <item x="0"/>
      </items>
    </pivotField>
    <pivotField dataField="1" compact="0" outline="0" showAll="0" defaultSubtotal="0"/>
    <pivotField compact="0" outline="0" showAll="0" defaultSubtotal="0"/>
    <pivotField compact="0" outline="0" showAll="0" defaultSubtotal="0"/>
  </pivotFields>
  <rowFields count="3">
    <field x="4"/>
    <field x="18"/>
    <field x="5"/>
  </rowFields>
  <rowItems count="131">
    <i>
      <x/>
      <x v="37"/>
      <x v="84"/>
    </i>
    <i r="1">
      <x v="38"/>
      <x v="31"/>
    </i>
    <i r="1">
      <x v="39"/>
      <x v="1"/>
    </i>
    <i r="1">
      <x v="40"/>
      <x v="17"/>
    </i>
    <i r="1">
      <x v="41"/>
      <x v="106"/>
    </i>
    <i r="1">
      <x v="42"/>
      <x v="66"/>
    </i>
    <i r="1">
      <x v="43"/>
      <x v="94"/>
    </i>
    <i r="1">
      <x v="93"/>
      <x v="77"/>
    </i>
    <i r="1">
      <x v="111"/>
      <x v="112"/>
    </i>
    <i r="1">
      <x v="114"/>
      <x v="115"/>
    </i>
    <i>
      <x v="1"/>
      <x v="36"/>
      <x v="6"/>
    </i>
    <i r="1">
      <x v="94"/>
      <x v="29"/>
    </i>
    <i r="1">
      <x v="116"/>
      <x v="118"/>
    </i>
    <i r="1">
      <x v="140"/>
      <x v="142"/>
    </i>
    <i>
      <x v="2"/>
      <x/>
      <x v="103"/>
    </i>
    <i r="2">
      <x v="117"/>
    </i>
    <i r="1">
      <x v="62"/>
      <x v="54"/>
    </i>
    <i r="1">
      <x v="64"/>
      <x v="67"/>
    </i>
    <i r="1">
      <x v="65"/>
      <x v="107"/>
    </i>
    <i r="1">
      <x v="66"/>
      <x v="5"/>
    </i>
    <i r="1">
      <x v="83"/>
      <x v="3"/>
    </i>
    <i r="1">
      <x v="84"/>
      <x v="7"/>
    </i>
    <i r="1">
      <x v="85"/>
      <x v="2"/>
    </i>
    <i r="1">
      <x v="86"/>
      <x/>
    </i>
    <i r="1">
      <x v="87"/>
      <x v="30"/>
    </i>
    <i r="1">
      <x v="88"/>
      <x v="83"/>
    </i>
    <i r="1">
      <x v="89"/>
      <x v="86"/>
    </i>
    <i r="1">
      <x v="90"/>
      <x v="102"/>
    </i>
    <i r="1">
      <x v="91"/>
      <x v="14"/>
    </i>
    <i r="1">
      <x v="92"/>
      <x v="63"/>
    </i>
    <i r="1">
      <x v="120"/>
      <x v="122"/>
    </i>
    <i r="1">
      <x v="121"/>
      <x v="123"/>
    </i>
    <i r="1">
      <x v="135"/>
      <x v="137"/>
    </i>
    <i r="1">
      <x v="136"/>
      <x v="138"/>
    </i>
    <i>
      <x v="3"/>
      <x v="101"/>
      <x v="61"/>
    </i>
    <i r="1">
      <x v="105"/>
      <x v="21"/>
    </i>
    <i r="1">
      <x v="106"/>
      <x v="22"/>
    </i>
    <i r="1">
      <x v="118"/>
      <x v="120"/>
    </i>
    <i r="1">
      <x v="123"/>
      <x v="125"/>
    </i>
    <i r="1">
      <x v="128"/>
      <x v="130"/>
    </i>
    <i r="1">
      <x v="129"/>
      <x v="134"/>
    </i>
    <i>
      <x v="4"/>
      <x v="49"/>
      <x v="50"/>
    </i>
    <i r="1">
      <x v="75"/>
      <x v="26"/>
    </i>
    <i r="1">
      <x v="77"/>
      <x v="46"/>
    </i>
    <i r="1">
      <x v="78"/>
      <x v="45"/>
    </i>
    <i r="1">
      <x v="107"/>
      <x v="108"/>
    </i>
    <i r="1">
      <x v="109"/>
      <x v="110"/>
    </i>
    <i r="1">
      <x v="117"/>
      <x v="119"/>
    </i>
    <i r="1">
      <x v="119"/>
      <x v="121"/>
    </i>
    <i>
      <x v="5"/>
      <x v="102"/>
      <x v="48"/>
    </i>
    <i r="1">
      <x v="103"/>
      <x v="15"/>
    </i>
    <i r="1">
      <x v="133"/>
      <x v="135"/>
    </i>
    <i>
      <x v="6"/>
      <x v="57"/>
      <x v="49"/>
    </i>
    <i r="1">
      <x v="58"/>
      <x v="24"/>
    </i>
    <i r="1">
      <x v="59"/>
      <x v="68"/>
    </i>
    <i r="1">
      <x v="139"/>
      <x v="141"/>
    </i>
    <i>
      <x v="7"/>
      <x v="60"/>
      <x v="93"/>
    </i>
    <i r="1">
      <x v="80"/>
      <x v="69"/>
    </i>
    <i>
      <x v="8"/>
      <x v="44"/>
      <x v="55"/>
    </i>
    <i r="1">
      <x v="48"/>
      <x v="43"/>
    </i>
    <i r="1">
      <x v="52"/>
      <x v="33"/>
    </i>
    <i r="1">
      <x v="53"/>
      <x v="34"/>
    </i>
    <i r="1">
      <x v="54"/>
      <x v="32"/>
    </i>
    <i r="1">
      <x v="55"/>
      <x v="74"/>
    </i>
    <i r="1">
      <x v="56"/>
      <x v="87"/>
    </i>
    <i r="1">
      <x v="71"/>
      <x v="20"/>
    </i>
    <i r="1">
      <x v="72"/>
      <x v="16"/>
    </i>
    <i r="1">
      <x v="73"/>
      <x v="11"/>
    </i>
    <i r="1">
      <x v="74"/>
      <x v="76"/>
    </i>
    <i r="1">
      <x v="76"/>
      <x v="71"/>
    </i>
    <i r="1">
      <x v="112"/>
      <x v="113"/>
    </i>
    <i>
      <x v="9"/>
      <x v="100"/>
      <x v="57"/>
    </i>
    <i r="1">
      <x v="124"/>
      <x v="126"/>
    </i>
    <i r="1">
      <x v="125"/>
      <x v="127"/>
    </i>
    <i>
      <x v="10"/>
      <x/>
      <x v="85"/>
    </i>
    <i r="2">
      <x v="117"/>
    </i>
    <i r="1">
      <x v="1"/>
      <x v="95"/>
    </i>
    <i r="1">
      <x v="2"/>
      <x v="73"/>
    </i>
    <i r="1">
      <x v="3"/>
      <x v="97"/>
    </i>
    <i r="1">
      <x v="4"/>
      <x v="96"/>
    </i>
    <i r="1">
      <x v="5"/>
      <x v="98"/>
    </i>
    <i r="1">
      <x v="6"/>
      <x v="88"/>
    </i>
    <i r="1">
      <x v="7"/>
      <x v="44"/>
    </i>
    <i r="1">
      <x v="8"/>
      <x v="92"/>
    </i>
    <i r="1">
      <x v="9"/>
      <x v="9"/>
    </i>
    <i r="1">
      <x v="10"/>
      <x v="10"/>
    </i>
    <i r="1">
      <x v="11"/>
      <x v="8"/>
    </i>
    <i r="1">
      <x v="12"/>
      <x v="23"/>
    </i>
    <i r="1">
      <x v="13"/>
      <x v="28"/>
    </i>
    <i r="1">
      <x v="14"/>
      <x v="27"/>
    </i>
    <i r="1">
      <x v="15"/>
      <x v="42"/>
    </i>
    <i r="1">
      <x v="16"/>
      <x v="18"/>
    </i>
    <i r="1">
      <x v="17"/>
      <x v="19"/>
    </i>
    <i r="1">
      <x v="18"/>
      <x v="52"/>
    </i>
    <i r="1">
      <x v="19"/>
      <x v="53"/>
    </i>
    <i r="1">
      <x v="20"/>
      <x v="105"/>
    </i>
    <i r="1">
      <x v="21"/>
      <x v="65"/>
    </i>
    <i r="1">
      <x v="82"/>
      <x v="75"/>
    </i>
    <i r="1">
      <x v="131"/>
      <x v="132"/>
    </i>
    <i>
      <x v="11"/>
      <x v="98"/>
      <x v="60"/>
    </i>
    <i r="1">
      <x v="99"/>
      <x v="59"/>
    </i>
    <i r="1">
      <x v="126"/>
      <x v="128"/>
    </i>
    <i r="1">
      <x v="127"/>
      <x v="129"/>
    </i>
    <i>
      <x v="12"/>
      <x v="104"/>
      <x v="64"/>
    </i>
    <i>
      <x v="13"/>
      <x v="50"/>
      <x v="90"/>
    </i>
    <i r="1">
      <x v="51"/>
      <x v="91"/>
    </i>
    <i>
      <x v="14"/>
      <x v="22"/>
      <x v="80"/>
    </i>
    <i r="1">
      <x v="23"/>
      <x v="82"/>
    </i>
    <i r="1">
      <x v="24"/>
      <x v="36"/>
    </i>
    <i r="1">
      <x v="25"/>
      <x v="12"/>
    </i>
    <i r="1">
      <x v="26"/>
      <x v="39"/>
    </i>
    <i r="1">
      <x v="27"/>
      <x v="81"/>
    </i>
    <i r="1">
      <x v="28"/>
      <x v="38"/>
    </i>
    <i r="1">
      <x v="29"/>
      <x v="79"/>
    </i>
    <i r="1">
      <x v="31"/>
      <x v="99"/>
    </i>
    <i r="1">
      <x v="32"/>
      <x v="100"/>
    </i>
    <i r="1">
      <x v="33"/>
      <x v="41"/>
    </i>
    <i r="1">
      <x v="34"/>
      <x v="40"/>
    </i>
    <i r="1">
      <x v="35"/>
      <x v="89"/>
    </i>
    <i r="1">
      <x v="67"/>
      <x v="4"/>
    </i>
    <i r="1">
      <x v="68"/>
      <x v="13"/>
    </i>
    <i r="1">
      <x v="69"/>
      <x v="104"/>
    </i>
    <i r="1">
      <x v="70"/>
      <x v="37"/>
    </i>
    <i r="1">
      <x v="81"/>
      <x v="78"/>
    </i>
    <i r="1">
      <x v="110"/>
      <x v="111"/>
    </i>
    <i r="1">
      <x v="130"/>
      <x v="131"/>
    </i>
    <i r="1">
      <x v="132"/>
      <x v="133"/>
    </i>
    <i>
      <x v="15"/>
      <x/>
      <x v="117"/>
    </i>
    <i r="1">
      <x v="137"/>
      <x v="139"/>
    </i>
    <i>
      <x v="16"/>
      <x v="134"/>
      <x v="136"/>
    </i>
    <i t="grand">
      <x/>
    </i>
  </rowItems>
  <colItems count="1">
    <i/>
  </colItems>
  <pageFields count="1">
    <pageField fld="19" hier="-1"/>
  </pageFields>
  <dataFields count="1">
    <dataField name="Sum of Coverage" fld="20" baseField="0" baseItem="2420248" numFmtId="9"/>
  </dataFields>
  <formats count="313">
    <format dxfId="646">
      <pivotArea outline="0" collapsedLevelsAreSubtotals="1" fieldPosition="0"/>
    </format>
    <format dxfId="645">
      <pivotArea dataOnly="0" labelOnly="1" outline="0" axis="axisValues" fieldPosition="0"/>
    </format>
    <format dxfId="644">
      <pivotArea field="19" type="button" dataOnly="0" labelOnly="1" outline="0" axis="axisPage" fieldPosition="0"/>
    </format>
    <format dxfId="643">
      <pivotArea dataOnly="0" labelOnly="1" outline="0" fieldPosition="0">
        <references count="1">
          <reference field="19" count="0"/>
        </references>
      </pivotArea>
    </format>
    <format dxfId="642">
      <pivotArea outline="0" collapsedLevelsAreSubtotals="1" fieldPosition="0">
        <references count="3">
          <reference field="4" count="1" selected="0">
            <x v="0"/>
          </reference>
          <reference field="5" count="10" selected="0">
            <x v="1"/>
            <x v="17"/>
            <x v="31"/>
            <x v="66"/>
            <x v="77"/>
            <x v="84"/>
            <x v="94"/>
            <x v="106"/>
            <x v="112"/>
            <x v="115"/>
          </reference>
          <reference field="18" count="10" selected="0">
            <x v="37"/>
            <x v="38"/>
            <x v="39"/>
            <x v="40"/>
            <x v="41"/>
            <x v="42"/>
            <x v="43"/>
            <x v="93"/>
            <x v="111"/>
            <x v="114"/>
          </reference>
        </references>
      </pivotArea>
    </format>
    <format dxfId="641">
      <pivotArea dataOnly="0" labelOnly="1" outline="0" fieldPosition="0">
        <references count="1">
          <reference field="4" count="1">
            <x v="0"/>
          </reference>
        </references>
      </pivotArea>
    </format>
    <format dxfId="640">
      <pivotArea dataOnly="0" labelOnly="1" outline="0" fieldPosition="0">
        <references count="2">
          <reference field="4" count="1" selected="0">
            <x v="0"/>
          </reference>
          <reference field="18" count="10">
            <x v="37"/>
            <x v="38"/>
            <x v="39"/>
            <x v="40"/>
            <x v="41"/>
            <x v="42"/>
            <x v="43"/>
            <x v="93"/>
            <x v="111"/>
            <x v="114"/>
          </reference>
        </references>
      </pivotArea>
    </format>
    <format dxfId="639">
      <pivotArea dataOnly="0" labelOnly="1" outline="0" fieldPosition="0">
        <references count="3">
          <reference field="4" count="1" selected="0">
            <x v="0"/>
          </reference>
          <reference field="5" count="1">
            <x v="84"/>
          </reference>
          <reference field="18" count="1" selected="0">
            <x v="37"/>
          </reference>
        </references>
      </pivotArea>
    </format>
    <format dxfId="638">
      <pivotArea dataOnly="0" labelOnly="1" outline="0" fieldPosition="0">
        <references count="3">
          <reference field="4" count="1" selected="0">
            <x v="0"/>
          </reference>
          <reference field="5" count="1">
            <x v="31"/>
          </reference>
          <reference field="18" count="1" selected="0">
            <x v="38"/>
          </reference>
        </references>
      </pivotArea>
    </format>
    <format dxfId="637">
      <pivotArea dataOnly="0" labelOnly="1" outline="0" fieldPosition="0">
        <references count="3">
          <reference field="4" count="1" selected="0">
            <x v="0"/>
          </reference>
          <reference field="5" count="1">
            <x v="1"/>
          </reference>
          <reference field="18" count="1" selected="0">
            <x v="39"/>
          </reference>
        </references>
      </pivotArea>
    </format>
    <format dxfId="636">
      <pivotArea dataOnly="0" labelOnly="1" outline="0" fieldPosition="0">
        <references count="3">
          <reference field="4" count="1" selected="0">
            <x v="0"/>
          </reference>
          <reference field="5" count="1">
            <x v="17"/>
          </reference>
          <reference field="18" count="1" selected="0">
            <x v="40"/>
          </reference>
        </references>
      </pivotArea>
    </format>
    <format dxfId="635">
      <pivotArea dataOnly="0" labelOnly="1" outline="0" fieldPosition="0">
        <references count="3">
          <reference field="4" count="1" selected="0">
            <x v="0"/>
          </reference>
          <reference field="5" count="1">
            <x v="106"/>
          </reference>
          <reference field="18" count="1" selected="0">
            <x v="41"/>
          </reference>
        </references>
      </pivotArea>
    </format>
    <format dxfId="634">
      <pivotArea dataOnly="0" labelOnly="1" outline="0" fieldPosition="0">
        <references count="3">
          <reference field="4" count="1" selected="0">
            <x v="0"/>
          </reference>
          <reference field="5" count="1">
            <x v="66"/>
          </reference>
          <reference field="18" count="1" selected="0">
            <x v="42"/>
          </reference>
        </references>
      </pivotArea>
    </format>
    <format dxfId="633">
      <pivotArea dataOnly="0" labelOnly="1" outline="0" fieldPosition="0">
        <references count="3">
          <reference field="4" count="1" selected="0">
            <x v="0"/>
          </reference>
          <reference field="5" count="1">
            <x v="94"/>
          </reference>
          <reference field="18" count="1" selected="0">
            <x v="43"/>
          </reference>
        </references>
      </pivotArea>
    </format>
    <format dxfId="632">
      <pivotArea dataOnly="0" labelOnly="1" outline="0" fieldPosition="0">
        <references count="3">
          <reference field="4" count="1" selected="0">
            <x v="0"/>
          </reference>
          <reference field="5" count="1">
            <x v="77"/>
          </reference>
          <reference field="18" count="1" selected="0">
            <x v="93"/>
          </reference>
        </references>
      </pivotArea>
    </format>
    <format dxfId="631">
      <pivotArea dataOnly="0" labelOnly="1" outline="0" fieldPosition="0">
        <references count="3">
          <reference field="4" count="1" selected="0">
            <x v="0"/>
          </reference>
          <reference field="5" count="1">
            <x v="112"/>
          </reference>
          <reference field="18" count="1" selected="0">
            <x v="111"/>
          </reference>
        </references>
      </pivotArea>
    </format>
    <format dxfId="630">
      <pivotArea dataOnly="0" labelOnly="1" outline="0" fieldPosition="0">
        <references count="3">
          <reference field="4" count="1" selected="0">
            <x v="0"/>
          </reference>
          <reference field="5" count="1">
            <x v="115"/>
          </reference>
          <reference field="18" count="1" selected="0">
            <x v="114"/>
          </reference>
        </references>
      </pivotArea>
    </format>
    <format dxfId="629">
      <pivotArea outline="0" collapsedLevelsAreSubtotals="1" fieldPosition="0">
        <references count="3">
          <reference field="4" count="1" selected="0">
            <x v="1"/>
          </reference>
          <reference field="5" count="3" selected="0">
            <x v="6"/>
            <x v="29"/>
            <x v="118"/>
          </reference>
          <reference field="18" count="3" selected="0">
            <x v="36"/>
            <x v="94"/>
            <x v="116"/>
          </reference>
        </references>
      </pivotArea>
    </format>
    <format dxfId="628">
      <pivotArea dataOnly="0" labelOnly="1" outline="0" fieldPosition="0">
        <references count="1">
          <reference field="4" count="1">
            <x v="1"/>
          </reference>
        </references>
      </pivotArea>
    </format>
    <format dxfId="627">
      <pivotArea dataOnly="0" labelOnly="1" outline="0" fieldPosition="0">
        <references count="2">
          <reference field="4" count="1" selected="0">
            <x v="1"/>
          </reference>
          <reference field="18" count="3">
            <x v="36"/>
            <x v="94"/>
            <x v="116"/>
          </reference>
        </references>
      </pivotArea>
    </format>
    <format dxfId="626">
      <pivotArea dataOnly="0" labelOnly="1" outline="0" fieldPosition="0">
        <references count="3">
          <reference field="4" count="1" selected="0">
            <x v="1"/>
          </reference>
          <reference field="5" count="1">
            <x v="6"/>
          </reference>
          <reference field="18" count="1" selected="0">
            <x v="36"/>
          </reference>
        </references>
      </pivotArea>
    </format>
    <format dxfId="625">
      <pivotArea dataOnly="0" labelOnly="1" outline="0" fieldPosition="0">
        <references count="3">
          <reference field="4" count="1" selected="0">
            <x v="1"/>
          </reference>
          <reference field="5" count="1">
            <x v="29"/>
          </reference>
          <reference field="18" count="1" selected="0">
            <x v="94"/>
          </reference>
        </references>
      </pivotArea>
    </format>
    <format dxfId="624">
      <pivotArea dataOnly="0" labelOnly="1" outline="0" fieldPosition="0">
        <references count="3">
          <reference field="4" count="1" selected="0">
            <x v="1"/>
          </reference>
          <reference field="5" count="1">
            <x v="118"/>
          </reference>
          <reference field="18" count="1" selected="0">
            <x v="116"/>
          </reference>
        </references>
      </pivotArea>
    </format>
    <format dxfId="623">
      <pivotArea outline="0" collapsedLevelsAreSubtotals="1" fieldPosition="0">
        <references count="3">
          <reference field="4" count="1" selected="0">
            <x v="2"/>
          </reference>
          <reference field="5" count="19" selected="0">
            <x v="0"/>
            <x v="2"/>
            <x v="3"/>
            <x v="5"/>
            <x v="7"/>
            <x v="14"/>
            <x v="30"/>
            <x v="54"/>
            <x v="63"/>
            <x v="67"/>
            <x v="83"/>
            <x v="86"/>
            <x v="102"/>
            <x v="103"/>
            <x v="107"/>
            <x v="114"/>
            <x v="117"/>
            <x v="122"/>
            <x v="123"/>
          </reference>
          <reference field="18" count="18" selected="0">
            <x v="0"/>
            <x v="62"/>
            <x v="64"/>
            <x v="65"/>
            <x v="66"/>
            <x v="83"/>
            <x v="84"/>
            <x v="85"/>
            <x v="86"/>
            <x v="87"/>
            <x v="88"/>
            <x v="89"/>
            <x v="90"/>
            <x v="91"/>
            <x v="92"/>
            <x v="113"/>
            <x v="120"/>
            <x v="121"/>
          </reference>
        </references>
      </pivotArea>
    </format>
    <format dxfId="622">
      <pivotArea dataOnly="0" labelOnly="1" outline="0" fieldPosition="0">
        <references count="1">
          <reference field="4" count="1">
            <x v="2"/>
          </reference>
        </references>
      </pivotArea>
    </format>
    <format dxfId="621">
      <pivotArea dataOnly="0" labelOnly="1" outline="0" fieldPosition="0">
        <references count="2">
          <reference field="4" count="1" selected="0">
            <x v="2"/>
          </reference>
          <reference field="18" count="18">
            <x v="0"/>
            <x v="62"/>
            <x v="64"/>
            <x v="65"/>
            <x v="66"/>
            <x v="83"/>
            <x v="84"/>
            <x v="85"/>
            <x v="86"/>
            <x v="87"/>
            <x v="88"/>
            <x v="89"/>
            <x v="90"/>
            <x v="91"/>
            <x v="92"/>
            <x v="113"/>
            <x v="120"/>
            <x v="121"/>
          </reference>
        </references>
      </pivotArea>
    </format>
    <format dxfId="620">
      <pivotArea dataOnly="0" labelOnly="1" outline="0" fieldPosition="0">
        <references count="3">
          <reference field="4" count="1" selected="0">
            <x v="2"/>
          </reference>
          <reference field="5" count="2">
            <x v="103"/>
            <x v="117"/>
          </reference>
          <reference field="18" count="1" selected="0">
            <x v="0"/>
          </reference>
        </references>
      </pivotArea>
    </format>
    <format dxfId="619">
      <pivotArea dataOnly="0" labelOnly="1" outline="0" fieldPosition="0">
        <references count="3">
          <reference field="4" count="1" selected="0">
            <x v="2"/>
          </reference>
          <reference field="5" count="1">
            <x v="54"/>
          </reference>
          <reference field="18" count="1" selected="0">
            <x v="62"/>
          </reference>
        </references>
      </pivotArea>
    </format>
    <format dxfId="618">
      <pivotArea dataOnly="0" labelOnly="1" outline="0" fieldPosition="0">
        <references count="3">
          <reference field="4" count="1" selected="0">
            <x v="2"/>
          </reference>
          <reference field="5" count="1">
            <x v="67"/>
          </reference>
          <reference field="18" count="1" selected="0">
            <x v="64"/>
          </reference>
        </references>
      </pivotArea>
    </format>
    <format dxfId="617">
      <pivotArea dataOnly="0" labelOnly="1" outline="0" fieldPosition="0">
        <references count="3">
          <reference field="4" count="1" selected="0">
            <x v="2"/>
          </reference>
          <reference field="5" count="1">
            <x v="107"/>
          </reference>
          <reference field="18" count="1" selected="0">
            <x v="65"/>
          </reference>
        </references>
      </pivotArea>
    </format>
    <format dxfId="616">
      <pivotArea dataOnly="0" labelOnly="1" outline="0" fieldPosition="0">
        <references count="3">
          <reference field="4" count="1" selected="0">
            <x v="2"/>
          </reference>
          <reference field="5" count="1">
            <x v="5"/>
          </reference>
          <reference field="18" count="1" selected="0">
            <x v="66"/>
          </reference>
        </references>
      </pivotArea>
    </format>
    <format dxfId="615">
      <pivotArea dataOnly="0" labelOnly="1" outline="0" fieldPosition="0">
        <references count="3">
          <reference field="4" count="1" selected="0">
            <x v="2"/>
          </reference>
          <reference field="5" count="1">
            <x v="3"/>
          </reference>
          <reference field="18" count="1" selected="0">
            <x v="83"/>
          </reference>
        </references>
      </pivotArea>
    </format>
    <format dxfId="614">
      <pivotArea dataOnly="0" labelOnly="1" outline="0" fieldPosition="0">
        <references count="3">
          <reference field="4" count="1" selected="0">
            <x v="2"/>
          </reference>
          <reference field="5" count="1">
            <x v="7"/>
          </reference>
          <reference field="18" count="1" selected="0">
            <x v="84"/>
          </reference>
        </references>
      </pivotArea>
    </format>
    <format dxfId="613">
      <pivotArea dataOnly="0" labelOnly="1" outline="0" fieldPosition="0">
        <references count="3">
          <reference field="4" count="1" selected="0">
            <x v="2"/>
          </reference>
          <reference field="5" count="1">
            <x v="2"/>
          </reference>
          <reference field="18" count="1" selected="0">
            <x v="85"/>
          </reference>
        </references>
      </pivotArea>
    </format>
    <format dxfId="612">
      <pivotArea dataOnly="0" labelOnly="1" outline="0" fieldPosition="0">
        <references count="3">
          <reference field="4" count="1" selected="0">
            <x v="2"/>
          </reference>
          <reference field="5" count="1">
            <x v="0"/>
          </reference>
          <reference field="18" count="1" selected="0">
            <x v="86"/>
          </reference>
        </references>
      </pivotArea>
    </format>
    <format dxfId="611">
      <pivotArea dataOnly="0" labelOnly="1" outline="0" fieldPosition="0">
        <references count="3">
          <reference field="4" count="1" selected="0">
            <x v="2"/>
          </reference>
          <reference field="5" count="1">
            <x v="30"/>
          </reference>
          <reference field="18" count="1" selected="0">
            <x v="87"/>
          </reference>
        </references>
      </pivotArea>
    </format>
    <format dxfId="610">
      <pivotArea dataOnly="0" labelOnly="1" outline="0" fieldPosition="0">
        <references count="3">
          <reference field="4" count="1" selected="0">
            <x v="2"/>
          </reference>
          <reference field="5" count="1">
            <x v="83"/>
          </reference>
          <reference field="18" count="1" selected="0">
            <x v="88"/>
          </reference>
        </references>
      </pivotArea>
    </format>
    <format dxfId="609">
      <pivotArea dataOnly="0" labelOnly="1" outline="0" fieldPosition="0">
        <references count="3">
          <reference field="4" count="1" selected="0">
            <x v="2"/>
          </reference>
          <reference field="5" count="1">
            <x v="86"/>
          </reference>
          <reference field="18" count="1" selected="0">
            <x v="89"/>
          </reference>
        </references>
      </pivotArea>
    </format>
    <format dxfId="608">
      <pivotArea dataOnly="0" labelOnly="1" outline="0" fieldPosition="0">
        <references count="3">
          <reference field="4" count="1" selected="0">
            <x v="2"/>
          </reference>
          <reference field="5" count="1">
            <x v="102"/>
          </reference>
          <reference field="18" count="1" selected="0">
            <x v="90"/>
          </reference>
        </references>
      </pivotArea>
    </format>
    <format dxfId="607">
      <pivotArea dataOnly="0" labelOnly="1" outline="0" fieldPosition="0">
        <references count="3">
          <reference field="4" count="1" selected="0">
            <x v="2"/>
          </reference>
          <reference field="5" count="1">
            <x v="14"/>
          </reference>
          <reference field="18" count="1" selected="0">
            <x v="91"/>
          </reference>
        </references>
      </pivotArea>
    </format>
    <format dxfId="606">
      <pivotArea dataOnly="0" labelOnly="1" outline="0" fieldPosition="0">
        <references count="3">
          <reference field="4" count="1" selected="0">
            <x v="2"/>
          </reference>
          <reference field="5" count="1">
            <x v="63"/>
          </reference>
          <reference field="18" count="1" selected="0">
            <x v="92"/>
          </reference>
        </references>
      </pivotArea>
    </format>
    <format dxfId="605">
      <pivotArea dataOnly="0" labelOnly="1" outline="0" fieldPosition="0">
        <references count="3">
          <reference field="4" count="1" selected="0">
            <x v="2"/>
          </reference>
          <reference field="5" count="1">
            <x v="114"/>
          </reference>
          <reference field="18" count="1" selected="0">
            <x v="113"/>
          </reference>
        </references>
      </pivotArea>
    </format>
    <format dxfId="604">
      <pivotArea dataOnly="0" labelOnly="1" outline="0" fieldPosition="0">
        <references count="3">
          <reference field="4" count="1" selected="0">
            <x v="2"/>
          </reference>
          <reference field="5" count="1">
            <x v="122"/>
          </reference>
          <reference field="18" count="1" selected="0">
            <x v="120"/>
          </reference>
        </references>
      </pivotArea>
    </format>
    <format dxfId="603">
      <pivotArea dataOnly="0" labelOnly="1" outline="0" fieldPosition="0">
        <references count="3">
          <reference field="4" count="1" selected="0">
            <x v="2"/>
          </reference>
          <reference field="5" count="1">
            <x v="123"/>
          </reference>
          <reference field="18" count="1" selected="0">
            <x v="121"/>
          </reference>
        </references>
      </pivotArea>
    </format>
    <format dxfId="602">
      <pivotArea outline="0" collapsedLevelsAreSubtotals="1" fieldPosition="0">
        <references count="3">
          <reference field="4" count="1" selected="0">
            <x v="3"/>
          </reference>
          <reference field="5" count="7" selected="0">
            <x v="21"/>
            <x v="22"/>
            <x v="61"/>
            <x v="120"/>
            <x v="125"/>
            <x v="130"/>
            <x v="134"/>
          </reference>
          <reference field="18" count="7" selected="0">
            <x v="101"/>
            <x v="105"/>
            <x v="106"/>
            <x v="118"/>
            <x v="123"/>
            <x v="128"/>
            <x v="129"/>
          </reference>
        </references>
      </pivotArea>
    </format>
    <format dxfId="601">
      <pivotArea dataOnly="0" labelOnly="1" outline="0" fieldPosition="0">
        <references count="1">
          <reference field="4" count="1">
            <x v="3"/>
          </reference>
        </references>
      </pivotArea>
    </format>
    <format dxfId="600">
      <pivotArea dataOnly="0" labelOnly="1" outline="0" fieldPosition="0">
        <references count="2">
          <reference field="4" count="1" selected="0">
            <x v="3"/>
          </reference>
          <reference field="18" count="7">
            <x v="101"/>
            <x v="105"/>
            <x v="106"/>
            <x v="118"/>
            <x v="123"/>
            <x v="128"/>
            <x v="129"/>
          </reference>
        </references>
      </pivotArea>
    </format>
    <format dxfId="599">
      <pivotArea dataOnly="0" labelOnly="1" outline="0" fieldPosition="0">
        <references count="3">
          <reference field="4" count="1" selected="0">
            <x v="3"/>
          </reference>
          <reference field="5" count="1">
            <x v="61"/>
          </reference>
          <reference field="18" count="1" selected="0">
            <x v="101"/>
          </reference>
        </references>
      </pivotArea>
    </format>
    <format dxfId="598">
      <pivotArea dataOnly="0" labelOnly="1" outline="0" fieldPosition="0">
        <references count="3">
          <reference field="4" count="1" selected="0">
            <x v="3"/>
          </reference>
          <reference field="5" count="1">
            <x v="21"/>
          </reference>
          <reference field="18" count="1" selected="0">
            <x v="105"/>
          </reference>
        </references>
      </pivotArea>
    </format>
    <format dxfId="597">
      <pivotArea dataOnly="0" labelOnly="1" outline="0" fieldPosition="0">
        <references count="3">
          <reference field="4" count="1" selected="0">
            <x v="3"/>
          </reference>
          <reference field="5" count="1">
            <x v="22"/>
          </reference>
          <reference field="18" count="1" selected="0">
            <x v="106"/>
          </reference>
        </references>
      </pivotArea>
    </format>
    <format dxfId="596">
      <pivotArea dataOnly="0" labelOnly="1" outline="0" fieldPosition="0">
        <references count="3">
          <reference field="4" count="1" selected="0">
            <x v="3"/>
          </reference>
          <reference field="5" count="1">
            <x v="120"/>
          </reference>
          <reference field="18" count="1" selected="0">
            <x v="118"/>
          </reference>
        </references>
      </pivotArea>
    </format>
    <format dxfId="595">
      <pivotArea dataOnly="0" labelOnly="1" outline="0" fieldPosition="0">
        <references count="3">
          <reference field="4" count="1" selected="0">
            <x v="3"/>
          </reference>
          <reference field="5" count="1">
            <x v="125"/>
          </reference>
          <reference field="18" count="1" selected="0">
            <x v="123"/>
          </reference>
        </references>
      </pivotArea>
    </format>
    <format dxfId="594">
      <pivotArea dataOnly="0" labelOnly="1" outline="0" fieldPosition="0">
        <references count="3">
          <reference field="4" count="1" selected="0">
            <x v="3"/>
          </reference>
          <reference field="5" count="1">
            <x v="130"/>
          </reference>
          <reference field="18" count="1" selected="0">
            <x v="128"/>
          </reference>
        </references>
      </pivotArea>
    </format>
    <format dxfId="593">
      <pivotArea dataOnly="0" labelOnly="1" outline="0" fieldPosition="0">
        <references count="3">
          <reference field="4" count="1" selected="0">
            <x v="3"/>
          </reference>
          <reference field="5" count="1">
            <x v="134"/>
          </reference>
          <reference field="18" count="1" selected="0">
            <x v="129"/>
          </reference>
        </references>
      </pivotArea>
    </format>
    <format dxfId="592">
      <pivotArea outline="0" collapsedLevelsAreSubtotals="1" fieldPosition="0">
        <references count="3">
          <reference field="4" count="1" selected="0">
            <x v="4"/>
          </reference>
          <reference field="5" count="9" selected="0">
            <x v="26"/>
            <x v="35"/>
            <x v="45"/>
            <x v="46"/>
            <x v="50"/>
            <x v="108"/>
            <x v="110"/>
            <x v="119"/>
            <x v="121"/>
          </reference>
          <reference field="18" count="9" selected="0">
            <x v="49"/>
            <x v="75"/>
            <x v="77"/>
            <x v="78"/>
            <x v="79"/>
            <x v="107"/>
            <x v="109"/>
            <x v="117"/>
            <x v="119"/>
          </reference>
        </references>
      </pivotArea>
    </format>
    <format dxfId="591">
      <pivotArea dataOnly="0" labelOnly="1" outline="0" fieldPosition="0">
        <references count="1">
          <reference field="4" count="1">
            <x v="4"/>
          </reference>
        </references>
      </pivotArea>
    </format>
    <format dxfId="590">
      <pivotArea dataOnly="0" labelOnly="1" outline="0" fieldPosition="0">
        <references count="2">
          <reference field="4" count="1" selected="0">
            <x v="4"/>
          </reference>
          <reference field="18" count="9">
            <x v="49"/>
            <x v="75"/>
            <x v="77"/>
            <x v="78"/>
            <x v="79"/>
            <x v="107"/>
            <x v="109"/>
            <x v="117"/>
            <x v="119"/>
          </reference>
        </references>
      </pivotArea>
    </format>
    <format dxfId="589">
      <pivotArea dataOnly="0" labelOnly="1" outline="0" fieldPosition="0">
        <references count="3">
          <reference field="4" count="1" selected="0">
            <x v="4"/>
          </reference>
          <reference field="5" count="1">
            <x v="50"/>
          </reference>
          <reference field="18" count="1" selected="0">
            <x v="49"/>
          </reference>
        </references>
      </pivotArea>
    </format>
    <format dxfId="588">
      <pivotArea dataOnly="0" labelOnly="1" outline="0" fieldPosition="0">
        <references count="3">
          <reference field="4" count="1" selected="0">
            <x v="4"/>
          </reference>
          <reference field="5" count="1">
            <x v="26"/>
          </reference>
          <reference field="18" count="1" selected="0">
            <x v="75"/>
          </reference>
        </references>
      </pivotArea>
    </format>
    <format dxfId="587">
      <pivotArea dataOnly="0" labelOnly="1" outline="0" fieldPosition="0">
        <references count="3">
          <reference field="4" count="1" selected="0">
            <x v="4"/>
          </reference>
          <reference field="5" count="1">
            <x v="46"/>
          </reference>
          <reference field="18" count="1" selected="0">
            <x v="77"/>
          </reference>
        </references>
      </pivotArea>
    </format>
    <format dxfId="586">
      <pivotArea dataOnly="0" labelOnly="1" outline="0" fieldPosition="0">
        <references count="3">
          <reference field="4" count="1" selected="0">
            <x v="4"/>
          </reference>
          <reference field="5" count="1">
            <x v="45"/>
          </reference>
          <reference field="18" count="1" selected="0">
            <x v="78"/>
          </reference>
        </references>
      </pivotArea>
    </format>
    <format dxfId="585">
      <pivotArea dataOnly="0" labelOnly="1" outline="0" fieldPosition="0">
        <references count="3">
          <reference field="4" count="1" selected="0">
            <x v="4"/>
          </reference>
          <reference field="5" count="1">
            <x v="35"/>
          </reference>
          <reference field="18" count="1" selected="0">
            <x v="79"/>
          </reference>
        </references>
      </pivotArea>
    </format>
    <format dxfId="584">
      <pivotArea dataOnly="0" labelOnly="1" outline="0" fieldPosition="0">
        <references count="3">
          <reference field="4" count="1" selected="0">
            <x v="4"/>
          </reference>
          <reference field="5" count="1">
            <x v="108"/>
          </reference>
          <reference field="18" count="1" selected="0">
            <x v="107"/>
          </reference>
        </references>
      </pivotArea>
    </format>
    <format dxfId="583">
      <pivotArea dataOnly="0" labelOnly="1" outline="0" fieldPosition="0">
        <references count="3">
          <reference field="4" count="1" selected="0">
            <x v="4"/>
          </reference>
          <reference field="5" count="1">
            <x v="110"/>
          </reference>
          <reference field="18" count="1" selected="0">
            <x v="109"/>
          </reference>
        </references>
      </pivotArea>
    </format>
    <format dxfId="582">
      <pivotArea dataOnly="0" labelOnly="1" outline="0" fieldPosition="0">
        <references count="3">
          <reference field="4" count="1" selected="0">
            <x v="4"/>
          </reference>
          <reference field="5" count="1">
            <x v="119"/>
          </reference>
          <reference field="18" count="1" selected="0">
            <x v="117"/>
          </reference>
        </references>
      </pivotArea>
    </format>
    <format dxfId="581">
      <pivotArea dataOnly="0" labelOnly="1" outline="0" fieldPosition="0">
        <references count="3">
          <reference field="4" count="1" selected="0">
            <x v="4"/>
          </reference>
          <reference field="5" count="1">
            <x v="121"/>
          </reference>
          <reference field="18" count="1" selected="0">
            <x v="119"/>
          </reference>
        </references>
      </pivotArea>
    </format>
    <format dxfId="580">
      <pivotArea outline="0" collapsedLevelsAreSubtotals="1" fieldPosition="0">
        <references count="3">
          <reference field="4" count="1" selected="0">
            <x v="5"/>
          </reference>
          <reference field="5" count="3" selected="0">
            <x v="15"/>
            <x v="48"/>
            <x v="135"/>
          </reference>
          <reference field="18" count="3" selected="0">
            <x v="102"/>
            <x v="103"/>
            <x v="133"/>
          </reference>
        </references>
      </pivotArea>
    </format>
    <format dxfId="579">
      <pivotArea dataOnly="0" labelOnly="1" outline="0" fieldPosition="0">
        <references count="1">
          <reference field="4" count="1">
            <x v="5"/>
          </reference>
        </references>
      </pivotArea>
    </format>
    <format dxfId="578">
      <pivotArea dataOnly="0" labelOnly="1" outline="0" fieldPosition="0">
        <references count="2">
          <reference field="4" count="1" selected="0">
            <x v="5"/>
          </reference>
          <reference field="18" count="3">
            <x v="102"/>
            <x v="103"/>
            <x v="133"/>
          </reference>
        </references>
      </pivotArea>
    </format>
    <format dxfId="577">
      <pivotArea dataOnly="0" labelOnly="1" outline="0" fieldPosition="0">
        <references count="3">
          <reference field="4" count="1" selected="0">
            <x v="5"/>
          </reference>
          <reference field="5" count="1">
            <x v="48"/>
          </reference>
          <reference field="18" count="1" selected="0">
            <x v="102"/>
          </reference>
        </references>
      </pivotArea>
    </format>
    <format dxfId="576">
      <pivotArea dataOnly="0" labelOnly="1" outline="0" fieldPosition="0">
        <references count="3">
          <reference field="4" count="1" selected="0">
            <x v="5"/>
          </reference>
          <reference field="5" count="1">
            <x v="15"/>
          </reference>
          <reference field="18" count="1" selected="0">
            <x v="103"/>
          </reference>
        </references>
      </pivotArea>
    </format>
    <format dxfId="575">
      <pivotArea dataOnly="0" labelOnly="1" outline="0" fieldPosition="0">
        <references count="3">
          <reference field="4" count="1" selected="0">
            <x v="5"/>
          </reference>
          <reference field="5" count="1">
            <x v="135"/>
          </reference>
          <reference field="18" count="1" selected="0">
            <x v="133"/>
          </reference>
        </references>
      </pivotArea>
    </format>
    <format dxfId="574">
      <pivotArea outline="0" collapsedLevelsAreSubtotals="1" fieldPosition="0">
        <references count="3">
          <reference field="4" count="1" selected="0">
            <x v="6"/>
          </reference>
          <reference field="5" count="3" selected="0">
            <x v="24"/>
            <x v="49"/>
            <x v="68"/>
          </reference>
          <reference field="18" count="3" selected="0">
            <x v="57"/>
            <x v="58"/>
            <x v="59"/>
          </reference>
        </references>
      </pivotArea>
    </format>
    <format dxfId="573">
      <pivotArea dataOnly="0" labelOnly="1" outline="0" fieldPosition="0">
        <references count="1">
          <reference field="4" count="1">
            <x v="6"/>
          </reference>
        </references>
      </pivotArea>
    </format>
    <format dxfId="572">
      <pivotArea dataOnly="0" labelOnly="1" outline="0" fieldPosition="0">
        <references count="2">
          <reference field="4" count="1" selected="0">
            <x v="6"/>
          </reference>
          <reference field="18" count="3">
            <x v="57"/>
            <x v="58"/>
            <x v="59"/>
          </reference>
        </references>
      </pivotArea>
    </format>
    <format dxfId="571">
      <pivotArea dataOnly="0" labelOnly="1" outline="0" fieldPosition="0">
        <references count="3">
          <reference field="4" count="1" selected="0">
            <x v="6"/>
          </reference>
          <reference field="5" count="1">
            <x v="49"/>
          </reference>
          <reference field="18" count="1" selected="0">
            <x v="57"/>
          </reference>
        </references>
      </pivotArea>
    </format>
    <format dxfId="570">
      <pivotArea dataOnly="0" labelOnly="1" outline="0" fieldPosition="0">
        <references count="3">
          <reference field="4" count="1" selected="0">
            <x v="6"/>
          </reference>
          <reference field="5" count="1">
            <x v="24"/>
          </reference>
          <reference field="18" count="1" selected="0">
            <x v="58"/>
          </reference>
        </references>
      </pivotArea>
    </format>
    <format dxfId="569">
      <pivotArea dataOnly="0" labelOnly="1" outline="0" fieldPosition="0">
        <references count="3">
          <reference field="4" count="1" selected="0">
            <x v="6"/>
          </reference>
          <reference field="5" count="1">
            <x v="68"/>
          </reference>
          <reference field="18" count="1" selected="0">
            <x v="59"/>
          </reference>
        </references>
      </pivotArea>
    </format>
    <format dxfId="568">
      <pivotArea outline="0" collapsedLevelsAreSubtotals="1" fieldPosition="0">
        <references count="3">
          <reference field="4" count="1" selected="0">
            <x v="7"/>
          </reference>
          <reference field="5" count="2" selected="0">
            <x v="69"/>
            <x v="93"/>
          </reference>
          <reference field="18" count="2" selected="0">
            <x v="60"/>
            <x v="80"/>
          </reference>
        </references>
      </pivotArea>
    </format>
    <format dxfId="567">
      <pivotArea dataOnly="0" labelOnly="1" outline="0" fieldPosition="0">
        <references count="1">
          <reference field="4" count="1">
            <x v="7"/>
          </reference>
        </references>
      </pivotArea>
    </format>
    <format dxfId="566">
      <pivotArea dataOnly="0" labelOnly="1" outline="0" fieldPosition="0">
        <references count="2">
          <reference field="4" count="1" selected="0">
            <x v="7"/>
          </reference>
          <reference field="18" count="2">
            <x v="60"/>
            <x v="80"/>
          </reference>
        </references>
      </pivotArea>
    </format>
    <format dxfId="565">
      <pivotArea dataOnly="0" labelOnly="1" outline="0" fieldPosition="0">
        <references count="3">
          <reference field="4" count="1" selected="0">
            <x v="7"/>
          </reference>
          <reference field="5" count="1">
            <x v="93"/>
          </reference>
          <reference field="18" count="1" selected="0">
            <x v="60"/>
          </reference>
        </references>
      </pivotArea>
    </format>
    <format dxfId="564">
      <pivotArea dataOnly="0" labelOnly="1" outline="0" fieldPosition="0">
        <references count="3">
          <reference field="4" count="1" selected="0">
            <x v="7"/>
          </reference>
          <reference field="5" count="1">
            <x v="69"/>
          </reference>
          <reference field="18" count="1" selected="0">
            <x v="80"/>
          </reference>
        </references>
      </pivotArea>
    </format>
    <format dxfId="563">
      <pivotArea outline="0" collapsedLevelsAreSubtotals="1" fieldPosition="0">
        <references count="3">
          <reference field="4" count="1" selected="0">
            <x v="8"/>
          </reference>
          <reference field="5" count="15" selected="0">
            <x v="11"/>
            <x v="16"/>
            <x v="20"/>
            <x v="32"/>
            <x v="33"/>
            <x v="34"/>
            <x v="43"/>
            <x v="47"/>
            <x v="55"/>
            <x v="71"/>
            <x v="72"/>
            <x v="74"/>
            <x v="76"/>
            <x v="87"/>
            <x v="113"/>
          </reference>
          <reference field="18" count="15" selected="0">
            <x v="44"/>
            <x v="46"/>
            <x v="47"/>
            <x v="48"/>
            <x v="52"/>
            <x v="53"/>
            <x v="54"/>
            <x v="55"/>
            <x v="56"/>
            <x v="71"/>
            <x v="72"/>
            <x v="73"/>
            <x v="74"/>
            <x v="76"/>
            <x v="112"/>
          </reference>
        </references>
      </pivotArea>
    </format>
    <format dxfId="562">
      <pivotArea dataOnly="0" labelOnly="1" outline="0" fieldPosition="0">
        <references count="1">
          <reference field="4" count="1">
            <x v="8"/>
          </reference>
        </references>
      </pivotArea>
    </format>
    <format dxfId="561">
      <pivotArea dataOnly="0" labelOnly="1" outline="0" fieldPosition="0">
        <references count="2">
          <reference field="4" count="1" selected="0">
            <x v="8"/>
          </reference>
          <reference field="18" count="15">
            <x v="44"/>
            <x v="46"/>
            <x v="47"/>
            <x v="48"/>
            <x v="52"/>
            <x v="53"/>
            <x v="54"/>
            <x v="55"/>
            <x v="56"/>
            <x v="71"/>
            <x v="72"/>
            <x v="73"/>
            <x v="74"/>
            <x v="76"/>
            <x v="112"/>
          </reference>
        </references>
      </pivotArea>
    </format>
    <format dxfId="560">
      <pivotArea dataOnly="0" labelOnly="1" outline="0" fieldPosition="0">
        <references count="3">
          <reference field="4" count="1" selected="0">
            <x v="8"/>
          </reference>
          <reference field="5" count="1">
            <x v="55"/>
          </reference>
          <reference field="18" count="1" selected="0">
            <x v="44"/>
          </reference>
        </references>
      </pivotArea>
    </format>
    <format dxfId="559">
      <pivotArea dataOnly="0" labelOnly="1" outline="0" fieldPosition="0">
        <references count="3">
          <reference field="4" count="1" selected="0">
            <x v="8"/>
          </reference>
          <reference field="5" count="1">
            <x v="47"/>
          </reference>
          <reference field="18" count="1" selected="0">
            <x v="46"/>
          </reference>
        </references>
      </pivotArea>
    </format>
    <format dxfId="558">
      <pivotArea dataOnly="0" labelOnly="1" outline="0" fieldPosition="0">
        <references count="3">
          <reference field="4" count="1" selected="0">
            <x v="8"/>
          </reference>
          <reference field="5" count="1">
            <x v="72"/>
          </reference>
          <reference field="18" count="1" selected="0">
            <x v="47"/>
          </reference>
        </references>
      </pivotArea>
    </format>
    <format dxfId="557">
      <pivotArea dataOnly="0" labelOnly="1" outline="0" fieldPosition="0">
        <references count="3">
          <reference field="4" count="1" selected="0">
            <x v="8"/>
          </reference>
          <reference field="5" count="1">
            <x v="43"/>
          </reference>
          <reference field="18" count="1" selected="0">
            <x v="48"/>
          </reference>
        </references>
      </pivotArea>
    </format>
    <format dxfId="556">
      <pivotArea dataOnly="0" labelOnly="1" outline="0" fieldPosition="0">
        <references count="3">
          <reference field="4" count="1" selected="0">
            <x v="8"/>
          </reference>
          <reference field="5" count="1">
            <x v="33"/>
          </reference>
          <reference field="18" count="1" selected="0">
            <x v="52"/>
          </reference>
        </references>
      </pivotArea>
    </format>
    <format dxfId="555">
      <pivotArea dataOnly="0" labelOnly="1" outline="0" fieldPosition="0">
        <references count="3">
          <reference field="4" count="1" selected="0">
            <x v="8"/>
          </reference>
          <reference field="5" count="1">
            <x v="34"/>
          </reference>
          <reference field="18" count="1" selected="0">
            <x v="53"/>
          </reference>
        </references>
      </pivotArea>
    </format>
    <format dxfId="554">
      <pivotArea dataOnly="0" labelOnly="1" outline="0" fieldPosition="0">
        <references count="3">
          <reference field="4" count="1" selected="0">
            <x v="8"/>
          </reference>
          <reference field="5" count="1">
            <x v="32"/>
          </reference>
          <reference field="18" count="1" selected="0">
            <x v="54"/>
          </reference>
        </references>
      </pivotArea>
    </format>
    <format dxfId="553">
      <pivotArea dataOnly="0" labelOnly="1" outline="0" fieldPosition="0">
        <references count="3">
          <reference field="4" count="1" selected="0">
            <x v="8"/>
          </reference>
          <reference field="5" count="1">
            <x v="74"/>
          </reference>
          <reference field="18" count="1" selected="0">
            <x v="55"/>
          </reference>
        </references>
      </pivotArea>
    </format>
    <format dxfId="552">
      <pivotArea dataOnly="0" labelOnly="1" outline="0" fieldPosition="0">
        <references count="3">
          <reference field="4" count="1" selected="0">
            <x v="8"/>
          </reference>
          <reference field="5" count="1">
            <x v="87"/>
          </reference>
          <reference field="18" count="1" selected="0">
            <x v="56"/>
          </reference>
        </references>
      </pivotArea>
    </format>
    <format dxfId="551">
      <pivotArea dataOnly="0" labelOnly="1" outline="0" fieldPosition="0">
        <references count="3">
          <reference field="4" count="1" selected="0">
            <x v="8"/>
          </reference>
          <reference field="5" count="1">
            <x v="20"/>
          </reference>
          <reference field="18" count="1" selected="0">
            <x v="71"/>
          </reference>
        </references>
      </pivotArea>
    </format>
    <format dxfId="550">
      <pivotArea dataOnly="0" labelOnly="1" outline="0" fieldPosition="0">
        <references count="3">
          <reference field="4" count="1" selected="0">
            <x v="8"/>
          </reference>
          <reference field="5" count="1">
            <x v="16"/>
          </reference>
          <reference field="18" count="1" selected="0">
            <x v="72"/>
          </reference>
        </references>
      </pivotArea>
    </format>
    <format dxfId="549">
      <pivotArea dataOnly="0" labelOnly="1" outline="0" fieldPosition="0">
        <references count="3">
          <reference field="4" count="1" selected="0">
            <x v="8"/>
          </reference>
          <reference field="5" count="1">
            <x v="11"/>
          </reference>
          <reference field="18" count="1" selected="0">
            <x v="73"/>
          </reference>
        </references>
      </pivotArea>
    </format>
    <format dxfId="548">
      <pivotArea dataOnly="0" labelOnly="1" outline="0" fieldPosition="0">
        <references count="3">
          <reference field="4" count="1" selected="0">
            <x v="8"/>
          </reference>
          <reference field="5" count="1">
            <x v="76"/>
          </reference>
          <reference field="18" count="1" selected="0">
            <x v="74"/>
          </reference>
        </references>
      </pivotArea>
    </format>
    <format dxfId="547">
      <pivotArea dataOnly="0" labelOnly="1" outline="0" fieldPosition="0">
        <references count="3">
          <reference field="4" count="1" selected="0">
            <x v="8"/>
          </reference>
          <reference field="5" count="1">
            <x v="71"/>
          </reference>
          <reference field="18" count="1" selected="0">
            <x v="76"/>
          </reference>
        </references>
      </pivotArea>
    </format>
    <format dxfId="546">
      <pivotArea dataOnly="0" labelOnly="1" outline="0" fieldPosition="0">
        <references count="3">
          <reference field="4" count="1" selected="0">
            <x v="8"/>
          </reference>
          <reference field="5" count="1">
            <x v="113"/>
          </reference>
          <reference field="18" count="1" selected="0">
            <x v="112"/>
          </reference>
        </references>
      </pivotArea>
    </format>
    <format dxfId="545">
      <pivotArea outline="0" collapsedLevelsAreSubtotals="1" fieldPosition="0">
        <references count="3">
          <reference field="4" count="1" selected="0">
            <x v="9"/>
          </reference>
          <reference field="5" count="3" selected="0">
            <x v="57"/>
            <x v="126"/>
            <x v="127"/>
          </reference>
          <reference field="18" count="3" selected="0">
            <x v="100"/>
            <x v="124"/>
            <x v="125"/>
          </reference>
        </references>
      </pivotArea>
    </format>
    <format dxfId="544">
      <pivotArea dataOnly="0" labelOnly="1" outline="0" fieldPosition="0">
        <references count="1">
          <reference field="4" count="1">
            <x v="9"/>
          </reference>
        </references>
      </pivotArea>
    </format>
    <format dxfId="543">
      <pivotArea dataOnly="0" labelOnly="1" outline="0" fieldPosition="0">
        <references count="2">
          <reference field="4" count="1" selected="0">
            <x v="9"/>
          </reference>
          <reference field="18" count="3">
            <x v="100"/>
            <x v="124"/>
            <x v="125"/>
          </reference>
        </references>
      </pivotArea>
    </format>
    <format dxfId="542">
      <pivotArea dataOnly="0" labelOnly="1" outline="0" fieldPosition="0">
        <references count="3">
          <reference field="4" count="1" selected="0">
            <x v="9"/>
          </reference>
          <reference field="5" count="1">
            <x v="57"/>
          </reference>
          <reference field="18" count="1" selected="0">
            <x v="100"/>
          </reference>
        </references>
      </pivotArea>
    </format>
    <format dxfId="541">
      <pivotArea dataOnly="0" labelOnly="1" outline="0" fieldPosition="0">
        <references count="3">
          <reference field="4" count="1" selected="0">
            <x v="9"/>
          </reference>
          <reference field="5" count="1">
            <x v="126"/>
          </reference>
          <reference field="18" count="1" selected="0">
            <x v="124"/>
          </reference>
        </references>
      </pivotArea>
    </format>
    <format dxfId="540">
      <pivotArea dataOnly="0" labelOnly="1" outline="0" fieldPosition="0">
        <references count="3">
          <reference field="4" count="1" selected="0">
            <x v="9"/>
          </reference>
          <reference field="5" count="1">
            <x v="127"/>
          </reference>
          <reference field="18" count="1" selected="0">
            <x v="125"/>
          </reference>
        </references>
      </pivotArea>
    </format>
    <format dxfId="539">
      <pivotArea outline="0" collapsedLevelsAreSubtotals="1" fieldPosition="0">
        <references count="3">
          <reference field="4" count="1" selected="0">
            <x v="10"/>
          </reference>
          <reference field="5" count="25" selected="0">
            <x v="8"/>
            <x v="9"/>
            <x v="10"/>
            <x v="18"/>
            <x v="19"/>
            <x v="23"/>
            <x v="27"/>
            <x v="28"/>
            <x v="42"/>
            <x v="44"/>
            <x v="52"/>
            <x v="53"/>
            <x v="65"/>
            <x v="73"/>
            <x v="75"/>
            <x v="85"/>
            <x v="88"/>
            <x v="92"/>
            <x v="95"/>
            <x v="96"/>
            <x v="97"/>
            <x v="98"/>
            <x v="105"/>
            <x v="117"/>
            <x v="132"/>
          </reference>
          <reference field="18" count="24" selected="0">
            <x v="0"/>
            <x v="1"/>
            <x v="2"/>
            <x v="3"/>
            <x v="4"/>
            <x v="5"/>
            <x v="6"/>
            <x v="7"/>
            <x v="8"/>
            <x v="9"/>
            <x v="10"/>
            <x v="11"/>
            <x v="12"/>
            <x v="13"/>
            <x v="14"/>
            <x v="15"/>
            <x v="16"/>
            <x v="17"/>
            <x v="18"/>
            <x v="19"/>
            <x v="20"/>
            <x v="21"/>
            <x v="82"/>
            <x v="131"/>
          </reference>
        </references>
      </pivotArea>
    </format>
    <format dxfId="538">
      <pivotArea dataOnly="0" labelOnly="1" outline="0" fieldPosition="0">
        <references count="1">
          <reference field="4" count="1">
            <x v="10"/>
          </reference>
        </references>
      </pivotArea>
    </format>
    <format dxfId="537">
      <pivotArea dataOnly="0" labelOnly="1" outline="0" fieldPosition="0">
        <references count="2">
          <reference field="4" count="1" selected="0">
            <x v="10"/>
          </reference>
          <reference field="18" count="24">
            <x v="0"/>
            <x v="1"/>
            <x v="2"/>
            <x v="3"/>
            <x v="4"/>
            <x v="5"/>
            <x v="6"/>
            <x v="7"/>
            <x v="8"/>
            <x v="9"/>
            <x v="10"/>
            <x v="11"/>
            <x v="12"/>
            <x v="13"/>
            <x v="14"/>
            <x v="15"/>
            <x v="16"/>
            <x v="17"/>
            <x v="18"/>
            <x v="19"/>
            <x v="20"/>
            <x v="21"/>
            <x v="82"/>
            <x v="131"/>
          </reference>
        </references>
      </pivotArea>
    </format>
    <format dxfId="536">
      <pivotArea dataOnly="0" labelOnly="1" outline="0" fieldPosition="0">
        <references count="3">
          <reference field="4" count="1" selected="0">
            <x v="10"/>
          </reference>
          <reference field="5" count="2">
            <x v="85"/>
            <x v="117"/>
          </reference>
          <reference field="18" count="1" selected="0">
            <x v="0"/>
          </reference>
        </references>
      </pivotArea>
    </format>
    <format dxfId="535">
      <pivotArea dataOnly="0" labelOnly="1" outline="0" fieldPosition="0">
        <references count="3">
          <reference field="4" count="1" selected="0">
            <x v="10"/>
          </reference>
          <reference field="5" count="1">
            <x v="95"/>
          </reference>
          <reference field="18" count="1" selected="0">
            <x v="1"/>
          </reference>
        </references>
      </pivotArea>
    </format>
    <format dxfId="534">
      <pivotArea dataOnly="0" labelOnly="1" outline="0" fieldPosition="0">
        <references count="3">
          <reference field="4" count="1" selected="0">
            <x v="10"/>
          </reference>
          <reference field="5" count="1">
            <x v="73"/>
          </reference>
          <reference field="18" count="1" selected="0">
            <x v="2"/>
          </reference>
        </references>
      </pivotArea>
    </format>
    <format dxfId="533">
      <pivotArea dataOnly="0" labelOnly="1" outline="0" fieldPosition="0">
        <references count="3">
          <reference field="4" count="1" selected="0">
            <x v="10"/>
          </reference>
          <reference field="5" count="1">
            <x v="97"/>
          </reference>
          <reference field="18" count="1" selected="0">
            <x v="3"/>
          </reference>
        </references>
      </pivotArea>
    </format>
    <format dxfId="532">
      <pivotArea dataOnly="0" labelOnly="1" outline="0" fieldPosition="0">
        <references count="3">
          <reference field="4" count="1" selected="0">
            <x v="10"/>
          </reference>
          <reference field="5" count="1">
            <x v="96"/>
          </reference>
          <reference field="18" count="1" selected="0">
            <x v="4"/>
          </reference>
        </references>
      </pivotArea>
    </format>
    <format dxfId="531">
      <pivotArea dataOnly="0" labelOnly="1" outline="0" fieldPosition="0">
        <references count="3">
          <reference field="4" count="1" selected="0">
            <x v="10"/>
          </reference>
          <reference field="5" count="1">
            <x v="98"/>
          </reference>
          <reference field="18" count="1" selected="0">
            <x v="5"/>
          </reference>
        </references>
      </pivotArea>
    </format>
    <format dxfId="530">
      <pivotArea dataOnly="0" labelOnly="1" outline="0" fieldPosition="0">
        <references count="3">
          <reference field="4" count="1" selected="0">
            <x v="10"/>
          </reference>
          <reference field="5" count="1">
            <x v="88"/>
          </reference>
          <reference field="18" count="1" selected="0">
            <x v="6"/>
          </reference>
        </references>
      </pivotArea>
    </format>
    <format dxfId="529">
      <pivotArea dataOnly="0" labelOnly="1" outline="0" fieldPosition="0">
        <references count="3">
          <reference field="4" count="1" selected="0">
            <x v="10"/>
          </reference>
          <reference field="5" count="1">
            <x v="44"/>
          </reference>
          <reference field="18" count="1" selected="0">
            <x v="7"/>
          </reference>
        </references>
      </pivotArea>
    </format>
    <format dxfId="528">
      <pivotArea dataOnly="0" labelOnly="1" outline="0" fieldPosition="0">
        <references count="3">
          <reference field="4" count="1" selected="0">
            <x v="10"/>
          </reference>
          <reference field="5" count="1">
            <x v="92"/>
          </reference>
          <reference field="18" count="1" selected="0">
            <x v="8"/>
          </reference>
        </references>
      </pivotArea>
    </format>
    <format dxfId="527">
      <pivotArea dataOnly="0" labelOnly="1" outline="0" fieldPosition="0">
        <references count="3">
          <reference field="4" count="1" selected="0">
            <x v="10"/>
          </reference>
          <reference field="5" count="1">
            <x v="9"/>
          </reference>
          <reference field="18" count="1" selected="0">
            <x v="9"/>
          </reference>
        </references>
      </pivotArea>
    </format>
    <format dxfId="526">
      <pivotArea dataOnly="0" labelOnly="1" outline="0" fieldPosition="0">
        <references count="3">
          <reference field="4" count="1" selected="0">
            <x v="10"/>
          </reference>
          <reference field="5" count="1">
            <x v="10"/>
          </reference>
          <reference field="18" count="1" selected="0">
            <x v="10"/>
          </reference>
        </references>
      </pivotArea>
    </format>
    <format dxfId="525">
      <pivotArea dataOnly="0" labelOnly="1" outline="0" fieldPosition="0">
        <references count="3">
          <reference field="4" count="1" selected="0">
            <x v="10"/>
          </reference>
          <reference field="5" count="1">
            <x v="8"/>
          </reference>
          <reference field="18" count="1" selected="0">
            <x v="11"/>
          </reference>
        </references>
      </pivotArea>
    </format>
    <format dxfId="524">
      <pivotArea dataOnly="0" labelOnly="1" outline="0" fieldPosition="0">
        <references count="3">
          <reference field="4" count="1" selected="0">
            <x v="10"/>
          </reference>
          <reference field="5" count="1">
            <x v="23"/>
          </reference>
          <reference field="18" count="1" selected="0">
            <x v="12"/>
          </reference>
        </references>
      </pivotArea>
    </format>
    <format dxfId="523">
      <pivotArea dataOnly="0" labelOnly="1" outline="0" fieldPosition="0">
        <references count="3">
          <reference field="4" count="1" selected="0">
            <x v="10"/>
          </reference>
          <reference field="5" count="1">
            <x v="28"/>
          </reference>
          <reference field="18" count="1" selected="0">
            <x v="13"/>
          </reference>
        </references>
      </pivotArea>
    </format>
    <format dxfId="522">
      <pivotArea dataOnly="0" labelOnly="1" outline="0" fieldPosition="0">
        <references count="3">
          <reference field="4" count="1" selected="0">
            <x v="10"/>
          </reference>
          <reference field="5" count="1">
            <x v="27"/>
          </reference>
          <reference field="18" count="1" selected="0">
            <x v="14"/>
          </reference>
        </references>
      </pivotArea>
    </format>
    <format dxfId="521">
      <pivotArea dataOnly="0" labelOnly="1" outline="0" fieldPosition="0">
        <references count="3">
          <reference field="4" count="1" selected="0">
            <x v="10"/>
          </reference>
          <reference field="5" count="1">
            <x v="42"/>
          </reference>
          <reference field="18" count="1" selected="0">
            <x v="15"/>
          </reference>
        </references>
      </pivotArea>
    </format>
    <format dxfId="520">
      <pivotArea dataOnly="0" labelOnly="1" outline="0" fieldPosition="0">
        <references count="3">
          <reference field="4" count="1" selected="0">
            <x v="10"/>
          </reference>
          <reference field="5" count="1">
            <x v="18"/>
          </reference>
          <reference field="18" count="1" selected="0">
            <x v="16"/>
          </reference>
        </references>
      </pivotArea>
    </format>
    <format dxfId="519">
      <pivotArea dataOnly="0" labelOnly="1" outline="0" fieldPosition="0">
        <references count="3">
          <reference field="4" count="1" selected="0">
            <x v="10"/>
          </reference>
          <reference field="5" count="1">
            <x v="19"/>
          </reference>
          <reference field="18" count="1" selected="0">
            <x v="17"/>
          </reference>
        </references>
      </pivotArea>
    </format>
    <format dxfId="518">
      <pivotArea dataOnly="0" labelOnly="1" outline="0" fieldPosition="0">
        <references count="3">
          <reference field="4" count="1" selected="0">
            <x v="10"/>
          </reference>
          <reference field="5" count="1">
            <x v="52"/>
          </reference>
          <reference field="18" count="1" selected="0">
            <x v="18"/>
          </reference>
        </references>
      </pivotArea>
    </format>
    <format dxfId="517">
      <pivotArea dataOnly="0" labelOnly="1" outline="0" fieldPosition="0">
        <references count="3">
          <reference field="4" count="1" selected="0">
            <x v="10"/>
          </reference>
          <reference field="5" count="1">
            <x v="53"/>
          </reference>
          <reference field="18" count="1" selected="0">
            <x v="19"/>
          </reference>
        </references>
      </pivotArea>
    </format>
    <format dxfId="516">
      <pivotArea dataOnly="0" labelOnly="1" outline="0" fieldPosition="0">
        <references count="3">
          <reference field="4" count="1" selected="0">
            <x v="10"/>
          </reference>
          <reference field="5" count="1">
            <x v="105"/>
          </reference>
          <reference field="18" count="1" selected="0">
            <x v="20"/>
          </reference>
        </references>
      </pivotArea>
    </format>
    <format dxfId="515">
      <pivotArea dataOnly="0" labelOnly="1" outline="0" fieldPosition="0">
        <references count="3">
          <reference field="4" count="1" selected="0">
            <x v="10"/>
          </reference>
          <reference field="5" count="1">
            <x v="65"/>
          </reference>
          <reference field="18" count="1" selected="0">
            <x v="21"/>
          </reference>
        </references>
      </pivotArea>
    </format>
    <format dxfId="514">
      <pivotArea dataOnly="0" labelOnly="1" outline="0" fieldPosition="0">
        <references count="3">
          <reference field="4" count="1" selected="0">
            <x v="10"/>
          </reference>
          <reference field="5" count="1">
            <x v="75"/>
          </reference>
          <reference field="18" count="1" selected="0">
            <x v="82"/>
          </reference>
        </references>
      </pivotArea>
    </format>
    <format dxfId="513">
      <pivotArea dataOnly="0" labelOnly="1" outline="0" fieldPosition="0">
        <references count="3">
          <reference field="4" count="1" selected="0">
            <x v="10"/>
          </reference>
          <reference field="5" count="1">
            <x v="132"/>
          </reference>
          <reference field="18" count="1" selected="0">
            <x v="131"/>
          </reference>
        </references>
      </pivotArea>
    </format>
    <format dxfId="512">
      <pivotArea outline="0" collapsedLevelsAreSubtotals="1" fieldPosition="0">
        <references count="3">
          <reference field="4" count="1" selected="0">
            <x v="11"/>
          </reference>
          <reference field="5" count="4" selected="0">
            <x v="59"/>
            <x v="60"/>
            <x v="128"/>
            <x v="129"/>
          </reference>
          <reference field="18" count="4" selected="0">
            <x v="98"/>
            <x v="99"/>
            <x v="126"/>
            <x v="127"/>
          </reference>
        </references>
      </pivotArea>
    </format>
    <format dxfId="511">
      <pivotArea dataOnly="0" labelOnly="1" outline="0" fieldPosition="0">
        <references count="1">
          <reference field="4" count="1">
            <x v="11"/>
          </reference>
        </references>
      </pivotArea>
    </format>
    <format dxfId="510">
      <pivotArea dataOnly="0" labelOnly="1" outline="0" fieldPosition="0">
        <references count="2">
          <reference field="4" count="1" selected="0">
            <x v="11"/>
          </reference>
          <reference field="18" count="4">
            <x v="98"/>
            <x v="99"/>
            <x v="126"/>
            <x v="127"/>
          </reference>
        </references>
      </pivotArea>
    </format>
    <format dxfId="509">
      <pivotArea dataOnly="0" labelOnly="1" outline="0" fieldPosition="0">
        <references count="3">
          <reference field="4" count="1" selected="0">
            <x v="11"/>
          </reference>
          <reference field="5" count="1">
            <x v="60"/>
          </reference>
          <reference field="18" count="1" selected="0">
            <x v="98"/>
          </reference>
        </references>
      </pivotArea>
    </format>
    <format dxfId="508">
      <pivotArea dataOnly="0" labelOnly="1" outline="0" fieldPosition="0">
        <references count="3">
          <reference field="4" count="1" selected="0">
            <x v="11"/>
          </reference>
          <reference field="5" count="1">
            <x v="59"/>
          </reference>
          <reference field="18" count="1" selected="0">
            <x v="99"/>
          </reference>
        </references>
      </pivotArea>
    </format>
    <format dxfId="507">
      <pivotArea dataOnly="0" labelOnly="1" outline="0" fieldPosition="0">
        <references count="3">
          <reference field="4" count="1" selected="0">
            <x v="11"/>
          </reference>
          <reference field="5" count="1">
            <x v="128"/>
          </reference>
          <reference field="18" count="1" selected="0">
            <x v="126"/>
          </reference>
        </references>
      </pivotArea>
    </format>
    <format dxfId="506">
      <pivotArea dataOnly="0" labelOnly="1" outline="0" fieldPosition="0">
        <references count="3">
          <reference field="4" count="1" selected="0">
            <x v="11"/>
          </reference>
          <reference field="5" count="1">
            <x v="129"/>
          </reference>
          <reference field="18" count="1" selected="0">
            <x v="127"/>
          </reference>
        </references>
      </pivotArea>
    </format>
    <format dxfId="505">
      <pivotArea outline="0" collapsedLevelsAreSubtotals="1" fieldPosition="0">
        <references count="3">
          <reference field="4" count="1" selected="0">
            <x v="12"/>
          </reference>
          <reference field="5" count="1" selected="0">
            <x v="64"/>
          </reference>
          <reference field="18" count="1" selected="0">
            <x v="104"/>
          </reference>
        </references>
      </pivotArea>
    </format>
    <format dxfId="504">
      <pivotArea dataOnly="0" labelOnly="1" outline="0" fieldPosition="0">
        <references count="1">
          <reference field="4" count="1">
            <x v="12"/>
          </reference>
        </references>
      </pivotArea>
    </format>
    <format dxfId="503">
      <pivotArea dataOnly="0" labelOnly="1" outline="0" fieldPosition="0">
        <references count="2">
          <reference field="4" count="1" selected="0">
            <x v="12"/>
          </reference>
          <reference field="18" count="1">
            <x v="104"/>
          </reference>
        </references>
      </pivotArea>
    </format>
    <format dxfId="502">
      <pivotArea dataOnly="0" labelOnly="1" outline="0" fieldPosition="0">
        <references count="3">
          <reference field="4" count="1" selected="0">
            <x v="12"/>
          </reference>
          <reference field="5" count="1">
            <x v="64"/>
          </reference>
          <reference field="18" count="1" selected="0">
            <x v="104"/>
          </reference>
        </references>
      </pivotArea>
    </format>
    <format dxfId="501">
      <pivotArea outline="0" collapsedLevelsAreSubtotals="1" fieldPosition="0">
        <references count="3">
          <reference field="4" count="1" selected="0">
            <x v="13"/>
          </reference>
          <reference field="5" count="2" selected="0">
            <x v="90"/>
            <x v="91"/>
          </reference>
          <reference field="18" count="2" selected="0">
            <x v="50"/>
            <x v="51"/>
          </reference>
        </references>
      </pivotArea>
    </format>
    <format dxfId="500">
      <pivotArea dataOnly="0" labelOnly="1" outline="0" fieldPosition="0">
        <references count="1">
          <reference field="4" count="1">
            <x v="13"/>
          </reference>
        </references>
      </pivotArea>
    </format>
    <format dxfId="499">
      <pivotArea dataOnly="0" labelOnly="1" outline="0" fieldPosition="0">
        <references count="2">
          <reference field="4" count="1" selected="0">
            <x v="13"/>
          </reference>
          <reference field="18" count="2">
            <x v="50"/>
            <x v="51"/>
          </reference>
        </references>
      </pivotArea>
    </format>
    <format dxfId="498">
      <pivotArea dataOnly="0" labelOnly="1" outline="0" fieldPosition="0">
        <references count="3">
          <reference field="4" count="1" selected="0">
            <x v="13"/>
          </reference>
          <reference field="5" count="1">
            <x v="90"/>
          </reference>
          <reference field="18" count="1" selected="0">
            <x v="50"/>
          </reference>
        </references>
      </pivotArea>
    </format>
    <format dxfId="497">
      <pivotArea dataOnly="0" labelOnly="1" outline="0" fieldPosition="0">
        <references count="3">
          <reference field="4" count="1" selected="0">
            <x v="13"/>
          </reference>
          <reference field="5" count="1">
            <x v="91"/>
          </reference>
          <reference field="18" count="1" selected="0">
            <x v="51"/>
          </reference>
        </references>
      </pivotArea>
    </format>
    <format dxfId="496">
      <pivotArea outline="0" collapsedLevelsAreSubtotals="1" fieldPosition="0">
        <references count="3">
          <reference field="4" count="1" selected="0">
            <x v="14"/>
          </reference>
          <reference field="5" count="22" selected="0">
            <x v="4"/>
            <x v="12"/>
            <x v="13"/>
            <x v="36"/>
            <x v="37"/>
            <x v="38"/>
            <x v="39"/>
            <x v="40"/>
            <x v="41"/>
            <x v="78"/>
            <x v="79"/>
            <x v="80"/>
            <x v="81"/>
            <x v="82"/>
            <x v="89"/>
            <x v="99"/>
            <x v="100"/>
            <x v="101"/>
            <x v="104"/>
            <x v="111"/>
            <x v="131"/>
            <x v="133"/>
          </reference>
          <reference field="18" count="22" selected="0">
            <x v="22"/>
            <x v="23"/>
            <x v="24"/>
            <x v="25"/>
            <x v="26"/>
            <x v="27"/>
            <x v="28"/>
            <x v="29"/>
            <x v="30"/>
            <x v="31"/>
            <x v="32"/>
            <x v="33"/>
            <x v="34"/>
            <x v="35"/>
            <x v="67"/>
            <x v="68"/>
            <x v="69"/>
            <x v="70"/>
            <x v="81"/>
            <x v="110"/>
            <x v="130"/>
            <x v="132"/>
          </reference>
        </references>
      </pivotArea>
    </format>
    <format dxfId="495">
      <pivotArea dataOnly="0" labelOnly="1" outline="0" fieldPosition="0">
        <references count="1">
          <reference field="4" count="1">
            <x v="14"/>
          </reference>
        </references>
      </pivotArea>
    </format>
    <format dxfId="494">
      <pivotArea dataOnly="0" labelOnly="1" outline="0" fieldPosition="0">
        <references count="2">
          <reference field="4" count="1" selected="0">
            <x v="14"/>
          </reference>
          <reference field="18" count="22">
            <x v="22"/>
            <x v="23"/>
            <x v="24"/>
            <x v="25"/>
            <x v="26"/>
            <x v="27"/>
            <x v="28"/>
            <x v="29"/>
            <x v="30"/>
            <x v="31"/>
            <x v="32"/>
            <x v="33"/>
            <x v="34"/>
            <x v="35"/>
            <x v="67"/>
            <x v="68"/>
            <x v="69"/>
            <x v="70"/>
            <x v="81"/>
            <x v="110"/>
            <x v="130"/>
            <x v="132"/>
          </reference>
        </references>
      </pivotArea>
    </format>
    <format dxfId="493">
      <pivotArea dataOnly="0" labelOnly="1" outline="0" fieldPosition="0">
        <references count="3">
          <reference field="4" count="1" selected="0">
            <x v="14"/>
          </reference>
          <reference field="5" count="1">
            <x v="80"/>
          </reference>
          <reference field="18" count="1" selected="0">
            <x v="22"/>
          </reference>
        </references>
      </pivotArea>
    </format>
    <format dxfId="492">
      <pivotArea dataOnly="0" labelOnly="1" outline="0" fieldPosition="0">
        <references count="3">
          <reference field="4" count="1" selected="0">
            <x v="14"/>
          </reference>
          <reference field="5" count="1">
            <x v="82"/>
          </reference>
          <reference field="18" count="1" selected="0">
            <x v="23"/>
          </reference>
        </references>
      </pivotArea>
    </format>
    <format dxfId="491">
      <pivotArea dataOnly="0" labelOnly="1" outline="0" fieldPosition="0">
        <references count="3">
          <reference field="4" count="1" selected="0">
            <x v="14"/>
          </reference>
          <reference field="5" count="1">
            <x v="36"/>
          </reference>
          <reference field="18" count="1" selected="0">
            <x v="24"/>
          </reference>
        </references>
      </pivotArea>
    </format>
    <format dxfId="490">
      <pivotArea dataOnly="0" labelOnly="1" outline="0" fieldPosition="0">
        <references count="3">
          <reference field="4" count="1" selected="0">
            <x v="14"/>
          </reference>
          <reference field="5" count="1">
            <x v="12"/>
          </reference>
          <reference field="18" count="1" selected="0">
            <x v="25"/>
          </reference>
        </references>
      </pivotArea>
    </format>
    <format dxfId="489">
      <pivotArea dataOnly="0" labelOnly="1" outline="0" fieldPosition="0">
        <references count="3">
          <reference field="4" count="1" selected="0">
            <x v="14"/>
          </reference>
          <reference field="5" count="1">
            <x v="39"/>
          </reference>
          <reference field="18" count="1" selected="0">
            <x v="26"/>
          </reference>
        </references>
      </pivotArea>
    </format>
    <format dxfId="488">
      <pivotArea dataOnly="0" labelOnly="1" outline="0" fieldPosition="0">
        <references count="3">
          <reference field="4" count="1" selected="0">
            <x v="14"/>
          </reference>
          <reference field="5" count="1">
            <x v="81"/>
          </reference>
          <reference field="18" count="1" selected="0">
            <x v="27"/>
          </reference>
        </references>
      </pivotArea>
    </format>
    <format dxfId="487">
      <pivotArea dataOnly="0" labelOnly="1" outline="0" fieldPosition="0">
        <references count="3">
          <reference field="4" count="1" selected="0">
            <x v="14"/>
          </reference>
          <reference field="5" count="1">
            <x v="38"/>
          </reference>
          <reference field="18" count="1" selected="0">
            <x v="28"/>
          </reference>
        </references>
      </pivotArea>
    </format>
    <format dxfId="486">
      <pivotArea dataOnly="0" labelOnly="1" outline="0" fieldPosition="0">
        <references count="3">
          <reference field="4" count="1" selected="0">
            <x v="14"/>
          </reference>
          <reference field="5" count="1">
            <x v="79"/>
          </reference>
          <reference field="18" count="1" selected="0">
            <x v="29"/>
          </reference>
        </references>
      </pivotArea>
    </format>
    <format dxfId="485">
      <pivotArea dataOnly="0" labelOnly="1" outline="0" fieldPosition="0">
        <references count="3">
          <reference field="4" count="1" selected="0">
            <x v="14"/>
          </reference>
          <reference field="5" count="1">
            <x v="101"/>
          </reference>
          <reference field="18" count="1" selected="0">
            <x v="30"/>
          </reference>
        </references>
      </pivotArea>
    </format>
    <format dxfId="484">
      <pivotArea dataOnly="0" labelOnly="1" outline="0" fieldPosition="0">
        <references count="3">
          <reference field="4" count="1" selected="0">
            <x v="14"/>
          </reference>
          <reference field="5" count="1">
            <x v="99"/>
          </reference>
          <reference field="18" count="1" selected="0">
            <x v="31"/>
          </reference>
        </references>
      </pivotArea>
    </format>
    <format dxfId="483">
      <pivotArea dataOnly="0" labelOnly="1" outline="0" fieldPosition="0">
        <references count="3">
          <reference field="4" count="1" selected="0">
            <x v="14"/>
          </reference>
          <reference field="5" count="1">
            <x v="100"/>
          </reference>
          <reference field="18" count="1" selected="0">
            <x v="32"/>
          </reference>
        </references>
      </pivotArea>
    </format>
    <format dxfId="482">
      <pivotArea dataOnly="0" labelOnly="1" outline="0" fieldPosition="0">
        <references count="3">
          <reference field="4" count="1" selected="0">
            <x v="14"/>
          </reference>
          <reference field="5" count="1">
            <x v="41"/>
          </reference>
          <reference field="18" count="1" selected="0">
            <x v="33"/>
          </reference>
        </references>
      </pivotArea>
    </format>
    <format dxfId="481">
      <pivotArea dataOnly="0" labelOnly="1" outline="0" fieldPosition="0">
        <references count="3">
          <reference field="4" count="1" selected="0">
            <x v="14"/>
          </reference>
          <reference field="5" count="1">
            <x v="40"/>
          </reference>
          <reference field="18" count="1" selected="0">
            <x v="34"/>
          </reference>
        </references>
      </pivotArea>
    </format>
    <format dxfId="480">
      <pivotArea dataOnly="0" labelOnly="1" outline="0" fieldPosition="0">
        <references count="3">
          <reference field="4" count="1" selected="0">
            <x v="14"/>
          </reference>
          <reference field="5" count="1">
            <x v="89"/>
          </reference>
          <reference field="18" count="1" selected="0">
            <x v="35"/>
          </reference>
        </references>
      </pivotArea>
    </format>
    <format dxfId="479">
      <pivotArea dataOnly="0" labelOnly="1" outline="0" fieldPosition="0">
        <references count="3">
          <reference field="4" count="1" selected="0">
            <x v="14"/>
          </reference>
          <reference field="5" count="1">
            <x v="4"/>
          </reference>
          <reference field="18" count="1" selected="0">
            <x v="67"/>
          </reference>
        </references>
      </pivotArea>
    </format>
    <format dxfId="478">
      <pivotArea dataOnly="0" labelOnly="1" outline="0" fieldPosition="0">
        <references count="3">
          <reference field="4" count="1" selected="0">
            <x v="14"/>
          </reference>
          <reference field="5" count="1">
            <x v="13"/>
          </reference>
          <reference field="18" count="1" selected="0">
            <x v="68"/>
          </reference>
        </references>
      </pivotArea>
    </format>
    <format dxfId="477">
      <pivotArea dataOnly="0" labelOnly="1" outline="0" fieldPosition="0">
        <references count="3">
          <reference field="4" count="1" selected="0">
            <x v="14"/>
          </reference>
          <reference field="5" count="1">
            <x v="104"/>
          </reference>
          <reference field="18" count="1" selected="0">
            <x v="69"/>
          </reference>
        </references>
      </pivotArea>
    </format>
    <format dxfId="476">
      <pivotArea dataOnly="0" labelOnly="1" outline="0" fieldPosition="0">
        <references count="3">
          <reference field="4" count="1" selected="0">
            <x v="14"/>
          </reference>
          <reference field="5" count="1">
            <x v="37"/>
          </reference>
          <reference field="18" count="1" selected="0">
            <x v="70"/>
          </reference>
        </references>
      </pivotArea>
    </format>
    <format dxfId="475">
      <pivotArea dataOnly="0" labelOnly="1" outline="0" fieldPosition="0">
        <references count="3">
          <reference field="4" count="1" selected="0">
            <x v="14"/>
          </reference>
          <reference field="5" count="1">
            <x v="78"/>
          </reference>
          <reference field="18" count="1" selected="0">
            <x v="81"/>
          </reference>
        </references>
      </pivotArea>
    </format>
    <format dxfId="474">
      <pivotArea dataOnly="0" labelOnly="1" outline="0" fieldPosition="0">
        <references count="3">
          <reference field="4" count="1" selected="0">
            <x v="14"/>
          </reference>
          <reference field="5" count="1">
            <x v="111"/>
          </reference>
          <reference field="18" count="1" selected="0">
            <x v="110"/>
          </reference>
        </references>
      </pivotArea>
    </format>
    <format dxfId="473">
      <pivotArea dataOnly="0" labelOnly="1" outline="0" fieldPosition="0">
        <references count="3">
          <reference field="4" count="1" selected="0">
            <x v="14"/>
          </reference>
          <reference field="5" count="1">
            <x v="131"/>
          </reference>
          <reference field="18" count="1" selected="0">
            <x v="130"/>
          </reference>
        </references>
      </pivotArea>
    </format>
    <format dxfId="472">
      <pivotArea dataOnly="0" labelOnly="1" outline="0" fieldPosition="0">
        <references count="3">
          <reference field="4" count="1" selected="0">
            <x v="14"/>
          </reference>
          <reference field="5" count="1">
            <x v="133"/>
          </reference>
          <reference field="18" count="1" selected="0">
            <x v="132"/>
          </reference>
        </references>
      </pivotArea>
    </format>
    <format dxfId="471">
      <pivotArea outline="0" collapsedLevelsAreSubtotals="1" fieldPosition="0">
        <references count="3">
          <reference field="4" count="1" selected="0">
            <x v="15"/>
          </reference>
          <reference field="5" count="1" selected="0">
            <x v="117"/>
          </reference>
          <reference field="18" count="1" selected="0">
            <x v="0"/>
          </reference>
        </references>
      </pivotArea>
    </format>
    <format dxfId="470">
      <pivotArea dataOnly="0" labelOnly="1" outline="0" fieldPosition="0">
        <references count="1">
          <reference field="4" count="1">
            <x v="15"/>
          </reference>
        </references>
      </pivotArea>
    </format>
    <format dxfId="469">
      <pivotArea dataOnly="0" labelOnly="1" outline="0" fieldPosition="0">
        <references count="2">
          <reference field="4" count="1" selected="0">
            <x v="15"/>
          </reference>
          <reference field="18" count="1">
            <x v="0"/>
          </reference>
        </references>
      </pivotArea>
    </format>
    <format dxfId="468">
      <pivotArea dataOnly="0" labelOnly="1" outline="0" fieldPosition="0">
        <references count="3">
          <reference field="4" count="1" selected="0">
            <x v="15"/>
          </reference>
          <reference field="5" count="1">
            <x v="117"/>
          </reference>
          <reference field="18" count="1" selected="0">
            <x v="0"/>
          </reference>
        </references>
      </pivotArea>
    </format>
    <format dxfId="467">
      <pivotArea grandRow="1" outline="0" collapsedLevelsAreSubtotals="1" fieldPosition="0"/>
    </format>
    <format dxfId="466">
      <pivotArea dataOnly="0" labelOnly="1" grandRow="1" outline="0" fieldPosition="0"/>
    </format>
    <format dxfId="465">
      <pivotArea type="all" dataOnly="0" outline="0" fieldPosition="0"/>
    </format>
    <format dxfId="464">
      <pivotArea dataOnly="0" labelOnly="1" outline="0" fieldPosition="0">
        <references count="1">
          <reference field="4" count="0"/>
        </references>
      </pivotArea>
    </format>
    <format dxfId="463">
      <pivotArea dataOnly="0" labelOnly="1" grandRow="1" outline="0" offset="A256" fieldPosition="0"/>
    </format>
    <format dxfId="462">
      <pivotArea field="5" type="button" dataOnly="0" labelOnly="1" outline="0" axis="axisRow" fieldPosition="2"/>
    </format>
    <format dxfId="461">
      <pivotArea dataOnly="0" labelOnly="1" grandRow="1" outline="0" offset="IV256" fieldPosition="0"/>
    </format>
    <format dxfId="460">
      <pivotArea dataOnly="0" labelOnly="1" outline="0" fieldPosition="0">
        <references count="3">
          <reference field="4" count="1" selected="0">
            <x v="0"/>
          </reference>
          <reference field="5" count="1">
            <x v="84"/>
          </reference>
          <reference field="18" count="1" selected="0">
            <x v="37"/>
          </reference>
        </references>
      </pivotArea>
    </format>
    <format dxfId="459">
      <pivotArea dataOnly="0" labelOnly="1" outline="0" fieldPosition="0">
        <references count="3">
          <reference field="4" count="1" selected="0">
            <x v="0"/>
          </reference>
          <reference field="5" count="1">
            <x v="31"/>
          </reference>
          <reference field="18" count="1" selected="0">
            <x v="38"/>
          </reference>
        </references>
      </pivotArea>
    </format>
    <format dxfId="458">
      <pivotArea dataOnly="0" labelOnly="1" outline="0" fieldPosition="0">
        <references count="3">
          <reference field="4" count="1" selected="0">
            <x v="0"/>
          </reference>
          <reference field="5" count="1">
            <x v="1"/>
          </reference>
          <reference field="18" count="1" selected="0">
            <x v="39"/>
          </reference>
        </references>
      </pivotArea>
    </format>
    <format dxfId="457">
      <pivotArea dataOnly="0" labelOnly="1" outline="0" fieldPosition="0">
        <references count="3">
          <reference field="4" count="1" selected="0">
            <x v="0"/>
          </reference>
          <reference field="5" count="1">
            <x v="17"/>
          </reference>
          <reference field="18" count="1" selected="0">
            <x v="40"/>
          </reference>
        </references>
      </pivotArea>
    </format>
    <format dxfId="456">
      <pivotArea dataOnly="0" labelOnly="1" outline="0" fieldPosition="0">
        <references count="3">
          <reference field="4" count="1" selected="0">
            <x v="0"/>
          </reference>
          <reference field="5" count="1">
            <x v="106"/>
          </reference>
          <reference field="18" count="1" selected="0">
            <x v="41"/>
          </reference>
        </references>
      </pivotArea>
    </format>
    <format dxfId="455">
      <pivotArea dataOnly="0" labelOnly="1" outline="0" fieldPosition="0">
        <references count="3">
          <reference field="4" count="1" selected="0">
            <x v="0"/>
          </reference>
          <reference field="5" count="1">
            <x v="66"/>
          </reference>
          <reference field="18" count="1" selected="0">
            <x v="42"/>
          </reference>
        </references>
      </pivotArea>
    </format>
    <format dxfId="454">
      <pivotArea dataOnly="0" labelOnly="1" outline="0" fieldPosition="0">
        <references count="3">
          <reference field="4" count="1" selected="0">
            <x v="0"/>
          </reference>
          <reference field="5" count="1">
            <x v="94"/>
          </reference>
          <reference field="18" count="1" selected="0">
            <x v="43"/>
          </reference>
        </references>
      </pivotArea>
    </format>
    <format dxfId="453">
      <pivotArea dataOnly="0" labelOnly="1" outline="0" fieldPosition="0">
        <references count="3">
          <reference field="4" count="1" selected="0">
            <x v="0"/>
          </reference>
          <reference field="5" count="1">
            <x v="77"/>
          </reference>
          <reference field="18" count="1" selected="0">
            <x v="93"/>
          </reference>
        </references>
      </pivotArea>
    </format>
    <format dxfId="452">
      <pivotArea dataOnly="0" labelOnly="1" outline="0" fieldPosition="0">
        <references count="3">
          <reference field="4" count="1" selected="0">
            <x v="0"/>
          </reference>
          <reference field="5" count="1">
            <x v="112"/>
          </reference>
          <reference field="18" count="1" selected="0">
            <x v="111"/>
          </reference>
        </references>
      </pivotArea>
    </format>
    <format dxfId="451">
      <pivotArea dataOnly="0" labelOnly="1" outline="0" fieldPosition="0">
        <references count="3">
          <reference field="4" count="1" selected="0">
            <x v="0"/>
          </reference>
          <reference field="5" count="1">
            <x v="115"/>
          </reference>
          <reference field="18" count="1" selected="0">
            <x v="114"/>
          </reference>
        </references>
      </pivotArea>
    </format>
    <format dxfId="450">
      <pivotArea dataOnly="0" labelOnly="1" outline="0" fieldPosition="0">
        <references count="3">
          <reference field="4" count="1" selected="0">
            <x v="1"/>
          </reference>
          <reference field="5" count="1">
            <x v="6"/>
          </reference>
          <reference field="18" count="1" selected="0">
            <x v="36"/>
          </reference>
        </references>
      </pivotArea>
    </format>
    <format dxfId="449">
      <pivotArea dataOnly="0" labelOnly="1" outline="0" fieldPosition="0">
        <references count="3">
          <reference field="4" count="1" selected="0">
            <x v="1"/>
          </reference>
          <reference field="5" count="1">
            <x v="29"/>
          </reference>
          <reference field="18" count="1" selected="0">
            <x v="94"/>
          </reference>
        </references>
      </pivotArea>
    </format>
    <format dxfId="448">
      <pivotArea dataOnly="0" labelOnly="1" outline="0" fieldPosition="0">
        <references count="3">
          <reference field="4" count="1" selected="0">
            <x v="1"/>
          </reference>
          <reference field="5" count="1">
            <x v="118"/>
          </reference>
          <reference field="18" count="1" selected="0">
            <x v="116"/>
          </reference>
        </references>
      </pivotArea>
    </format>
    <format dxfId="447">
      <pivotArea dataOnly="0" labelOnly="1" outline="0" fieldPosition="0">
        <references count="3">
          <reference field="4" count="1" selected="0">
            <x v="2"/>
          </reference>
          <reference field="5" count="2">
            <x v="103"/>
            <x v="117"/>
          </reference>
          <reference field="18" count="1" selected="0">
            <x v="0"/>
          </reference>
        </references>
      </pivotArea>
    </format>
    <format dxfId="446">
      <pivotArea dataOnly="0" labelOnly="1" outline="0" fieldPosition="0">
        <references count="3">
          <reference field="4" count="1" selected="0">
            <x v="2"/>
          </reference>
          <reference field="5" count="1">
            <x v="54"/>
          </reference>
          <reference field="18" count="1" selected="0">
            <x v="62"/>
          </reference>
        </references>
      </pivotArea>
    </format>
    <format dxfId="445">
      <pivotArea dataOnly="0" labelOnly="1" outline="0" fieldPosition="0">
        <references count="3">
          <reference field="4" count="1" selected="0">
            <x v="2"/>
          </reference>
          <reference field="5" count="1">
            <x v="67"/>
          </reference>
          <reference field="18" count="1" selected="0">
            <x v="64"/>
          </reference>
        </references>
      </pivotArea>
    </format>
    <format dxfId="444">
      <pivotArea dataOnly="0" labelOnly="1" outline="0" fieldPosition="0">
        <references count="3">
          <reference field="4" count="1" selected="0">
            <x v="2"/>
          </reference>
          <reference field="5" count="1">
            <x v="107"/>
          </reference>
          <reference field="18" count="1" selected="0">
            <x v="65"/>
          </reference>
        </references>
      </pivotArea>
    </format>
    <format dxfId="443">
      <pivotArea dataOnly="0" labelOnly="1" outline="0" fieldPosition="0">
        <references count="3">
          <reference field="4" count="1" selected="0">
            <x v="2"/>
          </reference>
          <reference field="5" count="1">
            <x v="5"/>
          </reference>
          <reference field="18" count="1" selected="0">
            <x v="66"/>
          </reference>
        </references>
      </pivotArea>
    </format>
    <format dxfId="442">
      <pivotArea dataOnly="0" labelOnly="1" outline="0" fieldPosition="0">
        <references count="3">
          <reference field="4" count="1" selected="0">
            <x v="2"/>
          </reference>
          <reference field="5" count="1">
            <x v="3"/>
          </reference>
          <reference field="18" count="1" selected="0">
            <x v="83"/>
          </reference>
        </references>
      </pivotArea>
    </format>
    <format dxfId="441">
      <pivotArea dataOnly="0" labelOnly="1" outline="0" fieldPosition="0">
        <references count="3">
          <reference field="4" count="1" selected="0">
            <x v="2"/>
          </reference>
          <reference field="5" count="1">
            <x v="7"/>
          </reference>
          <reference field="18" count="1" selected="0">
            <x v="84"/>
          </reference>
        </references>
      </pivotArea>
    </format>
    <format dxfId="440">
      <pivotArea dataOnly="0" labelOnly="1" outline="0" fieldPosition="0">
        <references count="3">
          <reference field="4" count="1" selected="0">
            <x v="2"/>
          </reference>
          <reference field="5" count="1">
            <x v="2"/>
          </reference>
          <reference field="18" count="1" selected="0">
            <x v="85"/>
          </reference>
        </references>
      </pivotArea>
    </format>
    <format dxfId="439">
      <pivotArea dataOnly="0" labelOnly="1" outline="0" fieldPosition="0">
        <references count="3">
          <reference field="4" count="1" selected="0">
            <x v="2"/>
          </reference>
          <reference field="5" count="1">
            <x v="0"/>
          </reference>
          <reference field="18" count="1" selected="0">
            <x v="86"/>
          </reference>
        </references>
      </pivotArea>
    </format>
    <format dxfId="438">
      <pivotArea dataOnly="0" labelOnly="1" outline="0" fieldPosition="0">
        <references count="3">
          <reference field="4" count="1" selected="0">
            <x v="2"/>
          </reference>
          <reference field="5" count="1">
            <x v="30"/>
          </reference>
          <reference field="18" count="1" selected="0">
            <x v="87"/>
          </reference>
        </references>
      </pivotArea>
    </format>
    <format dxfId="437">
      <pivotArea dataOnly="0" labelOnly="1" outline="0" fieldPosition="0">
        <references count="3">
          <reference field="4" count="1" selected="0">
            <x v="2"/>
          </reference>
          <reference field="5" count="1">
            <x v="83"/>
          </reference>
          <reference field="18" count="1" selected="0">
            <x v="88"/>
          </reference>
        </references>
      </pivotArea>
    </format>
    <format dxfId="436">
      <pivotArea dataOnly="0" labelOnly="1" outline="0" fieldPosition="0">
        <references count="3">
          <reference field="4" count="1" selected="0">
            <x v="2"/>
          </reference>
          <reference field="5" count="1">
            <x v="86"/>
          </reference>
          <reference field="18" count="1" selected="0">
            <x v="89"/>
          </reference>
        </references>
      </pivotArea>
    </format>
    <format dxfId="435">
      <pivotArea dataOnly="0" labelOnly="1" outline="0" fieldPosition="0">
        <references count="3">
          <reference field="4" count="1" selected="0">
            <x v="2"/>
          </reference>
          <reference field="5" count="1">
            <x v="102"/>
          </reference>
          <reference field="18" count="1" selected="0">
            <x v="90"/>
          </reference>
        </references>
      </pivotArea>
    </format>
    <format dxfId="434">
      <pivotArea dataOnly="0" labelOnly="1" outline="0" fieldPosition="0">
        <references count="3">
          <reference field="4" count="1" selected="0">
            <x v="2"/>
          </reference>
          <reference field="5" count="1">
            <x v="14"/>
          </reference>
          <reference field="18" count="1" selected="0">
            <x v="91"/>
          </reference>
        </references>
      </pivotArea>
    </format>
    <format dxfId="433">
      <pivotArea dataOnly="0" labelOnly="1" outline="0" fieldPosition="0">
        <references count="3">
          <reference field="4" count="1" selected="0">
            <x v="2"/>
          </reference>
          <reference field="5" count="1">
            <x v="63"/>
          </reference>
          <reference field="18" count="1" selected="0">
            <x v="92"/>
          </reference>
        </references>
      </pivotArea>
    </format>
    <format dxfId="432">
      <pivotArea dataOnly="0" labelOnly="1" outline="0" fieldPosition="0">
        <references count="3">
          <reference field="4" count="1" selected="0">
            <x v="2"/>
          </reference>
          <reference field="5" count="1">
            <x v="114"/>
          </reference>
          <reference field="18" count="1" selected="0">
            <x v="113"/>
          </reference>
        </references>
      </pivotArea>
    </format>
    <format dxfId="431">
      <pivotArea dataOnly="0" labelOnly="1" outline="0" fieldPosition="0">
        <references count="3">
          <reference field="4" count="1" selected="0">
            <x v="2"/>
          </reference>
          <reference field="5" count="1">
            <x v="122"/>
          </reference>
          <reference field="18" count="1" selected="0">
            <x v="120"/>
          </reference>
        </references>
      </pivotArea>
    </format>
    <format dxfId="430">
      <pivotArea dataOnly="0" labelOnly="1" outline="0" fieldPosition="0">
        <references count="3">
          <reference field="4" count="1" selected="0">
            <x v="2"/>
          </reference>
          <reference field="5" count="1">
            <x v="123"/>
          </reference>
          <reference field="18" count="1" selected="0">
            <x v="121"/>
          </reference>
        </references>
      </pivotArea>
    </format>
    <format dxfId="429">
      <pivotArea dataOnly="0" labelOnly="1" outline="0" fieldPosition="0">
        <references count="3">
          <reference field="4" count="1" selected="0">
            <x v="3"/>
          </reference>
          <reference field="5" count="1">
            <x v="61"/>
          </reference>
          <reference field="18" count="1" selected="0">
            <x v="101"/>
          </reference>
        </references>
      </pivotArea>
    </format>
    <format dxfId="428">
      <pivotArea dataOnly="0" labelOnly="1" outline="0" fieldPosition="0">
        <references count="3">
          <reference field="4" count="1" selected="0">
            <x v="3"/>
          </reference>
          <reference field="5" count="1">
            <x v="21"/>
          </reference>
          <reference field="18" count="1" selected="0">
            <x v="105"/>
          </reference>
        </references>
      </pivotArea>
    </format>
    <format dxfId="427">
      <pivotArea dataOnly="0" labelOnly="1" outline="0" fieldPosition="0">
        <references count="3">
          <reference field="4" count="1" selected="0">
            <x v="3"/>
          </reference>
          <reference field="5" count="1">
            <x v="22"/>
          </reference>
          <reference field="18" count="1" selected="0">
            <x v="106"/>
          </reference>
        </references>
      </pivotArea>
    </format>
    <format dxfId="426">
      <pivotArea dataOnly="0" labelOnly="1" outline="0" fieldPosition="0">
        <references count="3">
          <reference field="4" count="1" selected="0">
            <x v="3"/>
          </reference>
          <reference field="5" count="1">
            <x v="120"/>
          </reference>
          <reference field="18" count="1" selected="0">
            <x v="118"/>
          </reference>
        </references>
      </pivotArea>
    </format>
    <format dxfId="425">
      <pivotArea dataOnly="0" labelOnly="1" outline="0" fieldPosition="0">
        <references count="3">
          <reference field="4" count="1" selected="0">
            <x v="3"/>
          </reference>
          <reference field="5" count="1">
            <x v="125"/>
          </reference>
          <reference field="18" count="1" selected="0">
            <x v="123"/>
          </reference>
        </references>
      </pivotArea>
    </format>
    <format dxfId="424">
      <pivotArea dataOnly="0" labelOnly="1" outline="0" fieldPosition="0">
        <references count="3">
          <reference field="4" count="1" selected="0">
            <x v="3"/>
          </reference>
          <reference field="5" count="1">
            <x v="130"/>
          </reference>
          <reference field="18" count="1" selected="0">
            <x v="128"/>
          </reference>
        </references>
      </pivotArea>
    </format>
    <format dxfId="423">
      <pivotArea dataOnly="0" labelOnly="1" outline="0" fieldPosition="0">
        <references count="3">
          <reference field="4" count="1" selected="0">
            <x v="3"/>
          </reference>
          <reference field="5" count="1">
            <x v="134"/>
          </reference>
          <reference field="18" count="1" selected="0">
            <x v="129"/>
          </reference>
        </references>
      </pivotArea>
    </format>
    <format dxfId="422">
      <pivotArea dataOnly="0" labelOnly="1" outline="0" fieldPosition="0">
        <references count="3">
          <reference field="4" count="1" selected="0">
            <x v="4"/>
          </reference>
          <reference field="5" count="1">
            <x v="50"/>
          </reference>
          <reference field="18" count="1" selected="0">
            <x v="49"/>
          </reference>
        </references>
      </pivotArea>
    </format>
    <format dxfId="421">
      <pivotArea dataOnly="0" labelOnly="1" outline="0" fieldPosition="0">
        <references count="3">
          <reference field="4" count="1" selected="0">
            <x v="4"/>
          </reference>
          <reference field="5" count="1">
            <x v="26"/>
          </reference>
          <reference field="18" count="1" selected="0">
            <x v="75"/>
          </reference>
        </references>
      </pivotArea>
    </format>
    <format dxfId="420">
      <pivotArea dataOnly="0" labelOnly="1" outline="0" fieldPosition="0">
        <references count="3">
          <reference field="4" count="1" selected="0">
            <x v="4"/>
          </reference>
          <reference field="5" count="1">
            <x v="46"/>
          </reference>
          <reference field="18" count="1" selected="0">
            <x v="77"/>
          </reference>
        </references>
      </pivotArea>
    </format>
    <format dxfId="419">
      <pivotArea dataOnly="0" labelOnly="1" outline="0" fieldPosition="0">
        <references count="3">
          <reference field="4" count="1" selected="0">
            <x v="4"/>
          </reference>
          <reference field="5" count="1">
            <x v="45"/>
          </reference>
          <reference field="18" count="1" selected="0">
            <x v="78"/>
          </reference>
        </references>
      </pivotArea>
    </format>
    <format dxfId="418">
      <pivotArea dataOnly="0" labelOnly="1" outline="0" fieldPosition="0">
        <references count="3">
          <reference field="4" count="1" selected="0">
            <x v="4"/>
          </reference>
          <reference field="5" count="1">
            <x v="35"/>
          </reference>
          <reference field="18" count="1" selected="0">
            <x v="79"/>
          </reference>
        </references>
      </pivotArea>
    </format>
    <format dxfId="417">
      <pivotArea dataOnly="0" labelOnly="1" outline="0" fieldPosition="0">
        <references count="3">
          <reference field="4" count="1" selected="0">
            <x v="4"/>
          </reference>
          <reference field="5" count="1">
            <x v="108"/>
          </reference>
          <reference field="18" count="1" selected="0">
            <x v="107"/>
          </reference>
        </references>
      </pivotArea>
    </format>
    <format dxfId="416">
      <pivotArea dataOnly="0" labelOnly="1" outline="0" fieldPosition="0">
        <references count="3">
          <reference field="4" count="1" selected="0">
            <x v="4"/>
          </reference>
          <reference field="5" count="1">
            <x v="110"/>
          </reference>
          <reference field="18" count="1" selected="0">
            <x v="109"/>
          </reference>
        </references>
      </pivotArea>
    </format>
    <format dxfId="415">
      <pivotArea dataOnly="0" labelOnly="1" outline="0" fieldPosition="0">
        <references count="3">
          <reference field="4" count="1" selected="0">
            <x v="4"/>
          </reference>
          <reference field="5" count="1">
            <x v="119"/>
          </reference>
          <reference field="18" count="1" selected="0">
            <x v="117"/>
          </reference>
        </references>
      </pivotArea>
    </format>
    <format dxfId="414">
      <pivotArea dataOnly="0" labelOnly="1" outline="0" fieldPosition="0">
        <references count="3">
          <reference field="4" count="1" selected="0">
            <x v="4"/>
          </reference>
          <reference field="5" count="1">
            <x v="121"/>
          </reference>
          <reference field="18" count="1" selected="0">
            <x v="119"/>
          </reference>
        </references>
      </pivotArea>
    </format>
    <format dxfId="413">
      <pivotArea dataOnly="0" labelOnly="1" outline="0" fieldPosition="0">
        <references count="3">
          <reference field="4" count="1" selected="0">
            <x v="5"/>
          </reference>
          <reference field="5" count="1">
            <x v="48"/>
          </reference>
          <reference field="18" count="1" selected="0">
            <x v="102"/>
          </reference>
        </references>
      </pivotArea>
    </format>
    <format dxfId="412">
      <pivotArea dataOnly="0" labelOnly="1" outline="0" fieldPosition="0">
        <references count="3">
          <reference field="4" count="1" selected="0">
            <x v="5"/>
          </reference>
          <reference field="5" count="1">
            <x v="15"/>
          </reference>
          <reference field="18" count="1" selected="0">
            <x v="103"/>
          </reference>
        </references>
      </pivotArea>
    </format>
    <format dxfId="411">
      <pivotArea dataOnly="0" labelOnly="1" outline="0" fieldPosition="0">
        <references count="3">
          <reference field="4" count="1" selected="0">
            <x v="5"/>
          </reference>
          <reference field="5" count="1">
            <x v="135"/>
          </reference>
          <reference field="18" count="1" selected="0">
            <x v="133"/>
          </reference>
        </references>
      </pivotArea>
    </format>
    <format dxfId="410">
      <pivotArea dataOnly="0" labelOnly="1" outline="0" fieldPosition="0">
        <references count="3">
          <reference field="4" count="1" selected="0">
            <x v="6"/>
          </reference>
          <reference field="5" count="1">
            <x v="49"/>
          </reference>
          <reference field="18" count="1" selected="0">
            <x v="57"/>
          </reference>
        </references>
      </pivotArea>
    </format>
    <format dxfId="409">
      <pivotArea dataOnly="0" labelOnly="1" outline="0" fieldPosition="0">
        <references count="3">
          <reference field="4" count="1" selected="0">
            <x v="6"/>
          </reference>
          <reference field="5" count="1">
            <x v="24"/>
          </reference>
          <reference field="18" count="1" selected="0">
            <x v="58"/>
          </reference>
        </references>
      </pivotArea>
    </format>
    <format dxfId="408">
      <pivotArea dataOnly="0" labelOnly="1" outline="0" fieldPosition="0">
        <references count="3">
          <reference field="4" count="1" selected="0">
            <x v="6"/>
          </reference>
          <reference field="5" count="1">
            <x v="68"/>
          </reference>
          <reference field="18" count="1" selected="0">
            <x v="59"/>
          </reference>
        </references>
      </pivotArea>
    </format>
    <format dxfId="407">
      <pivotArea dataOnly="0" labelOnly="1" outline="0" fieldPosition="0">
        <references count="3">
          <reference field="4" count="1" selected="0">
            <x v="7"/>
          </reference>
          <reference field="5" count="1">
            <x v="93"/>
          </reference>
          <reference field="18" count="1" selected="0">
            <x v="60"/>
          </reference>
        </references>
      </pivotArea>
    </format>
    <format dxfId="406">
      <pivotArea dataOnly="0" labelOnly="1" outline="0" fieldPosition="0">
        <references count="3">
          <reference field="4" count="1" selected="0">
            <x v="7"/>
          </reference>
          <reference field="5" count="1">
            <x v="69"/>
          </reference>
          <reference field="18" count="1" selected="0">
            <x v="80"/>
          </reference>
        </references>
      </pivotArea>
    </format>
    <format dxfId="405">
      <pivotArea dataOnly="0" labelOnly="1" outline="0" fieldPosition="0">
        <references count="3">
          <reference field="4" count="1" selected="0">
            <x v="8"/>
          </reference>
          <reference field="5" count="1">
            <x v="55"/>
          </reference>
          <reference field="18" count="1" selected="0">
            <x v="44"/>
          </reference>
        </references>
      </pivotArea>
    </format>
    <format dxfId="404">
      <pivotArea dataOnly="0" labelOnly="1" outline="0" fieldPosition="0">
        <references count="3">
          <reference field="4" count="1" selected="0">
            <x v="8"/>
          </reference>
          <reference field="5" count="1">
            <x v="47"/>
          </reference>
          <reference field="18" count="1" selected="0">
            <x v="46"/>
          </reference>
        </references>
      </pivotArea>
    </format>
    <format dxfId="403">
      <pivotArea dataOnly="0" labelOnly="1" outline="0" fieldPosition="0">
        <references count="3">
          <reference field="4" count="1" selected="0">
            <x v="8"/>
          </reference>
          <reference field="5" count="1">
            <x v="72"/>
          </reference>
          <reference field="18" count="1" selected="0">
            <x v="47"/>
          </reference>
        </references>
      </pivotArea>
    </format>
    <format dxfId="402">
      <pivotArea dataOnly="0" labelOnly="1" outline="0" fieldPosition="0">
        <references count="3">
          <reference field="4" count="1" selected="0">
            <x v="8"/>
          </reference>
          <reference field="5" count="1">
            <x v="43"/>
          </reference>
          <reference field="18" count="1" selected="0">
            <x v="48"/>
          </reference>
        </references>
      </pivotArea>
    </format>
    <format dxfId="401">
      <pivotArea dataOnly="0" labelOnly="1" outline="0" fieldPosition="0">
        <references count="3">
          <reference field="4" count="1" selected="0">
            <x v="8"/>
          </reference>
          <reference field="5" count="1">
            <x v="33"/>
          </reference>
          <reference field="18" count="1" selected="0">
            <x v="52"/>
          </reference>
        </references>
      </pivotArea>
    </format>
    <format dxfId="400">
      <pivotArea dataOnly="0" labelOnly="1" outline="0" fieldPosition="0">
        <references count="3">
          <reference field="4" count="1" selected="0">
            <x v="8"/>
          </reference>
          <reference field="5" count="1">
            <x v="34"/>
          </reference>
          <reference field="18" count="1" selected="0">
            <x v="53"/>
          </reference>
        </references>
      </pivotArea>
    </format>
    <format dxfId="399">
      <pivotArea dataOnly="0" labelOnly="1" outline="0" fieldPosition="0">
        <references count="3">
          <reference field="4" count="1" selected="0">
            <x v="8"/>
          </reference>
          <reference field="5" count="1">
            <x v="32"/>
          </reference>
          <reference field="18" count="1" selected="0">
            <x v="54"/>
          </reference>
        </references>
      </pivotArea>
    </format>
    <format dxfId="398">
      <pivotArea dataOnly="0" labelOnly="1" outline="0" fieldPosition="0">
        <references count="3">
          <reference field="4" count="1" selected="0">
            <x v="8"/>
          </reference>
          <reference field="5" count="1">
            <x v="74"/>
          </reference>
          <reference field="18" count="1" selected="0">
            <x v="55"/>
          </reference>
        </references>
      </pivotArea>
    </format>
    <format dxfId="397">
      <pivotArea dataOnly="0" labelOnly="1" outline="0" fieldPosition="0">
        <references count="3">
          <reference field="4" count="1" selected="0">
            <x v="8"/>
          </reference>
          <reference field="5" count="1">
            <x v="87"/>
          </reference>
          <reference field="18" count="1" selected="0">
            <x v="56"/>
          </reference>
        </references>
      </pivotArea>
    </format>
    <format dxfId="396">
      <pivotArea dataOnly="0" labelOnly="1" outline="0" fieldPosition="0">
        <references count="3">
          <reference field="4" count="1" selected="0">
            <x v="8"/>
          </reference>
          <reference field="5" count="1">
            <x v="20"/>
          </reference>
          <reference field="18" count="1" selected="0">
            <x v="71"/>
          </reference>
        </references>
      </pivotArea>
    </format>
    <format dxfId="395">
      <pivotArea dataOnly="0" labelOnly="1" outline="0" fieldPosition="0">
        <references count="3">
          <reference field="4" count="1" selected="0">
            <x v="8"/>
          </reference>
          <reference field="5" count="1">
            <x v="16"/>
          </reference>
          <reference field="18" count="1" selected="0">
            <x v="72"/>
          </reference>
        </references>
      </pivotArea>
    </format>
    <format dxfId="394">
      <pivotArea dataOnly="0" labelOnly="1" outline="0" fieldPosition="0">
        <references count="3">
          <reference field="4" count="1" selected="0">
            <x v="8"/>
          </reference>
          <reference field="5" count="1">
            <x v="11"/>
          </reference>
          <reference field="18" count="1" selected="0">
            <x v="73"/>
          </reference>
        </references>
      </pivotArea>
    </format>
    <format dxfId="393">
      <pivotArea dataOnly="0" labelOnly="1" outline="0" fieldPosition="0">
        <references count="3">
          <reference field="4" count="1" selected="0">
            <x v="8"/>
          </reference>
          <reference field="5" count="1">
            <x v="76"/>
          </reference>
          <reference field="18" count="1" selected="0">
            <x v="74"/>
          </reference>
        </references>
      </pivotArea>
    </format>
    <format dxfId="392">
      <pivotArea dataOnly="0" labelOnly="1" outline="0" fieldPosition="0">
        <references count="3">
          <reference field="4" count="1" selected="0">
            <x v="8"/>
          </reference>
          <reference field="5" count="1">
            <x v="71"/>
          </reference>
          <reference field="18" count="1" selected="0">
            <x v="76"/>
          </reference>
        </references>
      </pivotArea>
    </format>
    <format dxfId="391">
      <pivotArea dataOnly="0" labelOnly="1" outline="0" fieldPosition="0">
        <references count="3">
          <reference field="4" count="1" selected="0">
            <x v="8"/>
          </reference>
          <reference field="5" count="1">
            <x v="113"/>
          </reference>
          <reference field="18" count="1" selected="0">
            <x v="112"/>
          </reference>
        </references>
      </pivotArea>
    </format>
    <format dxfId="390">
      <pivotArea dataOnly="0" labelOnly="1" outline="0" fieldPosition="0">
        <references count="3">
          <reference field="4" count="1" selected="0">
            <x v="9"/>
          </reference>
          <reference field="5" count="1">
            <x v="57"/>
          </reference>
          <reference field="18" count="1" selected="0">
            <x v="100"/>
          </reference>
        </references>
      </pivotArea>
    </format>
    <format dxfId="389">
      <pivotArea dataOnly="0" labelOnly="1" outline="0" fieldPosition="0">
        <references count="3">
          <reference field="4" count="1" selected="0">
            <x v="9"/>
          </reference>
          <reference field="5" count="1">
            <x v="126"/>
          </reference>
          <reference field="18" count="1" selected="0">
            <x v="124"/>
          </reference>
        </references>
      </pivotArea>
    </format>
    <format dxfId="388">
      <pivotArea dataOnly="0" labelOnly="1" outline="0" fieldPosition="0">
        <references count="3">
          <reference field="4" count="1" selected="0">
            <x v="9"/>
          </reference>
          <reference field="5" count="1">
            <x v="127"/>
          </reference>
          <reference field="18" count="1" selected="0">
            <x v="125"/>
          </reference>
        </references>
      </pivotArea>
    </format>
    <format dxfId="387">
      <pivotArea dataOnly="0" labelOnly="1" outline="0" fieldPosition="0">
        <references count="3">
          <reference field="4" count="1" selected="0">
            <x v="10"/>
          </reference>
          <reference field="5" count="2">
            <x v="85"/>
            <x v="117"/>
          </reference>
          <reference field="18" count="1" selected="0">
            <x v="0"/>
          </reference>
        </references>
      </pivotArea>
    </format>
    <format dxfId="386">
      <pivotArea dataOnly="0" labelOnly="1" outline="0" fieldPosition="0">
        <references count="3">
          <reference field="4" count="1" selected="0">
            <x v="10"/>
          </reference>
          <reference field="5" count="1">
            <x v="95"/>
          </reference>
          <reference field="18" count="1" selected="0">
            <x v="1"/>
          </reference>
        </references>
      </pivotArea>
    </format>
    <format dxfId="385">
      <pivotArea dataOnly="0" labelOnly="1" outline="0" fieldPosition="0">
        <references count="3">
          <reference field="4" count="1" selected="0">
            <x v="10"/>
          </reference>
          <reference field="5" count="1">
            <x v="73"/>
          </reference>
          <reference field="18" count="1" selected="0">
            <x v="2"/>
          </reference>
        </references>
      </pivotArea>
    </format>
    <format dxfId="384">
      <pivotArea dataOnly="0" labelOnly="1" outline="0" fieldPosition="0">
        <references count="3">
          <reference field="4" count="1" selected="0">
            <x v="10"/>
          </reference>
          <reference field="5" count="1">
            <x v="97"/>
          </reference>
          <reference field="18" count="1" selected="0">
            <x v="3"/>
          </reference>
        </references>
      </pivotArea>
    </format>
    <format dxfId="383">
      <pivotArea dataOnly="0" labelOnly="1" outline="0" fieldPosition="0">
        <references count="3">
          <reference field="4" count="1" selected="0">
            <x v="10"/>
          </reference>
          <reference field="5" count="1">
            <x v="96"/>
          </reference>
          <reference field="18" count="1" selected="0">
            <x v="4"/>
          </reference>
        </references>
      </pivotArea>
    </format>
    <format dxfId="382">
      <pivotArea dataOnly="0" labelOnly="1" outline="0" fieldPosition="0">
        <references count="3">
          <reference field="4" count="1" selected="0">
            <x v="10"/>
          </reference>
          <reference field="5" count="1">
            <x v="98"/>
          </reference>
          <reference field="18" count="1" selected="0">
            <x v="5"/>
          </reference>
        </references>
      </pivotArea>
    </format>
    <format dxfId="381">
      <pivotArea dataOnly="0" labelOnly="1" outline="0" fieldPosition="0">
        <references count="3">
          <reference field="4" count="1" selected="0">
            <x v="10"/>
          </reference>
          <reference field="5" count="1">
            <x v="88"/>
          </reference>
          <reference field="18" count="1" selected="0">
            <x v="6"/>
          </reference>
        </references>
      </pivotArea>
    </format>
    <format dxfId="380">
      <pivotArea dataOnly="0" labelOnly="1" outline="0" fieldPosition="0">
        <references count="3">
          <reference field="4" count="1" selected="0">
            <x v="10"/>
          </reference>
          <reference field="5" count="1">
            <x v="44"/>
          </reference>
          <reference field="18" count="1" selected="0">
            <x v="7"/>
          </reference>
        </references>
      </pivotArea>
    </format>
    <format dxfId="379">
      <pivotArea dataOnly="0" labelOnly="1" outline="0" fieldPosition="0">
        <references count="3">
          <reference field="4" count="1" selected="0">
            <x v="10"/>
          </reference>
          <reference field="5" count="1">
            <x v="92"/>
          </reference>
          <reference field="18" count="1" selected="0">
            <x v="8"/>
          </reference>
        </references>
      </pivotArea>
    </format>
    <format dxfId="378">
      <pivotArea dataOnly="0" labelOnly="1" outline="0" fieldPosition="0">
        <references count="3">
          <reference field="4" count="1" selected="0">
            <x v="10"/>
          </reference>
          <reference field="5" count="1">
            <x v="9"/>
          </reference>
          <reference field="18" count="1" selected="0">
            <x v="9"/>
          </reference>
        </references>
      </pivotArea>
    </format>
    <format dxfId="377">
      <pivotArea dataOnly="0" labelOnly="1" outline="0" fieldPosition="0">
        <references count="3">
          <reference field="4" count="1" selected="0">
            <x v="10"/>
          </reference>
          <reference field="5" count="1">
            <x v="10"/>
          </reference>
          <reference field="18" count="1" selected="0">
            <x v="10"/>
          </reference>
        </references>
      </pivotArea>
    </format>
    <format dxfId="376">
      <pivotArea dataOnly="0" labelOnly="1" outline="0" fieldPosition="0">
        <references count="3">
          <reference field="4" count="1" selected="0">
            <x v="10"/>
          </reference>
          <reference field="5" count="1">
            <x v="8"/>
          </reference>
          <reference field="18" count="1" selected="0">
            <x v="11"/>
          </reference>
        </references>
      </pivotArea>
    </format>
    <format dxfId="375">
      <pivotArea dataOnly="0" labelOnly="1" outline="0" fieldPosition="0">
        <references count="3">
          <reference field="4" count="1" selected="0">
            <x v="10"/>
          </reference>
          <reference field="5" count="1">
            <x v="23"/>
          </reference>
          <reference field="18" count="1" selected="0">
            <x v="12"/>
          </reference>
        </references>
      </pivotArea>
    </format>
    <format dxfId="374">
      <pivotArea dataOnly="0" labelOnly="1" outline="0" fieldPosition="0">
        <references count="3">
          <reference field="4" count="1" selected="0">
            <x v="10"/>
          </reference>
          <reference field="5" count="1">
            <x v="28"/>
          </reference>
          <reference field="18" count="1" selected="0">
            <x v="13"/>
          </reference>
        </references>
      </pivotArea>
    </format>
    <format dxfId="373">
      <pivotArea dataOnly="0" labelOnly="1" outline="0" fieldPosition="0">
        <references count="3">
          <reference field="4" count="1" selected="0">
            <x v="10"/>
          </reference>
          <reference field="5" count="1">
            <x v="27"/>
          </reference>
          <reference field="18" count="1" selected="0">
            <x v="14"/>
          </reference>
        </references>
      </pivotArea>
    </format>
    <format dxfId="372">
      <pivotArea dataOnly="0" labelOnly="1" outline="0" fieldPosition="0">
        <references count="3">
          <reference field="4" count="1" selected="0">
            <x v="10"/>
          </reference>
          <reference field="5" count="1">
            <x v="42"/>
          </reference>
          <reference field="18" count="1" selected="0">
            <x v="15"/>
          </reference>
        </references>
      </pivotArea>
    </format>
    <format dxfId="371">
      <pivotArea dataOnly="0" labelOnly="1" outline="0" fieldPosition="0">
        <references count="3">
          <reference field="4" count="1" selected="0">
            <x v="10"/>
          </reference>
          <reference field="5" count="1">
            <x v="18"/>
          </reference>
          <reference field="18" count="1" selected="0">
            <x v="16"/>
          </reference>
        </references>
      </pivotArea>
    </format>
    <format dxfId="370">
      <pivotArea dataOnly="0" labelOnly="1" outline="0" fieldPosition="0">
        <references count="3">
          <reference field="4" count="1" selected="0">
            <x v="10"/>
          </reference>
          <reference field="5" count="1">
            <x v="19"/>
          </reference>
          <reference field="18" count="1" selected="0">
            <x v="17"/>
          </reference>
        </references>
      </pivotArea>
    </format>
    <format dxfId="369">
      <pivotArea dataOnly="0" labelOnly="1" outline="0" fieldPosition="0">
        <references count="3">
          <reference field="4" count="1" selected="0">
            <x v="10"/>
          </reference>
          <reference field="5" count="1">
            <x v="52"/>
          </reference>
          <reference field="18" count="1" selected="0">
            <x v="18"/>
          </reference>
        </references>
      </pivotArea>
    </format>
    <format dxfId="368">
      <pivotArea dataOnly="0" labelOnly="1" outline="0" fieldPosition="0">
        <references count="3">
          <reference field="4" count="1" selected="0">
            <x v="10"/>
          </reference>
          <reference field="5" count="1">
            <x v="53"/>
          </reference>
          <reference field="18" count="1" selected="0">
            <x v="19"/>
          </reference>
        </references>
      </pivotArea>
    </format>
    <format dxfId="367">
      <pivotArea dataOnly="0" labelOnly="1" outline="0" fieldPosition="0">
        <references count="3">
          <reference field="4" count="1" selected="0">
            <x v="10"/>
          </reference>
          <reference field="5" count="1">
            <x v="105"/>
          </reference>
          <reference field="18" count="1" selected="0">
            <x v="20"/>
          </reference>
        </references>
      </pivotArea>
    </format>
    <format dxfId="366">
      <pivotArea dataOnly="0" labelOnly="1" outline="0" fieldPosition="0">
        <references count="3">
          <reference field="4" count="1" selected="0">
            <x v="10"/>
          </reference>
          <reference field="5" count="1">
            <x v="65"/>
          </reference>
          <reference field="18" count="1" selected="0">
            <x v="21"/>
          </reference>
        </references>
      </pivotArea>
    </format>
    <format dxfId="365">
      <pivotArea dataOnly="0" labelOnly="1" outline="0" fieldPosition="0">
        <references count="3">
          <reference field="4" count="1" selected="0">
            <x v="10"/>
          </reference>
          <reference field="5" count="1">
            <x v="75"/>
          </reference>
          <reference field="18" count="1" selected="0">
            <x v="82"/>
          </reference>
        </references>
      </pivotArea>
    </format>
    <format dxfId="364">
      <pivotArea dataOnly="0" labelOnly="1" outline="0" fieldPosition="0">
        <references count="3">
          <reference field="4" count="1" selected="0">
            <x v="10"/>
          </reference>
          <reference field="5" count="1">
            <x v="132"/>
          </reference>
          <reference field="18" count="1" selected="0">
            <x v="131"/>
          </reference>
        </references>
      </pivotArea>
    </format>
    <format dxfId="363">
      <pivotArea dataOnly="0" labelOnly="1" outline="0" fieldPosition="0">
        <references count="3">
          <reference field="4" count="1" selected="0">
            <x v="11"/>
          </reference>
          <reference field="5" count="1">
            <x v="60"/>
          </reference>
          <reference field="18" count="1" selected="0">
            <x v="98"/>
          </reference>
        </references>
      </pivotArea>
    </format>
    <format dxfId="362">
      <pivotArea dataOnly="0" labelOnly="1" outline="0" fieldPosition="0">
        <references count="3">
          <reference field="4" count="1" selected="0">
            <x v="11"/>
          </reference>
          <reference field="5" count="1">
            <x v="59"/>
          </reference>
          <reference field="18" count="1" selected="0">
            <x v="99"/>
          </reference>
        </references>
      </pivotArea>
    </format>
    <format dxfId="361">
      <pivotArea dataOnly="0" labelOnly="1" outline="0" fieldPosition="0">
        <references count="3">
          <reference field="4" count="1" selected="0">
            <x v="11"/>
          </reference>
          <reference field="5" count="1">
            <x v="128"/>
          </reference>
          <reference field="18" count="1" selected="0">
            <x v="126"/>
          </reference>
        </references>
      </pivotArea>
    </format>
    <format dxfId="360">
      <pivotArea dataOnly="0" labelOnly="1" outline="0" fieldPosition="0">
        <references count="3">
          <reference field="4" count="1" selected="0">
            <x v="11"/>
          </reference>
          <reference field="5" count="1">
            <x v="129"/>
          </reference>
          <reference field="18" count="1" selected="0">
            <x v="127"/>
          </reference>
        </references>
      </pivotArea>
    </format>
    <format dxfId="359">
      <pivotArea dataOnly="0" labelOnly="1" outline="0" fieldPosition="0">
        <references count="3">
          <reference field="4" count="1" selected="0">
            <x v="12"/>
          </reference>
          <reference field="5" count="1">
            <x v="64"/>
          </reference>
          <reference field="18" count="1" selected="0">
            <x v="104"/>
          </reference>
        </references>
      </pivotArea>
    </format>
    <format dxfId="358">
      <pivotArea dataOnly="0" labelOnly="1" outline="0" fieldPosition="0">
        <references count="3">
          <reference field="4" count="1" selected="0">
            <x v="13"/>
          </reference>
          <reference field="5" count="1">
            <x v="90"/>
          </reference>
          <reference field="18" count="1" selected="0">
            <x v="50"/>
          </reference>
        </references>
      </pivotArea>
    </format>
    <format dxfId="357">
      <pivotArea dataOnly="0" labelOnly="1" outline="0" fieldPosition="0">
        <references count="3">
          <reference field="4" count="1" selected="0">
            <x v="13"/>
          </reference>
          <reference field="5" count="1">
            <x v="91"/>
          </reference>
          <reference field="18" count="1" selected="0">
            <x v="51"/>
          </reference>
        </references>
      </pivotArea>
    </format>
    <format dxfId="356">
      <pivotArea dataOnly="0" labelOnly="1" outline="0" fieldPosition="0">
        <references count="3">
          <reference field="4" count="1" selected="0">
            <x v="14"/>
          </reference>
          <reference field="5" count="1">
            <x v="80"/>
          </reference>
          <reference field="18" count="1" selected="0">
            <x v="22"/>
          </reference>
        </references>
      </pivotArea>
    </format>
    <format dxfId="355">
      <pivotArea dataOnly="0" labelOnly="1" outline="0" fieldPosition="0">
        <references count="3">
          <reference field="4" count="1" selected="0">
            <x v="14"/>
          </reference>
          <reference field="5" count="1">
            <x v="82"/>
          </reference>
          <reference field="18" count="1" selected="0">
            <x v="23"/>
          </reference>
        </references>
      </pivotArea>
    </format>
    <format dxfId="354">
      <pivotArea dataOnly="0" labelOnly="1" outline="0" fieldPosition="0">
        <references count="3">
          <reference field="4" count="1" selected="0">
            <x v="14"/>
          </reference>
          <reference field="5" count="1">
            <x v="36"/>
          </reference>
          <reference field="18" count="1" selected="0">
            <x v="24"/>
          </reference>
        </references>
      </pivotArea>
    </format>
    <format dxfId="353">
      <pivotArea dataOnly="0" labelOnly="1" outline="0" fieldPosition="0">
        <references count="3">
          <reference field="4" count="1" selected="0">
            <x v="14"/>
          </reference>
          <reference field="5" count="1">
            <x v="12"/>
          </reference>
          <reference field="18" count="1" selected="0">
            <x v="25"/>
          </reference>
        </references>
      </pivotArea>
    </format>
    <format dxfId="352">
      <pivotArea dataOnly="0" labelOnly="1" outline="0" fieldPosition="0">
        <references count="3">
          <reference field="4" count="1" selected="0">
            <x v="14"/>
          </reference>
          <reference field="5" count="1">
            <x v="39"/>
          </reference>
          <reference field="18" count="1" selected="0">
            <x v="26"/>
          </reference>
        </references>
      </pivotArea>
    </format>
    <format dxfId="351">
      <pivotArea dataOnly="0" labelOnly="1" outline="0" fieldPosition="0">
        <references count="3">
          <reference field="4" count="1" selected="0">
            <x v="14"/>
          </reference>
          <reference field="5" count="1">
            <x v="81"/>
          </reference>
          <reference field="18" count="1" selected="0">
            <x v="27"/>
          </reference>
        </references>
      </pivotArea>
    </format>
    <format dxfId="350">
      <pivotArea dataOnly="0" labelOnly="1" outline="0" fieldPosition="0">
        <references count="3">
          <reference field="4" count="1" selected="0">
            <x v="14"/>
          </reference>
          <reference field="5" count="1">
            <x v="38"/>
          </reference>
          <reference field="18" count="1" selected="0">
            <x v="28"/>
          </reference>
        </references>
      </pivotArea>
    </format>
    <format dxfId="349">
      <pivotArea dataOnly="0" labelOnly="1" outline="0" fieldPosition="0">
        <references count="3">
          <reference field="4" count="1" selected="0">
            <x v="14"/>
          </reference>
          <reference field="5" count="1">
            <x v="79"/>
          </reference>
          <reference field="18" count="1" selected="0">
            <x v="29"/>
          </reference>
        </references>
      </pivotArea>
    </format>
    <format dxfId="348">
      <pivotArea dataOnly="0" labelOnly="1" outline="0" fieldPosition="0">
        <references count="3">
          <reference field="4" count="1" selected="0">
            <x v="14"/>
          </reference>
          <reference field="5" count="1">
            <x v="101"/>
          </reference>
          <reference field="18" count="1" selected="0">
            <x v="30"/>
          </reference>
        </references>
      </pivotArea>
    </format>
    <format dxfId="347">
      <pivotArea dataOnly="0" labelOnly="1" outline="0" fieldPosition="0">
        <references count="3">
          <reference field="4" count="1" selected="0">
            <x v="14"/>
          </reference>
          <reference field="5" count="1">
            <x v="99"/>
          </reference>
          <reference field="18" count="1" selected="0">
            <x v="31"/>
          </reference>
        </references>
      </pivotArea>
    </format>
    <format dxfId="346">
      <pivotArea dataOnly="0" labelOnly="1" outline="0" fieldPosition="0">
        <references count="3">
          <reference field="4" count="1" selected="0">
            <x v="14"/>
          </reference>
          <reference field="5" count="1">
            <x v="100"/>
          </reference>
          <reference field="18" count="1" selected="0">
            <x v="32"/>
          </reference>
        </references>
      </pivotArea>
    </format>
    <format dxfId="345">
      <pivotArea dataOnly="0" labelOnly="1" outline="0" fieldPosition="0">
        <references count="3">
          <reference field="4" count="1" selected="0">
            <x v="14"/>
          </reference>
          <reference field="5" count="1">
            <x v="41"/>
          </reference>
          <reference field="18" count="1" selected="0">
            <x v="33"/>
          </reference>
        </references>
      </pivotArea>
    </format>
    <format dxfId="344">
      <pivotArea dataOnly="0" labelOnly="1" outline="0" fieldPosition="0">
        <references count="3">
          <reference field="4" count="1" selected="0">
            <x v="14"/>
          </reference>
          <reference field="5" count="1">
            <x v="40"/>
          </reference>
          <reference field="18" count="1" selected="0">
            <x v="34"/>
          </reference>
        </references>
      </pivotArea>
    </format>
    <format dxfId="343">
      <pivotArea dataOnly="0" labelOnly="1" outline="0" fieldPosition="0">
        <references count="3">
          <reference field="4" count="1" selected="0">
            <x v="14"/>
          </reference>
          <reference field="5" count="1">
            <x v="89"/>
          </reference>
          <reference field="18" count="1" selected="0">
            <x v="35"/>
          </reference>
        </references>
      </pivotArea>
    </format>
    <format dxfId="342">
      <pivotArea dataOnly="0" labelOnly="1" outline="0" fieldPosition="0">
        <references count="3">
          <reference field="4" count="1" selected="0">
            <x v="14"/>
          </reference>
          <reference field="5" count="1">
            <x v="4"/>
          </reference>
          <reference field="18" count="1" selected="0">
            <x v="67"/>
          </reference>
        </references>
      </pivotArea>
    </format>
    <format dxfId="341">
      <pivotArea dataOnly="0" labelOnly="1" outline="0" fieldPosition="0">
        <references count="3">
          <reference field="4" count="1" selected="0">
            <x v="14"/>
          </reference>
          <reference field="5" count="1">
            <x v="13"/>
          </reference>
          <reference field="18" count="1" selected="0">
            <x v="68"/>
          </reference>
        </references>
      </pivotArea>
    </format>
    <format dxfId="340">
      <pivotArea dataOnly="0" labelOnly="1" outline="0" fieldPosition="0">
        <references count="3">
          <reference field="4" count="1" selected="0">
            <x v="14"/>
          </reference>
          <reference field="5" count="1">
            <x v="104"/>
          </reference>
          <reference field="18" count="1" selected="0">
            <x v="69"/>
          </reference>
        </references>
      </pivotArea>
    </format>
    <format dxfId="339">
      <pivotArea dataOnly="0" labelOnly="1" outline="0" fieldPosition="0">
        <references count="3">
          <reference field="4" count="1" selected="0">
            <x v="14"/>
          </reference>
          <reference field="5" count="1">
            <x v="37"/>
          </reference>
          <reference field="18" count="1" selected="0">
            <x v="70"/>
          </reference>
        </references>
      </pivotArea>
    </format>
    <format dxfId="338">
      <pivotArea dataOnly="0" labelOnly="1" outline="0" fieldPosition="0">
        <references count="3">
          <reference field="4" count="1" selected="0">
            <x v="14"/>
          </reference>
          <reference field="5" count="1">
            <x v="78"/>
          </reference>
          <reference field="18" count="1" selected="0">
            <x v="81"/>
          </reference>
        </references>
      </pivotArea>
    </format>
    <format dxfId="337">
      <pivotArea dataOnly="0" labelOnly="1" outline="0" fieldPosition="0">
        <references count="3">
          <reference field="4" count="1" selected="0">
            <x v="14"/>
          </reference>
          <reference field="5" count="1">
            <x v="111"/>
          </reference>
          <reference field="18" count="1" selected="0">
            <x v="110"/>
          </reference>
        </references>
      </pivotArea>
    </format>
    <format dxfId="336">
      <pivotArea dataOnly="0" labelOnly="1" outline="0" fieldPosition="0">
        <references count="3">
          <reference field="4" count="1" selected="0">
            <x v="14"/>
          </reference>
          <reference field="5" count="1">
            <x v="131"/>
          </reference>
          <reference field="18" count="1" selected="0">
            <x v="130"/>
          </reference>
        </references>
      </pivotArea>
    </format>
    <format dxfId="335">
      <pivotArea dataOnly="0" labelOnly="1" outline="0" fieldPosition="0">
        <references count="3">
          <reference field="4" count="1" selected="0">
            <x v="14"/>
          </reference>
          <reference field="5" count="1">
            <x v="133"/>
          </reference>
          <reference field="18" count="1" selected="0">
            <x v="132"/>
          </reference>
        </references>
      </pivotArea>
    </format>
    <format dxfId="334">
      <pivotArea dataOnly="0" labelOnly="1" outline="0" fieldPosition="0">
        <references count="3">
          <reference field="4" count="1" selected="0">
            <x v="15"/>
          </reference>
          <reference field="5" count="1">
            <x v="117"/>
          </reference>
          <reference field="18"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5" cacheId="16" applyNumberFormats="0" applyBorderFormats="0" applyFontFormats="0" applyPatternFormats="0" applyAlignmentFormats="0" applyWidthHeightFormats="1" dataCaption="Values" grandTotalCaption="Total" updatedVersion="5" minRefreshableVersion="3" useAutoFormatting="1" itemPrintTitles="1" createdVersion="4" indent="0" outline="1" outlineData="1" multipleFieldFilters="0" rowHeaderCaption="Township">
  <location ref="C21:H34" firstHeaderRow="0" firstDataRow="1" firstDataCol="1" rowPageCount="2" colPageCount="1"/>
  <pivotFields count="42">
    <pivotField axis="axisPage" multipleItemSelectionAllowed="1" showAll="0">
      <items count="3">
        <item h="1" x="1"/>
        <item x="0"/>
        <item t="default"/>
      </items>
    </pivotField>
    <pivotField showAll="0"/>
    <pivotField showAll="0"/>
    <pivotField showAll="0"/>
    <pivotField showAll="0"/>
    <pivotField showAll="0" sortType="descending">
      <items count="23">
        <item x="4"/>
        <item x="3"/>
        <item x="12"/>
        <item x="20"/>
        <item x="13"/>
        <item x="8"/>
        <item x="15"/>
        <item x="17"/>
        <item x="6"/>
        <item x="18"/>
        <item x="10"/>
        <item x="11"/>
        <item x="5"/>
        <item x="14"/>
        <item x="0"/>
        <item x="1"/>
        <item x="19"/>
        <item x="9"/>
        <item x="7"/>
        <item x="16"/>
        <item x="2"/>
        <item x="21"/>
        <item t="default"/>
      </items>
      <autoSortScope>
        <pivotArea dataOnly="0" outline="0" fieldPosition="0">
          <references count="1">
            <reference field="4294967294" count="1" selected="0">
              <x v="3"/>
            </reference>
          </references>
        </pivotArea>
      </autoSortScope>
    </pivotField>
    <pivotField showAll="0"/>
    <pivotField showAll="0"/>
    <pivotField showAll="0"/>
    <pivotField showAll="0"/>
    <pivotField showAll="0"/>
    <pivotField showAll="0" sortType="descending">
      <autoSortScope>
        <pivotArea dataOnly="0" outline="0" fieldPosition="0">
          <references count="1">
            <reference field="4294967294" count="1" selected="0">
              <x v="3"/>
            </reference>
          </references>
        </pivotArea>
      </autoSortScope>
    </pivotField>
    <pivotField dataField="1" showAll="0"/>
    <pivotField showAll="0"/>
    <pivotField showAll="0" defaultSubtotal="0"/>
    <pivotField showAll="0"/>
    <pivotField dataField="1" showAll="0"/>
    <pivotField dataField="1" showAll="0"/>
    <pivotField showAll="0"/>
    <pivotField showAll="0"/>
    <pivotField showAll="0" defaultSubtotal="0"/>
    <pivotField axis="axisPage" multipleItemSelectionAllowed="1" showAll="0">
      <items count="6">
        <item h="1" x="1"/>
        <item x="0"/>
        <item h="1" x="2"/>
        <item h="1" x="3"/>
        <item h="1" x="4"/>
        <item t="default"/>
      </items>
    </pivotField>
    <pivotField showAll="0"/>
    <pivotField showAll="0"/>
    <pivotField showAll="0"/>
    <pivotField showAll="0"/>
    <pivotField showAll="0"/>
    <pivotField showAll="0"/>
    <pivotField showAll="0"/>
    <pivotField showAll="0"/>
    <pivotField showAll="0"/>
    <pivotField dataField="1" showAll="0" defaultSubtotal="0"/>
    <pivotField showAll="0" defaultSubtotal="0"/>
    <pivotField dataField="1" showAll="0" defaultSubtotal="0"/>
    <pivotField showAll="0" defaultSubtotal="0"/>
    <pivotField showAll="0" defaultSubtotal="0"/>
    <pivotField showAll="0" defaultSubtotal="0"/>
    <pivotField dragToRow="0" dragToCol="0" dragToPage="0" showAll="0" defaultSubtotal="0"/>
    <pivotField axis="axisRow" showAll="0" defaultSubtotal="0">
      <items count="13">
        <item x="3"/>
        <item x="8"/>
        <item x="0"/>
        <item x="10"/>
        <item x="5"/>
        <item x="4"/>
        <item x="1"/>
        <item x="6"/>
        <item x="9"/>
        <item x="7"/>
        <item x="2"/>
        <item n="Other Townships" x="11"/>
        <item x="12"/>
      </items>
    </pivotField>
    <pivotField dragToRow="0" dragToCol="0" dragToPage="0" showAll="0" defaultSubtotal="0"/>
    <pivotField dragToRow="0" dragToCol="0" dragToPage="0" showAll="0" defaultSubtotal="0"/>
    <pivotField dragToRow="0" dragToCol="0" dragToPage="0" showAll="0" defaultSubtotal="0"/>
  </pivotFields>
  <rowFields count="1">
    <field x="38"/>
  </rowFields>
  <rowItems count="13">
    <i>
      <x/>
    </i>
    <i>
      <x v="1"/>
    </i>
    <i>
      <x v="2"/>
    </i>
    <i>
      <x v="3"/>
    </i>
    <i>
      <x v="5"/>
    </i>
    <i>
      <x v="6"/>
    </i>
    <i>
      <x v="7"/>
    </i>
    <i>
      <x v="8"/>
    </i>
    <i>
      <x v="9"/>
    </i>
    <i>
      <x v="10"/>
    </i>
    <i>
      <x v="11"/>
    </i>
    <i>
      <x v="12"/>
    </i>
    <i t="grand">
      <x/>
    </i>
  </rowItems>
  <colFields count="1">
    <field x="-2"/>
  </colFields>
  <colItems count="5">
    <i>
      <x/>
    </i>
    <i i="1">
      <x v="1"/>
    </i>
    <i i="2">
      <x v="2"/>
    </i>
    <i i="3">
      <x v="3"/>
    </i>
    <i i="4">
      <x v="4"/>
    </i>
  </colItems>
  <pageFields count="2">
    <pageField fld="0" hier="-1"/>
    <pageField fld="21" hier="-1"/>
  </pageFields>
  <dataFields count="5">
    <dataField name="# HH" fld="16" baseField="5" baseItem="20" numFmtId="165"/>
    <dataField name="# Ind." fld="17" baseField="5" baseItem="20" numFmtId="3"/>
    <dataField name="# Camps" fld="12" subtotal="count" baseField="0" baseItem="0"/>
    <dataField name="# Shelter Gap" fld="31" baseField="0" baseItem="0" numFmtId="165"/>
    <dataField name="# Const. Shelter" fld="33" baseField="0" baseItem="0" numFmtId="165"/>
  </dataFields>
  <formats count="10">
    <format dxfId="224">
      <pivotArea outline="0" collapsedLevelsAreSubtotals="1" fieldPosition="0">
        <references count="1">
          <reference field="4294967294" count="1" selected="0">
            <x v="0"/>
          </reference>
        </references>
      </pivotArea>
    </format>
    <format dxfId="223">
      <pivotArea outline="0" collapsedLevelsAreSubtotals="1" fieldPosition="0">
        <references count="1">
          <reference field="4294967294" count="2" selected="0">
            <x v="3"/>
            <x v="4"/>
          </reference>
        </references>
      </pivotArea>
    </format>
    <format dxfId="222">
      <pivotArea outline="0" fieldPosition="0">
        <references count="1">
          <reference field="4294967294" count="1">
            <x v="1"/>
          </reference>
        </references>
      </pivotArea>
    </format>
    <format dxfId="221">
      <pivotArea field="5" type="button" dataOnly="0" labelOnly="1" outline="0"/>
    </format>
    <format dxfId="220">
      <pivotArea dataOnly="0" labelOnly="1" outline="0" fieldPosition="0">
        <references count="1">
          <reference field="4294967294" count="5">
            <x v="0"/>
            <x v="1"/>
            <x v="2"/>
            <x v="3"/>
            <x v="4"/>
          </reference>
        </references>
      </pivotArea>
    </format>
    <format dxfId="219">
      <pivotArea field="5" type="button" dataOnly="0" labelOnly="1" outline="0"/>
    </format>
    <format dxfId="218">
      <pivotArea dataOnly="0" labelOnly="1" outline="0" fieldPosition="0">
        <references count="1">
          <reference field="4294967294" count="5">
            <x v="0"/>
            <x v="1"/>
            <x v="2"/>
            <x v="3"/>
            <x v="4"/>
          </reference>
        </references>
      </pivotArea>
    </format>
    <format dxfId="217">
      <pivotArea dataOnly="0" labelOnly="1" outline="0" fieldPosition="0">
        <references count="1">
          <reference field="4294967294" count="5">
            <x v="0"/>
            <x v="1"/>
            <x v="2"/>
            <x v="3"/>
            <x v="4"/>
          </reference>
        </references>
      </pivotArea>
    </format>
    <format dxfId="216">
      <pivotArea field="5" type="button" dataOnly="0" labelOnly="1" outline="0"/>
    </format>
    <format dxfId="215">
      <pivotArea type="all" dataOnly="0" outline="0" fieldPosition="0"/>
    </format>
  </formats>
  <pivotTableStyleInfo name="PivotStyleMedium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2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72:D79" firstHeaderRow="0" firstDataRow="1" firstDataCol="1" rowPageCount="3" colPageCount="1"/>
  <pivotFields count="47">
    <pivotField showAll="0" defaultSubtotal="0"/>
    <pivotField showAll="0"/>
    <pivotField axis="axisRow" showAll="0">
      <items count="14">
        <item x="11"/>
        <item x="6"/>
        <item x="8"/>
        <item x="3"/>
        <item x="4"/>
        <item x="1"/>
        <item x="2"/>
        <item x="10"/>
        <item x="9"/>
        <item x="5"/>
        <item x="0"/>
        <item x="7"/>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pivotField axis="axisPage" multipleItemSelectionAllowed="1" showAll="0" defaultSubtotal="0">
      <items count="2">
        <item h="1" x="0"/>
        <item x="1"/>
      </items>
    </pivotField>
    <pivotField showAll="0" defaultSubtotal="0"/>
    <pivotField showAll="0" defaultSubtotal="0"/>
    <pivotField multipleItemSelectionAllowed="1" showAll="0" defaultSubtotal="0"/>
    <pivotField axis="axisPage" multipleItemSelectionAllowed="1" showAll="0" defaultSubtotal="0">
      <items count="3">
        <item h="1" x="0"/>
        <item h="1" x="2"/>
        <item x="1"/>
      </items>
    </pivotField>
    <pivotField axis="axisPage" multipleItemSelectionAllowed="1" showAll="0" defaultSubtotal="0">
      <items count="6">
        <item h="1" x="0"/>
        <item x="3"/>
        <item h="1" x="5"/>
        <item h="1" x="4"/>
        <item h="1" x="2"/>
        <item h="1" x="1"/>
      </items>
    </pivotField>
    <pivotField showAll="0" defaultSubtotal="0"/>
    <pivotField showAll="0" defaultSubtotal="0"/>
    <pivotField showAll="0" defaultSubtotal="0"/>
  </pivotFields>
  <rowFields count="1">
    <field x="2"/>
  </rowFields>
  <rowItems count="7">
    <i>
      <x v="1"/>
    </i>
    <i>
      <x v="3"/>
    </i>
    <i>
      <x v="5"/>
    </i>
    <i>
      <x v="7"/>
    </i>
    <i>
      <x v="9"/>
    </i>
    <i>
      <x v="10"/>
    </i>
    <i t="grand">
      <x/>
    </i>
  </rowItems>
  <colFields count="1">
    <field x="-2"/>
  </colFields>
  <colItems count="3">
    <i>
      <x/>
    </i>
    <i i="1">
      <x v="1"/>
    </i>
    <i i="2">
      <x v="2"/>
    </i>
  </colItems>
  <pageFields count="3">
    <pageField fld="42" hier="-1"/>
    <pageField fld="43" hier="-1"/>
    <pageField fld="38" hier="-1"/>
  </pageFields>
  <dataFields count="3">
    <dataField name="Winter Clothes Adult " fld="17" baseField="2" baseItem="6"/>
    <dataField name="Winter Clothes Children " fld="18" baseField="2" baseItem="6"/>
    <dataField name="Winter Blanket " fld="20" baseField="2" baseItem="6"/>
  </dataFields>
  <formats count="10">
    <format dxfId="151">
      <pivotArea outline="0" collapsedLevelsAreSubtotals="1" fieldPosition="0"/>
    </format>
    <format dxfId="150">
      <pivotArea type="all" dataOnly="0" outline="0" fieldPosition="0"/>
    </format>
    <format dxfId="149">
      <pivotArea field="42" type="button" dataOnly="0" labelOnly="1" outline="0" axis="axisPage" fieldPosition="0"/>
    </format>
    <format dxfId="148">
      <pivotArea dataOnly="0" labelOnly="1" outline="0" fieldPosition="0">
        <references count="1">
          <reference field="42" count="0"/>
        </references>
      </pivotArea>
    </format>
    <format dxfId="147">
      <pivotArea field="43" type="button" dataOnly="0" labelOnly="1" outline="0" axis="axisPage" fieldPosition="1"/>
    </format>
    <format dxfId="146">
      <pivotArea dataOnly="0" labelOnly="1" outline="0" fieldPosition="0">
        <references count="1">
          <reference field="43" count="0"/>
        </references>
      </pivotArea>
    </format>
    <format dxfId="145">
      <pivotArea field="38" type="button" dataOnly="0" labelOnly="1" outline="0" axis="axisPage" fieldPosition="2"/>
    </format>
    <format dxfId="144">
      <pivotArea dataOnly="0" labelOnly="1" outline="0" fieldPosition="0">
        <references count="1">
          <reference field="38" count="0"/>
        </references>
      </pivotArea>
    </format>
    <format dxfId="143">
      <pivotArea field="2" type="button" dataOnly="0" labelOnly="1" outline="0" axis="axisRow" fieldPosition="0"/>
    </format>
    <format dxfId="142">
      <pivotArea dataOnly="0" labelOnly="1" outline="0" fieldPosition="0">
        <references count="1">
          <reference field="4294967294" count="3">
            <x v="0"/>
            <x v="1"/>
            <x v="2"/>
          </reference>
        </references>
      </pivotArea>
    </format>
  </formats>
  <chartFormats count="3">
    <chartFormat chart="10" format="6" series="1">
      <pivotArea type="data" outline="0" fieldPosition="0">
        <references count="1">
          <reference field="4294967294" count="1" selected="0">
            <x v="0"/>
          </reference>
        </references>
      </pivotArea>
    </chartFormat>
    <chartFormat chart="1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5" minRefreshableVersion="3" useAutoFormatting="1" colGrandTotals="0" itemPrintTitles="1" createdVersion="4" indent="0" outline="1" outlineData="1" multipleFieldFilters="0" chartFormat="7">
  <location ref="A62:G65" firstHeaderRow="0" firstDataRow="1" firstDataCol="1" rowPageCount="2" colPageCount="1"/>
  <pivotFields count="47">
    <pivotField showAll="0" defaultSubtotal="0"/>
    <pivotField showAll="0"/>
    <pivotField axis="axisRow" showAll="0">
      <items count="14">
        <item x="11"/>
        <item x="6"/>
        <item x="8"/>
        <item x="3"/>
        <item x="4"/>
        <item x="1"/>
        <item x="2"/>
        <item x="10"/>
        <item x="9"/>
        <item x="5"/>
        <item x="0"/>
        <item x="7"/>
        <item x="12"/>
        <item t="default"/>
      </items>
    </pivotField>
    <pivotField showAll="0"/>
    <pivotField multipleItemSelectionAllowed="1" showAll="0"/>
    <pivotField showAll="0"/>
    <pivotField showAll="0"/>
    <pivotField showAll="0" defaultSubtotal="0"/>
    <pivotField name="NFI Core Kit2" showAll="0" defaultSubtotal="0"/>
    <pivotField showAll="0" defaultSubtotal="0"/>
    <pivotField dataField="1" showAll="0" defaultSubtotal="0"/>
    <pivotField name="Tarpaulin2" dataField="1" showAll="0" defaultSubtotal="0"/>
    <pivotField name="Blanket2" dataField="1" showAll="0" defaultSubtotal="0"/>
    <pivotField name="Kitchen Set2" dataField="1"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3">
        <item x="0"/>
        <item x="1"/>
        <item h="1" x="2"/>
      </items>
    </pivotField>
    <pivotField axis="axisPage" multipleItemSelectionAllowed="1" showAll="0" defaultSubtotal="0">
      <items count="3">
        <item h="1" x="0"/>
        <item h="1" x="2"/>
        <item x="1"/>
      </items>
    </pivotField>
    <pivotField showAll="0" defaultSubtotal="0"/>
    <pivotField showAll="0" defaultSubtotal="0"/>
    <pivotField showAll="0" defaultSubtotal="0"/>
    <pivotField showAll="0" defaultSubtotal="0"/>
  </pivotFields>
  <rowFields count="1">
    <field x="2"/>
  </rowFields>
  <rowItems count="3">
    <i>
      <x v="9"/>
    </i>
    <i>
      <x v="10"/>
    </i>
    <i t="grand">
      <x/>
    </i>
  </rowItems>
  <colFields count="1">
    <field x="-2"/>
  </colFields>
  <colItems count="6">
    <i>
      <x/>
    </i>
    <i i="1">
      <x v="1"/>
    </i>
    <i i="2">
      <x v="2"/>
    </i>
    <i i="3">
      <x v="3"/>
    </i>
    <i i="4">
      <x v="4"/>
    </i>
    <i i="5">
      <x v="5"/>
    </i>
  </colItems>
  <pageFields count="2">
    <pageField fld="42" hier="-1"/>
    <pageField fld="41" hier="-1"/>
  </pageFields>
  <dataFields count="6">
    <dataField name="Mosquito net " fld="10" baseField="0" baseItem="0"/>
    <dataField name="Tarpaulin" fld="11" baseField="0" baseItem="0"/>
    <dataField name="Blanket" fld="12" baseField="0" baseItem="0"/>
    <dataField name="Kitchen Set" fld="13" baseField="0" baseItem="0"/>
    <dataField name="Plastic Bucket " fld="15" baseField="0" baseItem="0"/>
    <dataField name="Plastic Mat " fld="16" baseField="0" baseItem="0"/>
  </dataFields>
  <formats count="2">
    <format dxfId="153">
      <pivotArea outline="0" collapsedLevelsAreSubtotals="1" fieldPosition="0"/>
    </format>
    <format dxfId="152">
      <pivotArea type="all" dataOnly="0" outline="0" fieldPosition="0"/>
    </format>
  </formats>
  <chartFormats count="6">
    <chartFormat chart="5" format="35" series="1">
      <pivotArea type="data" outline="0" fieldPosition="0">
        <references count="1">
          <reference field="4294967294" count="1" selected="0">
            <x v="0"/>
          </reference>
        </references>
      </pivotArea>
    </chartFormat>
    <chartFormat chart="5" format="36" series="1">
      <pivotArea type="data" outline="0" fieldPosition="0">
        <references count="1">
          <reference field="4294967294" count="1" selected="0">
            <x v="1"/>
          </reference>
        </references>
      </pivotArea>
    </chartFormat>
    <chartFormat chart="5" format="37" series="1">
      <pivotArea type="data" outline="0" fieldPosition="0">
        <references count="1">
          <reference field="4294967294" count="1" selected="0">
            <x v="2"/>
          </reference>
        </references>
      </pivotArea>
    </chartFormat>
    <chartFormat chart="5" format="38" series="1">
      <pivotArea type="data" outline="0" fieldPosition="0">
        <references count="1">
          <reference field="4294967294" count="1" selected="0">
            <x v="3"/>
          </reference>
        </references>
      </pivotArea>
    </chartFormat>
    <chartFormat chart="5" format="40" series="1">
      <pivotArea type="data" outline="0" fieldPosition="0">
        <references count="1">
          <reference field="4294967294" count="1" selected="0">
            <x v="4"/>
          </reference>
        </references>
      </pivotArea>
    </chartFormat>
    <chartFormat chart="5" format="41"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Q16:T21" firstHeaderRow="0" firstDataRow="1" firstDataCol="1"/>
  <pivotFields count="14">
    <pivotField showAll="0"/>
    <pivotField axis="axisRow" showAll="0">
      <items count="5">
        <item x="0"/>
        <item x="1"/>
        <item x="2"/>
        <item x="3"/>
        <item t="default"/>
      </items>
    </pivotField>
    <pivotField showAll="0"/>
    <pivotField showAll="0"/>
    <pivotField showAll="0"/>
    <pivotField showAll="0"/>
    <pivotField showAll="0"/>
    <pivotField showAll="0"/>
    <pivotField showAll="0"/>
    <pivotField dataField="1" showAll="0"/>
    <pivotField dataField="1" showAll="0"/>
    <pivotField dataField="1" showAll="0"/>
    <pivotField showAll="0" defaultSubtotal="0"/>
    <pivotField showAll="0" defaultSubtotal="0"/>
  </pivotFields>
  <rowFields count="1">
    <field x="1"/>
  </rowFields>
  <rowItems count="5">
    <i>
      <x/>
    </i>
    <i>
      <x v="1"/>
    </i>
    <i>
      <x v="2"/>
    </i>
    <i>
      <x v="3"/>
    </i>
    <i t="grand">
      <x/>
    </i>
  </rowItems>
  <colFields count="1">
    <field x="-2"/>
  </colFields>
  <colItems count="3">
    <i>
      <x/>
    </i>
    <i i="1">
      <x v="1"/>
    </i>
    <i i="2">
      <x v="2"/>
    </i>
  </colItems>
  <dataFields count="3">
    <dataField name="Sum of WC_Adult_Gap" fld="9" baseField="0" baseItem="0"/>
    <dataField name="Sum of WC_Child_Gap" fld="10" baseField="0" baseItem="0"/>
    <dataField name="Sum of WI_Other_Gap" fld="11" baseField="0" baseItem="0"/>
  </dataFields>
  <formats count="2">
    <format dxfId="141">
      <pivotArea outline="0" collapsedLevelsAreSubtotals="1" fieldPosition="0"/>
    </format>
    <format dxfId="1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CL" cacheId="1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A3:B255" firstHeaderRow="1" firstDataRow="1" firstDataCol="2" rowPageCount="1" colPageCount="1"/>
  <pivotFields count="42">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2">
        <item x="4"/>
        <item x="3"/>
        <item x="12"/>
        <item x="20"/>
        <item x="13"/>
        <item x="8"/>
        <item x="15"/>
        <item x="17"/>
        <item x="6"/>
        <item x="18"/>
        <item x="10"/>
        <item x="11"/>
        <item x="5"/>
        <item x="14"/>
        <item x="0"/>
        <item x="1"/>
        <item x="19"/>
        <item x="9"/>
        <item x="7"/>
        <item x="16"/>
        <item x="2"/>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9">
        <item x="146"/>
        <item x="157"/>
        <item x="143"/>
        <item x="52"/>
        <item x="151"/>
        <item x="167"/>
        <item x="148"/>
        <item x="171"/>
        <item x="145"/>
        <item x="91"/>
        <item x="187"/>
        <item x="188"/>
        <item x="186"/>
        <item x="144"/>
        <item x="165"/>
        <item x="147"/>
        <item x="112"/>
        <item x="111"/>
        <item x="124"/>
        <item x="108"/>
        <item x="87"/>
        <item x="44"/>
        <item x="137"/>
        <item x="149"/>
        <item x="11"/>
        <item x="9"/>
        <item x="10"/>
        <item x="121"/>
        <item x="158"/>
        <item x="164"/>
        <item x="223"/>
        <item x="227"/>
        <item x="48"/>
        <item x="28"/>
        <item x="113"/>
        <item x="134"/>
        <item x="168"/>
        <item x="166"/>
        <item x="140"/>
        <item x="204"/>
        <item x="217"/>
        <item x="45"/>
        <item x="120"/>
        <item x="54"/>
        <item x="180"/>
        <item x="189"/>
        <item x="17"/>
        <item x="18"/>
        <item x="119"/>
        <item x="50"/>
        <item x="174"/>
        <item x="208"/>
        <item x="209"/>
        <item x="211"/>
        <item x="12"/>
        <item x="79"/>
        <item x="76"/>
        <item x="176"/>
        <item x="135"/>
        <item x="47"/>
        <item x="123"/>
        <item x="133"/>
        <item x="132"/>
        <item x="14"/>
        <item x="13"/>
        <item x="172"/>
        <item x="159"/>
        <item x="141"/>
        <item x="51"/>
        <item x="73"/>
        <item x="71"/>
        <item x="72"/>
        <item x="129"/>
        <item x="106"/>
        <item x="193"/>
        <item x="27"/>
        <item x="117"/>
        <item x="66"/>
        <item x="31"/>
        <item x="29"/>
        <item x="42"/>
        <item x="41"/>
        <item x="190"/>
        <item x="15"/>
        <item x="64"/>
        <item x="7"/>
        <item x="184"/>
        <item x="185"/>
        <item x="65"/>
        <item x="173"/>
        <item x="127"/>
        <item x="126"/>
        <item x="128"/>
        <item x="116"/>
        <item x="60"/>
        <item x="203"/>
        <item x="221"/>
        <item x="78"/>
        <item x="68"/>
        <item x="93"/>
        <item x="92"/>
        <item x="95"/>
        <item x="97"/>
        <item x="98"/>
        <item x="94"/>
        <item x="99"/>
        <item x="96"/>
        <item x="20"/>
        <item x="21"/>
        <item x="105"/>
        <item x="89"/>
        <item x="86"/>
        <item x="85"/>
        <item x="90"/>
        <item x="88"/>
        <item x="153"/>
        <item x="213"/>
        <item x="58"/>
        <item x="59"/>
        <item x="206"/>
        <item x="154"/>
        <item x="240"/>
        <item x="177"/>
        <item x="155"/>
        <item x="214"/>
        <item x="152"/>
        <item x="53"/>
        <item x="16"/>
        <item x="63"/>
        <item x="130"/>
        <item x="142"/>
        <item x="19"/>
        <item x="33"/>
        <item x="218"/>
        <item x="32"/>
        <item x="219"/>
        <item x="205"/>
        <item x="156"/>
        <item x="178"/>
        <item x="181"/>
        <item x="131"/>
        <item x="169"/>
        <item x="207"/>
        <item x="222"/>
        <item x="24"/>
        <item x="56"/>
        <item x="102"/>
        <item x="82"/>
        <item x="220"/>
        <item x="80"/>
        <item x="192"/>
        <item x="35"/>
        <item x="136"/>
        <item x="83"/>
        <item x="84"/>
        <item x="125"/>
        <item x="61"/>
        <item x="1"/>
        <item x="74"/>
        <item x="139"/>
        <item x="122"/>
        <item x="182"/>
        <item x="101"/>
        <item x="170"/>
        <item x="67"/>
        <item x="138"/>
        <item x="34"/>
        <item x="25"/>
        <item x="30"/>
        <item x="26"/>
        <item x="160"/>
        <item x="49"/>
        <item x="107"/>
        <item x="161"/>
        <item x="103"/>
        <item x="75"/>
        <item x="5"/>
        <item x="6"/>
        <item x="43"/>
        <item x="69"/>
        <item x="70"/>
        <item x="8"/>
        <item x="191"/>
        <item x="81"/>
        <item x="194"/>
        <item x="179"/>
        <item x="57"/>
        <item x="109"/>
        <item x="62"/>
        <item x="0"/>
        <item x="3"/>
        <item x="2"/>
        <item x="4"/>
        <item x="39"/>
        <item x="100"/>
        <item x="183"/>
        <item x="77"/>
        <item x="40"/>
        <item x="38"/>
        <item x="163"/>
        <item x="162"/>
        <item x="114"/>
        <item x="46"/>
        <item x="150"/>
        <item x="22"/>
        <item x="55"/>
        <item x="104"/>
        <item x="175"/>
        <item x="216"/>
        <item x="195"/>
        <item x="197"/>
        <item x="196"/>
        <item x="198"/>
        <item x="199"/>
        <item x="228"/>
        <item x="231"/>
        <item x="200"/>
        <item x="235"/>
        <item x="201"/>
        <item x="232"/>
        <item x="202"/>
        <item x="236"/>
        <item x="210"/>
        <item x="212"/>
        <item x="215"/>
        <item x="37"/>
        <item x="36"/>
        <item x="115"/>
        <item x="118"/>
        <item x="23"/>
        <item x="110"/>
        <item x="224"/>
        <item x="237"/>
        <item x="225"/>
        <item x="226"/>
        <item x="229"/>
        <item x="230"/>
        <item x="233"/>
        <item x="234"/>
        <item x="238"/>
        <item x="239"/>
        <item x="241"/>
        <item x="244"/>
        <item x="245"/>
        <item x="246"/>
        <item x="242"/>
        <item x="243"/>
        <item x="247"/>
        <item x="24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5"/>
    <field x="11"/>
  </rowFields>
  <rowItems count="252">
    <i>
      <x/>
      <x v="3"/>
    </i>
    <i r="1">
      <x v="7"/>
    </i>
    <i r="1">
      <x v="22"/>
    </i>
    <i r="1">
      <x v="38"/>
    </i>
    <i r="1">
      <x v="43"/>
    </i>
    <i r="1">
      <x v="49"/>
    </i>
    <i r="1">
      <x v="68"/>
    </i>
    <i r="1">
      <x v="126"/>
    </i>
    <i r="1">
      <x v="145"/>
    </i>
    <i r="1">
      <x v="163"/>
    </i>
    <i r="1">
      <x v="171"/>
    </i>
    <i r="1">
      <x v="184"/>
    </i>
    <i r="1">
      <x v="186"/>
    </i>
    <i r="1">
      <x v="195"/>
    </i>
    <i r="1">
      <x v="205"/>
    </i>
    <i r="1">
      <x v="211"/>
    </i>
    <i>
      <x v="1"/>
      <x v="21"/>
    </i>
    <i r="1">
      <x v="32"/>
    </i>
    <i r="1">
      <x v="41"/>
    </i>
    <i r="1">
      <x v="59"/>
    </i>
    <i r="1">
      <x v="65"/>
    </i>
    <i r="1">
      <x v="161"/>
    </i>
    <i r="1">
      <x v="202"/>
    </i>
    <i r="1">
      <x v="210"/>
    </i>
    <i>
      <x v="2"/>
      <x/>
    </i>
    <i r="1">
      <x v="1"/>
    </i>
    <i r="1">
      <x v="2"/>
    </i>
    <i r="1">
      <x v="4"/>
    </i>
    <i r="1">
      <x v="5"/>
    </i>
    <i r="1">
      <x v="6"/>
    </i>
    <i r="1">
      <x v="8"/>
    </i>
    <i r="1">
      <x v="9"/>
    </i>
    <i r="1">
      <x v="13"/>
    </i>
    <i r="1">
      <x v="14"/>
    </i>
    <i r="1">
      <x v="15"/>
    </i>
    <i r="1">
      <x v="19"/>
    </i>
    <i r="1">
      <x v="20"/>
    </i>
    <i r="1">
      <x v="23"/>
    </i>
    <i r="1">
      <x v="28"/>
    </i>
    <i r="1">
      <x v="29"/>
    </i>
    <i r="1">
      <x v="35"/>
    </i>
    <i r="1">
      <x v="36"/>
    </i>
    <i r="1">
      <x v="37"/>
    </i>
    <i r="1">
      <x v="66"/>
    </i>
    <i r="1">
      <x v="67"/>
    </i>
    <i r="1">
      <x v="73"/>
    </i>
    <i r="1">
      <x v="99"/>
    </i>
    <i r="1">
      <x v="100"/>
    </i>
    <i r="1">
      <x v="101"/>
    </i>
    <i r="1">
      <x v="102"/>
    </i>
    <i r="1">
      <x v="103"/>
    </i>
    <i r="1">
      <x v="104"/>
    </i>
    <i r="1">
      <x v="105"/>
    </i>
    <i r="1">
      <x v="106"/>
    </i>
    <i r="1">
      <x v="109"/>
    </i>
    <i r="1">
      <x v="110"/>
    </i>
    <i r="1">
      <x v="111"/>
    </i>
    <i r="1">
      <x v="112"/>
    </i>
    <i r="1">
      <x v="113"/>
    </i>
    <i r="1">
      <x v="114"/>
    </i>
    <i r="1">
      <x v="115"/>
    </i>
    <i r="1">
      <x v="125"/>
    </i>
    <i r="1">
      <x v="141"/>
    </i>
    <i r="1">
      <x v="146"/>
    </i>
    <i r="1">
      <x v="153"/>
    </i>
    <i r="1">
      <x v="154"/>
    </i>
    <i r="1">
      <x v="162"/>
    </i>
    <i r="1">
      <x v="170"/>
    </i>
    <i r="1">
      <x v="172"/>
    </i>
    <i r="1">
      <x v="173"/>
    </i>
    <i r="1">
      <x v="174"/>
    </i>
    <i r="1">
      <x v="187"/>
    </i>
    <i r="1">
      <x v="194"/>
    </i>
    <i r="1">
      <x v="199"/>
    </i>
    <i r="1">
      <x v="200"/>
    </i>
    <i r="1">
      <x v="203"/>
    </i>
    <i r="1">
      <x v="206"/>
    </i>
    <i r="1">
      <x v="207"/>
    </i>
    <i r="1">
      <x v="218"/>
    </i>
    <i r="1">
      <x v="222"/>
    </i>
    <i>
      <x v="3"/>
      <x v="148"/>
    </i>
    <i r="1">
      <x v="232"/>
    </i>
    <i r="1">
      <x v="247"/>
    </i>
    <i>
      <x v="4"/>
      <x v="62"/>
    </i>
    <i>
      <x v="5"/>
      <x v="56"/>
    </i>
    <i>
      <x v="6"/>
      <x v="30"/>
    </i>
    <i r="1">
      <x v="31"/>
    </i>
    <i r="1">
      <x v="51"/>
    </i>
    <i r="1">
      <x v="52"/>
    </i>
    <i r="1">
      <x v="53"/>
    </i>
    <i r="1">
      <x v="116"/>
    </i>
    <i r="1">
      <x v="123"/>
    </i>
    <i r="1">
      <x v="124"/>
    </i>
    <i r="1">
      <x v="137"/>
    </i>
    <i r="1">
      <x v="208"/>
    </i>
    <i r="1">
      <x v="221"/>
    </i>
    <i r="1">
      <x v="239"/>
    </i>
    <i r="1">
      <x v="241"/>
    </i>
    <i r="1">
      <x v="244"/>
    </i>
    <i r="1">
      <x v="248"/>
    </i>
    <i>
      <x v="7"/>
      <x v="74"/>
    </i>
    <i>
      <x v="8"/>
      <x v="10"/>
    </i>
    <i r="1">
      <x v="11"/>
    </i>
    <i r="1">
      <x v="12"/>
    </i>
    <i r="1">
      <x v="18"/>
    </i>
    <i r="1">
      <x v="38"/>
    </i>
    <i r="1">
      <x v="45"/>
    </i>
    <i r="1">
      <x v="57"/>
    </i>
    <i r="1">
      <x v="60"/>
    </i>
    <i r="1">
      <x v="72"/>
    </i>
    <i r="1">
      <x v="82"/>
    </i>
    <i r="1">
      <x v="86"/>
    </i>
    <i r="1">
      <x v="87"/>
    </i>
    <i r="1">
      <x v="90"/>
    </i>
    <i r="1">
      <x v="91"/>
    </i>
    <i r="1">
      <x v="92"/>
    </i>
    <i r="1">
      <x v="98"/>
    </i>
    <i r="1">
      <x v="121"/>
    </i>
    <i r="1">
      <x v="122"/>
    </i>
    <i r="1">
      <x v="129"/>
    </i>
    <i r="1">
      <x v="138"/>
    </i>
    <i r="1">
      <x v="139"/>
    </i>
    <i r="1">
      <x v="140"/>
    </i>
    <i r="1">
      <x v="182"/>
    </i>
    <i r="1">
      <x v="209"/>
    </i>
    <i r="1">
      <x v="212"/>
    </i>
    <i r="1">
      <x v="216"/>
    </i>
    <i r="1">
      <x v="220"/>
    </i>
    <i>
      <x v="9"/>
      <x v="95"/>
    </i>
    <i r="1">
      <x v="96"/>
    </i>
    <i r="1">
      <x v="246"/>
    </i>
    <i>
      <x v="10"/>
      <x v="55"/>
    </i>
    <i r="1">
      <x v="97"/>
    </i>
    <i r="1">
      <x v="149"/>
    </i>
    <i r="1">
      <x v="233"/>
    </i>
    <i r="1">
      <x v="234"/>
    </i>
    <i r="1">
      <x v="235"/>
    </i>
    <i>
      <x v="11"/>
      <x v="147"/>
    </i>
    <i r="1">
      <x v="152"/>
    </i>
    <i r="1">
      <x v="183"/>
    </i>
    <i r="1">
      <x v="223"/>
    </i>
    <i r="1">
      <x v="224"/>
    </i>
    <i>
      <x v="12"/>
      <x v="27"/>
    </i>
    <i r="1">
      <x v="38"/>
    </i>
    <i r="1">
      <x v="42"/>
    </i>
    <i r="1">
      <x v="50"/>
    </i>
    <i r="1">
      <x v="69"/>
    </i>
    <i r="1">
      <x v="70"/>
    </i>
    <i r="1">
      <x v="71"/>
    </i>
    <i r="1">
      <x v="77"/>
    </i>
    <i r="1">
      <x v="84"/>
    </i>
    <i r="1">
      <x v="88"/>
    </i>
    <i r="1">
      <x v="89"/>
    </i>
    <i r="1">
      <x v="94"/>
    </i>
    <i r="1">
      <x v="117"/>
    </i>
    <i r="1">
      <x v="118"/>
    </i>
    <i r="1">
      <x v="128"/>
    </i>
    <i r="1">
      <x v="155"/>
    </i>
    <i r="1">
      <x v="156"/>
    </i>
    <i r="1">
      <x v="158"/>
    </i>
    <i r="1">
      <x v="160"/>
    </i>
    <i r="1">
      <x v="164"/>
    </i>
    <i r="1">
      <x v="175"/>
    </i>
    <i r="1">
      <x v="188"/>
    </i>
    <i r="1">
      <x v="238"/>
    </i>
    <i>
      <x v="13"/>
      <x v="39"/>
    </i>
    <i r="1">
      <x v="40"/>
    </i>
    <i r="1">
      <x v="119"/>
    </i>
    <i r="1">
      <x v="120"/>
    </i>
    <i r="1">
      <x v="135"/>
    </i>
    <i r="1">
      <x v="136"/>
    </i>
    <i r="1">
      <x v="214"/>
    </i>
    <i r="1">
      <x v="217"/>
    </i>
    <i>
      <x v="14"/>
      <x v="24"/>
    </i>
    <i r="1">
      <x v="25"/>
    </i>
    <i r="1">
      <x v="26"/>
    </i>
    <i r="1">
      <x v="46"/>
    </i>
    <i r="1">
      <x v="47"/>
    </i>
    <i r="1">
      <x v="54"/>
    </i>
    <i r="1">
      <x v="63"/>
    </i>
    <i r="1">
      <x v="64"/>
    </i>
    <i r="1">
      <x v="83"/>
    </i>
    <i r="1">
      <x v="85"/>
    </i>
    <i r="1">
      <x v="107"/>
    </i>
    <i r="1">
      <x v="108"/>
    </i>
    <i r="1">
      <x v="127"/>
    </i>
    <i r="1">
      <x v="144"/>
    </i>
    <i r="1">
      <x v="157"/>
    </i>
    <i r="1">
      <x v="159"/>
    </i>
    <i r="1">
      <x v="176"/>
    </i>
    <i r="1">
      <x v="177"/>
    </i>
    <i r="1">
      <x v="181"/>
    </i>
    <i r="1">
      <x v="189"/>
    </i>
    <i r="1">
      <x v="190"/>
    </i>
    <i r="1">
      <x v="191"/>
    </i>
    <i r="1">
      <x v="192"/>
    </i>
    <i r="1">
      <x v="204"/>
    </i>
    <i r="1">
      <x v="229"/>
    </i>
    <i>
      <x v="15"/>
      <x v="130"/>
    </i>
    <i r="1">
      <x v="131"/>
    </i>
    <i r="1">
      <x v="132"/>
    </i>
    <i r="1">
      <x v="133"/>
    </i>
    <i r="1">
      <x v="134"/>
    </i>
    <i r="1">
      <x v="215"/>
    </i>
    <i r="1">
      <x v="219"/>
    </i>
    <i r="1">
      <x v="242"/>
    </i>
    <i r="1">
      <x v="243"/>
    </i>
    <i>
      <x v="16"/>
      <x v="142"/>
    </i>
    <i r="1">
      <x v="143"/>
    </i>
    <i r="1">
      <x v="245"/>
    </i>
    <i>
      <x v="17"/>
      <x v="150"/>
    </i>
    <i r="1">
      <x v="196"/>
    </i>
    <i r="1">
      <x v="213"/>
    </i>
    <i r="1">
      <x v="231"/>
    </i>
    <i>
      <x v="18"/>
      <x v="38"/>
    </i>
    <i r="1">
      <x v="61"/>
    </i>
    <i r="1">
      <x v="179"/>
    </i>
    <i r="1">
      <x v="180"/>
    </i>
    <i>
      <x v="19"/>
      <x v="185"/>
    </i>
    <i r="1">
      <x v="236"/>
    </i>
    <i r="1">
      <x v="237"/>
    </i>
    <i>
      <x v="20"/>
      <x v="16"/>
    </i>
    <i r="1">
      <x v="17"/>
    </i>
    <i r="1">
      <x v="33"/>
    </i>
    <i r="1">
      <x v="34"/>
    </i>
    <i r="1">
      <x v="44"/>
    </i>
    <i r="1">
      <x v="48"/>
    </i>
    <i r="1">
      <x v="58"/>
    </i>
    <i r="1">
      <x v="75"/>
    </i>
    <i r="1">
      <x v="76"/>
    </i>
    <i r="1">
      <x v="78"/>
    </i>
    <i r="1">
      <x v="79"/>
    </i>
    <i r="1">
      <x v="80"/>
    </i>
    <i r="1">
      <x v="81"/>
    </i>
    <i r="1">
      <x v="93"/>
    </i>
    <i r="1">
      <x v="151"/>
    </i>
    <i r="1">
      <x v="165"/>
    </i>
    <i r="1">
      <x v="166"/>
    </i>
    <i r="1">
      <x v="167"/>
    </i>
    <i r="1">
      <x v="168"/>
    </i>
    <i r="1">
      <x v="169"/>
    </i>
    <i r="1">
      <x v="178"/>
    </i>
    <i r="1">
      <x v="193"/>
    </i>
    <i r="1">
      <x v="197"/>
    </i>
    <i r="1">
      <x v="198"/>
    </i>
    <i r="1">
      <x v="201"/>
    </i>
    <i r="1">
      <x v="225"/>
    </i>
    <i r="1">
      <x v="226"/>
    </i>
    <i r="1">
      <x v="227"/>
    </i>
    <i r="1">
      <x v="228"/>
    </i>
    <i r="1">
      <x v="230"/>
    </i>
    <i>
      <x v="21"/>
      <x v="240"/>
    </i>
  </rowItems>
  <colItems count="1">
    <i/>
  </colItems>
  <pageFields count="1">
    <pageField fld="0" hier="-1"/>
  </pageField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2.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5" minRefreshableVersion="3" showDrill="0" useAutoFormatting="1" rowGrandTotals="0" colGrandTotals="0" itemPrintTitles="1" createdVersion="4" indent="0" compact="0" compactData="0" multipleFieldFilters="0">
  <location ref="U4:V256" firstHeaderRow="1" firstDataRow="1" firstDataCol="2"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4"/>
        <item x="3"/>
        <item x="12"/>
        <item x="20"/>
        <item x="13"/>
        <item x="8"/>
        <item x="15"/>
        <item x="17"/>
        <item x="6"/>
        <item x="18"/>
        <item x="10"/>
        <item x="11"/>
        <item x="5"/>
        <item x="14"/>
        <item x="0"/>
        <item x="1"/>
        <item x="19"/>
        <item x="9"/>
        <item x="7"/>
        <item x="16"/>
        <item x="2"/>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2">
        <item x="0"/>
        <item x="1"/>
        <item x="2"/>
        <item x="3"/>
        <item x="4"/>
        <item x="5"/>
        <item x="6"/>
        <item x="7"/>
        <item x="8"/>
        <item x="9"/>
        <item x="10"/>
        <item x="11"/>
        <item x="12"/>
        <item x="13"/>
        <item x="14"/>
        <item x="15"/>
        <item x="16"/>
        <item x="17"/>
        <item x="18"/>
        <item x="20"/>
        <item x="21"/>
        <item x="22"/>
        <item x="23"/>
        <item x="24"/>
        <item x="25"/>
        <item x="26"/>
        <item x="27"/>
        <item x="28"/>
        <item x="29"/>
        <item x="30"/>
        <item x="31"/>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3"/>
        <item x="144"/>
        <item x="145"/>
        <item x="146"/>
        <item x="147"/>
        <item x="148"/>
        <item x="149"/>
        <item x="150"/>
        <item x="151"/>
        <item x="152"/>
        <item x="153"/>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19"/>
        <item x="32"/>
        <item x="33"/>
        <item x="142"/>
        <item x="154"/>
        <item x="155"/>
        <item x="156"/>
        <item x="206"/>
        <item x="207"/>
        <item x="208"/>
        <item x="209"/>
        <item x="210"/>
        <item x="211"/>
        <item x="212"/>
        <item x="214"/>
        <item x="216"/>
        <item x="217"/>
        <item x="219"/>
        <item x="220"/>
        <item x="221"/>
        <item x="222"/>
        <item x="223"/>
        <item x="224"/>
        <item x="225"/>
        <item x="226"/>
        <item x="230"/>
        <item x="231"/>
        <item x="234"/>
        <item x="235"/>
        <item x="238"/>
        <item x="205"/>
        <item x="239"/>
        <item x="213"/>
        <item x="215"/>
        <item x="218"/>
        <item x="240"/>
        <item x="227"/>
        <item x="228"/>
        <item x="229"/>
        <item x="232"/>
        <item x="233"/>
        <item x="236"/>
        <item x="237"/>
        <item x="241"/>
        <item x="242"/>
        <item x="243"/>
        <item x="244"/>
        <item x="245"/>
        <item x="246"/>
        <item x="247"/>
        <item x="248"/>
        <item x="249"/>
        <item x="250"/>
        <item x="25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1"/>
        <item x="0"/>
        <item x="2"/>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2"/>
    <field x="21"/>
  </rowFields>
  <rowItems count="252">
    <i>
      <x/>
      <x v="1"/>
    </i>
    <i>
      <x v="1"/>
      <x v="1"/>
    </i>
    <i>
      <x v="2"/>
      <x v="1"/>
    </i>
    <i>
      <x v="3"/>
      <x v="1"/>
    </i>
    <i>
      <x v="4"/>
      <x v="1"/>
    </i>
    <i>
      <x v="5"/>
      <x v="1"/>
    </i>
    <i>
      <x v="6"/>
      <x v="1"/>
    </i>
    <i>
      <x v="7"/>
      <x v="1"/>
    </i>
    <i>
      <x v="8"/>
      <x v="1"/>
    </i>
    <i>
      <x v="9"/>
      <x v="1"/>
    </i>
    <i>
      <x v="10"/>
      <x v="1"/>
    </i>
    <i>
      <x v="11"/>
      <x v="1"/>
    </i>
    <i>
      <x v="12"/>
      <x v="1"/>
    </i>
    <i>
      <x v="13"/>
      <x v="1"/>
    </i>
    <i>
      <x v="14"/>
      <x v="1"/>
    </i>
    <i>
      <x v="15"/>
      <x v="1"/>
    </i>
    <i>
      <x v="16"/>
      <x v="1"/>
    </i>
    <i>
      <x v="17"/>
      <x v="1"/>
    </i>
    <i>
      <x v="18"/>
      <x v="1"/>
    </i>
    <i>
      <x v="19"/>
      <x v="1"/>
    </i>
    <i>
      <x v="20"/>
      <x v="1"/>
    </i>
    <i>
      <x v="21"/>
      <x v="1"/>
    </i>
    <i>
      <x v="22"/>
      <x v="1"/>
    </i>
    <i>
      <x v="23"/>
      <x v="1"/>
    </i>
    <i>
      <x v="24"/>
      <x v="1"/>
    </i>
    <i>
      <x v="25"/>
      <x v="1"/>
    </i>
    <i>
      <x v="26"/>
      <x v="1"/>
    </i>
    <i>
      <x v="27"/>
      <x v="1"/>
    </i>
    <i>
      <x v="28"/>
      <x v="1"/>
    </i>
    <i>
      <x v="29"/>
      <x v="1"/>
    </i>
    <i>
      <x v="30"/>
      <x v="1"/>
    </i>
    <i>
      <x v="31"/>
      <x v="1"/>
    </i>
    <i>
      <x v="32"/>
      <x v="1"/>
    </i>
    <i>
      <x v="33"/>
      <x v="1"/>
    </i>
    <i>
      <x v="34"/>
      <x v="1"/>
    </i>
    <i>
      <x v="35"/>
      <x/>
    </i>
    <i>
      <x v="36"/>
      <x v="1"/>
    </i>
    <i>
      <x v="37"/>
      <x v="1"/>
    </i>
    <i>
      <x v="38"/>
      <x v="1"/>
    </i>
    <i>
      <x v="39"/>
      <x v="1"/>
    </i>
    <i>
      <x v="40"/>
      <x v="1"/>
    </i>
    <i>
      <x v="41"/>
      <x v="1"/>
    </i>
    <i>
      <x v="42"/>
      <x v="1"/>
    </i>
    <i>
      <x v="43"/>
      <x v="1"/>
    </i>
    <i>
      <x v="44"/>
      <x v="2"/>
    </i>
    <i>
      <x v="45"/>
      <x v="1"/>
    </i>
    <i>
      <x v="46"/>
      <x v="1"/>
    </i>
    <i>
      <x v="47"/>
      <x v="1"/>
    </i>
    <i>
      <x v="48"/>
      <x v="1"/>
    </i>
    <i>
      <x v="49"/>
      <x v="1"/>
    </i>
    <i>
      <x v="50"/>
      <x v="1"/>
    </i>
    <i>
      <x v="51"/>
      <x v="1"/>
    </i>
    <i>
      <x v="52"/>
      <x v="1"/>
    </i>
    <i>
      <x v="53"/>
      <x v="1"/>
    </i>
    <i>
      <x v="54"/>
      <x v="1"/>
    </i>
    <i>
      <x v="55"/>
      <x v="1"/>
    </i>
    <i>
      <x v="56"/>
      <x v="1"/>
    </i>
    <i>
      <x v="57"/>
      <x v="1"/>
    </i>
    <i>
      <x v="58"/>
      <x v="1"/>
    </i>
    <i>
      <x v="59"/>
      <x v="2"/>
    </i>
    <i>
      <x v="60"/>
      <x v="2"/>
    </i>
    <i>
      <x v="61"/>
      <x v="1"/>
    </i>
    <i>
      <x v="62"/>
      <x v="2"/>
    </i>
    <i>
      <x v="63"/>
      <x v="2"/>
    </i>
    <i>
      <x v="64"/>
      <x v="2"/>
    </i>
    <i>
      <x v="65"/>
      <x v="1"/>
    </i>
    <i>
      <x v="66"/>
      <x v="1"/>
    </i>
    <i>
      <x v="67"/>
      <x v="1"/>
    </i>
    <i>
      <x v="68"/>
      <x v="1"/>
    </i>
    <i>
      <x v="69"/>
      <x v="1"/>
    </i>
    <i>
      <x v="70"/>
      <x v="1"/>
    </i>
    <i>
      <x v="71"/>
      <x v="1"/>
    </i>
    <i>
      <x v="72"/>
      <x v="1"/>
    </i>
    <i>
      <x v="73"/>
      <x v="1"/>
    </i>
    <i>
      <x v="74"/>
      <x v="2"/>
    </i>
    <i>
      <x v="75"/>
      <x v="1"/>
    </i>
    <i>
      <x v="76"/>
      <x v="1"/>
    </i>
    <i>
      <x v="77"/>
      <x v="1"/>
    </i>
    <i>
      <x v="78"/>
      <x v="1"/>
    </i>
    <i>
      <x v="79"/>
      <x v="1"/>
    </i>
    <i>
      <x v="80"/>
      <x v="1"/>
    </i>
    <i>
      <x v="81"/>
      <x v="1"/>
    </i>
    <i>
      <x v="82"/>
      <x v="1"/>
    </i>
    <i>
      <x v="83"/>
      <x v="1"/>
    </i>
    <i>
      <x v="84"/>
      <x v="1"/>
    </i>
    <i>
      <x v="85"/>
      <x v="1"/>
    </i>
    <i>
      <x v="86"/>
      <x v="1"/>
    </i>
    <i>
      <x v="87"/>
      <x v="1"/>
    </i>
    <i>
      <x v="88"/>
      <x v="1"/>
    </i>
    <i>
      <x v="89"/>
      <x v="1"/>
    </i>
    <i>
      <x v="90"/>
      <x v="1"/>
    </i>
    <i>
      <x v="91"/>
      <x v="1"/>
    </i>
    <i>
      <x v="92"/>
      <x v="1"/>
    </i>
    <i>
      <x v="93"/>
      <x v="1"/>
    </i>
    <i>
      <x v="94"/>
      <x v="1"/>
    </i>
    <i>
      <x v="95"/>
      <x v="1"/>
    </i>
    <i>
      <x v="96"/>
      <x v="1"/>
    </i>
    <i>
      <x v="97"/>
      <x v="1"/>
    </i>
    <i>
      <x v="98"/>
      <x v="1"/>
    </i>
    <i>
      <x v="99"/>
      <x v="1"/>
    </i>
    <i>
      <x v="100"/>
      <x v="1"/>
    </i>
    <i>
      <x v="101"/>
      <x v="1"/>
    </i>
    <i>
      <x v="102"/>
      <x v="1"/>
    </i>
    <i>
      <x v="103"/>
      <x v="1"/>
    </i>
    <i>
      <x v="104"/>
      <x v="1"/>
    </i>
    <i>
      <x v="105"/>
      <x v="1"/>
    </i>
    <i>
      <x v="106"/>
      <x v="1"/>
    </i>
    <i>
      <x v="107"/>
      <x v="1"/>
    </i>
    <i>
      <x v="108"/>
      <x v="1"/>
    </i>
    <i>
      <x v="109"/>
      <x v="1"/>
    </i>
    <i>
      <x v="110"/>
      <x v="1"/>
    </i>
    <i>
      <x v="111"/>
      <x v="1"/>
    </i>
    <i>
      <x v="112"/>
      <x v="1"/>
    </i>
    <i>
      <x v="113"/>
      <x v="1"/>
    </i>
    <i>
      <x v="114"/>
      <x v="1"/>
    </i>
    <i>
      <x v="115"/>
      <x v="1"/>
    </i>
    <i>
      <x v="116"/>
      <x v="1"/>
    </i>
    <i>
      <x v="117"/>
      <x v="1"/>
    </i>
    <i>
      <x v="118"/>
      <x v="1"/>
    </i>
    <i>
      <x v="119"/>
      <x v="1"/>
    </i>
    <i>
      <x v="120"/>
      <x v="1"/>
    </i>
    <i>
      <x v="121"/>
      <x v="1"/>
    </i>
    <i>
      <x v="122"/>
      <x v="1"/>
    </i>
    <i>
      <x v="123"/>
      <x v="1"/>
    </i>
    <i>
      <x v="124"/>
      <x v="1"/>
    </i>
    <i>
      <x v="125"/>
      <x v="2"/>
    </i>
    <i>
      <x v="126"/>
      <x v="1"/>
    </i>
    <i>
      <x v="127"/>
      <x v="1"/>
    </i>
    <i>
      <x v="128"/>
      <x v="1"/>
    </i>
    <i>
      <x v="129"/>
      <x v="1"/>
    </i>
    <i>
      <x v="130"/>
      <x v="2"/>
    </i>
    <i>
      <x v="131"/>
      <x v="1"/>
    </i>
    <i>
      <x v="132"/>
      <x v="3"/>
    </i>
    <i>
      <x v="133"/>
      <x v="1"/>
    </i>
    <i>
      <x v="134"/>
      <x v="2"/>
    </i>
    <i>
      <x v="135"/>
      <x v="1"/>
    </i>
    <i>
      <x v="136"/>
      <x v="1"/>
    </i>
    <i>
      <x v="137"/>
      <x v="2"/>
    </i>
    <i>
      <x v="138"/>
      <x v="1"/>
    </i>
    <i>
      <x v="139"/>
      <x v="1"/>
    </i>
    <i>
      <x v="140"/>
      <x v="1"/>
    </i>
    <i>
      <x v="141"/>
      <x v="1"/>
    </i>
    <i>
      <x v="142"/>
      <x v="1"/>
    </i>
    <i>
      <x v="143"/>
      <x v="1"/>
    </i>
    <i>
      <x v="144"/>
      <x v="1"/>
    </i>
    <i>
      <x v="145"/>
      <x v="1"/>
    </i>
    <i>
      <x v="146"/>
      <x v="1"/>
    </i>
    <i>
      <x v="147"/>
      <x v="1"/>
    </i>
    <i>
      <x v="148"/>
      <x v="1"/>
    </i>
    <i>
      <x v="149"/>
      <x v="1"/>
    </i>
    <i>
      <x v="150"/>
      <x v="1"/>
    </i>
    <i>
      <x v="151"/>
      <x v="1"/>
    </i>
    <i>
      <x v="152"/>
      <x v="1"/>
    </i>
    <i>
      <x v="153"/>
      <x v="1"/>
    </i>
    <i>
      <x v="154"/>
      <x v="1"/>
    </i>
    <i>
      <x v="155"/>
      <x v="1"/>
    </i>
    <i>
      <x v="156"/>
      <x v="1"/>
    </i>
    <i>
      <x v="157"/>
      <x v="1"/>
    </i>
    <i>
      <x v="158"/>
      <x v="1"/>
    </i>
    <i>
      <x v="159"/>
      <x v="1"/>
    </i>
    <i>
      <x v="160"/>
      <x v="1"/>
    </i>
    <i>
      <x v="161"/>
      <x v="1"/>
    </i>
    <i>
      <x v="162"/>
      <x v="1"/>
    </i>
    <i>
      <x v="163"/>
      <x v="1"/>
    </i>
    <i>
      <x v="164"/>
      <x v="1"/>
    </i>
    <i>
      <x v="165"/>
      <x v="1"/>
    </i>
    <i>
      <x v="166"/>
      <x v="2"/>
    </i>
    <i>
      <x v="167"/>
      <x v="2"/>
    </i>
    <i>
      <x v="168"/>
      <x v="2"/>
    </i>
    <i>
      <x v="169"/>
      <x v="2"/>
    </i>
    <i>
      <x v="170"/>
      <x v="2"/>
    </i>
    <i>
      <x v="171"/>
      <x v="1"/>
    </i>
    <i>
      <x v="172"/>
      <x v="1"/>
    </i>
    <i>
      <x v="173"/>
      <x v="1"/>
    </i>
    <i>
      <x v="174"/>
      <x v="1"/>
    </i>
    <i>
      <x v="175"/>
      <x v="1"/>
    </i>
    <i>
      <x v="176"/>
      <x/>
    </i>
    <i>
      <x v="177"/>
      <x v="1"/>
    </i>
    <i>
      <x v="178"/>
      <x v="1"/>
    </i>
    <i>
      <x v="179"/>
      <x v="1"/>
    </i>
    <i>
      <x v="180"/>
      <x v="1"/>
    </i>
    <i>
      <x v="181"/>
      <x v="1"/>
    </i>
    <i>
      <x v="182"/>
      <x v="1"/>
    </i>
    <i>
      <x v="183"/>
      <x v="1"/>
    </i>
    <i>
      <x v="184"/>
      <x v="2"/>
    </i>
    <i>
      <x v="185"/>
      <x v="4"/>
    </i>
    <i>
      <x v="186"/>
      <x v="1"/>
    </i>
    <i>
      <x v="187"/>
      <x v="1"/>
    </i>
    <i>
      <x v="188"/>
      <x v="1"/>
    </i>
    <i>
      <x v="189"/>
      <x v="1"/>
    </i>
    <i>
      <x v="190"/>
      <x v="1"/>
    </i>
    <i>
      <x v="191"/>
      <x v="1"/>
    </i>
    <i>
      <x v="192"/>
      <x v="1"/>
    </i>
    <i>
      <x v="193"/>
      <x v="1"/>
    </i>
    <i>
      <x v="194"/>
      <x v="1"/>
    </i>
    <i>
      <x v="195"/>
      <x v="2"/>
    </i>
    <i>
      <x v="196"/>
      <x v="1"/>
    </i>
    <i>
      <x v="197"/>
      <x v="1"/>
    </i>
    <i>
      <x v="198"/>
      <x v="1"/>
    </i>
    <i>
      <x v="199"/>
      <x v="1"/>
    </i>
    <i>
      <x v="200"/>
      <x v="1"/>
    </i>
    <i>
      <x v="201"/>
      <x v="1"/>
    </i>
    <i>
      <x v="202"/>
      <x v="2"/>
    </i>
    <i>
      <x v="203"/>
      <x v="1"/>
    </i>
    <i>
      <x v="204"/>
      <x v="1"/>
    </i>
    <i>
      <x v="205"/>
      <x v="1"/>
    </i>
    <i>
      <x v="206"/>
      <x v="2"/>
    </i>
    <i>
      <x v="207"/>
      <x v="2"/>
    </i>
    <i>
      <x v="208"/>
      <x v="1"/>
    </i>
    <i>
      <x v="209"/>
      <x v="1"/>
    </i>
    <i>
      <x v="210"/>
      <x v="1"/>
    </i>
    <i>
      <x v="211"/>
      <x v="1"/>
    </i>
    <i>
      <x v="212"/>
      <x v="1"/>
    </i>
    <i>
      <x v="213"/>
      <x v="1"/>
    </i>
    <i>
      <x v="214"/>
      <x v="1"/>
    </i>
    <i>
      <x v="215"/>
      <x v="1"/>
    </i>
    <i>
      <x v="216"/>
      <x v="2"/>
    </i>
    <i>
      <x v="217"/>
      <x v="1"/>
    </i>
    <i>
      <x v="218"/>
      <x v="1"/>
    </i>
    <i>
      <x v="219"/>
      <x v="2"/>
    </i>
    <i>
      <x v="220"/>
      <x v="1"/>
    </i>
    <i>
      <x v="221"/>
      <x v="2"/>
    </i>
    <i>
      <x v="222"/>
      <x v="1"/>
    </i>
    <i>
      <x v="223"/>
      <x v="1"/>
    </i>
    <i>
      <x v="224"/>
      <x v="1"/>
    </i>
    <i>
      <x v="225"/>
      <x v="1"/>
    </i>
    <i>
      <x v="226"/>
      <x v="1"/>
    </i>
    <i>
      <x v="227"/>
      <x v="1"/>
    </i>
    <i>
      <x v="228"/>
      <x v="1"/>
    </i>
    <i>
      <x v="229"/>
      <x v="1"/>
    </i>
    <i>
      <x v="230"/>
      <x v="1"/>
    </i>
    <i>
      <x v="231"/>
      <x v="2"/>
    </i>
    <i>
      <x v="232"/>
      <x v="2"/>
    </i>
    <i>
      <x v="233"/>
      <x v="1"/>
    </i>
    <i>
      <x v="234"/>
      <x v="1"/>
    </i>
    <i>
      <x v="235"/>
      <x v="2"/>
    </i>
    <i>
      <x v="236"/>
      <x v="1"/>
    </i>
    <i>
      <x v="237"/>
      <x v="1"/>
    </i>
    <i>
      <x v="238"/>
      <x v="1"/>
    </i>
    <i>
      <x v="239"/>
      <x v="1"/>
    </i>
    <i>
      <x v="240"/>
      <x/>
    </i>
    <i>
      <x v="241"/>
      <x v="1"/>
    </i>
    <i>
      <x v="242"/>
      <x v="1"/>
    </i>
    <i>
      <x v="243"/>
      <x v="1"/>
    </i>
    <i>
      <x v="244"/>
      <x v="1"/>
    </i>
    <i>
      <x v="245"/>
      <x v="1"/>
    </i>
    <i>
      <x v="246"/>
      <x v="1"/>
    </i>
    <i>
      <x v="247"/>
      <x v="1"/>
    </i>
    <i>
      <x v="248"/>
      <x v="1"/>
    </i>
    <i>
      <x v="249"/>
      <x v="1"/>
    </i>
    <i>
      <x v="250"/>
      <x v="1"/>
    </i>
    <i>
      <x v="251"/>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3.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M3:R255" firstHeaderRow="0" firstDataRow="1" firstDataCol="4" rowPageCount="1" colPageCount="1"/>
  <pivotFields count="42">
    <pivotField axis="axisPage"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2">
        <item x="4"/>
        <item x="3"/>
        <item x="12"/>
        <item x="20"/>
        <item x="13"/>
        <item x="8"/>
        <item x="15"/>
        <item x="17"/>
        <item x="6"/>
        <item x="18"/>
        <item x="10"/>
        <item x="11"/>
        <item x="5"/>
        <item x="14"/>
        <item x="0"/>
        <item x="1"/>
        <item x="19"/>
        <item x="9"/>
        <item x="7"/>
        <item x="16"/>
        <item x="2"/>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9">
        <item x="146"/>
        <item x="157"/>
        <item x="143"/>
        <item x="52"/>
        <item x="151"/>
        <item x="167"/>
        <item x="148"/>
        <item x="171"/>
        <item x="145"/>
        <item x="91"/>
        <item x="187"/>
        <item x="188"/>
        <item x="186"/>
        <item x="144"/>
        <item x="165"/>
        <item x="147"/>
        <item x="112"/>
        <item x="111"/>
        <item x="124"/>
        <item x="108"/>
        <item x="87"/>
        <item x="44"/>
        <item x="137"/>
        <item x="149"/>
        <item x="11"/>
        <item x="9"/>
        <item x="10"/>
        <item x="121"/>
        <item x="158"/>
        <item x="164"/>
        <item x="223"/>
        <item x="227"/>
        <item x="48"/>
        <item x="28"/>
        <item x="113"/>
        <item x="134"/>
        <item x="168"/>
        <item x="166"/>
        <item x="140"/>
        <item x="204"/>
        <item x="217"/>
        <item x="45"/>
        <item x="120"/>
        <item x="54"/>
        <item x="180"/>
        <item x="189"/>
        <item x="17"/>
        <item x="18"/>
        <item x="119"/>
        <item x="50"/>
        <item x="174"/>
        <item x="208"/>
        <item x="209"/>
        <item x="211"/>
        <item x="12"/>
        <item x="79"/>
        <item x="76"/>
        <item x="176"/>
        <item x="135"/>
        <item x="47"/>
        <item x="123"/>
        <item x="133"/>
        <item x="132"/>
        <item x="14"/>
        <item x="13"/>
        <item x="172"/>
        <item x="159"/>
        <item x="141"/>
        <item x="51"/>
        <item x="73"/>
        <item x="71"/>
        <item x="72"/>
        <item x="129"/>
        <item x="106"/>
        <item x="193"/>
        <item x="27"/>
        <item x="117"/>
        <item x="66"/>
        <item x="31"/>
        <item x="29"/>
        <item x="42"/>
        <item x="41"/>
        <item x="190"/>
        <item x="15"/>
        <item x="64"/>
        <item x="7"/>
        <item x="184"/>
        <item x="185"/>
        <item x="65"/>
        <item x="173"/>
        <item x="127"/>
        <item x="126"/>
        <item x="128"/>
        <item x="116"/>
        <item x="60"/>
        <item x="203"/>
        <item x="221"/>
        <item x="78"/>
        <item x="68"/>
        <item x="93"/>
        <item x="92"/>
        <item x="95"/>
        <item x="97"/>
        <item x="98"/>
        <item x="94"/>
        <item x="99"/>
        <item x="96"/>
        <item x="20"/>
        <item x="21"/>
        <item x="105"/>
        <item x="89"/>
        <item x="86"/>
        <item x="85"/>
        <item x="90"/>
        <item x="88"/>
        <item x="153"/>
        <item x="213"/>
        <item x="58"/>
        <item x="59"/>
        <item x="206"/>
        <item x="154"/>
        <item x="240"/>
        <item x="177"/>
        <item x="155"/>
        <item x="214"/>
        <item x="152"/>
        <item x="53"/>
        <item x="16"/>
        <item x="63"/>
        <item x="130"/>
        <item x="142"/>
        <item x="19"/>
        <item x="33"/>
        <item x="218"/>
        <item x="32"/>
        <item x="219"/>
        <item x="205"/>
        <item x="156"/>
        <item x="178"/>
        <item x="181"/>
        <item x="131"/>
        <item x="169"/>
        <item x="207"/>
        <item x="222"/>
        <item x="24"/>
        <item x="56"/>
        <item x="102"/>
        <item x="82"/>
        <item x="220"/>
        <item x="80"/>
        <item x="192"/>
        <item x="35"/>
        <item x="136"/>
        <item x="83"/>
        <item x="84"/>
        <item x="125"/>
        <item x="61"/>
        <item x="1"/>
        <item x="74"/>
        <item x="139"/>
        <item x="122"/>
        <item x="182"/>
        <item x="101"/>
        <item x="170"/>
        <item x="67"/>
        <item x="138"/>
        <item x="34"/>
        <item x="25"/>
        <item x="30"/>
        <item x="26"/>
        <item x="160"/>
        <item x="49"/>
        <item x="107"/>
        <item x="161"/>
        <item x="103"/>
        <item x="75"/>
        <item x="5"/>
        <item x="6"/>
        <item x="43"/>
        <item x="69"/>
        <item x="70"/>
        <item x="8"/>
        <item x="191"/>
        <item x="81"/>
        <item x="194"/>
        <item x="179"/>
        <item x="57"/>
        <item x="109"/>
        <item x="62"/>
        <item x="0"/>
        <item x="3"/>
        <item x="2"/>
        <item x="4"/>
        <item x="39"/>
        <item x="100"/>
        <item x="183"/>
        <item x="77"/>
        <item x="40"/>
        <item x="38"/>
        <item x="163"/>
        <item x="162"/>
        <item x="114"/>
        <item x="46"/>
        <item x="150"/>
        <item x="22"/>
        <item x="55"/>
        <item x="104"/>
        <item x="175"/>
        <item x="216"/>
        <item x="195"/>
        <item x="197"/>
        <item x="196"/>
        <item x="198"/>
        <item x="199"/>
        <item x="228"/>
        <item x="231"/>
        <item x="200"/>
        <item x="235"/>
        <item x="201"/>
        <item x="232"/>
        <item x="202"/>
        <item x="236"/>
        <item x="210"/>
        <item x="212"/>
        <item x="215"/>
        <item x="37"/>
        <item x="36"/>
        <item x="115"/>
        <item x="118"/>
        <item x="23"/>
        <item x="110"/>
        <item x="224"/>
        <item x="237"/>
        <item x="225"/>
        <item x="226"/>
        <item x="229"/>
        <item x="230"/>
        <item x="233"/>
        <item x="234"/>
        <item x="238"/>
        <item x="239"/>
        <item x="241"/>
        <item x="244"/>
        <item x="245"/>
        <item x="246"/>
        <item x="242"/>
        <item x="243"/>
        <item x="247"/>
        <item x="248"/>
      </items>
      <extLst>
        <ext xmlns:x14="http://schemas.microsoft.com/office/spreadsheetml/2009/9/main" uri="{2946ED86-A175-432a-8AC1-64E0C546D7DE}">
          <x14:pivotField fillDownLabels="1"/>
        </ext>
      </extLst>
    </pivotField>
    <pivotField axis="axisRow" compact="0" outline="0" showAll="0" defaultSubtotal="0">
      <items count="252">
        <item x="0"/>
        <item x="1"/>
        <item x="2"/>
        <item x="3"/>
        <item x="4"/>
        <item x="5"/>
        <item x="6"/>
        <item x="7"/>
        <item x="8"/>
        <item x="9"/>
        <item x="10"/>
        <item x="11"/>
        <item x="12"/>
        <item x="13"/>
        <item x="14"/>
        <item x="15"/>
        <item x="16"/>
        <item x="17"/>
        <item x="18"/>
        <item x="20"/>
        <item x="21"/>
        <item x="22"/>
        <item x="23"/>
        <item x="24"/>
        <item x="25"/>
        <item x="26"/>
        <item x="27"/>
        <item x="28"/>
        <item x="29"/>
        <item x="30"/>
        <item x="31"/>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3"/>
        <item x="144"/>
        <item x="145"/>
        <item x="146"/>
        <item x="147"/>
        <item x="148"/>
        <item x="149"/>
        <item x="150"/>
        <item x="151"/>
        <item x="152"/>
        <item x="153"/>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
        <item x="32"/>
        <item x="33"/>
        <item x="142"/>
        <item x="154"/>
        <item x="155"/>
        <item x="156"/>
        <item x="206"/>
        <item x="207"/>
        <item x="208"/>
        <item x="209"/>
        <item x="210"/>
        <item x="211"/>
        <item x="212"/>
        <item x="214"/>
        <item x="216"/>
        <item x="217"/>
        <item x="219"/>
        <item x="220"/>
        <item x="221"/>
        <item x="222"/>
        <item x="223"/>
        <item x="224"/>
        <item x="225"/>
        <item x="226"/>
        <item x="230"/>
        <item x="198"/>
        <item x="199"/>
        <item x="200"/>
        <item x="201"/>
        <item x="202"/>
        <item x="231"/>
        <item x="234"/>
        <item x="235"/>
        <item x="203"/>
        <item x="238"/>
        <item x="204"/>
        <item x="205"/>
        <item x="239"/>
        <item x="213"/>
        <item x="215"/>
        <item x="218"/>
        <item x="240"/>
        <item x="227"/>
        <item x="228"/>
        <item x="229"/>
        <item x="232"/>
        <item x="233"/>
        <item x="236"/>
        <item x="237"/>
        <item x="241"/>
        <item x="242"/>
        <item x="243"/>
        <item x="244"/>
        <item x="245"/>
        <item x="246"/>
        <item x="247"/>
        <item x="248"/>
        <item x="249"/>
        <item x="250"/>
        <item x="25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axis="axisRow"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2"/>
    <field x="11"/>
    <field x="38"/>
    <field x="5"/>
  </rowFields>
  <rowItems count="252">
    <i>
      <x/>
      <x v="189"/>
      <x v="9"/>
      <x v="14"/>
    </i>
    <i>
      <x v="1"/>
      <x v="157"/>
      <x v="9"/>
      <x v="14"/>
    </i>
    <i>
      <x v="2"/>
      <x v="191"/>
      <x v="9"/>
      <x v="14"/>
    </i>
    <i>
      <x v="3"/>
      <x v="190"/>
      <x v="9"/>
      <x v="14"/>
    </i>
    <i>
      <x v="4"/>
      <x v="192"/>
      <x v="9"/>
      <x v="14"/>
    </i>
    <i>
      <x v="5"/>
      <x v="176"/>
      <x v="9"/>
      <x v="14"/>
    </i>
    <i>
      <x v="6"/>
      <x v="177"/>
      <x v="9"/>
      <x v="14"/>
    </i>
    <i>
      <x v="7"/>
      <x v="85"/>
      <x v="9"/>
      <x v="14"/>
    </i>
    <i>
      <x v="8"/>
      <x v="181"/>
      <x v="9"/>
      <x v="14"/>
    </i>
    <i>
      <x v="9"/>
      <x v="25"/>
      <x v="9"/>
      <x v="14"/>
    </i>
    <i>
      <x v="10"/>
      <x v="26"/>
      <x v="9"/>
      <x v="14"/>
    </i>
    <i>
      <x v="11"/>
      <x v="24"/>
      <x v="9"/>
      <x v="14"/>
    </i>
    <i>
      <x v="12"/>
      <x v="54"/>
      <x v="9"/>
      <x v="14"/>
    </i>
    <i>
      <x v="13"/>
      <x v="64"/>
      <x v="9"/>
      <x v="14"/>
    </i>
    <i>
      <x v="14"/>
      <x v="63"/>
      <x v="9"/>
      <x v="14"/>
    </i>
    <i>
      <x v="15"/>
      <x v="83"/>
      <x v="9"/>
      <x v="14"/>
    </i>
    <i>
      <x v="16"/>
      <x v="127"/>
      <x v="9"/>
      <x v="14"/>
    </i>
    <i>
      <x v="17"/>
      <x v="46"/>
      <x v="9"/>
      <x v="14"/>
    </i>
    <i>
      <x v="18"/>
      <x v="47"/>
      <x v="9"/>
      <x v="14"/>
    </i>
    <i>
      <x v="19"/>
      <x v="107"/>
      <x v="9"/>
      <x v="14"/>
    </i>
    <i>
      <x v="20"/>
      <x v="108"/>
      <x v="9"/>
      <x v="14"/>
    </i>
    <i>
      <x v="21"/>
      <x v="204"/>
      <x v="9"/>
      <x v="14"/>
    </i>
    <i>
      <x v="22"/>
      <x v="229"/>
      <x v="9"/>
      <x v="14"/>
    </i>
    <i>
      <x v="23"/>
      <x v="144"/>
      <x v="9"/>
      <x v="14"/>
    </i>
    <i>
      <x v="24"/>
      <x v="167"/>
      <x v="11"/>
      <x v="20"/>
    </i>
    <i>
      <x v="25"/>
      <x v="169"/>
      <x v="11"/>
      <x v="20"/>
    </i>
    <i>
      <x v="26"/>
      <x v="75"/>
      <x v="11"/>
      <x v="20"/>
    </i>
    <i>
      <x v="27"/>
      <x v="33"/>
      <x v="11"/>
      <x v="20"/>
    </i>
    <i>
      <x v="28"/>
      <x v="79"/>
      <x v="11"/>
      <x v="20"/>
    </i>
    <i>
      <x v="29"/>
      <x v="168"/>
      <x v="11"/>
      <x v="20"/>
    </i>
    <i>
      <x v="30"/>
      <x v="78"/>
      <x v="11"/>
      <x v="20"/>
    </i>
    <i>
      <x v="31"/>
      <x v="166"/>
      <x v="11"/>
      <x v="20"/>
    </i>
    <i>
      <x v="32"/>
      <x v="151"/>
      <x v="11"/>
      <x v="20"/>
    </i>
    <i>
      <x v="33"/>
      <x v="226"/>
      <x v="11"/>
      <x v="20"/>
    </i>
    <i>
      <x v="34"/>
      <x v="225"/>
      <x v="11"/>
      <x v="20"/>
    </i>
    <i>
      <x v="35"/>
      <x v="198"/>
      <x v="11"/>
      <x v="20"/>
    </i>
    <i>
      <x v="36"/>
      <x v="193"/>
      <x v="11"/>
      <x v="20"/>
    </i>
    <i>
      <x v="37"/>
      <x v="197"/>
      <x v="11"/>
      <x v="20"/>
    </i>
    <i>
      <x v="38"/>
      <x v="81"/>
      <x v="11"/>
      <x v="20"/>
    </i>
    <i>
      <x v="39"/>
      <x v="80"/>
      <x v="11"/>
      <x v="20"/>
    </i>
    <i>
      <x v="40"/>
      <x v="178"/>
      <x v="11"/>
      <x v="20"/>
    </i>
    <i>
      <x v="41"/>
      <x v="21"/>
      <x v="1"/>
      <x v="1"/>
    </i>
    <i>
      <x v="42"/>
      <x v="41"/>
      <x v="1"/>
      <x v="1"/>
    </i>
    <i>
      <x v="43"/>
      <x v="202"/>
      <x v="1"/>
      <x v="1"/>
    </i>
    <i>
      <x v="44"/>
      <x v="59"/>
      <x v="1"/>
      <x v="1"/>
    </i>
    <i>
      <x v="45"/>
      <x v="32"/>
      <x v="1"/>
      <x v="1"/>
    </i>
    <i>
      <x v="46"/>
      <x v="171"/>
      <x/>
      <x/>
    </i>
    <i>
      <x v="47"/>
      <x v="49"/>
      <x/>
      <x/>
    </i>
    <i>
      <x v="48"/>
      <x v="68"/>
      <x/>
      <x/>
    </i>
    <i>
      <x v="49"/>
      <x v="3"/>
      <x/>
      <x/>
    </i>
    <i>
      <x v="50"/>
      <x v="126"/>
      <x/>
      <x/>
    </i>
    <i>
      <x v="51"/>
      <x v="43"/>
      <x/>
      <x/>
    </i>
    <i>
      <x v="52"/>
      <x v="205"/>
      <x/>
      <x/>
    </i>
    <i>
      <x v="53"/>
      <x v="145"/>
      <x/>
      <x/>
    </i>
    <i>
      <x v="54"/>
      <x v="186"/>
      <x/>
      <x/>
    </i>
    <i>
      <x v="55"/>
      <x v="117"/>
      <x v="8"/>
      <x v="12"/>
    </i>
    <i>
      <x v="56"/>
      <x v="118"/>
      <x v="8"/>
      <x v="12"/>
    </i>
    <i>
      <x v="57"/>
      <x v="94"/>
      <x v="8"/>
      <x v="12"/>
    </i>
    <i>
      <x v="58"/>
      <x v="156"/>
      <x v="8"/>
      <x v="12"/>
    </i>
    <i>
      <x v="59"/>
      <x v="188"/>
      <x v="8"/>
      <x v="12"/>
    </i>
    <i>
      <x v="60"/>
      <x v="128"/>
      <x v="8"/>
      <x v="12"/>
    </i>
    <i>
      <x v="61"/>
      <x v="84"/>
      <x v="8"/>
      <x v="12"/>
    </i>
    <i>
      <x v="62"/>
      <x v="88"/>
      <x v="8"/>
      <x v="12"/>
    </i>
    <i>
      <x v="63"/>
      <x v="77"/>
      <x v="8"/>
      <x v="12"/>
    </i>
    <i>
      <x v="64"/>
      <x v="164"/>
      <x v="8"/>
      <x v="12"/>
    </i>
    <i>
      <x v="65"/>
      <x v="98"/>
      <x v="7"/>
      <x v="8"/>
    </i>
    <i>
      <x v="66"/>
      <x v="179"/>
      <x v="5"/>
      <x v="18"/>
    </i>
    <i>
      <x v="67"/>
      <x v="180"/>
      <x v="5"/>
      <x v="18"/>
    </i>
    <i>
      <x v="68"/>
      <x v="70"/>
      <x v="8"/>
      <x v="12"/>
    </i>
    <i>
      <x v="69"/>
      <x v="71"/>
      <x v="8"/>
      <x v="12"/>
    </i>
    <i>
      <x v="70"/>
      <x v="69"/>
      <x v="8"/>
      <x v="12"/>
    </i>
    <i>
      <x v="71"/>
      <x v="158"/>
      <x v="8"/>
      <x v="12"/>
    </i>
    <i>
      <x v="72"/>
      <x v="175"/>
      <x v="8"/>
      <x v="12"/>
    </i>
    <i>
      <x v="73"/>
      <x v="56"/>
      <x v="5"/>
      <x v="5"/>
    </i>
    <i>
      <x v="74"/>
      <x v="196"/>
      <x v="5"/>
      <x v="17"/>
    </i>
    <i>
      <x v="75"/>
      <x v="97"/>
      <x v="5"/>
      <x v="10"/>
    </i>
    <i>
      <x v="76"/>
      <x v="55"/>
      <x v="5"/>
      <x v="10"/>
    </i>
    <i>
      <x v="77"/>
      <x v="149"/>
      <x v="5"/>
      <x v="10"/>
    </i>
    <i>
      <x v="78"/>
      <x v="183"/>
      <x v="5"/>
      <x v="11"/>
    </i>
    <i>
      <x v="79"/>
      <x v="147"/>
      <x v="5"/>
      <x v="11"/>
    </i>
    <i>
      <x v="80"/>
      <x v="153"/>
      <x v="2"/>
      <x v="2"/>
    </i>
    <i>
      <x v="81"/>
      <x v="154"/>
      <x v="2"/>
      <x v="2"/>
    </i>
    <i>
      <x v="82"/>
      <x v="112"/>
      <x v="2"/>
      <x v="2"/>
    </i>
    <i>
      <x v="83"/>
      <x v="111"/>
      <x v="2"/>
      <x v="2"/>
    </i>
    <i>
      <x v="84"/>
      <x v="20"/>
      <x v="2"/>
      <x v="2"/>
    </i>
    <i>
      <x v="85"/>
      <x v="114"/>
      <x v="2"/>
      <x v="2"/>
    </i>
    <i>
      <x v="86"/>
      <x v="110"/>
      <x v="2"/>
      <x v="2"/>
    </i>
    <i>
      <x v="87"/>
      <x v="113"/>
      <x v="2"/>
      <x v="2"/>
    </i>
    <i>
      <x v="88"/>
      <x v="9"/>
      <x v="2"/>
      <x v="2"/>
    </i>
    <i>
      <x v="89"/>
      <x v="100"/>
      <x v="2"/>
      <x v="2"/>
    </i>
    <i>
      <x v="90"/>
      <x v="99"/>
      <x v="2"/>
      <x v="2"/>
    </i>
    <i>
      <x v="91"/>
      <x v="104"/>
      <x v="2"/>
      <x v="2"/>
    </i>
    <i>
      <x v="92"/>
      <x v="101"/>
      <x v="2"/>
      <x v="2"/>
    </i>
    <i>
      <x v="93"/>
      <x v="106"/>
      <x v="2"/>
      <x v="2"/>
    </i>
    <i>
      <x v="94"/>
      <x v="102"/>
      <x v="2"/>
      <x v="2"/>
    </i>
    <i>
      <x v="95"/>
      <x v="103"/>
      <x v="2"/>
      <x v="2"/>
    </i>
    <i>
      <x v="96"/>
      <x v="105"/>
      <x v="2"/>
      <x v="2"/>
    </i>
    <i>
      <x v="97"/>
      <x v="194"/>
      <x v="2"/>
      <x v="2"/>
    </i>
    <i>
      <x v="98"/>
      <x v="162"/>
      <x v="2"/>
      <x v="2"/>
    </i>
    <i>
      <x v="99"/>
      <x v="146"/>
      <x v="2"/>
      <x v="2"/>
    </i>
    <i>
      <x v="100"/>
      <x v="174"/>
      <x v="2"/>
      <x v="2"/>
    </i>
    <i>
      <x v="101"/>
      <x v="206"/>
      <x v="2"/>
      <x v="2"/>
    </i>
    <i>
      <x v="102"/>
      <x v="109"/>
      <x v="2"/>
      <x v="2"/>
    </i>
    <i>
      <x v="103"/>
      <x v="73"/>
      <x v="2"/>
      <x v="2"/>
    </i>
    <i>
      <x v="104"/>
      <x v="172"/>
      <x v="2"/>
      <x v="2"/>
    </i>
    <i>
      <x v="105"/>
      <x v="19"/>
      <x v="2"/>
      <x v="2"/>
    </i>
    <i>
      <x v="106"/>
      <x v="187"/>
      <x v="2"/>
      <x v="2"/>
    </i>
    <i>
      <x v="107"/>
      <x v="230"/>
      <x v="11"/>
      <x v="20"/>
    </i>
    <i>
      <x v="108"/>
      <x v="17"/>
      <x v="11"/>
      <x v="20"/>
    </i>
    <i>
      <x v="109"/>
      <x v="16"/>
      <x v="11"/>
      <x v="20"/>
    </i>
    <i>
      <x v="110"/>
      <x v="34"/>
      <x v="11"/>
      <x v="20"/>
    </i>
    <i>
      <x v="111"/>
      <x v="201"/>
      <x v="11"/>
      <x v="20"/>
    </i>
    <i>
      <x v="112"/>
      <x v="227"/>
      <x v="11"/>
      <x v="20"/>
    </i>
    <i>
      <x v="113"/>
      <x v="93"/>
      <x v="11"/>
      <x v="20"/>
    </i>
    <i>
      <x v="114"/>
      <x v="76"/>
      <x v="11"/>
      <x v="20"/>
    </i>
    <i>
      <x v="115"/>
      <x v="228"/>
      <x v="11"/>
      <x v="20"/>
    </i>
    <i>
      <x v="116"/>
      <x v="48"/>
      <x v="11"/>
      <x v="20"/>
    </i>
    <i>
      <x v="117"/>
      <x v="42"/>
      <x v="8"/>
      <x v="12"/>
    </i>
    <i>
      <x v="118"/>
      <x v="27"/>
      <x v="8"/>
      <x v="12"/>
    </i>
    <i>
      <x v="119"/>
      <x v="160"/>
      <x v="8"/>
      <x v="12"/>
    </i>
    <i>
      <x v="120"/>
      <x v="60"/>
      <x v="7"/>
      <x v="8"/>
    </i>
    <i>
      <x v="121"/>
      <x v="18"/>
      <x v="7"/>
      <x v="8"/>
    </i>
    <i>
      <x v="122"/>
      <x v="155"/>
      <x v="8"/>
      <x v="12"/>
    </i>
    <i>
      <x v="123"/>
      <x v="91"/>
      <x v="7"/>
      <x v="8"/>
    </i>
    <i>
      <x v="124"/>
      <x v="90"/>
      <x v="7"/>
      <x v="8"/>
    </i>
    <i>
      <x v="125"/>
      <x v="92"/>
      <x v="7"/>
      <x v="8"/>
    </i>
    <i>
      <x v="126"/>
      <x v="72"/>
      <x v="7"/>
      <x v="8"/>
    </i>
    <i>
      <x v="127"/>
      <x v="129"/>
      <x v="7"/>
      <x v="8"/>
    </i>
    <i>
      <x v="128"/>
      <x v="140"/>
      <x v="7"/>
      <x v="8"/>
    </i>
    <i>
      <x v="129"/>
      <x v="62"/>
      <x v="4"/>
      <x v="4"/>
    </i>
    <i>
      <x v="130"/>
      <x v="61"/>
      <x v="5"/>
      <x v="18"/>
    </i>
    <i>
      <x v="131"/>
      <x v="35"/>
      <x v="2"/>
      <x v="2"/>
    </i>
    <i>
      <x v="132"/>
      <x v="58"/>
      <x v="11"/>
      <x v="20"/>
    </i>
    <i>
      <x v="133"/>
      <x v="152"/>
      <x v="5"/>
      <x v="11"/>
    </i>
    <i>
      <x v="134"/>
      <x v="22"/>
      <x/>
      <x/>
    </i>
    <i>
      <x v="135"/>
      <x v="165"/>
      <x v="11"/>
      <x v="20"/>
    </i>
    <i>
      <x v="136"/>
      <x v="159"/>
      <x v="9"/>
      <x v="14"/>
    </i>
    <i>
      <x v="137"/>
      <x v="38"/>
      <x/>
      <x/>
    </i>
    <i>
      <x v="138"/>
      <x v="67"/>
      <x v="2"/>
      <x v="2"/>
    </i>
    <i>
      <x v="139"/>
      <x v="2"/>
      <x v="2"/>
      <x v="2"/>
    </i>
    <i>
      <x v="140"/>
      <x v="13"/>
      <x v="2"/>
      <x v="2"/>
    </i>
    <i>
      <x v="141"/>
      <x v="8"/>
      <x v="2"/>
      <x v="2"/>
    </i>
    <i>
      <x v="142"/>
      <x/>
      <x v="2"/>
      <x v="2"/>
    </i>
    <i>
      <x v="143"/>
      <x v="15"/>
      <x v="2"/>
      <x v="2"/>
    </i>
    <i>
      <x v="144"/>
      <x v="6"/>
      <x v="2"/>
      <x v="2"/>
    </i>
    <i>
      <x v="145"/>
      <x v="23"/>
      <x v="2"/>
      <x v="2"/>
    </i>
    <i>
      <x v="146"/>
      <x v="203"/>
      <x v="2"/>
      <x v="2"/>
    </i>
    <i>
      <x v="147"/>
      <x v="4"/>
      <x v="2"/>
      <x v="2"/>
    </i>
    <i>
      <x v="148"/>
      <x v="125"/>
      <x v="2"/>
      <x v="2"/>
    </i>
    <i>
      <x v="149"/>
      <x v="115"/>
      <x v="2"/>
      <x v="2"/>
    </i>
    <i>
      <x v="150"/>
      <x v="1"/>
      <x v="2"/>
      <x v="2"/>
    </i>
    <i>
      <x v="151"/>
      <x v="28"/>
      <x v="2"/>
      <x v="2"/>
    </i>
    <i>
      <x v="152"/>
      <x v="66"/>
      <x v="2"/>
      <x v="2"/>
    </i>
    <i>
      <x v="153"/>
      <x v="170"/>
      <x v="2"/>
      <x v="2"/>
    </i>
    <i>
      <x v="154"/>
      <x v="173"/>
      <x v="2"/>
      <x v="2"/>
    </i>
    <i>
      <x v="155"/>
      <x v="200"/>
      <x v="2"/>
      <x v="2"/>
    </i>
    <i>
      <x v="156"/>
      <x v="199"/>
      <x v="2"/>
      <x v="2"/>
    </i>
    <i>
      <x v="157"/>
      <x v="29"/>
      <x v="2"/>
      <x v="2"/>
    </i>
    <i>
      <x v="158"/>
      <x v="14"/>
      <x v="2"/>
      <x v="2"/>
    </i>
    <i>
      <x v="159"/>
      <x v="37"/>
      <x v="2"/>
      <x v="2"/>
    </i>
    <i>
      <x v="160"/>
      <x v="5"/>
      <x v="2"/>
      <x v="2"/>
    </i>
    <i>
      <x v="161"/>
      <x v="36"/>
      <x v="2"/>
      <x v="2"/>
    </i>
    <i>
      <x v="162"/>
      <x v="141"/>
      <x v="2"/>
      <x v="2"/>
    </i>
    <i>
      <x v="163"/>
      <x v="163"/>
      <x/>
      <x/>
    </i>
    <i>
      <x v="164"/>
      <x v="7"/>
      <x/>
      <x/>
    </i>
    <i>
      <x v="165"/>
      <x v="65"/>
      <x v="1"/>
      <x v="1"/>
    </i>
    <i>
      <x v="166"/>
      <x v="38"/>
      <x v="7"/>
      <x v="8"/>
    </i>
    <i>
      <x v="167"/>
      <x v="38"/>
      <x v="8"/>
      <x v="12"/>
    </i>
    <i>
      <x v="168"/>
      <x v="89"/>
      <x v="8"/>
      <x v="12"/>
    </i>
    <i>
      <x v="169"/>
      <x v="38"/>
      <x v="5"/>
      <x v="18"/>
    </i>
    <i>
      <x v="170"/>
      <x v="50"/>
      <x v="8"/>
      <x v="12"/>
    </i>
    <i>
      <x v="171"/>
      <x v="207"/>
      <x v="2"/>
      <x v="2"/>
    </i>
    <i>
      <x v="172"/>
      <x v="57"/>
      <x v="7"/>
      <x v="8"/>
    </i>
    <i>
      <x v="173"/>
      <x v="122"/>
      <x v="7"/>
      <x v="8"/>
    </i>
    <i>
      <x v="174"/>
      <x v="138"/>
      <x v="7"/>
      <x v="8"/>
    </i>
    <i>
      <x v="175"/>
      <x v="185"/>
      <x v="5"/>
      <x v="19"/>
    </i>
    <i>
      <x v="176"/>
      <x v="44"/>
      <x v="11"/>
      <x v="20"/>
    </i>
    <i>
      <x v="177"/>
      <x v="139"/>
      <x v="7"/>
      <x v="8"/>
    </i>
    <i>
      <x v="178"/>
      <x v="161"/>
      <x v="1"/>
      <x v="1"/>
    </i>
    <i>
      <x v="179"/>
      <x v="195"/>
      <x/>
      <x/>
    </i>
    <i>
      <x v="180"/>
      <x v="86"/>
      <x v="7"/>
      <x v="8"/>
    </i>
    <i>
      <x v="181"/>
      <x v="87"/>
      <x v="7"/>
      <x v="8"/>
    </i>
    <i>
      <x v="182"/>
      <x v="12"/>
      <x v="7"/>
      <x v="8"/>
    </i>
    <i>
      <x v="183"/>
      <x v="10"/>
      <x v="7"/>
      <x v="8"/>
    </i>
    <i>
      <x v="184"/>
      <x v="11"/>
      <x v="7"/>
      <x v="8"/>
    </i>
    <i>
      <x v="185"/>
      <x v="45"/>
      <x v="7"/>
      <x v="8"/>
    </i>
    <i>
      <x v="186"/>
      <x v="82"/>
      <x v="7"/>
      <x v="8"/>
    </i>
    <i>
      <x v="187"/>
      <x v="182"/>
      <x v="7"/>
      <x v="8"/>
    </i>
    <i>
      <x v="188"/>
      <x v="150"/>
      <x v="5"/>
      <x v="17"/>
    </i>
    <i>
      <x v="189"/>
      <x v="74"/>
      <x v="5"/>
      <x v="7"/>
    </i>
    <i>
      <x v="190"/>
      <x v="184"/>
      <x/>
      <x/>
    </i>
    <i>
      <x v="191"/>
      <x v="131"/>
      <x v="10"/>
      <x v="15"/>
    </i>
    <i>
      <x v="192"/>
      <x v="134"/>
      <x v="10"/>
      <x v="15"/>
    </i>
    <i>
      <x v="193"/>
      <x v="132"/>
      <x v="10"/>
      <x v="15"/>
    </i>
    <i>
      <x v="194"/>
      <x v="130"/>
      <x v="10"/>
      <x v="15"/>
    </i>
    <i>
      <x v="195"/>
      <x v="120"/>
      <x v="5"/>
      <x v="13"/>
    </i>
    <i>
      <x v="196"/>
      <x v="123"/>
      <x v="6"/>
      <x v="6"/>
    </i>
    <i>
      <x v="197"/>
      <x v="137"/>
      <x v="6"/>
      <x v="6"/>
    </i>
    <i>
      <x v="198"/>
      <x v="95"/>
      <x v="5"/>
      <x v="9"/>
    </i>
    <i>
      <x v="199"/>
      <x v="39"/>
      <x v="5"/>
      <x v="13"/>
    </i>
    <i>
      <x v="200"/>
      <x v="136"/>
      <x v="5"/>
      <x v="13"/>
    </i>
    <i>
      <x v="201"/>
      <x v="119"/>
      <x v="5"/>
      <x v="13"/>
    </i>
    <i>
      <x v="202"/>
      <x v="142"/>
      <x v="5"/>
      <x v="16"/>
    </i>
    <i>
      <x v="203"/>
      <x v="51"/>
      <x v="6"/>
      <x v="6"/>
    </i>
    <i>
      <x v="204"/>
      <x v="52"/>
      <x v="6"/>
      <x v="6"/>
    </i>
    <i>
      <x v="205"/>
      <x v="53"/>
      <x v="6"/>
      <x v="6"/>
    </i>
    <i>
      <x v="206"/>
      <x v="116"/>
      <x v="6"/>
      <x v="6"/>
    </i>
    <i>
      <x v="207"/>
      <x v="124"/>
      <x v="6"/>
      <x v="6"/>
    </i>
    <i>
      <x v="208"/>
      <x v="208"/>
      <x v="6"/>
      <x v="6"/>
    </i>
    <i>
      <x v="209"/>
      <x v="40"/>
      <x v="5"/>
      <x v="13"/>
    </i>
    <i>
      <x v="210"/>
      <x v="133"/>
      <x v="10"/>
      <x v="15"/>
    </i>
    <i>
      <x v="211"/>
      <x v="135"/>
      <x v="5"/>
      <x v="13"/>
    </i>
    <i>
      <x v="212"/>
      <x v="148"/>
      <x v="3"/>
      <x v="3"/>
    </i>
    <i>
      <x v="213"/>
      <x v="96"/>
      <x v="5"/>
      <x v="9"/>
    </i>
    <i>
      <x v="214"/>
      <x v="143"/>
      <x v="5"/>
      <x v="16"/>
    </i>
    <i>
      <x v="215"/>
      <x v="30"/>
      <x v="6"/>
      <x v="6"/>
    </i>
    <i>
      <x v="216"/>
      <x v="31"/>
      <x v="6"/>
      <x v="6"/>
    </i>
    <i>
      <x v="217"/>
      <x v="209"/>
      <x v="7"/>
      <x v="8"/>
    </i>
    <i>
      <x v="218"/>
      <x v="211"/>
      <x/>
      <x/>
    </i>
    <i>
      <x v="219"/>
      <x v="210"/>
      <x v="1"/>
      <x v="1"/>
    </i>
    <i>
      <x v="220"/>
      <x v="212"/>
      <x v="7"/>
      <x v="8"/>
    </i>
    <i>
      <x v="221"/>
      <x v="213"/>
      <x v="5"/>
      <x v="17"/>
    </i>
    <i>
      <x v="222"/>
      <x v="214"/>
      <x v="5"/>
      <x v="13"/>
    </i>
    <i>
      <x v="223"/>
      <x v="215"/>
      <x v="10"/>
      <x v="15"/>
    </i>
    <i>
      <x v="224"/>
      <x v="219"/>
      <x v="10"/>
      <x v="15"/>
    </i>
    <i>
      <x v="225"/>
      <x v="216"/>
      <x v="7"/>
      <x v="8"/>
    </i>
    <i>
      <x v="226"/>
      <x v="217"/>
      <x v="5"/>
      <x v="13"/>
    </i>
    <i>
      <x v="227"/>
      <x v="218"/>
      <x v="2"/>
      <x v="2"/>
    </i>
    <i>
      <x v="228"/>
      <x v="220"/>
      <x v="7"/>
      <x v="8"/>
    </i>
    <i>
      <x v="229"/>
      <x v="221"/>
      <x v="6"/>
      <x v="6"/>
    </i>
    <i>
      <x v="230"/>
      <x v="222"/>
      <x v="2"/>
      <x v="2"/>
    </i>
    <i>
      <x v="231"/>
      <x v="223"/>
      <x v="5"/>
      <x v="11"/>
    </i>
    <i>
      <x v="232"/>
      <x v="224"/>
      <x v="5"/>
      <x v="11"/>
    </i>
    <i>
      <x v="233"/>
      <x v="232"/>
      <x v="3"/>
      <x v="3"/>
    </i>
    <i>
      <x v="234"/>
      <x v="231"/>
      <x v="5"/>
      <x v="17"/>
    </i>
    <i>
      <x v="235"/>
      <x v="233"/>
      <x v="5"/>
      <x v="10"/>
    </i>
    <i>
      <x v="236"/>
      <x v="234"/>
      <x v="5"/>
      <x v="10"/>
    </i>
    <i>
      <x v="237"/>
      <x v="235"/>
      <x v="5"/>
      <x v="10"/>
    </i>
    <i>
      <x v="238"/>
      <x v="236"/>
      <x v="5"/>
      <x v="19"/>
    </i>
    <i>
      <x v="239"/>
      <x v="237"/>
      <x v="5"/>
      <x v="19"/>
    </i>
    <i>
      <x v="240"/>
      <x v="238"/>
      <x v="8"/>
      <x v="12"/>
    </i>
    <i>
      <x v="241"/>
      <x v="239"/>
      <x v="6"/>
      <x v="6"/>
    </i>
    <i>
      <x v="242"/>
      <x v="240"/>
      <x v="12"/>
      <x v="21"/>
    </i>
    <i>
      <x v="243"/>
      <x v="121"/>
      <x v="7"/>
      <x v="8"/>
    </i>
    <i>
      <x v="244"/>
      <x v="241"/>
      <x v="6"/>
      <x v="6"/>
    </i>
    <i>
      <x v="245"/>
      <x v="245"/>
      <x v="5"/>
      <x v="16"/>
    </i>
    <i>
      <x v="246"/>
      <x v="246"/>
      <x v="5"/>
      <x v="9"/>
    </i>
    <i>
      <x v="247"/>
      <x v="242"/>
      <x v="10"/>
      <x v="15"/>
    </i>
    <i>
      <x v="248"/>
      <x v="243"/>
      <x v="10"/>
      <x v="15"/>
    </i>
    <i>
      <x v="249"/>
      <x v="244"/>
      <x v="6"/>
      <x v="6"/>
    </i>
    <i>
      <x v="250"/>
      <x v="247"/>
      <x v="3"/>
      <x v="3"/>
    </i>
    <i>
      <x v="251"/>
      <x v="248"/>
      <x v="6"/>
      <x v="6"/>
    </i>
  </rowItems>
  <colFields count="1">
    <field x="-2"/>
  </colFields>
  <colItems count="2">
    <i>
      <x/>
    </i>
    <i i="1">
      <x v="1"/>
    </i>
  </colItems>
  <pageFields count="1">
    <pageField fld="0" hier="-1"/>
  </pageFields>
  <dataFields count="2">
    <dataField name="Sum of HH" fld="16" baseField="11" baseItem="0"/>
    <dataField name="Sum of Total" fld="17" baseField="5"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4.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255" firstHeaderRow="1" firstDataRow="1" firstDataCol="3"/>
  <pivotFields count="42">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x="4"/>
        <item x="3"/>
        <item x="12"/>
        <item x="20"/>
        <item x="13"/>
        <item x="8"/>
        <item x="15"/>
        <item x="17"/>
        <item x="6"/>
        <item x="18"/>
        <item x="10"/>
        <item x="11"/>
        <item x="5"/>
        <item x="14"/>
        <item x="0"/>
        <item x="1"/>
        <item x="19"/>
        <item x="9"/>
        <item x="7"/>
        <item x="16"/>
        <item x="2"/>
        <item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9">
        <item x="146"/>
        <item x="157"/>
        <item x="143"/>
        <item x="52"/>
        <item x="151"/>
        <item x="167"/>
        <item x="148"/>
        <item x="171"/>
        <item x="145"/>
        <item x="91"/>
        <item x="187"/>
        <item x="188"/>
        <item x="186"/>
        <item x="144"/>
        <item x="165"/>
        <item x="147"/>
        <item x="112"/>
        <item x="111"/>
        <item x="124"/>
        <item x="198"/>
        <item x="108"/>
        <item x="87"/>
        <item x="44"/>
        <item x="137"/>
        <item x="234"/>
        <item x="149"/>
        <item x="11"/>
        <item x="9"/>
        <item x="10"/>
        <item x="121"/>
        <item x="158"/>
        <item x="164"/>
        <item x="223"/>
        <item x="227"/>
        <item x="48"/>
        <item x="28"/>
        <item x="113"/>
        <item x="134"/>
        <item x="168"/>
        <item x="166"/>
        <item x="212"/>
        <item x="140"/>
        <item x="204"/>
        <item x="217"/>
        <item x="201"/>
        <item x="45"/>
        <item x="120"/>
        <item x="54"/>
        <item x="180"/>
        <item x="189"/>
        <item x="199"/>
        <item x="17"/>
        <item x="18"/>
        <item x="119"/>
        <item x="50"/>
        <item x="174"/>
        <item x="208"/>
        <item x="210"/>
        <item x="209"/>
        <item x="211"/>
        <item x="12"/>
        <item x="79"/>
        <item x="76"/>
        <item x="176"/>
        <item x="115"/>
        <item x="135"/>
        <item x="47"/>
        <item x="123"/>
        <item x="133"/>
        <item x="132"/>
        <item x="14"/>
        <item x="13"/>
        <item x="172"/>
        <item x="159"/>
        <item x="141"/>
        <item x="51"/>
        <item x="73"/>
        <item x="71"/>
        <item x="72"/>
        <item x="129"/>
        <item x="224"/>
        <item x="229"/>
        <item x="106"/>
        <item x="193"/>
        <item x="27"/>
        <item x="117"/>
        <item x="66"/>
        <item x="241"/>
        <item x="31"/>
        <item x="29"/>
        <item x="42"/>
        <item x="41"/>
        <item x="190"/>
        <item x="195"/>
        <item x="15"/>
        <item x="64"/>
        <item x="7"/>
        <item x="184"/>
        <item x="185"/>
        <item x="65"/>
        <item x="243"/>
        <item x="173"/>
        <item x="127"/>
        <item x="202"/>
        <item x="126"/>
        <item x="200"/>
        <item x="128"/>
        <item x="116"/>
        <item x="60"/>
        <item x="203"/>
        <item x="221"/>
        <item x="78"/>
        <item x="68"/>
        <item x="93"/>
        <item x="92"/>
        <item x="95"/>
        <item x="97"/>
        <item x="98"/>
        <item x="94"/>
        <item x="99"/>
        <item x="96"/>
        <item x="20"/>
        <item x="21"/>
        <item x="105"/>
        <item x="89"/>
        <item x="86"/>
        <item x="85"/>
        <item x="90"/>
        <item x="88"/>
        <item x="153"/>
        <item x="213"/>
        <item x="215"/>
        <item x="37"/>
        <item x="58"/>
        <item x="59"/>
        <item x="245"/>
        <item x="244"/>
        <item x="206"/>
        <item x="154"/>
        <item x="240"/>
        <item x="177"/>
        <item x="248"/>
        <item x="155"/>
        <item x="236"/>
        <item x="214"/>
        <item x="152"/>
        <item x="228"/>
        <item x="235"/>
        <item x="53"/>
        <item x="16"/>
        <item x="63"/>
        <item x="130"/>
        <item x="142"/>
        <item x="19"/>
        <item x="231"/>
        <item x="33"/>
        <item x="218"/>
        <item x="32"/>
        <item x="219"/>
        <item x="205"/>
        <item x="156"/>
        <item x="246"/>
        <item x="178"/>
        <item x="181"/>
        <item x="131"/>
        <item x="169"/>
        <item x="237"/>
        <item x="207"/>
        <item x="222"/>
        <item x="232"/>
        <item x="24"/>
        <item x="56"/>
        <item x="102"/>
        <item x="82"/>
        <item x="220"/>
        <item x="80"/>
        <item x="192"/>
        <item x="35"/>
        <item x="136"/>
        <item x="36"/>
        <item x="230"/>
        <item x="238"/>
        <item x="83"/>
        <item x="84"/>
        <item x="125"/>
        <item x="61"/>
        <item x="1"/>
        <item x="74"/>
        <item x="139"/>
        <item x="122"/>
        <item x="118"/>
        <item x="242"/>
        <item x="182"/>
        <item x="101"/>
        <item x="170"/>
        <item x="67"/>
        <item x="138"/>
        <item x="34"/>
        <item x="25"/>
        <item x="30"/>
        <item x="26"/>
        <item x="160"/>
        <item x="49"/>
        <item x="107"/>
        <item x="161"/>
        <item x="233"/>
        <item x="103"/>
        <item x="225"/>
        <item x="226"/>
        <item x="197"/>
        <item x="75"/>
        <item x="5"/>
        <item x="6"/>
        <item x="43"/>
        <item x="69"/>
        <item x="70"/>
        <item x="8"/>
        <item x="191"/>
        <item x="81"/>
        <item x="194"/>
        <item x="179"/>
        <item x="57"/>
        <item x="109"/>
        <item x="62"/>
        <item x="0"/>
        <item x="23"/>
        <item x="3"/>
        <item x="2"/>
        <item x="4"/>
        <item x="39"/>
        <item x="196"/>
        <item x="100"/>
        <item x="183"/>
        <item x="77"/>
        <item x="247"/>
        <item x="40"/>
        <item x="38"/>
        <item x="239"/>
        <item x="163"/>
        <item x="162"/>
        <item x="114"/>
        <item x="46"/>
        <item x="150"/>
        <item x="22"/>
        <item x="55"/>
        <item x="104"/>
        <item x="110"/>
        <item x="175"/>
        <item x="216"/>
      </items>
      <extLst>
        <ext xmlns:x14="http://schemas.microsoft.com/office/spreadsheetml/2009/9/main" uri="{2946ED86-A175-432a-8AC1-64E0C546D7DE}">
          <x14:pivotField fillDownLabels="1"/>
        </ext>
      </extLst>
    </pivotField>
    <pivotField axis="axisRow" compact="0" outline="0" showAll="0" defaultSubtotal="0">
      <items count="252">
        <item x="0"/>
        <item x="1"/>
        <item x="2"/>
        <item x="3"/>
        <item x="4"/>
        <item x="5"/>
        <item x="6"/>
        <item x="7"/>
        <item x="8"/>
        <item x="9"/>
        <item x="10"/>
        <item x="11"/>
        <item x="12"/>
        <item x="13"/>
        <item x="14"/>
        <item x="15"/>
        <item x="16"/>
        <item x="17"/>
        <item x="18"/>
        <item x="20"/>
        <item x="21"/>
        <item x="22"/>
        <item x="23"/>
        <item x="24"/>
        <item x="25"/>
        <item x="26"/>
        <item x="27"/>
        <item x="28"/>
        <item x="29"/>
        <item x="30"/>
        <item x="31"/>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3"/>
        <item x="144"/>
        <item x="145"/>
        <item x="146"/>
        <item x="147"/>
        <item x="148"/>
        <item x="149"/>
        <item x="150"/>
        <item x="151"/>
        <item x="152"/>
        <item x="153"/>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
        <item x="32"/>
        <item x="33"/>
        <item x="142"/>
        <item x="154"/>
        <item x="155"/>
        <item x="156"/>
        <item x="206"/>
        <item x="207"/>
        <item x="208"/>
        <item x="209"/>
        <item x="210"/>
        <item x="211"/>
        <item x="212"/>
        <item x="214"/>
        <item x="216"/>
        <item x="217"/>
        <item x="219"/>
        <item x="220"/>
        <item x="221"/>
        <item x="222"/>
        <item x="223"/>
        <item x="224"/>
        <item x="225"/>
        <item x="226"/>
        <item x="230"/>
        <item x="198"/>
        <item x="199"/>
        <item x="200"/>
        <item x="201"/>
        <item x="202"/>
        <item x="231"/>
        <item x="234"/>
        <item x="235"/>
        <item x="203"/>
        <item x="238"/>
        <item x="204"/>
        <item x="205"/>
        <item x="239"/>
        <item x="213"/>
        <item x="215"/>
        <item x="218"/>
        <item x="240"/>
        <item x="227"/>
        <item x="228"/>
        <item x="229"/>
        <item x="232"/>
        <item x="233"/>
        <item x="236"/>
        <item x="237"/>
        <item x="241"/>
        <item x="242"/>
        <item x="243"/>
        <item x="244"/>
        <item x="245"/>
        <item x="246"/>
        <item x="247"/>
        <item x="248"/>
        <item x="249"/>
        <item x="250"/>
        <item x="25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howAll="0" defaultSubtotal="0">
      <items count="13">
        <item x="3"/>
        <item x="8"/>
        <item x="0"/>
        <item x="10"/>
        <item x="5"/>
        <item x="11"/>
        <item x="4"/>
        <item x="1"/>
        <item x="6"/>
        <item x="9"/>
        <item x="7"/>
        <item x="2"/>
        <item x="12"/>
      </items>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11"/>
    <field x="12"/>
    <field x="0"/>
  </rowFields>
  <rowItems count="252">
    <i>
      <x/>
      <x v="142"/>
      <x/>
    </i>
    <i>
      <x v="1"/>
      <x v="150"/>
      <x v="1"/>
    </i>
    <i>
      <x v="2"/>
      <x v="139"/>
      <x v="1"/>
    </i>
    <i>
      <x v="3"/>
      <x v="49"/>
      <x v="1"/>
    </i>
    <i>
      <x v="4"/>
      <x v="147"/>
      <x v="1"/>
    </i>
    <i>
      <x v="5"/>
      <x v="160"/>
      <x v="1"/>
    </i>
    <i>
      <x v="6"/>
      <x v="144"/>
      <x/>
    </i>
    <i>
      <x v="7"/>
      <x v="164"/>
      <x v="1"/>
    </i>
    <i>
      <x v="8"/>
      <x v="141"/>
      <x/>
    </i>
    <i>
      <x v="9"/>
      <x v="88"/>
      <x/>
    </i>
    <i>
      <x v="10"/>
      <x v="183"/>
      <x/>
    </i>
    <i>
      <x v="11"/>
      <x v="184"/>
      <x/>
    </i>
    <i>
      <x v="12"/>
      <x v="182"/>
      <x/>
    </i>
    <i>
      <x v="13"/>
      <x v="140"/>
      <x v="1"/>
    </i>
    <i>
      <x v="14"/>
      <x v="158"/>
      <x/>
    </i>
    <i>
      <x v="15"/>
      <x v="143"/>
      <x/>
    </i>
    <i>
      <x v="16"/>
      <x v="109"/>
      <x/>
    </i>
    <i>
      <x v="17"/>
      <x v="108"/>
      <x v="1"/>
    </i>
    <i>
      <x v="18"/>
      <x v="121"/>
      <x v="1"/>
    </i>
    <i>
      <x v="19"/>
      <x v="220"/>
      <x v="1"/>
    </i>
    <i>
      <x v="20"/>
      <x v="105"/>
      <x v="1"/>
    </i>
    <i>
      <x v="21"/>
      <x v="84"/>
      <x/>
    </i>
    <i>
      <x v="22"/>
      <x v="41"/>
      <x v="1"/>
    </i>
    <i>
      <x v="23"/>
      <x v="134"/>
      <x/>
    </i>
    <i>
      <x v="24"/>
      <x v="240"/>
      <x v="1"/>
    </i>
    <i>
      <x v="25"/>
      <x v="145"/>
      <x v="1"/>
    </i>
    <i>
      <x v="26"/>
      <x v="11"/>
      <x v="1"/>
    </i>
    <i>
      <x v="27"/>
      <x v="9"/>
      <x v="1"/>
    </i>
    <i>
      <x v="28"/>
      <x v="10"/>
      <x v="1"/>
    </i>
    <i>
      <x v="29"/>
      <x v="118"/>
      <x v="1"/>
    </i>
    <i>
      <x v="30"/>
      <x v="151"/>
      <x/>
    </i>
    <i>
      <x v="31"/>
      <x v="157"/>
      <x/>
    </i>
    <i>
      <x v="32"/>
      <x v="215"/>
      <x/>
    </i>
    <i>
      <x v="33"/>
      <x v="216"/>
      <x/>
    </i>
    <i>
      <x v="34"/>
      <x v="45"/>
      <x/>
    </i>
    <i>
      <x v="35"/>
      <x v="27"/>
      <x v="1"/>
    </i>
    <i>
      <x v="36"/>
      <x v="110"/>
      <x v="1"/>
    </i>
    <i>
      <x v="37"/>
      <x v="131"/>
      <x v="1"/>
    </i>
    <i>
      <x v="38"/>
      <x v="161"/>
      <x v="1"/>
    </i>
    <i>
      <x v="39"/>
      <x v="159"/>
      <x/>
    </i>
    <i>
      <x v="40"/>
      <x v="231"/>
      <x v="1"/>
    </i>
    <i>
      <x v="41"/>
      <x v="137"/>
      <x v="1"/>
    </i>
    <i r="1">
      <x v="166"/>
      <x v="1"/>
    </i>
    <i r="1">
      <x v="167"/>
      <x v="1"/>
    </i>
    <i r="1">
      <x v="169"/>
      <x v="1"/>
    </i>
    <i>
      <x v="42"/>
      <x v="199"/>
      <x v="1"/>
    </i>
    <i>
      <x v="43"/>
      <x v="209"/>
      <x v="1"/>
    </i>
    <i>
      <x v="44"/>
      <x v="227"/>
      <x v="1"/>
    </i>
    <i>
      <x v="45"/>
      <x v="42"/>
      <x v="1"/>
    </i>
    <i>
      <x v="46"/>
      <x v="117"/>
      <x v="1"/>
    </i>
    <i>
      <x v="47"/>
      <x v="51"/>
      <x v="1"/>
    </i>
    <i>
      <x v="48"/>
      <x v="176"/>
      <x v="1"/>
    </i>
    <i>
      <x v="49"/>
      <x v="185"/>
      <x/>
    </i>
    <i>
      <x v="50"/>
      <x v="221"/>
      <x v="1"/>
    </i>
    <i>
      <x v="51"/>
      <x v="17"/>
      <x v="1"/>
    </i>
    <i>
      <x v="52"/>
      <x v="18"/>
      <x v="1"/>
    </i>
    <i>
      <x v="53"/>
      <x v="116"/>
      <x v="1"/>
    </i>
    <i>
      <x v="54"/>
      <x v="47"/>
      <x/>
    </i>
    <i>
      <x v="55"/>
      <x v="170"/>
      <x v="1"/>
    </i>
    <i>
      <x v="56"/>
      <x v="203"/>
      <x v="1"/>
    </i>
    <i>
      <x v="57"/>
      <x v="230"/>
      <x v="1"/>
    </i>
    <i>
      <x v="58"/>
      <x v="204"/>
      <x v="1"/>
    </i>
    <i>
      <x v="59"/>
      <x v="205"/>
      <x v="1"/>
    </i>
    <i>
      <x v="60"/>
      <x v="12"/>
      <x v="1"/>
    </i>
    <i>
      <x v="61"/>
      <x v="76"/>
      <x v="1"/>
    </i>
    <i>
      <x v="62"/>
      <x v="73"/>
      <x v="1"/>
    </i>
    <i>
      <x v="63"/>
      <x v="172"/>
      <x/>
    </i>
    <i>
      <x v="64"/>
      <x v="112"/>
      <x/>
    </i>
    <i>
      <x v="65"/>
      <x v="132"/>
      <x v="1"/>
    </i>
    <i>
      <x v="66"/>
      <x v="44"/>
      <x v="1"/>
    </i>
    <i>
      <x v="67"/>
      <x v="120"/>
      <x v="1"/>
    </i>
    <i>
      <x v="68"/>
      <x v="130"/>
      <x v="1"/>
    </i>
    <i>
      <x v="69"/>
      <x v="129"/>
      <x/>
    </i>
    <i>
      <x v="70"/>
      <x v="14"/>
      <x v="1"/>
    </i>
    <i>
      <x v="71"/>
      <x v="13"/>
      <x v="1"/>
    </i>
    <i>
      <x v="72"/>
      <x v="165"/>
      <x v="1"/>
    </i>
    <i>
      <x v="73"/>
      <x v="152"/>
      <x v="1"/>
    </i>
    <i>
      <x v="74"/>
      <x v="138"/>
      <x v="1"/>
    </i>
    <i>
      <x v="75"/>
      <x v="48"/>
      <x v="1"/>
    </i>
    <i>
      <x v="76"/>
      <x v="70"/>
      <x v="1"/>
    </i>
    <i>
      <x v="77"/>
      <x v="68"/>
      <x v="1"/>
    </i>
    <i>
      <x v="78"/>
      <x v="69"/>
      <x v="1"/>
    </i>
    <i>
      <x v="79"/>
      <x v="126"/>
      <x/>
    </i>
    <i>
      <x v="80"/>
      <x v="234"/>
      <x v="1"/>
    </i>
    <i>
      <x v="81"/>
      <x v="237"/>
      <x v="1"/>
    </i>
    <i>
      <x v="82"/>
      <x v="103"/>
      <x/>
    </i>
    <i>
      <x v="83"/>
      <x v="189"/>
      <x/>
    </i>
    <i>
      <x v="84"/>
      <x v="26"/>
      <x v="1"/>
    </i>
    <i>
      <x v="85"/>
      <x v="114"/>
      <x v="1"/>
    </i>
    <i>
      <x v="86"/>
      <x v="63"/>
      <x v="1"/>
    </i>
    <i>
      <x v="87"/>
      <x v="244"/>
      <x v="1"/>
    </i>
    <i>
      <x v="88"/>
      <x v="30"/>
      <x v="1"/>
    </i>
    <i>
      <x v="89"/>
      <x v="28"/>
      <x v="1"/>
    </i>
    <i>
      <x v="90"/>
      <x v="39"/>
      <x v="1"/>
    </i>
    <i>
      <x v="91"/>
      <x v="38"/>
      <x v="1"/>
    </i>
    <i>
      <x v="92"/>
      <x v="186"/>
      <x v="1"/>
    </i>
    <i>
      <x v="93"/>
      <x v="217"/>
      <x v="1"/>
    </i>
    <i>
      <x v="94"/>
      <x v="15"/>
      <x v="1"/>
    </i>
    <i>
      <x v="95"/>
      <x v="61"/>
      <x v="1"/>
    </i>
    <i>
      <x v="96"/>
      <x v="7"/>
      <x v="1"/>
    </i>
    <i>
      <x v="97"/>
      <x v="180"/>
      <x/>
    </i>
    <i>
      <x v="98"/>
      <x v="181"/>
      <x/>
    </i>
    <i>
      <x v="99"/>
      <x v="62"/>
      <x v="1"/>
    </i>
    <i>
      <x v="100"/>
      <x v="246"/>
      <x v="1"/>
    </i>
    <i>
      <x v="101"/>
      <x v="168"/>
      <x v="1"/>
    </i>
    <i>
      <x v="102"/>
      <x v="124"/>
      <x v="1"/>
    </i>
    <i>
      <x v="103"/>
      <x v="228"/>
      <x v="1"/>
    </i>
    <i>
      <x v="104"/>
      <x v="123"/>
      <x v="1"/>
    </i>
    <i>
      <x v="105"/>
      <x v="225"/>
      <x v="1"/>
    </i>
    <i>
      <x v="106"/>
      <x v="125"/>
      <x v="1"/>
    </i>
    <i>
      <x v="107"/>
      <x v="113"/>
      <x/>
    </i>
    <i>
      <x v="108"/>
      <x v="57"/>
      <x/>
    </i>
    <i>
      <x v="109"/>
      <x v="198"/>
      <x v="1"/>
    </i>
    <i>
      <x v="110"/>
      <x v="213"/>
      <x v="1"/>
    </i>
    <i>
      <x v="111"/>
      <x v="75"/>
      <x v="1"/>
    </i>
    <i>
      <x v="112"/>
      <x v="65"/>
      <x v="1"/>
    </i>
    <i>
      <x v="113"/>
      <x v="90"/>
      <x/>
    </i>
    <i>
      <x v="114"/>
      <x v="89"/>
      <x/>
    </i>
    <i>
      <x v="115"/>
      <x v="92"/>
      <x/>
    </i>
    <i>
      <x v="116"/>
      <x v="94"/>
      <x/>
    </i>
    <i>
      <x v="117"/>
      <x v="95"/>
      <x/>
    </i>
    <i>
      <x v="118"/>
      <x v="91"/>
      <x/>
    </i>
    <i>
      <x v="119"/>
      <x v="96"/>
      <x/>
    </i>
    <i>
      <x v="120"/>
      <x v="93"/>
      <x/>
    </i>
    <i>
      <x v="121"/>
      <x v="19"/>
      <x v="1"/>
    </i>
    <i>
      <x v="122"/>
      <x v="20"/>
      <x v="1"/>
    </i>
    <i>
      <x v="123"/>
      <x v="102"/>
      <x/>
    </i>
    <i>
      <x v="124"/>
      <x v="86"/>
      <x/>
    </i>
    <i>
      <x v="125"/>
      <x v="83"/>
      <x/>
    </i>
    <i>
      <x v="126"/>
      <x v="82"/>
      <x/>
    </i>
    <i>
      <x v="127"/>
      <x v="87"/>
      <x v="1"/>
    </i>
    <i>
      <x v="128"/>
      <x v="85"/>
      <x/>
    </i>
    <i>
      <x v="129"/>
      <x v="149"/>
      <x/>
    </i>
    <i>
      <x v="130"/>
      <x v="206"/>
      <x v="1"/>
    </i>
    <i>
      <x v="131"/>
      <x v="232"/>
      <x v="1"/>
    </i>
    <i>
      <x v="132"/>
      <x v="34"/>
      <x/>
    </i>
    <i>
      <x v="133"/>
      <x v="55"/>
      <x v="1"/>
    </i>
    <i>
      <x v="134"/>
      <x v="56"/>
      <x/>
    </i>
    <i>
      <x v="135"/>
      <x v="248"/>
      <x v="1"/>
    </i>
    <i>
      <x v="136"/>
      <x v="247"/>
      <x v="1"/>
    </i>
    <i>
      <x v="137"/>
      <x v="201"/>
      <x/>
    </i>
    <i>
      <x v="138"/>
      <x v="195"/>
      <x v="1"/>
    </i>
    <i>
      <x v="139"/>
      <x v="243"/>
      <x/>
    </i>
    <i>
      <x v="140"/>
      <x v="173"/>
      <x/>
    </i>
    <i>
      <x v="141"/>
      <x v="251"/>
      <x v="1"/>
    </i>
    <i>
      <x v="142"/>
      <x v="196"/>
      <x v="1"/>
    </i>
    <i>
      <x v="143"/>
      <x v="229"/>
      <x v="1"/>
    </i>
    <i>
      <x v="144"/>
      <x v="207"/>
      <x/>
    </i>
    <i>
      <x v="145"/>
      <x v="148"/>
      <x/>
    </i>
    <i>
      <x v="146"/>
      <x v="222"/>
      <x v="1"/>
    </i>
    <i>
      <x v="147"/>
      <x v="226"/>
      <x v="1"/>
    </i>
    <i>
      <x v="148"/>
      <x v="50"/>
      <x v="1"/>
    </i>
    <i>
      <x v="149"/>
      <x v="16"/>
      <x/>
    </i>
    <i>
      <x v="150"/>
      <x v="60"/>
      <x v="1"/>
    </i>
    <i>
      <x v="151"/>
      <x v="127"/>
      <x/>
    </i>
    <i>
      <x v="152"/>
      <x v="194"/>
      <x v="1"/>
    </i>
    <i>
      <x v="153"/>
      <x v="191"/>
      <x v="1"/>
    </i>
    <i>
      <x v="154"/>
      <x v="223"/>
      <x v="1"/>
    </i>
    <i>
      <x v="155"/>
      <x v="193"/>
      <x v="1"/>
    </i>
    <i>
      <x v="156"/>
      <x v="210"/>
      <x/>
    </i>
    <i>
      <x v="157"/>
      <x v="192"/>
      <x/>
    </i>
    <i>
      <x v="158"/>
      <x v="211"/>
      <x/>
    </i>
    <i>
      <x v="159"/>
      <x v="200"/>
      <x v="1"/>
    </i>
    <i>
      <x v="160"/>
      <x v="197"/>
      <x v="1"/>
    </i>
    <i>
      <x v="161"/>
      <x v="249"/>
      <x v="1"/>
    </i>
    <i>
      <x v="162"/>
      <x v="174"/>
      <x/>
    </i>
    <i>
      <x v="163"/>
      <x v="177"/>
      <x/>
    </i>
    <i>
      <x v="164"/>
      <x v="128"/>
      <x/>
    </i>
    <i>
      <x v="165"/>
      <x v="162"/>
      <x v="1"/>
    </i>
    <i>
      <x v="166"/>
      <x v="233"/>
      <x v="1"/>
    </i>
    <i>
      <x v="167"/>
      <x v="202"/>
      <x v="1"/>
    </i>
    <i>
      <x v="168"/>
      <x v="214"/>
      <x v="1"/>
    </i>
    <i>
      <x v="169"/>
      <x v="224"/>
      <x v="1"/>
    </i>
    <i>
      <x v="170"/>
      <x v="23"/>
      <x v="1"/>
    </i>
    <i>
      <x v="171"/>
      <x v="53"/>
      <x v="1"/>
    </i>
    <i>
      <x v="172"/>
      <x v="99"/>
      <x v="1"/>
    </i>
    <i>
      <x v="173"/>
      <x v="79"/>
      <x/>
    </i>
    <i>
      <x v="174"/>
      <x v="212"/>
      <x v="1"/>
    </i>
    <i>
      <x v="175"/>
      <x v="77"/>
      <x v="1"/>
    </i>
    <i>
      <x v="176"/>
      <x v="188"/>
      <x/>
    </i>
    <i>
      <x v="177"/>
      <x v="32"/>
      <x v="1"/>
    </i>
    <i>
      <x v="178"/>
      <x v="133"/>
      <x v="1"/>
    </i>
    <i>
      <x v="179"/>
      <x v="33"/>
      <x/>
    </i>
    <i>
      <x v="180"/>
      <x v="238"/>
      <x v="1"/>
    </i>
    <i>
      <x v="181"/>
      <x v="241"/>
      <x v="1"/>
    </i>
    <i>
      <x v="182"/>
      <x v="80"/>
      <x/>
    </i>
    <i>
      <x v="183"/>
      <x v="81"/>
      <x/>
    </i>
    <i>
      <x v="184"/>
      <x v="122"/>
      <x v="1"/>
    </i>
    <i>
      <x v="185"/>
      <x v="58"/>
      <x/>
    </i>
    <i>
      <x v="186"/>
      <x v="1"/>
      <x v="1"/>
    </i>
    <i>
      <x v="187"/>
      <x v="71"/>
      <x v="1"/>
    </i>
    <i>
      <x v="188"/>
      <x v="136"/>
      <x v="1"/>
    </i>
    <i>
      <x v="189"/>
      <x v="119"/>
      <x v="1"/>
    </i>
    <i>
      <x v="190"/>
      <x v="115"/>
      <x v="1"/>
    </i>
    <i>
      <x v="191"/>
      <x v="245"/>
      <x v="1"/>
    </i>
    <i>
      <x v="192"/>
      <x v="178"/>
      <x v="1"/>
    </i>
    <i>
      <x v="193"/>
      <x v="98"/>
      <x/>
    </i>
    <i>
      <x v="194"/>
      <x v="163"/>
      <x v="1"/>
    </i>
    <i>
      <x v="195"/>
      <x v="64"/>
      <x v="1"/>
    </i>
    <i>
      <x v="196"/>
      <x v="135"/>
      <x v="1"/>
    </i>
    <i>
      <x v="197"/>
      <x v="31"/>
      <x v="1"/>
    </i>
    <i>
      <x v="198"/>
      <x v="24"/>
      <x v="1"/>
    </i>
    <i>
      <x v="199"/>
      <x v="29"/>
      <x v="1"/>
    </i>
    <i>
      <x v="200"/>
      <x v="25"/>
      <x v="1"/>
    </i>
    <i>
      <x v="201"/>
      <x v="153"/>
      <x v="1"/>
    </i>
    <i>
      <x v="202"/>
      <x v="46"/>
      <x v="1"/>
    </i>
    <i>
      <x v="203"/>
      <x v="104"/>
      <x/>
    </i>
    <i>
      <x v="204"/>
      <x v="154"/>
      <x v="1"/>
    </i>
    <i>
      <x v="205"/>
      <x v="239"/>
      <x v="1"/>
    </i>
    <i>
      <x v="206"/>
      <x v="100"/>
      <x/>
    </i>
    <i>
      <x v="207"/>
      <x v="235"/>
      <x v="1"/>
    </i>
    <i>
      <x v="208"/>
      <x v="236"/>
      <x v="1"/>
    </i>
    <i>
      <x v="209"/>
      <x v="219"/>
      <x v="1"/>
    </i>
    <i>
      <x v="210"/>
      <x v="72"/>
      <x v="1"/>
    </i>
    <i>
      <x v="211"/>
      <x v="5"/>
      <x v="1"/>
    </i>
    <i>
      <x v="212"/>
      <x v="6"/>
      <x v="1"/>
    </i>
    <i>
      <x v="213"/>
      <x v="40"/>
      <x v="1"/>
    </i>
    <i>
      <x v="214"/>
      <x v="66"/>
      <x v="1"/>
    </i>
    <i>
      <x v="215"/>
      <x v="67"/>
      <x v="1"/>
    </i>
    <i>
      <x v="216"/>
      <x v="8"/>
      <x v="1"/>
    </i>
    <i>
      <x v="217"/>
      <x v="187"/>
      <x/>
    </i>
    <i>
      <x v="218"/>
      <x v="78"/>
      <x v="1"/>
    </i>
    <i>
      <x v="219"/>
      <x v="190"/>
      <x/>
    </i>
    <i>
      <x v="220"/>
      <x v="175"/>
      <x v="1"/>
    </i>
    <i>
      <x v="221"/>
      <x v="54"/>
      <x v="1"/>
    </i>
    <i>
      <x v="222"/>
      <x v="106"/>
      <x/>
    </i>
    <i>
      <x v="223"/>
      <x v="59"/>
      <x v="1"/>
    </i>
    <i>
      <x v="224"/>
      <x/>
      <x v="1"/>
    </i>
    <i>
      <x v="225"/>
      <x v="22"/>
      <x v="1"/>
    </i>
    <i>
      <x v="226"/>
      <x v="3"/>
      <x v="1"/>
    </i>
    <i>
      <x v="227"/>
      <x v="2"/>
      <x v="1"/>
    </i>
    <i>
      <x v="228"/>
      <x v="4"/>
      <x v="1"/>
    </i>
    <i>
      <x v="229"/>
      <x v="36"/>
      <x v="1"/>
    </i>
    <i>
      <x v="230"/>
      <x v="218"/>
      <x/>
    </i>
    <i>
      <x v="231"/>
      <x v="97"/>
      <x/>
    </i>
    <i>
      <x v="232"/>
      <x v="179"/>
      <x/>
    </i>
    <i>
      <x v="233"/>
      <x v="74"/>
      <x v="1"/>
    </i>
    <i>
      <x v="234"/>
      <x v="250"/>
      <x v="1"/>
    </i>
    <i>
      <x v="235"/>
      <x v="37"/>
      <x v="1"/>
    </i>
    <i>
      <x v="236"/>
      <x v="35"/>
      <x/>
    </i>
    <i>
      <x v="237"/>
      <x v="242"/>
      <x v="1"/>
    </i>
    <i>
      <x v="238"/>
      <x v="156"/>
      <x/>
    </i>
    <i>
      <x v="239"/>
      <x v="155"/>
      <x v="1"/>
    </i>
    <i>
      <x v="240"/>
      <x v="111"/>
      <x v="1"/>
    </i>
    <i>
      <x v="241"/>
      <x v="43"/>
      <x/>
    </i>
    <i>
      <x v="242"/>
      <x v="146"/>
      <x/>
    </i>
    <i>
      <x v="243"/>
      <x v="21"/>
      <x v="1"/>
    </i>
    <i>
      <x v="244"/>
      <x v="52"/>
      <x v="1"/>
    </i>
    <i>
      <x v="245"/>
      <x v="101"/>
      <x v="1"/>
    </i>
    <i>
      <x v="246"/>
      <x v="107"/>
      <x v="1"/>
    </i>
    <i>
      <x v="247"/>
      <x v="171"/>
      <x/>
    </i>
    <i>
      <x v="248"/>
      <x v="208"/>
      <x v="1"/>
    </i>
  </rowItems>
  <colItems count="1">
    <i/>
  </colItems>
  <dataFields count="1">
    <dataField name="Sum of HH" fld="16"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CampList" displayName="CampList" ref="A4:AK256" tableType="xml" totalsRowShown="0" headerRowDxfId="894" dataDxfId="892" headerRowBorderDxfId="893" tableBorderDxfId="891" totalsRowBorderDxfId="890" headerRowCellStyle="Normal_Sheet11">
  <autoFilter ref="A4:AK256">
    <filterColumn colId="0">
      <filters>
        <filter val="Open"/>
      </filters>
    </filterColumn>
  </autoFilter>
  <tableColumns count="37">
    <tableColumn id="24" uniqueName="Status" name="Status" dataDxfId="889" dataCellStyle="Normal_Sheet3_1">
      <xmlColumnPr mapId="11" xpath="/dataroot/Camp_x005f_x0020_List/Status" xmlDataType="string"/>
    </tableColumn>
    <tableColumn id="2" uniqueName="State" name="State" dataDxfId="888">
      <xmlColumnPr mapId="11" xpath="/dataroot/Camp_x005f_x0020_List/State" xmlDataType="string"/>
    </tableColumn>
    <tableColumn id="12" uniqueName="S_Pcode" name="S_Pcode" dataDxfId="887">
      <xmlColumnPr mapId="11" xpath="/dataroot/Camp_x005f_x0020_List/S_Pcode" xmlDataType="string"/>
    </tableColumn>
    <tableColumn id="23" uniqueName="District" name="District" dataDxfId="886">
      <xmlColumnPr mapId="11" xpath="/dataroot/Camp_x005f_x0020_List/District" xmlDataType="string"/>
    </tableColumn>
    <tableColumn id="19" uniqueName="D_Pcode" name="D_Pcode" dataDxfId="885">
      <xmlColumnPr mapId="11" xpath="/dataroot/Camp_x005f_x0020_List/D_Pcode" xmlDataType="string"/>
    </tableColumn>
    <tableColumn id="3" uniqueName="Township" name="Township" dataDxfId="884">
      <xmlColumnPr mapId="11" xpath="/dataroot/Camp_x005f_x0020_List/Township" xmlDataType="string"/>
    </tableColumn>
    <tableColumn id="13" uniqueName="T_Pcode" name="T_Pcode" dataDxfId="883">
      <xmlColumnPr mapId="11" xpath="/dataroot/Camp_x005f_x0020_List/T_Pcode" xmlDataType="string"/>
    </tableColumn>
    <tableColumn id="14" uniqueName="VillageTracKTown" name="VillageTracKTown" dataDxfId="882">
      <xmlColumnPr mapId="11" xpath="/dataroot/Camp_x005f_x0020_List/VillageTracKTown" xmlDataType="string"/>
    </tableColumn>
    <tableColumn id="15" uniqueName="VTT_Pcode" name="VTT_Pcode" dataDxfId="881">
      <xmlColumnPr mapId="11" xpath="/dataroot/Camp_x005f_x0020_List/VTT_Pcode" xmlDataType="string"/>
    </tableColumn>
    <tableColumn id="16" uniqueName="VillageWard_Name" name="VillageWard_Name" dataDxfId="880">
      <xmlColumnPr mapId="11" xpath="/dataroot/Camp_x005f_x0020_List/VillageWard_Name" xmlDataType="string"/>
    </tableColumn>
    <tableColumn id="17" uniqueName="VW_Pcode" name="VW_Pcode" dataDxfId="879">
      <xmlColumnPr mapId="11" xpath="/dataroot/Camp_x005f_x0020_List/VW_Pcode" xmlDataType="string"/>
    </tableColumn>
    <tableColumn id="4" uniqueName="Camp" name="Camp" dataDxfId="878">
      <xmlColumnPr mapId="11" xpath="/dataroot/Camp_x005f_x0020_List/Camp" xmlDataType="string"/>
    </tableColumn>
    <tableColumn id="5" uniqueName="CP_Pcode" name="CP_Pcode" dataDxfId="877">
      <xmlColumnPr mapId="11" xpath="/dataroot/Camp_x005f_x0020_List/CP_Pcode" xmlDataType="string"/>
    </tableColumn>
    <tableColumn id="6" uniqueName="Longitude" name="Longitude" dataDxfId="876">
      <xmlColumnPr mapId="11" xpath="/dataroot/Camp_x005f_x0020_List/Longitude" xmlDataType="double"/>
    </tableColumn>
    <tableColumn id="7" uniqueName="Latitude" name="Latitude" dataDxfId="875">
      <xmlColumnPr mapId="11" xpath="/dataroot/Camp_x005f_x0020_List/Latitude" xmlDataType="double"/>
    </tableColumn>
    <tableColumn id="25" uniqueName="Altitude" name="Altitude" dataDxfId="874">
      <xmlColumnPr mapId="11" xpath="/dataroot/Camp_x005f_x0020_List/Altitude" xmlDataType="double"/>
    </tableColumn>
    <tableColumn id="8" uniqueName="HH" name="HH" dataDxfId="873">
      <xmlColumnPr mapId="11" xpath="/dataroot/Camp_x005f_x0020_List/HH" xmlDataType="double"/>
    </tableColumn>
    <tableColumn id="9" uniqueName="Total" name="Total" dataDxfId="872">
      <xmlColumnPr mapId="11" xpath="/dataroot/Camp_x005f_x0020_List/Total" xmlDataType="double"/>
    </tableColumn>
    <tableColumn id="11" uniqueName="Avg" name="Avg" dataDxfId="871">
      <calculatedColumnFormula>IF(CampList[[#This Row],[HH]]&gt;0,CampList[[#This Row],[Total]]/CampList[[#This Row],[HH]],"NA")</calculatedColumnFormula>
      <xmlColumnPr mapId="11" xpath="/dataroot/Camp_x005f_x0020_List/Avg" xmlDataType="string"/>
    </tableColumn>
    <tableColumn id="28" uniqueName="Accessibility" name="Accessibility" dataDxfId="870">
      <xmlColumnPr mapId="11" xpath="/dataroot/Camp_x005f_x0020_List/Accessibility" xmlDataType="string"/>
    </tableColumn>
    <tableColumn id="1" uniqueName="Affected Population" name="Affected Population" dataDxfId="869">
      <xmlColumnPr mapId="11" xpath="/dataroot/Camp_x005f_x0020_List/Affected_x005f_x0020_Population" xmlDataType="string"/>
    </tableColumn>
    <tableColumn id="29" uniqueName="Type of Accomodation" name="Type of Accomodation" dataDxfId="868">
      <xmlColumnPr mapId="11" xpath="/dataroot/Camp_x005f_x0020_List/Type_x005f_x0020_of_x005f_x0020_Accomodation" xmlDataType="string"/>
    </tableColumn>
    <tableColumn id="30" uniqueName="Type of Location" name="Type of Location" dataDxfId="867">
      <xmlColumnPr mapId="11" xpath="/dataroot/Camp_x005f_x0020_List/Type_x005f_x0020_of_x005f_x0020_Location" xmlDataType="string"/>
    </tableColumn>
    <tableColumn id="31" uniqueName="Opening Date" name="Opening Date" dataDxfId="866">
      <xmlColumnPr mapId="11" xpath="/dataroot/Camp_x005f_x0020_List/Opening_x005f_x0020_Date" xmlDataType="dateTime"/>
    </tableColumn>
    <tableColumn id="22" uniqueName="CM/FP" name="CM/FP" dataDxfId="865">
      <xmlColumnPr mapId="11" xpath="/dataroot/Camp_x005f_x0020_List/CM_x005f_x002F_FP" xmlDataType="double"/>
    </tableColumn>
    <tableColumn id="26" uniqueName="Responsible Agency" name="Responsible Agency" dataDxfId="864">
      <xmlColumnPr mapId="11" xpath="/dataroot/Camp_x005f_x0020_List/Responsible_x005f_x0020_Agency" xmlDataType="string"/>
    </tableColumn>
    <tableColumn id="18" uniqueName="Source" name="Source" dataDxfId="863">
      <xmlColumnPr mapId="11" xpath="/dataroot/Camp_x005f_x0020_List/Source" xmlDataType="string"/>
    </tableColumn>
    <tableColumn id="20" uniqueName="Method" name="Method" dataDxfId="862">
      <xmlColumnPr mapId="11" xpath="/dataroot/Camp_x005f_x0020_List/Method" xmlDataType="string"/>
    </tableColumn>
    <tableColumn id="10" uniqueName="Update Date" name="Update Date" dataDxfId="861">
      <xmlColumnPr mapId="11" xpath="/dataroot/Camp_x005f_x0020_List/Update_x005f_x0020_Date" xmlDataType="dateTime"/>
    </tableColumn>
    <tableColumn id="21" uniqueName="Comment" name="Comment" dataDxfId="860">
      <xmlColumnPr mapId="11" xpath="/dataroot/Camp_x005f_x0020_List/Comment" xmlDataType="string"/>
    </tableColumn>
    <tableColumn id="32" uniqueName="Priority" name="Priority" dataDxfId="859">
      <xmlColumnPr mapId="11" xpath="/dataroot/Camp_x005f_x0020_List/Priority" xmlDataType="string"/>
    </tableColumn>
    <tableColumn id="27" uniqueName="Shelter Gap" name="Shelter Gap" dataDxfId="858">
      <calculatedColumnFormula>IF(CampList[[#This Row],[Type of Accomodation]]="camp",MAX(0,CampList[[#This Row],[HH]]-SUMIF(Table_Shelter[Pcode],CampList[[#This Row],[CP_Pcode]],Table_Shelter[HH Covered])),0)</calculatedColumnFormula>
      <xmlColumnPr mapId="11" xpath="/dataroot/Camp_x005f_x0020_List/Shelter_x005f_x0020_Gap" xmlDataType="double"/>
    </tableColumn>
    <tableColumn id="33" uniqueName="Land Status" name="Land Status" dataDxfId="857">
      <xmlColumnPr mapId="11" xpath="/dataroot/Camp_x005f_x0020_List/Land_x005f_x0020_Status" xmlDataType="string"/>
    </tableColumn>
    <tableColumn id="34" uniqueName="Shelter Possible" name="Shelter Possible" dataDxfId="856">
      <calculatedColumnFormula>MIN(CampList[[#This Row],[Shelter Gap]],CampList[[#This Row],[Land Status]])</calculatedColumnFormula>
      <xmlColumnPr mapId="11" xpath="/dataroot/Camp_x005f_x0020_List/Shelter_x005f_x0020_Possible" xmlDataType="double"/>
    </tableColumn>
    <tableColumn id="35" uniqueName="Nearest_Town" name="Nearest_Town" dataDxfId="855">
      <calculatedColumnFormula>IFERROR(OFFSET(DistanceToCamp[Nearest Town],MATCH(CampList[[#This Row],[CP_Pcode]],DistanceToCamp[CP_Pcode],0)-1,0,1,1),"")</calculatedColumnFormula>
      <xmlColumnPr mapId="11" xpath="/dataroot/Camp_x005f_x0020_List/Nearest_Town" xmlDataType="string"/>
    </tableColumn>
    <tableColumn id="36" uniqueName="Distance" name="Distance" dataDxfId="854" dataCellStyle="Comma">
      <calculatedColumnFormula>IFERROR(OFFSET(DistanceToCamp[distance],MATCH(CampList[[#This Row],[CP_Pcode]],DistanceToCamp[CP_Pcode],0)-1,0,1,1),"")</calculatedColumnFormula>
      <xmlColumnPr mapId="11" xpath="/dataroot/Camp_x005f_x0020_List/Distance" xmlDataType="string"/>
    </tableColumn>
    <tableColumn id="37" uniqueName="Distance_Cat" name="Distance_Cat" dataDxfId="853">
      <calculatedColumnFormula>IFERROR(INT(CampList[[#This Row],[Distance]]/5)+1,"")</calculatedColumnFormula>
      <xmlColumnPr mapId="11" xpath="/dataroot/Camp_x005f_x0020_List/Distance_Cat" xmlDataType="string"/>
    </tableColumn>
  </tableColumns>
  <tableStyleInfo name="TableStyleMedium2" showFirstColumn="0" showLastColumn="0" showRowStripes="1" showColumnStripes="0"/>
</table>
</file>

<file path=xl/tables/table2.xml><?xml version="1.0" encoding="utf-8"?>
<table xmlns="http://schemas.openxmlformats.org/spreadsheetml/2006/main" id="9" name="DistanceToCamp" displayName="DistanceToCamp" ref="A1:C160" totalsRowShown="0">
  <autoFilter ref="A1:C160"/>
  <sortState ref="A2:C160">
    <sortCondition ref="A19"/>
  </sortState>
  <tableColumns count="3">
    <tableColumn id="1" name="CP_Pcode" dataDxfId="852"/>
    <tableColumn id="2" name="Nearest Town" dataDxfId="851"/>
    <tableColumn id="3" name="distance" dataDxfId="850"/>
  </tableColumns>
  <tableStyleInfo name="TableStyleMedium2" showFirstColumn="0" showLastColumn="0" showRowStripes="1" showColumnStripes="0"/>
</table>
</file>

<file path=xl/tables/table3.xml><?xml version="1.0" encoding="utf-8"?>
<table xmlns="http://schemas.openxmlformats.org/spreadsheetml/2006/main" id="7" name="Table58" displayName="Table58" ref="T2:AG24" totalsRowCount="1" headerRowDxfId="749" dataDxfId="747" totalsRowDxfId="745" headerRowBorderDxfId="748" tableBorderDxfId="746" totalsRowBorderDxfId="744" dataCellStyle="Percent">
  <autoFilter ref="T2:AG23"/>
  <tableColumns count="14">
    <tableColumn id="1" name="Pcode" dataDxfId="743" totalsRowDxfId="742"/>
    <tableColumn id="2" name="Township" totalsRowLabel="Kachin/Shan" dataDxfId="741" totalsRowDxfId="740"/>
    <tableColumn id="3" name="Long." totalsRowLabel="96.00" dataDxfId="739" totalsRowDxfId="738"/>
    <tableColumn id="4" name="Lat." totalsRowLabel="27.00" dataDxfId="737" totalsRowDxfId="736"/>
    <tableColumn id="5" name="HS" totalsRowFunction="sum" dataDxfId="735" totalsRowDxfId="734">
      <calculatedColumnFormula>'CCCM Dashboard'!D12</calculatedColumnFormula>
    </tableColumn>
    <tableColumn id="6" name="Pop" totalsRowFunction="sum" dataDxfId="733" totalsRowDxfId="732" dataCellStyle="Comma">
      <calculatedColumnFormula>'CCCM Dashboard'!E12</calculatedColumnFormula>
    </tableColumn>
    <tableColumn id="7" name="N_cps" totalsRowFunction="custom" dataDxfId="731" totalsRowDxfId="730">
      <calculatedColumnFormula>CONCATENATE(AG3, " cp",IF(AG3&gt;1,"s",""))</calculatedColumnFormula>
      <totalsRowFormula>CONCATENATE(Table58[[#Totals],[Column1]]," camps")</totalsRowFormula>
    </tableColumn>
    <tableColumn id="8" name="Coverage" totalsRowFunction="custom" dataDxfId="729" totalsRowDxfId="728" dataCellStyle="Percent">
      <calculatedColumnFormula>'Shelter Coverage &amp; Gaps'!#REF!</calculatedColumnFormula>
      <totalsRowFormula>SUMPRODUCT(Table58[Pop]*Table58[Coverage])/Table58[[#Totals],[Pop]]</totalsRowFormula>
    </tableColumn>
    <tableColumn id="9" name="Hygiene" totalsRowFunction="custom" dataDxfId="727" totalsRowDxfId="726" dataCellStyle="Percent">
      <totalsRowFormula>SUMPRODUCT(Table58[Pop]*Table58[Hygiene])/Table58[[#Totals],[Pop]]</totalsRowFormula>
    </tableColumn>
    <tableColumn id="10" name="Core" totalsRowFunction="custom" dataDxfId="725" totalsRowDxfId="724" dataCellStyle="Percent">
      <totalsRowFormula>SUMPRODUCT(Table58[Pop]*Table58[Core])/Table58[[#Totals],[Pop]]</totalsRowFormula>
    </tableColumn>
    <tableColumn id="11" name="Sanitary" totalsRowFunction="custom" dataDxfId="723" totalsRowDxfId="722" dataCellStyle="Percent">
      <totalsRowFormula>SUMPRODUCT(Table58[Pop]*Table58[Sanitary])/Table58[[#Totals],[Pop]]</totalsRowFormula>
    </tableColumn>
    <tableColumn id="12" name="Y" totalsRowFunction="custom" dataDxfId="721" totalsRowDxfId="720">
      <calculatedColumnFormula>$S$3-ROUND((W3-$S$1)*$S$5,0)</calculatedColumnFormula>
      <totalsRowFormula>1000-ROUND((W24-23.5)*$S$5,0)</totalsRowFormula>
    </tableColumn>
    <tableColumn id="13" name="X" totalsRowFunction="custom" dataDxfId="719" totalsRowDxfId="718">
      <calculatedColumnFormula>ROUND((V3-$S$2)*$S$5,0)+$S$4</calculatedColumnFormula>
      <totalsRowFormula>ROUND((V24-96.5)*$S$5,0)+100</totalsRowFormula>
    </tableColumn>
    <tableColumn id="14" name="Column1" totalsRowFunction="sum" dataDxfId="717" totalsRowDxfId="716" dataCellStyle="Comma">
      <calculatedColumnFormula>'CCCM Dashboard'!F12</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4" name="Table_Shelter" displayName="Table_Shelter" ref="A4:W346" tableType="xml" totalsRowShown="0" headerRowDxfId="715" dataDxfId="713" headerRowBorderDxfId="714" tableBorderDxfId="712" totalsRowBorderDxfId="711">
  <autoFilter ref="A4:W346"/>
  <sortState ref="A5:W338">
    <sortCondition ref="F4:F338"/>
  </sortState>
  <tableColumns count="23">
    <tableColumn id="1" uniqueName="Update Date" name="Update Date" dataDxfId="710">
      <xmlColumnPr mapId="9" xpath="/dataroot/Shelter_x005f_x0020_Tracking/Update_x005f_x0020_Date" xmlDataType="dateTime"/>
    </tableColumn>
    <tableColumn id="2" uniqueName="Organization" name="Organization" dataDxfId="709">
      <xmlColumnPr mapId="9" xpath="/dataroot/Shelter_x005f_x0020_Tracking/Organization" xmlDataType="string"/>
    </tableColumn>
    <tableColumn id="3" uniqueName="ImplementingPartner" name="Implementing  Partner" dataDxfId="708">
      <xmlColumnPr mapId="9" xpath="/dataroot/Shelter_x005f_x0020_Tracking/ImplementingPartner" xmlDataType="string"/>
    </tableColumn>
    <tableColumn id="4" uniqueName="State" name="State" dataDxfId="707" dataCellStyle="Normal_Sheet3">
      <xmlColumnPr mapId="9" xpath="/dataroot/Shelter_x005f_x0020_Tracking/State" xmlDataType="string"/>
    </tableColumn>
    <tableColumn id="5" uniqueName="Township" name="Township" dataDxfId="706">
      <xmlColumnPr mapId="9" xpath="/dataroot/Shelter_x005f_x0020_Tracking/Township" xmlDataType="string"/>
    </tableColumn>
    <tableColumn id="6" uniqueName="CampName" name="CampName" dataDxfId="705">
      <xmlColumnPr mapId="9" xpath="/dataroot/Shelter_x005f_x0020_Tracking/CampName" xmlDataType="string"/>
    </tableColumn>
    <tableColumn id="7" uniqueName="HHperShelter" name="HH per Shelter" dataDxfId="704">
      <xmlColumnPr mapId="9" xpath="/dataroot/Shelter_x005f_x0020_Tracking/HHperShelter" xmlDataType="double"/>
    </tableColumn>
    <tableColumn id="8" uniqueName="#ofFamilyTentPlanned(Target)" name="# of Family Tent Planned(Target)" dataDxfId="703">
      <xmlColumnPr mapId="9" xpath="/dataroot/Shelter_x005f_x0020_Tracking/_x005f_x0023_ofFamilyTentPlanned_x005f_x0028_Target_x005f_x0029_" xmlDataType="double"/>
    </tableColumn>
    <tableColumn id="9" uniqueName="#ofFamilyTentDistributed" name="# of Family Tent Distributed" dataDxfId="702">
      <xmlColumnPr mapId="9" xpath="/dataroot/Shelter_x005f_x0020_Tracking/_x005f_x0023_ofFamilyTentDistributed" xmlDataType="double"/>
    </tableColumn>
    <tableColumn id="10" uniqueName="#ofTemporaryShelterUnitsPlanned(Target)" name="# of Temporary Shelter Units Planned (Target)" dataDxfId="701">
      <xmlColumnPr mapId="9" xpath="/dataroot/Shelter_x005f_x0020_Tracking/_x005f_x0023_ofTemporaryShelterUnitsPlanned_x005f_x0028_Target_x005f_x0029_" xmlDataType="double"/>
    </tableColumn>
    <tableColumn id="11" uniqueName="#ofTemporaryShelterUnitsBuilt" name="# of Temporary Shelter Units Built" dataDxfId="700">
      <xmlColumnPr mapId="9" xpath="/dataroot/Shelter_x005f_x0020_Tracking/_x005f_x0023_ofTemporaryShelterUnitsBuilt" xmlDataType="double"/>
    </tableColumn>
    <tableColumn id="12" uniqueName="#ofTemporaryShelterUnderConstruction" name="# of Temporary Shelter Under  Construction" dataDxfId="699">
      <xmlColumnPr mapId="9" xpath="/dataroot/Shelter_x005f_x0020_Tracking/_x005f_x0023_ofTemporaryShelterUnderConstruction" xmlDataType="string"/>
    </tableColumn>
    <tableColumn id="13" uniqueName="#ofPermanentHousePlanned(Target)" name="# of Permanent House Planned (Target)" dataDxfId="698">
      <xmlColumnPr mapId="9" xpath="/dataroot/Shelter_x005f_x0020_Tracking/_x005f_x0023_ofPermanentHousePlanned_x005f_x0028_Target_x005f_x0029_" xmlDataType="string"/>
    </tableColumn>
    <tableColumn id="14" uniqueName="#ofPermanentHouseBuilt" name="# of Permanent House Built" dataDxfId="697">
      <xmlColumnPr mapId="9" xpath="/dataroot/Shelter_x005f_x0020_Tracking/_x005f_x0023_ofPermanentHouseBuilt" xmlDataType="string"/>
    </tableColumn>
    <tableColumn id="15" uniqueName="#ofPermanentHouseUnderConstruction" name="# of Permanent House Under Construction" dataDxfId="696">
      <xmlColumnPr mapId="9" xpath="/dataroot/Shelter_x005f_x0020_Tracking/_x005f_x0023_ofPermanentHouseUnderConstruction" xmlDataType="string"/>
    </tableColumn>
    <tableColumn id="16" uniqueName="HHCovered" name="HH Covered" dataDxfId="695">
      <calculatedColumnFormula>IF(Table_Shelter[[#This Row],[Status]]="Open",IF(V5="NO",Table_Shelter[[#This Row],[HH per Shelter]]*(Table_Shelter[[#This Row],['# of Temporary Shelter Units Built]]+Table_Shelter[[#This Row],['# of Temporary Shelter Under  Construction]]+Table_Shelter[[#This Row],['# of Permanent House Under Construction]]),0),0)</calculatedColumnFormula>
      <xmlColumnPr mapId="9" xpath="/dataroot/Shelter_x005f_x0020_Tracking/HHCovered" xmlDataType="double"/>
    </tableColumn>
    <tableColumn id="21" uniqueName="Planned Renovation" name="Planned Renovation" dataDxfId="694">
      <xmlColumnPr mapId="9" xpath="/dataroot/Shelter_x005f_x0020_Tracking/Planned_x005f_x0020_Renovation" xmlDataType="double"/>
    </tableColumn>
    <tableColumn id="20" uniqueName="Renovated" name="Renovated" dataDxfId="693">
      <xmlColumnPr mapId="9" xpath="/dataroot/Shelter_x005f_x0020_Tracking/Renovated" xmlDataType="string"/>
    </tableColumn>
    <tableColumn id="17" uniqueName="Pcode" name="Pcode" dataDxfId="692">
      <calculatedColumnFormula>IFERROR(VLOOKUP(Table_Shelter[[#This Row],[CampName]],CL,2,0),"")</calculatedColumnFormula>
      <xmlColumnPr mapId="9" xpath="/dataroot/Shelter_x005f_x0020_Tracking/Pcode" xmlDataType="string"/>
    </tableColumn>
    <tableColumn id="18" uniqueName="Status" name="Status" dataDxfId="691">
      <calculatedColumnFormula>IFERROR(VLOOKUP(Table_Shelter[[#This Row],[CampName]],CL,3,0),"")</calculatedColumnFormula>
      <xmlColumnPr mapId="9" xpath="/dataroot/Shelter_x005f_x0020_Tracking/Status" xmlDataType="string"/>
    </tableColumn>
    <tableColumn id="19" uniqueName="Coverage" name="Coverage" dataDxfId="690">
      <calculatedColumnFormula>IFERROR(Table_Shelter[[#This Row],[HH Covered]]/VLOOKUP(Table_Shelter[[#This Row],[CampName]],CL,4,0),"")</calculatedColumnFormula>
      <xmlColumnPr mapId="9" xpath="/dataroot/Shelter_x005f_x0020_Tracking/Coverage" xmlDataType="double"/>
    </tableColumn>
    <tableColumn id="23" uniqueName="23" name="Replacement (YES/NO)" dataDxfId="689">
      <calculatedColumnFormula>VLOOKUP(Table_Shelter[[#This Row],[CampName]],CL,4,0)</calculatedColumnFormula>
    </tableColumn>
    <tableColumn id="22" uniqueName="Comments" name="Comments" dataDxfId="688">
      <xmlColumnPr mapId="9" xpath="/dataroot/Shelter_x005f_x0020_Tracking/Comments" xmlDataType="string"/>
    </tableColumn>
  </tableColumns>
  <tableStyleInfo name="TableStyleMedium2" showFirstColumn="0" showLastColumn="0" showRowStripes="1" showColumnStripes="0"/>
</table>
</file>

<file path=xl/tables/table5.xml><?xml version="1.0" encoding="utf-8"?>
<table xmlns="http://schemas.openxmlformats.org/spreadsheetml/2006/main" id="8" name="Shelter_Draw" displayName="Shelter_Draw" ref="S21:V31" totalsRowShown="0" headerRowDxfId="214" headerRowBorderDxfId="213" tableBorderDxfId="212" totalsRowBorderDxfId="211">
  <autoFilter ref="S21:V31"/>
  <tableColumns count="4">
    <tableColumn id="1" name="Township" dataDxfId="210">
      <calculatedColumnFormula>C22</calculatedColumnFormula>
    </tableColumn>
    <tableColumn id="2" name="V1" dataDxfId="209">
      <calculatedColumnFormula>D22-Shelter_Draw[[#This Row],[V2]]-Shelter_Draw[[#This Row],[V3]]</calculatedColumnFormula>
    </tableColumn>
    <tableColumn id="3" name="V2" dataDxfId="208">
      <calculatedColumnFormula>H22</calculatedColumnFormula>
    </tableColumn>
    <tableColumn id="4" name="V3" dataDxfId="207">
      <calculatedColumnFormula>G22-H22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2" name="Table_NFI" displayName="Table_NFI" ref="A5:AU1340" tableType="xml" totalsRowShown="0" headerRowDxfId="206" dataDxfId="204" headerRowBorderDxfId="205" tableBorderDxfId="203" totalsRowBorderDxfId="202">
  <autoFilter ref="A5:AU1340">
    <filterColumn colId="2">
      <filters>
        <filter val="UNHCR"/>
      </filters>
    </filterColumn>
  </autoFilter>
  <sortState ref="A6:AU1076">
    <sortCondition descending="1" ref="B5:B1339"/>
  </sortState>
  <tableColumns count="47">
    <tableColumn id="23" uniqueName="Months" name="Months" dataDxfId="201">
      <calculatedColumnFormula>IF(ISBLANK(B6),"",(Report_Date-B6)/30)</calculatedColumnFormula>
      <xmlColumnPr mapId="8" xpath="/dataroot/NFI_x005f_x0020_Tracking/Months" xmlDataType="double"/>
    </tableColumn>
    <tableColumn id="1" uniqueName="Distribution Date" name="Distribution Date" dataDxfId="200">
      <xmlColumnPr mapId="8" xpath="/dataroot/NFI_x005f_x0020_Tracking/Distribution_x005f_x0020_Date" xmlDataType="dateTime"/>
    </tableColumn>
    <tableColumn id="2" uniqueName="Organization" name="Organization" dataDxfId="199">
      <xmlColumnPr mapId="8" xpath="/dataroot/NFI_x005f_x0020_Tracking/Organization" xmlDataType="string"/>
    </tableColumn>
    <tableColumn id="3" uniqueName="Implementing Partner" name="Implementing Partner" dataDxfId="198">
      <xmlColumnPr mapId="8" xpath="/dataroot/NFI_x005f_x0020_Tracking/Implementing_x005f_x0020_Partner" xmlDataType="string"/>
    </tableColumn>
    <tableColumn id="4" uniqueName="State" name="State" dataDxfId="197">
      <xmlColumnPr mapId="8" xpath="/dataroot/NFI_x005f_x0020_Tracking/State" xmlDataType="string"/>
    </tableColumn>
    <tableColumn id="5" uniqueName="Township" name="Township" dataDxfId="196">
      <xmlColumnPr mapId="8" xpath="/dataroot/NFI_x005f_x0020_Tracking/Township" xmlDataType="string"/>
    </tableColumn>
    <tableColumn id="6" uniqueName="Camp Name" name="Camp Name" dataDxfId="195">
      <xmlColumnPr mapId="8" xpath="/dataroot/NFI_x005f_x0020_Tracking/Camp_x005f_x0020_Name" xmlDataType="string"/>
    </tableColumn>
    <tableColumn id="7" uniqueName="Hygiene Kit" name="Hygiene Kit" dataDxfId="194">
      <xmlColumnPr mapId="8" xpath="/dataroot/NFI_x005f_x0020_Tracking/Hygiene_x005f_x0020_Kit" xmlDataType="string"/>
    </tableColumn>
    <tableColumn id="8" uniqueName="NFI Core Kit" name="NFI Core Kit" dataDxfId="193">
      <xmlColumnPr mapId="8" xpath="/dataroot/NFI_x005f_x0020_Tracking/NFI_x005f_x0020_Core_x005f_x0020_Kit" xmlDataType="string"/>
    </tableColumn>
    <tableColumn id="9" uniqueName="Sanitary Kit" name="Sanitary Kit" dataDxfId="192">
      <xmlColumnPr mapId="8" xpath="/dataroot/NFI_x005f_x0020_Tracking/Sanitary_x005f_x0020_Kit" xmlDataType="string"/>
    </tableColumn>
    <tableColumn id="10" uniqueName="Mosquito net" name="Mosquito net" dataDxfId="191">
      <xmlColumnPr mapId="8" xpath="/dataroot/NFI_x005f_x0020_Tracking/Mosquito_x005f_x0020_net" xmlDataType="double"/>
    </tableColumn>
    <tableColumn id="11" uniqueName="Tarpaulin" name="Tarpaulin" dataDxfId="190">
      <xmlColumnPr mapId="8" xpath="/dataroot/NFI_x005f_x0020_Tracking/Tarpaulin" xmlDataType="double"/>
    </tableColumn>
    <tableColumn id="12" uniqueName="Blanket" name="Blanket" dataDxfId="189">
      <xmlColumnPr mapId="8" xpath="/dataroot/NFI_x005f_x0020_Tracking/Blanket" xmlDataType="double"/>
    </tableColumn>
    <tableColumn id="13" uniqueName="Kitchen Set" name="Kitchen Set" dataDxfId="188">
      <xmlColumnPr mapId="8" xpath="/dataroot/NFI_x005f_x0020_Tracking/Kitchen_x005f_x0020_Set" xmlDataType="double"/>
    </tableColumn>
    <tableColumn id="14" uniqueName="Clothes Kit" name="Clothes Kit" dataDxfId="187">
      <xmlColumnPr mapId="8" xpath="/dataroot/NFI_x005f_x0020_Tracking/Clothes_x005f_x0020_Kit" xmlDataType="double"/>
    </tableColumn>
    <tableColumn id="26" uniqueName="Plastic Bucket" name="Plastic Bucket" dataDxfId="186">
      <xmlColumnPr mapId="8" xpath="/dataroot/NFI_x005f_x0020_Tracking/Plastic_x005f_x0020_Bucket" xmlDataType="double"/>
    </tableColumn>
    <tableColumn id="25" uniqueName="Plastic Mat" name="Plastic Mat" dataDxfId="185">
      <xmlColumnPr mapId="8" xpath="/dataroot/NFI_x005f_x0020_Tracking/Plastic_x005f_x0020_Mat" xmlDataType="double"/>
    </tableColumn>
    <tableColumn id="47" uniqueName="Winter Clothes Adult" name="Winter Clothes Adult" dataDxfId="184">
      <xmlColumnPr mapId="8" xpath="/dataroot/NFI_x005f_x0020_Tracking/Winter_x005f_x0020_Clothes_x005f_x0020_Adult" xmlDataType="string"/>
    </tableColumn>
    <tableColumn id="46" uniqueName="Winter Clothes Children" name="Winter Clothes Children" dataDxfId="183">
      <xmlColumnPr mapId="8" xpath="/dataroot/NFI_x005f_x0020_Tracking/Winter_x005f_x0020_Clothes_x005f_x0020_Children" xmlDataType="string"/>
    </tableColumn>
    <tableColumn id="45" uniqueName="Winter Items Other" name="Winter Items Other" dataDxfId="182">
      <xmlColumnPr mapId="8" xpath="/dataroot/NFI_x005f_x0020_Tracking/Winter_x005f_x0020_Items_x005f_x0020_Other" xmlDataType="string"/>
    </tableColumn>
    <tableColumn id="32" uniqueName="Winter Blanket" name="Winter Blanket" dataDxfId="181">
      <xmlColumnPr mapId="8" xpath="/dataroot/NFI_x005f_x0020_Tracking/Winter_x005f_x0020_Blanket" xmlDataType="string"/>
    </tableColumn>
    <tableColumn id="38" uniqueName="38" name="Jerry Can" dataDxfId="180"/>
    <tableColumn id="41" uniqueName="41" name="Shelter Tool kit" dataDxfId="179"/>
    <tableColumn id="40" uniqueName="40" name="Tent" dataDxfId="178"/>
    <tableColumn id="15" uniqueName="Hygiene Kit_LS" name="Hygiene Kit_LS" dataDxfId="177">
      <calculatedColumnFormula>IF(NFI_Expiration=1,IF($A6&lt;VLOOKUP(H$5,NFI,5,0),1,0)*Table_NFI[[#This Row],[Hygiene Kit]],Table_NFI[Hygiene Kit])</calculatedColumnFormula>
      <xmlColumnPr mapId="8" xpath="/dataroot/NFI_x005f_x0020_Tracking/Hygiene_x005f_x0020_Kit_LS" xmlDataType="string"/>
    </tableColumn>
    <tableColumn id="16" uniqueName="NFI Core Kit_LS" name="NFI Core Kit_LS" dataDxfId="176">
      <calculatedColumnFormula>IF(NFI_Expiration=1,IF($A6&lt;VLOOKUP(I$5,NFI,5,0),1,0)*Table_NFI[[#This Row],[NFI Core Kit]],Table_NFI[NFI Core Kit])</calculatedColumnFormula>
      <xmlColumnPr mapId="8" xpath="/dataroot/NFI_x005f_x0020_Tracking/NFI_x005f_x0020_Core_x005f_x0020_Kit_LS" xmlDataType="string"/>
    </tableColumn>
    <tableColumn id="17" uniqueName="Sanitary Kit_LS" name="Sanitary Kit_LS" dataDxfId="175">
      <calculatedColumnFormula>IF(NFI_Expiration=1,IF($A6&lt;VLOOKUP(J$5,NFI,5,0),1,0)*Table_NFI[[#This Row],[Sanitary Kit]],Table_NFI[Sanitary Kit])</calculatedColumnFormula>
      <xmlColumnPr mapId="8" xpath="/dataroot/NFI_x005f_x0020_Tracking/Sanitary_x005f_x0020_Kit_LS" xmlDataType="string"/>
    </tableColumn>
    <tableColumn id="18" uniqueName="Mosquito net_LS" name="Mosquito net_LS" dataDxfId="174">
      <calculatedColumnFormula>IF(NFI_Expiration=1,IF($A6&lt;VLOOKUP(K$5,NFI,5,0),1,0)*Table_NFI[[#This Row],[Mosquito net]],Table_NFI[Mosquito net])</calculatedColumnFormula>
      <xmlColumnPr mapId="8" xpath="/dataroot/NFI_x005f_x0020_Tracking/Mosquito_x005f_x0020_net_LS" xmlDataType="string"/>
    </tableColumn>
    <tableColumn id="19" uniqueName="Tarpaulin_LS" name="Tarpaulin_LS" dataDxfId="173">
      <calculatedColumnFormula>IF(NFI_Expiration=1,IF($A6&lt;VLOOKUP(L$5,NFI,5,0),1,0)*Table_NFI[[#This Row],[Tarpaulin]],Table_NFI[[#This Row],[Tarpaulin]])</calculatedColumnFormula>
      <xmlColumnPr mapId="8" xpath="/dataroot/NFI_x005f_x0020_Tracking/Tarpaulin_LS" xmlDataType="string"/>
    </tableColumn>
    <tableColumn id="20" uniqueName="Blanket_LS" name="Blanket_LS" dataDxfId="172">
      <calculatedColumnFormula>IF(NFI_Expiration=1,IF($A6&lt;VLOOKUP(M$5,NFI,5,0),1,0)*Table_NFI[[#This Row],[Blanket]],Table_NFI[[#This Row],[Blanket]])</calculatedColumnFormula>
      <xmlColumnPr mapId="8" xpath="/dataroot/NFI_x005f_x0020_Tracking/Blanket_LS" xmlDataType="string"/>
    </tableColumn>
    <tableColumn id="21" uniqueName="Kitchen Set_LS" name="Kitchen Set_LS" dataDxfId="171">
      <calculatedColumnFormula>IF(NFI_Expiration=1,IF($A6&lt;VLOOKUP(N$5,NFI,5,0),1,0)*Table_NFI[[#This Row],[Kitchen Set]],Table_NFI[Kitchen Set])</calculatedColumnFormula>
      <xmlColumnPr mapId="8" xpath="/dataroot/NFI_x005f_x0020_Tracking/Kitchen_x005f_x0020_Set_LS" xmlDataType="string"/>
    </tableColumn>
    <tableColumn id="22" uniqueName="Clothes Kit_LS" name="Clothes Kit_LS" dataDxfId="170">
      <calculatedColumnFormula>IF(NFI_Expiration=1,IF($A6&lt;VLOOKUP(O$5,NFI,5,0),1,0)*Table_NFI[[#This Row],[Clothes Kit]],Table_NFI[Clothes Kit])</calculatedColumnFormula>
      <xmlColumnPr mapId="8" xpath="/dataroot/NFI_x005f_x0020_Tracking/Clothes_x005f_x0020_Kit_LS" xmlDataType="string"/>
    </tableColumn>
    <tableColumn id="28" uniqueName="Plastic Bucket _LS" name="Plastic Bucket _LS" dataDxfId="169">
      <calculatedColumnFormula>IF(NFI_Expiration=1,IF($A6&lt;VLOOKUP(P$5,NFI,5,0),1,0)*Table_NFI[[#This Row],[Plastic Bucket]],Table_NFI[Plastic Bucket])</calculatedColumnFormula>
      <xmlColumnPr mapId="8" xpath="/dataroot/NFI_x005f_x0020_Tracking/Plastic_x005f_x0020_Bucket_x005f_x0020__LS" xmlDataType="string"/>
    </tableColumn>
    <tableColumn id="27" uniqueName="Plastic  Mat_LS" name="Plastic  Mat_LS" dataDxfId="168">
      <calculatedColumnFormula>IF(NFI_Expiration=1,IF($A6&lt;VLOOKUP(Q$5,NFI,5,0),1,0)*Table_NFI[[#This Row],[Plastic Mat]],Table_NFI[Plastic Mat])*IF(Table_NFI[[#This Row],[Distribution Date]]&gt;"2014-04-01",1,2.5)</calculatedColumnFormula>
      <xmlColumnPr mapId="8" xpath="/dataroot/NFI_x005f_x0020_Tracking/Plastic_x005f_x0020__x005f_x0020_Mat_LS" xmlDataType="string"/>
    </tableColumn>
    <tableColumn id="50" uniqueName="Winter Clothes Adult_LS" name="Winter Clothes Adult_LS" dataDxfId="167">
      <calculatedColumnFormula>IF(NFI_Expiration=1,IF($A6&lt;VLOOKUP(R$5,NFI,5,0),1,0)*Table_NFI[[#This Row],[Winter Clothes Adult]],Table_NFI[Winter Clothes Adult])</calculatedColumnFormula>
      <xmlColumnPr mapId="8" xpath="/dataroot/NFI_x005f_x0020_Tracking/Winter_x005f_x0020_Clothes_x005f_x0020_Adult_LS" xmlDataType="string"/>
    </tableColumn>
    <tableColumn id="49" uniqueName="Winter Clothes Children_LS" name="Winter Clothes Children_LS" dataDxfId="166">
      <calculatedColumnFormula>IF(NFI_Expiration=1,IF($A6&lt;VLOOKUP(S$5,NFI,5,0),1,0)*Table_NFI[[#This Row],[Winter Clothes Children]],Table_NFI[Winter Clothes Children])</calculatedColumnFormula>
      <xmlColumnPr mapId="8" xpath="/dataroot/NFI_x005f_x0020_Tracking/Winter_x005f_x0020_Clothes_x005f_x0020_Children_LS" xmlDataType="string"/>
    </tableColumn>
    <tableColumn id="48" uniqueName="Winter Items Other_LS" name="Winter Items Other_LS" dataDxfId="165">
      <calculatedColumnFormula>IF(NFI_Expiration=1,IF($A6&lt;VLOOKUP(T$5,NFI,5,0),1,0)*Table_NFI[[#This Row],[Winter Items Other]],Table_NFI[Winter Items Other])</calculatedColumnFormula>
      <xmlColumnPr mapId="8" xpath="/dataroot/NFI_x005f_x0020_Tracking/Winter_x005f_x0020_Items_x005f_x0020_Other_LS" xmlDataType="string"/>
    </tableColumn>
    <tableColumn id="33" uniqueName="Winter Blanket_LS" name="Winter Blanket_LS" dataDxfId="164">
      <calculatedColumnFormula>IF(NFI_Expiration=1,IF($A6&lt;VLOOKUP(M$5,NFI,5,0),1,0)*Table_NFI[[#This Row],[Winter Blanket]],Table_NFI[[#This Row],[Winter Blanket]])</calculatedColumnFormula>
      <xmlColumnPr mapId="8" xpath="/dataroot/NFI_x005f_x0020_Tracking/Winter_x005f_x0020_Blanket_LS" xmlDataType="string"/>
    </tableColumn>
    <tableColumn id="36" uniqueName="Winter" name="Winter" dataDxfId="163">
      <calculatedColumnFormula>IF(Table_NFI[[#This Row],[Winter Clothes Adult]]+Table_NFI[[#This Row],[Winter Clothes Children]]+Table_NFI[[#This Row],[Winter Items Other]]+Table_NFI[[#This Row],[Winter Blanket]]&gt;0,1,0)</calculatedColumnFormula>
      <xmlColumnPr mapId="8" xpath="/dataroot/NFI_x005f_x0020_Tracking/Winter" xmlDataType="double"/>
    </tableColumn>
    <tableColumn id="39" uniqueName="39" name="Jerry Can_LS" dataDxfId="162">
      <calculatedColumnFormula>IF(NFI_Expiration=1,IF($A6&lt;VLOOKUP(V$5,NFI,5,0),1,0)*Table_NFI[[#This Row],[Jerry Can]],Table_NFI[Jerry Can])</calculatedColumnFormula>
    </tableColumn>
    <tableColumn id="24" uniqueName="Pcode" name="Pcode" dataDxfId="161">
      <calculatedColumnFormula>IFERROR(VLOOKUP(Table_NFI[[#This Row],[Camp Name]],CL,2,0),"")</calculatedColumnFormula>
      <xmlColumnPr mapId="8" xpath="/dataroot/NFI_x005f_x0020_Tracking/Pcode" xmlDataType="string"/>
    </tableColumn>
    <tableColumn id="35" uniqueName="opening_date" name="opening_date" dataDxfId="160">
      <calculatedColumnFormula>IF(Table_NFI[[#This Row],[Pcode]]="","",IF(OFFSET(CampList[Opening Date],MATCH(Table_NFI[[#This Row],[Pcode]],CampList[CP_Pcode],0)-1,0,1,1)&gt;=NFI_Monitor_Date,1,0))</calculatedColumnFormula>
      <xmlColumnPr mapId="8" xpath="/dataroot/NFI_x005f_x0020_Tracking/opening_date" xmlDataType="double"/>
    </tableColumn>
    <tableColumn id="34" uniqueName="Status" name="Status" dataDxfId="159">
      <calculatedColumnFormula>IFERROR(VLOOKUP(Table_NFI[[#This Row],[Camp Name]],CL,3,0),"")</calculatedColumnFormula>
      <xmlColumnPr mapId="8" xpath="/dataroot/NFI_x005f_x0020_Tracking/Status" xmlDataType="string"/>
    </tableColumn>
    <tableColumn id="29" uniqueName="Priority" name="Priority" dataDxfId="158">
      <calculatedColumnFormula>IF(Table_NFI[[#This Row],[Pcode]]="","",OFFSET(CampList[Priority],MATCH(Table_NFI[[#This Row],[Pcode]],CampList[CP_Pcode],0)-1,0,1,1))</calculatedColumnFormula>
      <xmlColumnPr mapId="8" xpath="/dataroot/NFI_x005f_x0020_Tracking/Priority" xmlDataType="string"/>
    </tableColumn>
    <tableColumn id="30" uniqueName="Coverage" name="Coverage" dataDxfId="157">
      <calculatedColumnFormula>IFERROR(Table_NFI[[#This Row],[Kitchen Set]]/VLOOKUP(Table_NFI[[#This Row],[Camp Name]],CL,4,0),"")</calculatedColumnFormula>
      <xmlColumnPr mapId="8" xpath="/dataroot/NFI_x005f_x0020_Tracking/Coverage" xmlDataType="double"/>
    </tableColumn>
    <tableColumn id="31" uniqueName="Planned Distribution" name="Planned Distribution" dataDxfId="156">
      <xmlColumnPr mapId="8" xpath="/dataroot/NFI_x005f_x0020_Tracking/Planned_x005f_x0020_Distribution" xmlDataType="string"/>
    </tableColumn>
    <tableColumn id="37" uniqueName="Comment" name="Comment" dataDxfId="155">
      <xmlColumnPr mapId="8" xpath="/dataroot/NFI_x005f_x0020_Tracking/Comment" xmlDataType="string"/>
    </tableColumn>
  </tableColumns>
  <tableStyleInfo name="TableStyleLight1" showFirstColumn="0" showLastColumn="0" showRowStripes="1" showColumnStripes="0"/>
</table>
</file>

<file path=xl/tables/table7.xml><?xml version="1.0" encoding="utf-8"?>
<table xmlns="http://schemas.openxmlformats.org/spreadsheetml/2006/main" id="11" name="Table11" displayName="Table11" ref="A1:AQ7" totalsRowShown="0">
  <autoFilter ref="A1:AQ7"/>
  <tableColumns count="43">
    <tableColumn id="1" name="Months"/>
    <tableColumn id="2" name="Distribution Date" dataDxfId="154"/>
    <tableColumn id="3" name="Organization"/>
    <tableColumn id="4" name="Implementing Partner"/>
    <tableColumn id="5" name="State"/>
    <tableColumn id="6" name="Township"/>
    <tableColumn id="7" name="Camp Name"/>
    <tableColumn id="8" name="Hygiene Kit"/>
    <tableColumn id="9" name="NFI Core Kit"/>
    <tableColumn id="10" name="Sanitary Kit"/>
    <tableColumn id="11" name="Mosquito net"/>
    <tableColumn id="12" name="Tarpaulin"/>
    <tableColumn id="13" name="Blanket"/>
    <tableColumn id="14" name="Kitchen Set"/>
    <tableColumn id="15" name="Clothes Kit"/>
    <tableColumn id="16" name="Plastic Bucket"/>
    <tableColumn id="17" name="Plastic Mat"/>
    <tableColumn id="18" name="Winter Clothes Adult"/>
    <tableColumn id="19" name="Winter Clothes Children"/>
    <tableColumn id="20" name="Winter Items Other"/>
    <tableColumn id="21" name="Winter Blanket"/>
    <tableColumn id="22" name="Hygiene Kit_LS"/>
    <tableColumn id="23" name="NFI Core Kit_LS"/>
    <tableColumn id="24" name="Sanitary Kit_LS"/>
    <tableColumn id="25" name="Mosquito net_LS"/>
    <tableColumn id="26" name="Tarpaulin_LS"/>
    <tableColumn id="27" name="Blanket_LS"/>
    <tableColumn id="28" name="Kitchen Set_LS"/>
    <tableColumn id="29" name="Clothes Kit_LS"/>
    <tableColumn id="30" name="Plastic Bucket _LS"/>
    <tableColumn id="31" name="Plastic  Mat_LS"/>
    <tableColumn id="32" name="Winter Clothes Adult_LS"/>
    <tableColumn id="33" name="Winter Clothes Children_LS"/>
    <tableColumn id="34" name="Winter Items Other_LS"/>
    <tableColumn id="35" name="Winter Blanket_LS"/>
    <tableColumn id="36" name="Winter"/>
    <tableColumn id="37" name="Pcode"/>
    <tableColumn id="38" name="opening_date"/>
    <tableColumn id="39" name="Status"/>
    <tableColumn id="40" name="Priority"/>
    <tableColumn id="41" name="Coverage"/>
    <tableColumn id="42" name="Planned Distribution"/>
    <tableColumn id="43" name="Comment"/>
  </tableColumns>
  <tableStyleInfo name="TableStyleMedium2" showFirstColumn="0" showLastColumn="0" showRowStripes="1" showColumnStripes="0"/>
</table>
</file>

<file path=xl/tables/table8.xml><?xml version="1.0" encoding="utf-8"?>
<table xmlns="http://schemas.openxmlformats.org/spreadsheetml/2006/main" id="10" name="Table10" displayName="Table10" ref="A1:N168" totalsRowShown="0" headerRowDxfId="139" headerRowBorderDxfId="138" tableBorderDxfId="137" totalsRowBorderDxfId="136">
  <autoFilter ref="A1:N168"/>
  <tableColumns count="14">
    <tableColumn id="5" name="Pcode" dataDxfId="135"/>
    <tableColumn id="2" name="Priority" dataDxfId="134">
      <calculatedColumnFormula>OFFSET(CampList[Priority],MATCH(Table10[[#This Row],[Pcode]],CampList[CP_Pcode],0)-1,0,1,1)</calculatedColumnFormula>
    </tableColumn>
    <tableColumn id="1" name="Camp" dataDxfId="133">
      <calculatedColumnFormula>OFFSET(CampList[Camp],MATCH(Table10[[#This Row],[Pcode]],CampList[CP_Pcode],0)-1,0,1,1)</calculatedColumnFormula>
    </tableColumn>
    <tableColumn id="4" name="Township" dataDxfId="132">
      <calculatedColumnFormula>OFFSET(CampList[Township],MATCH(Table10[[#This Row],[Pcode]],CampList[CP_Pcode],0)-1,0,1,1)</calculatedColumnFormula>
    </tableColumn>
    <tableColumn id="6" name="HH" dataDxfId="131">
      <calculatedColumnFormula>OFFSET(CampList[HH],MATCH(Table10[[#This Row],[Pcode]],CampList[CP_Pcode],0)-1,0,1,1)</calculatedColumnFormula>
    </tableColumn>
    <tableColumn id="7" name="Ind" dataDxfId="130">
      <calculatedColumnFormula>OFFSET(CampList[Total],MATCH(Table10[[#This Row],[Pcode]],CampList[CP_Pcode],0)-1,0,1,1)</calculatedColumnFormula>
    </tableColumn>
    <tableColumn id="8" name="Winter Clothes Adult " dataDxfId="129">
      <calculatedColumnFormula>SUMIF('NFI Tracking'!AO$12:AO$1048576,Table10[[#This Row],[Pcode]],'NFI Tracking'!AI$12:AI$1048576)</calculatedColumnFormula>
    </tableColumn>
    <tableColumn id="9" name="Winter Clothes Children " dataDxfId="128">
      <calculatedColumnFormula>SUMIF('NFI Tracking'!AO$12:AO$1048576,Table10[[#This Row],[Pcode]],'NFI Tracking'!AJ$12:AJ$1048576)</calculatedColumnFormula>
    </tableColumn>
    <tableColumn id="10" name="Winter Items Other " dataDxfId="127">
      <calculatedColumnFormula>SUMIF('NFI Tracking'!AO$12:AO$1048576,Table10[[#This Row],[Pcode]],'NFI Tracking'!AK$12:AK$1048576)</calculatedColumnFormula>
    </tableColumn>
    <tableColumn id="11" name="WC_Adult_Gap" dataDxfId="126">
      <calculatedColumnFormula>MAX(Table10[[#This Row],[HH]]*VLOOKUP("Winter Clothes Adult",NFI,6)-Table10[[#This Row],[Winter Clothes Adult ]],0)</calculatedColumnFormula>
    </tableColumn>
    <tableColumn id="12" name="WC_Child_Gap" dataDxfId="125">
      <calculatedColumnFormula>MAX(Table10[[#This Row],[HH]]*VLOOKUP("Winter Clothes Children ",NFI,6)-Table10[[#This Row],[Winter Clothes Children ]],0)</calculatedColumnFormula>
    </tableColumn>
    <tableColumn id="13" name="WI_Other_Gap" dataDxfId="124">
      <calculatedColumnFormula>MAX(Table10[[#This Row],[HH]]*VLOOKUP("Winter Items Other ",NFI,6)-Table10[[#This Row],[Winter Items Other ]],0)</calculatedColumnFormula>
    </tableColumn>
    <tableColumn id="3" name="Planned Distribution" dataDxfId="123">
      <calculatedColumnFormula>IF(OR(Table10[[#This Row],[Winter Clothes Adult ]]&lt;&gt;0,Table10[[#This Row],[Winter Clothes Children ]]&lt;&gt;0,Table10[[#This Row],[Winter Items Other ]]&lt;&gt;0),"No","")</calculatedColumnFormula>
    </tableColumn>
    <tableColumn id="14" name="Check1" dataDxfId="122">
      <calculatedColumnFormula>COUNTIF(A:A,Table10[[#This Row],[Pcode]])-1</calculatedColumnFormula>
    </tableColumn>
  </tableColumns>
  <tableStyleInfo name="TableStyleMedium2" showFirstColumn="0" showLastColumn="0" showRowStripes="1" showColumnStripes="0"/>
</table>
</file>

<file path=xl/tables/table9.xml><?xml version="1.0" encoding="utf-8"?>
<table xmlns="http://schemas.openxmlformats.org/spreadsheetml/2006/main" id="3" name="Table3" displayName="Table3" ref="J1:J4" totalsRowShown="0" headerRowDxfId="121" dataDxfId="120">
  <autoFilter ref="J1:J4"/>
  <tableColumns count="1">
    <tableColumn id="1" name="State" dataDxfId="119"/>
  </tableColumns>
  <tableStyleInfo name="TableStyleMedium2" showFirstColumn="0" showLastColumn="0" showRowStripes="1" showColumnStripes="0"/>
</table>
</file>

<file path=xl/tables/table10.xml><?xml version="1.0" encoding="utf-8"?>
<table xmlns="http://schemas.openxmlformats.org/spreadsheetml/2006/main" id="5" name="Table5" displayName="Table5" ref="L1:L17" totalsRowShown="0" headerRowDxfId="118" dataDxfId="117">
  <autoFilter ref="L1:L17"/>
  <tableColumns count="1">
    <tableColumn id="1" name="Kachin" dataDxfId="116"/>
  </tableColumns>
  <tableStyleInfo name="TableStyleMedium2" showFirstColumn="0" showLastColumn="0" showRowStripes="1" showColumnStripes="0"/>
</table>
</file>

<file path=xl/tables/table11.xml><?xml version="1.0" encoding="utf-8"?>
<table xmlns="http://schemas.openxmlformats.org/spreadsheetml/2006/main" id="6" name="Table6" displayName="Table6" ref="N1:N7" totalsRowShown="0" headerRowDxfId="115" dataDxfId="114">
  <autoFilter ref="N1:N7"/>
  <tableColumns count="1">
    <tableColumn id="1" name="Shan_North" dataDxfId="1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image" Target="../media/image12.emf"/><Relationship Id="rId11" Type="http://schemas.openxmlformats.org/officeDocument/2006/relationships/table" Target="../tables/table3.xml"/><Relationship Id="rId5" Type="http://schemas.openxmlformats.org/officeDocument/2006/relationships/control" Target="../activeX/activeX3.xml"/><Relationship Id="rId10" Type="http://schemas.openxmlformats.org/officeDocument/2006/relationships/ctrlProp" Target="../ctrlProps/ctrlProp4.xml"/><Relationship Id="rId4" Type="http://schemas.openxmlformats.org/officeDocument/2006/relationships/vmlDrawing" Target="../drawings/vmlDrawing3.vml"/><Relationship Id="rId9"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table" Target="../tables/table5.xml"/><Relationship Id="rId2" Type="http://schemas.openxmlformats.org/officeDocument/2006/relationships/printerSettings" Target="../printerSettings/printerSettings11.bin"/><Relationship Id="rId1" Type="http://schemas.openxmlformats.org/officeDocument/2006/relationships/pivotTable" Target="../pivotTables/pivotTable17.xml"/><Relationship Id="rId6" Type="http://schemas.openxmlformats.org/officeDocument/2006/relationships/image" Target="../media/image19.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19.xml"/><Relationship Id="rId1" Type="http://schemas.openxmlformats.org/officeDocument/2006/relationships/pivotTable" Target="../pivotTables/pivotTable18.xml"/><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4" Type="http://schemas.openxmlformats.org/officeDocument/2006/relationships/pivotTable" Target="../pivotTables/pivotTable2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C1:V24"/>
  <sheetViews>
    <sheetView showZeros="0" zoomScale="80" zoomScaleNormal="80" workbookViewId="0">
      <selection activeCell="L39" sqref="L39"/>
    </sheetView>
  </sheetViews>
  <sheetFormatPr defaultColWidth="9.140625" defaultRowHeight="15" x14ac:dyDescent="0.25"/>
  <cols>
    <col min="1" max="1" width="2" style="5" customWidth="1"/>
    <col min="2" max="4" width="9.140625" style="5"/>
    <col min="5" max="5" width="3.28515625" style="5" customWidth="1"/>
    <col min="6" max="10" width="9.140625" style="5"/>
    <col min="11" max="11" width="3.28515625" style="5" customWidth="1"/>
    <col min="12" max="14" width="9.140625" style="5"/>
    <col min="15" max="15" width="3.28515625" style="5" customWidth="1"/>
    <col min="16" max="17" width="0" style="5" hidden="1" customWidth="1"/>
    <col min="18" max="18" width="9.140625" style="5" hidden="1" customWidth="1"/>
    <col min="19" max="19" width="3.28515625" style="5" hidden="1" customWidth="1"/>
    <col min="20" max="22" width="0" style="5" hidden="1" customWidth="1"/>
    <col min="23" max="16384" width="9.140625" style="5"/>
  </cols>
  <sheetData>
    <row r="1" spans="3:22" ht="5.25" customHeight="1" x14ac:dyDescent="0.25"/>
    <row r="2" spans="3:22" ht="8.25" customHeight="1" x14ac:dyDescent="0.25">
      <c r="C2" s="827" t="s">
        <v>420</v>
      </c>
      <c r="D2" s="827"/>
      <c r="E2" s="827"/>
      <c r="F2" s="827"/>
      <c r="G2" s="827"/>
      <c r="H2" s="827"/>
      <c r="I2" s="827"/>
      <c r="J2" s="827"/>
      <c r="K2" s="827"/>
      <c r="L2" s="827"/>
      <c r="M2" s="827"/>
      <c r="N2" s="827"/>
      <c r="O2" s="827"/>
      <c r="P2" s="827"/>
      <c r="Q2" s="827"/>
      <c r="R2" s="827"/>
      <c r="S2" s="827"/>
      <c r="T2" s="827"/>
      <c r="U2" s="827"/>
      <c r="V2" s="827"/>
    </row>
    <row r="3" spans="3:22" ht="18" customHeight="1" x14ac:dyDescent="0.25">
      <c r="C3" s="827"/>
      <c r="D3" s="827"/>
      <c r="E3" s="827"/>
      <c r="F3" s="827"/>
      <c r="G3" s="827"/>
      <c r="H3" s="827"/>
      <c r="I3" s="827"/>
      <c r="J3" s="827"/>
      <c r="K3" s="827"/>
      <c r="L3" s="827"/>
      <c r="M3" s="827"/>
      <c r="N3" s="827"/>
      <c r="O3" s="827"/>
      <c r="P3" s="827"/>
      <c r="Q3" s="827"/>
      <c r="R3" s="827"/>
      <c r="S3" s="827"/>
      <c r="T3" s="827"/>
      <c r="U3" s="827"/>
      <c r="V3" s="827"/>
    </row>
    <row r="4" spans="3:22" ht="11.25" customHeight="1" x14ac:dyDescent="0.25">
      <c r="C4" s="827"/>
      <c r="D4" s="827"/>
      <c r="E4" s="827"/>
      <c r="F4" s="827"/>
      <c r="G4" s="827"/>
      <c r="H4" s="827"/>
      <c r="I4" s="827"/>
      <c r="J4" s="827"/>
      <c r="K4" s="827"/>
      <c r="L4" s="827"/>
      <c r="M4" s="827"/>
      <c r="N4" s="827"/>
      <c r="O4" s="827"/>
      <c r="P4" s="827"/>
      <c r="Q4" s="827"/>
      <c r="R4" s="827"/>
      <c r="S4" s="827"/>
      <c r="T4" s="827"/>
      <c r="U4" s="827"/>
      <c r="V4" s="827"/>
    </row>
    <row r="5" spans="3:22" ht="15" customHeight="1" x14ac:dyDescent="0.25">
      <c r="C5" s="829">
        <f>Definition!B23</f>
        <v>42571</v>
      </c>
      <c r="D5" s="829"/>
      <c r="E5" s="829"/>
      <c r="F5" s="829"/>
      <c r="G5" s="829"/>
      <c r="H5" s="829"/>
      <c r="I5" s="829"/>
      <c r="J5" s="829"/>
      <c r="K5" s="829"/>
      <c r="L5" s="829"/>
      <c r="M5" s="829"/>
      <c r="N5" s="829"/>
      <c r="O5" s="829"/>
    </row>
    <row r="6" spans="3:22" ht="8.25" customHeight="1" x14ac:dyDescent="0.25"/>
    <row r="7" spans="3:22" x14ac:dyDescent="0.25">
      <c r="C7" s="826" t="s">
        <v>447</v>
      </c>
      <c r="D7" s="826"/>
      <c r="E7" s="30"/>
      <c r="F7" s="828" t="s">
        <v>452</v>
      </c>
      <c r="G7" s="828"/>
      <c r="H7" s="828"/>
      <c r="I7" s="828"/>
      <c r="J7" s="828"/>
      <c r="K7" s="30"/>
      <c r="L7" s="828" t="s">
        <v>445</v>
      </c>
      <c r="M7" s="828"/>
      <c r="N7" s="828"/>
      <c r="O7" s="30"/>
      <c r="P7" s="828" t="s">
        <v>450</v>
      </c>
      <c r="Q7" s="828"/>
      <c r="R7" s="828"/>
      <c r="S7" s="30"/>
      <c r="T7" s="828" t="s">
        <v>451</v>
      </c>
      <c r="U7" s="828"/>
      <c r="V7" s="828"/>
    </row>
    <row r="8" spans="3:22" x14ac:dyDescent="0.25">
      <c r="C8" s="826"/>
      <c r="D8" s="826"/>
      <c r="E8" s="30"/>
      <c r="F8" s="30"/>
      <c r="G8" s="30"/>
      <c r="H8" s="30"/>
      <c r="I8" s="30"/>
      <c r="J8" s="30"/>
      <c r="K8" s="30"/>
      <c r="L8" s="30"/>
      <c r="M8" s="30"/>
      <c r="N8" s="30"/>
      <c r="O8" s="30"/>
      <c r="P8" s="30"/>
      <c r="Q8" s="30"/>
      <c r="R8" s="30"/>
      <c r="S8" s="30"/>
      <c r="T8" s="30"/>
      <c r="U8" s="30"/>
      <c r="V8" s="30"/>
    </row>
    <row r="9" spans="3:22" x14ac:dyDescent="0.25">
      <c r="C9" s="826"/>
      <c r="D9" s="826"/>
      <c r="E9" s="30"/>
      <c r="F9" s="30"/>
      <c r="G9" s="30"/>
      <c r="H9" s="30"/>
      <c r="I9" s="30"/>
      <c r="J9" s="30"/>
      <c r="K9" s="30"/>
      <c r="L9" s="85" t="s">
        <v>381</v>
      </c>
      <c r="M9" s="58" t="s">
        <v>380</v>
      </c>
      <c r="N9" s="59" t="s">
        <v>446</v>
      </c>
      <c r="O9" s="30"/>
      <c r="P9" s="28" t="s">
        <v>381</v>
      </c>
      <c r="Q9" s="58" t="s">
        <v>380</v>
      </c>
      <c r="R9" s="59" t="s">
        <v>446</v>
      </c>
      <c r="S9" s="30"/>
      <c r="T9" s="28" t="s">
        <v>381</v>
      </c>
      <c r="U9" s="29" t="s">
        <v>380</v>
      </c>
      <c r="V9" s="27" t="s">
        <v>446</v>
      </c>
    </row>
    <row r="10" spans="3:22" x14ac:dyDescent="0.25">
      <c r="C10" s="826"/>
      <c r="D10" s="826"/>
      <c r="E10" s="30"/>
      <c r="F10" s="30"/>
      <c r="G10" s="30"/>
      <c r="H10" s="30"/>
      <c r="I10" s="30"/>
      <c r="J10" s="30"/>
      <c r="K10" s="30"/>
      <c r="L10" s="30"/>
      <c r="M10" s="30"/>
      <c r="N10" s="30"/>
      <c r="O10" s="30"/>
      <c r="P10" s="30"/>
      <c r="Q10" s="30"/>
      <c r="R10" s="30"/>
      <c r="S10" s="30"/>
      <c r="T10" s="30"/>
      <c r="U10" s="30"/>
      <c r="V10" s="30"/>
    </row>
    <row r="11" spans="3:22" x14ac:dyDescent="0.25">
      <c r="C11" s="826"/>
      <c r="D11" s="826"/>
      <c r="E11" s="30"/>
      <c r="F11" s="30"/>
      <c r="G11" s="30"/>
      <c r="H11" s="30"/>
      <c r="I11" s="30"/>
      <c r="J11" s="30"/>
      <c r="K11" s="30"/>
      <c r="L11" s="30"/>
      <c r="M11" s="30"/>
      <c r="N11" s="30"/>
      <c r="O11" s="30"/>
      <c r="P11" s="30"/>
      <c r="Q11" s="30"/>
      <c r="R11" s="30"/>
      <c r="S11" s="30"/>
      <c r="T11" s="30"/>
      <c r="U11" s="30"/>
      <c r="V11" s="30"/>
    </row>
    <row r="12" spans="3:22" x14ac:dyDescent="0.25">
      <c r="C12" s="826"/>
      <c r="D12" s="826"/>
      <c r="E12" s="30"/>
      <c r="F12" s="30"/>
      <c r="G12" s="30"/>
      <c r="H12" s="30"/>
      <c r="I12" s="30"/>
      <c r="J12" s="30"/>
      <c r="K12" s="30"/>
      <c r="L12" s="30"/>
      <c r="M12" s="30"/>
      <c r="N12" s="30"/>
      <c r="O12" s="30"/>
      <c r="P12" s="30"/>
      <c r="Q12" s="30"/>
      <c r="R12" s="30"/>
      <c r="S12" s="30"/>
      <c r="T12" s="30"/>
      <c r="U12" s="30"/>
      <c r="V12" s="30"/>
    </row>
    <row r="14" spans="3:22" x14ac:dyDescent="0.25">
      <c r="C14" s="826" t="s">
        <v>448</v>
      </c>
      <c r="D14" s="826"/>
      <c r="E14" s="30"/>
      <c r="F14" s="30"/>
      <c r="G14" s="30"/>
      <c r="H14" s="30"/>
      <c r="I14" s="30"/>
      <c r="J14" s="30"/>
      <c r="K14" s="30"/>
      <c r="L14" s="30"/>
      <c r="M14" s="30"/>
      <c r="N14" s="30"/>
      <c r="O14" s="30"/>
      <c r="P14" s="30"/>
      <c r="Q14" s="30"/>
      <c r="R14" s="30"/>
      <c r="S14" s="30"/>
      <c r="T14" s="30"/>
      <c r="U14" s="30"/>
      <c r="V14" s="30"/>
    </row>
    <row r="15" spans="3:22" x14ac:dyDescent="0.25">
      <c r="C15" s="826"/>
      <c r="D15" s="826"/>
      <c r="E15" s="30"/>
      <c r="F15" s="30"/>
      <c r="G15" s="30"/>
      <c r="H15" s="30"/>
      <c r="I15" s="30"/>
      <c r="J15" s="30"/>
      <c r="K15" s="30"/>
      <c r="L15" s="30"/>
      <c r="M15" s="30"/>
      <c r="N15" s="30"/>
      <c r="O15" s="30"/>
      <c r="P15" s="30"/>
      <c r="Q15" s="30"/>
      <c r="R15" s="30"/>
      <c r="S15" s="30"/>
      <c r="T15" s="30"/>
      <c r="U15" s="30"/>
      <c r="V15" s="30"/>
    </row>
    <row r="16" spans="3:22" x14ac:dyDescent="0.25">
      <c r="C16" s="826"/>
      <c r="D16" s="826"/>
      <c r="E16" s="30"/>
      <c r="F16" s="30"/>
      <c r="G16" s="30"/>
      <c r="H16" s="30"/>
      <c r="I16" s="30"/>
      <c r="J16" s="30"/>
      <c r="K16" s="30"/>
      <c r="L16" s="85" t="s">
        <v>381</v>
      </c>
      <c r="M16" s="58" t="s">
        <v>380</v>
      </c>
      <c r="N16" s="59" t="s">
        <v>446</v>
      </c>
      <c r="O16" s="30"/>
      <c r="P16" s="28" t="s">
        <v>381</v>
      </c>
      <c r="Q16" s="58" t="s">
        <v>380</v>
      </c>
      <c r="R16" s="59" t="s">
        <v>446</v>
      </c>
      <c r="S16" s="30"/>
      <c r="T16" s="28" t="s">
        <v>381</v>
      </c>
      <c r="U16" s="29" t="s">
        <v>380</v>
      </c>
      <c r="V16" s="27" t="s">
        <v>446</v>
      </c>
    </row>
    <row r="17" spans="3:22" x14ac:dyDescent="0.25">
      <c r="C17" s="826"/>
      <c r="D17" s="826"/>
      <c r="E17" s="30"/>
      <c r="F17" s="30"/>
      <c r="G17" s="30"/>
      <c r="H17" s="30"/>
      <c r="I17" s="30"/>
      <c r="J17" s="30"/>
      <c r="K17" s="30"/>
      <c r="L17" s="30"/>
      <c r="M17" s="30"/>
      <c r="N17" s="30"/>
      <c r="O17" s="30"/>
      <c r="P17" s="30"/>
      <c r="Q17" s="30"/>
      <c r="R17" s="30"/>
      <c r="S17" s="30"/>
      <c r="T17" s="30"/>
      <c r="U17" s="30"/>
      <c r="V17" s="30"/>
    </row>
    <row r="18" spans="3:22" x14ac:dyDescent="0.25">
      <c r="C18" s="826"/>
      <c r="D18" s="826"/>
      <c r="E18" s="30"/>
      <c r="F18" s="30"/>
      <c r="G18" s="30"/>
      <c r="H18" s="30"/>
      <c r="I18" s="30"/>
      <c r="J18" s="30"/>
      <c r="K18" s="30"/>
      <c r="L18" s="30"/>
      <c r="M18" s="30"/>
      <c r="N18" s="30"/>
      <c r="O18" s="30"/>
      <c r="P18" s="30"/>
      <c r="Q18" s="30"/>
      <c r="R18" s="30"/>
      <c r="S18" s="30"/>
      <c r="T18" s="30"/>
      <c r="U18" s="30"/>
      <c r="V18" s="30"/>
    </row>
    <row r="19" spans="3:22" x14ac:dyDescent="0.25">
      <c r="C19" s="826"/>
      <c r="D19" s="826"/>
      <c r="E19" s="30"/>
      <c r="F19" s="30"/>
      <c r="G19" s="30"/>
      <c r="H19" s="30"/>
      <c r="I19" s="30"/>
      <c r="J19" s="30"/>
      <c r="K19" s="30"/>
      <c r="L19" s="30"/>
      <c r="M19" s="30"/>
      <c r="N19" s="30"/>
      <c r="O19" s="30"/>
      <c r="P19" s="30"/>
      <c r="Q19" s="30"/>
      <c r="R19" s="30"/>
      <c r="S19" s="30"/>
      <c r="T19" s="30"/>
      <c r="U19" s="30"/>
      <c r="V19" s="30"/>
    </row>
    <row r="21" spans="3:22" x14ac:dyDescent="0.25">
      <c r="C21" s="826" t="s">
        <v>449</v>
      </c>
      <c r="D21" s="826"/>
      <c r="E21" s="31"/>
      <c r="F21" s="31"/>
      <c r="G21" s="31"/>
      <c r="H21" s="31"/>
      <c r="I21" s="31"/>
      <c r="J21" s="31"/>
      <c r="K21" s="31"/>
      <c r="L21" s="30"/>
      <c r="M21" s="30"/>
      <c r="N21" s="30"/>
      <c r="O21" s="30"/>
      <c r="P21" s="30"/>
      <c r="Q21" s="30"/>
      <c r="R21" s="30"/>
      <c r="S21" s="30"/>
      <c r="T21" s="30"/>
      <c r="U21" s="30"/>
      <c r="V21" s="30"/>
    </row>
    <row r="22" spans="3:22" x14ac:dyDescent="0.25">
      <c r="C22" s="826"/>
      <c r="D22" s="826"/>
      <c r="E22" s="31"/>
      <c r="F22" s="31"/>
      <c r="G22" s="31"/>
      <c r="H22" s="31"/>
      <c r="I22" s="31"/>
      <c r="J22" s="31"/>
      <c r="K22" s="31"/>
      <c r="L22" s="31"/>
      <c r="M22" s="58" t="s">
        <v>380</v>
      </c>
      <c r="N22" s="31"/>
      <c r="O22" s="30"/>
      <c r="P22" s="30"/>
      <c r="Q22" s="30"/>
      <c r="R22" s="30"/>
      <c r="S22" s="30"/>
      <c r="T22" s="10"/>
      <c r="U22" s="10"/>
      <c r="V22" s="10"/>
    </row>
    <row r="23" spans="3:22" x14ac:dyDescent="0.25">
      <c r="C23" s="826"/>
      <c r="D23" s="826"/>
      <c r="E23" s="31"/>
      <c r="F23" s="31"/>
      <c r="G23" s="31"/>
      <c r="H23" s="31"/>
      <c r="I23" s="31"/>
      <c r="J23" s="31"/>
      <c r="K23" s="31"/>
      <c r="L23" s="59" t="s">
        <v>381</v>
      </c>
      <c r="M23" s="59" t="s">
        <v>380</v>
      </c>
      <c r="N23" s="59" t="s">
        <v>446</v>
      </c>
      <c r="O23" s="30"/>
      <c r="P23" s="28" t="s">
        <v>381</v>
      </c>
      <c r="Q23" s="58" t="s">
        <v>380</v>
      </c>
      <c r="R23" s="59" t="s">
        <v>446</v>
      </c>
      <c r="S23" s="30"/>
      <c r="T23" s="28" t="s">
        <v>381</v>
      </c>
      <c r="U23" s="29" t="s">
        <v>380</v>
      </c>
      <c r="V23" s="27" t="s">
        <v>446</v>
      </c>
    </row>
    <row r="24" spans="3:22" x14ac:dyDescent="0.25">
      <c r="C24" s="826"/>
      <c r="D24" s="826"/>
      <c r="E24" s="31"/>
      <c r="F24" s="31"/>
      <c r="G24" s="31"/>
      <c r="H24" s="31"/>
      <c r="I24" s="31"/>
      <c r="J24" s="31"/>
      <c r="K24" s="31"/>
      <c r="L24" s="31"/>
      <c r="M24" s="31"/>
      <c r="N24" s="31"/>
      <c r="O24" s="30"/>
      <c r="P24" s="30"/>
      <c r="Q24" s="30"/>
      <c r="R24" s="30"/>
      <c r="S24" s="30"/>
      <c r="T24" s="10"/>
      <c r="U24" s="10"/>
      <c r="V24" s="10"/>
    </row>
  </sheetData>
  <mergeCells count="9">
    <mergeCell ref="C7:D12"/>
    <mergeCell ref="C14:D19"/>
    <mergeCell ref="C21:D24"/>
    <mergeCell ref="C2:V4"/>
    <mergeCell ref="T7:V7"/>
    <mergeCell ref="P7:R7"/>
    <mergeCell ref="L7:N7"/>
    <mergeCell ref="F7:J7"/>
    <mergeCell ref="C5:O5"/>
  </mergeCells>
  <hyperlinks>
    <hyperlink ref="L9" location="Rakhine_CCCM_D!A1" display="Rakhine"/>
    <hyperlink ref="M9" location="'CCCM Dashboard'!A1" display="Kachin"/>
    <hyperlink ref="L16" location="Rakhine_Shelter_D!A1" display="Rakhine"/>
    <hyperlink ref="M16" location="'Shelter Coverage &amp; Gaps'!A1" display="Kachin"/>
    <hyperlink ref="M23" location="Kachin_CCCM_D!A1" display="Kachin"/>
    <hyperlink ref="M22" location="'NFI Summary'!A1" display="Kachin"/>
  </hyperlinks>
  <pageMargins left="0.7" right="0.7" top="0.75" bottom="0.75" header="0.3" footer="0.3"/>
  <pageSetup scale="93" orientation="landscape" r:id="rId1"/>
  <drawing r:id="rId2"/>
  <legacyDrawing r:id="rId3"/>
  <controls>
    <mc:AlternateContent xmlns:mc="http://schemas.openxmlformats.org/markup-compatibility/2006">
      <mc:Choice Requires="x14">
        <control shapeId="1026" r:id="rId4" name="Print_Report">
          <controlPr defaultSize="0" autoLine="0" r:id="rId5">
            <anchor moveWithCells="1">
              <from>
                <xdr:col>25</xdr:col>
                <xdr:colOff>133350</xdr:colOff>
                <xdr:row>10</xdr:row>
                <xdr:rowOff>9525</xdr:rowOff>
              </from>
              <to>
                <xdr:col>27</xdr:col>
                <xdr:colOff>504825</xdr:colOff>
                <xdr:row>11</xdr:row>
                <xdr:rowOff>142875</xdr:rowOff>
              </to>
            </anchor>
          </controlPr>
        </control>
      </mc:Choice>
      <mc:Fallback>
        <control shapeId="1026" r:id="rId4" name="Print_Report"/>
      </mc:Fallback>
    </mc:AlternateContent>
    <mc:AlternateContent xmlns:mc="http://schemas.openxmlformats.org/markup-compatibility/2006">
      <mc:Choice Requires="x14">
        <control shapeId="1025" r:id="rId6" name="Main_Export_Data">
          <controlPr defaultSize="0" autoLine="0" r:id="rId7">
            <anchor moveWithCells="1">
              <from>
                <xdr:col>25</xdr:col>
                <xdr:colOff>180975</xdr:colOff>
                <xdr:row>6</xdr:row>
                <xdr:rowOff>0</xdr:rowOff>
              </from>
              <to>
                <xdr:col>27</xdr:col>
                <xdr:colOff>476250</xdr:colOff>
                <xdr:row>8</xdr:row>
                <xdr:rowOff>57150</xdr:rowOff>
              </to>
            </anchor>
          </controlPr>
        </control>
      </mc:Choice>
      <mc:Fallback>
        <control shapeId="1025" r:id="rId6" name="Main_Export_Dat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D263"/>
  <sheetViews>
    <sheetView showZeros="0" zoomScale="85" zoomScaleNormal="85" workbookViewId="0">
      <pane xSplit="1" ySplit="4" topLeftCell="C5" activePane="bottomRight" state="frozen"/>
      <selection activeCell="AS915" sqref="AS915"/>
      <selection pane="topRight" activeCell="AS915" sqref="AS915"/>
      <selection pane="bottomLeft" activeCell="AS915" sqref="AS915"/>
      <selection pane="bottomRight" activeCell="F273" sqref="F273"/>
    </sheetView>
  </sheetViews>
  <sheetFormatPr defaultColWidth="8.85546875" defaultRowHeight="15.6" customHeight="1" x14ac:dyDescent="0.25"/>
  <cols>
    <col min="1" max="1" width="14" style="622" customWidth="1"/>
    <col min="2" max="2" width="10.28515625" style="622" customWidth="1"/>
    <col min="3" max="3" width="9.28515625" style="609" customWidth="1"/>
    <col min="4" max="4" width="10.5703125" style="609" customWidth="1"/>
    <col min="5" max="5" width="13.85546875" style="609" customWidth="1"/>
    <col min="6" max="6" width="16.85546875" style="609" customWidth="1"/>
    <col min="7" max="7" width="19.28515625" style="609" customWidth="1"/>
    <col min="8" max="8" width="33.7109375" style="609" customWidth="1"/>
    <col min="9" max="10" width="19.28515625" style="609" customWidth="1"/>
    <col min="11" max="11" width="22.28515625" style="609" customWidth="1"/>
    <col min="12" max="12" width="38.85546875" style="623" customWidth="1"/>
    <col min="13" max="13" width="17.42578125" style="609" customWidth="1"/>
    <col min="14" max="15" width="13.7109375" style="610" customWidth="1"/>
    <col min="16" max="16" width="6.42578125" style="610" customWidth="1"/>
    <col min="17" max="17" width="8" style="608" customWidth="1"/>
    <col min="18" max="18" width="6.42578125" style="667" customWidth="1"/>
    <col min="19" max="19" width="11.5703125" style="631" customWidth="1"/>
    <col min="20" max="20" width="13.5703125" style="607" customWidth="1"/>
    <col min="21" max="21" width="14.42578125" style="492" customWidth="1"/>
    <col min="22" max="22" width="24.140625" style="607" customWidth="1"/>
    <col min="23" max="23" width="18.7109375" style="607" customWidth="1"/>
    <col min="24" max="24" width="16.28515625" style="641" customWidth="1"/>
    <col min="25" max="25" width="11.42578125" style="642" customWidth="1"/>
    <col min="26" max="26" width="10.28515625" style="642" customWidth="1"/>
    <col min="27" max="27" width="7" style="610" customWidth="1"/>
    <col min="28" max="28" width="9.28515625" style="126" customWidth="1"/>
    <col min="29" max="29" width="12.42578125" style="610" customWidth="1"/>
    <col min="30" max="30" width="18.42578125" style="819" customWidth="1"/>
    <col min="31" max="31" width="9.7109375" style="607" customWidth="1"/>
    <col min="32" max="32" width="11.5703125" style="607" customWidth="1"/>
    <col min="33" max="33" width="17.7109375" style="607" customWidth="1"/>
    <col min="34" max="34" width="14.28515625" style="610" customWidth="1"/>
    <col min="35" max="35" width="16.7109375" style="607" customWidth="1"/>
    <col min="36" max="36" width="12.5703125" style="649" customWidth="1"/>
    <col min="37" max="37" width="11.140625" style="610" customWidth="1"/>
    <col min="38" max="40" width="9.140625" style="44"/>
    <col min="41" max="50" width="8.85546875" style="606"/>
    <col min="51" max="52" width="9.140625" style="2" customWidth="1"/>
    <col min="53" max="16384" width="8.85546875" style="606"/>
  </cols>
  <sheetData>
    <row r="1" spans="1:56" s="604" customFormat="1" ht="41.45" customHeight="1" x14ac:dyDescent="0.25">
      <c r="A1" s="621"/>
      <c r="B1" s="612"/>
      <c r="C1" s="612"/>
      <c r="D1" s="612"/>
      <c r="E1" s="612"/>
      <c r="F1" s="612"/>
      <c r="G1" s="612"/>
      <c r="H1" s="612"/>
      <c r="I1" s="612"/>
      <c r="J1" s="612"/>
      <c r="K1" s="612"/>
      <c r="L1" s="615"/>
      <c r="M1" s="612"/>
      <c r="N1" s="625"/>
      <c r="O1" s="625"/>
      <c r="P1" s="625"/>
      <c r="Q1" s="611"/>
      <c r="R1" s="611"/>
      <c r="S1" s="625"/>
      <c r="T1" s="611"/>
      <c r="U1" s="611"/>
      <c r="V1" s="611"/>
      <c r="W1" s="611"/>
      <c r="X1" s="632"/>
      <c r="Y1" s="633"/>
      <c r="Z1" s="633"/>
      <c r="AA1" s="625"/>
      <c r="AB1" s="613"/>
      <c r="AC1" s="625"/>
      <c r="AD1" s="812"/>
      <c r="AE1" s="643"/>
      <c r="AF1" s="643"/>
      <c r="AG1" s="643"/>
      <c r="AH1" s="634"/>
      <c r="AI1" s="643"/>
      <c r="AJ1" s="644"/>
      <c r="AK1" s="651"/>
      <c r="AL1" s="509"/>
      <c r="AM1" s="509"/>
      <c r="AN1" s="509"/>
      <c r="AX1" s="55"/>
      <c r="AY1" s="55"/>
    </row>
    <row r="2" spans="1:56" s="604" customFormat="1" ht="15.6" customHeight="1" x14ac:dyDescent="0.25">
      <c r="A2" s="650" t="s">
        <v>419</v>
      </c>
      <c r="B2" s="620"/>
      <c r="C2" s="620"/>
      <c r="D2" s="615"/>
      <c r="E2" s="615"/>
      <c r="F2" s="615"/>
      <c r="G2" s="615"/>
      <c r="H2" s="615"/>
      <c r="I2" s="615"/>
      <c r="J2" s="615"/>
      <c r="K2" s="615"/>
      <c r="L2" s="615"/>
      <c r="M2" s="615"/>
      <c r="N2" s="626"/>
      <c r="O2" s="626"/>
      <c r="P2" s="626"/>
      <c r="Q2" s="661"/>
      <c r="R2" s="661"/>
      <c r="S2" s="627"/>
      <c r="T2" s="614"/>
      <c r="U2" s="614"/>
      <c r="V2" s="614"/>
      <c r="W2" s="614"/>
      <c r="X2" s="635"/>
      <c r="Y2" s="636"/>
      <c r="Z2" s="636"/>
      <c r="AA2" s="626"/>
      <c r="AB2" s="616"/>
      <c r="AC2" s="626"/>
      <c r="AD2" s="813"/>
      <c r="AE2" s="645"/>
      <c r="AF2" s="645"/>
      <c r="AG2" s="645"/>
      <c r="AH2" s="637"/>
      <c r="AI2" s="645"/>
      <c r="AJ2" s="646"/>
      <c r="AK2" s="652"/>
      <c r="AL2" s="509"/>
      <c r="AM2" s="509"/>
      <c r="AN2" s="509"/>
      <c r="AV2" s="55"/>
      <c r="AW2" s="55"/>
    </row>
    <row r="3" spans="1:56" s="605" customFormat="1" ht="15.6" customHeight="1" x14ac:dyDescent="0.25">
      <c r="A3" s="830">
        <f>Definition!B23</f>
        <v>42571</v>
      </c>
      <c r="B3" s="831"/>
      <c r="C3" s="831"/>
      <c r="D3" s="618"/>
      <c r="E3" s="618"/>
      <c r="F3" s="618"/>
      <c r="G3" s="618"/>
      <c r="H3" s="618"/>
      <c r="I3" s="618"/>
      <c r="J3" s="618"/>
      <c r="K3" s="618"/>
      <c r="L3" s="615"/>
      <c r="M3" s="618"/>
      <c r="N3" s="628"/>
      <c r="O3" s="628"/>
      <c r="P3" s="628"/>
      <c r="Q3" s="662"/>
      <c r="R3" s="662"/>
      <c r="S3" s="629"/>
      <c r="T3" s="617"/>
      <c r="U3" s="617"/>
      <c r="V3" s="617"/>
      <c r="W3" s="617"/>
      <c r="X3" s="638"/>
      <c r="Y3" s="639"/>
      <c r="Z3" s="639"/>
      <c r="AA3" s="628"/>
      <c r="AB3" s="619"/>
      <c r="AC3" s="628"/>
      <c r="AD3" s="814"/>
      <c r="AE3" s="647"/>
      <c r="AF3" s="647"/>
      <c r="AG3" s="647"/>
      <c r="AH3" s="640"/>
      <c r="AI3" s="647"/>
      <c r="AJ3" s="648"/>
      <c r="AK3" s="653"/>
      <c r="AL3" s="510"/>
      <c r="AM3" s="510"/>
      <c r="AN3" s="510"/>
      <c r="AV3" s="56"/>
      <c r="AW3" s="56"/>
    </row>
    <row r="4" spans="1:56" s="659" customFormat="1" ht="15.6" customHeight="1" x14ac:dyDescent="0.25">
      <c r="A4" s="702" t="s">
        <v>499</v>
      </c>
      <c r="B4" s="703" t="s">
        <v>395</v>
      </c>
      <c r="C4" s="704" t="s">
        <v>921</v>
      </c>
      <c r="D4" s="705" t="s">
        <v>525</v>
      </c>
      <c r="E4" s="705" t="s">
        <v>922</v>
      </c>
      <c r="F4" s="706" t="s">
        <v>0</v>
      </c>
      <c r="G4" s="703" t="s">
        <v>923</v>
      </c>
      <c r="H4" s="707" t="s">
        <v>924</v>
      </c>
      <c r="I4" s="703" t="s">
        <v>925</v>
      </c>
      <c r="J4" s="707" t="s">
        <v>524</v>
      </c>
      <c r="K4" s="703" t="s">
        <v>926</v>
      </c>
      <c r="L4" s="707" t="s">
        <v>555</v>
      </c>
      <c r="M4" s="703" t="s">
        <v>927</v>
      </c>
      <c r="N4" s="707" t="s">
        <v>1</v>
      </c>
      <c r="O4" s="659" t="s">
        <v>1328</v>
      </c>
      <c r="P4" s="708" t="s">
        <v>853</v>
      </c>
      <c r="Q4" s="709" t="s">
        <v>2</v>
      </c>
      <c r="R4" s="710" t="s">
        <v>3</v>
      </c>
      <c r="S4" s="711" t="s">
        <v>491</v>
      </c>
      <c r="T4" s="707" t="s">
        <v>498</v>
      </c>
      <c r="U4" s="712" t="s">
        <v>1252</v>
      </c>
      <c r="V4" s="707" t="s">
        <v>401</v>
      </c>
      <c r="W4" s="712" t="s">
        <v>854</v>
      </c>
      <c r="X4" s="713" t="s">
        <v>855</v>
      </c>
      <c r="Y4" s="714" t="s">
        <v>929</v>
      </c>
      <c r="Z4" s="708" t="s">
        <v>928</v>
      </c>
      <c r="AA4" s="703" t="s">
        <v>492</v>
      </c>
      <c r="AB4" s="704" t="s">
        <v>493</v>
      </c>
      <c r="AC4" s="715" t="s">
        <v>502</v>
      </c>
      <c r="AD4" s="815" t="s">
        <v>497</v>
      </c>
      <c r="AE4" s="716" t="s">
        <v>1082</v>
      </c>
      <c r="AF4" s="717" t="s">
        <v>1128</v>
      </c>
      <c r="AG4" s="718" t="s">
        <v>1125</v>
      </c>
      <c r="AH4" s="717" t="s">
        <v>1126</v>
      </c>
      <c r="AI4" s="719" t="s">
        <v>1191</v>
      </c>
      <c r="AJ4" s="720" t="s">
        <v>1192</v>
      </c>
      <c r="AK4" s="721" t="s">
        <v>1213</v>
      </c>
      <c r="AL4" s="658"/>
      <c r="AM4" s="658"/>
      <c r="AN4" s="658"/>
      <c r="BC4" s="660"/>
      <c r="BD4" s="660"/>
    </row>
    <row r="5" spans="1:56" s="511" customFormat="1" ht="15.6" customHeight="1" x14ac:dyDescent="0.25">
      <c r="A5" s="656" t="s">
        <v>501</v>
      </c>
      <c r="B5" s="406" t="s">
        <v>380</v>
      </c>
      <c r="C5" s="406" t="s">
        <v>526</v>
      </c>
      <c r="D5" s="406" t="s">
        <v>237</v>
      </c>
      <c r="E5" s="406" t="s">
        <v>532</v>
      </c>
      <c r="F5" s="406" t="s">
        <v>237</v>
      </c>
      <c r="G5" s="406" t="s">
        <v>536</v>
      </c>
      <c r="H5" s="406" t="s">
        <v>672</v>
      </c>
      <c r="I5" s="406" t="s">
        <v>673</v>
      </c>
      <c r="J5" s="406" t="s">
        <v>677</v>
      </c>
      <c r="K5" s="406" t="s">
        <v>678</v>
      </c>
      <c r="L5" s="406" t="s">
        <v>238</v>
      </c>
      <c r="M5" s="406" t="s">
        <v>236</v>
      </c>
      <c r="N5" s="630">
        <v>97.386718999999999</v>
      </c>
      <c r="O5" s="630">
        <v>25.415482000000001</v>
      </c>
      <c r="P5" s="741">
        <v>0</v>
      </c>
      <c r="Q5" s="663">
        <v>67</v>
      </c>
      <c r="R5" s="663">
        <v>365</v>
      </c>
      <c r="S5" s="732">
        <f>IF(CampList[[#This Row],[HH]]&gt;0,CampList[[#This Row],[Total]]/CampList[[#This Row],[HH]],"NA")</f>
        <v>5.4477611940298507</v>
      </c>
      <c r="T5" s="722" t="s">
        <v>512</v>
      </c>
      <c r="U5" s="726" t="s">
        <v>1193</v>
      </c>
      <c r="V5" s="722" t="s">
        <v>555</v>
      </c>
      <c r="W5" s="726" t="s">
        <v>804</v>
      </c>
      <c r="X5" s="742">
        <v>40695</v>
      </c>
      <c r="Y5" s="743">
        <v>1</v>
      </c>
      <c r="Z5" s="742" t="s">
        <v>461</v>
      </c>
      <c r="AA5" s="736" t="s">
        <v>843</v>
      </c>
      <c r="AB5" s="736"/>
      <c r="AC5" s="744">
        <v>42569</v>
      </c>
      <c r="AD5" s="728" t="s">
        <v>1450</v>
      </c>
      <c r="AE5" s="745" t="s">
        <v>1095</v>
      </c>
      <c r="AF5" s="663">
        <f>IF(CampList[[#This Row],[Type of Accomodation]]="camp",MAX(0,CampList[[#This Row],[HH]]-SUMIF(Table_Shelter[Pcode],CampList[[#This Row],[CP_Pcode]],Table_Shelter[HH Covered])),0)</f>
        <v>7</v>
      </c>
      <c r="AG5" s="722"/>
      <c r="AH5" s="736">
        <f>MIN(CampList[[#This Row],[Shelter Gap]],CampList[[#This Row],[Land Status]])</f>
        <v>7</v>
      </c>
      <c r="AI5" s="722" t="str">
        <f ca="1">IFERROR(OFFSET(DistanceToCamp[Nearest Town],MATCH(CampList[[#This Row],[CP_Pcode]],DistanceToCamp[CP_Pcode],0)-1,0,1,1),"")</f>
        <v>Myitkyina Town</v>
      </c>
      <c r="AJ5" s="739">
        <f ca="1">IFERROR(OFFSET(DistanceToCamp[distance],MATCH(CampList[[#This Row],[CP_Pcode]],DistanceToCamp[CP_Pcode],0)-1,0,1,1),"")</f>
        <v>3.1341427522963001</v>
      </c>
      <c r="AK5" s="740">
        <f ca="1">IFERROR(INT(CampList[[#This Row],[Distance]]/5)+1,"")</f>
        <v>1</v>
      </c>
    </row>
    <row r="6" spans="1:56" s="511" customFormat="1" ht="15.6" customHeight="1" x14ac:dyDescent="0.25">
      <c r="A6" s="656" t="s">
        <v>501</v>
      </c>
      <c r="B6" s="406" t="s">
        <v>380</v>
      </c>
      <c r="C6" s="406" t="s">
        <v>526</v>
      </c>
      <c r="D6" s="406" t="s">
        <v>237</v>
      </c>
      <c r="E6" s="406" t="s">
        <v>532</v>
      </c>
      <c r="F6" s="406" t="s">
        <v>237</v>
      </c>
      <c r="G6" s="406" t="s">
        <v>536</v>
      </c>
      <c r="H6" s="406" t="s">
        <v>672</v>
      </c>
      <c r="I6" s="406" t="s">
        <v>673</v>
      </c>
      <c r="J6" s="406" t="s">
        <v>681</v>
      </c>
      <c r="K6" s="406"/>
      <c r="L6" s="406" t="s">
        <v>269</v>
      </c>
      <c r="M6" s="406" t="s">
        <v>268</v>
      </c>
      <c r="N6" s="630">
        <v>97.394547000000003</v>
      </c>
      <c r="O6" s="630">
        <v>25.422194000000001</v>
      </c>
      <c r="P6" s="741">
        <v>0</v>
      </c>
      <c r="Q6" s="663">
        <v>60</v>
      </c>
      <c r="R6" s="663">
        <v>256</v>
      </c>
      <c r="S6" s="732">
        <f>IF(CampList[[#This Row],[HH]]&gt;0,CampList[[#This Row],[Total]]/CampList[[#This Row],[HH]],"NA")</f>
        <v>4.2666666666666666</v>
      </c>
      <c r="T6" s="722" t="s">
        <v>512</v>
      </c>
      <c r="U6" s="726" t="s">
        <v>1193</v>
      </c>
      <c r="V6" s="722" t="s">
        <v>555</v>
      </c>
      <c r="W6" s="726" t="s">
        <v>804</v>
      </c>
      <c r="X6" s="742">
        <v>40695</v>
      </c>
      <c r="Y6" s="743">
        <v>1</v>
      </c>
      <c r="Z6" s="742" t="s">
        <v>461</v>
      </c>
      <c r="AA6" s="736" t="s">
        <v>843</v>
      </c>
      <c r="AB6" s="736"/>
      <c r="AC6" s="744">
        <v>42569</v>
      </c>
      <c r="AD6" s="728" t="s">
        <v>1450</v>
      </c>
      <c r="AE6" s="759" t="s">
        <v>1095</v>
      </c>
      <c r="AF6" s="663">
        <f>IF(CampList[[#This Row],[Type of Accomodation]]="camp",MAX(0,CampList[[#This Row],[HH]]-SUMIF(Table_Shelter[Pcode],CampList[[#This Row],[CP_Pcode]],Table_Shelter[HH Covered])),0)</f>
        <v>8</v>
      </c>
      <c r="AG6" s="663"/>
      <c r="AH6" s="736">
        <f>MIN(CampList[[#This Row],[Shelter Gap]],CampList[[#This Row],[Land Status]])</f>
        <v>8</v>
      </c>
      <c r="AI6" s="722" t="str">
        <f ca="1">IFERROR(OFFSET(DistanceToCamp[Nearest Town],MATCH(CampList[[#This Row],[CP_Pcode]],DistanceToCamp[CP_Pcode],0)-1,0,1,1),"")</f>
        <v>Myitkyina Town</v>
      </c>
      <c r="AJ6" s="739">
        <f ca="1">IFERROR(OFFSET(DistanceToCamp[distance],MATCH(CampList[[#This Row],[CP_Pcode]],DistanceToCamp[CP_Pcode],0)-1,0,1,1),"")</f>
        <v>3.8820329084732181</v>
      </c>
      <c r="AK6" s="740">
        <f ca="1">IFERROR(INT(CampList[[#This Row],[Distance]]/5)+1,"")</f>
        <v>1</v>
      </c>
    </row>
    <row r="7" spans="1:56" s="511" customFormat="1" ht="15.6" customHeight="1" x14ac:dyDescent="0.25">
      <c r="A7" s="656" t="s">
        <v>501</v>
      </c>
      <c r="B7" s="406" t="s">
        <v>380</v>
      </c>
      <c r="C7" s="406" t="s">
        <v>526</v>
      </c>
      <c r="D7" s="406" t="s">
        <v>237</v>
      </c>
      <c r="E7" s="406" t="s">
        <v>532</v>
      </c>
      <c r="F7" s="406" t="s">
        <v>237</v>
      </c>
      <c r="G7" s="406" t="s">
        <v>536</v>
      </c>
      <c r="H7" s="406" t="s">
        <v>672</v>
      </c>
      <c r="I7" s="406" t="s">
        <v>673</v>
      </c>
      <c r="J7" s="406" t="s">
        <v>677</v>
      </c>
      <c r="K7" s="406" t="s">
        <v>678</v>
      </c>
      <c r="L7" s="406" t="s">
        <v>251</v>
      </c>
      <c r="M7" s="406" t="s">
        <v>250</v>
      </c>
      <c r="N7" s="630">
        <v>97.377662999999998</v>
      </c>
      <c r="O7" s="630">
        <v>25.404752999999999</v>
      </c>
      <c r="P7" s="741">
        <v>0</v>
      </c>
      <c r="Q7" s="663">
        <v>32</v>
      </c>
      <c r="R7" s="663">
        <v>160</v>
      </c>
      <c r="S7" s="732">
        <f>IF(CampList[[#This Row],[HH]]&gt;0,CampList[[#This Row],[Total]]/CampList[[#This Row],[HH]],"NA")</f>
        <v>5</v>
      </c>
      <c r="T7" s="722" t="s">
        <v>512</v>
      </c>
      <c r="U7" s="726" t="s">
        <v>1193</v>
      </c>
      <c r="V7" s="722" t="s">
        <v>555</v>
      </c>
      <c r="W7" s="726" t="s">
        <v>804</v>
      </c>
      <c r="X7" s="742">
        <v>40725</v>
      </c>
      <c r="Y7" s="743">
        <v>1</v>
      </c>
      <c r="Z7" s="742" t="s">
        <v>461</v>
      </c>
      <c r="AA7" s="736" t="s">
        <v>843</v>
      </c>
      <c r="AB7" s="736"/>
      <c r="AC7" s="744">
        <v>42569</v>
      </c>
      <c r="AD7" s="728" t="s">
        <v>1451</v>
      </c>
      <c r="AE7" s="759" t="s">
        <v>1095</v>
      </c>
      <c r="AF7" s="663">
        <f>IF(CampList[[#This Row],[Type of Accomodation]]="camp",MAX(0,CampList[[#This Row],[HH]]-SUMIF(Table_Shelter[Pcode],CampList[[#This Row],[CP_Pcode]],Table_Shelter[HH Covered])),0)</f>
        <v>12</v>
      </c>
      <c r="AG7" s="722"/>
      <c r="AH7" s="736">
        <f>MIN(CampList[[#This Row],[Shelter Gap]],CampList[[#This Row],[Land Status]])</f>
        <v>12</v>
      </c>
      <c r="AI7" s="722" t="str">
        <f ca="1">IFERROR(OFFSET(DistanceToCamp[Nearest Town],MATCH(CampList[[#This Row],[CP_Pcode]],DistanceToCamp[CP_Pcode],0)-1,0,1,1),"")</f>
        <v>Myitkyina Town</v>
      </c>
      <c r="AJ7" s="739">
        <f ca="1">IFERROR(OFFSET(DistanceToCamp[distance],MATCH(CampList[[#This Row],[CP_Pcode]],DistanceToCamp[CP_Pcode],0)-1,0,1,1),"")</f>
        <v>2.3045478259125423</v>
      </c>
      <c r="AK7" s="740">
        <f ca="1">IFERROR(INT(CampList[[#This Row],[Distance]]/5)+1,"")</f>
        <v>1</v>
      </c>
    </row>
    <row r="8" spans="1:56" s="511" customFormat="1" ht="15.6" customHeight="1" x14ac:dyDescent="0.25">
      <c r="A8" s="656" t="s">
        <v>501</v>
      </c>
      <c r="B8" s="406" t="s">
        <v>380</v>
      </c>
      <c r="C8" s="406" t="s">
        <v>526</v>
      </c>
      <c r="D8" s="406" t="s">
        <v>237</v>
      </c>
      <c r="E8" s="406" t="s">
        <v>532</v>
      </c>
      <c r="F8" s="406" t="s">
        <v>237</v>
      </c>
      <c r="G8" s="406" t="s">
        <v>536</v>
      </c>
      <c r="H8" s="406" t="s">
        <v>672</v>
      </c>
      <c r="I8" s="406" t="s">
        <v>673</v>
      </c>
      <c r="J8" s="406" t="s">
        <v>677</v>
      </c>
      <c r="K8" s="406" t="s">
        <v>678</v>
      </c>
      <c r="L8" s="406" t="s">
        <v>249</v>
      </c>
      <c r="M8" s="406" t="s">
        <v>248</v>
      </c>
      <c r="N8" s="630">
        <v>97.389778000000007</v>
      </c>
      <c r="O8" s="630">
        <v>25.417733999999999</v>
      </c>
      <c r="P8" s="741">
        <v>0</v>
      </c>
      <c r="Q8" s="762">
        <v>6</v>
      </c>
      <c r="R8" s="663">
        <v>29</v>
      </c>
      <c r="S8" s="732">
        <f>IF(CampList[[#This Row],[HH]]&gt;0,CampList[[#This Row],[Total]]/CampList[[#This Row],[HH]],"NA")</f>
        <v>4.833333333333333</v>
      </c>
      <c r="T8" s="722" t="s">
        <v>512</v>
      </c>
      <c r="U8" s="726" t="s">
        <v>1193</v>
      </c>
      <c r="V8" s="722" t="s">
        <v>555</v>
      </c>
      <c r="W8" s="726" t="s">
        <v>804</v>
      </c>
      <c r="X8" s="742">
        <v>40756</v>
      </c>
      <c r="Y8" s="743">
        <v>1</v>
      </c>
      <c r="Z8" s="742" t="s">
        <v>506</v>
      </c>
      <c r="AA8" s="736" t="s">
        <v>843</v>
      </c>
      <c r="AB8" s="736"/>
      <c r="AC8" s="744">
        <v>42571</v>
      </c>
      <c r="AD8" s="728" t="s">
        <v>1522</v>
      </c>
      <c r="AE8" s="759" t="s">
        <v>1095</v>
      </c>
      <c r="AF8" s="663">
        <f>IF(CampList[[#This Row],[Type of Accomodation]]="camp",MAX(0,CampList[[#This Row],[HH]]-SUMIF(Table_Shelter[Pcode],CampList[[#This Row],[CP_Pcode]],Table_Shelter[HH Covered])),0)</f>
        <v>0</v>
      </c>
      <c r="AG8" s="722"/>
      <c r="AH8" s="736">
        <f>MIN(CampList[[#This Row],[Shelter Gap]],CampList[[#This Row],[Land Status]])</f>
        <v>0</v>
      </c>
      <c r="AI8" s="722" t="str">
        <f ca="1">IFERROR(OFFSET(DistanceToCamp[Nearest Town],MATCH(CampList[[#This Row],[CP_Pcode]],DistanceToCamp[CP_Pcode],0)-1,0,1,1),"")</f>
        <v>Myitkyina Town</v>
      </c>
      <c r="AJ8" s="739">
        <f ca="1">IFERROR(OFFSET(DistanceToCamp[distance],MATCH(CampList[[#This Row],[CP_Pcode]],DistanceToCamp[CP_Pcode],0)-1,0,1,1),"")</f>
        <v>3.3637010801853577</v>
      </c>
      <c r="AK8" s="740">
        <f ca="1">IFERROR(INT(CampList[[#This Row],[Distance]]/5)+1,"")</f>
        <v>1</v>
      </c>
    </row>
    <row r="9" spans="1:56" s="511" customFormat="1" ht="15.6" customHeight="1" x14ac:dyDescent="0.25">
      <c r="A9" s="656" t="s">
        <v>501</v>
      </c>
      <c r="B9" s="406" t="s">
        <v>380</v>
      </c>
      <c r="C9" s="406" t="s">
        <v>526</v>
      </c>
      <c r="D9" s="406" t="s">
        <v>237</v>
      </c>
      <c r="E9" s="406" t="s">
        <v>532</v>
      </c>
      <c r="F9" s="406" t="s">
        <v>237</v>
      </c>
      <c r="G9" s="406" t="s">
        <v>536</v>
      </c>
      <c r="H9" s="406" t="s">
        <v>672</v>
      </c>
      <c r="I9" s="406" t="s">
        <v>673</v>
      </c>
      <c r="J9" s="406" t="s">
        <v>677</v>
      </c>
      <c r="K9" s="406" t="s">
        <v>678</v>
      </c>
      <c r="L9" s="406" t="s">
        <v>275</v>
      </c>
      <c r="M9" s="406" t="s">
        <v>274</v>
      </c>
      <c r="N9" s="630">
        <v>97.382192000000003</v>
      </c>
      <c r="O9" s="630">
        <v>25.404015000000001</v>
      </c>
      <c r="P9" s="741">
        <v>0</v>
      </c>
      <c r="Q9" s="663">
        <v>43</v>
      </c>
      <c r="R9" s="663">
        <v>225</v>
      </c>
      <c r="S9" s="732">
        <f>IF(CampList[[#This Row],[HH]]&gt;0,CampList[[#This Row],[Total]]/CampList[[#This Row],[HH]],"NA")</f>
        <v>5.2325581395348841</v>
      </c>
      <c r="T9" s="722" t="s">
        <v>512</v>
      </c>
      <c r="U9" s="726" t="s">
        <v>1193</v>
      </c>
      <c r="V9" s="722" t="s">
        <v>555</v>
      </c>
      <c r="W9" s="726" t="s">
        <v>804</v>
      </c>
      <c r="X9" s="742">
        <v>40817</v>
      </c>
      <c r="Y9" s="743">
        <v>1</v>
      </c>
      <c r="Z9" s="742" t="s">
        <v>461</v>
      </c>
      <c r="AA9" s="736" t="s">
        <v>843</v>
      </c>
      <c r="AB9" s="736"/>
      <c r="AC9" s="744">
        <v>42569</v>
      </c>
      <c r="AD9" s="728" t="s">
        <v>1452</v>
      </c>
      <c r="AE9" s="759" t="s">
        <v>1095</v>
      </c>
      <c r="AF9" s="663">
        <f>IF(CampList[[#This Row],[Type of Accomodation]]="camp",MAX(0,CampList[[#This Row],[HH]]-SUMIF(Table_Shelter[Pcode],CampList[[#This Row],[CP_Pcode]],Table_Shelter[HH Covered])),0)</f>
        <v>11</v>
      </c>
      <c r="AG9" s="722"/>
      <c r="AH9" s="736">
        <f>MIN(CampList[[#This Row],[Shelter Gap]],CampList[[#This Row],[Land Status]])</f>
        <v>11</v>
      </c>
      <c r="AI9" s="722" t="str">
        <f ca="1">IFERROR(OFFSET(DistanceToCamp[Nearest Town],MATCH(CampList[[#This Row],[CP_Pcode]],DistanceToCamp[CP_Pcode],0)-1,0,1,1),"")</f>
        <v>Myitkyina Town</v>
      </c>
      <c r="AJ9" s="739">
        <f ca="1">IFERROR(OFFSET(DistanceToCamp[distance],MATCH(CampList[[#This Row],[CP_Pcode]],DistanceToCamp[CP_Pcode],0)-1,0,1,1),"")</f>
        <v>2.0123527499589278</v>
      </c>
      <c r="AK9" s="740">
        <f ca="1">IFERROR(INT(CampList[[#This Row],[Distance]]/5)+1,"")</f>
        <v>1</v>
      </c>
    </row>
    <row r="10" spans="1:56" s="511" customFormat="1" ht="15.6" customHeight="1" x14ac:dyDescent="0.25">
      <c r="A10" s="656" t="s">
        <v>501</v>
      </c>
      <c r="B10" s="406" t="s">
        <v>380</v>
      </c>
      <c r="C10" s="406" t="s">
        <v>526</v>
      </c>
      <c r="D10" s="406" t="s">
        <v>237</v>
      </c>
      <c r="E10" s="406" t="s">
        <v>532</v>
      </c>
      <c r="F10" s="406" t="s">
        <v>237</v>
      </c>
      <c r="G10" s="406" t="s">
        <v>536</v>
      </c>
      <c r="H10" s="406" t="s">
        <v>672</v>
      </c>
      <c r="I10" s="406" t="s">
        <v>673</v>
      </c>
      <c r="J10" s="406" t="s">
        <v>682</v>
      </c>
      <c r="K10" s="406" t="s">
        <v>683</v>
      </c>
      <c r="L10" s="406" t="s">
        <v>277</v>
      </c>
      <c r="M10" s="406" t="s">
        <v>276</v>
      </c>
      <c r="N10" s="630">
        <v>97.399628000000007</v>
      </c>
      <c r="O10" s="630">
        <v>25.412313000000001</v>
      </c>
      <c r="P10" s="741">
        <v>0</v>
      </c>
      <c r="Q10" s="663">
        <v>90</v>
      </c>
      <c r="R10" s="663">
        <v>394</v>
      </c>
      <c r="S10" s="732">
        <f>IF(CampList[[#This Row],[HH]]&gt;0,CampList[[#This Row],[Total]]/CampList[[#This Row],[HH]],"NA")</f>
        <v>4.3777777777777782</v>
      </c>
      <c r="T10" s="722" t="s">
        <v>512</v>
      </c>
      <c r="U10" s="726" t="s">
        <v>1193</v>
      </c>
      <c r="V10" s="722" t="s">
        <v>555</v>
      </c>
      <c r="W10" s="726" t="s">
        <v>804</v>
      </c>
      <c r="X10" s="742">
        <v>40756</v>
      </c>
      <c r="Y10" s="743">
        <v>2</v>
      </c>
      <c r="Z10" s="742" t="s">
        <v>461</v>
      </c>
      <c r="AA10" s="736" t="s">
        <v>843</v>
      </c>
      <c r="AB10" s="736"/>
      <c r="AC10" s="744">
        <v>42569</v>
      </c>
      <c r="AD10" s="728" t="s">
        <v>1453</v>
      </c>
      <c r="AE10" s="759" t="s">
        <v>1095</v>
      </c>
      <c r="AF10" s="663">
        <f>IF(CampList[[#This Row],[Type of Accomodation]]="camp",MAX(0,CampList[[#This Row],[HH]]-SUMIF(Table_Shelter[Pcode],CampList[[#This Row],[CP_Pcode]],Table_Shelter[HH Covered])),0)</f>
        <v>26</v>
      </c>
      <c r="AG10" s="722"/>
      <c r="AH10" s="736">
        <f>MIN(CampList[[#This Row],[Shelter Gap]],CampList[[#This Row],[Land Status]])</f>
        <v>26</v>
      </c>
      <c r="AI10" s="722" t="str">
        <f ca="1">IFERROR(OFFSET(DistanceToCamp[Nearest Town],MATCH(CampList[[#This Row],[CP_Pcode]],DistanceToCamp[CP_Pcode],0)-1,0,1,1),"")</f>
        <v>Myitkyina Town</v>
      </c>
      <c r="AJ10" s="739">
        <f ca="1">IFERROR(OFFSET(DistanceToCamp[distance],MATCH(CampList[[#This Row],[CP_Pcode]],DistanceToCamp[CP_Pcode],0)-1,0,1,1),"")</f>
        <v>2.9133254097712102</v>
      </c>
      <c r="AK10" s="740">
        <f ca="1">IFERROR(INT(CampList[[#This Row],[Distance]]/5)+1,"")</f>
        <v>1</v>
      </c>
    </row>
    <row r="11" spans="1:56" s="511" customFormat="1" ht="15.6" customHeight="1" x14ac:dyDescent="0.25">
      <c r="A11" s="656" t="s">
        <v>501</v>
      </c>
      <c r="B11" s="406" t="s">
        <v>380</v>
      </c>
      <c r="C11" s="406" t="s">
        <v>526</v>
      </c>
      <c r="D11" s="406" t="s">
        <v>237</v>
      </c>
      <c r="E11" s="406" t="s">
        <v>532</v>
      </c>
      <c r="F11" s="406" t="s">
        <v>237</v>
      </c>
      <c r="G11" s="406" t="s">
        <v>536</v>
      </c>
      <c r="H11" s="406" t="s">
        <v>672</v>
      </c>
      <c r="I11" s="406" t="s">
        <v>673</v>
      </c>
      <c r="J11" s="406" t="s">
        <v>682</v>
      </c>
      <c r="K11" s="406" t="s">
        <v>683</v>
      </c>
      <c r="L11" s="406" t="s">
        <v>279</v>
      </c>
      <c r="M11" s="406" t="s">
        <v>278</v>
      </c>
      <c r="N11" s="630">
        <v>97.418004999999994</v>
      </c>
      <c r="O11" s="630">
        <v>25.423817</v>
      </c>
      <c r="P11" s="741">
        <v>0</v>
      </c>
      <c r="Q11" s="762">
        <v>22</v>
      </c>
      <c r="R11" s="663">
        <v>111</v>
      </c>
      <c r="S11" s="732">
        <f>IF(CampList[[#This Row],[HH]]&gt;0,CampList[[#This Row],[Total]]/CampList[[#This Row],[HH]],"NA")</f>
        <v>5.0454545454545459</v>
      </c>
      <c r="T11" s="722" t="s">
        <v>512</v>
      </c>
      <c r="U11" s="726" t="s">
        <v>1193</v>
      </c>
      <c r="V11" s="722" t="s">
        <v>555</v>
      </c>
      <c r="W11" s="726" t="s">
        <v>804</v>
      </c>
      <c r="X11" s="742">
        <v>40909</v>
      </c>
      <c r="Y11" s="743">
        <v>1</v>
      </c>
      <c r="Z11" s="742" t="s">
        <v>506</v>
      </c>
      <c r="AA11" s="736" t="s">
        <v>843</v>
      </c>
      <c r="AB11" s="736"/>
      <c r="AC11" s="744">
        <v>42571</v>
      </c>
      <c r="AD11" s="728" t="s">
        <v>1519</v>
      </c>
      <c r="AE11" s="759" t="s">
        <v>1095</v>
      </c>
      <c r="AF11" s="663">
        <f>IF(CampList[[#This Row],[Type of Accomodation]]="camp",MAX(0,CampList[[#This Row],[HH]]-SUMIF(Table_Shelter[Pcode],CampList[[#This Row],[CP_Pcode]],Table_Shelter[HH Covered])),0)</f>
        <v>22</v>
      </c>
      <c r="AG11" s="722"/>
      <c r="AH11" s="736">
        <f>MIN(CampList[[#This Row],[Shelter Gap]],CampList[[#This Row],[Land Status]])</f>
        <v>22</v>
      </c>
      <c r="AI11" s="722" t="str">
        <f ca="1">IFERROR(OFFSET(DistanceToCamp[Nearest Town],MATCH(CampList[[#This Row],[CP_Pcode]],DistanceToCamp[CP_Pcode],0)-1,0,1,1),"")</f>
        <v>Myitkyina Town</v>
      </c>
      <c r="AJ11" s="739">
        <f ca="1">IFERROR(OFFSET(DistanceToCamp[distance],MATCH(CampList[[#This Row],[CP_Pcode]],DistanceToCamp[CP_Pcode],0)-1,0,1,1),"")</f>
        <v>4.9021696969220816</v>
      </c>
      <c r="AK11" s="740">
        <f ca="1">IFERROR(INT(CampList[[#This Row],[Distance]]/5)+1,"")</f>
        <v>1</v>
      </c>
    </row>
    <row r="12" spans="1:56" s="511" customFormat="1" ht="15.6" customHeight="1" x14ac:dyDescent="0.25">
      <c r="A12" s="656" t="s">
        <v>501</v>
      </c>
      <c r="B12" s="406" t="s">
        <v>380</v>
      </c>
      <c r="C12" s="406" t="s">
        <v>526</v>
      </c>
      <c r="D12" s="406" t="s">
        <v>237</v>
      </c>
      <c r="E12" s="406" t="s">
        <v>532</v>
      </c>
      <c r="F12" s="406" t="s">
        <v>237</v>
      </c>
      <c r="G12" s="406" t="s">
        <v>536</v>
      </c>
      <c r="H12" s="728" t="s">
        <v>672</v>
      </c>
      <c r="I12" s="728" t="s">
        <v>673</v>
      </c>
      <c r="J12" s="728" t="s">
        <v>690</v>
      </c>
      <c r="K12" s="728" t="s">
        <v>691</v>
      </c>
      <c r="L12" s="406" t="s">
        <v>261</v>
      </c>
      <c r="M12" s="406" t="s">
        <v>260</v>
      </c>
      <c r="N12" s="630">
        <v>97.418694000000002</v>
      </c>
      <c r="O12" s="630">
        <v>25.428910999999999</v>
      </c>
      <c r="P12" s="741">
        <v>0</v>
      </c>
      <c r="Q12" s="663">
        <v>99</v>
      </c>
      <c r="R12" s="663">
        <v>537</v>
      </c>
      <c r="S12" s="732">
        <f>IF(CampList[[#This Row],[HH]]&gt;0,CampList[[#This Row],[Total]]/CampList[[#This Row],[HH]],"NA")</f>
        <v>5.4242424242424239</v>
      </c>
      <c r="T12" s="722" t="s">
        <v>512</v>
      </c>
      <c r="U12" s="726" t="s">
        <v>1193</v>
      </c>
      <c r="V12" s="722" t="s">
        <v>555</v>
      </c>
      <c r="W12" s="726" t="s">
        <v>804</v>
      </c>
      <c r="X12" s="742">
        <v>40725</v>
      </c>
      <c r="Y12" s="743">
        <v>2</v>
      </c>
      <c r="Z12" s="742" t="s">
        <v>461</v>
      </c>
      <c r="AA12" s="735" t="s">
        <v>843</v>
      </c>
      <c r="AB12" s="736"/>
      <c r="AC12" s="744">
        <v>42569</v>
      </c>
      <c r="AD12" s="656" t="s">
        <v>1454</v>
      </c>
      <c r="AE12" s="759" t="s">
        <v>1095</v>
      </c>
      <c r="AF12" s="663">
        <f>IF(CampList[[#This Row],[Type of Accomodation]]="camp",MAX(0,CampList[[#This Row],[HH]]-SUMIF(Table_Shelter[Pcode],CampList[[#This Row],[CP_Pcode]],Table_Shelter[HH Covered])),0)</f>
        <v>19</v>
      </c>
      <c r="AG12" s="722"/>
      <c r="AH12" s="736">
        <f>MIN(CampList[[#This Row],[Shelter Gap]],CampList[[#This Row],[Land Status]])</f>
        <v>19</v>
      </c>
      <c r="AI12" s="722" t="str">
        <f ca="1">IFERROR(OFFSET(DistanceToCamp[Nearest Town],MATCH(CampList[[#This Row],[CP_Pcode]],DistanceToCamp[CP_Pcode],0)-1,0,1,1),"")</f>
        <v>Myitkyina Town</v>
      </c>
      <c r="AJ12" s="739">
        <f ca="1">IFERROR(OFFSET(DistanceToCamp[distance],MATCH(CampList[[#This Row],[CP_Pcode]],DistanceToCamp[CP_Pcode],0)-1,0,1,1),"")</f>
        <v>5.4145379230647226</v>
      </c>
      <c r="AK12" s="740">
        <f ca="1">IFERROR(INT(CampList[[#This Row],[Distance]]/5)+1,"")</f>
        <v>2</v>
      </c>
    </row>
    <row r="13" spans="1:56" s="511" customFormat="1" ht="15.6" customHeight="1" x14ac:dyDescent="0.25">
      <c r="A13" s="656" t="s">
        <v>501</v>
      </c>
      <c r="B13" s="406" t="s">
        <v>380</v>
      </c>
      <c r="C13" s="406" t="s">
        <v>526</v>
      </c>
      <c r="D13" s="406" t="s">
        <v>237</v>
      </c>
      <c r="E13" s="406" t="s">
        <v>532</v>
      </c>
      <c r="F13" s="406" t="s">
        <v>237</v>
      </c>
      <c r="G13" s="406" t="s">
        <v>536</v>
      </c>
      <c r="H13" s="406" t="s">
        <v>672</v>
      </c>
      <c r="I13" s="406" t="s">
        <v>673</v>
      </c>
      <c r="J13" s="406" t="s">
        <v>692</v>
      </c>
      <c r="K13" s="406" t="s">
        <v>693</v>
      </c>
      <c r="L13" s="406" t="s">
        <v>281</v>
      </c>
      <c r="M13" s="406" t="s">
        <v>280</v>
      </c>
      <c r="N13" s="630">
        <v>97.419403000000003</v>
      </c>
      <c r="O13" s="630">
        <v>25.440928</v>
      </c>
      <c r="P13" s="741">
        <v>0</v>
      </c>
      <c r="Q13" s="663">
        <v>89</v>
      </c>
      <c r="R13" s="663">
        <v>492</v>
      </c>
      <c r="S13" s="732">
        <f>IF(CampList[[#This Row],[HH]]&gt;0,CampList[[#This Row],[Total]]/CampList[[#This Row],[HH]],"NA")</f>
        <v>5.5280898876404496</v>
      </c>
      <c r="T13" s="722" t="s">
        <v>512</v>
      </c>
      <c r="U13" s="726" t="s">
        <v>1193</v>
      </c>
      <c r="V13" s="722" t="s">
        <v>555</v>
      </c>
      <c r="W13" s="726" t="s">
        <v>804</v>
      </c>
      <c r="X13" s="742">
        <v>40725</v>
      </c>
      <c r="Y13" s="743">
        <v>2</v>
      </c>
      <c r="Z13" s="742" t="s">
        <v>461</v>
      </c>
      <c r="AA13" s="736" t="s">
        <v>843</v>
      </c>
      <c r="AB13" s="736"/>
      <c r="AC13" s="744">
        <v>42569</v>
      </c>
      <c r="AD13" s="728" t="s">
        <v>1455</v>
      </c>
      <c r="AE13" s="759" t="s">
        <v>1095</v>
      </c>
      <c r="AF13" s="663">
        <f>IF(CampList[[#This Row],[Type of Accomodation]]="camp",MAX(0,CampList[[#This Row],[HH]]-SUMIF(Table_Shelter[Pcode],CampList[[#This Row],[CP_Pcode]],Table_Shelter[HH Covered])),0)</f>
        <v>39</v>
      </c>
      <c r="AG13" s="722"/>
      <c r="AH13" s="736">
        <f>MIN(CampList[[#This Row],[Shelter Gap]],CampList[[#This Row],[Land Status]])</f>
        <v>39</v>
      </c>
      <c r="AI13" s="722" t="str">
        <f ca="1">IFERROR(OFFSET(DistanceToCamp[Nearest Town],MATCH(CampList[[#This Row],[CP_Pcode]],DistanceToCamp[CP_Pcode],0)-1,0,1,1),"")</f>
        <v>Myitkyina Town</v>
      </c>
      <c r="AJ13" s="739">
        <f ca="1">IFERROR(OFFSET(DistanceToCamp[distance],MATCH(CampList[[#This Row],[CP_Pcode]],DistanceToCamp[CP_Pcode],0)-1,0,1,1),"")</f>
        <v>6.6198004689728469</v>
      </c>
      <c r="AK13" s="740">
        <f ca="1">IFERROR(INT(CampList[[#This Row],[Distance]]/5)+1,"")</f>
        <v>2</v>
      </c>
    </row>
    <row r="14" spans="1:56" s="511" customFormat="1" ht="15.6" customHeight="1" x14ac:dyDescent="0.25">
      <c r="A14" s="656" t="s">
        <v>501</v>
      </c>
      <c r="B14" s="406" t="s">
        <v>380</v>
      </c>
      <c r="C14" s="406" t="s">
        <v>526</v>
      </c>
      <c r="D14" s="406" t="s">
        <v>237</v>
      </c>
      <c r="E14" s="406" t="s">
        <v>532</v>
      </c>
      <c r="F14" s="406" t="s">
        <v>237</v>
      </c>
      <c r="G14" s="406" t="s">
        <v>536</v>
      </c>
      <c r="H14" s="728" t="s">
        <v>672</v>
      </c>
      <c r="I14" s="728" t="s">
        <v>673</v>
      </c>
      <c r="J14" s="728" t="s">
        <v>679</v>
      </c>
      <c r="K14" s="728" t="s">
        <v>680</v>
      </c>
      <c r="L14" s="406" t="s">
        <v>245</v>
      </c>
      <c r="M14" s="406" t="s">
        <v>244</v>
      </c>
      <c r="N14" s="630">
        <v>97.382997575757599</v>
      </c>
      <c r="O14" s="630">
        <v>25.3959740909091</v>
      </c>
      <c r="P14" s="741">
        <v>0</v>
      </c>
      <c r="Q14" s="730">
        <v>6</v>
      </c>
      <c r="R14" s="731">
        <v>39</v>
      </c>
      <c r="S14" s="732">
        <f>IF(CampList[[#This Row],[HH]]&gt;0,CampList[[#This Row],[Total]]/CampList[[#This Row],[HH]],"NA")</f>
        <v>6.5</v>
      </c>
      <c r="T14" s="722" t="s">
        <v>512</v>
      </c>
      <c r="U14" s="726" t="s">
        <v>1193</v>
      </c>
      <c r="V14" s="722" t="s">
        <v>555</v>
      </c>
      <c r="W14" s="726" t="s">
        <v>804</v>
      </c>
      <c r="X14" s="742">
        <v>40695</v>
      </c>
      <c r="Y14" s="743"/>
      <c r="Z14" s="742" t="s">
        <v>461</v>
      </c>
      <c r="AA14" s="735" t="s">
        <v>842</v>
      </c>
      <c r="AB14" s="736"/>
      <c r="AC14" s="744"/>
      <c r="AD14" s="656" t="s">
        <v>602</v>
      </c>
      <c r="AE14" s="759" t="s">
        <v>1095</v>
      </c>
      <c r="AF14" s="663">
        <f>IF(CampList[[#This Row],[Type of Accomodation]]="camp",MAX(0,CampList[[#This Row],[HH]]-SUMIF(Table_Shelter[Pcode],CampList[[#This Row],[CP_Pcode]],Table_Shelter[HH Covered])),0)</f>
        <v>0</v>
      </c>
      <c r="AG14" s="722"/>
      <c r="AH14" s="736">
        <f>MIN(CampList[[#This Row],[Shelter Gap]],CampList[[#This Row],[Land Status]])</f>
        <v>0</v>
      </c>
      <c r="AI14" s="722" t="str">
        <f ca="1">IFERROR(OFFSET(DistanceToCamp[Nearest Town],MATCH(CampList[[#This Row],[CP_Pcode]],DistanceToCamp[CP_Pcode],0)-1,0,1,1),"")</f>
        <v>Myitkyina Town</v>
      </c>
      <c r="AJ14" s="739">
        <f ca="1">IFERROR(OFFSET(DistanceToCamp[distance],MATCH(CampList[[#This Row],[CP_Pcode]],DistanceToCamp[CP_Pcode],0)-1,0,1,1),"")</f>
        <v>1.1985969617964649</v>
      </c>
      <c r="AK14" s="740">
        <f ca="1">IFERROR(INT(CampList[[#This Row],[Distance]]/5)+1,"")</f>
        <v>1</v>
      </c>
    </row>
    <row r="15" spans="1:56" s="511" customFormat="1" ht="15.6" customHeight="1" x14ac:dyDescent="0.25">
      <c r="A15" s="656" t="s">
        <v>501</v>
      </c>
      <c r="B15" s="406" t="s">
        <v>380</v>
      </c>
      <c r="C15" s="406" t="s">
        <v>526</v>
      </c>
      <c r="D15" s="406" t="s">
        <v>237</v>
      </c>
      <c r="E15" s="406" t="s">
        <v>532</v>
      </c>
      <c r="F15" s="406" t="s">
        <v>237</v>
      </c>
      <c r="G15" s="406" t="s">
        <v>536</v>
      </c>
      <c r="H15" s="728" t="s">
        <v>672</v>
      </c>
      <c r="I15" s="728" t="s">
        <v>673</v>
      </c>
      <c r="J15" s="728" t="s">
        <v>679</v>
      </c>
      <c r="K15" s="728" t="s">
        <v>680</v>
      </c>
      <c r="L15" s="406" t="s">
        <v>247</v>
      </c>
      <c r="M15" s="406" t="s">
        <v>246</v>
      </c>
      <c r="N15" s="630">
        <v>97.381325000000004</v>
      </c>
      <c r="O15" s="630">
        <v>25.396492500000001</v>
      </c>
      <c r="P15" s="741">
        <v>0</v>
      </c>
      <c r="Q15" s="663">
        <v>44</v>
      </c>
      <c r="R15" s="663">
        <v>212</v>
      </c>
      <c r="S15" s="732">
        <f>IF(CampList[[#This Row],[HH]]&gt;0,CampList[[#This Row],[Total]]/CampList[[#This Row],[HH]],"NA")</f>
        <v>4.8181818181818183</v>
      </c>
      <c r="T15" s="722" t="s">
        <v>512</v>
      </c>
      <c r="U15" s="726" t="s">
        <v>1193</v>
      </c>
      <c r="V15" s="722" t="s">
        <v>555</v>
      </c>
      <c r="W15" s="726" t="s">
        <v>804</v>
      </c>
      <c r="X15" s="742">
        <v>40695</v>
      </c>
      <c r="Y15" s="743">
        <v>2</v>
      </c>
      <c r="Z15" s="742" t="s">
        <v>461</v>
      </c>
      <c r="AA15" s="735" t="s">
        <v>843</v>
      </c>
      <c r="AB15" s="736"/>
      <c r="AC15" s="744">
        <v>42569</v>
      </c>
      <c r="AD15" s="656" t="s">
        <v>1456</v>
      </c>
      <c r="AE15" s="759" t="s">
        <v>1095</v>
      </c>
      <c r="AF15" s="663">
        <f>IF(CampList[[#This Row],[Type of Accomodation]]="camp",MAX(0,CampList[[#This Row],[HH]]-SUMIF(Table_Shelter[Pcode],CampList[[#This Row],[CP_Pcode]],Table_Shelter[HH Covered])),0)</f>
        <v>41</v>
      </c>
      <c r="AG15" s="722"/>
      <c r="AH15" s="736">
        <f>MIN(CampList[[#This Row],[Shelter Gap]],CampList[[#This Row],[Land Status]])</f>
        <v>41</v>
      </c>
      <c r="AI15" s="722" t="str">
        <f ca="1">IFERROR(OFFSET(DistanceToCamp[Nearest Town],MATCH(CampList[[#This Row],[CP_Pcode]],DistanceToCamp[CP_Pcode],0)-1,0,1,1),"")</f>
        <v>Myitkyina Town</v>
      </c>
      <c r="AJ15" s="739">
        <f ca="1">IFERROR(OFFSET(DistanceToCamp[distance],MATCH(CampList[[#This Row],[CP_Pcode]],DistanceToCamp[CP_Pcode],0)-1,0,1,1),"")</f>
        <v>1.3510454549069482</v>
      </c>
      <c r="AK15" s="740">
        <f ca="1">IFERROR(INT(CampList[[#This Row],[Distance]]/5)+1,"")</f>
        <v>1</v>
      </c>
    </row>
    <row r="16" spans="1:56" s="511" customFormat="1" ht="15.6" customHeight="1" x14ac:dyDescent="0.25">
      <c r="A16" s="656" t="s">
        <v>501</v>
      </c>
      <c r="B16" s="406" t="s">
        <v>380</v>
      </c>
      <c r="C16" s="406" t="s">
        <v>526</v>
      </c>
      <c r="D16" s="406" t="s">
        <v>237</v>
      </c>
      <c r="E16" s="406" t="s">
        <v>532</v>
      </c>
      <c r="F16" s="406" t="s">
        <v>237</v>
      </c>
      <c r="G16" s="406" t="s">
        <v>536</v>
      </c>
      <c r="H16" s="728" t="s">
        <v>672</v>
      </c>
      <c r="I16" s="728" t="s">
        <v>673</v>
      </c>
      <c r="J16" s="728" t="s">
        <v>679</v>
      </c>
      <c r="K16" s="728" t="s">
        <v>680</v>
      </c>
      <c r="L16" s="406" t="s">
        <v>243</v>
      </c>
      <c r="M16" s="406" t="s">
        <v>242</v>
      </c>
      <c r="N16" s="630">
        <v>97.384729629629604</v>
      </c>
      <c r="O16" s="630">
        <v>25.4002701851852</v>
      </c>
      <c r="P16" s="741">
        <v>0</v>
      </c>
      <c r="Q16" s="730">
        <v>6</v>
      </c>
      <c r="R16" s="731">
        <v>28</v>
      </c>
      <c r="S16" s="732">
        <f>IF(CampList[[#This Row],[HH]]&gt;0,CampList[[#This Row],[Total]]/CampList[[#This Row],[HH]],"NA")</f>
        <v>4.666666666666667</v>
      </c>
      <c r="T16" s="722" t="s">
        <v>512</v>
      </c>
      <c r="U16" s="726" t="s">
        <v>1193</v>
      </c>
      <c r="V16" s="722" t="s">
        <v>555</v>
      </c>
      <c r="W16" s="726" t="s">
        <v>804</v>
      </c>
      <c r="X16" s="742">
        <v>40695</v>
      </c>
      <c r="Y16" s="743"/>
      <c r="Z16" s="742" t="s">
        <v>461</v>
      </c>
      <c r="AA16" s="735" t="s">
        <v>842</v>
      </c>
      <c r="AB16" s="736"/>
      <c r="AC16" s="744"/>
      <c r="AD16" s="656" t="s">
        <v>602</v>
      </c>
      <c r="AE16" s="759" t="s">
        <v>1095</v>
      </c>
      <c r="AF16" s="663">
        <f>IF(CampList[[#This Row],[Type of Accomodation]]="camp",MAX(0,CampList[[#This Row],[HH]]-SUMIF(Table_Shelter[Pcode],CampList[[#This Row],[CP_Pcode]],Table_Shelter[HH Covered])),0)</f>
        <v>3</v>
      </c>
      <c r="AG16" s="722"/>
      <c r="AH16" s="736">
        <f>MIN(CampList[[#This Row],[Shelter Gap]],CampList[[#This Row],[Land Status]])</f>
        <v>3</v>
      </c>
      <c r="AI16" s="722" t="str">
        <f ca="1">IFERROR(OFFSET(DistanceToCamp[Nearest Town],MATCH(CampList[[#This Row],[CP_Pcode]],DistanceToCamp[CP_Pcode],0)-1,0,1,1),"")</f>
        <v>Myitkyina Town</v>
      </c>
      <c r="AJ16" s="739">
        <f ca="1">IFERROR(OFFSET(DistanceToCamp[distance],MATCH(CampList[[#This Row],[CP_Pcode]],DistanceToCamp[CP_Pcode],0)-1,0,1,1),"")</f>
        <v>1.5295244799681529</v>
      </c>
      <c r="AK16" s="740">
        <f ca="1">IFERROR(INT(CampList[[#This Row],[Distance]]/5)+1,"")</f>
        <v>1</v>
      </c>
    </row>
    <row r="17" spans="1:37" s="511" customFormat="1" ht="15.6" customHeight="1" x14ac:dyDescent="0.25">
      <c r="A17" s="656" t="s">
        <v>501</v>
      </c>
      <c r="B17" s="406" t="s">
        <v>380</v>
      </c>
      <c r="C17" s="406" t="s">
        <v>526</v>
      </c>
      <c r="D17" s="406" t="s">
        <v>237</v>
      </c>
      <c r="E17" s="406" t="s">
        <v>532</v>
      </c>
      <c r="F17" s="406" t="s">
        <v>237</v>
      </c>
      <c r="G17" s="406" t="s">
        <v>536</v>
      </c>
      <c r="H17" s="728" t="s">
        <v>672</v>
      </c>
      <c r="I17" s="728" t="s">
        <v>673</v>
      </c>
      <c r="J17" s="728" t="s">
        <v>686</v>
      </c>
      <c r="K17" s="728" t="s">
        <v>687</v>
      </c>
      <c r="L17" s="406" t="s">
        <v>257</v>
      </c>
      <c r="M17" s="406" t="s">
        <v>256</v>
      </c>
      <c r="N17" s="630">
        <v>97.405202777777802</v>
      </c>
      <c r="O17" s="630">
        <v>25.3660036111111</v>
      </c>
      <c r="P17" s="741">
        <v>0</v>
      </c>
      <c r="Q17" s="663">
        <v>44</v>
      </c>
      <c r="R17" s="663">
        <v>194</v>
      </c>
      <c r="S17" s="732">
        <f>IF(CampList[[#This Row],[HH]]&gt;0,CampList[[#This Row],[Total]]/CampList[[#This Row],[HH]],"NA")</f>
        <v>4.4090909090909092</v>
      </c>
      <c r="T17" s="722" t="s">
        <v>512</v>
      </c>
      <c r="U17" s="726" t="s">
        <v>1193</v>
      </c>
      <c r="V17" s="722" t="s">
        <v>555</v>
      </c>
      <c r="W17" s="726" t="s">
        <v>804</v>
      </c>
      <c r="X17" s="742">
        <v>40909</v>
      </c>
      <c r="Y17" s="743">
        <v>1</v>
      </c>
      <c r="Z17" s="742" t="s">
        <v>461</v>
      </c>
      <c r="AA17" s="735" t="s">
        <v>843</v>
      </c>
      <c r="AB17" s="736"/>
      <c r="AC17" s="744">
        <v>42569</v>
      </c>
      <c r="AD17" s="656" t="s">
        <v>1457</v>
      </c>
      <c r="AE17" s="759" t="s">
        <v>1095</v>
      </c>
      <c r="AF17" s="663">
        <f>IF(CampList[[#This Row],[Type of Accomodation]]="camp",MAX(0,CampList[[#This Row],[HH]]-SUMIF(Table_Shelter[Pcode],CampList[[#This Row],[CP_Pcode]],Table_Shelter[HH Covered])),0)</f>
        <v>39</v>
      </c>
      <c r="AG17" s="722"/>
      <c r="AH17" s="736">
        <f>MIN(CampList[[#This Row],[Shelter Gap]],CampList[[#This Row],[Land Status]])</f>
        <v>39</v>
      </c>
      <c r="AI17" s="722" t="str">
        <f ca="1">IFERROR(OFFSET(DistanceToCamp[Nearest Town],MATCH(CampList[[#This Row],[CP_Pcode]],DistanceToCamp[CP_Pcode],0)-1,0,1,1),"")</f>
        <v>Myitkyina Town</v>
      </c>
      <c r="AJ17" s="739">
        <f ca="1">IFERROR(OFFSET(DistanceToCamp[distance],MATCH(CampList[[#This Row],[CP_Pcode]],DistanceToCamp[CP_Pcode],0)-1,0,1,1),"")</f>
        <v>2.8164250706222882</v>
      </c>
      <c r="AK17" s="740">
        <f ca="1">IFERROR(INT(CampList[[#This Row],[Distance]]/5)+1,"")</f>
        <v>1</v>
      </c>
    </row>
    <row r="18" spans="1:37" s="511" customFormat="1" ht="15.6" customHeight="1" x14ac:dyDescent="0.25">
      <c r="A18" s="656" t="s">
        <v>501</v>
      </c>
      <c r="B18" s="406" t="s">
        <v>380</v>
      </c>
      <c r="C18" s="406" t="s">
        <v>526</v>
      </c>
      <c r="D18" s="406" t="s">
        <v>237</v>
      </c>
      <c r="E18" s="406" t="s">
        <v>532</v>
      </c>
      <c r="F18" s="406" t="s">
        <v>237</v>
      </c>
      <c r="G18" s="406" t="s">
        <v>536</v>
      </c>
      <c r="H18" s="728" t="s">
        <v>672</v>
      </c>
      <c r="I18" s="728" t="s">
        <v>673</v>
      </c>
      <c r="J18" s="728" t="s">
        <v>688</v>
      </c>
      <c r="K18" s="728" t="s">
        <v>689</v>
      </c>
      <c r="L18" s="406" t="s">
        <v>285</v>
      </c>
      <c r="M18" s="406" t="s">
        <v>284</v>
      </c>
      <c r="N18" s="630">
        <v>97.403402307692303</v>
      </c>
      <c r="O18" s="630">
        <v>25.3510167948718</v>
      </c>
      <c r="P18" s="741">
        <v>0</v>
      </c>
      <c r="Q18" s="663">
        <v>138</v>
      </c>
      <c r="R18" s="663">
        <v>697</v>
      </c>
      <c r="S18" s="732">
        <f>IF(CampList[[#This Row],[HH]]&gt;0,CampList[[#This Row],[Total]]/CampList[[#This Row],[HH]],"NA")</f>
        <v>5.0507246376811592</v>
      </c>
      <c r="T18" s="722" t="s">
        <v>512</v>
      </c>
      <c r="U18" s="726" t="s">
        <v>1193</v>
      </c>
      <c r="V18" s="722" t="s">
        <v>555</v>
      </c>
      <c r="W18" s="726" t="s">
        <v>804</v>
      </c>
      <c r="X18" s="742">
        <v>40695</v>
      </c>
      <c r="Y18" s="743">
        <v>2</v>
      </c>
      <c r="Z18" s="742" t="s">
        <v>461</v>
      </c>
      <c r="AA18" s="735" t="s">
        <v>843</v>
      </c>
      <c r="AB18" s="736"/>
      <c r="AC18" s="744">
        <v>42569</v>
      </c>
      <c r="AD18" s="656" t="s">
        <v>1458</v>
      </c>
      <c r="AE18" s="759" t="s">
        <v>1095</v>
      </c>
      <c r="AF18" s="663">
        <f>IF(CampList[[#This Row],[Type of Accomodation]]="camp",MAX(0,CampList[[#This Row],[HH]]-SUMIF(Table_Shelter[Pcode],CampList[[#This Row],[CP_Pcode]],Table_Shelter[HH Covered])),0)</f>
        <v>13</v>
      </c>
      <c r="AG18" s="722"/>
      <c r="AH18" s="736">
        <f>MIN(CampList[[#This Row],[Shelter Gap]],CampList[[#This Row],[Land Status]])</f>
        <v>13</v>
      </c>
      <c r="AI18" s="722" t="str">
        <f ca="1">IFERROR(OFFSET(DistanceToCamp[Nearest Town],MATCH(CampList[[#This Row],[CP_Pcode]],DistanceToCamp[CP_Pcode],0)-1,0,1,1),"")</f>
        <v>Myitkyina Town</v>
      </c>
      <c r="AJ18" s="739">
        <f ca="1">IFERROR(OFFSET(DistanceToCamp[distance],MATCH(CampList[[#This Row],[CP_Pcode]],DistanceToCamp[CP_Pcode],0)-1,0,1,1),"")</f>
        <v>4.262018365878137</v>
      </c>
      <c r="AK18" s="740">
        <f ca="1">IFERROR(INT(CampList[[#This Row],[Distance]]/5)+1,"")</f>
        <v>1</v>
      </c>
    </row>
    <row r="19" spans="1:37" s="511" customFormat="1" ht="15.6" customHeight="1" x14ac:dyDescent="0.25">
      <c r="A19" s="656" t="s">
        <v>501</v>
      </c>
      <c r="B19" s="406" t="s">
        <v>380</v>
      </c>
      <c r="C19" s="406" t="s">
        <v>526</v>
      </c>
      <c r="D19" s="406" t="s">
        <v>237</v>
      </c>
      <c r="E19" s="406" t="s">
        <v>532</v>
      </c>
      <c r="F19" s="406" t="s">
        <v>237</v>
      </c>
      <c r="G19" s="406" t="s">
        <v>536</v>
      </c>
      <c r="H19" s="728" t="s">
        <v>672</v>
      </c>
      <c r="I19" s="728" t="s">
        <v>673</v>
      </c>
      <c r="J19" s="728" t="s">
        <v>688</v>
      </c>
      <c r="K19" s="728" t="s">
        <v>689</v>
      </c>
      <c r="L19" s="406" t="s">
        <v>240</v>
      </c>
      <c r="M19" s="406" t="s">
        <v>239</v>
      </c>
      <c r="N19" s="630">
        <v>97.409035000000003</v>
      </c>
      <c r="O19" s="630">
        <v>25.362420757575801</v>
      </c>
      <c r="P19" s="741">
        <v>0</v>
      </c>
      <c r="Q19" s="663">
        <v>96</v>
      </c>
      <c r="R19" s="663">
        <v>544</v>
      </c>
      <c r="S19" s="732">
        <f>IF(CampList[[#This Row],[HH]]&gt;0,CampList[[#This Row],[Total]]/CampList[[#This Row],[HH]],"NA")</f>
        <v>5.666666666666667</v>
      </c>
      <c r="T19" s="722" t="s">
        <v>512</v>
      </c>
      <c r="U19" s="726" t="s">
        <v>1193</v>
      </c>
      <c r="V19" s="722" t="s">
        <v>555</v>
      </c>
      <c r="W19" s="726" t="s">
        <v>804</v>
      </c>
      <c r="X19" s="742">
        <v>40603</v>
      </c>
      <c r="Y19" s="743">
        <v>2</v>
      </c>
      <c r="Z19" s="742" t="s">
        <v>461</v>
      </c>
      <c r="AA19" s="735" t="s">
        <v>843</v>
      </c>
      <c r="AB19" s="736"/>
      <c r="AC19" s="744">
        <v>42569</v>
      </c>
      <c r="AD19" s="656" t="s">
        <v>1459</v>
      </c>
      <c r="AE19" s="759" t="s">
        <v>1095</v>
      </c>
      <c r="AF19" s="663">
        <f>IF(CampList[[#This Row],[Type of Accomodation]]="camp",MAX(0,CampList[[#This Row],[HH]]-SUMIF(Table_Shelter[Pcode],CampList[[#This Row],[CP_Pcode]],Table_Shelter[HH Covered])),0)</f>
        <v>72</v>
      </c>
      <c r="AG19" s="722"/>
      <c r="AH19" s="736">
        <f>MIN(CampList[[#This Row],[Shelter Gap]],CampList[[#This Row],[Land Status]])</f>
        <v>72</v>
      </c>
      <c r="AI19" s="722" t="str">
        <f ca="1">IFERROR(OFFSET(DistanceToCamp[Nearest Town],MATCH(CampList[[#This Row],[CP_Pcode]],DistanceToCamp[CP_Pcode],0)-1,0,1,1),"")</f>
        <v>Myitkyina Town</v>
      </c>
      <c r="AJ19" s="739">
        <f ca="1">IFERROR(OFFSET(DistanceToCamp[distance],MATCH(CampList[[#This Row],[CP_Pcode]],DistanceToCamp[CP_Pcode],0)-1,0,1,1),"")</f>
        <v>3.3602711423118103</v>
      </c>
      <c r="AK19" s="740">
        <f ca="1">IFERROR(INT(CampList[[#This Row],[Distance]]/5)+1,"")</f>
        <v>1</v>
      </c>
    </row>
    <row r="20" spans="1:37" s="511" customFormat="1" ht="15.6" customHeight="1" x14ac:dyDescent="0.25">
      <c r="A20" s="656" t="s">
        <v>501</v>
      </c>
      <c r="B20" s="406" t="s">
        <v>380</v>
      </c>
      <c r="C20" s="406" t="s">
        <v>526</v>
      </c>
      <c r="D20" s="406" t="s">
        <v>237</v>
      </c>
      <c r="E20" s="406" t="s">
        <v>532</v>
      </c>
      <c r="F20" s="406" t="s">
        <v>237</v>
      </c>
      <c r="G20" s="406" t="s">
        <v>536</v>
      </c>
      <c r="H20" s="728" t="s">
        <v>672</v>
      </c>
      <c r="I20" s="728" t="s">
        <v>673</v>
      </c>
      <c r="J20" s="751" t="s">
        <v>1403</v>
      </c>
      <c r="K20" s="751"/>
      <c r="L20" s="406" t="s">
        <v>259</v>
      </c>
      <c r="M20" s="406" t="s">
        <v>258</v>
      </c>
      <c r="N20" s="630">
        <v>97.4113064583333</v>
      </c>
      <c r="O20" s="630">
        <v>25.360463124999999</v>
      </c>
      <c r="P20" s="741">
        <v>0</v>
      </c>
      <c r="Q20" s="663">
        <v>60</v>
      </c>
      <c r="R20" s="663">
        <v>293</v>
      </c>
      <c r="S20" s="732">
        <f>IF(CampList[[#This Row],[HH]]&gt;0,CampList[[#This Row],[Total]]/CampList[[#This Row],[HH]],"NA")</f>
        <v>4.8833333333333337</v>
      </c>
      <c r="T20" s="722" t="s">
        <v>512</v>
      </c>
      <c r="U20" s="726" t="s">
        <v>1193</v>
      </c>
      <c r="V20" s="722" t="s">
        <v>555</v>
      </c>
      <c r="W20" s="726" t="s">
        <v>804</v>
      </c>
      <c r="X20" s="742">
        <v>40756</v>
      </c>
      <c r="Y20" s="743">
        <v>2</v>
      </c>
      <c r="Z20" s="742" t="s">
        <v>461</v>
      </c>
      <c r="AA20" s="735" t="s">
        <v>843</v>
      </c>
      <c r="AB20" s="736"/>
      <c r="AC20" s="744">
        <v>42569</v>
      </c>
      <c r="AD20" s="656" t="s">
        <v>1459</v>
      </c>
      <c r="AE20" s="759" t="s">
        <v>1095</v>
      </c>
      <c r="AF20" s="663">
        <f>IF(CampList[[#This Row],[Type of Accomodation]]="camp",MAX(0,CampList[[#This Row],[HH]]-SUMIF(Table_Shelter[Pcode],CampList[[#This Row],[CP_Pcode]],Table_Shelter[HH Covered])),0)</f>
        <v>40</v>
      </c>
      <c r="AG20" s="722"/>
      <c r="AH20" s="736">
        <f>MIN(CampList[[#This Row],[Shelter Gap]],CampList[[#This Row],[Land Status]])</f>
        <v>40</v>
      </c>
      <c r="AI20" s="722" t="str">
        <f ca="1">IFERROR(OFFSET(DistanceToCamp[Nearest Town],MATCH(CampList[[#This Row],[CP_Pcode]],DistanceToCamp[CP_Pcode],0)-1,0,1,1),"")</f>
        <v>Waingmaw Town</v>
      </c>
      <c r="AJ20" s="739">
        <f ca="1">IFERROR(OFFSET(DistanceToCamp[distance],MATCH(CampList[[#This Row],[CP_Pcode]],DistanceToCamp[CP_Pcode],0)-1,0,1,1),"")</f>
        <v>3.3362307375127798</v>
      </c>
      <c r="AK20" s="740">
        <f ca="1">IFERROR(INT(CampList[[#This Row],[Distance]]/5)+1,"")</f>
        <v>1</v>
      </c>
    </row>
    <row r="21" spans="1:37" s="511" customFormat="1" ht="15.6" hidden="1" customHeight="1" x14ac:dyDescent="0.25">
      <c r="A21" s="656" t="s">
        <v>844</v>
      </c>
      <c r="B21" s="406" t="s">
        <v>380</v>
      </c>
      <c r="C21" s="406" t="s">
        <v>526</v>
      </c>
      <c r="D21" s="406" t="s">
        <v>237</v>
      </c>
      <c r="E21" s="406" t="s">
        <v>532</v>
      </c>
      <c r="F21" s="406" t="s">
        <v>237</v>
      </c>
      <c r="G21" s="406" t="s">
        <v>536</v>
      </c>
      <c r="H21" s="728" t="s">
        <v>672</v>
      </c>
      <c r="I21" s="728" t="s">
        <v>673</v>
      </c>
      <c r="J21" s="728" t="s">
        <v>675</v>
      </c>
      <c r="K21" s="728" t="s">
        <v>676</v>
      </c>
      <c r="L21" s="406" t="s">
        <v>267</v>
      </c>
      <c r="M21" s="406" t="s">
        <v>266</v>
      </c>
      <c r="N21" s="630">
        <v>97.376671999999999</v>
      </c>
      <c r="O21" s="630">
        <v>25.387862999999999</v>
      </c>
      <c r="P21" s="741">
        <v>0</v>
      </c>
      <c r="Q21" s="730">
        <v>0</v>
      </c>
      <c r="R21" s="731">
        <v>0</v>
      </c>
      <c r="S21" s="732" t="str">
        <f>IF(CampList[[#This Row],[HH]]&gt;0,CampList[[#This Row],[Total]]/CampList[[#This Row],[HH]],"NA")</f>
        <v>NA</v>
      </c>
      <c r="T21" s="722" t="s">
        <v>512</v>
      </c>
      <c r="U21" s="726" t="s">
        <v>1193</v>
      </c>
      <c r="V21" s="722" t="s">
        <v>555</v>
      </c>
      <c r="W21" s="726" t="s">
        <v>804</v>
      </c>
      <c r="X21" s="742">
        <v>40817</v>
      </c>
      <c r="Y21" s="743">
        <v>1</v>
      </c>
      <c r="Z21" s="742" t="s">
        <v>506</v>
      </c>
      <c r="AA21" s="735" t="s">
        <v>843</v>
      </c>
      <c r="AB21" s="736"/>
      <c r="AC21" s="744">
        <v>42180</v>
      </c>
      <c r="AD21" s="656" t="s">
        <v>1264</v>
      </c>
      <c r="AE21" s="759" t="s">
        <v>1095</v>
      </c>
      <c r="AF21" s="663">
        <f>IF(CampList[[#This Row],[Type of Accomodation]]="camp",MAX(0,CampList[[#This Row],[HH]]-SUMIF(Table_Shelter[Pcode],CampList[[#This Row],[CP_Pcode]],Table_Shelter[HH Covered])),0)</f>
        <v>0</v>
      </c>
      <c r="AG21" s="722"/>
      <c r="AH21" s="736">
        <f>MIN(CampList[[#This Row],[Shelter Gap]],CampList[[#This Row],[Land Status]])</f>
        <v>0</v>
      </c>
      <c r="AI21" s="722" t="str">
        <f ca="1">IFERROR(OFFSET(DistanceToCamp[Nearest Town],MATCH(CampList[[#This Row],[CP_Pcode]],DistanceToCamp[CP_Pcode],0)-1,0,1,1),"")</f>
        <v>Myitkyina Town</v>
      </c>
      <c r="AJ21" s="739">
        <f ca="1">IFERROR(OFFSET(DistanceToCamp[distance],MATCH(CampList[[#This Row],[CP_Pcode]],DistanceToCamp[CP_Pcode],0)-1,0,1,1),"")</f>
        <v>1.3751794210741128</v>
      </c>
      <c r="AK21" s="740">
        <f ca="1">IFERROR(INT(CampList[[#This Row],[Distance]]/5)+1,"")</f>
        <v>1</v>
      </c>
    </row>
    <row r="22" spans="1:37" s="511" customFormat="1" ht="15.6" customHeight="1" x14ac:dyDescent="0.25">
      <c r="A22" s="656" t="s">
        <v>501</v>
      </c>
      <c r="B22" s="406" t="s">
        <v>380</v>
      </c>
      <c r="C22" s="406" t="s">
        <v>526</v>
      </c>
      <c r="D22" s="406" t="s">
        <v>237</v>
      </c>
      <c r="E22" s="406" t="s">
        <v>532</v>
      </c>
      <c r="F22" s="406" t="s">
        <v>237</v>
      </c>
      <c r="G22" s="406" t="s">
        <v>536</v>
      </c>
      <c r="H22" s="728" t="s">
        <v>672</v>
      </c>
      <c r="I22" s="728" t="s">
        <v>673</v>
      </c>
      <c r="J22" s="406" t="s">
        <v>674</v>
      </c>
      <c r="K22" s="406"/>
      <c r="L22" s="406" t="s">
        <v>253</v>
      </c>
      <c r="M22" s="406" t="s">
        <v>252</v>
      </c>
      <c r="N22" s="679">
        <v>97.373361000000003</v>
      </c>
      <c r="O22" s="679">
        <v>25.403476999999999</v>
      </c>
      <c r="P22" s="741">
        <v>0</v>
      </c>
      <c r="Q22" s="663">
        <v>198</v>
      </c>
      <c r="R22" s="663">
        <v>1084</v>
      </c>
      <c r="S22" s="732">
        <f>IF(CampList[[#This Row],[HH]]&gt;0,CampList[[#This Row],[Total]]/CampList[[#This Row],[HH]],"NA")</f>
        <v>5.4747474747474749</v>
      </c>
      <c r="T22" s="722" t="s">
        <v>512</v>
      </c>
      <c r="U22" s="726" t="s">
        <v>1193</v>
      </c>
      <c r="V22" s="722" t="s">
        <v>555</v>
      </c>
      <c r="W22" s="726" t="s">
        <v>804</v>
      </c>
      <c r="X22" s="742">
        <v>40725</v>
      </c>
      <c r="Y22" s="743">
        <v>2</v>
      </c>
      <c r="Z22" s="742" t="s">
        <v>461</v>
      </c>
      <c r="AA22" s="735" t="s">
        <v>843</v>
      </c>
      <c r="AB22" s="736"/>
      <c r="AC22" s="744">
        <v>42569</v>
      </c>
      <c r="AD22" s="656" t="s">
        <v>1460</v>
      </c>
      <c r="AE22" s="759" t="s">
        <v>1095</v>
      </c>
      <c r="AF22" s="663">
        <f>IF(CampList[[#This Row],[Type of Accomodation]]="camp",MAX(0,CampList[[#This Row],[HH]]-SUMIF(Table_Shelter[Pcode],CampList[[#This Row],[CP_Pcode]],Table_Shelter[HH Covered])),0)</f>
        <v>38</v>
      </c>
      <c r="AG22" s="722"/>
      <c r="AH22" s="736">
        <f>MIN(CampList[[#This Row],[Shelter Gap]],CampList[[#This Row],[Land Status]])</f>
        <v>38</v>
      </c>
      <c r="AI22" s="722" t="str">
        <f ca="1">IFERROR(OFFSET(DistanceToCamp[Nearest Town],MATCH(CampList[[#This Row],[CP_Pcode]],DistanceToCamp[CP_Pcode],0)-1,0,1,1),"")</f>
        <v>Myitkyina Town</v>
      </c>
      <c r="AJ22" s="739">
        <f ca="1">IFERROR(OFFSET(DistanceToCamp[distance],MATCH(CampList[[#This Row],[CP_Pcode]],DistanceToCamp[CP_Pcode],0)-1,0,1,1),"")</f>
        <v>2.4647367211404561</v>
      </c>
      <c r="AK22" s="740">
        <f ca="1">IFERROR(INT(CampList[[#This Row],[Distance]]/5)+1,"")</f>
        <v>1</v>
      </c>
    </row>
    <row r="23" spans="1:37" s="511" customFormat="1" ht="15.6" customHeight="1" x14ac:dyDescent="0.25">
      <c r="A23" s="756" t="s">
        <v>501</v>
      </c>
      <c r="B23" s="214" t="s">
        <v>380</v>
      </c>
      <c r="C23" s="214" t="s">
        <v>526</v>
      </c>
      <c r="D23" s="214" t="s">
        <v>237</v>
      </c>
      <c r="E23" s="214" t="s">
        <v>532</v>
      </c>
      <c r="F23" s="214" t="s">
        <v>237</v>
      </c>
      <c r="G23" s="214" t="s">
        <v>536</v>
      </c>
      <c r="H23" s="214" t="s">
        <v>672</v>
      </c>
      <c r="I23" s="757" t="s">
        <v>673</v>
      </c>
      <c r="J23" s="214" t="s">
        <v>674</v>
      </c>
      <c r="K23" s="214"/>
      <c r="L23" s="214" t="s">
        <v>255</v>
      </c>
      <c r="M23" s="214" t="s">
        <v>254</v>
      </c>
      <c r="N23" s="752">
        <v>97.379594999999995</v>
      </c>
      <c r="O23" s="752">
        <v>25.401061110000001</v>
      </c>
      <c r="P23" s="729"/>
      <c r="Q23" s="663">
        <v>101</v>
      </c>
      <c r="R23" s="755">
        <v>451</v>
      </c>
      <c r="S23" s="732">
        <f>IF(CampList[[#This Row],[HH]]&gt;0,CampList[[#This Row],[Total]]/CampList[[#This Row],[HH]],"NA")</f>
        <v>4.4653465346534658</v>
      </c>
      <c r="T23" s="663" t="s">
        <v>512</v>
      </c>
      <c r="U23" s="722" t="s">
        <v>1193</v>
      </c>
      <c r="V23" s="663" t="s">
        <v>555</v>
      </c>
      <c r="W23" s="663" t="s">
        <v>804</v>
      </c>
      <c r="X23" s="754">
        <v>40725</v>
      </c>
      <c r="Y23" s="729">
        <v>3</v>
      </c>
      <c r="Z23" s="729" t="s">
        <v>1092</v>
      </c>
      <c r="AA23" s="752" t="s">
        <v>843</v>
      </c>
      <c r="AB23" s="752"/>
      <c r="AC23" s="744">
        <v>42565</v>
      </c>
      <c r="AD23" s="758" t="s">
        <v>1435</v>
      </c>
      <c r="AE23" s="759" t="s">
        <v>1095</v>
      </c>
      <c r="AF23" s="760">
        <f>IF(CampList[[#This Row],[Type of Accomodation]]="camp",MAX(0,CampList[[#This Row],[HH]]-SUMIF(Table_Shelter[Pcode],CampList[[#This Row],[CP_Pcode]],Table_Shelter[HH Covered])),0)</f>
        <v>21</v>
      </c>
      <c r="AG23" s="663"/>
      <c r="AH23" s="741">
        <f>MIN(CampList[[#This Row],[Shelter Gap]],CampList[[#This Row],[Land Status]])</f>
        <v>21</v>
      </c>
      <c r="AI23" s="760" t="str">
        <f ca="1">IFERROR(OFFSET(DistanceToCamp[Nearest Town],MATCH(CampList[[#This Row],[CP_Pcode]],DistanceToCamp[CP_Pcode],0)-1,0,1,1),"")</f>
        <v>Myitkyina Town</v>
      </c>
      <c r="AJ23" s="739">
        <f ca="1">IFERROR(OFFSET(DistanceToCamp[distance],MATCH(CampList[[#This Row],[CP_Pcode]],DistanceToCamp[CP_Pcode],0)-1,0,1,1),"")</f>
        <v>1.8563710010113432</v>
      </c>
      <c r="AK23" s="761">
        <f ca="1">IFERROR(INT(CampList[[#This Row],[Distance]]/5)+1,"")</f>
        <v>1</v>
      </c>
    </row>
    <row r="24" spans="1:37" s="511" customFormat="1" ht="15.6" customHeight="1" x14ac:dyDescent="0.25">
      <c r="A24" s="656" t="s">
        <v>501</v>
      </c>
      <c r="B24" s="406" t="s">
        <v>554</v>
      </c>
      <c r="C24" s="406" t="s">
        <v>537</v>
      </c>
      <c r="D24" s="406" t="s">
        <v>230</v>
      </c>
      <c r="E24" s="406" t="s">
        <v>538</v>
      </c>
      <c r="F24" s="406" t="s">
        <v>289</v>
      </c>
      <c r="G24" s="406" t="s">
        <v>550</v>
      </c>
      <c r="H24" s="406" t="s">
        <v>752</v>
      </c>
      <c r="I24" s="406" t="s">
        <v>753</v>
      </c>
      <c r="J24" s="406" t="s">
        <v>752</v>
      </c>
      <c r="K24" s="406">
        <v>208353</v>
      </c>
      <c r="L24" s="406" t="s">
        <v>290</v>
      </c>
      <c r="M24" s="406" t="s">
        <v>288</v>
      </c>
      <c r="N24" s="630">
        <v>97.669557999999995</v>
      </c>
      <c r="O24" s="630">
        <v>23.828520000000001</v>
      </c>
      <c r="P24" s="741">
        <v>740</v>
      </c>
      <c r="Q24" s="663">
        <v>68</v>
      </c>
      <c r="R24" s="663">
        <v>380</v>
      </c>
      <c r="S24" s="732">
        <f>IF(CampList[[#This Row],[HH]]&gt;0,CampList[[#This Row],[Total]]/CampList[[#This Row],[HH]],"NA")</f>
        <v>5.5882352941176467</v>
      </c>
      <c r="T24" s="722" t="s">
        <v>512</v>
      </c>
      <c r="U24" s="726" t="s">
        <v>1193</v>
      </c>
      <c r="V24" s="722" t="s">
        <v>555</v>
      </c>
      <c r="W24" s="726" t="s">
        <v>804</v>
      </c>
      <c r="X24" s="742">
        <v>40878</v>
      </c>
      <c r="Y24" s="743">
        <v>2</v>
      </c>
      <c r="Z24" s="742" t="s">
        <v>461</v>
      </c>
      <c r="AA24" s="735" t="s">
        <v>843</v>
      </c>
      <c r="AB24" s="736"/>
      <c r="AC24" s="744">
        <v>42569</v>
      </c>
      <c r="AD24" s="728" t="s">
        <v>1485</v>
      </c>
      <c r="AE24" s="759" t="s">
        <v>1081</v>
      </c>
      <c r="AF24" s="663">
        <f>IF(CampList[[#This Row],[Type of Accomodation]]="camp",MAX(0,CampList[[#This Row],[HH]]-SUMIF(Table_Shelter[Pcode],CampList[[#This Row],[CP_Pcode]],Table_Shelter[HH Covered])),0)</f>
        <v>38</v>
      </c>
      <c r="AG24" s="722"/>
      <c r="AH24" s="736">
        <f>MIN(CampList[[#This Row],[Shelter Gap]],CampList[[#This Row],[Land Status]])</f>
        <v>38</v>
      </c>
      <c r="AI24" s="722" t="str">
        <f ca="1">IFERROR(OFFSET(DistanceToCamp[Nearest Town],MATCH(CampList[[#This Row],[CP_Pcode]],DistanceToCamp[CP_Pcode],0)-1,0,1,1),"")</f>
        <v>Namhkan Town</v>
      </c>
      <c r="AJ24" s="739">
        <f ca="1">IFERROR(OFFSET(DistanceToCamp[distance],MATCH(CampList[[#This Row],[CP_Pcode]],DistanceToCamp[CP_Pcode],0)-1,0,1,1),"")</f>
        <v>1.5619149693996526</v>
      </c>
      <c r="AK24" s="740">
        <f ca="1">IFERROR(INT(CampList[[#This Row],[Distance]]/5)+1,"")</f>
        <v>1</v>
      </c>
    </row>
    <row r="25" spans="1:37" s="511" customFormat="1" ht="15.6" customHeight="1" x14ac:dyDescent="0.25">
      <c r="A25" s="656" t="s">
        <v>501</v>
      </c>
      <c r="B25" s="406" t="s">
        <v>380</v>
      </c>
      <c r="C25" s="406" t="s">
        <v>526</v>
      </c>
      <c r="D25" s="406" t="s">
        <v>237</v>
      </c>
      <c r="E25" s="406" t="s">
        <v>532</v>
      </c>
      <c r="F25" s="406" t="s">
        <v>237</v>
      </c>
      <c r="G25" s="406" t="s">
        <v>536</v>
      </c>
      <c r="H25" s="728" t="s">
        <v>649</v>
      </c>
      <c r="I25" s="728" t="s">
        <v>650</v>
      </c>
      <c r="J25" s="728" t="s">
        <v>649</v>
      </c>
      <c r="K25" s="728">
        <v>165698</v>
      </c>
      <c r="L25" s="406" t="s">
        <v>263</v>
      </c>
      <c r="M25" s="406" t="s">
        <v>262</v>
      </c>
      <c r="N25" s="630">
        <v>97.2843958974359</v>
      </c>
      <c r="O25" s="630">
        <v>25.374343974359</v>
      </c>
      <c r="P25" s="747">
        <v>0</v>
      </c>
      <c r="Q25" s="762">
        <v>21</v>
      </c>
      <c r="R25" s="663">
        <v>97</v>
      </c>
      <c r="S25" s="732">
        <f>IF(CampList[[#This Row],[HH]]&gt;0,CampList[[#This Row],[Total]]/CampList[[#This Row],[HH]],"NA")</f>
        <v>4.6190476190476186</v>
      </c>
      <c r="T25" s="722" t="s">
        <v>512</v>
      </c>
      <c r="U25" s="726" t="s">
        <v>1193</v>
      </c>
      <c r="V25" s="722" t="s">
        <v>555</v>
      </c>
      <c r="W25" s="726" t="s">
        <v>857</v>
      </c>
      <c r="X25" s="742">
        <v>40817</v>
      </c>
      <c r="Y25" s="743">
        <v>1</v>
      </c>
      <c r="Z25" s="742" t="s">
        <v>506</v>
      </c>
      <c r="AA25" s="735" t="s">
        <v>843</v>
      </c>
      <c r="AB25" s="736"/>
      <c r="AC25" s="744">
        <v>42571</v>
      </c>
      <c r="AD25" s="656" t="s">
        <v>1510</v>
      </c>
      <c r="AE25" s="759" t="s">
        <v>1095</v>
      </c>
      <c r="AF25" s="663">
        <f>IF(CampList[[#This Row],[Type of Accomodation]]="camp",MAX(0,CampList[[#This Row],[HH]]-SUMIF(Table_Shelter[Pcode],CampList[[#This Row],[CP_Pcode]],Table_Shelter[HH Covered])),0)</f>
        <v>0</v>
      </c>
      <c r="AG25" s="722"/>
      <c r="AH25" s="736">
        <f>MIN(CampList[[#This Row],[Shelter Gap]],CampList[[#This Row],[Land Status]])</f>
        <v>0</v>
      </c>
      <c r="AI25" s="722" t="str">
        <f ca="1">IFERROR(OFFSET(DistanceToCamp[Nearest Town],MATCH(CampList[[#This Row],[CP_Pcode]],DistanceToCamp[CP_Pcode],0)-1,0,1,1),"")</f>
        <v>Myitkyina Town</v>
      </c>
      <c r="AJ25" s="739">
        <f ca="1">IFERROR(OFFSET(DistanceToCamp[distance],MATCH(CampList[[#This Row],[CP_Pcode]],DistanceToCamp[CP_Pcode],0)-1,0,1,1),"")</f>
        <v>10.744749696609457</v>
      </c>
      <c r="AK25" s="740">
        <f ca="1">IFERROR(INT(CampList[[#This Row],[Distance]]/5)+1,"")</f>
        <v>3</v>
      </c>
    </row>
    <row r="26" spans="1:37" s="511" customFormat="1" ht="15.6" customHeight="1" x14ac:dyDescent="0.25">
      <c r="A26" s="656" t="s">
        <v>501</v>
      </c>
      <c r="B26" s="406" t="s">
        <v>380</v>
      </c>
      <c r="C26" s="406" t="s">
        <v>526</v>
      </c>
      <c r="D26" s="406" t="s">
        <v>237</v>
      </c>
      <c r="E26" s="406" t="s">
        <v>532</v>
      </c>
      <c r="F26" s="406" t="s">
        <v>237</v>
      </c>
      <c r="G26" s="406" t="s">
        <v>536</v>
      </c>
      <c r="H26" s="728" t="s">
        <v>649</v>
      </c>
      <c r="I26" s="728" t="s">
        <v>650</v>
      </c>
      <c r="J26" s="728" t="s">
        <v>649</v>
      </c>
      <c r="K26" s="728">
        <v>165698</v>
      </c>
      <c r="L26" s="406" t="s">
        <v>265</v>
      </c>
      <c r="M26" s="406" t="s">
        <v>264</v>
      </c>
      <c r="N26" s="630">
        <v>97.290952037037002</v>
      </c>
      <c r="O26" s="630">
        <v>25.371049444444399</v>
      </c>
      <c r="P26" s="747">
        <v>476</v>
      </c>
      <c r="Q26" s="762">
        <v>14</v>
      </c>
      <c r="R26" s="663">
        <v>71</v>
      </c>
      <c r="S26" s="732">
        <f>IF(CampList[[#This Row],[HH]]&gt;0,CampList[[#This Row],[Total]]/CampList[[#This Row],[HH]],"NA")</f>
        <v>5.0714285714285712</v>
      </c>
      <c r="T26" s="722" t="s">
        <v>512</v>
      </c>
      <c r="U26" s="726" t="s">
        <v>1193</v>
      </c>
      <c r="V26" s="722" t="s">
        <v>555</v>
      </c>
      <c r="W26" s="726" t="s">
        <v>857</v>
      </c>
      <c r="X26" s="742">
        <v>40817</v>
      </c>
      <c r="Y26" s="743">
        <v>1</v>
      </c>
      <c r="Z26" s="742" t="s">
        <v>506</v>
      </c>
      <c r="AA26" s="735" t="s">
        <v>843</v>
      </c>
      <c r="AB26" s="736"/>
      <c r="AC26" s="744">
        <v>42571</v>
      </c>
      <c r="AD26" s="656" t="s">
        <v>1511</v>
      </c>
      <c r="AE26" s="759" t="s">
        <v>1095</v>
      </c>
      <c r="AF26" s="663">
        <f>IF(CampList[[#This Row],[Type of Accomodation]]="camp",MAX(0,CampList[[#This Row],[HH]]-SUMIF(Table_Shelter[Pcode],CampList[[#This Row],[CP_Pcode]],Table_Shelter[HH Covered])),0)</f>
        <v>0</v>
      </c>
      <c r="AG26" s="722"/>
      <c r="AH26" s="736">
        <f>MIN(CampList[[#This Row],[Shelter Gap]],CampList[[#This Row],[Land Status]])</f>
        <v>0</v>
      </c>
      <c r="AI26" s="722" t="str">
        <f ca="1">IFERROR(OFFSET(DistanceToCamp[Nearest Town],MATCH(CampList[[#This Row],[CP_Pcode]],DistanceToCamp[CP_Pcode],0)-1,0,1,1),"")</f>
        <v>Myitkyina Town</v>
      </c>
      <c r="AJ26" s="739">
        <f ca="1">IFERROR(OFFSET(DistanceToCamp[distance],MATCH(CampList[[#This Row],[CP_Pcode]],DistanceToCamp[CP_Pcode],0)-1,0,1,1),"")</f>
        <v>10.15228229456989</v>
      </c>
      <c r="AK26" s="740">
        <f ca="1">IFERROR(INT(CampList[[#This Row],[Distance]]/5)+1,"")</f>
        <v>3</v>
      </c>
    </row>
    <row r="27" spans="1:37" s="511" customFormat="1" ht="15.6" customHeight="1" x14ac:dyDescent="0.25">
      <c r="A27" s="656" t="s">
        <v>501</v>
      </c>
      <c r="B27" s="406" t="s">
        <v>380</v>
      </c>
      <c r="C27" s="406" t="s">
        <v>526</v>
      </c>
      <c r="D27" s="406" t="s">
        <v>237</v>
      </c>
      <c r="E27" s="406" t="s">
        <v>532</v>
      </c>
      <c r="F27" s="406" t="s">
        <v>237</v>
      </c>
      <c r="G27" s="406" t="s">
        <v>536</v>
      </c>
      <c r="H27" s="406" t="s">
        <v>672</v>
      </c>
      <c r="I27" s="406" t="s">
        <v>673</v>
      </c>
      <c r="J27" s="406" t="s">
        <v>684</v>
      </c>
      <c r="K27" s="406" t="s">
        <v>685</v>
      </c>
      <c r="L27" s="406" t="s">
        <v>283</v>
      </c>
      <c r="M27" s="406" t="s">
        <v>282</v>
      </c>
      <c r="N27" s="630">
        <v>97.403878500000005</v>
      </c>
      <c r="O27" s="630">
        <v>25.377038166666701</v>
      </c>
      <c r="P27" s="741">
        <v>0</v>
      </c>
      <c r="Q27" s="762">
        <v>7</v>
      </c>
      <c r="R27" s="663">
        <v>37</v>
      </c>
      <c r="S27" s="732">
        <f>IF(CampList[[#This Row],[HH]]&gt;0,CampList[[#This Row],[Total]]/CampList[[#This Row],[HH]],"NA")</f>
        <v>5.2857142857142856</v>
      </c>
      <c r="T27" s="722" t="s">
        <v>512</v>
      </c>
      <c r="U27" s="726" t="s">
        <v>1193</v>
      </c>
      <c r="V27" s="722" t="s">
        <v>555</v>
      </c>
      <c r="W27" s="722" t="s">
        <v>804</v>
      </c>
      <c r="X27" s="742">
        <v>41000</v>
      </c>
      <c r="Y27" s="743">
        <v>1</v>
      </c>
      <c r="Z27" s="742" t="s">
        <v>506</v>
      </c>
      <c r="AA27" s="736" t="s">
        <v>843</v>
      </c>
      <c r="AB27" s="736"/>
      <c r="AC27" s="744">
        <v>42571</v>
      </c>
      <c r="AD27" s="728" t="s">
        <v>1523</v>
      </c>
      <c r="AE27" s="759" t="s">
        <v>1095</v>
      </c>
      <c r="AF27" s="663">
        <f>IF(CampList[[#This Row],[Type of Accomodation]]="camp",MAX(0,CampList[[#This Row],[HH]]-SUMIF(Table_Shelter[Pcode],CampList[[#This Row],[CP_Pcode]],Table_Shelter[HH Covered])),0)</f>
        <v>0</v>
      </c>
      <c r="AG27" s="722"/>
      <c r="AH27" s="736">
        <f>MIN(CampList[[#This Row],[Shelter Gap]],CampList[[#This Row],[Land Status]])</f>
        <v>0</v>
      </c>
      <c r="AI27" s="722" t="str">
        <f ca="1">IFERROR(OFFSET(DistanceToCamp[Nearest Town],MATCH(CampList[[#This Row],[CP_Pcode]],DistanceToCamp[CP_Pcode],0)-1,0,1,1),"")</f>
        <v>Myitkyina Town</v>
      </c>
      <c r="AJ27" s="739">
        <f ca="1">IFERROR(OFFSET(DistanceToCamp[distance],MATCH(CampList[[#This Row],[CP_Pcode]],DistanceToCamp[CP_Pcode],0)-1,0,1,1),"")</f>
        <v>1.7877148351104664</v>
      </c>
      <c r="AK27" s="740">
        <f ca="1">IFERROR(INT(CampList[[#This Row],[Distance]]/5)+1,"")</f>
        <v>1</v>
      </c>
    </row>
    <row r="28" spans="1:37" s="511" customFormat="1" ht="15.6" customHeight="1" x14ac:dyDescent="0.25">
      <c r="A28" s="656" t="s">
        <v>501</v>
      </c>
      <c r="B28" s="406" t="s">
        <v>380</v>
      </c>
      <c r="C28" s="406" t="s">
        <v>526</v>
      </c>
      <c r="D28" s="406" t="s">
        <v>237</v>
      </c>
      <c r="E28" s="406" t="s">
        <v>532</v>
      </c>
      <c r="F28" s="406" t="s">
        <v>237</v>
      </c>
      <c r="G28" s="406" t="s">
        <v>536</v>
      </c>
      <c r="H28" s="406" t="s">
        <v>672</v>
      </c>
      <c r="I28" s="406" t="s">
        <v>673</v>
      </c>
      <c r="J28" s="406" t="s">
        <v>677</v>
      </c>
      <c r="K28" s="406" t="s">
        <v>678</v>
      </c>
      <c r="L28" s="406" t="s">
        <v>1247</v>
      </c>
      <c r="M28" s="406" t="s">
        <v>241</v>
      </c>
      <c r="N28" s="630" t="s">
        <v>1448</v>
      </c>
      <c r="O28" s="630" t="s">
        <v>1449</v>
      </c>
      <c r="P28" s="741">
        <v>0</v>
      </c>
      <c r="Q28" s="762">
        <v>54</v>
      </c>
      <c r="R28" s="663">
        <v>258</v>
      </c>
      <c r="S28" s="732">
        <f>IF(CampList[[#This Row],[HH]]&gt;0,CampList[[#This Row],[Total]]/CampList[[#This Row],[HH]],"NA")</f>
        <v>4.7777777777777777</v>
      </c>
      <c r="T28" s="722" t="s">
        <v>512</v>
      </c>
      <c r="U28" s="726" t="s">
        <v>1193</v>
      </c>
      <c r="V28" s="722" t="s">
        <v>555</v>
      </c>
      <c r="W28" s="726" t="s">
        <v>804</v>
      </c>
      <c r="X28" s="742">
        <v>41000</v>
      </c>
      <c r="Y28" s="743">
        <v>1</v>
      </c>
      <c r="Z28" s="742" t="s">
        <v>506</v>
      </c>
      <c r="AA28" s="736" t="s">
        <v>843</v>
      </c>
      <c r="AB28" s="736"/>
      <c r="AC28" s="744">
        <v>42571</v>
      </c>
      <c r="AD28" s="728" t="s">
        <v>1521</v>
      </c>
      <c r="AE28" s="759" t="s">
        <v>1095</v>
      </c>
      <c r="AF28" s="663">
        <f>IF(CampList[[#This Row],[Type of Accomodation]]="camp",MAX(0,CampList[[#This Row],[HH]]-SUMIF(Table_Shelter[Pcode],CampList[[#This Row],[CP_Pcode]],Table_Shelter[HH Covered])),0)</f>
        <v>0</v>
      </c>
      <c r="AG28" s="722"/>
      <c r="AH28" s="736">
        <f>MIN(CampList[[#This Row],[Shelter Gap]],CampList[[#This Row],[Land Status]])</f>
        <v>0</v>
      </c>
      <c r="AI28" s="722" t="str">
        <f ca="1">IFERROR(OFFSET(DistanceToCamp[Nearest Town],MATCH(CampList[[#This Row],[CP_Pcode]],DistanceToCamp[CP_Pcode],0)-1,0,1,1),"")</f>
        <v>Myitkyina Town</v>
      </c>
      <c r="AJ28" s="739">
        <f ca="1">IFERROR(OFFSET(DistanceToCamp[distance],MATCH(CampList[[#This Row],[CP_Pcode]],DistanceToCamp[CP_Pcode],0)-1,0,1,1),"")</f>
        <v>2.6190942927115026</v>
      </c>
      <c r="AK28" s="740">
        <f ca="1">IFERROR(INT(CampList[[#This Row],[Distance]]/5)+1,"")</f>
        <v>1</v>
      </c>
    </row>
    <row r="29" spans="1:37" s="511" customFormat="1" ht="15.6" customHeight="1" x14ac:dyDescent="0.25">
      <c r="A29" s="756" t="s">
        <v>501</v>
      </c>
      <c r="B29" s="214" t="s">
        <v>380</v>
      </c>
      <c r="C29" s="214" t="s">
        <v>526</v>
      </c>
      <c r="D29" s="214" t="s">
        <v>237</v>
      </c>
      <c r="E29" s="214" t="s">
        <v>532</v>
      </c>
      <c r="F29" s="214" t="s">
        <v>237</v>
      </c>
      <c r="G29" s="214" t="s">
        <v>536</v>
      </c>
      <c r="H29" s="214" t="s">
        <v>670</v>
      </c>
      <c r="I29" s="757" t="s">
        <v>671</v>
      </c>
      <c r="J29" s="214" t="s">
        <v>670</v>
      </c>
      <c r="K29" s="214">
        <v>165695</v>
      </c>
      <c r="L29" s="214" t="s">
        <v>271</v>
      </c>
      <c r="M29" s="214" t="s">
        <v>270</v>
      </c>
      <c r="N29" s="752">
        <v>97.359320179999997</v>
      </c>
      <c r="O29" s="752">
        <v>25.410569299999999</v>
      </c>
      <c r="P29" s="729"/>
      <c r="Q29" s="663">
        <v>68</v>
      </c>
      <c r="R29" s="755">
        <v>333</v>
      </c>
      <c r="S29" s="732">
        <f>IF(CampList[[#This Row],[HH]]&gt;0,CampList[[#This Row],[Total]]/CampList[[#This Row],[HH]],"NA")</f>
        <v>4.8970588235294121</v>
      </c>
      <c r="T29" s="663" t="s">
        <v>512</v>
      </c>
      <c r="U29" s="722" t="s">
        <v>1193</v>
      </c>
      <c r="V29" s="663" t="s">
        <v>555</v>
      </c>
      <c r="W29" s="663" t="s">
        <v>804</v>
      </c>
      <c r="X29" s="754">
        <v>40909</v>
      </c>
      <c r="Y29" s="729"/>
      <c r="Z29" s="729" t="s">
        <v>1092</v>
      </c>
      <c r="AA29" s="752" t="s">
        <v>843</v>
      </c>
      <c r="AB29" s="752"/>
      <c r="AC29" s="744">
        <v>42565</v>
      </c>
      <c r="AD29" s="758" t="s">
        <v>1434</v>
      </c>
      <c r="AE29" s="759" t="s">
        <v>1095</v>
      </c>
      <c r="AF29" s="760">
        <f>IF(CampList[[#This Row],[Type of Accomodation]]="camp",MAX(0,CampList[[#This Row],[HH]]-SUMIF(Table_Shelter[Pcode],CampList[[#This Row],[CP_Pcode]],Table_Shelter[HH Covered])),0)</f>
        <v>1</v>
      </c>
      <c r="AG29" s="663"/>
      <c r="AH29" s="741">
        <f>MIN(CampList[[#This Row],[Shelter Gap]],CampList[[#This Row],[Land Status]])</f>
        <v>1</v>
      </c>
      <c r="AI29" s="760" t="str">
        <f ca="1">IFERROR(OFFSET(DistanceToCamp[Nearest Town],MATCH(CampList[[#This Row],[CP_Pcode]],DistanceToCamp[CP_Pcode],0)-1,0,1,1),"")</f>
        <v>Myitkyina Town</v>
      </c>
      <c r="AJ29" s="739">
        <f ca="1">IFERROR(OFFSET(DistanceToCamp[distance],MATCH(CampList[[#This Row],[CP_Pcode]],DistanceToCamp[CP_Pcode],0)-1,0,1,1),"")</f>
        <v>4.037940696665812</v>
      </c>
      <c r="AK29" s="761">
        <f ca="1">IFERROR(INT(CampList[[#This Row],[Distance]]/5)+1,"")</f>
        <v>1</v>
      </c>
    </row>
    <row r="30" spans="1:37" s="511" customFormat="1" ht="15.6" customHeight="1" x14ac:dyDescent="0.25">
      <c r="A30" s="764" t="s">
        <v>501</v>
      </c>
      <c r="B30" s="406" t="s">
        <v>380</v>
      </c>
      <c r="C30" s="406" t="s">
        <v>526</v>
      </c>
      <c r="D30" s="406" t="s">
        <v>237</v>
      </c>
      <c r="E30" s="406" t="s">
        <v>532</v>
      </c>
      <c r="F30" s="406" t="s">
        <v>310</v>
      </c>
      <c r="G30" s="406" t="s">
        <v>533</v>
      </c>
      <c r="H30" s="406" t="s">
        <v>696</v>
      </c>
      <c r="I30" s="406" t="s">
        <v>697</v>
      </c>
      <c r="J30" s="406" t="s">
        <v>717</v>
      </c>
      <c r="K30" s="406" t="s">
        <v>718</v>
      </c>
      <c r="L30" s="406" t="s">
        <v>342</v>
      </c>
      <c r="M30" s="406" t="s">
        <v>341</v>
      </c>
      <c r="N30" s="630">
        <v>97.438432380952406</v>
      </c>
      <c r="O30" s="630">
        <v>25.351724999999998</v>
      </c>
      <c r="P30" s="741">
        <v>0</v>
      </c>
      <c r="Q30" s="663">
        <v>65</v>
      </c>
      <c r="R30" s="664">
        <v>328</v>
      </c>
      <c r="S30" s="732">
        <f>IF(CampList[[#This Row],[HH]]&gt;0,CampList[[#This Row],[Total]]/CampList[[#This Row],[HH]],"NA")</f>
        <v>5.046153846153846</v>
      </c>
      <c r="T30" s="722" t="s">
        <v>512</v>
      </c>
      <c r="U30" s="726" t="s">
        <v>1193</v>
      </c>
      <c r="V30" s="722" t="s">
        <v>555</v>
      </c>
      <c r="W30" s="726" t="s">
        <v>804</v>
      </c>
      <c r="X30" s="742">
        <v>40695</v>
      </c>
      <c r="Y30" s="743">
        <v>2</v>
      </c>
      <c r="Z30" s="742" t="s">
        <v>461</v>
      </c>
      <c r="AA30" s="736" t="s">
        <v>843</v>
      </c>
      <c r="AB30" s="736"/>
      <c r="AC30" s="744">
        <v>42569</v>
      </c>
      <c r="AD30" s="728" t="s">
        <v>1461</v>
      </c>
      <c r="AE30" s="759" t="s">
        <v>1095</v>
      </c>
      <c r="AF30" s="663">
        <f>IF(CampList[[#This Row],[Type of Accomodation]]="camp",MAX(0,CampList[[#This Row],[HH]]-SUMIF(Table_Shelter[Pcode],CampList[[#This Row],[CP_Pcode]],Table_Shelter[HH Covered])),0)</f>
        <v>27</v>
      </c>
      <c r="AG30" s="663"/>
      <c r="AH30" s="736">
        <f>MIN(CampList[[#This Row],[Shelter Gap]],CampList[[#This Row],[Land Status]])</f>
        <v>27</v>
      </c>
      <c r="AI30" s="722" t="str">
        <f ca="1">IFERROR(OFFSET(DistanceToCamp[Nearest Town],MATCH(CampList[[#This Row],[CP_Pcode]],DistanceToCamp[CP_Pcode],0)-1,0,1,1),"")</f>
        <v>Waingmaw Town</v>
      </c>
      <c r="AJ30" s="739">
        <f ca="1">IFERROR(OFFSET(DistanceToCamp[distance],MATCH(CampList[[#This Row],[CP_Pcode]],DistanceToCamp[CP_Pcode],0)-1,0,1,1),"")</f>
        <v>0.4474205416025816</v>
      </c>
      <c r="AK30" s="740">
        <f ca="1">IFERROR(INT(CampList[[#This Row],[Distance]]/5)+1,"")</f>
        <v>1</v>
      </c>
    </row>
    <row r="31" spans="1:37" s="511" customFormat="1" ht="15.6" customHeight="1" x14ac:dyDescent="0.25">
      <c r="A31" s="764" t="s">
        <v>501</v>
      </c>
      <c r="B31" s="406" t="s">
        <v>380</v>
      </c>
      <c r="C31" s="406" t="s">
        <v>526</v>
      </c>
      <c r="D31" s="406" t="s">
        <v>237</v>
      </c>
      <c r="E31" s="406" t="s">
        <v>532</v>
      </c>
      <c r="F31" s="406" t="s">
        <v>310</v>
      </c>
      <c r="G31" s="406" t="s">
        <v>533</v>
      </c>
      <c r="H31" s="406" t="s">
        <v>696</v>
      </c>
      <c r="I31" s="406" t="s">
        <v>697</v>
      </c>
      <c r="J31" s="406" t="s">
        <v>698</v>
      </c>
      <c r="K31" s="406" t="s">
        <v>699</v>
      </c>
      <c r="L31" s="406" t="s">
        <v>351</v>
      </c>
      <c r="M31" s="406" t="s">
        <v>350</v>
      </c>
      <c r="N31" s="630">
        <v>97.432495000000003</v>
      </c>
      <c r="O31" s="630">
        <v>25.350809000000002</v>
      </c>
      <c r="P31" s="747">
        <v>0</v>
      </c>
      <c r="Q31" s="762">
        <v>88</v>
      </c>
      <c r="R31" s="663">
        <v>482</v>
      </c>
      <c r="S31" s="732">
        <f>IF(CampList[[#This Row],[HH]]&gt;0,CampList[[#This Row],[Total]]/CampList[[#This Row],[HH]],"NA")</f>
        <v>5.4772727272727275</v>
      </c>
      <c r="T31" s="722" t="s">
        <v>512</v>
      </c>
      <c r="U31" s="726" t="s">
        <v>1193</v>
      </c>
      <c r="V31" s="722" t="s">
        <v>555</v>
      </c>
      <c r="W31" s="726" t="s">
        <v>804</v>
      </c>
      <c r="X31" s="742">
        <v>40940</v>
      </c>
      <c r="Y31" s="743">
        <v>1</v>
      </c>
      <c r="Z31" s="742" t="s">
        <v>506</v>
      </c>
      <c r="AA31" s="736" t="s">
        <v>843</v>
      </c>
      <c r="AB31" s="736"/>
      <c r="AC31" s="744">
        <v>42571</v>
      </c>
      <c r="AD31" s="728" t="s">
        <v>1517</v>
      </c>
      <c r="AE31" s="759" t="s">
        <v>1095</v>
      </c>
      <c r="AF31" s="663">
        <f>IF(CampList[[#This Row],[Type of Accomodation]]="camp",MAX(0,CampList[[#This Row],[HH]]-SUMIF(Table_Shelter[Pcode],CampList[[#This Row],[CP_Pcode]],Table_Shelter[HH Covered])),0)</f>
        <v>0</v>
      </c>
      <c r="AG31" s="663"/>
      <c r="AH31" s="736">
        <f>MIN(CampList[[#This Row],[Shelter Gap]],CampList[[#This Row],[Land Status]])</f>
        <v>0</v>
      </c>
      <c r="AI31" s="722" t="str">
        <f ca="1">IFERROR(OFFSET(DistanceToCamp[Nearest Town],MATCH(CampList[[#This Row],[CP_Pcode]],DistanceToCamp[CP_Pcode],0)-1,0,1,1),"")</f>
        <v>Waingmaw Town</v>
      </c>
      <c r="AJ31" s="739">
        <f ca="1">IFERROR(OFFSET(DistanceToCamp[distance],MATCH(CampList[[#This Row],[CP_Pcode]],DistanceToCamp[CP_Pcode],0)-1,0,1,1),"")</f>
        <v>1.0367202051285227</v>
      </c>
      <c r="AK31" s="740">
        <f ca="1">IFERROR(INT(CampList[[#This Row],[Distance]]/5)+1,"")</f>
        <v>1</v>
      </c>
    </row>
    <row r="32" spans="1:37" s="511" customFormat="1" ht="15.6" customHeight="1" x14ac:dyDescent="0.25">
      <c r="A32" s="764" t="s">
        <v>501</v>
      </c>
      <c r="B32" s="406" t="s">
        <v>380</v>
      </c>
      <c r="C32" s="406" t="s">
        <v>526</v>
      </c>
      <c r="D32" s="406" t="s">
        <v>237</v>
      </c>
      <c r="E32" s="406" t="s">
        <v>532</v>
      </c>
      <c r="F32" s="406" t="s">
        <v>310</v>
      </c>
      <c r="G32" s="406" t="s">
        <v>533</v>
      </c>
      <c r="H32" s="406" t="s">
        <v>720</v>
      </c>
      <c r="I32" s="406" t="s">
        <v>721</v>
      </c>
      <c r="J32" s="406" t="s">
        <v>722</v>
      </c>
      <c r="K32" s="406">
        <v>165730</v>
      </c>
      <c r="L32" s="406" t="s">
        <v>320</v>
      </c>
      <c r="M32" s="406" t="s">
        <v>319</v>
      </c>
      <c r="N32" s="630">
        <v>97.451965000000001</v>
      </c>
      <c r="O32" s="630">
        <v>25.356632000000001</v>
      </c>
      <c r="P32" s="741">
        <v>0</v>
      </c>
      <c r="Q32" s="663">
        <v>22</v>
      </c>
      <c r="R32" s="664">
        <v>128</v>
      </c>
      <c r="S32" s="732">
        <f>IF(CampList[[#This Row],[HH]]&gt;0,CampList[[#This Row],[Total]]/CampList[[#This Row],[HH]],"NA")</f>
        <v>5.8181818181818183</v>
      </c>
      <c r="T32" s="722" t="s">
        <v>512</v>
      </c>
      <c r="U32" s="726" t="s">
        <v>1193</v>
      </c>
      <c r="V32" s="722" t="s">
        <v>555</v>
      </c>
      <c r="W32" s="722" t="s">
        <v>804</v>
      </c>
      <c r="X32" s="742">
        <v>41030</v>
      </c>
      <c r="Y32" s="743">
        <v>1</v>
      </c>
      <c r="Z32" s="742" t="s">
        <v>461</v>
      </c>
      <c r="AA32" s="735" t="s">
        <v>843</v>
      </c>
      <c r="AB32" s="736"/>
      <c r="AC32" s="744">
        <v>42569</v>
      </c>
      <c r="AD32" s="656" t="s">
        <v>1462</v>
      </c>
      <c r="AE32" s="759" t="s">
        <v>1095</v>
      </c>
      <c r="AF32" s="663">
        <f>IF(CampList[[#This Row],[Type of Accomodation]]="camp",MAX(0,CampList[[#This Row],[HH]]-SUMIF(Table_Shelter[Pcode],CampList[[#This Row],[CP_Pcode]],Table_Shelter[HH Covered])),0)</f>
        <v>0</v>
      </c>
      <c r="AG32" s="722"/>
      <c r="AH32" s="736">
        <f>MIN(CampList[[#This Row],[Shelter Gap]],CampList[[#This Row],[Land Status]])</f>
        <v>0</v>
      </c>
      <c r="AI32" s="722" t="str">
        <f ca="1">IFERROR(OFFSET(DistanceToCamp[Nearest Town],MATCH(CampList[[#This Row],[CP_Pcode]],DistanceToCamp[CP_Pcode],0)-1,0,1,1),"")</f>
        <v>Waingmaw Town</v>
      </c>
      <c r="AJ32" s="739">
        <f ca="1">IFERROR(OFFSET(DistanceToCamp[distance],MATCH(CampList[[#This Row],[CP_Pcode]],DistanceToCamp[CP_Pcode],0)-1,0,1,1),"")</f>
        <v>1.1134935940025397</v>
      </c>
      <c r="AK32" s="740">
        <f ca="1">IFERROR(INT(CampList[[#This Row],[Distance]]/5)+1,"")</f>
        <v>1</v>
      </c>
    </row>
    <row r="33" spans="1:37" s="511" customFormat="1" ht="15.6" customHeight="1" x14ac:dyDescent="0.25">
      <c r="A33" s="764" t="s">
        <v>501</v>
      </c>
      <c r="B33" s="406" t="s">
        <v>380</v>
      </c>
      <c r="C33" s="406" t="s">
        <v>526</v>
      </c>
      <c r="D33" s="406" t="s">
        <v>237</v>
      </c>
      <c r="E33" s="406" t="s">
        <v>532</v>
      </c>
      <c r="F33" s="406" t="s">
        <v>310</v>
      </c>
      <c r="G33" s="406" t="s">
        <v>533</v>
      </c>
      <c r="H33" s="406" t="s">
        <v>625</v>
      </c>
      <c r="I33" s="406" t="s">
        <v>626</v>
      </c>
      <c r="J33" s="406" t="s">
        <v>625</v>
      </c>
      <c r="K33" s="406">
        <v>165735</v>
      </c>
      <c r="L33" s="406" t="s">
        <v>313</v>
      </c>
      <c r="M33" s="406" t="s">
        <v>312</v>
      </c>
      <c r="N33" s="630">
        <v>97.404195925926004</v>
      </c>
      <c r="O33" s="630">
        <v>25.321710740740698</v>
      </c>
      <c r="P33" s="747">
        <v>0</v>
      </c>
      <c r="Q33" s="762">
        <v>99</v>
      </c>
      <c r="R33" s="663">
        <v>480</v>
      </c>
      <c r="S33" s="732">
        <f>IF(CampList[[#This Row],[HH]]&gt;0,CampList[[#This Row],[Total]]/CampList[[#This Row],[HH]],"NA")</f>
        <v>4.8484848484848486</v>
      </c>
      <c r="T33" s="722" t="s">
        <v>512</v>
      </c>
      <c r="U33" s="726" t="s">
        <v>1193</v>
      </c>
      <c r="V33" s="722" t="s">
        <v>555</v>
      </c>
      <c r="W33" s="726" t="s">
        <v>857</v>
      </c>
      <c r="X33" s="742">
        <v>40695</v>
      </c>
      <c r="Y33" s="743">
        <v>2</v>
      </c>
      <c r="Z33" s="742" t="s">
        <v>506</v>
      </c>
      <c r="AA33" s="735" t="s">
        <v>843</v>
      </c>
      <c r="AB33" s="736"/>
      <c r="AC33" s="744">
        <v>42571</v>
      </c>
      <c r="AD33" s="656" t="s">
        <v>1504</v>
      </c>
      <c r="AE33" s="759" t="s">
        <v>1095</v>
      </c>
      <c r="AF33" s="663">
        <f>IF(CampList[[#This Row],[Type of Accomodation]]="camp",MAX(0,CampList[[#This Row],[HH]]-SUMIF(Table_Shelter[Pcode],CampList[[#This Row],[CP_Pcode]],Table_Shelter[HH Covered])),0)</f>
        <v>0</v>
      </c>
      <c r="AG33" s="722"/>
      <c r="AH33" s="736">
        <f>MIN(CampList[[#This Row],[Shelter Gap]],CampList[[#This Row],[Land Status]])</f>
        <v>0</v>
      </c>
      <c r="AI33" s="722" t="str">
        <f ca="1">IFERROR(OFFSET(DistanceToCamp[Nearest Town],MATCH(CampList[[#This Row],[CP_Pcode]],DistanceToCamp[CP_Pcode],0)-1,0,1,1),"")</f>
        <v>Waingmaw Town</v>
      </c>
      <c r="AJ33" s="739">
        <f ca="1">IFERROR(OFFSET(DistanceToCamp[distance],MATCH(CampList[[#This Row],[CP_Pcode]],DistanceToCamp[CP_Pcode],0)-1,0,1,1),"")</f>
        <v>5.0655036329811631</v>
      </c>
      <c r="AK33" s="740">
        <f ca="1">IFERROR(INT(CampList[[#This Row],[Distance]]/5)+1,"")</f>
        <v>2</v>
      </c>
    </row>
    <row r="34" spans="1:37" s="511" customFormat="1" ht="15.6" customHeight="1" x14ac:dyDescent="0.25">
      <c r="A34" s="765" t="s">
        <v>501</v>
      </c>
      <c r="B34" s="214" t="s">
        <v>380</v>
      </c>
      <c r="C34" s="214" t="s">
        <v>526</v>
      </c>
      <c r="D34" s="214" t="s">
        <v>237</v>
      </c>
      <c r="E34" s="214" t="s">
        <v>532</v>
      </c>
      <c r="F34" s="214" t="s">
        <v>310</v>
      </c>
      <c r="G34" s="214" t="s">
        <v>533</v>
      </c>
      <c r="H34" s="214" t="s">
        <v>694</v>
      </c>
      <c r="I34" s="757" t="s">
        <v>695</v>
      </c>
      <c r="J34" s="214" t="s">
        <v>694</v>
      </c>
      <c r="K34" s="214">
        <v>165740</v>
      </c>
      <c r="L34" s="214" t="s">
        <v>330</v>
      </c>
      <c r="M34" s="214" t="s">
        <v>329</v>
      </c>
      <c r="N34" s="752">
        <v>97.437782499999997</v>
      </c>
      <c r="O34" s="752">
        <v>25.415667500000001</v>
      </c>
      <c r="P34" s="729"/>
      <c r="Q34" s="663">
        <v>222</v>
      </c>
      <c r="R34" s="755">
        <v>1251</v>
      </c>
      <c r="S34" s="732">
        <f>IF(CampList[[#This Row],[HH]]&gt;0,CampList[[#This Row],[Total]]/CampList[[#This Row],[HH]],"NA")</f>
        <v>5.6351351351351351</v>
      </c>
      <c r="T34" s="663" t="s">
        <v>512</v>
      </c>
      <c r="U34" s="722" t="s">
        <v>1193</v>
      </c>
      <c r="V34" s="663" t="s">
        <v>555</v>
      </c>
      <c r="W34" s="663" t="s">
        <v>804</v>
      </c>
      <c r="X34" s="754">
        <v>41426</v>
      </c>
      <c r="Y34" s="729">
        <v>4</v>
      </c>
      <c r="Z34" s="729" t="s">
        <v>1092</v>
      </c>
      <c r="AA34" s="752" t="s">
        <v>843</v>
      </c>
      <c r="AB34" s="752"/>
      <c r="AC34" s="744">
        <v>42565</v>
      </c>
      <c r="AD34" s="758" t="s">
        <v>1436</v>
      </c>
      <c r="AE34" s="759" t="s">
        <v>1095</v>
      </c>
      <c r="AF34" s="760">
        <f>IF(CampList[[#This Row],[Type of Accomodation]]="camp",MAX(0,CampList[[#This Row],[HH]]-SUMIF(Table_Shelter[Pcode],CampList[[#This Row],[CP_Pcode]],Table_Shelter[HH Covered])),0)</f>
        <v>12</v>
      </c>
      <c r="AG34" s="663"/>
      <c r="AH34" s="741">
        <f>MIN(CampList[[#This Row],[Shelter Gap]],CampList[[#This Row],[Land Status]])</f>
        <v>12</v>
      </c>
      <c r="AI34" s="760" t="str">
        <f ca="1">IFERROR(OFFSET(DistanceToCamp[Nearest Town],MATCH(CampList[[#This Row],[CP_Pcode]],DistanceToCamp[CP_Pcode],0)-1,0,1,1),"")</f>
        <v>Myitkyina Town</v>
      </c>
      <c r="AJ34" s="739">
        <f ca="1">IFERROR(OFFSET(DistanceToCamp[distance],MATCH(CampList[[#This Row],[CP_Pcode]],DistanceToCamp[CP_Pcode],0)-1,0,1,1),"")</f>
        <v>5.7019834469756479</v>
      </c>
      <c r="AK34" s="761">
        <f ca="1">IFERROR(INT(CampList[[#This Row],[Distance]]/5)+1,"")</f>
        <v>2</v>
      </c>
    </row>
    <row r="35" spans="1:37" s="511" customFormat="1" ht="15.6" customHeight="1" x14ac:dyDescent="0.25">
      <c r="A35" s="764" t="s">
        <v>501</v>
      </c>
      <c r="B35" s="406" t="s">
        <v>380</v>
      </c>
      <c r="C35" s="406" t="s">
        <v>526</v>
      </c>
      <c r="D35" s="406" t="s">
        <v>237</v>
      </c>
      <c r="E35" s="406" t="s">
        <v>532</v>
      </c>
      <c r="F35" s="406" t="s">
        <v>310</v>
      </c>
      <c r="G35" s="406" t="s">
        <v>533</v>
      </c>
      <c r="H35" s="406" t="s">
        <v>696</v>
      </c>
      <c r="I35" s="406" t="s">
        <v>697</v>
      </c>
      <c r="J35" s="406" t="s">
        <v>715</v>
      </c>
      <c r="K35" s="406" t="s">
        <v>716</v>
      </c>
      <c r="L35" s="406" t="s">
        <v>338</v>
      </c>
      <c r="M35" s="406" t="s">
        <v>337</v>
      </c>
      <c r="N35" s="630">
        <v>97.437472666666693</v>
      </c>
      <c r="O35" s="630">
        <v>25.345918166666699</v>
      </c>
      <c r="P35" s="747"/>
      <c r="Q35" s="762">
        <v>31</v>
      </c>
      <c r="R35" s="663">
        <v>171</v>
      </c>
      <c r="S35" s="732">
        <f>IF(CampList[[#This Row],[HH]]&gt;0,CampList[[#This Row],[Total]]/CampList[[#This Row],[HH]],"NA")</f>
        <v>5.5161290322580649</v>
      </c>
      <c r="T35" s="722" t="s">
        <v>512</v>
      </c>
      <c r="U35" s="726" t="s">
        <v>1193</v>
      </c>
      <c r="V35" s="722" t="s">
        <v>555</v>
      </c>
      <c r="W35" s="726" t="s">
        <v>804</v>
      </c>
      <c r="X35" s="742">
        <v>40695</v>
      </c>
      <c r="Y35" s="743">
        <v>1</v>
      </c>
      <c r="Z35" s="742" t="s">
        <v>506</v>
      </c>
      <c r="AA35" s="736" t="s">
        <v>843</v>
      </c>
      <c r="AB35" s="736"/>
      <c r="AC35" s="744">
        <v>42571</v>
      </c>
      <c r="AD35" s="728" t="s">
        <v>1511</v>
      </c>
      <c r="AE35" s="759" t="s">
        <v>1095</v>
      </c>
      <c r="AF35" s="663">
        <f>IF(CampList[[#This Row],[Type of Accomodation]]="camp",MAX(0,CampList[[#This Row],[HH]]-SUMIF(Table_Shelter[Pcode],CampList[[#This Row],[CP_Pcode]],Table_Shelter[HH Covered])),0)</f>
        <v>0</v>
      </c>
      <c r="AG35" s="663"/>
      <c r="AH35" s="736">
        <f>MIN(CampList[[#This Row],[Shelter Gap]],CampList[[#This Row],[Land Status]])</f>
        <v>0</v>
      </c>
      <c r="AI35" s="722" t="str">
        <f ca="1">IFERROR(OFFSET(DistanceToCamp[Nearest Town],MATCH(CampList[[#This Row],[CP_Pcode]],DistanceToCamp[CP_Pcode],0)-1,0,1,1),"")</f>
        <v>Waingmaw Town</v>
      </c>
      <c r="AJ35" s="739">
        <f ca="1">IFERROR(OFFSET(DistanceToCamp[distance],MATCH(CampList[[#This Row],[CP_Pcode]],DistanceToCamp[CP_Pcode],0)-1,0,1,1),"")</f>
        <v>0.77827912736780092</v>
      </c>
      <c r="AK35" s="740">
        <f ca="1">IFERROR(INT(CampList[[#This Row],[Distance]]/5)+1,"")</f>
        <v>1</v>
      </c>
    </row>
    <row r="36" spans="1:37" s="511" customFormat="1" ht="15.6" customHeight="1" x14ac:dyDescent="0.25">
      <c r="A36" s="764" t="s">
        <v>501</v>
      </c>
      <c r="B36" s="406" t="s">
        <v>380</v>
      </c>
      <c r="C36" s="406" t="s">
        <v>526</v>
      </c>
      <c r="D36" s="406" t="s">
        <v>237</v>
      </c>
      <c r="E36" s="406" t="s">
        <v>532</v>
      </c>
      <c r="F36" s="406" t="s">
        <v>310</v>
      </c>
      <c r="G36" s="406" t="s">
        <v>533</v>
      </c>
      <c r="H36" s="406" t="s">
        <v>694</v>
      </c>
      <c r="I36" s="406" t="s">
        <v>695</v>
      </c>
      <c r="J36" s="406" t="s">
        <v>694</v>
      </c>
      <c r="K36" s="406">
        <v>165740</v>
      </c>
      <c r="L36" s="406" t="s">
        <v>328</v>
      </c>
      <c r="M36" s="406" t="s">
        <v>327</v>
      </c>
      <c r="N36" s="630">
        <v>97.433419259259296</v>
      </c>
      <c r="O36" s="630">
        <v>25.424529444444399</v>
      </c>
      <c r="P36" s="747">
        <v>0</v>
      </c>
      <c r="Q36" s="762">
        <v>143</v>
      </c>
      <c r="R36" s="663">
        <v>800</v>
      </c>
      <c r="S36" s="732">
        <f>IF(CampList[[#This Row],[HH]]&gt;0,CampList[[#This Row],[Total]]/CampList[[#This Row],[HH]],"NA")</f>
        <v>5.5944055944055942</v>
      </c>
      <c r="T36" s="722" t="s">
        <v>512</v>
      </c>
      <c r="U36" s="726" t="s">
        <v>1193</v>
      </c>
      <c r="V36" s="722" t="s">
        <v>555</v>
      </c>
      <c r="W36" s="726" t="s">
        <v>857</v>
      </c>
      <c r="X36" s="742">
        <v>41456</v>
      </c>
      <c r="Y36" s="743">
        <v>1</v>
      </c>
      <c r="Z36" s="742" t="s">
        <v>506</v>
      </c>
      <c r="AA36" s="735" t="s">
        <v>843</v>
      </c>
      <c r="AB36" s="736"/>
      <c r="AC36" s="744">
        <v>42571</v>
      </c>
      <c r="AD36" s="656" t="s">
        <v>1509</v>
      </c>
      <c r="AE36" s="759" t="s">
        <v>1095</v>
      </c>
      <c r="AF36" s="663">
        <f>IF(CampList[[#This Row],[Type of Accomodation]]="camp",MAX(0,CampList[[#This Row],[HH]]-SUMIF(Table_Shelter[Pcode],CampList[[#This Row],[CP_Pcode]],Table_Shelter[HH Covered])),0)</f>
        <v>36</v>
      </c>
      <c r="AG36" s="663"/>
      <c r="AH36" s="736">
        <f>MIN(CampList[[#This Row],[Shelter Gap]],CampList[[#This Row],[Land Status]])</f>
        <v>36</v>
      </c>
      <c r="AI36" s="722" t="str">
        <f ca="1">IFERROR(OFFSET(DistanceToCamp[Nearest Town],MATCH(CampList[[#This Row],[CP_Pcode]],DistanceToCamp[CP_Pcode],0)-1,0,1,1),"")</f>
        <v>Myitkyina Town</v>
      </c>
      <c r="AJ36" s="739">
        <f ca="1">IFERROR(OFFSET(DistanceToCamp[distance],MATCH(CampList[[#This Row],[CP_Pcode]],DistanceToCamp[CP_Pcode],0)-1,0,1,1),"")</f>
        <v>5.9727739497559158</v>
      </c>
      <c r="AK36" s="740">
        <f ca="1">IFERROR(INT(CampList[[#This Row],[Distance]]/5)+1,"")</f>
        <v>2</v>
      </c>
    </row>
    <row r="37" spans="1:37" s="511" customFormat="1" ht="15.6" hidden="1" customHeight="1" x14ac:dyDescent="0.25">
      <c r="A37" s="656" t="s">
        <v>844</v>
      </c>
      <c r="B37" s="406" t="s">
        <v>554</v>
      </c>
      <c r="C37" s="406" t="s">
        <v>537</v>
      </c>
      <c r="D37" s="406" t="s">
        <v>230</v>
      </c>
      <c r="E37" s="406" t="s">
        <v>538</v>
      </c>
      <c r="F37" s="406" t="s">
        <v>289</v>
      </c>
      <c r="G37" s="406" t="s">
        <v>550</v>
      </c>
      <c r="H37" s="406" t="s">
        <v>752</v>
      </c>
      <c r="I37" s="406" t="s">
        <v>753</v>
      </c>
      <c r="J37" s="406" t="s">
        <v>752</v>
      </c>
      <c r="K37" s="406">
        <v>208353</v>
      </c>
      <c r="L37" s="406" t="s">
        <v>294</v>
      </c>
      <c r="M37" s="406" t="s">
        <v>293</v>
      </c>
      <c r="N37" s="630"/>
      <c r="O37" s="630"/>
      <c r="P37" s="753"/>
      <c r="Q37" s="730">
        <v>0</v>
      </c>
      <c r="R37" s="731">
        <v>0</v>
      </c>
      <c r="S37" s="732" t="str">
        <f>IF(CampList[[#This Row],[HH]]&gt;0,CampList[[#This Row],[Total]]/CampList[[#This Row],[HH]],"NA")</f>
        <v>NA</v>
      </c>
      <c r="T37" s="722" t="s">
        <v>514</v>
      </c>
      <c r="U37" s="726" t="s">
        <v>1193</v>
      </c>
      <c r="V37" s="722" t="s">
        <v>555</v>
      </c>
      <c r="W37" s="726"/>
      <c r="X37" s="733"/>
      <c r="Y37" s="729"/>
      <c r="Z37" s="734"/>
      <c r="AA37" s="735" t="s">
        <v>843</v>
      </c>
      <c r="AB37" s="736"/>
      <c r="AC37" s="744">
        <v>41701</v>
      </c>
      <c r="AD37" s="656" t="s">
        <v>1016</v>
      </c>
      <c r="AE37" s="755" t="s">
        <v>1009</v>
      </c>
      <c r="AF37" s="663">
        <f>IF(CampList[[#This Row],[Type of Accomodation]]="camp",MAX(0,CampList[[#This Row],[HH]]-SUMIF(Table_Shelter[Pcode],CampList[[#This Row],[CP_Pcode]],Table_Shelter[HH Covered])),0)</f>
        <v>0</v>
      </c>
      <c r="AG37" s="722"/>
      <c r="AH37" s="736">
        <f>MIN(CampList[[#This Row],[Shelter Gap]],CampList[[#This Row],[Land Status]])</f>
        <v>0</v>
      </c>
      <c r="AI37" s="722" t="str">
        <f ca="1">IFERROR(OFFSET(DistanceToCamp[Nearest Town],MATCH(CampList[[#This Row],[CP_Pcode]],DistanceToCamp[CP_Pcode],0)-1,0,1,1),"")</f>
        <v/>
      </c>
      <c r="AJ37" s="739" t="str">
        <f ca="1">IFERROR(OFFSET(DistanceToCamp[distance],MATCH(CampList[[#This Row],[CP_Pcode]],DistanceToCamp[CP_Pcode],0)-1,0,1,1),"")</f>
        <v/>
      </c>
      <c r="AK37" s="740" t="str">
        <f ca="1">IFERROR(INT(CampList[[#This Row],[Distance]]/5)+1,"")</f>
        <v/>
      </c>
    </row>
    <row r="38" spans="1:37" s="511" customFormat="1" ht="15.6" customHeight="1" x14ac:dyDescent="0.25">
      <c r="A38" s="756" t="s">
        <v>501</v>
      </c>
      <c r="B38" s="214" t="s">
        <v>554</v>
      </c>
      <c r="C38" s="214" t="s">
        <v>537</v>
      </c>
      <c r="D38" s="214" t="s">
        <v>230</v>
      </c>
      <c r="E38" s="214" t="s">
        <v>538</v>
      </c>
      <c r="F38" s="214" t="s">
        <v>289</v>
      </c>
      <c r="G38" s="214" t="s">
        <v>550</v>
      </c>
      <c r="H38" s="214" t="s">
        <v>752</v>
      </c>
      <c r="I38" s="757" t="s">
        <v>753</v>
      </c>
      <c r="J38" s="214" t="s">
        <v>752</v>
      </c>
      <c r="K38" s="214">
        <v>208353</v>
      </c>
      <c r="L38" s="214" t="s">
        <v>374</v>
      </c>
      <c r="M38" s="214" t="s">
        <v>295</v>
      </c>
      <c r="N38" s="752">
        <v>97.670360000000002</v>
      </c>
      <c r="O38" s="752">
        <v>23.828150000000001</v>
      </c>
      <c r="P38" s="753">
        <v>751.8</v>
      </c>
      <c r="Q38" s="663">
        <v>44</v>
      </c>
      <c r="R38" s="755">
        <v>215</v>
      </c>
      <c r="S38" s="732">
        <f>IF(CampList[[#This Row],[HH]]&gt;0,CampList[[#This Row],[Total]]/CampList[[#This Row],[HH]],"NA")</f>
        <v>4.8863636363636367</v>
      </c>
      <c r="T38" s="663" t="s">
        <v>512</v>
      </c>
      <c r="U38" s="722" t="s">
        <v>1193</v>
      </c>
      <c r="V38" s="663" t="s">
        <v>555</v>
      </c>
      <c r="W38" s="663" t="s">
        <v>804</v>
      </c>
      <c r="X38" s="754">
        <v>40878</v>
      </c>
      <c r="Y38" s="729"/>
      <c r="Z38" s="729" t="s">
        <v>1265</v>
      </c>
      <c r="AA38" s="752" t="s">
        <v>843</v>
      </c>
      <c r="AB38" s="752"/>
      <c r="AC38" s="744">
        <v>42565</v>
      </c>
      <c r="AD38" s="758" t="s">
        <v>1447</v>
      </c>
      <c r="AE38" s="759" t="s">
        <v>1081</v>
      </c>
      <c r="AF38" s="760">
        <f>IF(CampList[[#This Row],[Type of Accomodation]]="camp",MAX(0,CampList[[#This Row],[HH]]-SUMIF(Table_Shelter[Pcode],CampList[[#This Row],[CP_Pcode]],Table_Shelter[HH Covered])),0)</f>
        <v>44</v>
      </c>
      <c r="AG38" s="663"/>
      <c r="AH38" s="741">
        <f>MIN(CampList[[#This Row],[Shelter Gap]],CampList[[#This Row],[Land Status]])</f>
        <v>44</v>
      </c>
      <c r="AI38" s="760" t="str">
        <f ca="1">IFERROR(OFFSET(DistanceToCamp[Nearest Town],MATCH(CampList[[#This Row],[CP_Pcode]],DistanceToCamp[CP_Pcode],0)-1,0,1,1),"")</f>
        <v>Namhkan Town</v>
      </c>
      <c r="AJ38" s="739">
        <f ca="1">IFERROR(OFFSET(DistanceToCamp[distance],MATCH(CampList[[#This Row],[CP_Pcode]],DistanceToCamp[CP_Pcode],0)-1,0,1,1),"")</f>
        <v>1.5239325151406049</v>
      </c>
      <c r="AK38" s="761">
        <f ca="1">IFERROR(INT(CampList[[#This Row],[Distance]]/5)+1,"")</f>
        <v>1</v>
      </c>
    </row>
    <row r="39" spans="1:37" s="511" customFormat="1" ht="15.6" customHeight="1" x14ac:dyDescent="0.25">
      <c r="A39" s="764" t="s">
        <v>501</v>
      </c>
      <c r="B39" s="406" t="s">
        <v>380</v>
      </c>
      <c r="C39" s="406" t="s">
        <v>526</v>
      </c>
      <c r="D39" s="406" t="s">
        <v>237</v>
      </c>
      <c r="E39" s="406" t="s">
        <v>532</v>
      </c>
      <c r="F39" s="406" t="s">
        <v>310</v>
      </c>
      <c r="G39" s="406" t="s">
        <v>533</v>
      </c>
      <c r="H39" s="406" t="s">
        <v>696</v>
      </c>
      <c r="I39" s="406" t="s">
        <v>697</v>
      </c>
      <c r="J39" s="406" t="s">
        <v>717</v>
      </c>
      <c r="K39" s="406" t="s">
        <v>718</v>
      </c>
      <c r="L39" s="406" t="s">
        <v>318</v>
      </c>
      <c r="M39" s="406" t="s">
        <v>317</v>
      </c>
      <c r="N39" s="630">
        <v>97.441166388888902</v>
      </c>
      <c r="O39" s="630">
        <v>25.3540362037037</v>
      </c>
      <c r="P39" s="747">
        <v>0</v>
      </c>
      <c r="Q39" s="762">
        <v>91</v>
      </c>
      <c r="R39" s="663">
        <v>329</v>
      </c>
      <c r="S39" s="732">
        <f>IF(CampList[[#This Row],[HH]]&gt;0,CampList[[#This Row],[Total]]/CampList[[#This Row],[HH]],"NA")</f>
        <v>3.6153846153846154</v>
      </c>
      <c r="T39" s="722" t="s">
        <v>512</v>
      </c>
      <c r="U39" s="726" t="s">
        <v>1193</v>
      </c>
      <c r="V39" s="722" t="s">
        <v>555</v>
      </c>
      <c r="W39" s="726" t="s">
        <v>804</v>
      </c>
      <c r="X39" s="742">
        <v>40725</v>
      </c>
      <c r="Y39" s="743">
        <v>2</v>
      </c>
      <c r="Z39" s="742" t="s">
        <v>506</v>
      </c>
      <c r="AA39" s="736" t="s">
        <v>843</v>
      </c>
      <c r="AB39" s="736"/>
      <c r="AC39" s="744">
        <v>42571</v>
      </c>
      <c r="AD39" s="728" t="s">
        <v>1516</v>
      </c>
      <c r="AE39" s="759" t="s">
        <v>1095</v>
      </c>
      <c r="AF39" s="663">
        <f>IF(CampList[[#This Row],[Type of Accomodation]]="camp",MAX(0,CampList[[#This Row],[HH]]-SUMIF(Table_Shelter[Pcode],CampList[[#This Row],[CP_Pcode]],Table_Shelter[HH Covered])),0)</f>
        <v>0</v>
      </c>
      <c r="AG39" s="663"/>
      <c r="AH39" s="736">
        <f>MIN(CampList[[#This Row],[Shelter Gap]],CampList[[#This Row],[Land Status]])</f>
        <v>0</v>
      </c>
      <c r="AI39" s="722" t="str">
        <f ca="1">IFERROR(OFFSET(DistanceToCamp[Nearest Town],MATCH(CampList[[#This Row],[CP_Pcode]],DistanceToCamp[CP_Pcode],0)-1,0,1,1),"")</f>
        <v>Waingmaw Town</v>
      </c>
      <c r="AJ39" s="739">
        <f ca="1">IFERROR(OFFSET(DistanceToCamp[distance],MATCH(CampList[[#This Row],[CP_Pcode]],DistanceToCamp[CP_Pcode],0)-1,0,1,1),"")</f>
        <v>0.37684287609457234</v>
      </c>
      <c r="AK39" s="740">
        <f ca="1">IFERROR(INT(CampList[[#This Row],[Distance]]/5)+1,"")</f>
        <v>1</v>
      </c>
    </row>
    <row r="40" spans="1:37" s="511" customFormat="1" ht="15.6" customHeight="1" x14ac:dyDescent="0.25">
      <c r="A40" s="764" t="s">
        <v>501</v>
      </c>
      <c r="B40" s="406" t="s">
        <v>380</v>
      </c>
      <c r="C40" s="406" t="s">
        <v>526</v>
      </c>
      <c r="D40" s="406" t="s">
        <v>237</v>
      </c>
      <c r="E40" s="406" t="s">
        <v>532</v>
      </c>
      <c r="F40" s="406" t="s">
        <v>310</v>
      </c>
      <c r="G40" s="406" t="s">
        <v>533</v>
      </c>
      <c r="H40" s="406" t="s">
        <v>1134</v>
      </c>
      <c r="I40" s="406" t="s">
        <v>1254</v>
      </c>
      <c r="J40" s="406" t="s">
        <v>667</v>
      </c>
      <c r="K40" s="406">
        <v>165745</v>
      </c>
      <c r="L40" s="406" t="s">
        <v>344</v>
      </c>
      <c r="M40" s="406" t="s">
        <v>343</v>
      </c>
      <c r="N40" s="630">
        <v>97.345039</v>
      </c>
      <c r="O40" s="630">
        <v>25.351965</v>
      </c>
      <c r="P40" s="747"/>
      <c r="Q40" s="762">
        <v>18</v>
      </c>
      <c r="R40" s="663">
        <v>82</v>
      </c>
      <c r="S40" s="732">
        <f>IF(CampList[[#This Row],[HH]]&gt;0,CampList[[#This Row],[Total]]/CampList[[#This Row],[HH]],"NA")</f>
        <v>4.5555555555555554</v>
      </c>
      <c r="T40" s="722" t="s">
        <v>512</v>
      </c>
      <c r="U40" s="726" t="s">
        <v>1193</v>
      </c>
      <c r="V40" s="722" t="s">
        <v>555</v>
      </c>
      <c r="W40" s="726" t="s">
        <v>857</v>
      </c>
      <c r="X40" s="742">
        <v>41030</v>
      </c>
      <c r="Y40" s="743">
        <v>1</v>
      </c>
      <c r="Z40" s="742" t="s">
        <v>506</v>
      </c>
      <c r="AA40" s="736" t="s">
        <v>843</v>
      </c>
      <c r="AB40" s="736"/>
      <c r="AC40" s="744">
        <v>42571</v>
      </c>
      <c r="AD40" s="728" t="s">
        <v>1515</v>
      </c>
      <c r="AE40" s="759" t="s">
        <v>1095</v>
      </c>
      <c r="AF40" s="663">
        <f>IF(CampList[[#This Row],[Type of Accomodation]]="camp",MAX(0,CampList[[#This Row],[HH]]-SUMIF(Table_Shelter[Pcode],CampList[[#This Row],[CP_Pcode]],Table_Shelter[HH Covered])),0)</f>
        <v>0</v>
      </c>
      <c r="AG40" s="722"/>
      <c r="AH40" s="736">
        <f>MIN(CampList[[#This Row],[Shelter Gap]],CampList[[#This Row],[Land Status]])</f>
        <v>0</v>
      </c>
      <c r="AI40" s="722" t="str">
        <f ca="1">IFERROR(OFFSET(DistanceToCamp[Nearest Town],MATCH(CampList[[#This Row],[CP_Pcode]],DistanceToCamp[CP_Pcode],0)-1,0,1,1),"")</f>
        <v>Myitkyina Town</v>
      </c>
      <c r="AJ40" s="739">
        <f ca="1">IFERROR(OFFSET(DistanceToCamp[distance],MATCH(CampList[[#This Row],[CP_Pcode]],DistanceToCamp[CP_Pcode],0)-1,0,1,1),"")</f>
        <v>6.0275881703713861</v>
      </c>
      <c r="AK40" s="740">
        <f ca="1">IFERROR(INT(CampList[[#This Row],[Distance]]/5)+1,"")</f>
        <v>2</v>
      </c>
    </row>
    <row r="41" spans="1:37" s="511" customFormat="1" ht="15.6" hidden="1" customHeight="1" x14ac:dyDescent="0.25">
      <c r="A41" s="656" t="s">
        <v>844</v>
      </c>
      <c r="B41" s="406" t="s">
        <v>380</v>
      </c>
      <c r="C41" s="406" t="s">
        <v>526</v>
      </c>
      <c r="D41" s="406" t="s">
        <v>237</v>
      </c>
      <c r="E41" s="406" t="s">
        <v>532</v>
      </c>
      <c r="F41" s="406" t="s">
        <v>310</v>
      </c>
      <c r="G41" s="406" t="s">
        <v>533</v>
      </c>
      <c r="H41" s="728" t="s">
        <v>750</v>
      </c>
      <c r="I41" s="728" t="s">
        <v>751</v>
      </c>
      <c r="J41" s="728" t="s">
        <v>750</v>
      </c>
      <c r="K41" s="728">
        <v>165750</v>
      </c>
      <c r="L41" s="406" t="s">
        <v>1250</v>
      </c>
      <c r="M41" s="406" t="s">
        <v>360</v>
      </c>
      <c r="N41" s="630"/>
      <c r="O41" s="630"/>
      <c r="P41" s="753"/>
      <c r="Q41" s="730">
        <v>0</v>
      </c>
      <c r="R41" s="731">
        <v>0</v>
      </c>
      <c r="S41" s="732" t="str">
        <f>IF(CampList[[#This Row],[HH]]&gt;0,CampList[[#This Row],[Total]]/CampList[[#This Row],[HH]],"NA")</f>
        <v>NA</v>
      </c>
      <c r="T41" s="722" t="s">
        <v>512</v>
      </c>
      <c r="U41" s="726" t="s">
        <v>1193</v>
      </c>
      <c r="V41" s="722" t="s">
        <v>555</v>
      </c>
      <c r="W41" s="726"/>
      <c r="X41" s="733"/>
      <c r="Y41" s="729"/>
      <c r="Z41" s="734"/>
      <c r="AA41" s="735"/>
      <c r="AB41" s="736"/>
      <c r="AC41" s="737"/>
      <c r="AD41" s="656" t="s">
        <v>602</v>
      </c>
      <c r="AE41" s="755" t="s">
        <v>1009</v>
      </c>
      <c r="AF41" s="663">
        <f>IF(CampList[[#This Row],[Type of Accomodation]]="camp",MAX(0,CampList[[#This Row],[HH]]-SUMIF(Table_Shelter[Pcode],CampList[[#This Row],[CP_Pcode]],Table_Shelter[HH Covered])),0)</f>
        <v>0</v>
      </c>
      <c r="AG41" s="722"/>
      <c r="AH41" s="736">
        <f>MIN(CampList[[#This Row],[Shelter Gap]],CampList[[#This Row],[Land Status]])</f>
        <v>0</v>
      </c>
      <c r="AI41" s="722" t="str">
        <f ca="1">IFERROR(OFFSET(DistanceToCamp[Nearest Town],MATCH(CampList[[#This Row],[CP_Pcode]],DistanceToCamp[CP_Pcode],0)-1,0,1,1),"")</f>
        <v/>
      </c>
      <c r="AJ41" s="739" t="str">
        <f ca="1">IFERROR(OFFSET(DistanceToCamp[distance],MATCH(CampList[[#This Row],[CP_Pcode]],DistanceToCamp[CP_Pcode],0)-1,0,1,1),"")</f>
        <v/>
      </c>
      <c r="AK41" s="740" t="str">
        <f ca="1">IFERROR(INT(CampList[[#This Row],[Distance]]/5)+1,"")</f>
        <v/>
      </c>
    </row>
    <row r="42" spans="1:37" s="511" customFormat="1" ht="15.6" hidden="1" customHeight="1" x14ac:dyDescent="0.25">
      <c r="A42" s="656" t="s">
        <v>844</v>
      </c>
      <c r="B42" s="406" t="s">
        <v>380</v>
      </c>
      <c r="C42" s="406" t="s">
        <v>526</v>
      </c>
      <c r="D42" s="406" t="s">
        <v>237</v>
      </c>
      <c r="E42" s="406" t="s">
        <v>532</v>
      </c>
      <c r="F42" s="406" t="s">
        <v>310</v>
      </c>
      <c r="G42" s="406" t="s">
        <v>533</v>
      </c>
      <c r="H42" s="728" t="s">
        <v>625</v>
      </c>
      <c r="I42" s="406" t="s">
        <v>626</v>
      </c>
      <c r="J42" s="728" t="s">
        <v>625</v>
      </c>
      <c r="K42" s="728">
        <v>165735</v>
      </c>
      <c r="L42" s="406" t="s">
        <v>1249</v>
      </c>
      <c r="M42" s="406" t="s">
        <v>359</v>
      </c>
      <c r="N42" s="630">
        <v>97.421104</v>
      </c>
      <c r="O42" s="630">
        <v>25.328987000000001</v>
      </c>
      <c r="P42" s="753"/>
      <c r="Q42" s="730">
        <v>0</v>
      </c>
      <c r="R42" s="731">
        <v>0</v>
      </c>
      <c r="S42" s="732" t="str">
        <f>IF(CampList[[#This Row],[HH]]&gt;0,CampList[[#This Row],[Total]]/CampList[[#This Row],[HH]],"NA")</f>
        <v>NA</v>
      </c>
      <c r="T42" s="722" t="s">
        <v>512</v>
      </c>
      <c r="U42" s="726" t="s">
        <v>1193</v>
      </c>
      <c r="V42" s="722" t="s">
        <v>555</v>
      </c>
      <c r="W42" s="726"/>
      <c r="X42" s="733"/>
      <c r="Y42" s="729"/>
      <c r="Z42" s="734"/>
      <c r="AA42" s="735"/>
      <c r="AB42" s="736"/>
      <c r="AC42" s="737"/>
      <c r="AD42" s="656" t="s">
        <v>602</v>
      </c>
      <c r="AE42" s="755" t="s">
        <v>1009</v>
      </c>
      <c r="AF42" s="663">
        <f>IF(CampList[[#This Row],[Type of Accomodation]]="camp",MAX(0,CampList[[#This Row],[HH]]-SUMIF(Table_Shelter[Pcode],CampList[[#This Row],[CP_Pcode]],Table_Shelter[HH Covered])),0)</f>
        <v>0</v>
      </c>
      <c r="AG42" s="722"/>
      <c r="AH42" s="736">
        <f>MIN(CampList[[#This Row],[Shelter Gap]],CampList[[#This Row],[Land Status]])</f>
        <v>0</v>
      </c>
      <c r="AI42" s="722" t="str">
        <f ca="1">IFERROR(OFFSET(DistanceToCamp[Nearest Town],MATCH(CampList[[#This Row],[CP_Pcode]],DistanceToCamp[CP_Pcode],0)-1,0,1,1),"")</f>
        <v/>
      </c>
      <c r="AJ42" s="739" t="str">
        <f ca="1">IFERROR(OFFSET(DistanceToCamp[distance],MATCH(CampList[[#This Row],[CP_Pcode]],DistanceToCamp[CP_Pcode],0)-1,0,1,1),"")</f>
        <v/>
      </c>
      <c r="AK42" s="740" t="str">
        <f ca="1">IFERROR(INT(CampList[[#This Row],[Distance]]/5)+1,"")</f>
        <v/>
      </c>
    </row>
    <row r="43" spans="1:37" s="511" customFormat="1" ht="15.6" hidden="1" customHeight="1" x14ac:dyDescent="0.25">
      <c r="A43" s="656" t="s">
        <v>844</v>
      </c>
      <c r="B43" s="406" t="s">
        <v>380</v>
      </c>
      <c r="C43" s="406" t="s">
        <v>526</v>
      </c>
      <c r="D43" s="406" t="s">
        <v>237</v>
      </c>
      <c r="E43" s="406" t="s">
        <v>532</v>
      </c>
      <c r="F43" s="406" t="s">
        <v>310</v>
      </c>
      <c r="G43" s="406" t="s">
        <v>533</v>
      </c>
      <c r="H43" s="406" t="s">
        <v>696</v>
      </c>
      <c r="I43" s="406" t="s">
        <v>697</v>
      </c>
      <c r="J43" s="406" t="s">
        <v>717</v>
      </c>
      <c r="K43" s="406" t="s">
        <v>718</v>
      </c>
      <c r="L43" s="406" t="s">
        <v>311</v>
      </c>
      <c r="M43" s="406" t="s">
        <v>309</v>
      </c>
      <c r="N43" s="630">
        <v>97.438259000000002</v>
      </c>
      <c r="O43" s="630">
        <v>25.355841999999999</v>
      </c>
      <c r="P43" s="747">
        <v>0</v>
      </c>
      <c r="Q43" s="760"/>
      <c r="R43" s="755"/>
      <c r="S43" s="732" t="str">
        <f>IF(CampList[[#This Row],[HH]]&gt;0,CampList[[#This Row],[Total]]/CampList[[#This Row],[HH]],"NA")</f>
        <v>NA</v>
      </c>
      <c r="T43" s="722" t="s">
        <v>512</v>
      </c>
      <c r="U43" s="722" t="s">
        <v>1193</v>
      </c>
      <c r="V43" s="722" t="s">
        <v>988</v>
      </c>
      <c r="W43" s="722" t="s">
        <v>804</v>
      </c>
      <c r="X43" s="773">
        <v>40848</v>
      </c>
      <c r="Y43" s="774">
        <v>1</v>
      </c>
      <c r="Z43" s="773" t="s">
        <v>461</v>
      </c>
      <c r="AA43" s="736" t="s">
        <v>843</v>
      </c>
      <c r="AB43" s="736"/>
      <c r="AC43" s="744">
        <v>42432</v>
      </c>
      <c r="AD43" s="728" t="s">
        <v>1370</v>
      </c>
      <c r="AE43" s="759" t="s">
        <v>1095</v>
      </c>
      <c r="AF43" s="663">
        <f>IF(CampList[[#This Row],[Type of Accomodation]]="camp",MAX(0,CampList[[#This Row],[HH]]-SUMIF(Table_Shelter[Pcode],CampList[[#This Row],[CP_Pcode]],Table_Shelter[HH Covered])),0)</f>
        <v>0</v>
      </c>
      <c r="AG43" s="722"/>
      <c r="AH43" s="736">
        <f>MIN(CampList[[#This Row],[Shelter Gap]],CampList[[#This Row],[Land Status]])</f>
        <v>0</v>
      </c>
      <c r="AI43" s="722" t="str">
        <f ca="1">IFERROR(OFFSET(DistanceToCamp[Nearest Town],MATCH(CampList[[#This Row],[CP_Pcode]],DistanceToCamp[CP_Pcode],0)-1,0,1,1),"")</f>
        <v>Waingmaw Town</v>
      </c>
      <c r="AJ43" s="739">
        <f ca="1">IFERROR(OFFSET(DistanceToCamp[distance],MATCH(CampList[[#This Row],[CP_Pcode]],DistanceToCamp[CP_Pcode],0)-1,0,1,1),"")</f>
        <v>0.70725493400809891</v>
      </c>
      <c r="AK43" s="740">
        <f ca="1">IFERROR(INT(CampList[[#This Row],[Distance]]/5)+1,"")</f>
        <v>1</v>
      </c>
    </row>
    <row r="44" spans="1:37" s="511" customFormat="1" ht="15.6" customHeight="1" x14ac:dyDescent="0.25">
      <c r="A44" s="764" t="s">
        <v>501</v>
      </c>
      <c r="B44" s="406" t="s">
        <v>380</v>
      </c>
      <c r="C44" s="406" t="s">
        <v>526</v>
      </c>
      <c r="D44" s="406" t="s">
        <v>237</v>
      </c>
      <c r="E44" s="406" t="s">
        <v>532</v>
      </c>
      <c r="F44" s="406" t="s">
        <v>310</v>
      </c>
      <c r="G44" s="406" t="s">
        <v>533</v>
      </c>
      <c r="H44" s="406" t="s">
        <v>696</v>
      </c>
      <c r="I44" s="406" t="s">
        <v>697</v>
      </c>
      <c r="J44" s="406" t="s">
        <v>698</v>
      </c>
      <c r="K44" s="406" t="s">
        <v>699</v>
      </c>
      <c r="L44" s="406" t="s">
        <v>349</v>
      </c>
      <c r="M44" s="406" t="s">
        <v>348</v>
      </c>
      <c r="N44" s="630">
        <v>97.428251153846105</v>
      </c>
      <c r="O44" s="630">
        <v>25.333683333333301</v>
      </c>
      <c r="P44" s="741"/>
      <c r="Q44" s="762">
        <v>44</v>
      </c>
      <c r="R44" s="663">
        <v>182</v>
      </c>
      <c r="S44" s="732">
        <f>IF(CampList[[#This Row],[HH]]&gt;0,CampList[[#This Row],[Total]]/CampList[[#This Row],[HH]],"NA")</f>
        <v>4.1363636363636367</v>
      </c>
      <c r="T44" s="722" t="s">
        <v>512</v>
      </c>
      <c r="U44" s="726" t="s">
        <v>1193</v>
      </c>
      <c r="V44" s="722" t="s">
        <v>555</v>
      </c>
      <c r="W44" s="726" t="s">
        <v>804</v>
      </c>
      <c r="X44" s="742">
        <v>40848</v>
      </c>
      <c r="Y44" s="743">
        <v>1</v>
      </c>
      <c r="Z44" s="742" t="s">
        <v>506</v>
      </c>
      <c r="AA44" s="736" t="s">
        <v>843</v>
      </c>
      <c r="AB44" s="736"/>
      <c r="AC44" s="744">
        <v>42571</v>
      </c>
      <c r="AD44" s="728" t="s">
        <v>1517</v>
      </c>
      <c r="AE44" s="759" t="s">
        <v>1095</v>
      </c>
      <c r="AF44" s="663">
        <f>IF(CampList[[#This Row],[Type of Accomodation]]="camp",MAX(0,CampList[[#This Row],[HH]]-SUMIF(Table_Shelter[Pcode],CampList[[#This Row],[CP_Pcode]],Table_Shelter[HH Covered])),0)</f>
        <v>0</v>
      </c>
      <c r="AG44" s="722"/>
      <c r="AH44" s="736">
        <f>MIN(CampList[[#This Row],[Shelter Gap]],CampList[[#This Row],[Land Status]])</f>
        <v>0</v>
      </c>
      <c r="AI44" s="722" t="str">
        <f ca="1">IFERROR(OFFSET(DistanceToCamp[Nearest Town],MATCH(CampList[[#This Row],[CP_Pcode]],DistanceToCamp[CP_Pcode],0)-1,0,1,1),"")</f>
        <v>Waingmaw Town</v>
      </c>
      <c r="AJ44" s="739">
        <f ca="1">IFERROR(OFFSET(DistanceToCamp[distance],MATCH(CampList[[#This Row],[CP_Pcode]],DistanceToCamp[CP_Pcode],0)-1,0,1,1),"")</f>
        <v>2.4174307716662291</v>
      </c>
      <c r="AK44" s="740">
        <f ca="1">IFERROR(INT(CampList[[#This Row],[Distance]]/5)+1,"")</f>
        <v>1</v>
      </c>
    </row>
    <row r="45" spans="1:37" s="511" customFormat="1" ht="15.6" customHeight="1" x14ac:dyDescent="0.25">
      <c r="A45" s="764" t="s">
        <v>501</v>
      </c>
      <c r="B45" s="406" t="s">
        <v>380</v>
      </c>
      <c r="C45" s="406" t="s">
        <v>526</v>
      </c>
      <c r="D45" s="406" t="s">
        <v>237</v>
      </c>
      <c r="E45" s="406" t="s">
        <v>532</v>
      </c>
      <c r="F45" s="406" t="s">
        <v>310</v>
      </c>
      <c r="G45" s="406" t="s">
        <v>533</v>
      </c>
      <c r="H45" s="406" t="s">
        <v>696</v>
      </c>
      <c r="I45" s="406" t="s">
        <v>697</v>
      </c>
      <c r="J45" s="406" t="s">
        <v>715</v>
      </c>
      <c r="K45" s="406" t="s">
        <v>716</v>
      </c>
      <c r="L45" s="406" t="s">
        <v>316</v>
      </c>
      <c r="M45" s="406" t="s">
        <v>315</v>
      </c>
      <c r="N45" s="630">
        <v>97.444283730158702</v>
      </c>
      <c r="O45" s="630">
        <v>25.351250396825399</v>
      </c>
      <c r="P45" s="741">
        <v>476</v>
      </c>
      <c r="Q45" s="762">
        <v>70</v>
      </c>
      <c r="R45" s="663">
        <v>278</v>
      </c>
      <c r="S45" s="732">
        <f>IF(CampList[[#This Row],[HH]]&gt;0,CampList[[#This Row],[Total]]/CampList[[#This Row],[HH]],"NA")</f>
        <v>3.9714285714285715</v>
      </c>
      <c r="T45" s="722" t="s">
        <v>512</v>
      </c>
      <c r="U45" s="726" t="s">
        <v>1193</v>
      </c>
      <c r="V45" s="722" t="s">
        <v>555</v>
      </c>
      <c r="W45" s="726" t="s">
        <v>804</v>
      </c>
      <c r="X45" s="742">
        <v>40848</v>
      </c>
      <c r="Y45" s="743">
        <v>1</v>
      </c>
      <c r="Z45" s="742" t="s">
        <v>506</v>
      </c>
      <c r="AA45" s="736" t="s">
        <v>843</v>
      </c>
      <c r="AB45" s="736"/>
      <c r="AC45" s="744">
        <v>42571</v>
      </c>
      <c r="AD45" s="728" t="s">
        <v>1517</v>
      </c>
      <c r="AE45" s="759" t="s">
        <v>1095</v>
      </c>
      <c r="AF45" s="663">
        <f>IF(CampList[[#This Row],[Type of Accomodation]]="camp",MAX(0,CampList[[#This Row],[HH]]-SUMIF(Table_Shelter[Pcode],CampList[[#This Row],[CP_Pcode]],Table_Shelter[HH Covered])),0)</f>
        <v>15</v>
      </c>
      <c r="AG45" s="722"/>
      <c r="AH45" s="736">
        <f>MIN(CampList[[#This Row],[Shelter Gap]],CampList[[#This Row],[Land Status]])</f>
        <v>15</v>
      </c>
      <c r="AI45" s="722" t="str">
        <f ca="1">IFERROR(OFFSET(DistanceToCamp[Nearest Town],MATCH(CampList[[#This Row],[CP_Pcode]],DistanceToCamp[CP_Pcode],0)-1,0,1,1),"")</f>
        <v>Waingmaw Town</v>
      </c>
      <c r="AJ45" s="739">
        <f ca="1">IFERROR(OFFSET(DistanceToCamp[distance],MATCH(CampList[[#This Row],[CP_Pcode]],DistanceToCamp[CP_Pcode],0)-1,0,1,1),"")</f>
        <v>0.15089472113650237</v>
      </c>
      <c r="AK45" s="740">
        <f ca="1">IFERROR(INT(CampList[[#This Row],[Distance]]/5)+1,"")</f>
        <v>1</v>
      </c>
    </row>
    <row r="46" spans="1:37" s="511" customFormat="1" ht="15.6" customHeight="1" x14ac:dyDescent="0.25">
      <c r="A46" s="764" t="s">
        <v>501</v>
      </c>
      <c r="B46" s="406" t="s">
        <v>380</v>
      </c>
      <c r="C46" s="406" t="s">
        <v>526</v>
      </c>
      <c r="D46" s="406" t="s">
        <v>237</v>
      </c>
      <c r="E46" s="406" t="s">
        <v>532</v>
      </c>
      <c r="F46" s="406" t="s">
        <v>310</v>
      </c>
      <c r="G46" s="406" t="s">
        <v>533</v>
      </c>
      <c r="H46" s="406" t="s">
        <v>694</v>
      </c>
      <c r="I46" s="406" t="s">
        <v>695</v>
      </c>
      <c r="J46" s="406" t="s">
        <v>694</v>
      </c>
      <c r="K46" s="406">
        <v>165740</v>
      </c>
      <c r="L46" s="406" t="s">
        <v>326</v>
      </c>
      <c r="M46" s="406" t="s">
        <v>325</v>
      </c>
      <c r="N46" s="630">
        <v>97.426536944444507</v>
      </c>
      <c r="O46" s="630">
        <v>25.409612685185198</v>
      </c>
      <c r="P46" s="741">
        <v>0</v>
      </c>
      <c r="Q46" s="663">
        <v>46</v>
      </c>
      <c r="R46" s="663">
        <v>192</v>
      </c>
      <c r="S46" s="732">
        <f>IF(CampList[[#This Row],[HH]]&gt;0,CampList[[#This Row],[Total]]/CampList[[#This Row],[HH]],"NA")</f>
        <v>4.1739130434782608</v>
      </c>
      <c r="T46" s="722" t="s">
        <v>512</v>
      </c>
      <c r="U46" s="726" t="s">
        <v>1193</v>
      </c>
      <c r="V46" s="722" t="s">
        <v>555</v>
      </c>
      <c r="W46" s="726" t="s">
        <v>804</v>
      </c>
      <c r="X46" s="742">
        <v>40878</v>
      </c>
      <c r="Y46" s="743">
        <v>1</v>
      </c>
      <c r="Z46" s="742" t="s">
        <v>461</v>
      </c>
      <c r="AA46" s="735" t="s">
        <v>843</v>
      </c>
      <c r="AB46" s="736"/>
      <c r="AC46" s="744">
        <v>42569</v>
      </c>
      <c r="AD46" s="656" t="s">
        <v>1463</v>
      </c>
      <c r="AE46" s="759" t="s">
        <v>1095</v>
      </c>
      <c r="AF46" s="663">
        <f>IF(CampList[[#This Row],[Type of Accomodation]]="camp",MAX(0,CampList[[#This Row],[HH]]-SUMIF(Table_Shelter[Pcode],CampList[[#This Row],[CP_Pcode]],Table_Shelter[HH Covered])),0)</f>
        <v>6</v>
      </c>
      <c r="AG46" s="722"/>
      <c r="AH46" s="736">
        <f>MIN(CampList[[#This Row],[Shelter Gap]],CampList[[#This Row],[Land Status]])</f>
        <v>6</v>
      </c>
      <c r="AI46" s="722" t="str">
        <f ca="1">IFERROR(OFFSET(DistanceToCamp[Nearest Town],MATCH(CampList[[#This Row],[CP_Pcode]],DistanceToCamp[CP_Pcode],0)-1,0,1,1),"")</f>
        <v>Myitkyina Town</v>
      </c>
      <c r="AJ46" s="739">
        <f ca="1">IFERROR(OFFSET(DistanceToCamp[distance],MATCH(CampList[[#This Row],[CP_Pcode]],DistanceToCamp[CP_Pcode],0)-1,0,1,1),"")</f>
        <v>4.3887485673235673</v>
      </c>
      <c r="AK46" s="740">
        <f ca="1">IFERROR(INT(CampList[[#This Row],[Distance]]/5)+1,"")</f>
        <v>1</v>
      </c>
    </row>
    <row r="47" spans="1:37" s="511" customFormat="1" ht="15.6" customHeight="1" x14ac:dyDescent="0.25">
      <c r="A47" s="764" t="s">
        <v>501</v>
      </c>
      <c r="B47" s="406" t="s">
        <v>380</v>
      </c>
      <c r="C47" s="406" t="s">
        <v>526</v>
      </c>
      <c r="D47" s="406" t="s">
        <v>237</v>
      </c>
      <c r="E47" s="406" t="s">
        <v>532</v>
      </c>
      <c r="F47" s="406" t="s">
        <v>310</v>
      </c>
      <c r="G47" s="406" t="s">
        <v>533</v>
      </c>
      <c r="H47" s="406" t="s">
        <v>694</v>
      </c>
      <c r="I47" s="406" t="s">
        <v>695</v>
      </c>
      <c r="J47" s="406" t="s">
        <v>694</v>
      </c>
      <c r="K47" s="406">
        <v>165740</v>
      </c>
      <c r="L47" s="406" t="s">
        <v>324</v>
      </c>
      <c r="M47" s="406" t="s">
        <v>323</v>
      </c>
      <c r="N47" s="630">
        <v>97.434855869565197</v>
      </c>
      <c r="O47" s="630">
        <v>25.4118005797101</v>
      </c>
      <c r="P47" s="741">
        <v>0</v>
      </c>
      <c r="Q47" s="663">
        <v>396</v>
      </c>
      <c r="R47" s="663">
        <v>2120</v>
      </c>
      <c r="S47" s="732">
        <f>IF(CampList[[#This Row],[HH]]&gt;0,CampList[[#This Row],[Total]]/CampList[[#This Row],[HH]],"NA")</f>
        <v>5.3535353535353538</v>
      </c>
      <c r="T47" s="722" t="s">
        <v>512</v>
      </c>
      <c r="U47" s="726" t="s">
        <v>1193</v>
      </c>
      <c r="V47" s="722" t="s">
        <v>555</v>
      </c>
      <c r="W47" s="726" t="s">
        <v>857</v>
      </c>
      <c r="X47" s="742">
        <v>41061</v>
      </c>
      <c r="Y47" s="743">
        <v>3</v>
      </c>
      <c r="Z47" s="742" t="s">
        <v>461</v>
      </c>
      <c r="AA47" s="735" t="s">
        <v>843</v>
      </c>
      <c r="AB47" s="736"/>
      <c r="AC47" s="744">
        <v>42569</v>
      </c>
      <c r="AD47" s="656" t="s">
        <v>1463</v>
      </c>
      <c r="AE47" s="759" t="s">
        <v>1095</v>
      </c>
      <c r="AF47" s="663">
        <f>IF(CampList[[#This Row],[Type of Accomodation]]="camp",MAX(0,CampList[[#This Row],[HH]]-SUMIF(Table_Shelter[Pcode],CampList[[#This Row],[CP_Pcode]],Table_Shelter[HH Covered])),0)</f>
        <v>0</v>
      </c>
      <c r="AG47" s="722"/>
      <c r="AH47" s="736">
        <f>MIN(CampList[[#This Row],[Shelter Gap]],CampList[[#This Row],[Land Status]])</f>
        <v>0</v>
      </c>
      <c r="AI47" s="722" t="str">
        <f ca="1">IFERROR(OFFSET(DistanceToCamp[Nearest Town],MATCH(CampList[[#This Row],[CP_Pcode]],DistanceToCamp[CP_Pcode],0)-1,0,1,1),"")</f>
        <v>Myitkyina Town</v>
      </c>
      <c r="AJ47" s="739">
        <f ca="1">IFERROR(OFFSET(DistanceToCamp[distance],MATCH(CampList[[#This Row],[CP_Pcode]],DistanceToCamp[CP_Pcode],0)-1,0,1,1),"")</f>
        <v>5.2238983299151851</v>
      </c>
      <c r="AK47" s="740">
        <f ca="1">IFERROR(INT(CampList[[#This Row],[Distance]]/5)+1,"")</f>
        <v>2</v>
      </c>
    </row>
    <row r="48" spans="1:37" s="511" customFormat="1" ht="15.6" customHeight="1" x14ac:dyDescent="0.25">
      <c r="A48" s="764" t="s">
        <v>501</v>
      </c>
      <c r="B48" s="406" t="s">
        <v>380</v>
      </c>
      <c r="C48" s="406" t="s">
        <v>526</v>
      </c>
      <c r="D48" s="406" t="s">
        <v>237</v>
      </c>
      <c r="E48" s="406" t="s">
        <v>532</v>
      </c>
      <c r="F48" s="406" t="s">
        <v>310</v>
      </c>
      <c r="G48" s="406" t="s">
        <v>533</v>
      </c>
      <c r="H48" s="406" t="s">
        <v>772</v>
      </c>
      <c r="I48" s="406" t="s">
        <v>773</v>
      </c>
      <c r="J48" s="406" t="s">
        <v>774</v>
      </c>
      <c r="K48" s="406">
        <v>165845</v>
      </c>
      <c r="L48" s="406" t="s">
        <v>347</v>
      </c>
      <c r="M48" s="406" t="s">
        <v>346</v>
      </c>
      <c r="N48" s="630">
        <v>98.025662999999994</v>
      </c>
      <c r="O48" s="630">
        <v>25.418084</v>
      </c>
      <c r="P48" s="741"/>
      <c r="Q48" s="663">
        <v>179</v>
      </c>
      <c r="R48" s="663">
        <v>940</v>
      </c>
      <c r="S48" s="732">
        <f>IF(CampList[[#This Row],[HH]]&gt;0,CampList[[#This Row],[Total]]/CampList[[#This Row],[HH]],"NA")</f>
        <v>5.2513966480446923</v>
      </c>
      <c r="T48" s="722" t="s">
        <v>512</v>
      </c>
      <c r="U48" s="726" t="s">
        <v>1193</v>
      </c>
      <c r="V48" s="722" t="s">
        <v>555</v>
      </c>
      <c r="W48" s="726" t="s">
        <v>857</v>
      </c>
      <c r="X48" s="742">
        <v>40848</v>
      </c>
      <c r="Y48" s="743">
        <v>2</v>
      </c>
      <c r="Z48" s="742" t="s">
        <v>461</v>
      </c>
      <c r="AA48" s="736" t="s">
        <v>843</v>
      </c>
      <c r="AB48" s="736"/>
      <c r="AC48" s="744">
        <v>42569</v>
      </c>
      <c r="AD48" s="728" t="s">
        <v>1464</v>
      </c>
      <c r="AE48" s="759" t="s">
        <v>1079</v>
      </c>
      <c r="AF48" s="663">
        <f>IF(CampList[[#This Row],[Type of Accomodation]]="camp",MAX(0,CampList[[#This Row],[HH]]-SUMIF(Table_Shelter[Pcode],CampList[[#This Row],[CP_Pcode]],Table_Shelter[HH Covered])),0)</f>
        <v>0</v>
      </c>
      <c r="AG48" s="722"/>
      <c r="AH48" s="736">
        <f>MIN(CampList[[#This Row],[Shelter Gap]],CampList[[#This Row],[Land Status]])</f>
        <v>0</v>
      </c>
      <c r="AI48" s="722" t="str">
        <f ca="1">IFERROR(OFFSET(DistanceToCamp[Nearest Town],MATCH(CampList[[#This Row],[CP_Pcode]],DistanceToCamp[CP_Pcode],0)-1,0,1,1),"")</f>
        <v>Kan Paik Ti Town</v>
      </c>
      <c r="AJ48" s="739">
        <f ca="1">IFERROR(OFFSET(DistanceToCamp[distance],MATCH(CampList[[#This Row],[CP_Pcode]],DistanceToCamp[CP_Pcode],0)-1,0,1,1),"")</f>
        <v>9.3609732231189877</v>
      </c>
      <c r="AK48" s="740">
        <f ca="1">IFERROR(INT(CampList[[#This Row],[Distance]]/5)+1,"")</f>
        <v>2</v>
      </c>
    </row>
    <row r="49" spans="1:37" s="511" customFormat="1" ht="15.6" customHeight="1" x14ac:dyDescent="0.25">
      <c r="A49" s="656" t="s">
        <v>501</v>
      </c>
      <c r="B49" s="406" t="s">
        <v>380</v>
      </c>
      <c r="C49" s="406" t="s">
        <v>526</v>
      </c>
      <c r="D49" s="406" t="s">
        <v>237</v>
      </c>
      <c r="E49" s="406" t="s">
        <v>532</v>
      </c>
      <c r="F49" s="406" t="s">
        <v>27</v>
      </c>
      <c r="G49" s="406" t="s">
        <v>535</v>
      </c>
      <c r="H49" s="406" t="s">
        <v>792</v>
      </c>
      <c r="I49" s="406" t="s">
        <v>793</v>
      </c>
      <c r="J49" s="406" t="s">
        <v>1395</v>
      </c>
      <c r="K49" s="751" t="s">
        <v>1394</v>
      </c>
      <c r="L49" s="406" t="s">
        <v>28</v>
      </c>
      <c r="M49" s="406" t="s">
        <v>30</v>
      </c>
      <c r="N49" s="630">
        <v>98.131550000000004</v>
      </c>
      <c r="O49" s="630">
        <v>25.889410000000002</v>
      </c>
      <c r="P49" s="747">
        <v>304</v>
      </c>
      <c r="Q49" s="762">
        <v>109</v>
      </c>
      <c r="R49" s="663">
        <v>504</v>
      </c>
      <c r="S49" s="732">
        <f>IF(CampList[[#This Row],[HH]]&gt;0,CampList[[#This Row],[Total]]/CampList[[#This Row],[HH]],"NA")</f>
        <v>4.6238532110091741</v>
      </c>
      <c r="T49" s="722" t="s">
        <v>512</v>
      </c>
      <c r="U49" s="726" t="s">
        <v>1193</v>
      </c>
      <c r="V49" s="722" t="s">
        <v>555</v>
      </c>
      <c r="W49" s="726" t="s">
        <v>804</v>
      </c>
      <c r="X49" s="742">
        <v>41244</v>
      </c>
      <c r="Y49" s="743">
        <v>1</v>
      </c>
      <c r="Z49" s="742" t="s">
        <v>506</v>
      </c>
      <c r="AA49" s="735" t="s">
        <v>843</v>
      </c>
      <c r="AB49" s="736"/>
      <c r="AC49" s="744">
        <v>42571</v>
      </c>
      <c r="AD49" s="656" t="s">
        <v>1502</v>
      </c>
      <c r="AE49" s="759" t="s">
        <v>1079</v>
      </c>
      <c r="AF49" s="663">
        <f>IF(CampList[[#This Row],[Type of Accomodation]]="camp",MAX(0,CampList[[#This Row],[HH]]-SUMIF(Table_Shelter[Pcode],CampList[[#This Row],[CP_Pcode]],Table_Shelter[HH Covered])),0)</f>
        <v>2</v>
      </c>
      <c r="AG49" s="722"/>
      <c r="AH49" s="736">
        <f>MIN(CampList[[#This Row],[Shelter Gap]],CampList[[#This Row],[Land Status]])</f>
        <v>2</v>
      </c>
      <c r="AI49" s="722" t="str">
        <f ca="1">IFERROR(OFFSET(DistanceToCamp[Nearest Town],MATCH(CampList[[#This Row],[CP_Pcode]],DistanceToCamp[CP_Pcode],0)-1,0,1,1),"")</f>
        <v>Chipwi Town</v>
      </c>
      <c r="AJ49" s="739">
        <f ca="1">IFERROR(OFFSET(DistanceToCamp[distance],MATCH(CampList[[#This Row],[CP_Pcode]],DistanceToCamp[CP_Pcode],0)-1,0,1,1),"")</f>
        <v>0.15809623370782155</v>
      </c>
      <c r="AK49" s="740">
        <f ca="1">IFERROR(INT(CampList[[#This Row],[Distance]]/5)+1,"")</f>
        <v>1</v>
      </c>
    </row>
    <row r="50" spans="1:37" s="511" customFormat="1" ht="15.6" customHeight="1" x14ac:dyDescent="0.25">
      <c r="A50" s="656" t="s">
        <v>501</v>
      </c>
      <c r="B50" s="406" t="s">
        <v>380</v>
      </c>
      <c r="C50" s="406" t="s">
        <v>526</v>
      </c>
      <c r="D50" s="406" t="s">
        <v>237</v>
      </c>
      <c r="E50" s="406" t="s">
        <v>532</v>
      </c>
      <c r="F50" s="406" t="s">
        <v>27</v>
      </c>
      <c r="G50" s="406" t="s">
        <v>535</v>
      </c>
      <c r="H50" s="728" t="s">
        <v>794</v>
      </c>
      <c r="I50" s="728" t="s">
        <v>795</v>
      </c>
      <c r="J50" s="728" t="s">
        <v>796</v>
      </c>
      <c r="K50" s="728">
        <v>166355</v>
      </c>
      <c r="L50" s="406" t="s">
        <v>364</v>
      </c>
      <c r="M50" s="406" t="s">
        <v>29</v>
      </c>
      <c r="N50" s="630">
        <v>98.475719999999995</v>
      </c>
      <c r="O50" s="630">
        <v>25.754110000000001</v>
      </c>
      <c r="P50" s="741">
        <v>2785</v>
      </c>
      <c r="Q50" s="663">
        <v>152</v>
      </c>
      <c r="R50" s="663">
        <v>1015</v>
      </c>
      <c r="S50" s="732">
        <f>IF(CampList[[#This Row],[HH]]&gt;0,CampList[[#This Row],[Total]]/CampList[[#This Row],[HH]],"NA")</f>
        <v>6.6776315789473681</v>
      </c>
      <c r="T50" s="722" t="s">
        <v>514</v>
      </c>
      <c r="U50" s="726" t="s">
        <v>1193</v>
      </c>
      <c r="V50" s="722" t="s">
        <v>555</v>
      </c>
      <c r="W50" s="726" t="s">
        <v>858</v>
      </c>
      <c r="X50" s="742">
        <v>41030</v>
      </c>
      <c r="Y50" s="743">
        <v>2</v>
      </c>
      <c r="Z50" s="742" t="s">
        <v>461</v>
      </c>
      <c r="AA50" s="735" t="s">
        <v>843</v>
      </c>
      <c r="AB50" s="736"/>
      <c r="AC50" s="744">
        <v>42569</v>
      </c>
      <c r="AD50" s="656" t="s">
        <v>1465</v>
      </c>
      <c r="AE50" s="759" t="s">
        <v>1079</v>
      </c>
      <c r="AF50" s="663">
        <f>IF(CampList[[#This Row],[Type of Accomodation]]="camp",MAX(0,CampList[[#This Row],[HH]]-SUMIF(Table_Shelter[Pcode],CampList[[#This Row],[CP_Pcode]],Table_Shelter[HH Covered])),0)</f>
        <v>152</v>
      </c>
      <c r="AG50" s="722"/>
      <c r="AH50" s="736">
        <f>MIN(CampList[[#This Row],[Shelter Gap]],CampList[[#This Row],[Land Status]])</f>
        <v>152</v>
      </c>
      <c r="AI50" s="722" t="str">
        <f ca="1">IFERROR(OFFSET(DistanceToCamp[Nearest Town],MATCH(CampList[[#This Row],[CP_Pcode]],DistanceToCamp[CP_Pcode],0)-1,0,1,1),"")</f>
        <v>Pang War Town</v>
      </c>
      <c r="AJ50" s="739">
        <f ca="1">IFERROR(OFFSET(DistanceToCamp[distance],MATCH(CampList[[#This Row],[CP_Pcode]],DistanceToCamp[CP_Pcode],0)-1,0,1,1),"")</f>
        <v>19.834999342466848</v>
      </c>
      <c r="AK50" s="740">
        <f ca="1">IFERROR(INT(CampList[[#This Row],[Distance]]/5)+1,"")</f>
        <v>4</v>
      </c>
    </row>
    <row r="51" spans="1:37" s="511" customFormat="1" ht="15.6" hidden="1" customHeight="1" x14ac:dyDescent="0.25">
      <c r="A51" s="656" t="s">
        <v>844</v>
      </c>
      <c r="B51" s="406" t="s">
        <v>380</v>
      </c>
      <c r="C51" s="406" t="s">
        <v>526</v>
      </c>
      <c r="D51" s="406" t="s">
        <v>237</v>
      </c>
      <c r="E51" s="406" t="s">
        <v>532</v>
      </c>
      <c r="F51" s="406" t="s">
        <v>27</v>
      </c>
      <c r="G51" s="406" t="s">
        <v>535</v>
      </c>
      <c r="H51" s="406"/>
      <c r="I51" s="406"/>
      <c r="J51" s="406"/>
      <c r="K51" s="406"/>
      <c r="L51" s="406" t="s">
        <v>37</v>
      </c>
      <c r="M51" s="406" t="s">
        <v>36</v>
      </c>
      <c r="N51" s="630"/>
      <c r="O51" s="630"/>
      <c r="P51" s="729"/>
      <c r="Q51" s="730">
        <v>0</v>
      </c>
      <c r="R51" s="731">
        <v>0</v>
      </c>
      <c r="S51" s="732" t="str">
        <f>IF(CampList[[#This Row],[HH]]&gt;0,CampList[[#This Row],[Total]]/CampList[[#This Row],[HH]],"NA")</f>
        <v>NA</v>
      </c>
      <c r="T51" s="722" t="s">
        <v>512</v>
      </c>
      <c r="U51" s="726" t="s">
        <v>1193</v>
      </c>
      <c r="V51" s="722" t="s">
        <v>555</v>
      </c>
      <c r="W51" s="726"/>
      <c r="X51" s="733"/>
      <c r="Y51" s="729"/>
      <c r="Z51" s="734"/>
      <c r="AA51" s="749"/>
      <c r="AB51" s="736"/>
      <c r="AC51" s="737"/>
      <c r="AD51" s="656" t="s">
        <v>602</v>
      </c>
      <c r="AE51" s="755" t="s">
        <v>1009</v>
      </c>
      <c r="AF51" s="663">
        <f>IF(CampList[[#This Row],[Type of Accomodation]]="camp",MAX(0,CampList[[#This Row],[HH]]-SUMIF(Table_Shelter[Pcode],CampList[[#This Row],[CP_Pcode]],Table_Shelter[HH Covered])),0)</f>
        <v>0</v>
      </c>
      <c r="AG51" s="722"/>
      <c r="AH51" s="736">
        <f>MIN(CampList[[#This Row],[Shelter Gap]],CampList[[#This Row],[Land Status]])</f>
        <v>0</v>
      </c>
      <c r="AI51" s="722" t="str">
        <f ca="1">IFERROR(OFFSET(DistanceToCamp[Nearest Town],MATCH(CampList[[#This Row],[CP_Pcode]],DistanceToCamp[CP_Pcode],0)-1,0,1,1),"")</f>
        <v/>
      </c>
      <c r="AJ51" s="739" t="str">
        <f ca="1">IFERROR(OFFSET(DistanceToCamp[distance],MATCH(CampList[[#This Row],[CP_Pcode]],DistanceToCamp[CP_Pcode],0)-1,0,1,1),"")</f>
        <v/>
      </c>
      <c r="AK51" s="740" t="str">
        <f ca="1">IFERROR(INT(CampList[[#This Row],[Distance]]/5)+1,"")</f>
        <v/>
      </c>
    </row>
    <row r="52" spans="1:37" s="511" customFormat="1" ht="15.6" customHeight="1" x14ac:dyDescent="0.25">
      <c r="A52" s="656" t="s">
        <v>501</v>
      </c>
      <c r="B52" s="406" t="s">
        <v>380</v>
      </c>
      <c r="C52" s="406" t="s">
        <v>526</v>
      </c>
      <c r="D52" s="406" t="s">
        <v>237</v>
      </c>
      <c r="E52" s="406" t="s">
        <v>532</v>
      </c>
      <c r="F52" s="406" t="s">
        <v>27</v>
      </c>
      <c r="G52" s="406" t="s">
        <v>535</v>
      </c>
      <c r="H52" s="728" t="s">
        <v>789</v>
      </c>
      <c r="I52" s="728" t="s">
        <v>790</v>
      </c>
      <c r="J52" s="728" t="s">
        <v>791</v>
      </c>
      <c r="K52" s="728">
        <v>166337</v>
      </c>
      <c r="L52" s="406" t="s">
        <v>34</v>
      </c>
      <c r="M52" s="406" t="s">
        <v>33</v>
      </c>
      <c r="N52" s="630">
        <v>98.354146999999998</v>
      </c>
      <c r="O52" s="630">
        <v>25.708763000000001</v>
      </c>
      <c r="P52" s="729"/>
      <c r="Q52" s="730"/>
      <c r="R52" s="731"/>
      <c r="S52" s="732" t="str">
        <f>IF(CampList[[#This Row],[HH]]&gt;0,CampList[[#This Row],[Total]]/CampList[[#This Row],[HH]],"NA")</f>
        <v>NA</v>
      </c>
      <c r="T52" s="722" t="s">
        <v>512</v>
      </c>
      <c r="U52" s="726" t="s">
        <v>1193</v>
      </c>
      <c r="V52" s="723" t="s">
        <v>12</v>
      </c>
      <c r="W52" s="726" t="s">
        <v>857</v>
      </c>
      <c r="X52" s="733"/>
      <c r="Y52" s="729"/>
      <c r="Z52" s="734"/>
      <c r="AA52" s="749"/>
      <c r="AB52" s="736"/>
      <c r="AC52" s="767"/>
      <c r="AD52" s="656"/>
      <c r="AE52" s="755" t="s">
        <v>1079</v>
      </c>
      <c r="AF52" s="663">
        <f>IF(CampList[[#This Row],[Type of Accomodation]]="camp",MAX(0,CampList[[#This Row],[HH]]-SUMIF(Table_Shelter[Pcode],CampList[[#This Row],[CP_Pcode]],Table_Shelter[HH Covered])),0)</f>
        <v>0</v>
      </c>
      <c r="AG52" s="722"/>
      <c r="AH52" s="736">
        <f>MIN(CampList[[#This Row],[Shelter Gap]],CampList[[#This Row],[Land Status]])</f>
        <v>0</v>
      </c>
      <c r="AI52" s="722" t="str">
        <f ca="1">IFERROR(OFFSET(DistanceToCamp[Nearest Town],MATCH(CampList[[#This Row],[CP_Pcode]],DistanceToCamp[CP_Pcode],0)-1,0,1,1),"")</f>
        <v>Pang War Town</v>
      </c>
      <c r="AJ52" s="739">
        <f ca="1">IFERROR(OFFSET(DistanceToCamp[distance],MATCH(CampList[[#This Row],[CP_Pcode]],DistanceToCamp[CP_Pcode],0)-1,0,1,1),"")</f>
        <v>12.486065224161463</v>
      </c>
      <c r="AK52" s="740">
        <f ca="1">IFERROR(INT(CampList[[#This Row],[Distance]]/5)+1,"")</f>
        <v>3</v>
      </c>
    </row>
    <row r="53" spans="1:37" s="511" customFormat="1" ht="15.6" hidden="1" customHeight="1" x14ac:dyDescent="0.25">
      <c r="A53" s="656" t="s">
        <v>844</v>
      </c>
      <c r="B53" s="406" t="s">
        <v>380</v>
      </c>
      <c r="C53" s="406" t="s">
        <v>526</v>
      </c>
      <c r="D53" s="406" t="s">
        <v>237</v>
      </c>
      <c r="E53" s="406" t="s">
        <v>532</v>
      </c>
      <c r="F53" s="406" t="s">
        <v>27</v>
      </c>
      <c r="G53" s="406" t="s">
        <v>535</v>
      </c>
      <c r="H53" s="406"/>
      <c r="I53" s="406"/>
      <c r="J53" s="406"/>
      <c r="K53" s="406"/>
      <c r="L53" s="406" t="s">
        <v>32</v>
      </c>
      <c r="M53" s="406" t="s">
        <v>31</v>
      </c>
      <c r="N53" s="630"/>
      <c r="O53" s="630"/>
      <c r="P53" s="729"/>
      <c r="Q53" s="730"/>
      <c r="R53" s="731"/>
      <c r="S53" s="732" t="str">
        <f>IF(CampList[[#This Row],[HH]]&gt;0,CampList[[#This Row],[Total]]/CampList[[#This Row],[HH]],"NA")</f>
        <v>NA</v>
      </c>
      <c r="T53" s="722" t="s">
        <v>512</v>
      </c>
      <c r="U53" s="726" t="s">
        <v>1193</v>
      </c>
      <c r="V53" s="722" t="s">
        <v>555</v>
      </c>
      <c r="W53" s="726" t="s">
        <v>857</v>
      </c>
      <c r="X53" s="733"/>
      <c r="Y53" s="729"/>
      <c r="Z53" s="742" t="s">
        <v>1092</v>
      </c>
      <c r="AA53" s="735" t="s">
        <v>843</v>
      </c>
      <c r="AB53" s="736"/>
      <c r="AC53" s="744">
        <v>42096</v>
      </c>
      <c r="AD53" s="656" t="s">
        <v>1242</v>
      </c>
      <c r="AE53" s="755" t="s">
        <v>1079</v>
      </c>
      <c r="AF53" s="663">
        <f>IF(CampList[[#This Row],[Type of Accomodation]]="camp",MAX(0,CampList[[#This Row],[HH]]-SUMIF(Table_Shelter[Pcode],CampList[[#This Row],[CP_Pcode]],Table_Shelter[HH Covered])),0)</f>
        <v>0</v>
      </c>
      <c r="AG53" s="722"/>
      <c r="AH53" s="736">
        <f>MIN(CampList[[#This Row],[Shelter Gap]],CampList[[#This Row],[Land Status]])</f>
        <v>0</v>
      </c>
      <c r="AI53" s="722" t="str">
        <f ca="1">IFERROR(OFFSET(DistanceToCamp[Nearest Town],MATCH(CampList[[#This Row],[CP_Pcode]],DistanceToCamp[CP_Pcode],0)-1,0,1,1),"")</f>
        <v/>
      </c>
      <c r="AJ53" s="739" t="str">
        <f ca="1">IFERROR(OFFSET(DistanceToCamp[distance],MATCH(CampList[[#This Row],[CP_Pcode]],DistanceToCamp[CP_Pcode],0)-1,0,1,1),"")</f>
        <v/>
      </c>
      <c r="AK53" s="740" t="str">
        <f ca="1">IFERROR(INT(CampList[[#This Row],[Distance]]/5)+1,"")</f>
        <v/>
      </c>
    </row>
    <row r="54" spans="1:37" s="511" customFormat="1" ht="15.6" customHeight="1" x14ac:dyDescent="0.25">
      <c r="A54" s="656" t="s">
        <v>501</v>
      </c>
      <c r="B54" s="406" t="s">
        <v>380</v>
      </c>
      <c r="C54" s="406" t="s">
        <v>526</v>
      </c>
      <c r="D54" s="406" t="s">
        <v>5</v>
      </c>
      <c r="E54" s="406" t="s">
        <v>530</v>
      </c>
      <c r="F54" s="406" t="s">
        <v>5</v>
      </c>
      <c r="G54" s="406" t="s">
        <v>531</v>
      </c>
      <c r="H54" s="406" t="s">
        <v>638</v>
      </c>
      <c r="I54" s="406" t="s">
        <v>639</v>
      </c>
      <c r="J54" s="406" t="s">
        <v>642</v>
      </c>
      <c r="K54" s="406" t="s">
        <v>643</v>
      </c>
      <c r="L54" s="406" t="s">
        <v>22</v>
      </c>
      <c r="M54" s="406" t="s">
        <v>21</v>
      </c>
      <c r="N54" s="630">
        <v>97.229116811594196</v>
      </c>
      <c r="O54" s="630">
        <v>24.268292826086999</v>
      </c>
      <c r="P54" s="741"/>
      <c r="Q54" s="663">
        <v>629</v>
      </c>
      <c r="R54" s="665">
        <v>3801</v>
      </c>
      <c r="S54" s="732">
        <f>IF(CampList[[#This Row],[HH]]&gt;0,CampList[[#This Row],[Total]]/CampList[[#This Row],[HH]],"NA")</f>
        <v>6.0429252782193963</v>
      </c>
      <c r="T54" s="722" t="s">
        <v>512</v>
      </c>
      <c r="U54" s="726" t="s">
        <v>1193</v>
      </c>
      <c r="V54" s="722" t="s">
        <v>555</v>
      </c>
      <c r="W54" s="726" t="s">
        <v>804</v>
      </c>
      <c r="X54" s="742">
        <v>40725</v>
      </c>
      <c r="Y54" s="743">
        <v>3</v>
      </c>
      <c r="Z54" s="742" t="s">
        <v>461</v>
      </c>
      <c r="AA54" s="736" t="s">
        <v>843</v>
      </c>
      <c r="AB54" s="736"/>
      <c r="AC54" s="744">
        <v>42569</v>
      </c>
      <c r="AD54" s="728" t="s">
        <v>1466</v>
      </c>
      <c r="AE54" s="759" t="s">
        <v>1095</v>
      </c>
      <c r="AF54" s="663">
        <f>IF(CampList[[#This Row],[Type of Accomodation]]="camp",MAX(0,CampList[[#This Row],[HH]]-SUMIF(Table_Shelter[Pcode],CampList[[#This Row],[CP_Pcode]],Table_Shelter[HH Covered])),0)</f>
        <v>204</v>
      </c>
      <c r="AG54" s="663"/>
      <c r="AH54" s="736">
        <f>MIN(CampList[[#This Row],[Shelter Gap]],CampList[[#This Row],[Land Status]])</f>
        <v>204</v>
      </c>
      <c r="AI54" s="722" t="str">
        <f ca="1">IFERROR(OFFSET(DistanceToCamp[Nearest Town],MATCH(CampList[[#This Row],[CP_Pcode]],DistanceToCamp[CP_Pcode],0)-1,0,1,1),"")</f>
        <v>Bhamo Town</v>
      </c>
      <c r="AJ54" s="739">
        <f ca="1">IFERROR(OFFSET(DistanceToCamp[distance],MATCH(CampList[[#This Row],[CP_Pcode]],DistanceToCamp[CP_Pcode],0)-1,0,1,1),"")</f>
        <v>1.5797992800898704</v>
      </c>
      <c r="AK54" s="740">
        <f ca="1">IFERROR(INT(CampList[[#This Row],[Distance]]/5)+1,"")</f>
        <v>1</v>
      </c>
    </row>
    <row r="55" spans="1:37" s="511" customFormat="1" ht="15.6" hidden="1" customHeight="1" x14ac:dyDescent="0.25">
      <c r="A55" s="656" t="s">
        <v>844</v>
      </c>
      <c r="B55" s="406" t="s">
        <v>380</v>
      </c>
      <c r="C55" s="406" t="s">
        <v>526</v>
      </c>
      <c r="D55" s="406" t="s">
        <v>5</v>
      </c>
      <c r="E55" s="406" t="s">
        <v>530</v>
      </c>
      <c r="F55" s="406" t="s">
        <v>5</v>
      </c>
      <c r="G55" s="406" t="s">
        <v>531</v>
      </c>
      <c r="H55" s="406"/>
      <c r="I55" s="406"/>
      <c r="J55" s="406"/>
      <c r="K55" s="406"/>
      <c r="L55" s="406" t="s">
        <v>16</v>
      </c>
      <c r="M55" s="406" t="s">
        <v>15</v>
      </c>
      <c r="N55" s="630">
        <v>97.221556500999995</v>
      </c>
      <c r="O55" s="630">
        <v>24.262418020999998</v>
      </c>
      <c r="P55" s="729"/>
      <c r="Q55" s="730">
        <v>0</v>
      </c>
      <c r="R55" s="731">
        <v>0</v>
      </c>
      <c r="S55" s="732" t="str">
        <f>IF(CampList[[#This Row],[HH]]&gt;0,CampList[[#This Row],[Total]]/CampList[[#This Row],[HH]],"NA")</f>
        <v>NA</v>
      </c>
      <c r="T55" s="722" t="s">
        <v>512</v>
      </c>
      <c r="U55" s="726" t="s">
        <v>1193</v>
      </c>
      <c r="V55" s="722" t="s">
        <v>555</v>
      </c>
      <c r="W55" s="726"/>
      <c r="X55" s="733"/>
      <c r="Y55" s="729"/>
      <c r="Z55" s="734"/>
      <c r="AA55" s="735" t="s">
        <v>843</v>
      </c>
      <c r="AB55" s="736"/>
      <c r="AC55" s="744">
        <v>41661</v>
      </c>
      <c r="AD55" s="656" t="s">
        <v>939</v>
      </c>
      <c r="AE55" s="755" t="s">
        <v>1009</v>
      </c>
      <c r="AF55" s="663">
        <f>IF(CampList[[#This Row],[Type of Accomodation]]="camp",MAX(0,CampList[[#This Row],[HH]]-SUMIF(Table_Shelter[Pcode],CampList[[#This Row],[CP_Pcode]],Table_Shelter[HH Covered])),0)</f>
        <v>0</v>
      </c>
      <c r="AG55" s="722"/>
      <c r="AH55" s="736">
        <f>MIN(CampList[[#This Row],[Shelter Gap]],CampList[[#This Row],[Land Status]])</f>
        <v>0</v>
      </c>
      <c r="AI55" s="722" t="str">
        <f ca="1">IFERROR(OFFSET(DistanceToCamp[Nearest Town],MATCH(CampList[[#This Row],[CP_Pcode]],DistanceToCamp[CP_Pcode],0)-1,0,1,1),"")</f>
        <v/>
      </c>
      <c r="AJ55" s="739" t="str">
        <f ca="1">IFERROR(OFFSET(DistanceToCamp[distance],MATCH(CampList[[#This Row],[CP_Pcode]],DistanceToCamp[CP_Pcode],0)-1,0,1,1),"")</f>
        <v/>
      </c>
      <c r="AK55" s="740" t="str">
        <f ca="1">IFERROR(INT(CampList[[#This Row],[Distance]]/5)+1,"")</f>
        <v/>
      </c>
    </row>
    <row r="56" spans="1:37" s="511" customFormat="1" ht="15.6" customHeight="1" x14ac:dyDescent="0.25">
      <c r="A56" s="656" t="s">
        <v>501</v>
      </c>
      <c r="B56" s="406" t="s">
        <v>380</v>
      </c>
      <c r="C56" s="406" t="s">
        <v>526</v>
      </c>
      <c r="D56" s="406" t="s">
        <v>5</v>
      </c>
      <c r="E56" s="406" t="s">
        <v>530</v>
      </c>
      <c r="F56" s="406" t="s">
        <v>5</v>
      </c>
      <c r="G56" s="406" t="s">
        <v>531</v>
      </c>
      <c r="H56" s="728" t="s">
        <v>1390</v>
      </c>
      <c r="I56" s="728" t="s">
        <v>1391</v>
      </c>
      <c r="J56" s="728" t="s">
        <v>1390</v>
      </c>
      <c r="K56" s="763">
        <v>166836</v>
      </c>
      <c r="L56" s="406" t="s">
        <v>18</v>
      </c>
      <c r="M56" s="406" t="s">
        <v>17</v>
      </c>
      <c r="N56" s="630">
        <v>97.240183461538507</v>
      </c>
      <c r="O56" s="630">
        <v>24.2631743589744</v>
      </c>
      <c r="P56" s="747">
        <v>0</v>
      </c>
      <c r="Q56" s="138">
        <v>116</v>
      </c>
      <c r="R56" s="138">
        <v>659</v>
      </c>
      <c r="S56" s="732">
        <f>IF(CampList[[#This Row],[HH]]&gt;0,CampList[[#This Row],[Total]]/CampList[[#This Row],[HH]],"NA")</f>
        <v>5.681034482758621</v>
      </c>
      <c r="T56" s="722" t="s">
        <v>512</v>
      </c>
      <c r="U56" s="726" t="s">
        <v>1193</v>
      </c>
      <c r="V56" s="722" t="s">
        <v>555</v>
      </c>
      <c r="W56" s="726" t="s">
        <v>804</v>
      </c>
      <c r="X56" s="742">
        <v>40695</v>
      </c>
      <c r="Y56" s="743">
        <v>2</v>
      </c>
      <c r="Z56" s="742" t="s">
        <v>506</v>
      </c>
      <c r="AA56" s="735" t="s">
        <v>843</v>
      </c>
      <c r="AB56" s="736"/>
      <c r="AC56" s="744">
        <v>42571</v>
      </c>
      <c r="AD56" s="656" t="s">
        <v>1508</v>
      </c>
      <c r="AE56" s="759" t="s">
        <v>1095</v>
      </c>
      <c r="AF56" s="663">
        <f>IF(CampList[[#This Row],[Type of Accomodation]]="camp",MAX(0,CampList[[#This Row],[HH]]-SUMIF(Table_Shelter[Pcode],CampList[[#This Row],[CP_Pcode]],Table_Shelter[HH Covered])),0)</f>
        <v>14</v>
      </c>
      <c r="AG56" s="722"/>
      <c r="AH56" s="736">
        <f>MIN(CampList[[#This Row],[Shelter Gap]],CampList[[#This Row],[Land Status]])</f>
        <v>14</v>
      </c>
      <c r="AI56" s="722" t="str">
        <f ca="1">IFERROR(OFFSET(DistanceToCamp[Nearest Town],MATCH(CampList[[#This Row],[CP_Pcode]],DistanceToCamp[CP_Pcode],0)-1,0,1,1),"")</f>
        <v>Bhamo Town</v>
      </c>
      <c r="AJ56" s="739">
        <f ca="1">IFERROR(OFFSET(DistanceToCamp[distance],MATCH(CampList[[#This Row],[CP_Pcode]],DistanceToCamp[CP_Pcode],0)-1,0,1,1),"")</f>
        <v>1.0876401420946245</v>
      </c>
      <c r="AK56" s="740">
        <f ca="1">IFERROR(INT(CampList[[#This Row],[Distance]]/5)+1,"")</f>
        <v>1</v>
      </c>
    </row>
    <row r="57" spans="1:37" s="511" customFormat="1" ht="15.6" customHeight="1" x14ac:dyDescent="0.25">
      <c r="A57" s="756" t="s">
        <v>501</v>
      </c>
      <c r="B57" s="214" t="s">
        <v>380</v>
      </c>
      <c r="C57" s="214" t="s">
        <v>526</v>
      </c>
      <c r="D57" s="214" t="s">
        <v>5</v>
      </c>
      <c r="E57" s="214" t="s">
        <v>530</v>
      </c>
      <c r="F57" s="214" t="s">
        <v>5</v>
      </c>
      <c r="G57" s="214" t="s">
        <v>531</v>
      </c>
      <c r="H57" s="214" t="s">
        <v>1390</v>
      </c>
      <c r="I57" s="757" t="s">
        <v>1391</v>
      </c>
      <c r="J57" s="214" t="s">
        <v>1390</v>
      </c>
      <c r="K57" s="214">
        <v>166836</v>
      </c>
      <c r="L57" s="214" t="s">
        <v>6</v>
      </c>
      <c r="M57" s="214" t="s">
        <v>4</v>
      </c>
      <c r="N57" s="752">
        <v>97.238829999999993</v>
      </c>
      <c r="O57" s="752">
        <v>24.260719999999999</v>
      </c>
      <c r="P57" s="729"/>
      <c r="Q57" s="663">
        <v>274</v>
      </c>
      <c r="R57" s="755">
        <v>1349</v>
      </c>
      <c r="S57" s="732">
        <f>IF(CampList[[#This Row],[HH]]&gt;0,CampList[[#This Row],[Total]]/CampList[[#This Row],[HH]],"NA")</f>
        <v>4.9233576642335768</v>
      </c>
      <c r="T57" s="663" t="s">
        <v>512</v>
      </c>
      <c r="U57" s="722" t="s">
        <v>1193</v>
      </c>
      <c r="V57" s="663" t="s">
        <v>555</v>
      </c>
      <c r="W57" s="663" t="s">
        <v>804</v>
      </c>
      <c r="X57" s="754">
        <v>40848</v>
      </c>
      <c r="Y57" s="729">
        <v>2</v>
      </c>
      <c r="Z57" s="729" t="s">
        <v>1091</v>
      </c>
      <c r="AA57" s="752" t="s">
        <v>843</v>
      </c>
      <c r="AB57" s="752"/>
      <c r="AC57" s="744">
        <v>42397</v>
      </c>
      <c r="AD57" s="758" t="s">
        <v>1330</v>
      </c>
      <c r="AE57" s="759" t="s">
        <v>1095</v>
      </c>
      <c r="AF57" s="760">
        <f>IF(CampList[[#This Row],[Type of Accomodation]]="camp",MAX(0,CampList[[#This Row],[HH]]-SUMIF(Table_Shelter[Pcode],CampList[[#This Row],[CP_Pcode]],Table_Shelter[HH Covered])),0)</f>
        <v>104</v>
      </c>
      <c r="AG57" s="663">
        <v>20</v>
      </c>
      <c r="AH57" s="741">
        <f>MIN(CampList[[#This Row],[Shelter Gap]],CampList[[#This Row],[Land Status]])</f>
        <v>20</v>
      </c>
      <c r="AI57" s="760" t="str">
        <f ca="1">IFERROR(OFFSET(DistanceToCamp[Nearest Town],MATCH(CampList[[#This Row],[CP_Pcode]],DistanceToCamp[CP_Pcode],0)-1,0,1,1),"")</f>
        <v>Bhamo Town</v>
      </c>
      <c r="AJ57" s="739">
        <f ca="1">IFERROR(OFFSET(DistanceToCamp[distance],MATCH(CampList[[#This Row],[CP_Pcode]],DistanceToCamp[CP_Pcode],0)-1,0,1,1),"")</f>
        <v>0.78440046838596356</v>
      </c>
      <c r="AK57" s="761">
        <f ca="1">IFERROR(INT(CampList[[#This Row],[Distance]]/5)+1,"")</f>
        <v>1</v>
      </c>
    </row>
    <row r="58" spans="1:37" s="511" customFormat="1" ht="15.6" customHeight="1" x14ac:dyDescent="0.25">
      <c r="A58" s="656" t="s">
        <v>501</v>
      </c>
      <c r="B58" s="406" t="s">
        <v>380</v>
      </c>
      <c r="C58" s="406" t="s">
        <v>526</v>
      </c>
      <c r="D58" s="406" t="s">
        <v>5</v>
      </c>
      <c r="E58" s="406" t="s">
        <v>530</v>
      </c>
      <c r="F58" s="406" t="s">
        <v>5</v>
      </c>
      <c r="G58" s="406" t="s">
        <v>531</v>
      </c>
      <c r="H58" s="728" t="s">
        <v>638</v>
      </c>
      <c r="I58" s="728" t="s">
        <v>639</v>
      </c>
      <c r="J58" s="728" t="s">
        <v>644</v>
      </c>
      <c r="K58" s="728" t="s">
        <v>645</v>
      </c>
      <c r="L58" s="406" t="s">
        <v>8</v>
      </c>
      <c r="M58" s="406" t="s">
        <v>7</v>
      </c>
      <c r="N58" s="630">
        <v>97.234200000000001</v>
      </c>
      <c r="O58" s="630">
        <v>24.253067000000001</v>
      </c>
      <c r="P58" s="747">
        <v>0</v>
      </c>
      <c r="Q58" s="138">
        <v>14</v>
      </c>
      <c r="R58" s="138">
        <v>65</v>
      </c>
      <c r="S58" s="732">
        <f>IF(CampList[[#This Row],[HH]]&gt;0,CampList[[#This Row],[Total]]/CampList[[#This Row],[HH]],"NA")</f>
        <v>4.6428571428571432</v>
      </c>
      <c r="T58" s="722" t="s">
        <v>512</v>
      </c>
      <c r="U58" s="726" t="s">
        <v>1193</v>
      </c>
      <c r="V58" s="722" t="s">
        <v>555</v>
      </c>
      <c r="W58" s="726" t="s">
        <v>804</v>
      </c>
      <c r="X58" s="742">
        <v>41183</v>
      </c>
      <c r="Y58" s="743">
        <v>1</v>
      </c>
      <c r="Z58" s="742" t="s">
        <v>506</v>
      </c>
      <c r="AA58" s="735" t="s">
        <v>843</v>
      </c>
      <c r="AB58" s="736"/>
      <c r="AC58" s="744">
        <v>42571</v>
      </c>
      <c r="AD58" s="656" t="s">
        <v>1513</v>
      </c>
      <c r="AE58" s="759" t="s">
        <v>1095</v>
      </c>
      <c r="AF58" s="663">
        <f>IF(CampList[[#This Row],[Type of Accomodation]]="camp",MAX(0,CampList[[#This Row],[HH]]-SUMIF(Table_Shelter[Pcode],CampList[[#This Row],[CP_Pcode]],Table_Shelter[HH Covered])),0)</f>
        <v>0</v>
      </c>
      <c r="AG58" s="722"/>
      <c r="AH58" s="736">
        <f>MIN(CampList[[#This Row],[Shelter Gap]],CampList[[#This Row],[Land Status]])</f>
        <v>0</v>
      </c>
      <c r="AI58" s="722" t="str">
        <f ca="1">IFERROR(OFFSET(DistanceToCamp[Nearest Town],MATCH(CampList[[#This Row],[CP_Pcode]],DistanceToCamp[CP_Pcode],0)-1,0,1,1),"")</f>
        <v>Bhamo Town</v>
      </c>
      <c r="AJ58" s="739">
        <f ca="1">IFERROR(OFFSET(DistanceToCamp[distance],MATCH(CampList[[#This Row],[CP_Pcode]],DistanceToCamp[CP_Pcode],0)-1,0,1,1),"")</f>
        <v>0.20824727902294948</v>
      </c>
      <c r="AK58" s="740">
        <f ca="1">IFERROR(INT(CampList[[#This Row],[Distance]]/5)+1,"")</f>
        <v>1</v>
      </c>
    </row>
    <row r="59" spans="1:37" s="511" customFormat="1" ht="15.6" customHeight="1" x14ac:dyDescent="0.25">
      <c r="A59" s="656" t="s">
        <v>501</v>
      </c>
      <c r="B59" s="406" t="s">
        <v>380</v>
      </c>
      <c r="C59" s="406" t="s">
        <v>526</v>
      </c>
      <c r="D59" s="406" t="s">
        <v>5</v>
      </c>
      <c r="E59" s="406" t="s">
        <v>530</v>
      </c>
      <c r="F59" s="406" t="s">
        <v>5</v>
      </c>
      <c r="G59" s="406" t="s">
        <v>531</v>
      </c>
      <c r="H59" s="728" t="s">
        <v>638</v>
      </c>
      <c r="I59" s="728" t="s">
        <v>639</v>
      </c>
      <c r="J59" s="728" t="s">
        <v>644</v>
      </c>
      <c r="K59" s="728" t="s">
        <v>645</v>
      </c>
      <c r="L59" s="406" t="s">
        <v>14</v>
      </c>
      <c r="M59" s="406" t="s">
        <v>13</v>
      </c>
      <c r="N59" s="630">
        <v>97.236919999999998</v>
      </c>
      <c r="O59" s="630">
        <v>24.24766</v>
      </c>
      <c r="P59" s="741">
        <v>0</v>
      </c>
      <c r="Q59" s="663">
        <v>39</v>
      </c>
      <c r="R59" s="665">
        <v>232</v>
      </c>
      <c r="S59" s="732">
        <f>IF(CampList[[#This Row],[HH]]&gt;0,CampList[[#This Row],[Total]]/CampList[[#This Row],[HH]],"NA")</f>
        <v>5.9487179487179489</v>
      </c>
      <c r="T59" s="722" t="s">
        <v>512</v>
      </c>
      <c r="U59" s="726" t="s">
        <v>1193</v>
      </c>
      <c r="V59" s="722" t="s">
        <v>555</v>
      </c>
      <c r="W59" s="726" t="s">
        <v>804</v>
      </c>
      <c r="X59" s="742">
        <v>40878</v>
      </c>
      <c r="Y59" s="743">
        <v>1</v>
      </c>
      <c r="Z59" s="742" t="s">
        <v>461</v>
      </c>
      <c r="AA59" s="735" t="s">
        <v>843</v>
      </c>
      <c r="AB59" s="736"/>
      <c r="AC59" s="744">
        <v>42569</v>
      </c>
      <c r="AD59" s="656" t="s">
        <v>1466</v>
      </c>
      <c r="AE59" s="759" t="s">
        <v>1095</v>
      </c>
      <c r="AF59" s="663">
        <f>IF(CampList[[#This Row],[Type of Accomodation]]="camp",MAX(0,CampList[[#This Row],[HH]]-SUMIF(Table_Shelter[Pcode],CampList[[#This Row],[CP_Pcode]],Table_Shelter[HH Covered])),0)</f>
        <v>1</v>
      </c>
      <c r="AG59" s="722"/>
      <c r="AH59" s="736">
        <f>MIN(CampList[[#This Row],[Shelter Gap]],CampList[[#This Row],[Land Status]])</f>
        <v>1</v>
      </c>
      <c r="AI59" s="722"/>
      <c r="AJ59" s="739">
        <f ca="1">IFERROR(OFFSET(DistanceToCamp[distance],MATCH(CampList[[#This Row],[CP_Pcode]],DistanceToCamp[CP_Pcode],0)-1,0,1,1),"")</f>
        <v>0.84749304721635399</v>
      </c>
      <c r="AK59" s="740">
        <f ca="1">IFERROR(INT(CampList[[#This Row],[Distance]]/5)+1,"")</f>
        <v>1</v>
      </c>
    </row>
    <row r="60" spans="1:37" s="511" customFormat="1" ht="15.6" customHeight="1" x14ac:dyDescent="0.25">
      <c r="A60" s="656" t="s">
        <v>501</v>
      </c>
      <c r="B60" s="406" t="s">
        <v>380</v>
      </c>
      <c r="C60" s="406" t="s">
        <v>526</v>
      </c>
      <c r="D60" s="406" t="s">
        <v>5</v>
      </c>
      <c r="E60" s="406" t="s">
        <v>530</v>
      </c>
      <c r="F60" s="406" t="s">
        <v>5</v>
      </c>
      <c r="G60" s="406" t="s">
        <v>531</v>
      </c>
      <c r="H60" s="728" t="s">
        <v>646</v>
      </c>
      <c r="I60" s="728" t="s">
        <v>647</v>
      </c>
      <c r="J60" s="406" t="s">
        <v>646</v>
      </c>
      <c r="K60" s="757">
        <v>166851</v>
      </c>
      <c r="L60" s="406" t="s">
        <v>26</v>
      </c>
      <c r="M60" s="406" t="s">
        <v>25</v>
      </c>
      <c r="N60" s="630">
        <v>97.240639999999999</v>
      </c>
      <c r="O60" s="630">
        <v>24.24953</v>
      </c>
      <c r="P60" s="741">
        <v>0</v>
      </c>
      <c r="Q60" s="138">
        <v>15</v>
      </c>
      <c r="R60" s="138">
        <v>73</v>
      </c>
      <c r="S60" s="732">
        <f>IF(CampList[[#This Row],[HH]]&gt;0,CampList[[#This Row],[Total]]/CampList[[#This Row],[HH]],"NA")</f>
        <v>4.8666666666666663</v>
      </c>
      <c r="T60" s="722" t="s">
        <v>512</v>
      </c>
      <c r="U60" s="726" t="s">
        <v>1193</v>
      </c>
      <c r="V60" s="722" t="s">
        <v>555</v>
      </c>
      <c r="W60" s="722" t="s">
        <v>804</v>
      </c>
      <c r="X60" s="742">
        <v>41122</v>
      </c>
      <c r="Y60" s="743">
        <v>1</v>
      </c>
      <c r="Z60" s="742" t="s">
        <v>506</v>
      </c>
      <c r="AA60" s="736" t="s">
        <v>843</v>
      </c>
      <c r="AB60" s="736"/>
      <c r="AC60" s="744">
        <v>42571</v>
      </c>
      <c r="AD60" s="728" t="s">
        <v>1524</v>
      </c>
      <c r="AE60" s="759" t="s">
        <v>1095</v>
      </c>
      <c r="AF60" s="663">
        <f>IF(CampList[[#This Row],[Type of Accomodation]]="camp",MAX(0,CampList[[#This Row],[HH]]-SUMIF(Table_Shelter[Pcode],CampList[[#This Row],[CP_Pcode]],Table_Shelter[HH Covered])),0)</f>
        <v>0</v>
      </c>
      <c r="AG60" s="722">
        <v>0</v>
      </c>
      <c r="AH60" s="736">
        <f>MIN(CampList[[#This Row],[Shelter Gap]],CampList[[#This Row],[Land Status]])</f>
        <v>0</v>
      </c>
      <c r="AI60" s="722" t="str">
        <f ca="1">IFERROR(OFFSET(DistanceToCamp[Nearest Town],MATCH(CampList[[#This Row],[CP_Pcode]],DistanceToCamp[CP_Pcode],0)-1,0,1,1),"")</f>
        <v>Bhamo Town</v>
      </c>
      <c r="AJ60" s="739">
        <f ca="1">IFERROR(OFFSET(DistanceToCamp[distance],MATCH(CampList[[#This Row],[CP_Pcode]],DistanceToCamp[CP_Pcode],0)-1,0,1,1),"")</f>
        <v>0.87147615879849294</v>
      </c>
      <c r="AK60" s="740">
        <f ca="1">IFERROR(INT(CampList[[#This Row],[Distance]]/5)+1,"")</f>
        <v>1</v>
      </c>
    </row>
    <row r="61" spans="1:37" s="511" customFormat="1" ht="15.6" customHeight="1" x14ac:dyDescent="0.25">
      <c r="A61" s="756" t="s">
        <v>501</v>
      </c>
      <c r="B61" s="214" t="s">
        <v>380</v>
      </c>
      <c r="C61" s="214" t="s">
        <v>526</v>
      </c>
      <c r="D61" s="214" t="s">
        <v>5</v>
      </c>
      <c r="E61" s="214" t="s">
        <v>530</v>
      </c>
      <c r="F61" s="214" t="s">
        <v>5</v>
      </c>
      <c r="G61" s="214" t="s">
        <v>531</v>
      </c>
      <c r="H61" s="214" t="s">
        <v>655</v>
      </c>
      <c r="I61" s="757" t="s">
        <v>656</v>
      </c>
      <c r="J61" s="214" t="s">
        <v>655</v>
      </c>
      <c r="K61" s="214">
        <v>166844</v>
      </c>
      <c r="L61" s="214" t="s">
        <v>20</v>
      </c>
      <c r="M61" s="214" t="s">
        <v>19</v>
      </c>
      <c r="N61" s="752">
        <v>97.315860000000001</v>
      </c>
      <c r="O61" s="752">
        <v>24.32638</v>
      </c>
      <c r="P61" s="729"/>
      <c r="Q61" s="663">
        <v>20</v>
      </c>
      <c r="R61" s="755">
        <v>103</v>
      </c>
      <c r="S61" s="732">
        <f>IF(CampList[[#This Row],[HH]]&gt;0,CampList[[#This Row],[Total]]/CampList[[#This Row],[HH]],"NA")</f>
        <v>5.15</v>
      </c>
      <c r="T61" s="663" t="s">
        <v>512</v>
      </c>
      <c r="U61" s="722" t="s">
        <v>1193</v>
      </c>
      <c r="V61" s="663" t="s">
        <v>555</v>
      </c>
      <c r="W61" s="663" t="s">
        <v>804</v>
      </c>
      <c r="X61" s="754">
        <v>40848</v>
      </c>
      <c r="Y61" s="729">
        <v>2</v>
      </c>
      <c r="Z61" s="729" t="s">
        <v>1091</v>
      </c>
      <c r="AA61" s="752" t="s">
        <v>843</v>
      </c>
      <c r="AB61" s="752"/>
      <c r="AC61" s="744">
        <v>42397</v>
      </c>
      <c r="AD61" s="758" t="s">
        <v>1336</v>
      </c>
      <c r="AE61" s="759" t="s">
        <v>1095</v>
      </c>
      <c r="AF61" s="760">
        <f>IF(CampList[[#This Row],[Type of Accomodation]]="camp",MAX(0,CampList[[#This Row],[HH]]-SUMIF(Table_Shelter[Pcode],CampList[[#This Row],[CP_Pcode]],Table_Shelter[HH Covered])),0)</f>
        <v>10</v>
      </c>
      <c r="AG61" s="663"/>
      <c r="AH61" s="741">
        <f>MIN(CampList[[#This Row],[Shelter Gap]],CampList[[#This Row],[Land Status]])</f>
        <v>10</v>
      </c>
      <c r="AI61" s="760" t="str">
        <f ca="1">IFERROR(OFFSET(DistanceToCamp[Nearest Town],MATCH(CampList[[#This Row],[CP_Pcode]],DistanceToCamp[CP_Pcode],0)-1,0,1,1),"")</f>
        <v>Momauk Town</v>
      </c>
      <c r="AJ61" s="739">
        <f ca="1">IFERROR(OFFSET(DistanceToCamp[distance],MATCH(CampList[[#This Row],[CP_Pcode]],DistanceToCamp[CP_Pcode],0)-1,0,1,1),"")</f>
        <v>8.3788619521763046</v>
      </c>
      <c r="AK61" s="761">
        <f ca="1">IFERROR(INT(CampList[[#This Row],[Distance]]/5)+1,"")</f>
        <v>2</v>
      </c>
    </row>
    <row r="62" spans="1:37" s="511" customFormat="1" ht="15.6" customHeight="1" x14ac:dyDescent="0.25">
      <c r="A62" s="656" t="s">
        <v>501</v>
      </c>
      <c r="B62" s="406" t="s">
        <v>380</v>
      </c>
      <c r="C62" s="406" t="s">
        <v>526</v>
      </c>
      <c r="D62" s="406" t="s">
        <v>5</v>
      </c>
      <c r="E62" s="406" t="s">
        <v>530</v>
      </c>
      <c r="F62" s="406" t="s">
        <v>5</v>
      </c>
      <c r="G62" s="406" t="s">
        <v>531</v>
      </c>
      <c r="H62" s="406" t="s">
        <v>638</v>
      </c>
      <c r="I62" s="406" t="s">
        <v>639</v>
      </c>
      <c r="J62" s="406" t="s">
        <v>640</v>
      </c>
      <c r="K62" s="406" t="s">
        <v>641</v>
      </c>
      <c r="L62" s="406" t="s">
        <v>24</v>
      </c>
      <c r="M62" s="406" t="s">
        <v>23</v>
      </c>
      <c r="N62" s="630">
        <v>97.227789999999999</v>
      </c>
      <c r="O62" s="630">
        <v>24.29138</v>
      </c>
      <c r="P62" s="741">
        <v>0</v>
      </c>
      <c r="Q62" s="138">
        <v>21</v>
      </c>
      <c r="R62" s="138">
        <v>97</v>
      </c>
      <c r="S62" s="732">
        <f>IF(CampList[[#This Row],[HH]]&gt;0,CampList[[#This Row],[Total]]/CampList[[#This Row],[HH]],"NA")</f>
        <v>4.6190476190476186</v>
      </c>
      <c r="T62" s="722" t="s">
        <v>512</v>
      </c>
      <c r="U62" s="726" t="s">
        <v>1193</v>
      </c>
      <c r="V62" s="722" t="s">
        <v>555</v>
      </c>
      <c r="W62" s="726" t="s">
        <v>804</v>
      </c>
      <c r="X62" s="742">
        <v>41030</v>
      </c>
      <c r="Y62" s="743">
        <v>2</v>
      </c>
      <c r="Z62" s="742" t="s">
        <v>506</v>
      </c>
      <c r="AA62" s="736" t="s">
        <v>843</v>
      </c>
      <c r="AB62" s="736"/>
      <c r="AC62" s="744">
        <v>42571</v>
      </c>
      <c r="AD62" s="728" t="s">
        <v>1520</v>
      </c>
      <c r="AE62" s="759" t="s">
        <v>1095</v>
      </c>
      <c r="AF62" s="663">
        <f>IF(CampList[[#This Row],[Type of Accomodation]]="camp",MAX(0,CampList[[#This Row],[HH]]-SUMIF(Table_Shelter[Pcode],CampList[[#This Row],[CP_Pcode]],Table_Shelter[HH Covered])),0)</f>
        <v>0</v>
      </c>
      <c r="AG62" s="722">
        <v>0</v>
      </c>
      <c r="AH62" s="736">
        <f>MIN(CampList[[#This Row],[Shelter Gap]],CampList[[#This Row],[Land Status]])</f>
        <v>0</v>
      </c>
      <c r="AI62" s="722" t="str">
        <f ca="1">IFERROR(OFFSET(DistanceToCamp[Nearest Town],MATCH(CampList[[#This Row],[CP_Pcode]],DistanceToCamp[CP_Pcode],0)-1,0,1,1),"")</f>
        <v>Bhamo Town</v>
      </c>
      <c r="AJ62" s="739">
        <f ca="1">IFERROR(OFFSET(DistanceToCamp[distance],MATCH(CampList[[#This Row],[CP_Pcode]],DistanceToCamp[CP_Pcode],0)-1,0,1,1),"")</f>
        <v>4.108228790802368</v>
      </c>
      <c r="AK62" s="740">
        <f ca="1">IFERROR(INT(CampList[[#This Row],[Distance]]/5)+1,"")</f>
        <v>1</v>
      </c>
    </row>
    <row r="63" spans="1:37" s="511" customFormat="1" ht="15.6" customHeight="1" x14ac:dyDescent="0.25">
      <c r="A63" s="656" t="s">
        <v>501</v>
      </c>
      <c r="B63" s="406" t="s">
        <v>380</v>
      </c>
      <c r="C63" s="406" t="s">
        <v>526</v>
      </c>
      <c r="D63" s="406" t="s">
        <v>5</v>
      </c>
      <c r="E63" s="406" t="s">
        <v>530</v>
      </c>
      <c r="F63" s="406" t="s">
        <v>185</v>
      </c>
      <c r="G63" s="406" t="s">
        <v>534</v>
      </c>
      <c r="H63" s="728" t="s">
        <v>663</v>
      </c>
      <c r="I63" s="728" t="s">
        <v>664</v>
      </c>
      <c r="J63" s="728" t="s">
        <v>665</v>
      </c>
      <c r="K63" s="728" t="s">
        <v>666</v>
      </c>
      <c r="L63" s="406" t="s">
        <v>209</v>
      </c>
      <c r="M63" s="406" t="s">
        <v>208</v>
      </c>
      <c r="N63" s="630">
        <v>97.344359999999995</v>
      </c>
      <c r="O63" s="630">
        <v>24.250689999999999</v>
      </c>
      <c r="P63" s="741">
        <v>0</v>
      </c>
      <c r="Q63" s="663">
        <v>226</v>
      </c>
      <c r="R63" s="665">
        <v>1824</v>
      </c>
      <c r="S63" s="732">
        <f>IF(CampList[[#This Row],[HH]]&gt;0,CampList[[#This Row],[Total]]/CampList[[#This Row],[HH]],"NA")</f>
        <v>8.0707964601769913</v>
      </c>
      <c r="T63" s="722" t="s">
        <v>512</v>
      </c>
      <c r="U63" s="726" t="s">
        <v>1193</v>
      </c>
      <c r="V63" s="722" t="s">
        <v>555</v>
      </c>
      <c r="W63" s="726" t="s">
        <v>804</v>
      </c>
      <c r="X63" s="742">
        <v>40695</v>
      </c>
      <c r="Y63" s="743">
        <v>3</v>
      </c>
      <c r="Z63" s="742" t="s">
        <v>461</v>
      </c>
      <c r="AA63" s="735" t="s">
        <v>843</v>
      </c>
      <c r="AB63" s="736"/>
      <c r="AC63" s="744">
        <v>42569</v>
      </c>
      <c r="AD63" s="656" t="s">
        <v>1467</v>
      </c>
      <c r="AE63" s="759" t="s">
        <v>1095</v>
      </c>
      <c r="AF63" s="663">
        <f>IF(CampList[[#This Row],[Type of Accomodation]]="camp",MAX(0,CampList[[#This Row],[HH]]-SUMIF(Table_Shelter[Pcode],CampList[[#This Row],[CP_Pcode]],Table_Shelter[HH Covered])),0)</f>
        <v>0</v>
      </c>
      <c r="AG63" s="722"/>
      <c r="AH63" s="736">
        <f>MIN(CampList[[#This Row],[Shelter Gap]],CampList[[#This Row],[Land Status]])</f>
        <v>0</v>
      </c>
      <c r="AI63" s="722" t="str">
        <f ca="1">IFERROR(OFFSET(DistanceToCamp[Nearest Town],MATCH(CampList[[#This Row],[CP_Pcode]],DistanceToCamp[CP_Pcode],0)-1,0,1,1),"")</f>
        <v>Momauk Town</v>
      </c>
      <c r="AJ63" s="739">
        <f ca="1">IFERROR(OFFSET(DistanceToCamp[distance],MATCH(CampList[[#This Row],[CP_Pcode]],DistanceToCamp[CP_Pcode],0)-1,0,1,1),"")</f>
        <v>0.62513510418653162</v>
      </c>
      <c r="AK63" s="740">
        <f ca="1">IFERROR(INT(CampList[[#This Row],[Distance]]/5)+1,"")</f>
        <v>1</v>
      </c>
    </row>
    <row r="64" spans="1:37" s="511" customFormat="1" ht="15.6" hidden="1" customHeight="1" x14ac:dyDescent="0.25">
      <c r="A64" s="656" t="s">
        <v>844</v>
      </c>
      <c r="B64" s="406" t="s">
        <v>380</v>
      </c>
      <c r="C64" s="406" t="s">
        <v>526</v>
      </c>
      <c r="D64" s="406" t="s">
        <v>5</v>
      </c>
      <c r="E64" s="406" t="s">
        <v>530</v>
      </c>
      <c r="F64" s="406" t="s">
        <v>185</v>
      </c>
      <c r="G64" s="406" t="s">
        <v>534</v>
      </c>
      <c r="H64" s="728" t="s">
        <v>663</v>
      </c>
      <c r="I64" s="728" t="s">
        <v>664</v>
      </c>
      <c r="J64" s="728" t="s">
        <v>668</v>
      </c>
      <c r="K64" s="728" t="s">
        <v>669</v>
      </c>
      <c r="L64" s="406" t="s">
        <v>211</v>
      </c>
      <c r="M64" s="406" t="s">
        <v>210</v>
      </c>
      <c r="N64" s="630">
        <v>97.346950000000007</v>
      </c>
      <c r="O64" s="630">
        <v>24.25177</v>
      </c>
      <c r="P64" s="741">
        <v>0</v>
      </c>
      <c r="Q64" s="730"/>
      <c r="R64" s="731"/>
      <c r="S64" s="732" t="str">
        <f>IF(CampList[[#This Row],[HH]]&gt;0,CampList[[#This Row],[Total]]/CampList[[#This Row],[HH]],"NA")</f>
        <v>NA</v>
      </c>
      <c r="T64" s="722" t="s">
        <v>512</v>
      </c>
      <c r="U64" s="726" t="s">
        <v>1193</v>
      </c>
      <c r="V64" s="722" t="s">
        <v>555</v>
      </c>
      <c r="W64" s="726" t="s">
        <v>804</v>
      </c>
      <c r="X64" s="742">
        <v>40756</v>
      </c>
      <c r="Y64" s="743">
        <v>2</v>
      </c>
      <c r="Z64" s="742" t="s">
        <v>1091</v>
      </c>
      <c r="AA64" s="735" t="s">
        <v>843</v>
      </c>
      <c r="AB64" s="736"/>
      <c r="AC64" s="744">
        <v>41971</v>
      </c>
      <c r="AD64" s="656" t="s">
        <v>1121</v>
      </c>
      <c r="AE64" s="759" t="s">
        <v>1095</v>
      </c>
      <c r="AF64" s="663">
        <f>IF(CampList[[#This Row],[Type of Accomodation]]="camp",MAX(0,CampList[[#This Row],[HH]]-SUMIF(Table_Shelter[Pcode],CampList[[#This Row],[CP_Pcode]],Table_Shelter[HH Covered])),0)</f>
        <v>0</v>
      </c>
      <c r="AG64" s="722"/>
      <c r="AH64" s="736">
        <f>MIN(CampList[[#This Row],[Shelter Gap]],CampList[[#This Row],[Land Status]])</f>
        <v>0</v>
      </c>
      <c r="AI64" s="722" t="str">
        <f ca="1">IFERROR(OFFSET(DistanceToCamp[Nearest Town],MATCH(CampList[[#This Row],[CP_Pcode]],DistanceToCamp[CP_Pcode],0)-1,0,1,1),"")</f>
        <v/>
      </c>
      <c r="AJ64" s="739" t="str">
        <f ca="1">IFERROR(OFFSET(DistanceToCamp[distance],MATCH(CampList[[#This Row],[CP_Pcode]],DistanceToCamp[CP_Pcode],0)-1,0,1,1),"")</f>
        <v/>
      </c>
      <c r="AK64" s="740" t="str">
        <f ca="1">IFERROR(INT(CampList[[#This Row],[Distance]]/5)+1,"")</f>
        <v/>
      </c>
    </row>
    <row r="65" spans="1:37" s="511" customFormat="1" ht="15.6" hidden="1" customHeight="1" x14ac:dyDescent="0.25">
      <c r="A65" s="656" t="s">
        <v>844</v>
      </c>
      <c r="B65" s="406" t="s">
        <v>380</v>
      </c>
      <c r="C65" s="406" t="s">
        <v>526</v>
      </c>
      <c r="D65" s="406" t="s">
        <v>5</v>
      </c>
      <c r="E65" s="406" t="s">
        <v>530</v>
      </c>
      <c r="F65" s="406" t="s">
        <v>185</v>
      </c>
      <c r="G65" s="406" t="s">
        <v>534</v>
      </c>
      <c r="H65" s="728" t="s">
        <v>663</v>
      </c>
      <c r="I65" s="728" t="s">
        <v>664</v>
      </c>
      <c r="J65" s="728" t="s">
        <v>665</v>
      </c>
      <c r="K65" s="728" t="s">
        <v>666</v>
      </c>
      <c r="L65" s="406" t="s">
        <v>207</v>
      </c>
      <c r="M65" s="406" t="s">
        <v>206</v>
      </c>
      <c r="N65" s="630">
        <v>97.346940000000004</v>
      </c>
      <c r="O65" s="630">
        <v>24.251860000000001</v>
      </c>
      <c r="P65" s="747">
        <v>0</v>
      </c>
      <c r="Q65" s="730"/>
      <c r="R65" s="731"/>
      <c r="S65" s="732" t="str">
        <f>IF(CampList[[#This Row],[HH]]&gt;0,CampList[[#This Row],[Total]]/CampList[[#This Row],[HH]],"NA")</f>
        <v>NA</v>
      </c>
      <c r="T65" s="722" t="s">
        <v>512</v>
      </c>
      <c r="U65" s="726" t="s">
        <v>1193</v>
      </c>
      <c r="V65" s="722" t="s">
        <v>555</v>
      </c>
      <c r="W65" s="726" t="s">
        <v>804</v>
      </c>
      <c r="X65" s="742">
        <v>40817</v>
      </c>
      <c r="Y65" s="743"/>
      <c r="Z65" s="742"/>
      <c r="AA65" s="735" t="s">
        <v>843</v>
      </c>
      <c r="AB65" s="736"/>
      <c r="AC65" s="744">
        <v>42317</v>
      </c>
      <c r="AD65" s="656" t="s">
        <v>1315</v>
      </c>
      <c r="AE65" s="759" t="s">
        <v>1095</v>
      </c>
      <c r="AF65" s="663">
        <f>IF(CampList[[#This Row],[Type of Accomodation]]="camp",MAX(0,CampList[[#This Row],[HH]]-SUMIF(Table_Shelter[Pcode],CampList[[#This Row],[CP_Pcode]],Table_Shelter[HH Covered])),0)</f>
        <v>0</v>
      </c>
      <c r="AG65" s="722"/>
      <c r="AH65" s="736">
        <f>MIN(CampList[[#This Row],[Shelter Gap]],CampList[[#This Row],[Land Status]])</f>
        <v>0</v>
      </c>
      <c r="AI65" s="722"/>
      <c r="AJ65" s="739"/>
      <c r="AK65" s="740"/>
    </row>
    <row r="66" spans="1:37" s="511" customFormat="1" ht="15.6" hidden="1" customHeight="1" x14ac:dyDescent="0.25">
      <c r="A66" s="656" t="s">
        <v>844</v>
      </c>
      <c r="B66" s="406" t="s">
        <v>380</v>
      </c>
      <c r="C66" s="406" t="s">
        <v>526</v>
      </c>
      <c r="D66" s="406" t="s">
        <v>5</v>
      </c>
      <c r="E66" s="406" t="s">
        <v>530</v>
      </c>
      <c r="F66" s="406" t="s">
        <v>185</v>
      </c>
      <c r="G66" s="406" t="s">
        <v>534</v>
      </c>
      <c r="H66" s="406" t="s">
        <v>663</v>
      </c>
      <c r="I66" s="406" t="s">
        <v>664</v>
      </c>
      <c r="J66" s="406" t="s">
        <v>665</v>
      </c>
      <c r="K66" s="406" t="s">
        <v>666</v>
      </c>
      <c r="L66" s="406" t="s">
        <v>217</v>
      </c>
      <c r="M66" s="406" t="s">
        <v>216</v>
      </c>
      <c r="N66" s="630">
        <v>97.347740000000002</v>
      </c>
      <c r="O66" s="630">
        <v>24.253769999999999</v>
      </c>
      <c r="P66" s="741">
        <v>0</v>
      </c>
      <c r="Q66" s="760"/>
      <c r="R66" s="755"/>
      <c r="S66" s="732" t="str">
        <f>IF(CampList[[#This Row],[HH]]&gt;0,CampList[[#This Row],[Total]]/CampList[[#This Row],[HH]],"NA")</f>
        <v>NA</v>
      </c>
      <c r="T66" s="722" t="s">
        <v>512</v>
      </c>
      <c r="U66" s="726" t="s">
        <v>1193</v>
      </c>
      <c r="V66" s="722" t="s">
        <v>555</v>
      </c>
      <c r="W66" s="726" t="s">
        <v>804</v>
      </c>
      <c r="X66" s="742">
        <v>40817</v>
      </c>
      <c r="Y66" s="743">
        <v>1</v>
      </c>
      <c r="Z66" s="742" t="s">
        <v>506</v>
      </c>
      <c r="AA66" s="736" t="s">
        <v>843</v>
      </c>
      <c r="AB66" s="736"/>
      <c r="AC66" s="744">
        <v>42537</v>
      </c>
      <c r="AD66" s="728" t="s">
        <v>1419</v>
      </c>
      <c r="AE66" s="759" t="s">
        <v>1095</v>
      </c>
      <c r="AF66" s="663">
        <f>IF(CampList[[#This Row],[Type of Accomodation]]="camp",MAX(0,CampList[[#This Row],[HH]]-SUMIF(Table_Shelter[Pcode],CampList[[#This Row],[CP_Pcode]],Table_Shelter[HH Covered])),0)</f>
        <v>0</v>
      </c>
      <c r="AG66" s="663"/>
      <c r="AH66" s="736">
        <f>MIN(CampList[[#This Row],[Shelter Gap]],CampList[[#This Row],[Land Status]])</f>
        <v>0</v>
      </c>
      <c r="AI66" s="722" t="str">
        <f ca="1">IFERROR(OFFSET(DistanceToCamp[Nearest Town],MATCH(CampList[[#This Row],[CP_Pcode]],DistanceToCamp[CP_Pcode],0)-1,0,1,1),"")</f>
        <v>Momauk Town</v>
      </c>
      <c r="AJ66" s="739">
        <f ca="1">IFERROR(OFFSET(DistanceToCamp[distance],MATCH(CampList[[#This Row],[CP_Pcode]],DistanceToCamp[CP_Pcode],0)-1,0,1,1),"")</f>
        <v>0.32830807173487342</v>
      </c>
      <c r="AK66" s="740">
        <f ca="1">IFERROR(INT(CampList[[#This Row],[Distance]]/5)+1,"")</f>
        <v>1</v>
      </c>
    </row>
    <row r="67" spans="1:37" s="511" customFormat="1" ht="15.6" customHeight="1" x14ac:dyDescent="0.25">
      <c r="A67" s="656" t="s">
        <v>501</v>
      </c>
      <c r="B67" s="406" t="s">
        <v>380</v>
      </c>
      <c r="C67" s="406" t="s">
        <v>526</v>
      </c>
      <c r="D67" s="406" t="s">
        <v>5</v>
      </c>
      <c r="E67" s="406" t="s">
        <v>530</v>
      </c>
      <c r="F67" s="406" t="s">
        <v>185</v>
      </c>
      <c r="G67" s="406" t="s">
        <v>534</v>
      </c>
      <c r="H67" s="406" t="s">
        <v>797</v>
      </c>
      <c r="I67" s="406" t="s">
        <v>798</v>
      </c>
      <c r="J67" s="406" t="s">
        <v>797</v>
      </c>
      <c r="K67" s="406">
        <v>167086</v>
      </c>
      <c r="L67" s="406" t="s">
        <v>227</v>
      </c>
      <c r="M67" s="406" t="s">
        <v>226</v>
      </c>
      <c r="N67" s="630">
        <v>97.416826999999998</v>
      </c>
      <c r="O67" s="630">
        <v>24.492493</v>
      </c>
      <c r="P67" s="747"/>
      <c r="Q67" s="760">
        <v>10</v>
      </c>
      <c r="R67" s="755">
        <v>38</v>
      </c>
      <c r="S67" s="732">
        <f>IF(CampList[[#This Row],[HH]]&gt;0,CampList[[#This Row],[Total]]/CampList[[#This Row],[HH]],"NA")</f>
        <v>3.8</v>
      </c>
      <c r="T67" s="722" t="s">
        <v>512</v>
      </c>
      <c r="U67" s="726" t="s">
        <v>1193</v>
      </c>
      <c r="V67" s="722" t="s">
        <v>12</v>
      </c>
      <c r="W67" s="726" t="s">
        <v>857</v>
      </c>
      <c r="X67" s="742"/>
      <c r="Y67" s="743"/>
      <c r="Z67" s="742"/>
      <c r="AA67" s="736" t="s">
        <v>842</v>
      </c>
      <c r="AB67" s="736"/>
      <c r="AC67" s="744">
        <v>41803</v>
      </c>
      <c r="AD67" s="728" t="s">
        <v>1070</v>
      </c>
      <c r="AE67" s="759" t="s">
        <v>1095</v>
      </c>
      <c r="AF67" s="663">
        <f>IF(CampList[[#This Row],[Type of Accomodation]]="camp",MAX(0,CampList[[#This Row],[HH]]-SUMIF(Table_Shelter[Pcode],CampList[[#This Row],[CP_Pcode]],Table_Shelter[HH Covered])),0)</f>
        <v>0</v>
      </c>
      <c r="AG67" s="722"/>
      <c r="AH67" s="736">
        <f>MIN(CampList[[#This Row],[Shelter Gap]],CampList[[#This Row],[Land Status]])</f>
        <v>0</v>
      </c>
      <c r="AI67" s="722" t="str">
        <f ca="1">IFERROR(OFFSET(DistanceToCamp[Nearest Town],MATCH(CampList[[#This Row],[CP_Pcode]],DistanceToCamp[CP_Pcode],0)-1,0,1,1),"")</f>
        <v>Dawthponeyan  Town</v>
      </c>
      <c r="AJ67" s="739">
        <f ca="1">IFERROR(OFFSET(DistanceToCamp[distance],MATCH(CampList[[#This Row],[CP_Pcode]],DistanceToCamp[CP_Pcode],0)-1,0,1,1),"")</f>
        <v>14.236592976936194</v>
      </c>
      <c r="AK67" s="740">
        <f ca="1">IFERROR(INT(CampList[[#This Row],[Distance]]/5)+1,"")</f>
        <v>3</v>
      </c>
    </row>
    <row r="68" spans="1:37" s="511" customFormat="1" ht="15.6" customHeight="1" x14ac:dyDescent="0.25">
      <c r="A68" s="656" t="s">
        <v>501</v>
      </c>
      <c r="B68" s="406" t="s">
        <v>380</v>
      </c>
      <c r="C68" s="406" t="s">
        <v>526</v>
      </c>
      <c r="D68" s="406" t="s">
        <v>5</v>
      </c>
      <c r="E68" s="406" t="s">
        <v>530</v>
      </c>
      <c r="F68" s="406" t="s">
        <v>185</v>
      </c>
      <c r="G68" s="406" t="s">
        <v>534</v>
      </c>
      <c r="H68" s="728" t="s">
        <v>799</v>
      </c>
      <c r="I68" s="728" t="s">
        <v>800</v>
      </c>
      <c r="J68" s="728" t="s">
        <v>799</v>
      </c>
      <c r="K68" s="728">
        <v>167048</v>
      </c>
      <c r="L68" s="406" t="s">
        <v>213</v>
      </c>
      <c r="M68" s="406" t="s">
        <v>212</v>
      </c>
      <c r="N68" s="630">
        <v>97.407787999999996</v>
      </c>
      <c r="O68" s="630">
        <v>24.404876999999999</v>
      </c>
      <c r="P68" s="729"/>
      <c r="Q68" s="730">
        <v>13</v>
      </c>
      <c r="R68" s="731">
        <v>53</v>
      </c>
      <c r="S68" s="732">
        <f>IF(CampList[[#This Row],[HH]]&gt;0,CampList[[#This Row],[Total]]/CampList[[#This Row],[HH]],"NA")</f>
        <v>4.0769230769230766</v>
      </c>
      <c r="T68" s="722" t="s">
        <v>512</v>
      </c>
      <c r="U68" s="726" t="s">
        <v>1193</v>
      </c>
      <c r="V68" s="723" t="s">
        <v>12</v>
      </c>
      <c r="W68" s="726" t="s">
        <v>857</v>
      </c>
      <c r="X68" s="733"/>
      <c r="Y68" s="729"/>
      <c r="Z68" s="734"/>
      <c r="AA68" s="735" t="s">
        <v>842</v>
      </c>
      <c r="AB68" s="736"/>
      <c r="AC68" s="744">
        <v>41803</v>
      </c>
      <c r="AD68" s="656" t="s">
        <v>1070</v>
      </c>
      <c r="AE68" s="755" t="s">
        <v>1095</v>
      </c>
      <c r="AF68" s="663">
        <f>IF(CampList[[#This Row],[Type of Accomodation]]="camp",MAX(0,CampList[[#This Row],[HH]]-SUMIF(Table_Shelter[Pcode],CampList[[#This Row],[CP_Pcode]],Table_Shelter[HH Covered])),0)</f>
        <v>0</v>
      </c>
      <c r="AG68" s="722"/>
      <c r="AH68" s="736">
        <f>MIN(CampList[[#This Row],[Shelter Gap]],CampList[[#This Row],[Land Status]])</f>
        <v>0</v>
      </c>
      <c r="AI68" s="722" t="str">
        <f ca="1">IFERROR(OFFSET(DistanceToCamp[Nearest Town],MATCH(CampList[[#This Row],[CP_Pcode]],DistanceToCamp[CP_Pcode],0)-1,0,1,1),"")</f>
        <v>Momauk Town</v>
      </c>
      <c r="AJ68" s="739">
        <f ca="1">IFERROR(OFFSET(DistanceToCamp[distance],MATCH(CampList[[#This Row],[CP_Pcode]],DistanceToCamp[CP_Pcode],0)-1,0,1,1),"")</f>
        <v>17.689123339899055</v>
      </c>
      <c r="AK68" s="740">
        <f ca="1">IFERROR(INT(CampList[[#This Row],[Distance]]/5)+1,"")</f>
        <v>4</v>
      </c>
    </row>
    <row r="69" spans="1:37" s="511" customFormat="1" ht="15.6" customHeight="1" x14ac:dyDescent="0.25">
      <c r="A69" s="756" t="s">
        <v>501</v>
      </c>
      <c r="B69" s="214" t="s">
        <v>380</v>
      </c>
      <c r="C69" s="214" t="s">
        <v>526</v>
      </c>
      <c r="D69" s="214" t="s">
        <v>5</v>
      </c>
      <c r="E69" s="214" t="s">
        <v>530</v>
      </c>
      <c r="F69" s="214" t="s">
        <v>185</v>
      </c>
      <c r="G69" s="214" t="s">
        <v>534</v>
      </c>
      <c r="H69" s="214" t="s">
        <v>659</v>
      </c>
      <c r="I69" s="757" t="s">
        <v>660</v>
      </c>
      <c r="J69" s="214" t="s">
        <v>659</v>
      </c>
      <c r="K69" s="214">
        <v>167009</v>
      </c>
      <c r="L69" s="214" t="s">
        <v>202</v>
      </c>
      <c r="M69" s="214" t="s">
        <v>201</v>
      </c>
      <c r="N69" s="752">
        <v>97.325019999999995</v>
      </c>
      <c r="O69" s="752">
        <v>24.245100000000001</v>
      </c>
      <c r="P69" s="729"/>
      <c r="Q69" s="663">
        <v>261</v>
      </c>
      <c r="R69" s="755">
        <v>1155</v>
      </c>
      <c r="S69" s="732">
        <f>IF(CampList[[#This Row],[HH]]&gt;0,CampList[[#This Row],[Total]]/CampList[[#This Row],[HH]],"NA")</f>
        <v>4.4252873563218387</v>
      </c>
      <c r="T69" s="663" t="s">
        <v>512</v>
      </c>
      <c r="U69" s="722" t="s">
        <v>1193</v>
      </c>
      <c r="V69" s="663" t="s">
        <v>555</v>
      </c>
      <c r="W69" s="663" t="s">
        <v>804</v>
      </c>
      <c r="X69" s="754">
        <v>41030</v>
      </c>
      <c r="Y69" s="729">
        <v>2</v>
      </c>
      <c r="Z69" s="729" t="s">
        <v>1091</v>
      </c>
      <c r="AA69" s="752" t="s">
        <v>843</v>
      </c>
      <c r="AB69" s="752"/>
      <c r="AC69" s="744">
        <v>42397</v>
      </c>
      <c r="AD69" s="758" t="s">
        <v>1335</v>
      </c>
      <c r="AE69" s="759" t="s">
        <v>1095</v>
      </c>
      <c r="AF69" s="760">
        <f>IF(CampList[[#This Row],[Type of Accomodation]]="camp",MAX(0,CampList[[#This Row],[HH]]-SUMIF(Table_Shelter[Pcode],CampList[[#This Row],[CP_Pcode]],Table_Shelter[HH Covered])),0)</f>
        <v>108</v>
      </c>
      <c r="AG69" s="663"/>
      <c r="AH69" s="741">
        <f>MIN(CampList[[#This Row],[Shelter Gap]],CampList[[#This Row],[Land Status]])</f>
        <v>108</v>
      </c>
      <c r="AI69" s="760" t="str">
        <f ca="1">IFERROR(OFFSET(DistanceToCamp[Nearest Town],MATCH(CampList[[#This Row],[CP_Pcode]],DistanceToCamp[CP_Pcode],0)-1,0,1,1),"")</f>
        <v>Momauk Town</v>
      </c>
      <c r="AJ69" s="739">
        <f ca="1">IFERROR(OFFSET(DistanceToCamp[distance],MATCH(CampList[[#This Row],[CP_Pcode]],DistanceToCamp[CP_Pcode],0)-1,0,1,1),"")</f>
        <v>2.4411071835305544</v>
      </c>
      <c r="AK69" s="761">
        <f ca="1">IFERROR(INT(CampList[[#This Row],[Distance]]/5)+1,"")</f>
        <v>1</v>
      </c>
    </row>
    <row r="70" spans="1:37" s="511" customFormat="1" ht="15.6" customHeight="1" x14ac:dyDescent="0.25">
      <c r="A70" s="656" t="s">
        <v>501</v>
      </c>
      <c r="B70" s="406" t="s">
        <v>380</v>
      </c>
      <c r="C70" s="406" t="s">
        <v>526</v>
      </c>
      <c r="D70" s="406" t="s">
        <v>5</v>
      </c>
      <c r="E70" s="406" t="s">
        <v>530</v>
      </c>
      <c r="F70" s="406" t="s">
        <v>185</v>
      </c>
      <c r="G70" s="406" t="s">
        <v>534</v>
      </c>
      <c r="H70" s="728" t="s">
        <v>657</v>
      </c>
      <c r="I70" s="728" t="s">
        <v>658</v>
      </c>
      <c r="J70" s="728" t="s">
        <v>657</v>
      </c>
      <c r="K70" s="728">
        <v>167063</v>
      </c>
      <c r="L70" s="406" t="s">
        <v>204</v>
      </c>
      <c r="M70" s="406" t="s">
        <v>203</v>
      </c>
      <c r="N70" s="630">
        <v>97.321659999999994</v>
      </c>
      <c r="O70" s="630">
        <v>24.410008999999999</v>
      </c>
      <c r="P70" s="729"/>
      <c r="Q70" s="730">
        <v>28</v>
      </c>
      <c r="R70" s="731">
        <v>136</v>
      </c>
      <c r="S70" s="732">
        <f>IF(CampList[[#This Row],[HH]]&gt;0,CampList[[#This Row],[Total]]/CampList[[#This Row],[HH]],"NA")</f>
        <v>4.8571428571428568</v>
      </c>
      <c r="T70" s="722" t="s">
        <v>512</v>
      </c>
      <c r="U70" s="726" t="s">
        <v>1193</v>
      </c>
      <c r="V70" s="723" t="s">
        <v>12</v>
      </c>
      <c r="W70" s="726" t="s">
        <v>857</v>
      </c>
      <c r="X70" s="733"/>
      <c r="Y70" s="729"/>
      <c r="Z70" s="734"/>
      <c r="AA70" s="735" t="s">
        <v>842</v>
      </c>
      <c r="AB70" s="736"/>
      <c r="AC70" s="744"/>
      <c r="AD70" s="656"/>
      <c r="AE70" s="755" t="s">
        <v>1095</v>
      </c>
      <c r="AF70" s="663">
        <f>IF(CampList[[#This Row],[Type of Accomodation]]="camp",MAX(0,CampList[[#This Row],[HH]]-SUMIF(Table_Shelter[Pcode],CampList[[#This Row],[CP_Pcode]],Table_Shelter[HH Covered])),0)</f>
        <v>0</v>
      </c>
      <c r="AG70" s="722"/>
      <c r="AH70" s="736">
        <f>MIN(CampList[[#This Row],[Shelter Gap]],CampList[[#This Row],[Land Status]])</f>
        <v>0</v>
      </c>
      <c r="AI70" s="722" t="str">
        <f ca="1">IFERROR(OFFSET(DistanceToCamp[Nearest Town],MATCH(CampList[[#This Row],[CP_Pcode]],DistanceToCamp[CP_Pcode],0)-1,0,1,1),"")</f>
        <v>Momauk Town</v>
      </c>
      <c r="AJ70" s="739">
        <f ca="1">IFERROR(OFFSET(DistanceToCamp[distance],MATCH(CampList[[#This Row],[CP_Pcode]],DistanceToCamp[CP_Pcode],0)-1,0,1,1),"")</f>
        <v>17.282528446236295</v>
      </c>
      <c r="AK70" s="740">
        <f ca="1">IFERROR(INT(CampList[[#This Row],[Distance]]/5)+1,"")</f>
        <v>4</v>
      </c>
    </row>
    <row r="71" spans="1:37" s="511" customFormat="1" ht="15.6" customHeight="1" x14ac:dyDescent="0.25">
      <c r="A71" s="656" t="s">
        <v>501</v>
      </c>
      <c r="B71" s="406" t="s">
        <v>380</v>
      </c>
      <c r="C71" s="406" t="s">
        <v>526</v>
      </c>
      <c r="D71" s="406" t="s">
        <v>5</v>
      </c>
      <c r="E71" s="406" t="s">
        <v>530</v>
      </c>
      <c r="F71" s="406" t="s">
        <v>185</v>
      </c>
      <c r="G71" s="406" t="s">
        <v>534</v>
      </c>
      <c r="H71" s="728" t="s">
        <v>1414</v>
      </c>
      <c r="I71" s="728" t="s">
        <v>1415</v>
      </c>
      <c r="J71" s="728" t="s">
        <v>1414</v>
      </c>
      <c r="K71" s="763">
        <v>167078</v>
      </c>
      <c r="L71" s="406" t="s">
        <v>200</v>
      </c>
      <c r="M71" s="406" t="s">
        <v>199</v>
      </c>
      <c r="N71" s="630">
        <v>97.409474000000003</v>
      </c>
      <c r="O71" s="630">
        <v>24.441697000000001</v>
      </c>
      <c r="P71" s="729"/>
      <c r="Q71" s="730">
        <v>2</v>
      </c>
      <c r="R71" s="731">
        <v>9</v>
      </c>
      <c r="S71" s="732">
        <f>IF(CampList[[#This Row],[HH]]&gt;0,CampList[[#This Row],[Total]]/CampList[[#This Row],[HH]],"NA")</f>
        <v>4.5</v>
      </c>
      <c r="T71" s="722" t="s">
        <v>512</v>
      </c>
      <c r="U71" s="726" t="s">
        <v>1193</v>
      </c>
      <c r="V71" s="723" t="s">
        <v>12</v>
      </c>
      <c r="W71" s="726" t="s">
        <v>857</v>
      </c>
      <c r="X71" s="733"/>
      <c r="Y71" s="729"/>
      <c r="Z71" s="734"/>
      <c r="AA71" s="735" t="s">
        <v>842</v>
      </c>
      <c r="AB71" s="736"/>
      <c r="AC71" s="744">
        <v>41803</v>
      </c>
      <c r="AD71" s="656" t="s">
        <v>1070</v>
      </c>
      <c r="AE71" s="755" t="s">
        <v>1095</v>
      </c>
      <c r="AF71" s="663">
        <f>IF(CampList[[#This Row],[Type of Accomodation]]="camp",MAX(0,CampList[[#This Row],[HH]]-SUMIF(Table_Shelter[Pcode],CampList[[#This Row],[CP_Pcode]],Table_Shelter[HH Covered])),0)</f>
        <v>0</v>
      </c>
      <c r="AG71" s="663"/>
      <c r="AH71" s="736">
        <f>MIN(CampList[[#This Row],[Shelter Gap]],CampList[[#This Row],[Land Status]])</f>
        <v>0</v>
      </c>
      <c r="AI71" s="722" t="str">
        <f ca="1">IFERROR(OFFSET(DistanceToCamp[Nearest Town],MATCH(CampList[[#This Row],[CP_Pcode]],DistanceToCamp[CP_Pcode],0)-1,0,1,1),"")</f>
        <v>Dawthponeyan  Town</v>
      </c>
      <c r="AJ71" s="739">
        <f ca="1">IFERROR(OFFSET(DistanceToCamp[distance],MATCH(CampList[[#This Row],[CP_Pcode]],DistanceToCamp[CP_Pcode],0)-1,0,1,1),"")</f>
        <v>19.860265975801305</v>
      </c>
      <c r="AK71" s="740">
        <f ca="1">IFERROR(INT(CampList[[#This Row],[Distance]]/5)+1,"")</f>
        <v>4</v>
      </c>
    </row>
    <row r="72" spans="1:37" s="511" customFormat="1" ht="15.6" customHeight="1" x14ac:dyDescent="0.25">
      <c r="A72" s="656" t="s">
        <v>501</v>
      </c>
      <c r="B72" s="406" t="s">
        <v>380</v>
      </c>
      <c r="C72" s="406" t="s">
        <v>526</v>
      </c>
      <c r="D72" s="406" t="s">
        <v>5</v>
      </c>
      <c r="E72" s="406" t="s">
        <v>530</v>
      </c>
      <c r="F72" s="406" t="s">
        <v>185</v>
      </c>
      <c r="G72" s="406" t="s">
        <v>534</v>
      </c>
      <c r="H72" s="406" t="s">
        <v>706</v>
      </c>
      <c r="I72" s="406" t="s">
        <v>707</v>
      </c>
      <c r="J72" s="406" t="s">
        <v>708</v>
      </c>
      <c r="K72" s="406">
        <v>167242</v>
      </c>
      <c r="L72" s="406" t="s">
        <v>221</v>
      </c>
      <c r="M72" s="406" t="s">
        <v>220</v>
      </c>
      <c r="N72" s="630">
        <v>97.429860000000005</v>
      </c>
      <c r="O72" s="630">
        <v>24.630859999999998</v>
      </c>
      <c r="P72" s="747"/>
      <c r="Q72" s="760">
        <v>39</v>
      </c>
      <c r="R72" s="755">
        <v>176</v>
      </c>
      <c r="S72" s="732">
        <f>IF(CampList[[#This Row],[HH]]&gt;0,CampList[[#This Row],[Total]]/CampList[[#This Row],[HH]],"NA")</f>
        <v>4.5128205128205128</v>
      </c>
      <c r="T72" s="722" t="s">
        <v>512</v>
      </c>
      <c r="U72" s="726" t="s">
        <v>1193</v>
      </c>
      <c r="V72" s="722" t="s">
        <v>12</v>
      </c>
      <c r="W72" s="726" t="s">
        <v>857</v>
      </c>
      <c r="X72" s="742"/>
      <c r="Y72" s="743"/>
      <c r="Z72" s="742"/>
      <c r="AA72" s="736" t="s">
        <v>842</v>
      </c>
      <c r="AB72" s="736"/>
      <c r="AC72" s="744">
        <v>41646</v>
      </c>
      <c r="AD72" s="728" t="s">
        <v>890</v>
      </c>
      <c r="AE72" s="759" t="s">
        <v>1095</v>
      </c>
      <c r="AF72" s="663">
        <f>IF(CampList[[#This Row],[Type of Accomodation]]="camp",MAX(0,CampList[[#This Row],[HH]]-SUMIF(Table_Shelter[Pcode],CampList[[#This Row],[CP_Pcode]],Table_Shelter[HH Covered])),0)</f>
        <v>0</v>
      </c>
      <c r="AG72" s="663"/>
      <c r="AH72" s="736">
        <f>MIN(CampList[[#This Row],[Shelter Gap]],CampList[[#This Row],[Land Status]])</f>
        <v>0</v>
      </c>
      <c r="AI72" s="722" t="str">
        <f ca="1">IFERROR(OFFSET(DistanceToCamp[Nearest Town],MATCH(CampList[[#This Row],[CP_Pcode]],DistanceToCamp[CP_Pcode],0)-1,0,1,1),"")</f>
        <v>Dawthponeyan  Town</v>
      </c>
      <c r="AJ72" s="739">
        <f ca="1">IFERROR(OFFSET(DistanceToCamp[distance],MATCH(CampList[[#This Row],[CP_Pcode]],DistanceToCamp[CP_Pcode],0)-1,0,1,1),"")</f>
        <v>3.6887624513681017</v>
      </c>
      <c r="AK72" s="740">
        <f ca="1">IFERROR(INT(CampList[[#This Row],[Distance]]/5)+1,"")</f>
        <v>1</v>
      </c>
    </row>
    <row r="73" spans="1:37" s="511" customFormat="1" ht="15.6" customHeight="1" x14ac:dyDescent="0.25">
      <c r="A73" s="656" t="s">
        <v>501</v>
      </c>
      <c r="B73" s="406" t="s">
        <v>380</v>
      </c>
      <c r="C73" s="406" t="s">
        <v>526</v>
      </c>
      <c r="D73" s="406" t="s">
        <v>5</v>
      </c>
      <c r="E73" s="406" t="s">
        <v>530</v>
      </c>
      <c r="F73" s="406" t="s">
        <v>151</v>
      </c>
      <c r="G73" s="406" t="s">
        <v>540</v>
      </c>
      <c r="H73" s="728" t="s">
        <v>651</v>
      </c>
      <c r="I73" s="728" t="s">
        <v>652</v>
      </c>
      <c r="J73" s="728" t="s">
        <v>653</v>
      </c>
      <c r="K73" s="728" t="s">
        <v>654</v>
      </c>
      <c r="L73" s="406" t="s">
        <v>152</v>
      </c>
      <c r="M73" s="406" t="s">
        <v>150</v>
      </c>
      <c r="N73" s="630">
        <v>97.291820000000001</v>
      </c>
      <c r="O73" s="630">
        <v>24.129059999999999</v>
      </c>
      <c r="P73" s="741">
        <v>0</v>
      </c>
      <c r="Q73" s="663">
        <v>196</v>
      </c>
      <c r="R73" s="665">
        <v>908</v>
      </c>
      <c r="S73" s="732">
        <f>IF(CampList[[#This Row],[HH]]&gt;0,CampList[[#This Row],[Total]]/CampList[[#This Row],[HH]],"NA")</f>
        <v>4.6326530612244898</v>
      </c>
      <c r="T73" s="722" t="s">
        <v>512</v>
      </c>
      <c r="U73" s="726" t="s">
        <v>1193</v>
      </c>
      <c r="V73" s="722" t="s">
        <v>555</v>
      </c>
      <c r="W73" s="726" t="s">
        <v>804</v>
      </c>
      <c r="X73" s="742">
        <v>41579</v>
      </c>
      <c r="Y73" s="743">
        <v>2</v>
      </c>
      <c r="Z73" s="742" t="s">
        <v>461</v>
      </c>
      <c r="AA73" s="735" t="s">
        <v>843</v>
      </c>
      <c r="AB73" s="736"/>
      <c r="AC73" s="744">
        <v>42569</v>
      </c>
      <c r="AD73" s="656" t="s">
        <v>1468</v>
      </c>
      <c r="AE73" s="759" t="s">
        <v>1095</v>
      </c>
      <c r="AF73" s="663">
        <f>IF(CampList[[#This Row],[Type of Accomodation]]="camp",MAX(0,CampList[[#This Row],[HH]]-SUMIF(Table_Shelter[Pcode],CampList[[#This Row],[CP_Pcode]],Table_Shelter[HH Covered])),0)</f>
        <v>91</v>
      </c>
      <c r="AG73" s="722"/>
      <c r="AH73" s="736">
        <f>MIN(CampList[[#This Row],[Shelter Gap]],CampList[[#This Row],[Land Status]])</f>
        <v>91</v>
      </c>
      <c r="AI73" s="722" t="str">
        <f ca="1">IFERROR(OFFSET(DistanceToCamp[Nearest Town],MATCH(CampList[[#This Row],[CP_Pcode]],DistanceToCamp[CP_Pcode],0)-1,0,1,1),"")</f>
        <v>Mansi Town</v>
      </c>
      <c r="AJ73" s="739">
        <f ca="1">IFERROR(OFFSET(DistanceToCamp[distance],MATCH(CampList[[#This Row],[CP_Pcode]],DistanceToCamp[CP_Pcode],0)-1,0,1,1),"")</f>
        <v>1.0576516850656514</v>
      </c>
      <c r="AK73" s="740">
        <f ca="1">IFERROR(INT(CampList[[#This Row],[Distance]]/5)+1,"")</f>
        <v>1</v>
      </c>
    </row>
    <row r="74" spans="1:37" s="511" customFormat="1" ht="15.6" customHeight="1" x14ac:dyDescent="0.25">
      <c r="A74" s="764" t="s">
        <v>501</v>
      </c>
      <c r="B74" s="406" t="s">
        <v>380</v>
      </c>
      <c r="C74" s="406" t="s">
        <v>526</v>
      </c>
      <c r="D74" s="406" t="s">
        <v>5</v>
      </c>
      <c r="E74" s="406" t="s">
        <v>530</v>
      </c>
      <c r="F74" s="406" t="s">
        <v>302</v>
      </c>
      <c r="G74" s="406" t="s">
        <v>541</v>
      </c>
      <c r="H74" s="406" t="s">
        <v>622</v>
      </c>
      <c r="I74" s="406" t="s">
        <v>623</v>
      </c>
      <c r="J74" s="406" t="s">
        <v>622</v>
      </c>
      <c r="K74" s="406" t="s">
        <v>624</v>
      </c>
      <c r="L74" s="406" t="s">
        <v>306</v>
      </c>
      <c r="M74" s="406" t="s">
        <v>305</v>
      </c>
      <c r="N74" s="630">
        <v>96.807353000000006</v>
      </c>
      <c r="O74" s="630">
        <v>24.200361000000001</v>
      </c>
      <c r="P74" s="741">
        <v>0</v>
      </c>
      <c r="Q74" s="663">
        <v>86</v>
      </c>
      <c r="R74" s="665">
        <v>313</v>
      </c>
      <c r="S74" s="732">
        <f>IF(CampList[[#This Row],[HH]]&gt;0,CampList[[#This Row],[Total]]/CampList[[#This Row],[HH]],"NA")</f>
        <v>3.63953488372093</v>
      </c>
      <c r="T74" s="722" t="s">
        <v>512</v>
      </c>
      <c r="U74" s="726" t="s">
        <v>1193</v>
      </c>
      <c r="V74" s="722" t="s">
        <v>555</v>
      </c>
      <c r="W74" s="726" t="s">
        <v>804</v>
      </c>
      <c r="X74" s="742">
        <v>40725</v>
      </c>
      <c r="Y74" s="743">
        <v>1</v>
      </c>
      <c r="Z74" s="742" t="s">
        <v>461</v>
      </c>
      <c r="AA74" s="736" t="s">
        <v>843</v>
      </c>
      <c r="AB74" s="736"/>
      <c r="AC74" s="744">
        <v>42569</v>
      </c>
      <c r="AD74" s="728" t="s">
        <v>1469</v>
      </c>
      <c r="AE74" s="759" t="s">
        <v>1095</v>
      </c>
      <c r="AF74" s="663">
        <f>IF(CampList[[#This Row],[Type of Accomodation]]="camp",MAX(0,CampList[[#This Row],[HH]]-SUMIF(Table_Shelter[Pcode],CampList[[#This Row],[CP_Pcode]],Table_Shelter[HH Covered])),0)</f>
        <v>44</v>
      </c>
      <c r="AG74" s="722"/>
      <c r="AH74" s="736">
        <f>MIN(CampList[[#This Row],[Shelter Gap]],CampList[[#This Row],[Land Status]])</f>
        <v>44</v>
      </c>
      <c r="AI74" s="722" t="str">
        <f ca="1">IFERROR(OFFSET(DistanceToCamp[Nearest Town],MATCH(CampList[[#This Row],[CP_Pcode]],DistanceToCamp[CP_Pcode],0)-1,0,1,1),"")</f>
        <v>Shwegu Town</v>
      </c>
      <c r="AJ74" s="739">
        <f ca="1">IFERROR(OFFSET(DistanceToCamp[distance],MATCH(CampList[[#This Row],[CP_Pcode]],DistanceToCamp[CP_Pcode],0)-1,0,1,1),"")</f>
        <v>0.74396039478864395</v>
      </c>
      <c r="AK74" s="740">
        <f ca="1">IFERROR(INT(CampList[[#This Row],[Distance]]/5)+1,"")</f>
        <v>1</v>
      </c>
    </row>
    <row r="75" spans="1:37" s="511" customFormat="1" ht="15.6" customHeight="1" x14ac:dyDescent="0.25">
      <c r="A75" s="765" t="s">
        <v>501</v>
      </c>
      <c r="B75" s="214" t="s">
        <v>380</v>
      </c>
      <c r="C75" s="214" t="s">
        <v>526</v>
      </c>
      <c r="D75" s="214" t="s">
        <v>5</v>
      </c>
      <c r="E75" s="214" t="s">
        <v>530</v>
      </c>
      <c r="F75" s="214" t="s">
        <v>302</v>
      </c>
      <c r="G75" s="214" t="s">
        <v>541</v>
      </c>
      <c r="H75" s="214" t="s">
        <v>622</v>
      </c>
      <c r="I75" s="757" t="s">
        <v>623</v>
      </c>
      <c r="J75" s="214" t="s">
        <v>622</v>
      </c>
      <c r="K75" s="214" t="s">
        <v>624</v>
      </c>
      <c r="L75" s="214" t="s">
        <v>308</v>
      </c>
      <c r="M75" s="214" t="s">
        <v>307</v>
      </c>
      <c r="N75" s="752">
        <v>96.807353000000006</v>
      </c>
      <c r="O75" s="752">
        <v>24.200367</v>
      </c>
      <c r="P75" s="729"/>
      <c r="Q75" s="663">
        <v>41</v>
      </c>
      <c r="R75" s="755">
        <v>152</v>
      </c>
      <c r="S75" s="732">
        <f>IF(CampList[[#This Row],[HH]]&gt;0,CampList[[#This Row],[Total]]/CampList[[#This Row],[HH]],"NA")</f>
        <v>3.7073170731707319</v>
      </c>
      <c r="T75" s="663" t="s">
        <v>512</v>
      </c>
      <c r="U75" s="722" t="s">
        <v>1193</v>
      </c>
      <c r="V75" s="663" t="s">
        <v>555</v>
      </c>
      <c r="W75" s="663" t="s">
        <v>804</v>
      </c>
      <c r="X75" s="754">
        <v>40725</v>
      </c>
      <c r="Y75" s="729">
        <v>2</v>
      </c>
      <c r="Z75" s="729" t="s">
        <v>1091</v>
      </c>
      <c r="AA75" s="752" t="s">
        <v>843</v>
      </c>
      <c r="AB75" s="752"/>
      <c r="AC75" s="744">
        <v>42397</v>
      </c>
      <c r="AD75" s="758" t="s">
        <v>1337</v>
      </c>
      <c r="AE75" s="759" t="s">
        <v>1095</v>
      </c>
      <c r="AF75" s="760">
        <f>IF(CampList[[#This Row],[Type of Accomodation]]="camp",MAX(0,CampList[[#This Row],[HH]]-SUMIF(Table_Shelter[Pcode],CampList[[#This Row],[CP_Pcode]],Table_Shelter[HH Covered])),0)</f>
        <v>0</v>
      </c>
      <c r="AG75" s="663"/>
      <c r="AH75" s="741">
        <f>MIN(CampList[[#This Row],[Shelter Gap]],CampList[[#This Row],[Land Status]])</f>
        <v>0</v>
      </c>
      <c r="AI75" s="760" t="str">
        <f ca="1">IFERROR(OFFSET(DistanceToCamp[Nearest Town],MATCH(CampList[[#This Row],[CP_Pcode]],DistanceToCamp[CP_Pcode],0)-1,0,1,1),"")</f>
        <v>Shwegu Town</v>
      </c>
      <c r="AJ75" s="739">
        <f ca="1">IFERROR(OFFSET(DistanceToCamp[distance],MATCH(CampList[[#This Row],[CP_Pcode]],DistanceToCamp[CP_Pcode],0)-1,0,1,1),"")</f>
        <v>0.74330366237812662</v>
      </c>
      <c r="AK75" s="761">
        <f ca="1">IFERROR(INT(CampList[[#This Row],[Distance]]/5)+1,"")</f>
        <v>1</v>
      </c>
    </row>
    <row r="76" spans="1:37" s="511" customFormat="1" ht="15.6" customHeight="1" x14ac:dyDescent="0.55000000000000004">
      <c r="A76" s="756" t="s">
        <v>501</v>
      </c>
      <c r="B76" s="214" t="s">
        <v>380</v>
      </c>
      <c r="C76" s="214" t="s">
        <v>526</v>
      </c>
      <c r="D76" s="214" t="s">
        <v>5</v>
      </c>
      <c r="E76" s="214" t="s">
        <v>530</v>
      </c>
      <c r="F76" s="214" t="s">
        <v>185</v>
      </c>
      <c r="G76" s="214" t="s">
        <v>534</v>
      </c>
      <c r="H76" s="214" t="s">
        <v>754</v>
      </c>
      <c r="I76" s="757" t="s">
        <v>755</v>
      </c>
      <c r="J76" s="768" t="s">
        <v>1401</v>
      </c>
      <c r="K76" s="768" t="s">
        <v>1402</v>
      </c>
      <c r="L76" s="214" t="s">
        <v>223</v>
      </c>
      <c r="M76" s="214" t="s">
        <v>222</v>
      </c>
      <c r="N76" s="752">
        <v>97.724566999999993</v>
      </c>
      <c r="O76" s="752">
        <v>24.205417000000001</v>
      </c>
      <c r="P76" s="729"/>
      <c r="Q76" s="663">
        <v>124</v>
      </c>
      <c r="R76" s="755">
        <v>544</v>
      </c>
      <c r="S76" s="732">
        <f>IF(CampList[[#This Row],[HH]]&gt;0,CampList[[#This Row],[Total]]/CampList[[#This Row],[HH]],"NA")</f>
        <v>4.387096774193548</v>
      </c>
      <c r="T76" s="663" t="s">
        <v>512</v>
      </c>
      <c r="U76" s="722" t="s">
        <v>1193</v>
      </c>
      <c r="V76" s="663" t="s">
        <v>555</v>
      </c>
      <c r="W76" s="663" t="s">
        <v>804</v>
      </c>
      <c r="X76" s="754">
        <v>40848</v>
      </c>
      <c r="Y76" s="729">
        <v>2</v>
      </c>
      <c r="Z76" s="729" t="s">
        <v>1091</v>
      </c>
      <c r="AA76" s="752" t="s">
        <v>843</v>
      </c>
      <c r="AB76" s="752"/>
      <c r="AC76" s="744">
        <v>42397</v>
      </c>
      <c r="AD76" s="758" t="s">
        <v>1334</v>
      </c>
      <c r="AE76" s="759" t="s">
        <v>1081</v>
      </c>
      <c r="AF76" s="760">
        <f>IF(CampList[[#This Row],[Type of Accomodation]]="camp",MAX(0,CampList[[#This Row],[HH]]-SUMIF(Table_Shelter[Pcode],CampList[[#This Row],[CP_Pcode]],Table_Shelter[HH Covered])),0)</f>
        <v>57</v>
      </c>
      <c r="AG76" s="663"/>
      <c r="AH76" s="741">
        <f>MIN(CampList[[#This Row],[Shelter Gap]],CampList[[#This Row],[Land Status]])</f>
        <v>57</v>
      </c>
      <c r="AI76" s="760" t="str">
        <f ca="1">IFERROR(OFFSET(DistanceToCamp[Nearest Town],MATCH(CampList[[#This Row],[CP_Pcode]],DistanceToCamp[CP_Pcode],0)-1,0,1,1),"")</f>
        <v>Lwegel Town</v>
      </c>
      <c r="AJ76" s="739">
        <f ca="1">IFERROR(OFFSET(DistanceToCamp[distance],MATCH(CampList[[#This Row],[CP_Pcode]],DistanceToCamp[CP_Pcode],0)-1,0,1,1),"")</f>
        <v>0.77978735578277303</v>
      </c>
      <c r="AK76" s="761">
        <f ca="1">IFERROR(INT(CampList[[#This Row],[Distance]]/5)+1,"")</f>
        <v>1</v>
      </c>
    </row>
    <row r="77" spans="1:37" s="511" customFormat="1" ht="15.6" customHeight="1" x14ac:dyDescent="0.25">
      <c r="A77" s="656" t="s">
        <v>501</v>
      </c>
      <c r="B77" s="406" t="s">
        <v>380</v>
      </c>
      <c r="C77" s="406" t="s">
        <v>526</v>
      </c>
      <c r="D77" s="406" t="s">
        <v>5</v>
      </c>
      <c r="E77" s="406" t="s">
        <v>530</v>
      </c>
      <c r="F77" s="406" t="s">
        <v>185</v>
      </c>
      <c r="G77" s="406" t="s">
        <v>534</v>
      </c>
      <c r="H77" s="728" t="s">
        <v>754</v>
      </c>
      <c r="I77" s="728" t="s">
        <v>755</v>
      </c>
      <c r="J77" s="728" t="s">
        <v>759</v>
      </c>
      <c r="K77" s="728" t="s">
        <v>760</v>
      </c>
      <c r="L77" s="406" t="s">
        <v>190</v>
      </c>
      <c r="M77" s="406" t="s">
        <v>189</v>
      </c>
      <c r="N77" s="630">
        <v>97.717133000000004</v>
      </c>
      <c r="O77" s="630">
        <v>24.200433</v>
      </c>
      <c r="P77" s="741">
        <v>0</v>
      </c>
      <c r="Q77" s="663">
        <v>190</v>
      </c>
      <c r="R77" s="665">
        <v>1021</v>
      </c>
      <c r="S77" s="732">
        <f>IF(CampList[[#This Row],[HH]]&gt;0,CampList[[#This Row],[Total]]/CampList[[#This Row],[HH]],"NA")</f>
        <v>5.3736842105263154</v>
      </c>
      <c r="T77" s="722" t="s">
        <v>512</v>
      </c>
      <c r="U77" s="726" t="s">
        <v>1193</v>
      </c>
      <c r="V77" s="722" t="s">
        <v>555</v>
      </c>
      <c r="W77" s="726" t="s">
        <v>804</v>
      </c>
      <c r="X77" s="742">
        <v>41000</v>
      </c>
      <c r="Y77" s="743">
        <v>2</v>
      </c>
      <c r="Z77" s="742" t="s">
        <v>461</v>
      </c>
      <c r="AA77" s="735" t="s">
        <v>843</v>
      </c>
      <c r="AB77" s="736"/>
      <c r="AC77" s="744">
        <v>42569</v>
      </c>
      <c r="AD77" s="656" t="s">
        <v>1466</v>
      </c>
      <c r="AE77" s="759" t="s">
        <v>1081</v>
      </c>
      <c r="AF77" s="663">
        <f>IF(CampList[[#This Row],[Type of Accomodation]]="camp",MAX(0,CampList[[#This Row],[HH]]-SUMIF(Table_Shelter[Pcode],CampList[[#This Row],[CP_Pcode]],Table_Shelter[HH Covered])),0)</f>
        <v>108</v>
      </c>
      <c r="AG77" s="722"/>
      <c r="AH77" s="736">
        <f>MIN(CampList[[#This Row],[Shelter Gap]],CampList[[#This Row],[Land Status]])</f>
        <v>108</v>
      </c>
      <c r="AI77" s="722" t="str">
        <f ca="1">IFERROR(OFFSET(DistanceToCamp[Nearest Town],MATCH(CampList[[#This Row],[CP_Pcode]],DistanceToCamp[CP_Pcode],0)-1,0,1,1),"")</f>
        <v>Lwegel Town</v>
      </c>
      <c r="AJ77" s="739">
        <f ca="1">IFERROR(OFFSET(DistanceToCamp[distance],MATCH(CampList[[#This Row],[CP_Pcode]],DistanceToCamp[CP_Pcode],0)-1,0,1,1),"")</f>
        <v>0.38934692601696641</v>
      </c>
      <c r="AK77" s="740">
        <f ca="1">IFERROR(INT(CampList[[#This Row],[Distance]]/5)+1,"")</f>
        <v>1</v>
      </c>
    </row>
    <row r="78" spans="1:37" s="511" customFormat="1" ht="15.6" customHeight="1" x14ac:dyDescent="0.25">
      <c r="A78" s="656" t="s">
        <v>501</v>
      </c>
      <c r="B78" s="406" t="s">
        <v>380</v>
      </c>
      <c r="C78" s="406" t="s">
        <v>526</v>
      </c>
      <c r="D78" s="406" t="s">
        <v>5</v>
      </c>
      <c r="E78" s="406" t="s">
        <v>530</v>
      </c>
      <c r="F78" s="406" t="s">
        <v>185</v>
      </c>
      <c r="G78" s="406" t="s">
        <v>534</v>
      </c>
      <c r="H78" s="728" t="s">
        <v>754</v>
      </c>
      <c r="I78" s="728" t="s">
        <v>755</v>
      </c>
      <c r="J78" s="770" t="s">
        <v>1401</v>
      </c>
      <c r="K78" s="770" t="s">
        <v>1402</v>
      </c>
      <c r="L78" s="406" t="s">
        <v>186</v>
      </c>
      <c r="M78" s="406" t="s">
        <v>184</v>
      </c>
      <c r="N78" s="630">
        <v>97.718582999999995</v>
      </c>
      <c r="O78" s="630">
        <v>24.200972</v>
      </c>
      <c r="P78" s="753"/>
      <c r="Q78" s="663">
        <v>36</v>
      </c>
      <c r="R78" s="665">
        <v>215</v>
      </c>
      <c r="S78" s="732">
        <f>IF(CampList[[#This Row],[HH]]&gt;0,CampList[[#This Row],[Total]]/CampList[[#This Row],[HH]],"NA")</f>
        <v>5.9722222222222223</v>
      </c>
      <c r="T78" s="722" t="s">
        <v>512</v>
      </c>
      <c r="U78" s="726" t="s">
        <v>1193</v>
      </c>
      <c r="V78" s="722" t="s">
        <v>555</v>
      </c>
      <c r="W78" s="726" t="s">
        <v>804</v>
      </c>
      <c r="X78" s="733">
        <v>41030</v>
      </c>
      <c r="Y78" s="743">
        <v>1</v>
      </c>
      <c r="Z78" s="742" t="s">
        <v>461</v>
      </c>
      <c r="AA78" s="735" t="s">
        <v>843</v>
      </c>
      <c r="AB78" s="736"/>
      <c r="AC78" s="744">
        <v>42569</v>
      </c>
      <c r="AD78" s="656" t="s">
        <v>1466</v>
      </c>
      <c r="AE78" s="759" t="s">
        <v>1081</v>
      </c>
      <c r="AF78" s="663">
        <f>IF(CampList[[#This Row],[Type of Accomodation]]="camp",MAX(0,CampList[[#This Row],[HH]]-SUMIF(Table_Shelter[Pcode],CampList[[#This Row],[CP_Pcode]],Table_Shelter[HH Covered])),0)</f>
        <v>0</v>
      </c>
      <c r="AG78" s="722"/>
      <c r="AH78" s="736">
        <f>MIN(CampList[[#This Row],[Shelter Gap]],CampList[[#This Row],[Land Status]])</f>
        <v>0</v>
      </c>
      <c r="AI78" s="722" t="str">
        <f ca="1">IFERROR(OFFSET(DistanceToCamp[Nearest Town],MATCH(CampList[[#This Row],[CP_Pcode]],DistanceToCamp[CP_Pcode],0)-1,0,1,1),"")</f>
        <v>Lwegel Town</v>
      </c>
      <c r="AJ78" s="739">
        <f ca="1">IFERROR(OFFSET(DistanceToCamp[distance],MATCH(CampList[[#This Row],[CP_Pcode]],DistanceToCamp[CP_Pcode],0)-1,0,1,1),"")</f>
        <v>0.28829825866869707</v>
      </c>
      <c r="AK78" s="740">
        <f ca="1">IFERROR(INT(CampList[[#This Row],[Distance]]/5)+1,"")</f>
        <v>1</v>
      </c>
    </row>
    <row r="79" spans="1:37" s="511" customFormat="1" ht="15.6" customHeight="1" x14ac:dyDescent="0.55000000000000004">
      <c r="A79" s="656" t="s">
        <v>501</v>
      </c>
      <c r="B79" s="406" t="s">
        <v>380</v>
      </c>
      <c r="C79" s="406" t="s">
        <v>526</v>
      </c>
      <c r="D79" s="406" t="s">
        <v>5</v>
      </c>
      <c r="E79" s="406" t="s">
        <v>530</v>
      </c>
      <c r="F79" s="406" t="s">
        <v>185</v>
      </c>
      <c r="G79" s="406" t="s">
        <v>534</v>
      </c>
      <c r="H79" s="406" t="s">
        <v>754</v>
      </c>
      <c r="I79" s="406" t="s">
        <v>1260</v>
      </c>
      <c r="J79" s="768" t="s">
        <v>759</v>
      </c>
      <c r="K79" s="768" t="s">
        <v>760</v>
      </c>
      <c r="L79" s="406" t="s">
        <v>229</v>
      </c>
      <c r="M79" s="406" t="s">
        <v>228</v>
      </c>
      <c r="N79" s="630">
        <v>97.724483000000006</v>
      </c>
      <c r="O79" s="630">
        <v>24.205417000000001</v>
      </c>
      <c r="P79" s="741">
        <v>0</v>
      </c>
      <c r="Q79" s="663">
        <v>50</v>
      </c>
      <c r="R79" s="665">
        <v>309</v>
      </c>
      <c r="S79" s="732">
        <f>IF(CampList[[#This Row],[HH]]&gt;0,CampList[[#This Row],[Total]]/CampList[[#This Row],[HH]],"NA")</f>
        <v>6.18</v>
      </c>
      <c r="T79" s="722" t="s">
        <v>512</v>
      </c>
      <c r="U79" s="726" t="s">
        <v>1193</v>
      </c>
      <c r="V79" s="722" t="s">
        <v>555</v>
      </c>
      <c r="W79" s="726" t="s">
        <v>804</v>
      </c>
      <c r="X79" s="742">
        <v>41122</v>
      </c>
      <c r="Y79" s="743">
        <v>1</v>
      </c>
      <c r="Z79" s="742" t="s">
        <v>461</v>
      </c>
      <c r="AA79" s="736" t="s">
        <v>843</v>
      </c>
      <c r="AB79" s="736"/>
      <c r="AC79" s="744">
        <v>42569</v>
      </c>
      <c r="AD79" s="728" t="s">
        <v>1467</v>
      </c>
      <c r="AE79" s="759" t="s">
        <v>1081</v>
      </c>
      <c r="AF79" s="663">
        <f>IF(CampList[[#This Row],[Type of Accomodation]]="camp",MAX(0,CampList[[#This Row],[HH]]-SUMIF(Table_Shelter[Pcode],CampList[[#This Row],[CP_Pcode]],Table_Shelter[HH Covered])),0)</f>
        <v>5</v>
      </c>
      <c r="AG79" s="663"/>
      <c r="AH79" s="736">
        <f>MIN(CampList[[#This Row],[Shelter Gap]],CampList[[#This Row],[Land Status]])</f>
        <v>5</v>
      </c>
      <c r="AI79" s="722" t="str">
        <f ca="1">IFERROR(OFFSET(DistanceToCamp[Nearest Town],MATCH(CampList[[#This Row],[CP_Pcode]],DistanceToCamp[CP_Pcode],0)-1,0,1,1),"")</f>
        <v>Lwegel Town</v>
      </c>
      <c r="AJ79" s="739">
        <f ca="1">IFERROR(OFFSET(DistanceToCamp[distance],MATCH(CampList[[#This Row],[CP_Pcode]],DistanceToCamp[CP_Pcode],0)-1,0,1,1),"")</f>
        <v>0.77561767807574999</v>
      </c>
      <c r="AK79" s="740">
        <f ca="1">IFERROR(INT(CampList[[#This Row],[Distance]]/5)+1,"")</f>
        <v>1</v>
      </c>
    </row>
    <row r="80" spans="1:37" s="511" customFormat="1" ht="15.6" customHeight="1" x14ac:dyDescent="0.25">
      <c r="A80" s="656" t="s">
        <v>501</v>
      </c>
      <c r="B80" s="406" t="s">
        <v>380</v>
      </c>
      <c r="C80" s="406" t="s">
        <v>526</v>
      </c>
      <c r="D80" s="406" t="s">
        <v>5</v>
      </c>
      <c r="E80" s="406" t="s">
        <v>530</v>
      </c>
      <c r="F80" s="406" t="s">
        <v>185</v>
      </c>
      <c r="G80" s="406" t="s">
        <v>534</v>
      </c>
      <c r="H80" s="406" t="s">
        <v>754</v>
      </c>
      <c r="I80" s="406" t="s">
        <v>755</v>
      </c>
      <c r="J80" s="406" t="s">
        <v>1407</v>
      </c>
      <c r="K80" s="406" t="s">
        <v>1408</v>
      </c>
      <c r="L80" s="406" t="s">
        <v>225</v>
      </c>
      <c r="M80" s="406" t="s">
        <v>224</v>
      </c>
      <c r="N80" s="630">
        <v>97.710864000000001</v>
      </c>
      <c r="O80" s="630">
        <v>24.207332999999998</v>
      </c>
      <c r="P80" s="741">
        <v>0</v>
      </c>
      <c r="Q80" s="663">
        <v>39</v>
      </c>
      <c r="R80" s="665">
        <v>248</v>
      </c>
      <c r="S80" s="732">
        <f>IF(CampList[[#This Row],[HH]]&gt;0,CampList[[#This Row],[Total]]/CampList[[#This Row],[HH]],"NA")</f>
        <v>6.3589743589743586</v>
      </c>
      <c r="T80" s="722" t="s">
        <v>512</v>
      </c>
      <c r="U80" s="726" t="s">
        <v>1193</v>
      </c>
      <c r="V80" s="722" t="s">
        <v>555</v>
      </c>
      <c r="W80" s="726" t="s">
        <v>804</v>
      </c>
      <c r="X80" s="742">
        <v>41122</v>
      </c>
      <c r="Y80" s="743">
        <v>1</v>
      </c>
      <c r="Z80" s="742" t="s">
        <v>461</v>
      </c>
      <c r="AA80" s="736" t="s">
        <v>843</v>
      </c>
      <c r="AB80" s="736"/>
      <c r="AC80" s="744">
        <v>42569</v>
      </c>
      <c r="AD80" s="728" t="s">
        <v>1467</v>
      </c>
      <c r="AE80" s="759" t="s">
        <v>1081</v>
      </c>
      <c r="AF80" s="663">
        <f>IF(CampList[[#This Row],[Type of Accomodation]]="camp",MAX(0,CampList[[#This Row],[HH]]-SUMIF(Table_Shelter[Pcode],CampList[[#This Row],[CP_Pcode]],Table_Shelter[HH Covered])),0)</f>
        <v>0</v>
      </c>
      <c r="AG80" s="722"/>
      <c r="AH80" s="736">
        <f>MIN(CampList[[#This Row],[Shelter Gap]],CampList[[#This Row],[Land Status]])</f>
        <v>0</v>
      </c>
      <c r="AI80" s="722" t="str">
        <f ca="1">IFERROR(OFFSET(DistanceToCamp[Nearest Town],MATCH(CampList[[#This Row],[CP_Pcode]],DistanceToCamp[CP_Pcode],0)-1,0,1,1),"")</f>
        <v>Lwegel Town</v>
      </c>
      <c r="AJ80" s="739">
        <f ca="1">IFERROR(OFFSET(DistanceToCamp[distance],MATCH(CampList[[#This Row],[CP_Pcode]],DistanceToCamp[CP_Pcode],0)-1,0,1,1),"")</f>
        <v>1.343152344964242</v>
      </c>
      <c r="AK80" s="740">
        <f ca="1">IFERROR(INT(CampList[[#This Row],[Distance]]/5)+1,"")</f>
        <v>1</v>
      </c>
    </row>
    <row r="81" spans="1:37" s="511" customFormat="1" ht="15.6" customHeight="1" x14ac:dyDescent="0.25">
      <c r="A81" s="656" t="s">
        <v>501</v>
      </c>
      <c r="B81" s="406" t="s">
        <v>380</v>
      </c>
      <c r="C81" s="406" t="s">
        <v>526</v>
      </c>
      <c r="D81" s="406" t="s">
        <v>300</v>
      </c>
      <c r="E81" s="406" t="s">
        <v>547</v>
      </c>
      <c r="F81" s="406" t="s">
        <v>144</v>
      </c>
      <c r="G81" s="406" t="s">
        <v>548</v>
      </c>
      <c r="H81" s="728" t="s">
        <v>784</v>
      </c>
      <c r="I81" s="728" t="s">
        <v>785</v>
      </c>
      <c r="J81" s="728" t="s">
        <v>145</v>
      </c>
      <c r="K81" s="728">
        <v>168236</v>
      </c>
      <c r="L81" s="406" t="s">
        <v>145</v>
      </c>
      <c r="M81" s="406" t="s">
        <v>143</v>
      </c>
      <c r="N81" s="630">
        <v>98.144502500000002</v>
      </c>
      <c r="O81" s="630">
        <v>26.890058</v>
      </c>
      <c r="P81" s="729">
        <v>1393</v>
      </c>
      <c r="Q81" s="730">
        <v>11</v>
      </c>
      <c r="R81" s="731">
        <v>17</v>
      </c>
      <c r="S81" s="732">
        <f>IF(CampList[[#This Row],[HH]]&gt;0,CampList[[#This Row],[Total]]/CampList[[#This Row],[HH]],"NA")</f>
        <v>1.5454545454545454</v>
      </c>
      <c r="T81" s="722" t="s">
        <v>512</v>
      </c>
      <c r="U81" s="726" t="s">
        <v>1193</v>
      </c>
      <c r="V81" s="722" t="s">
        <v>555</v>
      </c>
      <c r="W81" s="726" t="s">
        <v>857</v>
      </c>
      <c r="X81" s="733"/>
      <c r="Y81" s="729"/>
      <c r="Z81" s="734"/>
      <c r="AA81" s="735" t="s">
        <v>842</v>
      </c>
      <c r="AB81" s="736"/>
      <c r="AC81" s="744">
        <v>41646</v>
      </c>
      <c r="AD81" s="656" t="s">
        <v>891</v>
      </c>
      <c r="AE81" s="755" t="s">
        <v>1095</v>
      </c>
      <c r="AF81" s="663">
        <f>IF(CampList[[#This Row],[Type of Accomodation]]="camp",MAX(0,CampList[[#This Row],[HH]]-SUMIF(Table_Shelter[Pcode],CampList[[#This Row],[CP_Pcode]],Table_Shelter[HH Covered])),0)</f>
        <v>11</v>
      </c>
      <c r="AG81" s="722"/>
      <c r="AH81" s="736">
        <f>MIN(CampList[[#This Row],[Shelter Gap]],CampList[[#This Row],[Land Status]])</f>
        <v>11</v>
      </c>
      <c r="AI81" s="722" t="str">
        <f ca="1">IFERROR(OFFSET(DistanceToCamp[Nearest Town],MATCH(CampList[[#This Row],[CP_Pcode]],DistanceToCamp[CP_Pcode],0)-1,0,1,1),"")</f>
        <v>Khaunglanhpu Town</v>
      </c>
      <c r="AJ81" s="739">
        <f ca="1">IFERROR(OFFSET(DistanceToCamp[distance],MATCH(CampList[[#This Row],[CP_Pcode]],DistanceToCamp[CP_Pcode],0)-1,0,1,1),"")</f>
        <v>28.422357500443528</v>
      </c>
      <c r="AK81" s="740">
        <f ca="1">IFERROR(INT(CampList[[#This Row],[Distance]]/5)+1,"")</f>
        <v>6</v>
      </c>
    </row>
    <row r="82" spans="1:37" s="511" customFormat="1" ht="15.6" customHeight="1" x14ac:dyDescent="0.25">
      <c r="A82" s="764" t="s">
        <v>501</v>
      </c>
      <c r="B82" s="406" t="s">
        <v>380</v>
      </c>
      <c r="C82" s="406" t="s">
        <v>526</v>
      </c>
      <c r="D82" s="406" t="s">
        <v>300</v>
      </c>
      <c r="E82" s="406" t="s">
        <v>547</v>
      </c>
      <c r="F82" s="406" t="s">
        <v>300</v>
      </c>
      <c r="G82" s="406" t="s">
        <v>553</v>
      </c>
      <c r="H82" s="406" t="s">
        <v>801</v>
      </c>
      <c r="I82" s="406" t="s">
        <v>802</v>
      </c>
      <c r="J82" s="406" t="s">
        <v>1034</v>
      </c>
      <c r="K82" s="406" t="s">
        <v>1035</v>
      </c>
      <c r="L82" s="406" t="s">
        <v>301</v>
      </c>
      <c r="M82" s="406" t="s">
        <v>299</v>
      </c>
      <c r="N82" s="630">
        <v>97.415289999999999</v>
      </c>
      <c r="O82" s="630">
        <v>27.311699999999998</v>
      </c>
      <c r="P82" s="747">
        <v>476.7</v>
      </c>
      <c r="Q82" s="760">
        <v>14</v>
      </c>
      <c r="R82" s="755">
        <v>64</v>
      </c>
      <c r="S82" s="732">
        <f>IF(CampList[[#This Row],[HH]]&gt;0,CampList[[#This Row],[Total]]/CampList[[#This Row],[HH]],"NA")</f>
        <v>4.5714285714285712</v>
      </c>
      <c r="T82" s="722" t="s">
        <v>512</v>
      </c>
      <c r="U82" s="726" t="s">
        <v>1193</v>
      </c>
      <c r="V82" s="722" t="s">
        <v>12</v>
      </c>
      <c r="W82" s="726" t="s">
        <v>857</v>
      </c>
      <c r="X82" s="742"/>
      <c r="Y82" s="743"/>
      <c r="Z82" s="742"/>
      <c r="AA82" s="736" t="s">
        <v>843</v>
      </c>
      <c r="AB82" s="736"/>
      <c r="AC82" s="744">
        <v>41736</v>
      </c>
      <c r="AD82" s="728" t="s">
        <v>1041</v>
      </c>
      <c r="AE82" s="759" t="s">
        <v>1081</v>
      </c>
      <c r="AF82" s="663">
        <f>IF(CampList[[#This Row],[Type of Accomodation]]="camp",MAX(0,CampList[[#This Row],[HH]]-SUMIF(Table_Shelter[Pcode],CampList[[#This Row],[CP_Pcode]],Table_Shelter[HH Covered])),0)</f>
        <v>0</v>
      </c>
      <c r="AG82" s="722"/>
      <c r="AH82" s="736">
        <f>MIN(CampList[[#This Row],[Shelter Gap]],CampList[[#This Row],[Land Status]])</f>
        <v>0</v>
      </c>
      <c r="AI82" s="722" t="str">
        <f ca="1">IFERROR(OFFSET(DistanceToCamp[Nearest Town],MATCH(CampList[[#This Row],[CP_Pcode]],DistanceToCamp[CP_Pcode],0)-1,0,1,1),"")</f>
        <v>Puta-O Town</v>
      </c>
      <c r="AJ82" s="739">
        <f ca="1">IFERROR(OFFSET(DistanceToCamp[distance],MATCH(CampList[[#This Row],[CP_Pcode]],DistanceToCamp[CP_Pcode],0)-1,0,1,1),"")</f>
        <v>1.3759254000531889</v>
      </c>
      <c r="AK82" s="740">
        <f ca="1">IFERROR(INT(CampList[[#This Row],[Distance]]/5)+1,"")</f>
        <v>1</v>
      </c>
    </row>
    <row r="83" spans="1:37" s="511" customFormat="1" ht="15.6" customHeight="1" x14ac:dyDescent="0.25">
      <c r="A83" s="656" t="s">
        <v>501</v>
      </c>
      <c r="B83" s="406" t="s">
        <v>380</v>
      </c>
      <c r="C83" s="406" t="s">
        <v>526</v>
      </c>
      <c r="D83" s="406" t="s">
        <v>180</v>
      </c>
      <c r="E83" s="406" t="s">
        <v>527</v>
      </c>
      <c r="F83" s="406" t="s">
        <v>173</v>
      </c>
      <c r="G83" s="406" t="s">
        <v>546</v>
      </c>
      <c r="H83" s="728" t="s">
        <v>633</v>
      </c>
      <c r="I83" s="728" t="s">
        <v>634</v>
      </c>
      <c r="J83" s="728" t="s">
        <v>635</v>
      </c>
      <c r="K83" s="728">
        <v>166676</v>
      </c>
      <c r="L83" s="406" t="s">
        <v>176</v>
      </c>
      <c r="M83" s="406" t="s">
        <v>175</v>
      </c>
      <c r="N83" s="630">
        <v>96.942279999999997</v>
      </c>
      <c r="O83" s="630">
        <v>25.296579999999999</v>
      </c>
      <c r="P83" s="741">
        <v>0</v>
      </c>
      <c r="Q83" s="663">
        <v>16</v>
      </c>
      <c r="R83" s="664">
        <v>71</v>
      </c>
      <c r="S83" s="732">
        <f>IF(CampList[[#This Row],[HH]]&gt;0,CampList[[#This Row],[Total]]/CampList[[#This Row],[HH]],"NA")</f>
        <v>4.4375</v>
      </c>
      <c r="T83" s="722" t="s">
        <v>512</v>
      </c>
      <c r="U83" s="726" t="s">
        <v>1193</v>
      </c>
      <c r="V83" s="722" t="s">
        <v>555</v>
      </c>
      <c r="W83" s="726" t="s">
        <v>804</v>
      </c>
      <c r="X83" s="742">
        <v>41030</v>
      </c>
      <c r="Y83" s="743">
        <v>1</v>
      </c>
      <c r="Z83" s="742" t="s">
        <v>461</v>
      </c>
      <c r="AA83" s="735" t="s">
        <v>843</v>
      </c>
      <c r="AB83" s="736"/>
      <c r="AC83" s="744">
        <v>42569</v>
      </c>
      <c r="AD83" s="656" t="s">
        <v>1470</v>
      </c>
      <c r="AE83" s="759" t="s">
        <v>1095</v>
      </c>
      <c r="AF83" s="663">
        <f>IF(CampList[[#This Row],[Type of Accomodation]]="camp",MAX(0,CampList[[#This Row],[HH]]-SUMIF(Table_Shelter[Pcode],CampList[[#This Row],[CP_Pcode]],Table_Shelter[HH Covered])),0)</f>
        <v>6</v>
      </c>
      <c r="AG83" s="722"/>
      <c r="AH83" s="736">
        <f>MIN(CampList[[#This Row],[Shelter Gap]],CampList[[#This Row],[Land Status]])</f>
        <v>6</v>
      </c>
      <c r="AI83" s="722" t="str">
        <f ca="1">IFERROR(OFFSET(DistanceToCamp[Nearest Town],MATCH(CampList[[#This Row],[CP_Pcode]],DistanceToCamp[CP_Pcode],0)-1,0,1,1),"")</f>
        <v>Mogaung Town</v>
      </c>
      <c r="AJ83" s="739">
        <f ca="1">IFERROR(OFFSET(DistanceToCamp[distance],MATCH(CampList[[#This Row],[CP_Pcode]],DistanceToCamp[CP_Pcode],0)-1,0,1,1),"")</f>
        <v>0.71141459237180937</v>
      </c>
      <c r="AK83" s="740">
        <f ca="1">IFERROR(INT(CampList[[#This Row],[Distance]]/5)+1,"")</f>
        <v>1</v>
      </c>
    </row>
    <row r="84" spans="1:37" s="511" customFormat="1" ht="15.6" customHeight="1" x14ac:dyDescent="0.25">
      <c r="A84" s="656" t="s">
        <v>501</v>
      </c>
      <c r="B84" s="406" t="s">
        <v>380</v>
      </c>
      <c r="C84" s="406" t="s">
        <v>526</v>
      </c>
      <c r="D84" s="406" t="s">
        <v>180</v>
      </c>
      <c r="E84" s="406" t="s">
        <v>527</v>
      </c>
      <c r="F84" s="406" t="s">
        <v>173</v>
      </c>
      <c r="G84" s="406" t="s">
        <v>546</v>
      </c>
      <c r="H84" s="728" t="s">
        <v>631</v>
      </c>
      <c r="I84" s="728" t="s">
        <v>632</v>
      </c>
      <c r="J84" s="770" t="s">
        <v>1399</v>
      </c>
      <c r="K84" s="770" t="s">
        <v>1400</v>
      </c>
      <c r="L84" s="406" t="s">
        <v>174</v>
      </c>
      <c r="M84" s="406" t="s">
        <v>172</v>
      </c>
      <c r="N84" s="630">
        <v>96.922619999999995</v>
      </c>
      <c r="O84" s="630">
        <v>25.305669999999999</v>
      </c>
      <c r="P84" s="741">
        <v>470</v>
      </c>
      <c r="Q84" s="663">
        <v>13</v>
      </c>
      <c r="R84" s="664">
        <v>64</v>
      </c>
      <c r="S84" s="732">
        <f>IF(CampList[[#This Row],[HH]]&gt;0,CampList[[#This Row],[Total]]/CampList[[#This Row],[HH]],"NA")</f>
        <v>4.9230769230769234</v>
      </c>
      <c r="T84" s="722" t="s">
        <v>512</v>
      </c>
      <c r="U84" s="726" t="s">
        <v>1193</v>
      </c>
      <c r="V84" s="722" t="s">
        <v>555</v>
      </c>
      <c r="W84" s="726" t="s">
        <v>804</v>
      </c>
      <c r="X84" s="742">
        <v>41030</v>
      </c>
      <c r="Y84" s="743">
        <v>1</v>
      </c>
      <c r="Z84" s="742" t="s">
        <v>461</v>
      </c>
      <c r="AA84" s="735" t="s">
        <v>843</v>
      </c>
      <c r="AB84" s="736"/>
      <c r="AC84" s="744">
        <v>42569</v>
      </c>
      <c r="AD84" s="656" t="s">
        <v>1470</v>
      </c>
      <c r="AE84" s="759" t="s">
        <v>1095</v>
      </c>
      <c r="AF84" s="663">
        <f>IF(CampList[[#This Row],[Type of Accomodation]]="camp",MAX(0,CampList[[#This Row],[HH]]-SUMIF(Table_Shelter[Pcode],CampList[[#This Row],[CP_Pcode]],Table_Shelter[HH Covered])),0)</f>
        <v>0</v>
      </c>
      <c r="AG84" s="722"/>
      <c r="AH84" s="736">
        <f>MIN(CampList[[#This Row],[Shelter Gap]],CampList[[#This Row],[Land Status]])</f>
        <v>0</v>
      </c>
      <c r="AI84" s="722" t="str">
        <f ca="1">IFERROR(OFFSET(DistanceToCamp[Nearest Town],MATCH(CampList[[#This Row],[CP_Pcode]],DistanceToCamp[CP_Pcode],0)-1,0,1,1),"")</f>
        <v>Mogaung Town</v>
      </c>
      <c r="AJ84" s="739">
        <f ca="1">IFERROR(OFFSET(DistanceToCamp[distance],MATCH(CampList[[#This Row],[CP_Pcode]],DistanceToCamp[CP_Pcode],0)-1,0,1,1),"")</f>
        <v>1.815139598767344</v>
      </c>
      <c r="AK84" s="740">
        <f ca="1">IFERROR(INT(CampList[[#This Row],[Distance]]/5)+1,"")</f>
        <v>1</v>
      </c>
    </row>
    <row r="85" spans="1:37" s="511" customFormat="1" ht="15.6" customHeight="1" x14ac:dyDescent="0.25">
      <c r="A85" s="656" t="s">
        <v>501</v>
      </c>
      <c r="B85" s="406" t="s">
        <v>380</v>
      </c>
      <c r="C85" s="406" t="s">
        <v>526</v>
      </c>
      <c r="D85" s="406" t="s">
        <v>180</v>
      </c>
      <c r="E85" s="406" t="s">
        <v>527</v>
      </c>
      <c r="F85" s="406" t="s">
        <v>173</v>
      </c>
      <c r="G85" s="406" t="s">
        <v>546</v>
      </c>
      <c r="H85" s="406" t="s">
        <v>631</v>
      </c>
      <c r="I85" s="406" t="s">
        <v>632</v>
      </c>
      <c r="J85" s="406" t="s">
        <v>636</v>
      </c>
      <c r="K85" s="406" t="s">
        <v>637</v>
      </c>
      <c r="L85" s="406" t="s">
        <v>178</v>
      </c>
      <c r="M85" s="406" t="s">
        <v>177</v>
      </c>
      <c r="N85" s="630">
        <v>96.948740000000001</v>
      </c>
      <c r="O85" s="630">
        <v>25.30442</v>
      </c>
      <c r="P85" s="741">
        <v>100</v>
      </c>
      <c r="Q85" s="663">
        <v>12</v>
      </c>
      <c r="R85" s="664">
        <v>46</v>
      </c>
      <c r="S85" s="732">
        <f>IF(CampList[[#This Row],[HH]]&gt;0,CampList[[#This Row],[Total]]/CampList[[#This Row],[HH]],"NA")</f>
        <v>3.8333333333333335</v>
      </c>
      <c r="T85" s="722" t="s">
        <v>512</v>
      </c>
      <c r="U85" s="726" t="s">
        <v>1193</v>
      </c>
      <c r="V85" s="722" t="s">
        <v>555</v>
      </c>
      <c r="W85" s="726" t="s">
        <v>804</v>
      </c>
      <c r="X85" s="742">
        <v>40969</v>
      </c>
      <c r="Y85" s="743">
        <v>1</v>
      </c>
      <c r="Z85" s="742" t="s">
        <v>461</v>
      </c>
      <c r="AA85" s="736" t="s">
        <v>843</v>
      </c>
      <c r="AB85" s="736"/>
      <c r="AC85" s="744">
        <v>42569</v>
      </c>
      <c r="AD85" s="728" t="s">
        <v>1471</v>
      </c>
      <c r="AE85" s="759" t="s">
        <v>1095</v>
      </c>
      <c r="AF85" s="663">
        <f>IF(CampList[[#This Row],[Type of Accomodation]]="camp",MAX(0,CampList[[#This Row],[HH]]-SUMIF(Table_Shelter[Pcode],CampList[[#This Row],[CP_Pcode]],Table_Shelter[HH Covered])),0)</f>
        <v>0</v>
      </c>
      <c r="AG85" s="722"/>
      <c r="AH85" s="736">
        <f>MIN(CampList[[#This Row],[Shelter Gap]],CampList[[#This Row],[Land Status]])</f>
        <v>0</v>
      </c>
      <c r="AI85" s="722" t="str">
        <f ca="1">IFERROR(OFFSET(DistanceToCamp[Nearest Town],MATCH(CampList[[#This Row],[CP_Pcode]],DistanceToCamp[CP_Pcode],0)-1,0,1,1),"")</f>
        <v>Mogaung Town</v>
      </c>
      <c r="AJ85" s="739">
        <f ca="1">IFERROR(OFFSET(DistanceToCamp[distance],MATCH(CampList[[#This Row],[CP_Pcode]],DistanceToCamp[CP_Pcode],0)-1,0,1,1),"")</f>
        <v>0.86042374061342075</v>
      </c>
      <c r="AK85" s="740">
        <f ca="1">IFERROR(INT(CampList[[#This Row],[Distance]]/5)+1,"")</f>
        <v>1</v>
      </c>
    </row>
    <row r="86" spans="1:37" s="511" customFormat="1" ht="15.6" customHeight="1" x14ac:dyDescent="0.25">
      <c r="A86" s="756" t="s">
        <v>501</v>
      </c>
      <c r="B86" s="214" t="s">
        <v>380</v>
      </c>
      <c r="C86" s="214" t="s">
        <v>526</v>
      </c>
      <c r="D86" s="214" t="s">
        <v>180</v>
      </c>
      <c r="E86" s="214" t="s">
        <v>527</v>
      </c>
      <c r="F86" s="214" t="s">
        <v>180</v>
      </c>
      <c r="G86" s="214" t="s">
        <v>552</v>
      </c>
      <c r="H86" s="214" t="s">
        <v>1133</v>
      </c>
      <c r="I86" s="757" t="s">
        <v>1255</v>
      </c>
      <c r="J86" s="770" t="s">
        <v>1420</v>
      </c>
      <c r="K86" s="770" t="s">
        <v>1421</v>
      </c>
      <c r="L86" s="214" t="s">
        <v>181</v>
      </c>
      <c r="M86" s="214" t="s">
        <v>179</v>
      </c>
      <c r="N86" s="752">
        <v>96.367059999999995</v>
      </c>
      <c r="O86" s="752">
        <v>24.764800000000001</v>
      </c>
      <c r="P86" s="729"/>
      <c r="Q86" s="663">
        <v>12</v>
      </c>
      <c r="R86" s="755">
        <v>61</v>
      </c>
      <c r="S86" s="732">
        <f>IF(CampList[[#This Row],[HH]]&gt;0,CampList[[#This Row],[Total]]/CampList[[#This Row],[HH]],"NA")</f>
        <v>5.083333333333333</v>
      </c>
      <c r="T86" s="663" t="s">
        <v>512</v>
      </c>
      <c r="U86" s="722" t="s">
        <v>1193</v>
      </c>
      <c r="V86" s="663" t="s">
        <v>555</v>
      </c>
      <c r="W86" s="663" t="s">
        <v>804</v>
      </c>
      <c r="X86" s="754">
        <v>41061</v>
      </c>
      <c r="Y86" s="729"/>
      <c r="Z86" s="729" t="s">
        <v>1092</v>
      </c>
      <c r="AA86" s="752" t="s">
        <v>843</v>
      </c>
      <c r="AB86" s="752"/>
      <c r="AC86" s="744">
        <v>42565</v>
      </c>
      <c r="AD86" s="758" t="s">
        <v>1430</v>
      </c>
      <c r="AE86" s="759" t="s">
        <v>1095</v>
      </c>
      <c r="AF86" s="760">
        <f>IF(CampList[[#This Row],[Type of Accomodation]]="camp",MAX(0,CampList[[#This Row],[HH]]-SUMIF(Table_Shelter[Pcode],CampList[[#This Row],[CP_Pcode]],Table_Shelter[HH Covered])),0)</f>
        <v>0</v>
      </c>
      <c r="AG86" s="663"/>
      <c r="AH86" s="741">
        <f>MIN(CampList[[#This Row],[Shelter Gap]],CampList[[#This Row],[Land Status]])</f>
        <v>0</v>
      </c>
      <c r="AI86" s="760" t="str">
        <f ca="1">IFERROR(OFFSET(DistanceToCamp[Nearest Town],MATCH(CampList[[#This Row],[CP_Pcode]],DistanceToCamp[CP_Pcode],0)-1,0,1,1),"")</f>
        <v>Mohnyin Town</v>
      </c>
      <c r="AJ86" s="739">
        <f ca="1">IFERROR(OFFSET(DistanceToCamp[distance],MATCH(CampList[[#This Row],[CP_Pcode]],DistanceToCamp[CP_Pcode],0)-1,0,1,1),"")</f>
        <v>1.7021273757523427</v>
      </c>
      <c r="AK86" s="761">
        <f ca="1">IFERROR(INT(CampList[[#This Row],[Distance]]/5)+1,"")</f>
        <v>1</v>
      </c>
    </row>
    <row r="87" spans="1:37" s="511" customFormat="1" ht="15.6" hidden="1" customHeight="1" x14ac:dyDescent="0.25">
      <c r="A87" s="656" t="s">
        <v>844</v>
      </c>
      <c r="B87" s="406" t="s">
        <v>380</v>
      </c>
      <c r="C87" s="406" t="s">
        <v>526</v>
      </c>
      <c r="D87" s="406" t="s">
        <v>180</v>
      </c>
      <c r="E87" s="406" t="s">
        <v>527</v>
      </c>
      <c r="F87" s="406" t="s">
        <v>180</v>
      </c>
      <c r="G87" s="406" t="s">
        <v>552</v>
      </c>
      <c r="H87" s="728" t="s">
        <v>617</v>
      </c>
      <c r="I87" s="728" t="s">
        <v>618</v>
      </c>
      <c r="J87" s="728" t="s">
        <v>617</v>
      </c>
      <c r="K87" s="728">
        <v>166591</v>
      </c>
      <c r="L87" s="406" t="s">
        <v>183</v>
      </c>
      <c r="M87" s="406" t="s">
        <v>182</v>
      </c>
      <c r="N87" s="630">
        <v>96.364949999999993</v>
      </c>
      <c r="O87" s="630">
        <v>24.998349999999999</v>
      </c>
      <c r="P87" s="741">
        <v>0</v>
      </c>
      <c r="Q87" s="730">
        <v>0</v>
      </c>
      <c r="R87" s="731">
        <v>0</v>
      </c>
      <c r="S87" s="732" t="str">
        <f>IF(CampList[[#This Row],[HH]]&gt;0,CampList[[#This Row],[Total]]/CampList[[#This Row],[HH]],"NA")</f>
        <v>NA</v>
      </c>
      <c r="T87" s="722" t="s">
        <v>512</v>
      </c>
      <c r="U87" s="726" t="s">
        <v>1193</v>
      </c>
      <c r="V87" s="722" t="s">
        <v>555</v>
      </c>
      <c r="W87" s="726" t="s">
        <v>857</v>
      </c>
      <c r="X87" s="742">
        <v>40969</v>
      </c>
      <c r="Y87" s="743"/>
      <c r="Z87" s="742" t="s">
        <v>461</v>
      </c>
      <c r="AA87" s="735" t="s">
        <v>842</v>
      </c>
      <c r="AB87" s="736"/>
      <c r="AC87" s="744">
        <v>41837</v>
      </c>
      <c r="AD87" s="656" t="s">
        <v>1100</v>
      </c>
      <c r="AE87" s="759" t="s">
        <v>1095</v>
      </c>
      <c r="AF87" s="663">
        <f>IF(CampList[[#This Row],[Type of Accomodation]]="camp",MAX(0,CampList[[#This Row],[HH]]-SUMIF(Table_Shelter[Pcode],CampList[[#This Row],[CP_Pcode]],Table_Shelter[HH Covered])),0)</f>
        <v>0</v>
      </c>
      <c r="AG87" s="722"/>
      <c r="AH87" s="736">
        <f>MIN(CampList[[#This Row],[Shelter Gap]],CampList[[#This Row],[Land Status]])</f>
        <v>0</v>
      </c>
      <c r="AI87" s="722" t="str">
        <f ca="1">IFERROR(OFFSET(DistanceToCamp[Nearest Town],MATCH(CampList[[#This Row],[CP_Pcode]],DistanceToCamp[CP_Pcode],0)-1,0,1,1),"")</f>
        <v/>
      </c>
      <c r="AJ87" s="739" t="str">
        <f ca="1">IFERROR(OFFSET(DistanceToCamp[distance],MATCH(CampList[[#This Row],[CP_Pcode]],DistanceToCamp[CP_Pcode],0)-1,0,1,1),"")</f>
        <v/>
      </c>
      <c r="AK87" s="740" t="str">
        <f ca="1">IFERROR(INT(CampList[[#This Row],[Distance]]/5)+1,"")</f>
        <v/>
      </c>
    </row>
    <row r="88" spans="1:37" s="511" customFormat="1" ht="15.6" hidden="1" customHeight="1" x14ac:dyDescent="0.25">
      <c r="A88" s="656" t="s">
        <v>844</v>
      </c>
      <c r="B88" s="406" t="s">
        <v>380</v>
      </c>
      <c r="C88" s="406" t="s">
        <v>526</v>
      </c>
      <c r="D88" s="406" t="s">
        <v>180</v>
      </c>
      <c r="E88" s="406" t="s">
        <v>527</v>
      </c>
      <c r="F88" s="406" t="s">
        <v>528</v>
      </c>
      <c r="G88" s="406" t="s">
        <v>529</v>
      </c>
      <c r="H88" s="728" t="s">
        <v>604</v>
      </c>
      <c r="I88" s="728" t="s">
        <v>605</v>
      </c>
      <c r="J88" s="728" t="s">
        <v>606</v>
      </c>
      <c r="K88" s="728" t="s">
        <v>607</v>
      </c>
      <c r="L88" s="406" t="s">
        <v>110</v>
      </c>
      <c r="M88" s="406" t="s">
        <v>109</v>
      </c>
      <c r="N88" s="630">
        <v>96.312790000000007</v>
      </c>
      <c r="O88" s="630">
        <v>25.611160000000002</v>
      </c>
      <c r="P88" s="741">
        <v>0</v>
      </c>
      <c r="Q88" s="730">
        <v>0</v>
      </c>
      <c r="R88" s="731">
        <v>0</v>
      </c>
      <c r="S88" s="732" t="str">
        <f>IF(CampList[[#This Row],[HH]]&gt;0,CampList[[#This Row],[Total]]/CampList[[#This Row],[HH]],"NA")</f>
        <v>NA</v>
      </c>
      <c r="T88" s="722" t="s">
        <v>512</v>
      </c>
      <c r="U88" s="726" t="s">
        <v>1193</v>
      </c>
      <c r="V88" s="722" t="s">
        <v>555</v>
      </c>
      <c r="W88" s="726" t="s">
        <v>804</v>
      </c>
      <c r="X88" s="742">
        <v>41122</v>
      </c>
      <c r="Y88" s="743">
        <v>2</v>
      </c>
      <c r="Z88" s="742" t="s">
        <v>461</v>
      </c>
      <c r="AA88" s="735" t="s">
        <v>843</v>
      </c>
      <c r="AB88" s="736"/>
      <c r="AC88" s="744">
        <v>41774</v>
      </c>
      <c r="AD88" s="656" t="s">
        <v>1049</v>
      </c>
      <c r="AE88" s="759" t="s">
        <v>1009</v>
      </c>
      <c r="AF88" s="663">
        <f>IF(CampList[[#This Row],[Type of Accomodation]]="camp",MAX(0,CampList[[#This Row],[HH]]-SUMIF(Table_Shelter[Pcode],CampList[[#This Row],[CP_Pcode]],Table_Shelter[HH Covered])),0)</f>
        <v>0</v>
      </c>
      <c r="AG88" s="722"/>
      <c r="AH88" s="736">
        <f>MIN(CampList[[#This Row],[Shelter Gap]],CampList[[#This Row],[Land Status]])</f>
        <v>0</v>
      </c>
      <c r="AI88" s="722" t="str">
        <f ca="1">IFERROR(OFFSET(DistanceToCamp[Nearest Town],MATCH(CampList[[#This Row],[CP_Pcode]],DistanceToCamp[CP_Pcode],0)-1,0,1,1),"")</f>
        <v/>
      </c>
      <c r="AJ88" s="739" t="str">
        <f ca="1">IFERROR(OFFSET(DistanceToCamp[distance],MATCH(CampList[[#This Row],[CP_Pcode]],DistanceToCamp[CP_Pcode],0)-1,0,1,1),"")</f>
        <v/>
      </c>
      <c r="AK88" s="740" t="str">
        <f ca="1">IFERROR(INT(CampList[[#This Row],[Distance]]/5)+1,"")</f>
        <v/>
      </c>
    </row>
    <row r="89" spans="1:37" s="511" customFormat="1" ht="15.6" hidden="1" customHeight="1" x14ac:dyDescent="0.25">
      <c r="A89" s="656" t="s">
        <v>844</v>
      </c>
      <c r="B89" s="406" t="s">
        <v>380</v>
      </c>
      <c r="C89" s="406" t="s">
        <v>526</v>
      </c>
      <c r="D89" s="406" t="s">
        <v>180</v>
      </c>
      <c r="E89" s="406" t="s">
        <v>527</v>
      </c>
      <c r="F89" s="406" t="s">
        <v>528</v>
      </c>
      <c r="G89" s="406" t="s">
        <v>529</v>
      </c>
      <c r="H89" s="728" t="s">
        <v>604</v>
      </c>
      <c r="I89" s="728" t="s">
        <v>605</v>
      </c>
      <c r="J89" s="728" t="s">
        <v>606</v>
      </c>
      <c r="K89" s="728" t="s">
        <v>607</v>
      </c>
      <c r="L89" s="406" t="s">
        <v>112</v>
      </c>
      <c r="M89" s="406" t="s">
        <v>111</v>
      </c>
      <c r="N89" s="630">
        <v>96.31326</v>
      </c>
      <c r="O89" s="630">
        <v>25.611899999999999</v>
      </c>
      <c r="P89" s="753"/>
      <c r="Q89" s="730">
        <v>0</v>
      </c>
      <c r="R89" s="731">
        <v>0</v>
      </c>
      <c r="S89" s="732" t="str">
        <f>IF(CampList[[#This Row],[HH]]&gt;0,CampList[[#This Row],[Total]]/CampList[[#This Row],[HH]],"NA")</f>
        <v>NA</v>
      </c>
      <c r="T89" s="722" t="s">
        <v>512</v>
      </c>
      <c r="U89" s="726" t="s">
        <v>1193</v>
      </c>
      <c r="V89" s="722" t="s">
        <v>555</v>
      </c>
      <c r="W89" s="726"/>
      <c r="X89" s="733"/>
      <c r="Y89" s="729"/>
      <c r="Z89" s="734"/>
      <c r="AA89" s="735"/>
      <c r="AB89" s="736"/>
      <c r="AC89" s="737"/>
      <c r="AD89" s="656" t="s">
        <v>602</v>
      </c>
      <c r="AE89" s="755" t="s">
        <v>1009</v>
      </c>
      <c r="AF89" s="663">
        <f>IF(CampList[[#This Row],[Type of Accomodation]]="camp",MAX(0,CampList[[#This Row],[HH]]-SUMIF(Table_Shelter[Pcode],CampList[[#This Row],[CP_Pcode]],Table_Shelter[HH Covered])),0)</f>
        <v>0</v>
      </c>
      <c r="AG89" s="722"/>
      <c r="AH89" s="736">
        <f>MIN(CampList[[#This Row],[Shelter Gap]],CampList[[#This Row],[Land Status]])</f>
        <v>0</v>
      </c>
      <c r="AI89" s="722" t="str">
        <f ca="1">IFERROR(OFFSET(DistanceToCamp[Nearest Town],MATCH(CampList[[#This Row],[CP_Pcode]],DistanceToCamp[CP_Pcode],0)-1,0,1,1),"")</f>
        <v/>
      </c>
      <c r="AJ89" s="739" t="str">
        <f ca="1">IFERROR(OFFSET(DistanceToCamp[distance],MATCH(CampList[[#This Row],[CP_Pcode]],DistanceToCamp[CP_Pcode],0)-1,0,1,1),"")</f>
        <v/>
      </c>
      <c r="AK89" s="740" t="str">
        <f ca="1">IFERROR(INT(CampList[[#This Row],[Distance]]/5)+1,"")</f>
        <v/>
      </c>
    </row>
    <row r="90" spans="1:37" s="511" customFormat="1" ht="15.6" hidden="1" customHeight="1" x14ac:dyDescent="0.25">
      <c r="A90" s="656" t="s">
        <v>844</v>
      </c>
      <c r="B90" s="406" t="s">
        <v>380</v>
      </c>
      <c r="C90" s="406" t="s">
        <v>526</v>
      </c>
      <c r="D90" s="406" t="s">
        <v>180</v>
      </c>
      <c r="E90" s="406" t="s">
        <v>527</v>
      </c>
      <c r="F90" s="406" t="s">
        <v>528</v>
      </c>
      <c r="G90" s="406" t="s">
        <v>529</v>
      </c>
      <c r="H90" s="728" t="s">
        <v>604</v>
      </c>
      <c r="I90" s="728" t="s">
        <v>605</v>
      </c>
      <c r="J90" s="728" t="s">
        <v>608</v>
      </c>
      <c r="K90" s="728" t="s">
        <v>609</v>
      </c>
      <c r="L90" s="406" t="s">
        <v>86</v>
      </c>
      <c r="M90" s="406" t="s">
        <v>85</v>
      </c>
      <c r="N90" s="630"/>
      <c r="O90" s="630"/>
      <c r="P90" s="753"/>
      <c r="Q90" s="730">
        <v>0</v>
      </c>
      <c r="R90" s="731">
        <v>0</v>
      </c>
      <c r="S90" s="732" t="str">
        <f>IF(CampList[[#This Row],[HH]]&gt;0,CampList[[#This Row],[Total]]/CampList[[#This Row],[HH]],"NA")</f>
        <v>NA</v>
      </c>
      <c r="T90" s="722" t="s">
        <v>512</v>
      </c>
      <c r="U90" s="726" t="s">
        <v>1193</v>
      </c>
      <c r="V90" s="722" t="s">
        <v>555</v>
      </c>
      <c r="W90" s="726"/>
      <c r="X90" s="733"/>
      <c r="Y90" s="729"/>
      <c r="Z90" s="734"/>
      <c r="AA90" s="735"/>
      <c r="AB90" s="736"/>
      <c r="AC90" s="737"/>
      <c r="AD90" s="656" t="s">
        <v>602</v>
      </c>
      <c r="AE90" s="755" t="s">
        <v>1009</v>
      </c>
      <c r="AF90" s="663">
        <f>IF(CampList[[#This Row],[Type of Accomodation]]="camp",MAX(0,CampList[[#This Row],[HH]]-SUMIF(Table_Shelter[Pcode],CampList[[#This Row],[CP_Pcode]],Table_Shelter[HH Covered])),0)</f>
        <v>0</v>
      </c>
      <c r="AG90" s="722"/>
      <c r="AH90" s="736">
        <f>MIN(CampList[[#This Row],[Shelter Gap]],CampList[[#This Row],[Land Status]])</f>
        <v>0</v>
      </c>
      <c r="AI90" s="722" t="str">
        <f ca="1">IFERROR(OFFSET(DistanceToCamp[Nearest Town],MATCH(CampList[[#This Row],[CP_Pcode]],DistanceToCamp[CP_Pcode],0)-1,0,1,1),"")</f>
        <v/>
      </c>
      <c r="AJ90" s="739" t="str">
        <f ca="1">IFERROR(OFFSET(DistanceToCamp[distance],MATCH(CampList[[#This Row],[CP_Pcode]],DistanceToCamp[CP_Pcode],0)-1,0,1,1),"")</f>
        <v/>
      </c>
      <c r="AK90" s="740" t="str">
        <f ca="1">IFERROR(INT(CampList[[#This Row],[Distance]]/5)+1,"")</f>
        <v/>
      </c>
    </row>
    <row r="91" spans="1:37" s="511" customFormat="1" ht="15.6" hidden="1" customHeight="1" x14ac:dyDescent="0.25">
      <c r="A91" s="656" t="s">
        <v>844</v>
      </c>
      <c r="B91" s="406" t="s">
        <v>380</v>
      </c>
      <c r="C91" s="406" t="s">
        <v>526</v>
      </c>
      <c r="D91" s="406" t="s">
        <v>180</v>
      </c>
      <c r="E91" s="406" t="s">
        <v>527</v>
      </c>
      <c r="F91" s="406" t="s">
        <v>528</v>
      </c>
      <c r="G91" s="406" t="s">
        <v>529</v>
      </c>
      <c r="H91" s="728" t="s">
        <v>604</v>
      </c>
      <c r="I91" s="728" t="s">
        <v>605</v>
      </c>
      <c r="J91" s="728" t="s">
        <v>608</v>
      </c>
      <c r="K91" s="728" t="s">
        <v>609</v>
      </c>
      <c r="L91" s="406" t="s">
        <v>84</v>
      </c>
      <c r="M91" s="406" t="s">
        <v>83</v>
      </c>
      <c r="N91" s="630">
        <v>96.316210999999996</v>
      </c>
      <c r="O91" s="630">
        <v>25.619221</v>
      </c>
      <c r="P91" s="753"/>
      <c r="Q91" s="730">
        <v>0</v>
      </c>
      <c r="R91" s="731">
        <v>0</v>
      </c>
      <c r="S91" s="732" t="str">
        <f>IF(CampList[[#This Row],[HH]]&gt;0,CampList[[#This Row],[Total]]/CampList[[#This Row],[HH]],"NA")</f>
        <v>NA</v>
      </c>
      <c r="T91" s="722" t="s">
        <v>512</v>
      </c>
      <c r="U91" s="726" t="s">
        <v>1193</v>
      </c>
      <c r="V91" s="722" t="s">
        <v>555</v>
      </c>
      <c r="W91" s="726"/>
      <c r="X91" s="733"/>
      <c r="Y91" s="729"/>
      <c r="Z91" s="734"/>
      <c r="AA91" s="735"/>
      <c r="AB91" s="736"/>
      <c r="AC91" s="737"/>
      <c r="AD91" s="656" t="s">
        <v>602</v>
      </c>
      <c r="AE91" s="755" t="s">
        <v>1009</v>
      </c>
      <c r="AF91" s="663">
        <f>IF(CampList[[#This Row],[Type of Accomodation]]="camp",MAX(0,CampList[[#This Row],[HH]]-SUMIF(Table_Shelter[Pcode],CampList[[#This Row],[CP_Pcode]],Table_Shelter[HH Covered])),0)</f>
        <v>0</v>
      </c>
      <c r="AG91" s="722"/>
      <c r="AH91" s="736">
        <f>MIN(CampList[[#This Row],[Shelter Gap]],CampList[[#This Row],[Land Status]])</f>
        <v>0</v>
      </c>
      <c r="AI91" s="722" t="str">
        <f ca="1">IFERROR(OFFSET(DistanceToCamp[Nearest Town],MATCH(CampList[[#This Row],[CP_Pcode]],DistanceToCamp[CP_Pcode],0)-1,0,1,1),"")</f>
        <v/>
      </c>
      <c r="AJ91" s="739" t="str">
        <f ca="1">IFERROR(OFFSET(DistanceToCamp[distance],MATCH(CampList[[#This Row],[CP_Pcode]],DistanceToCamp[CP_Pcode],0)-1,0,1,1),"")</f>
        <v/>
      </c>
      <c r="AK91" s="740" t="str">
        <f ca="1">IFERROR(INT(CampList[[#This Row],[Distance]]/5)+1,"")</f>
        <v/>
      </c>
    </row>
    <row r="92" spans="1:37" s="511" customFormat="1" ht="15.6" hidden="1" customHeight="1" x14ac:dyDescent="0.25">
      <c r="A92" s="656" t="s">
        <v>844</v>
      </c>
      <c r="B92" s="406" t="s">
        <v>380</v>
      </c>
      <c r="C92" s="406" t="s">
        <v>526</v>
      </c>
      <c r="D92" s="406" t="s">
        <v>180</v>
      </c>
      <c r="E92" s="406" t="s">
        <v>527</v>
      </c>
      <c r="F92" s="406" t="s">
        <v>528</v>
      </c>
      <c r="G92" s="406" t="s">
        <v>529</v>
      </c>
      <c r="H92" s="406"/>
      <c r="I92" s="406"/>
      <c r="J92" s="406"/>
      <c r="K92" s="406"/>
      <c r="L92" s="406" t="s">
        <v>70</v>
      </c>
      <c r="M92" s="406" t="s">
        <v>69</v>
      </c>
      <c r="N92" s="630"/>
      <c r="O92" s="630"/>
      <c r="P92" s="729"/>
      <c r="Q92" s="730">
        <v>0</v>
      </c>
      <c r="R92" s="731">
        <v>0</v>
      </c>
      <c r="S92" s="732" t="str">
        <f>IF(CampList[[#This Row],[HH]]&gt;0,CampList[[#This Row],[Total]]/CampList[[#This Row],[HH]],"NA")</f>
        <v>NA</v>
      </c>
      <c r="T92" s="722" t="s">
        <v>512</v>
      </c>
      <c r="U92" s="726" t="s">
        <v>1193</v>
      </c>
      <c r="V92" s="722" t="s">
        <v>555</v>
      </c>
      <c r="W92" s="726"/>
      <c r="X92" s="733"/>
      <c r="Y92" s="729"/>
      <c r="Z92" s="734"/>
      <c r="AA92" s="735"/>
      <c r="AB92" s="736"/>
      <c r="AC92" s="737"/>
      <c r="AD92" s="656" t="s">
        <v>602</v>
      </c>
      <c r="AE92" s="755" t="s">
        <v>1009</v>
      </c>
      <c r="AF92" s="663">
        <f>IF(CampList[[#This Row],[Type of Accomodation]]="camp",MAX(0,CampList[[#This Row],[HH]]-SUMIF(Table_Shelter[Pcode],CampList[[#This Row],[CP_Pcode]],Table_Shelter[HH Covered])),0)</f>
        <v>0</v>
      </c>
      <c r="AG92" s="722"/>
      <c r="AH92" s="736">
        <f>MIN(CampList[[#This Row],[Shelter Gap]],CampList[[#This Row],[Land Status]])</f>
        <v>0</v>
      </c>
      <c r="AI92" s="722" t="str">
        <f ca="1">IFERROR(OFFSET(DistanceToCamp[Nearest Town],MATCH(CampList[[#This Row],[CP_Pcode]],DistanceToCamp[CP_Pcode],0)-1,0,1,1),"")</f>
        <v/>
      </c>
      <c r="AJ92" s="739" t="str">
        <f ca="1">IFERROR(OFFSET(DistanceToCamp[distance],MATCH(CampList[[#This Row],[CP_Pcode]],DistanceToCamp[CP_Pcode],0)-1,0,1,1),"")</f>
        <v/>
      </c>
      <c r="AK92" s="740" t="str">
        <f ca="1">IFERROR(INT(CampList[[#This Row],[Distance]]/5)+1,"")</f>
        <v/>
      </c>
    </row>
    <row r="93" spans="1:37" s="511" customFormat="1" ht="15.6" hidden="1" customHeight="1" x14ac:dyDescent="0.25">
      <c r="A93" s="656" t="s">
        <v>844</v>
      </c>
      <c r="B93" s="406" t="s">
        <v>380</v>
      </c>
      <c r="C93" s="406" t="s">
        <v>526</v>
      </c>
      <c r="D93" s="406" t="s">
        <v>180</v>
      </c>
      <c r="E93" s="406" t="s">
        <v>527</v>
      </c>
      <c r="F93" s="406" t="s">
        <v>528</v>
      </c>
      <c r="G93" s="406" t="s">
        <v>529</v>
      </c>
      <c r="H93" s="728" t="s">
        <v>604</v>
      </c>
      <c r="I93" s="728" t="s">
        <v>605</v>
      </c>
      <c r="J93" s="728" t="s">
        <v>608</v>
      </c>
      <c r="K93" s="728" t="s">
        <v>609</v>
      </c>
      <c r="L93" s="406" t="s">
        <v>104</v>
      </c>
      <c r="M93" s="406" t="s">
        <v>103</v>
      </c>
      <c r="N93" s="630"/>
      <c r="O93" s="630"/>
      <c r="P93" s="753"/>
      <c r="Q93" s="730">
        <v>0</v>
      </c>
      <c r="R93" s="731">
        <v>0</v>
      </c>
      <c r="S93" s="732" t="str">
        <f>IF(CampList[[#This Row],[HH]]&gt;0,CampList[[#This Row],[Total]]/CampList[[#This Row],[HH]],"NA")</f>
        <v>NA</v>
      </c>
      <c r="T93" s="722" t="s">
        <v>512</v>
      </c>
      <c r="U93" s="726" t="s">
        <v>1193</v>
      </c>
      <c r="V93" s="722" t="s">
        <v>555</v>
      </c>
      <c r="W93" s="726"/>
      <c r="X93" s="733"/>
      <c r="Y93" s="729"/>
      <c r="Z93" s="734"/>
      <c r="AA93" s="735"/>
      <c r="AB93" s="736"/>
      <c r="AC93" s="737"/>
      <c r="AD93" s="656" t="s">
        <v>602</v>
      </c>
      <c r="AE93" s="755" t="s">
        <v>1009</v>
      </c>
      <c r="AF93" s="663">
        <f>IF(CampList[[#This Row],[Type of Accomodation]]="camp",MAX(0,CampList[[#This Row],[HH]]-SUMIF(Table_Shelter[Pcode],CampList[[#This Row],[CP_Pcode]],Table_Shelter[HH Covered])),0)</f>
        <v>0</v>
      </c>
      <c r="AG93" s="722"/>
      <c r="AH93" s="736">
        <f>MIN(CampList[[#This Row],[Shelter Gap]],CampList[[#This Row],[Land Status]])</f>
        <v>0</v>
      </c>
      <c r="AI93" s="722" t="str">
        <f ca="1">IFERROR(OFFSET(DistanceToCamp[Nearest Town],MATCH(CampList[[#This Row],[CP_Pcode]],DistanceToCamp[CP_Pcode],0)-1,0,1,1),"")</f>
        <v/>
      </c>
      <c r="AJ93" s="739" t="str">
        <f ca="1">IFERROR(OFFSET(DistanceToCamp[distance],MATCH(CampList[[#This Row],[CP_Pcode]],DistanceToCamp[CP_Pcode],0)-1,0,1,1),"")</f>
        <v/>
      </c>
      <c r="AK93" s="740" t="str">
        <f ca="1">IFERROR(INT(CampList[[#This Row],[Distance]]/5)+1,"")</f>
        <v/>
      </c>
    </row>
    <row r="94" spans="1:37" s="511" customFormat="1" ht="15.6" hidden="1" customHeight="1" x14ac:dyDescent="0.25">
      <c r="A94" s="656" t="s">
        <v>844</v>
      </c>
      <c r="B94" s="406" t="s">
        <v>380</v>
      </c>
      <c r="C94" s="406" t="s">
        <v>526</v>
      </c>
      <c r="D94" s="406" t="s">
        <v>180</v>
      </c>
      <c r="E94" s="406" t="s">
        <v>527</v>
      </c>
      <c r="F94" s="406" t="s">
        <v>528</v>
      </c>
      <c r="G94" s="406" t="s">
        <v>529</v>
      </c>
      <c r="H94" s="728" t="s">
        <v>604</v>
      </c>
      <c r="I94" s="728" t="s">
        <v>605</v>
      </c>
      <c r="J94" s="728" t="s">
        <v>608</v>
      </c>
      <c r="K94" s="728" t="s">
        <v>609</v>
      </c>
      <c r="L94" s="406" t="s">
        <v>68</v>
      </c>
      <c r="M94" s="406" t="s">
        <v>67</v>
      </c>
      <c r="N94" s="630"/>
      <c r="O94" s="630"/>
      <c r="P94" s="753"/>
      <c r="Q94" s="730">
        <v>0</v>
      </c>
      <c r="R94" s="731">
        <v>0</v>
      </c>
      <c r="S94" s="732" t="str">
        <f>IF(CampList[[#This Row],[HH]]&gt;0,CampList[[#This Row],[Total]]/CampList[[#This Row],[HH]],"NA")</f>
        <v>NA</v>
      </c>
      <c r="T94" s="722" t="s">
        <v>512</v>
      </c>
      <c r="U94" s="726" t="s">
        <v>1193</v>
      </c>
      <c r="V94" s="722" t="s">
        <v>555</v>
      </c>
      <c r="W94" s="726"/>
      <c r="X94" s="733"/>
      <c r="Y94" s="729"/>
      <c r="Z94" s="734"/>
      <c r="AA94" s="735"/>
      <c r="AB94" s="736"/>
      <c r="AC94" s="737"/>
      <c r="AD94" s="656" t="s">
        <v>602</v>
      </c>
      <c r="AE94" s="755" t="s">
        <v>1009</v>
      </c>
      <c r="AF94" s="663">
        <f>IF(CampList[[#This Row],[Type of Accomodation]]="camp",MAX(0,CampList[[#This Row],[HH]]-SUMIF(Table_Shelter[Pcode],CampList[[#This Row],[CP_Pcode]],Table_Shelter[HH Covered])),0)</f>
        <v>0</v>
      </c>
      <c r="AG94" s="722"/>
      <c r="AH94" s="736">
        <f>MIN(CampList[[#This Row],[Shelter Gap]],CampList[[#This Row],[Land Status]])</f>
        <v>0</v>
      </c>
      <c r="AI94" s="722" t="str">
        <f ca="1">IFERROR(OFFSET(DistanceToCamp[Nearest Town],MATCH(CampList[[#This Row],[CP_Pcode]],DistanceToCamp[CP_Pcode],0)-1,0,1,1),"")</f>
        <v/>
      </c>
      <c r="AJ94" s="739" t="str">
        <f ca="1">IFERROR(OFFSET(DistanceToCamp[distance],MATCH(CampList[[#This Row],[CP_Pcode]],DistanceToCamp[CP_Pcode],0)-1,0,1,1),"")</f>
        <v/>
      </c>
      <c r="AK94" s="740" t="str">
        <f ca="1">IFERROR(INT(CampList[[#This Row],[Distance]]/5)+1,"")</f>
        <v/>
      </c>
    </row>
    <row r="95" spans="1:37" s="511" customFormat="1" ht="15.6" customHeight="1" x14ac:dyDescent="0.25">
      <c r="A95" s="656" t="s">
        <v>501</v>
      </c>
      <c r="B95" s="406" t="s">
        <v>380</v>
      </c>
      <c r="C95" s="406" t="s">
        <v>526</v>
      </c>
      <c r="D95" s="406" t="s">
        <v>180</v>
      </c>
      <c r="E95" s="406" t="s">
        <v>527</v>
      </c>
      <c r="F95" s="406" t="s">
        <v>528</v>
      </c>
      <c r="G95" s="406" t="s">
        <v>529</v>
      </c>
      <c r="H95" s="728" t="s">
        <v>604</v>
      </c>
      <c r="I95" s="728" t="s">
        <v>605</v>
      </c>
      <c r="J95" s="728" t="s">
        <v>608</v>
      </c>
      <c r="K95" s="728" t="s">
        <v>609</v>
      </c>
      <c r="L95" s="406" t="s">
        <v>100</v>
      </c>
      <c r="M95" s="406" t="s">
        <v>99</v>
      </c>
      <c r="N95" s="630">
        <v>96.319829999999996</v>
      </c>
      <c r="O95" s="630">
        <v>25.6145</v>
      </c>
      <c r="P95" s="747">
        <v>65</v>
      </c>
      <c r="Q95" s="138">
        <v>5</v>
      </c>
      <c r="R95" s="663">
        <v>26</v>
      </c>
      <c r="S95" s="732">
        <f>IF(CampList[[#This Row],[HH]]&gt;0,CampList[[#This Row],[Total]]/CampList[[#This Row],[HH]],"NA")</f>
        <v>5.2</v>
      </c>
      <c r="T95" s="722" t="s">
        <v>512</v>
      </c>
      <c r="U95" s="726" t="s">
        <v>1193</v>
      </c>
      <c r="V95" s="722" t="s">
        <v>555</v>
      </c>
      <c r="W95" s="726" t="s">
        <v>804</v>
      </c>
      <c r="X95" s="742">
        <v>41122</v>
      </c>
      <c r="Y95" s="743">
        <v>1</v>
      </c>
      <c r="Z95" s="742" t="s">
        <v>506</v>
      </c>
      <c r="AA95" s="735" t="s">
        <v>843</v>
      </c>
      <c r="AB95" s="736"/>
      <c r="AC95" s="744">
        <v>42571</v>
      </c>
      <c r="AD95" s="656" t="s">
        <v>1512</v>
      </c>
      <c r="AE95" s="759" t="s">
        <v>1095</v>
      </c>
      <c r="AF95" s="663">
        <f>IF(CampList[[#This Row],[Type of Accomodation]]="camp",MAX(0,CampList[[#This Row],[HH]]-SUMIF(Table_Shelter[Pcode],CampList[[#This Row],[CP_Pcode]],Table_Shelter[HH Covered])),0)</f>
        <v>0</v>
      </c>
      <c r="AG95" s="722"/>
      <c r="AH95" s="736">
        <f>MIN(CampList[[#This Row],[Shelter Gap]],CampList[[#This Row],[Land Status]])</f>
        <v>0</v>
      </c>
      <c r="AI95" s="722" t="str">
        <f ca="1">IFERROR(OFFSET(DistanceToCamp[Nearest Town],MATCH(CampList[[#This Row],[CP_Pcode]],DistanceToCamp[CP_Pcode],0)-1,0,1,1),"")</f>
        <v>Hpakant Town</v>
      </c>
      <c r="AJ95" s="739">
        <f ca="1">IFERROR(OFFSET(DistanceToCamp[distance],MATCH(CampList[[#This Row],[CP_Pcode]],DistanceToCamp[CP_Pcode],0)-1,0,1,1),"")</f>
        <v>0.79577754007276646</v>
      </c>
      <c r="AK95" s="740">
        <f ca="1">IFERROR(INT(CampList[[#This Row],[Distance]]/5)+1,"")</f>
        <v>1</v>
      </c>
    </row>
    <row r="96" spans="1:37" s="511" customFormat="1" ht="15.6" hidden="1" customHeight="1" x14ac:dyDescent="0.25">
      <c r="A96" s="656" t="s">
        <v>844</v>
      </c>
      <c r="B96" s="406" t="s">
        <v>380</v>
      </c>
      <c r="C96" s="406" t="s">
        <v>526</v>
      </c>
      <c r="D96" s="406" t="s">
        <v>180</v>
      </c>
      <c r="E96" s="406" t="s">
        <v>527</v>
      </c>
      <c r="F96" s="406" t="s">
        <v>528</v>
      </c>
      <c r="G96" s="406" t="s">
        <v>529</v>
      </c>
      <c r="H96" s="728" t="s">
        <v>604</v>
      </c>
      <c r="I96" s="728" t="s">
        <v>605</v>
      </c>
      <c r="J96" s="728" t="s">
        <v>700</v>
      </c>
      <c r="K96" s="728" t="s">
        <v>701</v>
      </c>
      <c r="L96" s="406" t="s">
        <v>50</v>
      </c>
      <c r="M96" s="406" t="s">
        <v>49</v>
      </c>
      <c r="N96" s="630"/>
      <c r="O96" s="630"/>
      <c r="P96" s="729"/>
      <c r="Q96" s="730">
        <v>0</v>
      </c>
      <c r="R96" s="731">
        <v>0</v>
      </c>
      <c r="S96" s="732" t="str">
        <f>IF(CampList[[#This Row],[HH]]&gt;0,CampList[[#This Row],[Total]]/CampList[[#This Row],[HH]],"NA")</f>
        <v>NA</v>
      </c>
      <c r="T96" s="722" t="s">
        <v>512</v>
      </c>
      <c r="U96" s="726" t="s">
        <v>1193</v>
      </c>
      <c r="V96" s="722" t="s">
        <v>555</v>
      </c>
      <c r="W96" s="726"/>
      <c r="X96" s="733"/>
      <c r="Y96" s="729"/>
      <c r="Z96" s="734"/>
      <c r="AA96" s="735"/>
      <c r="AB96" s="736"/>
      <c r="AC96" s="737"/>
      <c r="AD96" s="656" t="s">
        <v>602</v>
      </c>
      <c r="AE96" s="755" t="s">
        <v>1009</v>
      </c>
      <c r="AF96" s="663">
        <f>IF(CampList[[#This Row],[Type of Accomodation]]="camp",MAX(0,CampList[[#This Row],[HH]]-SUMIF(Table_Shelter[Pcode],CampList[[#This Row],[CP_Pcode]],Table_Shelter[HH Covered])),0)</f>
        <v>0</v>
      </c>
      <c r="AG96" s="722"/>
      <c r="AH96" s="736">
        <f>MIN(CampList[[#This Row],[Shelter Gap]],CampList[[#This Row],[Land Status]])</f>
        <v>0</v>
      </c>
      <c r="AI96" s="722" t="str">
        <f ca="1">IFERROR(OFFSET(DistanceToCamp[Nearest Town],MATCH(CampList[[#This Row],[CP_Pcode]],DistanceToCamp[CP_Pcode],0)-1,0,1,1),"")</f>
        <v/>
      </c>
      <c r="AJ96" s="739" t="str">
        <f ca="1">IFERROR(OFFSET(DistanceToCamp[distance],MATCH(CampList[[#This Row],[CP_Pcode]],DistanceToCamp[CP_Pcode],0)-1,0,1,1),"")</f>
        <v/>
      </c>
      <c r="AK96" s="740" t="str">
        <f ca="1">IFERROR(INT(CampList[[#This Row],[Distance]]/5)+1,"")</f>
        <v/>
      </c>
    </row>
    <row r="97" spans="1:37" s="511" customFormat="1" ht="15.6" hidden="1" customHeight="1" x14ac:dyDescent="0.25">
      <c r="A97" s="656" t="s">
        <v>844</v>
      </c>
      <c r="B97" s="406" t="s">
        <v>380</v>
      </c>
      <c r="C97" s="406" t="s">
        <v>526</v>
      </c>
      <c r="D97" s="406" t="s">
        <v>180</v>
      </c>
      <c r="E97" s="406" t="s">
        <v>527</v>
      </c>
      <c r="F97" s="406" t="s">
        <v>528</v>
      </c>
      <c r="G97" s="406" t="s">
        <v>529</v>
      </c>
      <c r="H97" s="728" t="s">
        <v>604</v>
      </c>
      <c r="I97" s="728" t="s">
        <v>605</v>
      </c>
      <c r="J97" s="728" t="s">
        <v>702</v>
      </c>
      <c r="K97" s="728" t="s">
        <v>703</v>
      </c>
      <c r="L97" s="406" t="s">
        <v>66</v>
      </c>
      <c r="M97" s="406" t="s">
        <v>65</v>
      </c>
      <c r="N97" s="630"/>
      <c r="O97" s="630"/>
      <c r="P97" s="729"/>
      <c r="Q97" s="730">
        <v>0</v>
      </c>
      <c r="R97" s="731">
        <v>0</v>
      </c>
      <c r="S97" s="732" t="str">
        <f>IF(CampList[[#This Row],[HH]]&gt;0,CampList[[#This Row],[Total]]/CampList[[#This Row],[HH]],"NA")</f>
        <v>NA</v>
      </c>
      <c r="T97" s="722" t="s">
        <v>512</v>
      </c>
      <c r="U97" s="726" t="s">
        <v>1193</v>
      </c>
      <c r="V97" s="722" t="s">
        <v>555</v>
      </c>
      <c r="W97" s="726"/>
      <c r="X97" s="733"/>
      <c r="Y97" s="729"/>
      <c r="Z97" s="734"/>
      <c r="AA97" s="735"/>
      <c r="AB97" s="736"/>
      <c r="AC97" s="737"/>
      <c r="AD97" s="656" t="s">
        <v>602</v>
      </c>
      <c r="AE97" s="755" t="s">
        <v>1009</v>
      </c>
      <c r="AF97" s="663">
        <f>IF(CampList[[#This Row],[Type of Accomodation]]="camp",MAX(0,CampList[[#This Row],[HH]]-SUMIF(Table_Shelter[Pcode],CampList[[#This Row],[CP_Pcode]],Table_Shelter[HH Covered])),0)</f>
        <v>0</v>
      </c>
      <c r="AG97" s="722"/>
      <c r="AH97" s="736">
        <f>MIN(CampList[[#This Row],[Shelter Gap]],CampList[[#This Row],[Land Status]])</f>
        <v>0</v>
      </c>
      <c r="AI97" s="722" t="str">
        <f ca="1">IFERROR(OFFSET(DistanceToCamp[Nearest Town],MATCH(CampList[[#This Row],[CP_Pcode]],DistanceToCamp[CP_Pcode],0)-1,0,1,1),"")</f>
        <v/>
      </c>
      <c r="AJ97" s="739" t="str">
        <f ca="1">IFERROR(OFFSET(DistanceToCamp[distance],MATCH(CampList[[#This Row],[CP_Pcode]],DistanceToCamp[CP_Pcode],0)-1,0,1,1),"")</f>
        <v/>
      </c>
      <c r="AK97" s="740" t="str">
        <f ca="1">IFERROR(INT(CampList[[#This Row],[Distance]]/5)+1,"")</f>
        <v/>
      </c>
    </row>
    <row r="98" spans="1:37" s="511" customFormat="1" ht="15.6" hidden="1" customHeight="1" x14ac:dyDescent="0.25">
      <c r="A98" s="656" t="s">
        <v>844</v>
      </c>
      <c r="B98" s="406" t="s">
        <v>380</v>
      </c>
      <c r="C98" s="406" t="s">
        <v>526</v>
      </c>
      <c r="D98" s="406" t="s">
        <v>180</v>
      </c>
      <c r="E98" s="406" t="s">
        <v>527</v>
      </c>
      <c r="F98" s="406" t="s">
        <v>528</v>
      </c>
      <c r="G98" s="406" t="s">
        <v>529</v>
      </c>
      <c r="H98" s="728" t="s">
        <v>604</v>
      </c>
      <c r="I98" s="728" t="s">
        <v>605</v>
      </c>
      <c r="J98" s="728" t="s">
        <v>702</v>
      </c>
      <c r="K98" s="728" t="s">
        <v>703</v>
      </c>
      <c r="L98" s="406" t="s">
        <v>54</v>
      </c>
      <c r="M98" s="406" t="s">
        <v>53</v>
      </c>
      <c r="N98" s="630">
        <v>96.310928000000004</v>
      </c>
      <c r="O98" s="630">
        <v>25.609179999999999</v>
      </c>
      <c r="P98" s="729"/>
      <c r="Q98" s="730">
        <v>0</v>
      </c>
      <c r="R98" s="731">
        <v>0</v>
      </c>
      <c r="S98" s="732" t="str">
        <f>IF(CampList[[#This Row],[HH]]&gt;0,CampList[[#This Row],[Total]]/CampList[[#This Row],[HH]],"NA")</f>
        <v>NA</v>
      </c>
      <c r="T98" s="722" t="s">
        <v>512</v>
      </c>
      <c r="U98" s="726" t="s">
        <v>1193</v>
      </c>
      <c r="V98" s="722" t="s">
        <v>555</v>
      </c>
      <c r="W98" s="726"/>
      <c r="X98" s="733"/>
      <c r="Y98" s="729"/>
      <c r="Z98" s="734"/>
      <c r="AA98" s="735"/>
      <c r="AB98" s="736"/>
      <c r="AC98" s="737"/>
      <c r="AD98" s="656" t="s">
        <v>602</v>
      </c>
      <c r="AE98" s="755" t="s">
        <v>1009</v>
      </c>
      <c r="AF98" s="663">
        <f>IF(CampList[[#This Row],[Type of Accomodation]]="camp",MAX(0,CampList[[#This Row],[HH]]-SUMIF(Table_Shelter[Pcode],CampList[[#This Row],[CP_Pcode]],Table_Shelter[HH Covered])),0)</f>
        <v>0</v>
      </c>
      <c r="AG98" s="722"/>
      <c r="AH98" s="736">
        <f>MIN(CampList[[#This Row],[Shelter Gap]],CampList[[#This Row],[Land Status]])</f>
        <v>0</v>
      </c>
      <c r="AI98" s="722" t="str">
        <f ca="1">IFERROR(OFFSET(DistanceToCamp[Nearest Town],MATCH(CampList[[#This Row],[CP_Pcode]],DistanceToCamp[CP_Pcode],0)-1,0,1,1),"")</f>
        <v/>
      </c>
      <c r="AJ98" s="739" t="str">
        <f ca="1">IFERROR(OFFSET(DistanceToCamp[distance],MATCH(CampList[[#This Row],[CP_Pcode]],DistanceToCamp[CP_Pcode],0)-1,0,1,1),"")</f>
        <v/>
      </c>
      <c r="AK98" s="740" t="str">
        <f ca="1">IFERROR(INT(CampList[[#This Row],[Distance]]/5)+1,"")</f>
        <v/>
      </c>
    </row>
    <row r="99" spans="1:37" s="511" customFormat="1" ht="15.6" hidden="1" customHeight="1" x14ac:dyDescent="0.25">
      <c r="A99" s="656" t="s">
        <v>844</v>
      </c>
      <c r="B99" s="406" t="s">
        <v>380</v>
      </c>
      <c r="C99" s="406" t="s">
        <v>526</v>
      </c>
      <c r="D99" s="406" t="s">
        <v>180</v>
      </c>
      <c r="E99" s="406" t="s">
        <v>527</v>
      </c>
      <c r="F99" s="406" t="s">
        <v>528</v>
      </c>
      <c r="G99" s="406" t="s">
        <v>529</v>
      </c>
      <c r="H99" s="728" t="s">
        <v>604</v>
      </c>
      <c r="I99" s="728" t="s">
        <v>605</v>
      </c>
      <c r="J99" s="728" t="s">
        <v>702</v>
      </c>
      <c r="K99" s="728" t="s">
        <v>703</v>
      </c>
      <c r="L99" s="406" t="s">
        <v>116</v>
      </c>
      <c r="M99" s="406" t="s">
        <v>115</v>
      </c>
      <c r="N99" s="630"/>
      <c r="O99" s="630"/>
      <c r="P99" s="729"/>
      <c r="Q99" s="730">
        <v>0</v>
      </c>
      <c r="R99" s="731">
        <v>0</v>
      </c>
      <c r="S99" s="732" t="str">
        <f>IF(CampList[[#This Row],[HH]]&gt;0,CampList[[#This Row],[Total]]/CampList[[#This Row],[HH]],"NA")</f>
        <v>NA</v>
      </c>
      <c r="T99" s="722" t="s">
        <v>512</v>
      </c>
      <c r="U99" s="726" t="s">
        <v>1193</v>
      </c>
      <c r="V99" s="722" t="s">
        <v>555</v>
      </c>
      <c r="W99" s="726"/>
      <c r="X99" s="733"/>
      <c r="Y99" s="729"/>
      <c r="Z99" s="734"/>
      <c r="AA99" s="735"/>
      <c r="AB99" s="736"/>
      <c r="AC99" s="737"/>
      <c r="AD99" s="656" t="s">
        <v>602</v>
      </c>
      <c r="AE99" s="755" t="s">
        <v>1009</v>
      </c>
      <c r="AF99" s="663">
        <f>IF(CampList[[#This Row],[Type of Accomodation]]="camp",MAX(0,CampList[[#This Row],[HH]]-SUMIF(Table_Shelter[Pcode],CampList[[#This Row],[CP_Pcode]],Table_Shelter[HH Covered])),0)</f>
        <v>0</v>
      </c>
      <c r="AG99" s="722"/>
      <c r="AH99" s="736">
        <f>MIN(CampList[[#This Row],[Shelter Gap]],CampList[[#This Row],[Land Status]])</f>
        <v>0</v>
      </c>
      <c r="AI99" s="722" t="str">
        <f ca="1">IFERROR(OFFSET(DistanceToCamp[Nearest Town],MATCH(CampList[[#This Row],[CP_Pcode]],DistanceToCamp[CP_Pcode],0)-1,0,1,1),"")</f>
        <v/>
      </c>
      <c r="AJ99" s="739" t="str">
        <f ca="1">IFERROR(OFFSET(DistanceToCamp[distance],MATCH(CampList[[#This Row],[CP_Pcode]],DistanceToCamp[CP_Pcode],0)-1,0,1,1),"")</f>
        <v/>
      </c>
      <c r="AK99" s="740" t="str">
        <f ca="1">IFERROR(INT(CampList[[#This Row],[Distance]]/5)+1,"")</f>
        <v/>
      </c>
    </row>
    <row r="100" spans="1:37" s="511" customFormat="1" ht="15.6" hidden="1" customHeight="1" x14ac:dyDescent="0.25">
      <c r="A100" s="656" t="s">
        <v>844</v>
      </c>
      <c r="B100" s="406" t="s">
        <v>380</v>
      </c>
      <c r="C100" s="406" t="s">
        <v>526</v>
      </c>
      <c r="D100" s="406" t="s">
        <v>180</v>
      </c>
      <c r="E100" s="406" t="s">
        <v>527</v>
      </c>
      <c r="F100" s="406" t="s">
        <v>528</v>
      </c>
      <c r="G100" s="406" t="s">
        <v>529</v>
      </c>
      <c r="H100" s="728" t="s">
        <v>604</v>
      </c>
      <c r="I100" s="728" t="s">
        <v>605</v>
      </c>
      <c r="J100" s="728" t="s">
        <v>702</v>
      </c>
      <c r="K100" s="728" t="s">
        <v>703</v>
      </c>
      <c r="L100" s="406" t="s">
        <v>80</v>
      </c>
      <c r="M100" s="406" t="s">
        <v>79</v>
      </c>
      <c r="N100" s="630"/>
      <c r="O100" s="630"/>
      <c r="P100" s="729"/>
      <c r="Q100" s="730">
        <v>0</v>
      </c>
      <c r="R100" s="731">
        <v>0</v>
      </c>
      <c r="S100" s="732" t="str">
        <f>IF(CampList[[#This Row],[HH]]&gt;0,CampList[[#This Row],[Total]]/CampList[[#This Row],[HH]],"NA")</f>
        <v>NA</v>
      </c>
      <c r="T100" s="722" t="s">
        <v>512</v>
      </c>
      <c r="U100" s="726" t="s">
        <v>1193</v>
      </c>
      <c r="V100" s="722" t="s">
        <v>555</v>
      </c>
      <c r="W100" s="726"/>
      <c r="X100" s="733"/>
      <c r="Y100" s="729"/>
      <c r="Z100" s="734"/>
      <c r="AA100" s="735"/>
      <c r="AB100" s="736"/>
      <c r="AC100" s="737"/>
      <c r="AD100" s="656" t="s">
        <v>602</v>
      </c>
      <c r="AE100" s="755" t="s">
        <v>1009</v>
      </c>
      <c r="AF100" s="663">
        <f>IF(CampList[[#This Row],[Type of Accomodation]]="camp",MAX(0,CampList[[#This Row],[HH]]-SUMIF(Table_Shelter[Pcode],CampList[[#This Row],[CP_Pcode]],Table_Shelter[HH Covered])),0)</f>
        <v>0</v>
      </c>
      <c r="AG100" s="722"/>
      <c r="AH100" s="736">
        <f>MIN(CampList[[#This Row],[Shelter Gap]],CampList[[#This Row],[Land Status]])</f>
        <v>0</v>
      </c>
      <c r="AI100" s="722" t="str">
        <f ca="1">IFERROR(OFFSET(DistanceToCamp[Nearest Town],MATCH(CampList[[#This Row],[CP_Pcode]],DistanceToCamp[CP_Pcode],0)-1,0,1,1),"")</f>
        <v/>
      </c>
      <c r="AJ100" s="739" t="str">
        <f ca="1">IFERROR(OFFSET(DistanceToCamp[distance],MATCH(CampList[[#This Row],[CP_Pcode]],DistanceToCamp[CP_Pcode],0)-1,0,1,1),"")</f>
        <v/>
      </c>
      <c r="AK100" s="740" t="str">
        <f ca="1">IFERROR(INT(CampList[[#This Row],[Distance]]/5)+1,"")</f>
        <v/>
      </c>
    </row>
    <row r="101" spans="1:37" s="511" customFormat="1" ht="15.6" hidden="1" customHeight="1" x14ac:dyDescent="0.25">
      <c r="A101" s="656" t="s">
        <v>844</v>
      </c>
      <c r="B101" s="406" t="s">
        <v>380</v>
      </c>
      <c r="C101" s="406" t="s">
        <v>526</v>
      </c>
      <c r="D101" s="406" t="s">
        <v>180</v>
      </c>
      <c r="E101" s="406" t="s">
        <v>527</v>
      </c>
      <c r="F101" s="406" t="s">
        <v>528</v>
      </c>
      <c r="G101" s="406" t="s">
        <v>529</v>
      </c>
      <c r="H101" s="728" t="s">
        <v>604</v>
      </c>
      <c r="I101" s="728" t="s">
        <v>605</v>
      </c>
      <c r="J101" s="728" t="s">
        <v>702</v>
      </c>
      <c r="K101" s="728" t="s">
        <v>703</v>
      </c>
      <c r="L101" s="406" t="s">
        <v>138</v>
      </c>
      <c r="M101" s="406" t="s">
        <v>137</v>
      </c>
      <c r="N101" s="630"/>
      <c r="O101" s="630"/>
      <c r="P101" s="729"/>
      <c r="Q101" s="730">
        <v>0</v>
      </c>
      <c r="R101" s="731">
        <v>0</v>
      </c>
      <c r="S101" s="732" t="str">
        <f>IF(CampList[[#This Row],[HH]]&gt;0,CampList[[#This Row],[Total]]/CampList[[#This Row],[HH]],"NA")</f>
        <v>NA</v>
      </c>
      <c r="T101" s="722" t="s">
        <v>512</v>
      </c>
      <c r="U101" s="726" t="s">
        <v>1193</v>
      </c>
      <c r="V101" s="722" t="s">
        <v>555</v>
      </c>
      <c r="W101" s="726"/>
      <c r="X101" s="733"/>
      <c r="Y101" s="729"/>
      <c r="Z101" s="734"/>
      <c r="AA101" s="735"/>
      <c r="AB101" s="736"/>
      <c r="AC101" s="737"/>
      <c r="AD101" s="656" t="s">
        <v>602</v>
      </c>
      <c r="AE101" s="755" t="s">
        <v>1009</v>
      </c>
      <c r="AF101" s="663">
        <f>IF(CampList[[#This Row],[Type of Accomodation]]="camp",MAX(0,CampList[[#This Row],[HH]]-SUMIF(Table_Shelter[Pcode],CampList[[#This Row],[CP_Pcode]],Table_Shelter[HH Covered])),0)</f>
        <v>0</v>
      </c>
      <c r="AG101" s="722"/>
      <c r="AH101" s="736">
        <f>MIN(CampList[[#This Row],[Shelter Gap]],CampList[[#This Row],[Land Status]])</f>
        <v>0</v>
      </c>
      <c r="AI101" s="722" t="str">
        <f ca="1">IFERROR(OFFSET(DistanceToCamp[Nearest Town],MATCH(CampList[[#This Row],[CP_Pcode]],DistanceToCamp[CP_Pcode],0)-1,0,1,1),"")</f>
        <v/>
      </c>
      <c r="AJ101" s="739" t="str">
        <f ca="1">IFERROR(OFFSET(DistanceToCamp[distance],MATCH(CampList[[#This Row],[CP_Pcode]],DistanceToCamp[CP_Pcode],0)-1,0,1,1),"")</f>
        <v/>
      </c>
      <c r="AK101" s="740" t="str">
        <f ca="1">IFERROR(INT(CampList[[#This Row],[Distance]]/5)+1,"")</f>
        <v/>
      </c>
    </row>
    <row r="102" spans="1:37" s="511" customFormat="1" ht="15.6" hidden="1" customHeight="1" x14ac:dyDescent="0.25">
      <c r="A102" s="656" t="s">
        <v>844</v>
      </c>
      <c r="B102" s="406" t="s">
        <v>380</v>
      </c>
      <c r="C102" s="406" t="s">
        <v>526</v>
      </c>
      <c r="D102" s="406" t="s">
        <v>180</v>
      </c>
      <c r="E102" s="406" t="s">
        <v>527</v>
      </c>
      <c r="F102" s="406" t="s">
        <v>528</v>
      </c>
      <c r="G102" s="406" t="s">
        <v>529</v>
      </c>
      <c r="H102" s="728" t="s">
        <v>604</v>
      </c>
      <c r="I102" s="728" t="s">
        <v>605</v>
      </c>
      <c r="J102" s="728" t="s">
        <v>702</v>
      </c>
      <c r="K102" s="728" t="s">
        <v>703</v>
      </c>
      <c r="L102" s="406" t="s">
        <v>102</v>
      </c>
      <c r="M102" s="406" t="s">
        <v>101</v>
      </c>
      <c r="N102" s="630"/>
      <c r="O102" s="630"/>
      <c r="P102" s="729"/>
      <c r="Q102" s="730">
        <v>0</v>
      </c>
      <c r="R102" s="731">
        <v>0</v>
      </c>
      <c r="S102" s="732" t="str">
        <f>IF(CampList[[#This Row],[HH]]&gt;0,CampList[[#This Row],[Total]]/CampList[[#This Row],[HH]],"NA")</f>
        <v>NA</v>
      </c>
      <c r="T102" s="722" t="s">
        <v>512</v>
      </c>
      <c r="U102" s="726" t="s">
        <v>1193</v>
      </c>
      <c r="V102" s="722" t="s">
        <v>555</v>
      </c>
      <c r="W102" s="726"/>
      <c r="X102" s="733"/>
      <c r="Y102" s="729"/>
      <c r="Z102" s="734"/>
      <c r="AA102" s="735"/>
      <c r="AB102" s="736"/>
      <c r="AC102" s="737"/>
      <c r="AD102" s="656" t="s">
        <v>602</v>
      </c>
      <c r="AE102" s="755" t="s">
        <v>1009</v>
      </c>
      <c r="AF102" s="663">
        <f>IF(CampList[[#This Row],[Type of Accomodation]]="camp",MAX(0,CampList[[#This Row],[HH]]-SUMIF(Table_Shelter[Pcode],CampList[[#This Row],[CP_Pcode]],Table_Shelter[HH Covered])),0)</f>
        <v>0</v>
      </c>
      <c r="AG102" s="722"/>
      <c r="AH102" s="736">
        <f>MIN(CampList[[#This Row],[Shelter Gap]],CampList[[#This Row],[Land Status]])</f>
        <v>0</v>
      </c>
      <c r="AI102" s="722" t="str">
        <f ca="1">IFERROR(OFFSET(DistanceToCamp[Nearest Town],MATCH(CampList[[#This Row],[CP_Pcode]],DistanceToCamp[CP_Pcode],0)-1,0,1,1),"")</f>
        <v/>
      </c>
      <c r="AJ102" s="739" t="str">
        <f ca="1">IFERROR(OFFSET(DistanceToCamp[distance],MATCH(CampList[[#This Row],[CP_Pcode]],DistanceToCamp[CP_Pcode],0)-1,0,1,1),"")</f>
        <v/>
      </c>
      <c r="AK102" s="740" t="str">
        <f ca="1">IFERROR(INT(CampList[[#This Row],[Distance]]/5)+1,"")</f>
        <v/>
      </c>
    </row>
    <row r="103" spans="1:37" s="511" customFormat="1" ht="15.6" hidden="1" customHeight="1" x14ac:dyDescent="0.25">
      <c r="A103" s="656" t="s">
        <v>844</v>
      </c>
      <c r="B103" s="406" t="s">
        <v>380</v>
      </c>
      <c r="C103" s="406" t="s">
        <v>526</v>
      </c>
      <c r="D103" s="406" t="s">
        <v>180</v>
      </c>
      <c r="E103" s="406" t="s">
        <v>527</v>
      </c>
      <c r="F103" s="406" t="s">
        <v>528</v>
      </c>
      <c r="G103" s="406" t="s">
        <v>529</v>
      </c>
      <c r="H103" s="728" t="s">
        <v>604</v>
      </c>
      <c r="I103" s="728" t="s">
        <v>605</v>
      </c>
      <c r="J103" s="728" t="s">
        <v>702</v>
      </c>
      <c r="K103" s="728" t="s">
        <v>703</v>
      </c>
      <c r="L103" s="406" t="s">
        <v>106</v>
      </c>
      <c r="M103" s="406" t="s">
        <v>105</v>
      </c>
      <c r="N103" s="630"/>
      <c r="O103" s="630"/>
      <c r="P103" s="729"/>
      <c r="Q103" s="730">
        <v>0</v>
      </c>
      <c r="R103" s="731">
        <v>0</v>
      </c>
      <c r="S103" s="732" t="str">
        <f>IF(CampList[[#This Row],[HH]]&gt;0,CampList[[#This Row],[Total]]/CampList[[#This Row],[HH]],"NA")</f>
        <v>NA</v>
      </c>
      <c r="T103" s="722" t="s">
        <v>512</v>
      </c>
      <c r="U103" s="726" t="s">
        <v>1193</v>
      </c>
      <c r="V103" s="722" t="s">
        <v>555</v>
      </c>
      <c r="W103" s="726"/>
      <c r="X103" s="733"/>
      <c r="Y103" s="729"/>
      <c r="Z103" s="734"/>
      <c r="AA103" s="735"/>
      <c r="AB103" s="736"/>
      <c r="AC103" s="737"/>
      <c r="AD103" s="656" t="s">
        <v>602</v>
      </c>
      <c r="AE103" s="755" t="s">
        <v>1009</v>
      </c>
      <c r="AF103" s="663">
        <f>IF(CampList[[#This Row],[Type of Accomodation]]="camp",MAX(0,CampList[[#This Row],[HH]]-SUMIF(Table_Shelter[Pcode],CampList[[#This Row],[CP_Pcode]],Table_Shelter[HH Covered])),0)</f>
        <v>0</v>
      </c>
      <c r="AG103" s="722"/>
      <c r="AH103" s="736">
        <f>MIN(CampList[[#This Row],[Shelter Gap]],CampList[[#This Row],[Land Status]])</f>
        <v>0</v>
      </c>
      <c r="AI103" s="722" t="str">
        <f ca="1">IFERROR(OFFSET(DistanceToCamp[Nearest Town],MATCH(CampList[[#This Row],[CP_Pcode]],DistanceToCamp[CP_Pcode],0)-1,0,1,1),"")</f>
        <v/>
      </c>
      <c r="AJ103" s="739" t="str">
        <f ca="1">IFERROR(OFFSET(DistanceToCamp[distance],MATCH(CampList[[#This Row],[CP_Pcode]],DistanceToCamp[CP_Pcode],0)-1,0,1,1),"")</f>
        <v/>
      </c>
      <c r="AK103" s="740" t="str">
        <f ca="1">IFERROR(INT(CampList[[#This Row],[Distance]]/5)+1,"")</f>
        <v/>
      </c>
    </row>
    <row r="104" spans="1:37" s="511" customFormat="1" ht="15.6" hidden="1" customHeight="1" x14ac:dyDescent="0.25">
      <c r="A104" s="656" t="s">
        <v>844</v>
      </c>
      <c r="B104" s="406" t="s">
        <v>380</v>
      </c>
      <c r="C104" s="406" t="s">
        <v>526</v>
      </c>
      <c r="D104" s="406" t="s">
        <v>180</v>
      </c>
      <c r="E104" s="406" t="s">
        <v>527</v>
      </c>
      <c r="F104" s="406" t="s">
        <v>528</v>
      </c>
      <c r="G104" s="406" t="s">
        <v>529</v>
      </c>
      <c r="H104" s="728" t="s">
        <v>604</v>
      </c>
      <c r="I104" s="728" t="s">
        <v>605</v>
      </c>
      <c r="J104" s="728" t="s">
        <v>702</v>
      </c>
      <c r="K104" s="728" t="s">
        <v>703</v>
      </c>
      <c r="L104" s="406" t="s">
        <v>130</v>
      </c>
      <c r="M104" s="406" t="s">
        <v>129</v>
      </c>
      <c r="N104" s="630"/>
      <c r="O104" s="630"/>
      <c r="P104" s="729"/>
      <c r="Q104" s="730">
        <v>0</v>
      </c>
      <c r="R104" s="731">
        <v>0</v>
      </c>
      <c r="S104" s="732" t="str">
        <f>IF(CampList[[#This Row],[HH]]&gt;0,CampList[[#This Row],[Total]]/CampList[[#This Row],[HH]],"NA")</f>
        <v>NA</v>
      </c>
      <c r="T104" s="722" t="s">
        <v>512</v>
      </c>
      <c r="U104" s="726" t="s">
        <v>1193</v>
      </c>
      <c r="V104" s="722" t="s">
        <v>555</v>
      </c>
      <c r="W104" s="726"/>
      <c r="X104" s="733"/>
      <c r="Y104" s="729"/>
      <c r="Z104" s="734"/>
      <c r="AA104" s="735"/>
      <c r="AB104" s="736"/>
      <c r="AC104" s="737"/>
      <c r="AD104" s="656" t="s">
        <v>602</v>
      </c>
      <c r="AE104" s="755" t="s">
        <v>1009</v>
      </c>
      <c r="AF104" s="663">
        <f>IF(CampList[[#This Row],[Type of Accomodation]]="camp",MAX(0,CampList[[#This Row],[HH]]-SUMIF(Table_Shelter[Pcode],CampList[[#This Row],[CP_Pcode]],Table_Shelter[HH Covered])),0)</f>
        <v>0</v>
      </c>
      <c r="AG104" s="722"/>
      <c r="AH104" s="736">
        <f>MIN(CampList[[#This Row],[Shelter Gap]],CampList[[#This Row],[Land Status]])</f>
        <v>0</v>
      </c>
      <c r="AI104" s="722" t="str">
        <f ca="1">IFERROR(OFFSET(DistanceToCamp[Nearest Town],MATCH(CampList[[#This Row],[CP_Pcode]],DistanceToCamp[CP_Pcode],0)-1,0,1,1),"")</f>
        <v/>
      </c>
      <c r="AJ104" s="739" t="str">
        <f ca="1">IFERROR(OFFSET(DistanceToCamp[distance],MATCH(CampList[[#This Row],[CP_Pcode]],DistanceToCamp[CP_Pcode],0)-1,0,1,1),"")</f>
        <v/>
      </c>
      <c r="AK104" s="740" t="str">
        <f ca="1">IFERROR(INT(CampList[[#This Row],[Distance]]/5)+1,"")</f>
        <v/>
      </c>
    </row>
    <row r="105" spans="1:37" s="511" customFormat="1" ht="15.6" hidden="1" customHeight="1" x14ac:dyDescent="0.25">
      <c r="A105" s="656" t="s">
        <v>844</v>
      </c>
      <c r="B105" s="406" t="s">
        <v>380</v>
      </c>
      <c r="C105" s="406" t="s">
        <v>526</v>
      </c>
      <c r="D105" s="406" t="s">
        <v>180</v>
      </c>
      <c r="E105" s="406" t="s">
        <v>527</v>
      </c>
      <c r="F105" s="406" t="s">
        <v>528</v>
      </c>
      <c r="G105" s="406" t="s">
        <v>529</v>
      </c>
      <c r="H105" s="728" t="s">
        <v>604</v>
      </c>
      <c r="I105" s="728" t="s">
        <v>605</v>
      </c>
      <c r="J105" s="728" t="s">
        <v>704</v>
      </c>
      <c r="K105" s="728" t="s">
        <v>705</v>
      </c>
      <c r="L105" s="406" t="s">
        <v>134</v>
      </c>
      <c r="M105" s="406" t="s">
        <v>133</v>
      </c>
      <c r="N105" s="630"/>
      <c r="O105" s="630"/>
      <c r="P105" s="729"/>
      <c r="Q105" s="730">
        <v>0</v>
      </c>
      <c r="R105" s="731">
        <v>0</v>
      </c>
      <c r="S105" s="732" t="str">
        <f>IF(CampList[[#This Row],[HH]]&gt;0,CampList[[#This Row],[Total]]/CampList[[#This Row],[HH]],"NA")</f>
        <v>NA</v>
      </c>
      <c r="T105" s="722" t="s">
        <v>512</v>
      </c>
      <c r="U105" s="726" t="s">
        <v>1193</v>
      </c>
      <c r="V105" s="722" t="s">
        <v>555</v>
      </c>
      <c r="W105" s="726"/>
      <c r="X105" s="733"/>
      <c r="Y105" s="729"/>
      <c r="Z105" s="734"/>
      <c r="AA105" s="735"/>
      <c r="AB105" s="736"/>
      <c r="AC105" s="737"/>
      <c r="AD105" s="656" t="s">
        <v>602</v>
      </c>
      <c r="AE105" s="755" t="s">
        <v>1009</v>
      </c>
      <c r="AF105" s="663">
        <f>IF(CampList[[#This Row],[Type of Accomodation]]="camp",MAX(0,CampList[[#This Row],[HH]]-SUMIF(Table_Shelter[Pcode],CampList[[#This Row],[CP_Pcode]],Table_Shelter[HH Covered])),0)</f>
        <v>0</v>
      </c>
      <c r="AG105" s="722"/>
      <c r="AH105" s="736">
        <f>MIN(CampList[[#This Row],[Shelter Gap]],CampList[[#This Row],[Land Status]])</f>
        <v>0</v>
      </c>
      <c r="AI105" s="722" t="str">
        <f ca="1">IFERROR(OFFSET(DistanceToCamp[Nearest Town],MATCH(CampList[[#This Row],[CP_Pcode]],DistanceToCamp[CP_Pcode],0)-1,0,1,1),"")</f>
        <v/>
      </c>
      <c r="AJ105" s="739" t="str">
        <f ca="1">IFERROR(OFFSET(DistanceToCamp[distance],MATCH(CampList[[#This Row],[CP_Pcode]],DistanceToCamp[CP_Pcode],0)-1,0,1,1),"")</f>
        <v/>
      </c>
      <c r="AK105" s="740" t="str">
        <f ca="1">IFERROR(INT(CampList[[#This Row],[Distance]]/5)+1,"")</f>
        <v/>
      </c>
    </row>
    <row r="106" spans="1:37" s="511" customFormat="1" ht="15.6" hidden="1" customHeight="1" x14ac:dyDescent="0.25">
      <c r="A106" s="656" t="s">
        <v>844</v>
      </c>
      <c r="B106" s="406" t="s">
        <v>380</v>
      </c>
      <c r="C106" s="406" t="s">
        <v>526</v>
      </c>
      <c r="D106" s="406" t="s">
        <v>180</v>
      </c>
      <c r="E106" s="406" t="s">
        <v>527</v>
      </c>
      <c r="F106" s="406" t="s">
        <v>528</v>
      </c>
      <c r="G106" s="406" t="s">
        <v>529</v>
      </c>
      <c r="H106" s="728" t="s">
        <v>604</v>
      </c>
      <c r="I106" s="728" t="s">
        <v>605</v>
      </c>
      <c r="J106" s="728" t="s">
        <v>704</v>
      </c>
      <c r="K106" s="728" t="s">
        <v>705</v>
      </c>
      <c r="L106" s="406" t="s">
        <v>114</v>
      </c>
      <c r="M106" s="406" t="s">
        <v>113</v>
      </c>
      <c r="N106" s="630"/>
      <c r="O106" s="630"/>
      <c r="P106" s="753"/>
      <c r="Q106" s="730">
        <v>0</v>
      </c>
      <c r="R106" s="731">
        <v>0</v>
      </c>
      <c r="S106" s="732" t="str">
        <f>IF(CampList[[#This Row],[HH]]&gt;0,CampList[[#This Row],[Total]]/CampList[[#This Row],[HH]],"NA")</f>
        <v>NA</v>
      </c>
      <c r="T106" s="722" t="s">
        <v>512</v>
      </c>
      <c r="U106" s="726" t="s">
        <v>1193</v>
      </c>
      <c r="V106" s="722" t="s">
        <v>555</v>
      </c>
      <c r="W106" s="726"/>
      <c r="X106" s="733"/>
      <c r="Y106" s="729"/>
      <c r="Z106" s="734"/>
      <c r="AA106" s="735"/>
      <c r="AB106" s="736"/>
      <c r="AC106" s="737"/>
      <c r="AD106" s="656" t="s">
        <v>602</v>
      </c>
      <c r="AE106" s="755" t="s">
        <v>1009</v>
      </c>
      <c r="AF106" s="663">
        <f>IF(CampList[[#This Row],[Type of Accomodation]]="camp",MAX(0,CampList[[#This Row],[HH]]-SUMIF(Table_Shelter[Pcode],CampList[[#This Row],[CP_Pcode]],Table_Shelter[HH Covered])),0)</f>
        <v>0</v>
      </c>
      <c r="AG106" s="722"/>
      <c r="AH106" s="736">
        <f>MIN(CampList[[#This Row],[Shelter Gap]],CampList[[#This Row],[Land Status]])</f>
        <v>0</v>
      </c>
      <c r="AI106" s="722" t="str">
        <f ca="1">IFERROR(OFFSET(DistanceToCamp[Nearest Town],MATCH(CampList[[#This Row],[CP_Pcode]],DistanceToCamp[CP_Pcode],0)-1,0,1,1),"")</f>
        <v/>
      </c>
      <c r="AJ106" s="739" t="str">
        <f ca="1">IFERROR(OFFSET(DistanceToCamp[distance],MATCH(CampList[[#This Row],[CP_Pcode]],DistanceToCamp[CP_Pcode],0)-1,0,1,1),"")</f>
        <v/>
      </c>
      <c r="AK106" s="740" t="str">
        <f ca="1">IFERROR(INT(CampList[[#This Row],[Distance]]/5)+1,"")</f>
        <v/>
      </c>
    </row>
    <row r="107" spans="1:37" s="511" customFormat="1" ht="15.6" customHeight="1" x14ac:dyDescent="0.25">
      <c r="A107" s="656" t="s">
        <v>501</v>
      </c>
      <c r="B107" s="406" t="s">
        <v>380</v>
      </c>
      <c r="C107" s="406" t="s">
        <v>526</v>
      </c>
      <c r="D107" s="406" t="s">
        <v>180</v>
      </c>
      <c r="E107" s="406" t="s">
        <v>527</v>
      </c>
      <c r="F107" s="406" t="s">
        <v>528</v>
      </c>
      <c r="G107" s="406" t="s">
        <v>529</v>
      </c>
      <c r="H107" s="728" t="s">
        <v>610</v>
      </c>
      <c r="I107" s="728" t="s">
        <v>611</v>
      </c>
      <c r="J107" s="728" t="s">
        <v>610</v>
      </c>
      <c r="K107" s="728">
        <v>166776</v>
      </c>
      <c r="L107" s="406" t="s">
        <v>108</v>
      </c>
      <c r="M107" s="406" t="s">
        <v>107</v>
      </c>
      <c r="N107" s="630">
        <v>96.341352999999998</v>
      </c>
      <c r="O107" s="630">
        <v>25.613894999999999</v>
      </c>
      <c r="P107" s="747">
        <v>251</v>
      </c>
      <c r="Q107" s="730">
        <v>52</v>
      </c>
      <c r="R107" s="731">
        <v>240</v>
      </c>
      <c r="S107" s="732">
        <f>IF(CampList[[#This Row],[HH]]&gt;0,CampList[[#This Row],[Total]]/CampList[[#This Row],[HH]],"NA")</f>
        <v>4.615384615384615</v>
      </c>
      <c r="T107" s="722" t="s">
        <v>512</v>
      </c>
      <c r="U107" s="726" t="s">
        <v>1193</v>
      </c>
      <c r="V107" s="722" t="s">
        <v>555</v>
      </c>
      <c r="W107" s="726" t="s">
        <v>804</v>
      </c>
      <c r="X107" s="742">
        <v>41487</v>
      </c>
      <c r="Y107" s="743">
        <v>3</v>
      </c>
      <c r="Z107" s="742" t="s">
        <v>1092</v>
      </c>
      <c r="AA107" s="735" t="s">
        <v>843</v>
      </c>
      <c r="AB107" s="736"/>
      <c r="AC107" s="744">
        <v>42565</v>
      </c>
      <c r="AD107" s="656" t="s">
        <v>1428</v>
      </c>
      <c r="AE107" s="759" t="s">
        <v>1095</v>
      </c>
      <c r="AF107" s="663">
        <f>IF(CampList[[#This Row],[Type of Accomodation]]="camp",MAX(0,CampList[[#This Row],[HH]]-SUMIF(Table_Shelter[Pcode],CampList[[#This Row],[CP_Pcode]],Table_Shelter[HH Covered])),0)</f>
        <v>0</v>
      </c>
      <c r="AG107" s="722"/>
      <c r="AH107" s="736">
        <f>MIN(CampList[[#This Row],[Shelter Gap]],CampList[[#This Row],[Land Status]])</f>
        <v>0</v>
      </c>
      <c r="AI107" s="722" t="str">
        <f ca="1">IFERROR(OFFSET(DistanceToCamp[Nearest Town],MATCH(CampList[[#This Row],[CP_Pcode]],DistanceToCamp[CP_Pcode],0)-1,0,1,1),"")</f>
        <v>Hpakant Town</v>
      </c>
      <c r="AJ107" s="739">
        <f ca="1">IFERROR(OFFSET(DistanceToCamp[distance],MATCH(CampList[[#This Row],[CP_Pcode]],DistanceToCamp[CP_Pcode],0)-1,0,1,1),"")</f>
        <v>2.9334852607184256</v>
      </c>
      <c r="AK107" s="740">
        <f ca="1">IFERROR(INT(CampList[[#This Row],[Distance]]/5)+1,"")</f>
        <v>1</v>
      </c>
    </row>
    <row r="108" spans="1:37" s="511" customFormat="1" ht="15.6" hidden="1" customHeight="1" x14ac:dyDescent="0.25">
      <c r="A108" s="656" t="s">
        <v>844</v>
      </c>
      <c r="B108" s="406" t="s">
        <v>380</v>
      </c>
      <c r="C108" s="406" t="s">
        <v>526</v>
      </c>
      <c r="D108" s="406" t="s">
        <v>180</v>
      </c>
      <c r="E108" s="406" t="s">
        <v>527</v>
      </c>
      <c r="F108" s="406" t="s">
        <v>528</v>
      </c>
      <c r="G108" s="406" t="s">
        <v>529</v>
      </c>
      <c r="H108" s="406"/>
      <c r="I108" s="406"/>
      <c r="J108" s="406"/>
      <c r="K108" s="406"/>
      <c r="L108" s="406" t="s">
        <v>96</v>
      </c>
      <c r="M108" s="406" t="s">
        <v>95</v>
      </c>
      <c r="N108" s="630"/>
      <c r="O108" s="630"/>
      <c r="P108" s="753"/>
      <c r="Q108" s="730">
        <v>0</v>
      </c>
      <c r="R108" s="731">
        <v>0</v>
      </c>
      <c r="S108" s="732" t="str">
        <f>IF(CampList[[#This Row],[HH]]&gt;0,CampList[[#This Row],[Total]]/CampList[[#This Row],[HH]],"NA")</f>
        <v>NA</v>
      </c>
      <c r="T108" s="722" t="s">
        <v>512</v>
      </c>
      <c r="U108" s="726" t="s">
        <v>1193</v>
      </c>
      <c r="V108" s="722" t="s">
        <v>555</v>
      </c>
      <c r="W108" s="726"/>
      <c r="X108" s="733"/>
      <c r="Y108" s="729"/>
      <c r="Z108" s="734"/>
      <c r="AA108" s="749"/>
      <c r="AB108" s="736"/>
      <c r="AC108" s="737"/>
      <c r="AD108" s="656" t="s">
        <v>602</v>
      </c>
      <c r="AE108" s="755" t="s">
        <v>1009</v>
      </c>
      <c r="AF108" s="663">
        <f>IF(CampList[[#This Row],[Type of Accomodation]]="camp",MAX(0,CampList[[#This Row],[HH]]-SUMIF(Table_Shelter[Pcode],CampList[[#This Row],[CP_Pcode]],Table_Shelter[HH Covered])),0)</f>
        <v>0</v>
      </c>
      <c r="AG108" s="722"/>
      <c r="AH108" s="736">
        <f>MIN(CampList[[#This Row],[Shelter Gap]],CampList[[#This Row],[Land Status]])</f>
        <v>0</v>
      </c>
      <c r="AI108" s="722" t="str">
        <f ca="1">IFERROR(OFFSET(DistanceToCamp[Nearest Town],MATCH(CampList[[#This Row],[CP_Pcode]],DistanceToCamp[CP_Pcode],0)-1,0,1,1),"")</f>
        <v/>
      </c>
      <c r="AJ108" s="739" t="str">
        <f ca="1">IFERROR(OFFSET(DistanceToCamp[distance],MATCH(CampList[[#This Row],[CP_Pcode]],DistanceToCamp[CP_Pcode],0)-1,0,1,1),"")</f>
        <v/>
      </c>
      <c r="AK108" s="740" t="str">
        <f ca="1">IFERROR(INT(CampList[[#This Row],[Distance]]/5)+1,"")</f>
        <v/>
      </c>
    </row>
    <row r="109" spans="1:37" s="511" customFormat="1" ht="15.6" customHeight="1" x14ac:dyDescent="0.25">
      <c r="A109" s="656" t="s">
        <v>501</v>
      </c>
      <c r="B109" s="406" t="s">
        <v>380</v>
      </c>
      <c r="C109" s="406" t="s">
        <v>526</v>
      </c>
      <c r="D109" s="406" t="s">
        <v>180</v>
      </c>
      <c r="E109" s="406" t="s">
        <v>527</v>
      </c>
      <c r="F109" s="406" t="s">
        <v>528</v>
      </c>
      <c r="G109" s="406" t="s">
        <v>529</v>
      </c>
      <c r="H109" s="728" t="s">
        <v>610</v>
      </c>
      <c r="I109" s="728" t="s">
        <v>611</v>
      </c>
      <c r="J109" s="406" t="s">
        <v>610</v>
      </c>
      <c r="K109" s="757">
        <v>166776</v>
      </c>
      <c r="L109" s="406" t="s">
        <v>140</v>
      </c>
      <c r="M109" s="406" t="s">
        <v>139</v>
      </c>
      <c r="N109" s="630">
        <v>96.306910999999999</v>
      </c>
      <c r="O109" s="630">
        <v>25.599250000000001</v>
      </c>
      <c r="P109" s="741">
        <v>0</v>
      </c>
      <c r="Q109" s="663">
        <v>12</v>
      </c>
      <c r="R109" s="663">
        <v>48</v>
      </c>
      <c r="S109" s="732">
        <f>IF(CampList[[#This Row],[HH]]&gt;0,CampList[[#This Row],[Total]]/CampList[[#This Row],[HH]],"NA")</f>
        <v>4</v>
      </c>
      <c r="T109" s="722" t="s">
        <v>512</v>
      </c>
      <c r="U109" s="726" t="s">
        <v>1193</v>
      </c>
      <c r="V109" s="722" t="s">
        <v>555</v>
      </c>
      <c r="W109" s="722" t="s">
        <v>804</v>
      </c>
      <c r="X109" s="742">
        <v>41122</v>
      </c>
      <c r="Y109" s="743">
        <v>1</v>
      </c>
      <c r="Z109" s="742" t="s">
        <v>461</v>
      </c>
      <c r="AA109" s="736" t="s">
        <v>843</v>
      </c>
      <c r="AB109" s="736"/>
      <c r="AC109" s="744">
        <v>42569</v>
      </c>
      <c r="AD109" s="728" t="s">
        <v>1472</v>
      </c>
      <c r="AE109" s="759" t="s">
        <v>1095</v>
      </c>
      <c r="AF109" s="663">
        <f>IF(CampList[[#This Row],[Type of Accomodation]]="camp",MAX(0,CampList[[#This Row],[HH]]-SUMIF(Table_Shelter[Pcode],CampList[[#This Row],[CP_Pcode]],Table_Shelter[HH Covered])),0)</f>
        <v>2</v>
      </c>
      <c r="AG109" s="722"/>
      <c r="AH109" s="736">
        <f>MIN(CampList[[#This Row],[Shelter Gap]],CampList[[#This Row],[Land Status]])</f>
        <v>2</v>
      </c>
      <c r="AI109" s="722" t="str">
        <f ca="1">IFERROR(OFFSET(DistanceToCamp[Nearest Town],MATCH(CampList[[#This Row],[CP_Pcode]],DistanceToCamp[CP_Pcode],0)-1,0,1,1),"")</f>
        <v>Hpakant Town</v>
      </c>
      <c r="AJ109" s="739">
        <f ca="1">IFERROR(OFFSET(DistanceToCamp[distance],MATCH(CampList[[#This Row],[CP_Pcode]],DistanceToCamp[CP_Pcode],0)-1,0,1,1),"")</f>
        <v>1.5942018764815451</v>
      </c>
      <c r="AK109" s="740">
        <f ca="1">IFERROR(INT(CampList[[#This Row],[Distance]]/5)+1,"")</f>
        <v>1</v>
      </c>
    </row>
    <row r="110" spans="1:37" s="511" customFormat="1" ht="15.6" hidden="1" customHeight="1" x14ac:dyDescent="0.25">
      <c r="A110" s="656" t="s">
        <v>844</v>
      </c>
      <c r="B110" s="406" t="s">
        <v>380</v>
      </c>
      <c r="C110" s="406" t="s">
        <v>526</v>
      </c>
      <c r="D110" s="406" t="s">
        <v>180</v>
      </c>
      <c r="E110" s="406" t="s">
        <v>527</v>
      </c>
      <c r="F110" s="406" t="s">
        <v>528</v>
      </c>
      <c r="G110" s="406" t="s">
        <v>529</v>
      </c>
      <c r="H110" s="406"/>
      <c r="I110" s="406"/>
      <c r="J110" s="406"/>
      <c r="K110" s="406"/>
      <c r="L110" s="406" t="s">
        <v>136</v>
      </c>
      <c r="M110" s="406" t="s">
        <v>135</v>
      </c>
      <c r="N110" s="630">
        <v>96.343350000000001</v>
      </c>
      <c r="O110" s="630">
        <v>25.6447</v>
      </c>
      <c r="P110" s="729"/>
      <c r="Q110" s="730">
        <v>0</v>
      </c>
      <c r="R110" s="731">
        <v>0</v>
      </c>
      <c r="S110" s="732" t="str">
        <f>IF(CampList[[#This Row],[HH]]&gt;0,CampList[[#This Row],[Total]]/CampList[[#This Row],[HH]],"NA")</f>
        <v>NA</v>
      </c>
      <c r="T110" s="722" t="s">
        <v>512</v>
      </c>
      <c r="U110" s="726" t="s">
        <v>1193</v>
      </c>
      <c r="V110" s="722" t="s">
        <v>555</v>
      </c>
      <c r="W110" s="726"/>
      <c r="X110" s="733"/>
      <c r="Y110" s="729"/>
      <c r="Z110" s="734"/>
      <c r="AA110" s="749"/>
      <c r="AB110" s="736"/>
      <c r="AC110" s="737"/>
      <c r="AD110" s="656" t="s">
        <v>602</v>
      </c>
      <c r="AE110" s="755" t="s">
        <v>1009</v>
      </c>
      <c r="AF110" s="663">
        <f>IF(CampList[[#This Row],[Type of Accomodation]]="camp",MAX(0,CampList[[#This Row],[HH]]-SUMIF(Table_Shelter[Pcode],CampList[[#This Row],[CP_Pcode]],Table_Shelter[HH Covered])),0)</f>
        <v>0</v>
      </c>
      <c r="AG110" s="722"/>
      <c r="AH110" s="736">
        <f>MIN(CampList[[#This Row],[Shelter Gap]],CampList[[#This Row],[Land Status]])</f>
        <v>0</v>
      </c>
      <c r="AI110" s="722" t="str">
        <f ca="1">IFERROR(OFFSET(DistanceToCamp[Nearest Town],MATCH(CampList[[#This Row],[CP_Pcode]],DistanceToCamp[CP_Pcode],0)-1,0,1,1),"")</f>
        <v/>
      </c>
      <c r="AJ110" s="739" t="str">
        <f ca="1">IFERROR(OFFSET(DistanceToCamp[distance],MATCH(CampList[[#This Row],[CP_Pcode]],DistanceToCamp[CP_Pcode],0)-1,0,1,1),"")</f>
        <v/>
      </c>
      <c r="AK110" s="740" t="str">
        <f ca="1">IFERROR(INT(CampList[[#This Row],[Distance]]/5)+1,"")</f>
        <v/>
      </c>
    </row>
    <row r="111" spans="1:37" s="511" customFormat="1" ht="15.6" hidden="1" customHeight="1" x14ac:dyDescent="0.25">
      <c r="A111" s="656" t="s">
        <v>844</v>
      </c>
      <c r="B111" s="406" t="s">
        <v>380</v>
      </c>
      <c r="C111" s="406" t="s">
        <v>526</v>
      </c>
      <c r="D111" s="406" t="s">
        <v>180</v>
      </c>
      <c r="E111" s="406" t="s">
        <v>527</v>
      </c>
      <c r="F111" s="406" t="s">
        <v>528</v>
      </c>
      <c r="G111" s="406" t="s">
        <v>529</v>
      </c>
      <c r="H111" s="728" t="s">
        <v>599</v>
      </c>
      <c r="I111" s="728" t="s">
        <v>600</v>
      </c>
      <c r="J111" s="728" t="s">
        <v>709</v>
      </c>
      <c r="K111" s="728">
        <v>166790</v>
      </c>
      <c r="L111" s="406" t="s">
        <v>94</v>
      </c>
      <c r="M111" s="406" t="s">
        <v>93</v>
      </c>
      <c r="N111" s="630"/>
      <c r="O111" s="630"/>
      <c r="P111" s="729"/>
      <c r="Q111" s="730">
        <v>0</v>
      </c>
      <c r="R111" s="731">
        <v>0</v>
      </c>
      <c r="S111" s="732" t="str">
        <f>IF(CampList[[#This Row],[HH]]&gt;0,CampList[[#This Row],[Total]]/CampList[[#This Row],[HH]],"NA")</f>
        <v>NA</v>
      </c>
      <c r="T111" s="722" t="s">
        <v>512</v>
      </c>
      <c r="U111" s="726" t="s">
        <v>1193</v>
      </c>
      <c r="V111" s="722" t="s">
        <v>555</v>
      </c>
      <c r="W111" s="726"/>
      <c r="X111" s="733"/>
      <c r="Y111" s="729"/>
      <c r="Z111" s="734"/>
      <c r="AA111" s="749"/>
      <c r="AB111" s="736"/>
      <c r="AC111" s="737"/>
      <c r="AD111" s="656" t="s">
        <v>602</v>
      </c>
      <c r="AE111" s="755" t="s">
        <v>1009</v>
      </c>
      <c r="AF111" s="663">
        <f>IF(CampList[[#This Row],[Type of Accomodation]]="camp",MAX(0,CampList[[#This Row],[HH]]-SUMIF(Table_Shelter[Pcode],CampList[[#This Row],[CP_Pcode]],Table_Shelter[HH Covered])),0)</f>
        <v>0</v>
      </c>
      <c r="AG111" s="722"/>
      <c r="AH111" s="736">
        <f>MIN(CampList[[#This Row],[Shelter Gap]],CampList[[#This Row],[Land Status]])</f>
        <v>0</v>
      </c>
      <c r="AI111" s="722" t="str">
        <f ca="1">IFERROR(OFFSET(DistanceToCamp[Nearest Town],MATCH(CampList[[#This Row],[CP_Pcode]],DistanceToCamp[CP_Pcode],0)-1,0,1,1),"")</f>
        <v/>
      </c>
      <c r="AJ111" s="739" t="str">
        <f ca="1">IFERROR(OFFSET(DistanceToCamp[distance],MATCH(CampList[[#This Row],[CP_Pcode]],DistanceToCamp[CP_Pcode],0)-1,0,1,1),"")</f>
        <v/>
      </c>
      <c r="AK111" s="740" t="str">
        <f ca="1">IFERROR(INT(CampList[[#This Row],[Distance]]/5)+1,"")</f>
        <v/>
      </c>
    </row>
    <row r="112" spans="1:37" s="511" customFormat="1" ht="15.6" hidden="1" customHeight="1" x14ac:dyDescent="0.25">
      <c r="A112" s="656" t="s">
        <v>844</v>
      </c>
      <c r="B112" s="406" t="s">
        <v>380</v>
      </c>
      <c r="C112" s="406" t="s">
        <v>526</v>
      </c>
      <c r="D112" s="406" t="s">
        <v>180</v>
      </c>
      <c r="E112" s="406" t="s">
        <v>527</v>
      </c>
      <c r="F112" s="406" t="s">
        <v>528</v>
      </c>
      <c r="G112" s="406" t="s">
        <v>529</v>
      </c>
      <c r="H112" s="406"/>
      <c r="I112" s="406"/>
      <c r="J112" s="406"/>
      <c r="K112" s="406"/>
      <c r="L112" s="406" t="s">
        <v>122</v>
      </c>
      <c r="M112" s="406" t="s">
        <v>121</v>
      </c>
      <c r="N112" s="630"/>
      <c r="O112" s="630"/>
      <c r="P112" s="753"/>
      <c r="Q112" s="730">
        <v>0</v>
      </c>
      <c r="R112" s="731">
        <v>0</v>
      </c>
      <c r="S112" s="732" t="str">
        <f>IF(CampList[[#This Row],[HH]]&gt;0,CampList[[#This Row],[Total]]/CampList[[#This Row],[HH]],"NA")</f>
        <v>NA</v>
      </c>
      <c r="T112" s="722" t="s">
        <v>512</v>
      </c>
      <c r="U112" s="726" t="s">
        <v>1193</v>
      </c>
      <c r="V112" s="722" t="s">
        <v>555</v>
      </c>
      <c r="W112" s="726"/>
      <c r="X112" s="733"/>
      <c r="Y112" s="729"/>
      <c r="Z112" s="734"/>
      <c r="AA112" s="749"/>
      <c r="AB112" s="736"/>
      <c r="AC112" s="737"/>
      <c r="AD112" s="656"/>
      <c r="AE112" s="755" t="s">
        <v>1009</v>
      </c>
      <c r="AF112" s="663">
        <f>IF(CampList[[#This Row],[Type of Accomodation]]="camp",MAX(0,CampList[[#This Row],[HH]]-SUMIF(Table_Shelter[Pcode],CampList[[#This Row],[CP_Pcode]],Table_Shelter[HH Covered])),0)</f>
        <v>0</v>
      </c>
      <c r="AG112" s="722"/>
      <c r="AH112" s="736">
        <f>MIN(CampList[[#This Row],[Shelter Gap]],CampList[[#This Row],[Land Status]])</f>
        <v>0</v>
      </c>
      <c r="AI112" s="722" t="str">
        <f ca="1">IFERROR(OFFSET(DistanceToCamp[Nearest Town],MATCH(CampList[[#This Row],[CP_Pcode]],DistanceToCamp[CP_Pcode],0)-1,0,1,1),"")</f>
        <v/>
      </c>
      <c r="AJ112" s="739" t="str">
        <f ca="1">IFERROR(OFFSET(DistanceToCamp[distance],MATCH(CampList[[#This Row],[CP_Pcode]],DistanceToCamp[CP_Pcode],0)-1,0,1,1),"")</f>
        <v/>
      </c>
      <c r="AK112" s="740" t="str">
        <f ca="1">IFERROR(INT(CampList[[#This Row],[Distance]]/5)+1,"")</f>
        <v/>
      </c>
    </row>
    <row r="113" spans="1:37" s="511" customFormat="1" ht="15.6" customHeight="1" x14ac:dyDescent="0.25">
      <c r="A113" s="656" t="s">
        <v>501</v>
      </c>
      <c r="B113" s="406" t="s">
        <v>380</v>
      </c>
      <c r="C113" s="406" t="s">
        <v>526</v>
      </c>
      <c r="D113" s="406" t="s">
        <v>180</v>
      </c>
      <c r="E113" s="406" t="s">
        <v>527</v>
      </c>
      <c r="F113" s="406" t="s">
        <v>528</v>
      </c>
      <c r="G113" s="406" t="s">
        <v>529</v>
      </c>
      <c r="H113" s="728" t="s">
        <v>599</v>
      </c>
      <c r="I113" s="728" t="s">
        <v>600</v>
      </c>
      <c r="J113" s="728" t="s">
        <v>599</v>
      </c>
      <c r="K113" s="728">
        <v>166783</v>
      </c>
      <c r="L113" s="406" t="s">
        <v>72</v>
      </c>
      <c r="M113" s="406" t="s">
        <v>71</v>
      </c>
      <c r="N113" s="630">
        <v>96.283377000000002</v>
      </c>
      <c r="O113" s="630">
        <v>25.582065</v>
      </c>
      <c r="P113" s="747">
        <v>0</v>
      </c>
      <c r="Q113" s="138">
        <v>6</v>
      </c>
      <c r="R113" s="663">
        <v>30</v>
      </c>
      <c r="S113" s="732">
        <f>IF(CampList[[#This Row],[HH]]&gt;0,CampList[[#This Row],[Total]]/CampList[[#This Row],[HH]],"NA")</f>
        <v>5</v>
      </c>
      <c r="T113" s="722" t="s">
        <v>512</v>
      </c>
      <c r="U113" s="726" t="s">
        <v>1193</v>
      </c>
      <c r="V113" s="722" t="s">
        <v>555</v>
      </c>
      <c r="W113" s="663" t="s">
        <v>804</v>
      </c>
      <c r="X113" s="742">
        <v>41487</v>
      </c>
      <c r="Y113" s="743">
        <v>1</v>
      </c>
      <c r="Z113" s="742" t="s">
        <v>506</v>
      </c>
      <c r="AA113" s="735" t="s">
        <v>843</v>
      </c>
      <c r="AB113" s="736"/>
      <c r="AC113" s="744">
        <v>42571</v>
      </c>
      <c r="AD113" s="656" t="s">
        <v>1501</v>
      </c>
      <c r="AE113" s="759" t="s">
        <v>1095</v>
      </c>
      <c r="AF113" s="663">
        <f>IF(CampList[[#This Row],[Type of Accomodation]]="camp",MAX(0,CampList[[#This Row],[HH]]-SUMIF(Table_Shelter[Pcode],CampList[[#This Row],[CP_Pcode]],Table_Shelter[HH Covered])),0)</f>
        <v>0</v>
      </c>
      <c r="AG113" s="722"/>
      <c r="AH113" s="736">
        <f>MIN(CampList[[#This Row],[Shelter Gap]],CampList[[#This Row],[Land Status]])</f>
        <v>0</v>
      </c>
      <c r="AI113" s="722" t="str">
        <f ca="1">IFERROR(OFFSET(DistanceToCamp[Nearest Town],MATCH(CampList[[#This Row],[CP_Pcode]],DistanceToCamp[CP_Pcode],0)-1,0,1,1),"")</f>
        <v>Hpakant Town</v>
      </c>
      <c r="AJ113" s="739">
        <f ca="1">IFERROR(OFFSET(DistanceToCamp[distance],MATCH(CampList[[#This Row],[CP_Pcode]],DistanceToCamp[CP_Pcode],0)-1,0,1,1),"")</f>
        <v>4.4704963044882238</v>
      </c>
      <c r="AK113" s="740">
        <f ca="1">IFERROR(INT(CampList[[#This Row],[Distance]]/5)+1,"")</f>
        <v>1</v>
      </c>
    </row>
    <row r="114" spans="1:37" s="511" customFormat="1" ht="15.6" hidden="1" customHeight="1" x14ac:dyDescent="0.25">
      <c r="A114" s="656" t="s">
        <v>844</v>
      </c>
      <c r="B114" s="406" t="s">
        <v>380</v>
      </c>
      <c r="C114" s="406" t="s">
        <v>526</v>
      </c>
      <c r="D114" s="406" t="s">
        <v>180</v>
      </c>
      <c r="E114" s="406" t="s">
        <v>527</v>
      </c>
      <c r="F114" s="406" t="s">
        <v>528</v>
      </c>
      <c r="G114" s="406" t="s">
        <v>529</v>
      </c>
      <c r="H114" s="728" t="s">
        <v>713</v>
      </c>
      <c r="I114" s="728" t="s">
        <v>714</v>
      </c>
      <c r="J114" s="728" t="s">
        <v>713</v>
      </c>
      <c r="K114" s="728">
        <v>166794</v>
      </c>
      <c r="L114" s="406" t="s">
        <v>132</v>
      </c>
      <c r="M114" s="406" t="s">
        <v>131</v>
      </c>
      <c r="N114" s="630"/>
      <c r="O114" s="630"/>
      <c r="P114" s="729"/>
      <c r="Q114" s="730">
        <v>0</v>
      </c>
      <c r="R114" s="731">
        <v>0</v>
      </c>
      <c r="S114" s="732" t="str">
        <f>IF(CampList[[#This Row],[HH]]&gt;0,CampList[[#This Row],[Total]]/CampList[[#This Row],[HH]],"NA")</f>
        <v>NA</v>
      </c>
      <c r="T114" s="722" t="s">
        <v>512</v>
      </c>
      <c r="U114" s="726" t="s">
        <v>1193</v>
      </c>
      <c r="V114" s="722" t="s">
        <v>555</v>
      </c>
      <c r="W114" s="726"/>
      <c r="X114" s="733"/>
      <c r="Y114" s="729"/>
      <c r="Z114" s="734"/>
      <c r="AA114" s="749"/>
      <c r="AB114" s="736"/>
      <c r="AC114" s="737"/>
      <c r="AD114" s="656"/>
      <c r="AE114" s="755" t="s">
        <v>1009</v>
      </c>
      <c r="AF114" s="663">
        <f>IF(CampList[[#This Row],[Type of Accomodation]]="camp",MAX(0,CampList[[#This Row],[HH]]-SUMIF(Table_Shelter[Pcode],CampList[[#This Row],[CP_Pcode]],Table_Shelter[HH Covered])),0)</f>
        <v>0</v>
      </c>
      <c r="AG114" s="722"/>
      <c r="AH114" s="736">
        <f>MIN(CampList[[#This Row],[Shelter Gap]],CampList[[#This Row],[Land Status]])</f>
        <v>0</v>
      </c>
      <c r="AI114" s="722" t="str">
        <f ca="1">IFERROR(OFFSET(DistanceToCamp[Nearest Town],MATCH(CampList[[#This Row],[CP_Pcode]],DistanceToCamp[CP_Pcode],0)-1,0,1,1),"")</f>
        <v/>
      </c>
      <c r="AJ114" s="739" t="str">
        <f ca="1">IFERROR(OFFSET(DistanceToCamp[distance],MATCH(CampList[[#This Row],[CP_Pcode]],DistanceToCamp[CP_Pcode],0)-1,0,1,1),"")</f>
        <v/>
      </c>
      <c r="AK114" s="740" t="str">
        <f ca="1">IFERROR(INT(CampList[[#This Row],[Distance]]/5)+1,"")</f>
        <v/>
      </c>
    </row>
    <row r="115" spans="1:37" s="511" customFormat="1" ht="15.6" customHeight="1" x14ac:dyDescent="0.25">
      <c r="A115" s="764" t="s">
        <v>501</v>
      </c>
      <c r="B115" s="406" t="s">
        <v>380</v>
      </c>
      <c r="C115" s="406" t="s">
        <v>526</v>
      </c>
      <c r="D115" s="406" t="s">
        <v>237</v>
      </c>
      <c r="E115" s="406" t="s">
        <v>532</v>
      </c>
      <c r="F115" s="406" t="s">
        <v>310</v>
      </c>
      <c r="G115" s="406" t="s">
        <v>533</v>
      </c>
      <c r="H115" s="406" t="s">
        <v>765</v>
      </c>
      <c r="I115" s="406" t="s">
        <v>766</v>
      </c>
      <c r="J115" s="771" t="s">
        <v>1422</v>
      </c>
      <c r="K115" s="771">
        <v>220360</v>
      </c>
      <c r="L115" s="406" t="s">
        <v>1248</v>
      </c>
      <c r="M115" s="406" t="s">
        <v>356</v>
      </c>
      <c r="N115" s="630">
        <v>97.756789999999995</v>
      </c>
      <c r="O115" s="630">
        <v>25.106670000000001</v>
      </c>
      <c r="P115" s="741">
        <v>756</v>
      </c>
      <c r="Q115" s="663">
        <v>604</v>
      </c>
      <c r="R115" s="663">
        <v>2785</v>
      </c>
      <c r="S115" s="732">
        <f>IF(CampList[[#This Row],[HH]]&gt;0,CampList[[#This Row],[Total]]/CampList[[#This Row],[HH]],"NA")</f>
        <v>4.6109271523178812</v>
      </c>
      <c r="T115" s="722" t="s">
        <v>514</v>
      </c>
      <c r="U115" s="726" t="s">
        <v>1193</v>
      </c>
      <c r="V115" s="722" t="s">
        <v>555</v>
      </c>
      <c r="W115" s="722" t="s">
        <v>857</v>
      </c>
      <c r="X115" s="742">
        <v>40848</v>
      </c>
      <c r="Y115" s="743">
        <v>3</v>
      </c>
      <c r="Z115" s="742" t="s">
        <v>461</v>
      </c>
      <c r="AA115" s="736" t="s">
        <v>843</v>
      </c>
      <c r="AB115" s="736"/>
      <c r="AC115" s="744">
        <v>42569</v>
      </c>
      <c r="AD115" s="728" t="s">
        <v>1473</v>
      </c>
      <c r="AE115" s="759" t="s">
        <v>1080</v>
      </c>
      <c r="AF115" s="663">
        <f>IF(CampList[[#This Row],[Type of Accomodation]]="camp",MAX(0,CampList[[#This Row],[HH]]-SUMIF(Table_Shelter[Pcode],CampList[[#This Row],[CP_Pcode]],Table_Shelter[HH Covered])),0)</f>
        <v>0</v>
      </c>
      <c r="AG115" s="722"/>
      <c r="AH115" s="736">
        <f>MIN(CampList[[#This Row],[Shelter Gap]],CampList[[#This Row],[Land Status]])</f>
        <v>0</v>
      </c>
      <c r="AI115" s="722" t="str">
        <f ca="1">IFERROR(OFFSET(DistanceToCamp[Nearest Town],MATCH(CampList[[#This Row],[CP_Pcode]],DistanceToCamp[CP_Pcode],0)-1,0,1,1),"")</f>
        <v>Sadung Town</v>
      </c>
      <c r="AJ115" s="739">
        <f ca="1">IFERROR(OFFSET(DistanceToCamp[distance],MATCH(CampList[[#This Row],[CP_Pcode]],DistanceToCamp[CP_Pcode],0)-1,0,1,1),"")</f>
        <v>32.827754639406997</v>
      </c>
      <c r="AK115" s="740">
        <f ca="1">IFERROR(INT(CampList[[#This Row],[Distance]]/5)+1,"")</f>
        <v>7</v>
      </c>
    </row>
    <row r="116" spans="1:37" s="511" customFormat="1" ht="15.6" customHeight="1" x14ac:dyDescent="0.25">
      <c r="A116" s="765" t="s">
        <v>501</v>
      </c>
      <c r="B116" s="214" t="s">
        <v>380</v>
      </c>
      <c r="C116" s="214" t="s">
        <v>526</v>
      </c>
      <c r="D116" s="214" t="s">
        <v>237</v>
      </c>
      <c r="E116" s="214" t="s">
        <v>532</v>
      </c>
      <c r="F116" s="214" t="s">
        <v>310</v>
      </c>
      <c r="G116" s="214" t="s">
        <v>533</v>
      </c>
      <c r="H116" s="214" t="s">
        <v>719</v>
      </c>
      <c r="I116" s="757" t="s">
        <v>770</v>
      </c>
      <c r="J116" s="214" t="s">
        <v>771</v>
      </c>
      <c r="K116" s="214">
        <v>165895</v>
      </c>
      <c r="L116" s="214" t="s">
        <v>334</v>
      </c>
      <c r="M116" s="214" t="s">
        <v>333</v>
      </c>
      <c r="N116" s="752">
        <v>97.915833000000006</v>
      </c>
      <c r="O116" s="752">
        <v>25.220278</v>
      </c>
      <c r="P116" s="729">
        <v>2404</v>
      </c>
      <c r="Q116" s="772">
        <v>160</v>
      </c>
      <c r="R116" s="772">
        <v>648</v>
      </c>
      <c r="S116" s="732">
        <f>IF(CampList[[#This Row],[HH]]&gt;0,CampList[[#This Row],[Total]]/CampList[[#This Row],[HH]],"NA")</f>
        <v>4.05</v>
      </c>
      <c r="T116" s="663" t="s">
        <v>514</v>
      </c>
      <c r="U116" s="722" t="s">
        <v>1193</v>
      </c>
      <c r="V116" s="663" t="s">
        <v>555</v>
      </c>
      <c r="W116" s="663" t="s">
        <v>858</v>
      </c>
      <c r="X116" s="754">
        <v>40848</v>
      </c>
      <c r="Y116" s="729">
        <v>3</v>
      </c>
      <c r="Z116" s="729" t="s">
        <v>1092</v>
      </c>
      <c r="AA116" s="752" t="s">
        <v>843</v>
      </c>
      <c r="AB116" s="752"/>
      <c r="AC116" s="744">
        <v>42565</v>
      </c>
      <c r="AD116" s="758" t="s">
        <v>1441</v>
      </c>
      <c r="AE116" s="759" t="s">
        <v>1079</v>
      </c>
      <c r="AF116" s="760">
        <f>IF(CampList[[#This Row],[Type of Accomodation]]="camp",MAX(0,CampList[[#This Row],[HH]]-SUMIF(Table_Shelter[Pcode],CampList[[#This Row],[CP_Pcode]],Table_Shelter[HH Covered])),0)</f>
        <v>0</v>
      </c>
      <c r="AG116" s="663"/>
      <c r="AH116" s="741">
        <f>MIN(CampList[[#This Row],[Shelter Gap]],CampList[[#This Row],[Land Status]])</f>
        <v>0</v>
      </c>
      <c r="AI116" s="760" t="str">
        <f ca="1">IFERROR(OFFSET(DistanceToCamp[Nearest Town],MATCH(CampList[[#This Row],[CP_Pcode]],DistanceToCamp[CP_Pcode],0)-1,0,1,1),"")</f>
        <v>Sadung Town</v>
      </c>
      <c r="AJ116" s="739">
        <f ca="1">IFERROR(OFFSET(DistanceToCamp[distance],MATCH(CampList[[#This Row],[CP_Pcode]],DistanceToCamp[CP_Pcode],0)-1,0,1,1),"")</f>
        <v>18.198335991626355</v>
      </c>
      <c r="AK116" s="761">
        <f ca="1">IFERROR(INT(CampList[[#This Row],[Distance]]/5)+1,"")</f>
        <v>4</v>
      </c>
    </row>
    <row r="117" spans="1:37" s="511" customFormat="1" ht="15.6" hidden="1" customHeight="1" x14ac:dyDescent="0.25">
      <c r="A117" s="656" t="s">
        <v>844</v>
      </c>
      <c r="B117" s="406" t="s">
        <v>380</v>
      </c>
      <c r="C117" s="406" t="s">
        <v>526</v>
      </c>
      <c r="D117" s="406" t="s">
        <v>237</v>
      </c>
      <c r="E117" s="406" t="s">
        <v>532</v>
      </c>
      <c r="F117" s="406" t="s">
        <v>310</v>
      </c>
      <c r="G117" s="406" t="s">
        <v>533</v>
      </c>
      <c r="H117" s="728" t="s">
        <v>719</v>
      </c>
      <c r="I117" s="406"/>
      <c r="J117" s="406"/>
      <c r="K117" s="406"/>
      <c r="L117" s="406" t="s">
        <v>358</v>
      </c>
      <c r="M117" s="406" t="s">
        <v>357</v>
      </c>
      <c r="N117" s="630">
        <v>97.837778</v>
      </c>
      <c r="O117" s="630">
        <v>25.273333000000001</v>
      </c>
      <c r="P117" s="729"/>
      <c r="Q117" s="730">
        <v>0</v>
      </c>
      <c r="R117" s="731">
        <v>0</v>
      </c>
      <c r="S117" s="732" t="str">
        <f>IF(CampList[[#This Row],[HH]]&gt;0,CampList[[#This Row],[Total]]/CampList[[#This Row],[HH]],"NA")</f>
        <v>NA</v>
      </c>
      <c r="T117" s="722" t="s">
        <v>514</v>
      </c>
      <c r="U117" s="726" t="s">
        <v>1193</v>
      </c>
      <c r="V117" s="722" t="s">
        <v>555</v>
      </c>
      <c r="W117" s="726"/>
      <c r="X117" s="733"/>
      <c r="Y117" s="729"/>
      <c r="Z117" s="734"/>
      <c r="AA117" s="735"/>
      <c r="AB117" s="736"/>
      <c r="AC117" s="737"/>
      <c r="AD117" s="656"/>
      <c r="AE117" s="755" t="s">
        <v>1009</v>
      </c>
      <c r="AF117" s="663">
        <f>IF(CampList[[#This Row],[Type of Accomodation]]="camp",MAX(0,CampList[[#This Row],[HH]]-SUMIF(Table_Shelter[Pcode],CampList[[#This Row],[CP_Pcode]],Table_Shelter[HH Covered])),0)</f>
        <v>0</v>
      </c>
      <c r="AG117" s="722"/>
      <c r="AH117" s="736">
        <f>MIN(CampList[[#This Row],[Shelter Gap]],CampList[[#This Row],[Land Status]])</f>
        <v>0</v>
      </c>
      <c r="AI117" s="722" t="str">
        <f ca="1">IFERROR(OFFSET(DistanceToCamp[Nearest Town],MATCH(CampList[[#This Row],[CP_Pcode]],DistanceToCamp[CP_Pcode],0)-1,0,1,1),"")</f>
        <v/>
      </c>
      <c r="AJ117" s="739" t="str">
        <f ca="1">IFERROR(OFFSET(DistanceToCamp[distance],MATCH(CampList[[#This Row],[CP_Pcode]],DistanceToCamp[CP_Pcode],0)-1,0,1,1),"")</f>
        <v/>
      </c>
      <c r="AK117" s="740" t="str">
        <f ca="1">IFERROR(INT(CampList[[#This Row],[Distance]]/5)+1,"")</f>
        <v/>
      </c>
    </row>
    <row r="118" spans="1:37" s="511" customFormat="1" ht="15.6" customHeight="1" x14ac:dyDescent="0.25">
      <c r="A118" s="764" t="s">
        <v>501</v>
      </c>
      <c r="B118" s="406" t="s">
        <v>380</v>
      </c>
      <c r="C118" s="406" t="s">
        <v>526</v>
      </c>
      <c r="D118" s="406" t="s">
        <v>237</v>
      </c>
      <c r="E118" s="406" t="s">
        <v>532</v>
      </c>
      <c r="F118" s="406" t="s">
        <v>310</v>
      </c>
      <c r="G118" s="406" t="s">
        <v>533</v>
      </c>
      <c r="H118" s="406" t="s">
        <v>771</v>
      </c>
      <c r="I118" s="406" t="s">
        <v>770</v>
      </c>
      <c r="J118" s="751" t="s">
        <v>1397</v>
      </c>
      <c r="K118" s="751"/>
      <c r="L118" s="406" t="s">
        <v>336</v>
      </c>
      <c r="M118" s="406" t="s">
        <v>335</v>
      </c>
      <c r="N118" s="630">
        <v>97.807182999999995</v>
      </c>
      <c r="O118" s="630">
        <v>25.200333000000001</v>
      </c>
      <c r="P118" s="741">
        <v>1023</v>
      </c>
      <c r="Q118" s="663">
        <v>146</v>
      </c>
      <c r="R118" s="663">
        <v>1072</v>
      </c>
      <c r="S118" s="732">
        <f>IF(CampList[[#This Row],[HH]]&gt;0,CampList[[#This Row],[Total]]/CampList[[#This Row],[HH]],"NA")</f>
        <v>7.3424657534246576</v>
      </c>
      <c r="T118" s="722" t="s">
        <v>514</v>
      </c>
      <c r="U118" s="726" t="s">
        <v>1193</v>
      </c>
      <c r="V118" s="722" t="s">
        <v>555</v>
      </c>
      <c r="W118" s="722" t="s">
        <v>857</v>
      </c>
      <c r="X118" s="742">
        <v>40878</v>
      </c>
      <c r="Y118" s="743">
        <v>3</v>
      </c>
      <c r="Z118" s="742" t="s">
        <v>461</v>
      </c>
      <c r="AA118" s="735" t="s">
        <v>843</v>
      </c>
      <c r="AB118" s="736"/>
      <c r="AC118" s="744">
        <v>42569</v>
      </c>
      <c r="AD118" s="656" t="s">
        <v>1473</v>
      </c>
      <c r="AE118" s="759" t="s">
        <v>1079</v>
      </c>
      <c r="AF118" s="663">
        <f>IF(CampList[[#This Row],[Type of Accomodation]]="camp",MAX(0,CampList[[#This Row],[HH]]-SUMIF(Table_Shelter[Pcode],CampList[[#This Row],[CP_Pcode]],Table_Shelter[HH Covered])),0)</f>
        <v>46</v>
      </c>
      <c r="AG118" s="722"/>
      <c r="AH118" s="736">
        <f>MIN(CampList[[#This Row],[Shelter Gap]],CampList[[#This Row],[Land Status]])</f>
        <v>46</v>
      </c>
      <c r="AI118" s="722" t="str">
        <f ca="1">IFERROR(OFFSET(DistanceToCamp[Nearest Town],MATCH(CampList[[#This Row],[CP_Pcode]],DistanceToCamp[CP_Pcode],0)-1,0,1,1),"")</f>
        <v>Sadung Town</v>
      </c>
      <c r="AJ118" s="739">
        <f ca="1">IFERROR(OFFSET(DistanceToCamp[distance],MATCH(CampList[[#This Row],[CP_Pcode]],DistanceToCamp[CP_Pcode],0)-1,0,1,1),"")</f>
        <v>21.287604662770121</v>
      </c>
      <c r="AK118" s="740">
        <f ca="1">IFERROR(INT(CampList[[#This Row],[Distance]]/5)+1,"")</f>
        <v>5</v>
      </c>
    </row>
    <row r="119" spans="1:37" s="511" customFormat="1" ht="15.6" customHeight="1" x14ac:dyDescent="0.25">
      <c r="A119" s="765" t="s">
        <v>501</v>
      </c>
      <c r="B119" s="214" t="s">
        <v>380</v>
      </c>
      <c r="C119" s="214" t="s">
        <v>526</v>
      </c>
      <c r="D119" s="214" t="s">
        <v>237</v>
      </c>
      <c r="E119" s="214" t="s">
        <v>532</v>
      </c>
      <c r="F119" s="214" t="s">
        <v>310</v>
      </c>
      <c r="G119" s="214" t="s">
        <v>533</v>
      </c>
      <c r="H119" s="214" t="s">
        <v>728</v>
      </c>
      <c r="I119" s="757" t="s">
        <v>729</v>
      </c>
      <c r="J119" s="214" t="s">
        <v>728</v>
      </c>
      <c r="K119" s="214">
        <v>165772</v>
      </c>
      <c r="L119" s="214" t="s">
        <v>353</v>
      </c>
      <c r="M119" s="214" t="s">
        <v>352</v>
      </c>
      <c r="N119" s="752">
        <v>97.546893999999995</v>
      </c>
      <c r="O119" s="752">
        <v>24.755253</v>
      </c>
      <c r="P119" s="729">
        <v>316</v>
      </c>
      <c r="Q119" s="663">
        <v>1355</v>
      </c>
      <c r="R119" s="755">
        <v>6602</v>
      </c>
      <c r="S119" s="732">
        <f>IF(CampList[[#This Row],[HH]]&gt;0,CampList[[#This Row],[Total]]/CampList[[#This Row],[HH]],"NA")</f>
        <v>4.8723247232472326</v>
      </c>
      <c r="T119" s="663" t="s">
        <v>514</v>
      </c>
      <c r="U119" s="722" t="s">
        <v>1193</v>
      </c>
      <c r="V119" s="663" t="s">
        <v>555</v>
      </c>
      <c r="W119" s="663" t="s">
        <v>804</v>
      </c>
      <c r="X119" s="754">
        <v>40695</v>
      </c>
      <c r="Y119" s="729">
        <v>5</v>
      </c>
      <c r="Z119" s="729" t="s">
        <v>1092</v>
      </c>
      <c r="AA119" s="752" t="s">
        <v>573</v>
      </c>
      <c r="AB119" s="752"/>
      <c r="AC119" s="744">
        <v>42565</v>
      </c>
      <c r="AD119" s="758" t="s">
        <v>1437</v>
      </c>
      <c r="AE119" s="759" t="s">
        <v>1095</v>
      </c>
      <c r="AF119" s="760">
        <f>IF(CampList[[#This Row],[Type of Accomodation]]="camp",MAX(0,CampList[[#This Row],[HH]]-SUMIF(Table_Shelter[Pcode],CampList[[#This Row],[CP_Pcode]],Table_Shelter[HH Covered])),0)</f>
        <v>1195</v>
      </c>
      <c r="AG119" s="663"/>
      <c r="AH119" s="741">
        <f>MIN(CampList[[#This Row],[Shelter Gap]],CampList[[#This Row],[Land Status]])</f>
        <v>1195</v>
      </c>
      <c r="AI119" s="760" t="str">
        <f ca="1">IFERROR(OFFSET(DistanceToCamp[Nearest Town],MATCH(CampList[[#This Row],[CP_Pcode]],DistanceToCamp[CP_Pcode],0)-1,0,1,1),"")</f>
        <v>Laiza town</v>
      </c>
      <c r="AJ119" s="739">
        <f ca="1">IFERROR(OFFSET(DistanceToCamp[distance],MATCH(CampList[[#This Row],[CP_Pcode]],DistanceToCamp[CP_Pcode],0)-1,0,1,1),"")</f>
        <v>1.7420415164460403</v>
      </c>
      <c r="AK119" s="761">
        <f ca="1">IFERROR(INT(CampList[[#This Row],[Distance]]/5)+1,"")</f>
        <v>1</v>
      </c>
    </row>
    <row r="120" spans="1:37" s="511" customFormat="1" ht="15.6" hidden="1" customHeight="1" x14ac:dyDescent="0.25">
      <c r="A120" s="656" t="s">
        <v>844</v>
      </c>
      <c r="B120" s="406" t="s">
        <v>380</v>
      </c>
      <c r="C120" s="406" t="s">
        <v>526</v>
      </c>
      <c r="D120" s="406" t="s">
        <v>237</v>
      </c>
      <c r="E120" s="406" t="s">
        <v>532</v>
      </c>
      <c r="F120" s="406" t="s">
        <v>310</v>
      </c>
      <c r="G120" s="406" t="s">
        <v>533</v>
      </c>
      <c r="H120" s="728" t="s">
        <v>728</v>
      </c>
      <c r="I120" s="728" t="s">
        <v>729</v>
      </c>
      <c r="J120" s="728" t="s">
        <v>728</v>
      </c>
      <c r="K120" s="728">
        <v>165772</v>
      </c>
      <c r="L120" s="406" t="s">
        <v>1251</v>
      </c>
      <c r="M120" s="406" t="s">
        <v>314</v>
      </c>
      <c r="N120" s="630">
        <v>97.551507000000001</v>
      </c>
      <c r="O120" s="630">
        <v>24.747212999999999</v>
      </c>
      <c r="P120" s="747">
        <v>221</v>
      </c>
      <c r="Q120" s="730">
        <v>0</v>
      </c>
      <c r="R120" s="731">
        <v>0</v>
      </c>
      <c r="S120" s="732" t="str">
        <f>IF(CampList[[#This Row],[HH]]&gt;0,CampList[[#This Row],[Total]]/CampList[[#This Row],[HH]],"NA")</f>
        <v>NA</v>
      </c>
      <c r="T120" s="722" t="s">
        <v>514</v>
      </c>
      <c r="U120" s="726" t="s">
        <v>1193</v>
      </c>
      <c r="V120" s="722" t="s">
        <v>555</v>
      </c>
      <c r="W120" s="726" t="s">
        <v>857</v>
      </c>
      <c r="X120" s="742">
        <v>40695</v>
      </c>
      <c r="Y120" s="743">
        <v>3</v>
      </c>
      <c r="Z120" s="742" t="s">
        <v>1092</v>
      </c>
      <c r="AA120" s="735" t="s">
        <v>843</v>
      </c>
      <c r="AB120" s="736"/>
      <c r="AC120" s="744">
        <v>42180</v>
      </c>
      <c r="AD120" s="656" t="s">
        <v>1266</v>
      </c>
      <c r="AE120" s="759" t="s">
        <v>1080</v>
      </c>
      <c r="AF120" s="663">
        <f>IF(CampList[[#This Row],[Type of Accomodation]]="camp",MAX(0,CampList[[#This Row],[HH]]-SUMIF(Table_Shelter[Pcode],CampList[[#This Row],[CP_Pcode]],Table_Shelter[HH Covered])),0)</f>
        <v>0</v>
      </c>
      <c r="AG120" s="722">
        <v>0</v>
      </c>
      <c r="AH120" s="736">
        <f>MIN(CampList[[#This Row],[Shelter Gap]],CampList[[#This Row],[Land Status]])</f>
        <v>0</v>
      </c>
      <c r="AI120" s="722" t="str">
        <f ca="1">IFERROR(OFFSET(DistanceToCamp[Nearest Town],MATCH(CampList[[#This Row],[CP_Pcode]],DistanceToCamp[CP_Pcode],0)-1,0,1,1),"")</f>
        <v>Laiza town</v>
      </c>
      <c r="AJ120" s="739">
        <f ca="1">IFERROR(OFFSET(DistanceToCamp[distance],MATCH(CampList[[#This Row],[CP_Pcode]],DistanceToCamp[CP_Pcode],0)-1,0,1,1),"")</f>
        <v>1.857513522619473</v>
      </c>
      <c r="AK120" s="740">
        <f ca="1">IFERROR(INT(CampList[[#This Row],[Distance]]/5)+1,"")</f>
        <v>1</v>
      </c>
    </row>
    <row r="121" spans="1:37" s="511" customFormat="1" ht="15.6" hidden="1" customHeight="1" x14ac:dyDescent="0.25">
      <c r="A121" s="656" t="s">
        <v>844</v>
      </c>
      <c r="B121" s="406" t="s">
        <v>380</v>
      </c>
      <c r="C121" s="406" t="s">
        <v>526</v>
      </c>
      <c r="D121" s="406" t="s">
        <v>237</v>
      </c>
      <c r="E121" s="406" t="s">
        <v>532</v>
      </c>
      <c r="F121" s="406" t="s">
        <v>310</v>
      </c>
      <c r="G121" s="406" t="s">
        <v>533</v>
      </c>
      <c r="H121" s="728" t="s">
        <v>728</v>
      </c>
      <c r="I121" s="728" t="s">
        <v>729</v>
      </c>
      <c r="J121" s="728" t="s">
        <v>728</v>
      </c>
      <c r="K121" s="728">
        <v>165772</v>
      </c>
      <c r="L121" s="406" t="s">
        <v>332</v>
      </c>
      <c r="M121" s="406" t="s">
        <v>331</v>
      </c>
      <c r="N121" s="630">
        <v>97.550267000000005</v>
      </c>
      <c r="O121" s="630">
        <v>24.747966999999999</v>
      </c>
      <c r="P121" s="729"/>
      <c r="Q121" s="730">
        <v>0</v>
      </c>
      <c r="R121" s="731">
        <v>0</v>
      </c>
      <c r="S121" s="732" t="str">
        <f>IF(CampList[[#This Row],[HH]]&gt;0,CampList[[#This Row],[Total]]/CampList[[#This Row],[HH]],"NA")</f>
        <v>NA</v>
      </c>
      <c r="T121" s="722" t="s">
        <v>512</v>
      </c>
      <c r="U121" s="726" t="s">
        <v>1193</v>
      </c>
      <c r="V121" s="722" t="s">
        <v>555</v>
      </c>
      <c r="W121" s="726"/>
      <c r="X121" s="733"/>
      <c r="Y121" s="729"/>
      <c r="Z121" s="734"/>
      <c r="AA121" s="735"/>
      <c r="AB121" s="736"/>
      <c r="AC121" s="737"/>
      <c r="AD121" s="656" t="s">
        <v>845</v>
      </c>
      <c r="AE121" s="755" t="s">
        <v>1009</v>
      </c>
      <c r="AF121" s="663">
        <f>IF(CampList[[#This Row],[Type of Accomodation]]="camp",MAX(0,CampList[[#This Row],[HH]]-SUMIF(Table_Shelter[Pcode],CampList[[#This Row],[CP_Pcode]],Table_Shelter[HH Covered])),0)</f>
        <v>0</v>
      </c>
      <c r="AG121" s="722"/>
      <c r="AH121" s="736">
        <f>MIN(CampList[[#This Row],[Shelter Gap]],CampList[[#This Row],[Land Status]])</f>
        <v>0</v>
      </c>
      <c r="AI121" s="722" t="str">
        <f ca="1">IFERROR(OFFSET(DistanceToCamp[Nearest Town],MATCH(CampList[[#This Row],[CP_Pcode]],DistanceToCamp[CP_Pcode],0)-1,0,1,1),"")</f>
        <v/>
      </c>
      <c r="AJ121" s="739" t="str">
        <f ca="1">IFERROR(OFFSET(DistanceToCamp[distance],MATCH(CampList[[#This Row],[CP_Pcode]],DistanceToCamp[CP_Pcode],0)-1,0,1,1),"")</f>
        <v/>
      </c>
      <c r="AK121" s="740" t="str">
        <f ca="1">IFERROR(INT(CampList[[#This Row],[Distance]]/5)+1,"")</f>
        <v/>
      </c>
    </row>
    <row r="122" spans="1:37" s="511" customFormat="1" ht="15.6" customHeight="1" x14ac:dyDescent="0.25">
      <c r="A122" s="765" t="s">
        <v>501</v>
      </c>
      <c r="B122" s="214" t="s">
        <v>380</v>
      </c>
      <c r="C122" s="214" t="s">
        <v>526</v>
      </c>
      <c r="D122" s="214" t="s">
        <v>237</v>
      </c>
      <c r="E122" s="214" t="s">
        <v>532</v>
      </c>
      <c r="F122" s="214" t="s">
        <v>310</v>
      </c>
      <c r="G122" s="214" t="s">
        <v>533</v>
      </c>
      <c r="H122" s="214" t="s">
        <v>756</v>
      </c>
      <c r="I122" s="757" t="s">
        <v>757</v>
      </c>
      <c r="J122" s="214" t="s">
        <v>758</v>
      </c>
      <c r="K122" s="214">
        <v>165790</v>
      </c>
      <c r="L122" s="214" t="s">
        <v>322</v>
      </c>
      <c r="M122" s="214" t="s">
        <v>321</v>
      </c>
      <c r="N122" s="752">
        <v>97.715230000000005</v>
      </c>
      <c r="O122" s="752">
        <v>24.980250000000002</v>
      </c>
      <c r="P122" s="729">
        <v>984</v>
      </c>
      <c r="Q122" s="663">
        <v>586</v>
      </c>
      <c r="R122" s="755">
        <v>2574</v>
      </c>
      <c r="S122" s="732">
        <f>IF(CampList[[#This Row],[HH]]&gt;0,CampList[[#This Row],[Total]]/CampList[[#This Row],[HH]],"NA")</f>
        <v>4.3924914675767921</v>
      </c>
      <c r="T122" s="663" t="s">
        <v>514</v>
      </c>
      <c r="U122" s="722" t="s">
        <v>1193</v>
      </c>
      <c r="V122" s="663" t="s">
        <v>555</v>
      </c>
      <c r="W122" s="663" t="s">
        <v>857</v>
      </c>
      <c r="X122" s="754">
        <v>40695</v>
      </c>
      <c r="Y122" s="729">
        <v>5</v>
      </c>
      <c r="Z122" s="729" t="s">
        <v>1092</v>
      </c>
      <c r="AA122" s="752" t="s">
        <v>843</v>
      </c>
      <c r="AB122" s="752"/>
      <c r="AC122" s="744">
        <v>42565</v>
      </c>
      <c r="AD122" s="758" t="s">
        <v>1438</v>
      </c>
      <c r="AE122" s="759" t="s">
        <v>1080</v>
      </c>
      <c r="AF122" s="760">
        <f>IF(CampList[[#This Row],[Type of Accomodation]]="camp",MAX(0,CampList[[#This Row],[HH]]-SUMIF(Table_Shelter[Pcode],CampList[[#This Row],[CP_Pcode]],Table_Shelter[HH Covered])),0)</f>
        <v>0</v>
      </c>
      <c r="AG122" s="663"/>
      <c r="AH122" s="741">
        <f>MIN(CampList[[#This Row],[Shelter Gap]],CampList[[#This Row],[Land Status]])</f>
        <v>0</v>
      </c>
      <c r="AI122" s="760" t="str">
        <f ca="1">IFERROR(OFFSET(DistanceToCamp[Nearest Town],MATCH(CampList[[#This Row],[CP_Pcode]],DistanceToCamp[CP_Pcode],0)-1,0,1,1),"")</f>
        <v>Laiza town</v>
      </c>
      <c r="AJ122" s="739">
        <f ca="1">IFERROR(OFFSET(DistanceToCamp[distance],MATCH(CampList[[#This Row],[CP_Pcode]],DistanceToCamp[CP_Pcode],0)-1,0,1,1),"")</f>
        <v>28.888856599204185</v>
      </c>
      <c r="AK122" s="761">
        <f ca="1">IFERROR(INT(CampList[[#This Row],[Distance]]/5)+1,"")</f>
        <v>6</v>
      </c>
    </row>
    <row r="123" spans="1:37" s="511" customFormat="1" ht="15.6" customHeight="1" x14ac:dyDescent="0.25">
      <c r="A123" s="764" t="s">
        <v>501</v>
      </c>
      <c r="B123" s="406" t="s">
        <v>380</v>
      </c>
      <c r="C123" s="406" t="s">
        <v>526</v>
      </c>
      <c r="D123" s="406" t="s">
        <v>237</v>
      </c>
      <c r="E123" s="406" t="s">
        <v>532</v>
      </c>
      <c r="F123" s="406" t="s">
        <v>310</v>
      </c>
      <c r="G123" s="406" t="s">
        <v>533</v>
      </c>
      <c r="H123" s="406" t="s">
        <v>756</v>
      </c>
      <c r="I123" s="406" t="s">
        <v>757</v>
      </c>
      <c r="J123" s="771" t="s">
        <v>1423</v>
      </c>
      <c r="K123" s="771">
        <v>165792</v>
      </c>
      <c r="L123" s="406" t="s">
        <v>1246</v>
      </c>
      <c r="M123" s="406" t="s">
        <v>345</v>
      </c>
      <c r="N123" s="630">
        <v>97.751389000000003</v>
      </c>
      <c r="O123" s="630">
        <v>24.831944</v>
      </c>
      <c r="P123" s="741">
        <v>2330</v>
      </c>
      <c r="Q123" s="663">
        <v>177</v>
      </c>
      <c r="R123" s="663">
        <v>844</v>
      </c>
      <c r="S123" s="732">
        <f>IF(CampList[[#This Row],[HH]]&gt;0,CampList[[#This Row],[Total]]/CampList[[#This Row],[HH]],"NA")</f>
        <v>4.768361581920904</v>
      </c>
      <c r="T123" s="722" t="s">
        <v>514</v>
      </c>
      <c r="U123" s="726" t="s">
        <v>1193</v>
      </c>
      <c r="V123" s="722" t="s">
        <v>555</v>
      </c>
      <c r="W123" s="726" t="s">
        <v>857</v>
      </c>
      <c r="X123" s="742">
        <v>40725</v>
      </c>
      <c r="Y123" s="743">
        <v>3</v>
      </c>
      <c r="Z123" s="742" t="s">
        <v>461</v>
      </c>
      <c r="AA123" s="736" t="s">
        <v>843</v>
      </c>
      <c r="AB123" s="736"/>
      <c r="AC123" s="744">
        <v>42569</v>
      </c>
      <c r="AD123" s="728" t="s">
        <v>1474</v>
      </c>
      <c r="AE123" s="759" t="s">
        <v>1079</v>
      </c>
      <c r="AF123" s="663">
        <f>IF(CampList[[#This Row],[Type of Accomodation]]="camp",MAX(0,CampList[[#This Row],[HH]]-SUMIF(Table_Shelter[Pcode],CampList[[#This Row],[CP_Pcode]],Table_Shelter[HH Covered])),0)</f>
        <v>142</v>
      </c>
      <c r="AG123" s="663"/>
      <c r="AH123" s="736">
        <f>MIN(CampList[[#This Row],[Shelter Gap]],CampList[[#This Row],[Land Status]])</f>
        <v>142</v>
      </c>
      <c r="AI123" s="722" t="str">
        <f ca="1">IFERROR(OFFSET(DistanceToCamp[Nearest Town],MATCH(CampList[[#This Row],[CP_Pcode]],DistanceToCamp[CP_Pcode],0)-1,0,1,1),"")</f>
        <v>Laiza town</v>
      </c>
      <c r="AJ123" s="739">
        <f ca="1">IFERROR(OFFSET(DistanceToCamp[distance],MATCH(CampList[[#This Row],[CP_Pcode]],DistanceToCamp[CP_Pcode],0)-1,0,1,1),"")</f>
        <v>20.599512012485512</v>
      </c>
      <c r="AK123" s="740">
        <f ca="1">IFERROR(INT(CampList[[#This Row],[Distance]]/5)+1,"")</f>
        <v>5</v>
      </c>
    </row>
    <row r="124" spans="1:37" s="511" customFormat="1" ht="15.6" customHeight="1" x14ac:dyDescent="0.25">
      <c r="A124" s="756" t="s">
        <v>501</v>
      </c>
      <c r="B124" s="214" t="s">
        <v>380</v>
      </c>
      <c r="C124" s="214" t="s">
        <v>526</v>
      </c>
      <c r="D124" s="214" t="s">
        <v>5</v>
      </c>
      <c r="E124" s="214" t="s">
        <v>530</v>
      </c>
      <c r="F124" s="214" t="s">
        <v>310</v>
      </c>
      <c r="G124" s="214" t="s">
        <v>533</v>
      </c>
      <c r="H124" s="214" t="s">
        <v>765</v>
      </c>
      <c r="I124" s="757" t="s">
        <v>766</v>
      </c>
      <c r="J124" s="214" t="s">
        <v>803</v>
      </c>
      <c r="K124" s="214">
        <v>165816</v>
      </c>
      <c r="L124" s="214" t="s">
        <v>196</v>
      </c>
      <c r="M124" s="214" t="s">
        <v>195</v>
      </c>
      <c r="N124" s="752">
        <v>97.568331999999998</v>
      </c>
      <c r="O124" s="752">
        <v>24.688338999999999</v>
      </c>
      <c r="P124" s="729">
        <v>314</v>
      </c>
      <c r="Q124" s="663">
        <v>1658</v>
      </c>
      <c r="R124" s="755">
        <v>8585</v>
      </c>
      <c r="S124" s="732">
        <f>IF(CampList[[#This Row],[HH]]&gt;0,CampList[[#This Row],[Total]]/CampList[[#This Row],[HH]],"NA")</f>
        <v>5.1779252110977083</v>
      </c>
      <c r="T124" s="663" t="s">
        <v>514</v>
      </c>
      <c r="U124" s="722" t="s">
        <v>1193</v>
      </c>
      <c r="V124" s="663" t="s">
        <v>555</v>
      </c>
      <c r="W124" s="663" t="s">
        <v>857</v>
      </c>
      <c r="X124" s="754">
        <v>41061</v>
      </c>
      <c r="Y124" s="729">
        <v>7</v>
      </c>
      <c r="Z124" s="729" t="s">
        <v>1092</v>
      </c>
      <c r="AA124" s="752" t="s">
        <v>843</v>
      </c>
      <c r="AB124" s="752"/>
      <c r="AC124" s="744">
        <v>42565</v>
      </c>
      <c r="AD124" s="758" t="s">
        <v>1439</v>
      </c>
      <c r="AE124" s="759" t="s">
        <v>1080</v>
      </c>
      <c r="AF124" s="760">
        <f>IF(CampList[[#This Row],[Type of Accomodation]]="camp",MAX(0,CampList[[#This Row],[HH]]-SUMIF(Table_Shelter[Pcode],CampList[[#This Row],[CP_Pcode]],Table_Shelter[HH Covered])),0)</f>
        <v>463</v>
      </c>
      <c r="AG124" s="663"/>
      <c r="AH124" s="741">
        <f>MIN(CampList[[#This Row],[Shelter Gap]],CampList[[#This Row],[Land Status]])</f>
        <v>463</v>
      </c>
      <c r="AI124" s="760" t="str">
        <f ca="1">IFERROR(OFFSET(DistanceToCamp[Nearest Town],MATCH(CampList[[#This Row],[CP_Pcode]],DistanceToCamp[CP_Pcode],0)-1,0,1,1),"")</f>
        <v>Laiza town</v>
      </c>
      <c r="AJ124" s="739">
        <f ca="1">IFERROR(OFFSET(DistanceToCamp[distance],MATCH(CampList[[#This Row],[CP_Pcode]],DistanceToCamp[CP_Pcode],0)-1,0,1,1),"")</f>
        <v>7.985347533011188</v>
      </c>
      <c r="AK124" s="761">
        <f ca="1">IFERROR(INT(CampList[[#This Row],[Distance]]/5)+1,"")</f>
        <v>2</v>
      </c>
    </row>
    <row r="125" spans="1:37" s="511" customFormat="1" ht="15.6" customHeight="1" x14ac:dyDescent="0.25">
      <c r="A125" s="756" t="s">
        <v>501</v>
      </c>
      <c r="B125" s="214" t="s">
        <v>380</v>
      </c>
      <c r="C125" s="214" t="s">
        <v>526</v>
      </c>
      <c r="D125" s="214" t="s">
        <v>5</v>
      </c>
      <c r="E125" s="214" t="s">
        <v>530</v>
      </c>
      <c r="F125" s="214" t="s">
        <v>185</v>
      </c>
      <c r="G125" s="214" t="s">
        <v>534</v>
      </c>
      <c r="H125" s="214" t="s">
        <v>735</v>
      </c>
      <c r="I125" s="757" t="s">
        <v>736</v>
      </c>
      <c r="J125" s="214" t="s">
        <v>737</v>
      </c>
      <c r="K125" s="214">
        <v>167223</v>
      </c>
      <c r="L125" s="214" t="s">
        <v>194</v>
      </c>
      <c r="M125" s="214" t="s">
        <v>193</v>
      </c>
      <c r="N125" s="752">
        <v>97.573126000000002</v>
      </c>
      <c r="O125" s="752">
        <v>24.661905999999998</v>
      </c>
      <c r="P125" s="729">
        <v>415</v>
      </c>
      <c r="Q125" s="663">
        <v>604</v>
      </c>
      <c r="R125" s="755">
        <v>2888</v>
      </c>
      <c r="S125" s="732">
        <f>IF(CampList[[#This Row],[HH]]&gt;0,CampList[[#This Row],[Total]]/CampList[[#This Row],[HH]],"NA")</f>
        <v>4.7814569536423841</v>
      </c>
      <c r="T125" s="663" t="s">
        <v>514</v>
      </c>
      <c r="U125" s="722" t="s">
        <v>1193</v>
      </c>
      <c r="V125" s="663" t="s">
        <v>555</v>
      </c>
      <c r="W125" s="663" t="s">
        <v>857</v>
      </c>
      <c r="X125" s="754">
        <v>40695</v>
      </c>
      <c r="Y125" s="729">
        <v>5</v>
      </c>
      <c r="Z125" s="729" t="s">
        <v>1092</v>
      </c>
      <c r="AA125" s="752" t="s">
        <v>573</v>
      </c>
      <c r="AB125" s="752"/>
      <c r="AC125" s="744">
        <v>42565</v>
      </c>
      <c r="AD125" s="758" t="s">
        <v>1431</v>
      </c>
      <c r="AE125" s="759" t="s">
        <v>1080</v>
      </c>
      <c r="AF125" s="760">
        <f>IF(CampList[[#This Row],[Type of Accomodation]]="camp",MAX(0,CampList[[#This Row],[HH]]-SUMIF(Table_Shelter[Pcode],CampList[[#This Row],[CP_Pcode]],Table_Shelter[HH Covered])),0)</f>
        <v>0</v>
      </c>
      <c r="AG125" s="663"/>
      <c r="AH125" s="741">
        <f>MIN(CampList[[#This Row],[Shelter Gap]],CampList[[#This Row],[Land Status]])</f>
        <v>0</v>
      </c>
      <c r="AI125" s="760" t="str">
        <f ca="1">IFERROR(OFFSET(DistanceToCamp[Nearest Town],MATCH(CampList[[#This Row],[CP_Pcode]],DistanceToCamp[CP_Pcode],0)-1,0,1,1),"")</f>
        <v>Laiza town</v>
      </c>
      <c r="AJ125" s="739">
        <f ca="1">IFERROR(OFFSET(DistanceToCamp[distance],MATCH(CampList[[#This Row],[CP_Pcode]],DistanceToCamp[CP_Pcode],0)-1,0,1,1),"")</f>
        <v>10.953347686331073</v>
      </c>
      <c r="AK125" s="761">
        <f ca="1">IFERROR(INT(CampList[[#This Row],[Distance]]/5)+1,"")</f>
        <v>3</v>
      </c>
    </row>
    <row r="126" spans="1:37" s="511" customFormat="1" ht="15.6" customHeight="1" x14ac:dyDescent="0.25">
      <c r="A126" s="756" t="s">
        <v>501</v>
      </c>
      <c r="B126" s="214" t="s">
        <v>380</v>
      </c>
      <c r="C126" s="214" t="s">
        <v>526</v>
      </c>
      <c r="D126" s="214" t="s">
        <v>5</v>
      </c>
      <c r="E126" s="214" t="s">
        <v>530</v>
      </c>
      <c r="F126" s="214" t="s">
        <v>185</v>
      </c>
      <c r="G126" s="214" t="s">
        <v>534</v>
      </c>
      <c r="H126" s="214" t="s">
        <v>726</v>
      </c>
      <c r="I126" s="757" t="s">
        <v>727</v>
      </c>
      <c r="J126" s="214" t="s">
        <v>575</v>
      </c>
      <c r="K126" s="214">
        <v>167343</v>
      </c>
      <c r="L126" s="214" t="s">
        <v>192</v>
      </c>
      <c r="M126" s="214" t="s">
        <v>191</v>
      </c>
      <c r="N126" s="752">
        <v>97.537099999999995</v>
      </c>
      <c r="O126" s="752">
        <v>24.461033</v>
      </c>
      <c r="P126" s="729">
        <v>360</v>
      </c>
      <c r="Q126" s="772">
        <v>116</v>
      </c>
      <c r="R126" s="772">
        <v>602</v>
      </c>
      <c r="S126" s="732">
        <f>IF(CampList[[#This Row],[HH]]&gt;0,CampList[[#This Row],[Total]]/CampList[[#This Row],[HH]],"NA")</f>
        <v>5.1896551724137927</v>
      </c>
      <c r="T126" s="663" t="s">
        <v>514</v>
      </c>
      <c r="U126" s="722" t="s">
        <v>1193</v>
      </c>
      <c r="V126" s="663" t="s">
        <v>555</v>
      </c>
      <c r="W126" s="663" t="s">
        <v>858</v>
      </c>
      <c r="X126" s="754">
        <v>40756</v>
      </c>
      <c r="Y126" s="729">
        <v>4</v>
      </c>
      <c r="Z126" s="729" t="s">
        <v>1092</v>
      </c>
      <c r="AA126" s="752" t="s">
        <v>843</v>
      </c>
      <c r="AB126" s="752"/>
      <c r="AC126" s="744">
        <v>42565</v>
      </c>
      <c r="AD126" s="758" t="s">
        <v>1432</v>
      </c>
      <c r="AE126" s="759" t="s">
        <v>1080</v>
      </c>
      <c r="AF126" s="760">
        <f>IF(CampList[[#This Row],[Type of Accomodation]]="camp",MAX(0,CampList[[#This Row],[HH]]-SUMIF(Table_Shelter[Pcode],CampList[[#This Row],[CP_Pcode]],Table_Shelter[HH Covered])),0)</f>
        <v>0</v>
      </c>
      <c r="AG126" s="663"/>
      <c r="AH126" s="741">
        <f>MIN(CampList[[#This Row],[Shelter Gap]],CampList[[#This Row],[Land Status]])</f>
        <v>0</v>
      </c>
      <c r="AI126" s="760" t="str">
        <f ca="1">IFERROR(OFFSET(DistanceToCamp[Nearest Town],MATCH(CampList[[#This Row],[CP_Pcode]],DistanceToCamp[CP_Pcode],0)-1,0,1,1),"")</f>
        <v>Dawthponeyan  Town</v>
      </c>
      <c r="AJ126" s="739">
        <f ca="1">IFERROR(OFFSET(DistanceToCamp[distance],MATCH(CampList[[#This Row],[CP_Pcode]],DistanceToCamp[CP_Pcode],0)-1,0,1,1),"")</f>
        <v>18.65617244319267</v>
      </c>
      <c r="AK126" s="761">
        <f ca="1">IFERROR(INT(CampList[[#This Row],[Distance]]/5)+1,"")</f>
        <v>4</v>
      </c>
    </row>
    <row r="127" spans="1:37" s="511" customFormat="1" ht="15.6" customHeight="1" x14ac:dyDescent="0.25">
      <c r="A127" s="756" t="s">
        <v>501</v>
      </c>
      <c r="B127" s="214" t="s">
        <v>380</v>
      </c>
      <c r="C127" s="214" t="s">
        <v>526</v>
      </c>
      <c r="D127" s="214" t="s">
        <v>5</v>
      </c>
      <c r="E127" s="214" t="s">
        <v>530</v>
      </c>
      <c r="F127" s="214" t="s">
        <v>185</v>
      </c>
      <c r="G127" s="214" t="s">
        <v>534</v>
      </c>
      <c r="H127" s="214" t="s">
        <v>762</v>
      </c>
      <c r="I127" s="757" t="s">
        <v>763</v>
      </c>
      <c r="J127" s="214" t="s">
        <v>764</v>
      </c>
      <c r="K127" s="214">
        <v>216913</v>
      </c>
      <c r="L127" s="214" t="s">
        <v>219</v>
      </c>
      <c r="M127" s="214" t="s">
        <v>218</v>
      </c>
      <c r="N127" s="752">
        <v>97.752667000000002</v>
      </c>
      <c r="O127" s="752">
        <v>24.2744</v>
      </c>
      <c r="P127" s="729">
        <v>978</v>
      </c>
      <c r="Q127" s="663">
        <v>677</v>
      </c>
      <c r="R127" s="755">
        <v>3622</v>
      </c>
      <c r="S127" s="732">
        <f>IF(CampList[[#This Row],[HH]]&gt;0,CampList[[#This Row],[Total]]/CampList[[#This Row],[HH]],"NA")</f>
        <v>5.3500738552437221</v>
      </c>
      <c r="T127" s="663" t="s">
        <v>514</v>
      </c>
      <c r="U127" s="722" t="s">
        <v>1193</v>
      </c>
      <c r="V127" s="663" t="s">
        <v>555</v>
      </c>
      <c r="W127" s="663" t="s">
        <v>857</v>
      </c>
      <c r="X127" s="754">
        <v>41000</v>
      </c>
      <c r="Y127" s="729">
        <v>2</v>
      </c>
      <c r="Z127" s="729" t="s">
        <v>1091</v>
      </c>
      <c r="AA127" s="752" t="s">
        <v>843</v>
      </c>
      <c r="AB127" s="752"/>
      <c r="AC127" s="744">
        <v>42416</v>
      </c>
      <c r="AD127" s="758" t="s">
        <v>1525</v>
      </c>
      <c r="AE127" s="759" t="s">
        <v>1080</v>
      </c>
      <c r="AF127" s="760">
        <f>IF(CampList[[#This Row],[Type of Accomodation]]="camp",MAX(0,CampList[[#This Row],[HH]]-SUMIF(Table_Shelter[Pcode],CampList[[#This Row],[CP_Pcode]],Table_Shelter[HH Covered])),0)</f>
        <v>0</v>
      </c>
      <c r="AG127" s="663"/>
      <c r="AH127" s="741">
        <f>MIN(CampList[[#This Row],[Shelter Gap]],CampList[[#This Row],[Land Status]])</f>
        <v>0</v>
      </c>
      <c r="AI127" s="760" t="str">
        <f ca="1">IFERROR(OFFSET(DistanceToCamp[Nearest Town],MATCH(CampList[[#This Row],[CP_Pcode]],DistanceToCamp[CP_Pcode],0)-1,0,1,1),"")</f>
        <v>Lwegel Town</v>
      </c>
      <c r="AJ127" s="739">
        <f ca="1">IFERROR(OFFSET(DistanceToCamp[distance],MATCH(CampList[[#This Row],[CP_Pcode]],DistanceToCamp[CP_Pcode],0)-1,0,1,1),"")</f>
        <v>8.953204937938569</v>
      </c>
      <c r="AK127" s="761">
        <f ca="1">IFERROR(INT(CampList[[#This Row],[Distance]]/5)+1,"")</f>
        <v>2</v>
      </c>
    </row>
    <row r="128" spans="1:37" s="511" customFormat="1" ht="15.6" customHeight="1" x14ac:dyDescent="0.25">
      <c r="A128" s="756" t="s">
        <v>501</v>
      </c>
      <c r="B128" s="214" t="s">
        <v>380</v>
      </c>
      <c r="C128" s="214" t="s">
        <v>526</v>
      </c>
      <c r="D128" s="214" t="s">
        <v>5</v>
      </c>
      <c r="E128" s="214" t="s">
        <v>530</v>
      </c>
      <c r="F128" s="214" t="s">
        <v>151</v>
      </c>
      <c r="G128" s="214" t="s">
        <v>540</v>
      </c>
      <c r="H128" s="214" t="s">
        <v>744</v>
      </c>
      <c r="I128" s="757" t="s">
        <v>745</v>
      </c>
      <c r="J128" s="214" t="s">
        <v>746</v>
      </c>
      <c r="K128" s="214">
        <v>216948</v>
      </c>
      <c r="L128" s="214" t="s">
        <v>198</v>
      </c>
      <c r="M128" s="214" t="s">
        <v>197</v>
      </c>
      <c r="N128" s="752">
        <v>97.625617000000005</v>
      </c>
      <c r="O128" s="752">
        <v>24.056132999999999</v>
      </c>
      <c r="P128" s="729">
        <v>866</v>
      </c>
      <c r="Q128" s="663">
        <v>545</v>
      </c>
      <c r="R128" s="755">
        <v>2560</v>
      </c>
      <c r="S128" s="732">
        <f>IF(CampList[[#This Row],[HH]]&gt;0,CampList[[#This Row],[Total]]/CampList[[#This Row],[HH]],"NA")</f>
        <v>4.6972477064220186</v>
      </c>
      <c r="T128" s="663" t="s">
        <v>514</v>
      </c>
      <c r="U128" s="722" t="s">
        <v>1193</v>
      </c>
      <c r="V128" s="663" t="s">
        <v>555</v>
      </c>
      <c r="W128" s="663" t="s">
        <v>857</v>
      </c>
      <c r="X128" s="754">
        <v>40817</v>
      </c>
      <c r="Y128" s="729">
        <v>2</v>
      </c>
      <c r="Z128" s="729" t="s">
        <v>1091</v>
      </c>
      <c r="AA128" s="752" t="s">
        <v>843</v>
      </c>
      <c r="AB128" s="752"/>
      <c r="AC128" s="744">
        <v>42397</v>
      </c>
      <c r="AD128" s="758" t="s">
        <v>1333</v>
      </c>
      <c r="AE128" s="759" t="s">
        <v>1080</v>
      </c>
      <c r="AF128" s="760">
        <f>IF(CampList[[#This Row],[Type of Accomodation]]="camp",MAX(0,CampList[[#This Row],[HH]]-SUMIF(Table_Shelter[Pcode],CampList[[#This Row],[CP_Pcode]],Table_Shelter[HH Covered])),0)</f>
        <v>51</v>
      </c>
      <c r="AG128" s="663"/>
      <c r="AH128" s="741">
        <f>MIN(CampList[[#This Row],[Shelter Gap]],CampList[[#This Row],[Land Status]])</f>
        <v>51</v>
      </c>
      <c r="AI128" s="760" t="str">
        <f ca="1">IFERROR(OFFSET(DistanceToCamp[Nearest Town],MATCH(CampList[[#This Row],[CP_Pcode]],DistanceToCamp[CP_Pcode],0)-1,0,1,1),"")</f>
        <v>Lwegel Town</v>
      </c>
      <c r="AJ128" s="739">
        <f ca="1">IFERROR(OFFSET(DistanceToCamp[distance],MATCH(CampList[[#This Row],[CP_Pcode]],DistanceToCamp[CP_Pcode],0)-1,0,1,1),"")</f>
        <v>18.620903555062636</v>
      </c>
      <c r="AK128" s="761">
        <f ca="1">IFERROR(INT(CampList[[#This Row],[Distance]]/5)+1,"")</f>
        <v>4</v>
      </c>
    </row>
    <row r="129" spans="1:37" s="511" customFormat="1" ht="15.6" customHeight="1" x14ac:dyDescent="0.25">
      <c r="A129" s="656" t="s">
        <v>501</v>
      </c>
      <c r="B129" s="406" t="s">
        <v>380</v>
      </c>
      <c r="C129" s="406" t="s">
        <v>526</v>
      </c>
      <c r="D129" s="406" t="s">
        <v>5</v>
      </c>
      <c r="E129" s="406" t="s">
        <v>530</v>
      </c>
      <c r="F129" s="728" t="s">
        <v>151</v>
      </c>
      <c r="G129" s="728" t="s">
        <v>540</v>
      </c>
      <c r="H129" s="728" t="s">
        <v>740</v>
      </c>
      <c r="I129" s="728" t="s">
        <v>741</v>
      </c>
      <c r="J129" s="728" t="s">
        <v>740</v>
      </c>
      <c r="K129" s="728" t="s">
        <v>740</v>
      </c>
      <c r="L129" s="406" t="s">
        <v>188</v>
      </c>
      <c r="M129" s="406" t="s">
        <v>187</v>
      </c>
      <c r="N129" s="630">
        <v>97.609832999999995</v>
      </c>
      <c r="O129" s="630">
        <v>24.002433</v>
      </c>
      <c r="P129" s="747">
        <v>854</v>
      </c>
      <c r="Q129" s="730">
        <v>245</v>
      </c>
      <c r="R129" s="731">
        <v>1232</v>
      </c>
      <c r="S129" s="732">
        <f>IF(CampList[[#This Row],[HH]]&gt;0,CampList[[#This Row],[Total]]/CampList[[#This Row],[HH]],"NA")</f>
        <v>5.0285714285714285</v>
      </c>
      <c r="T129" s="722" t="s">
        <v>514</v>
      </c>
      <c r="U129" s="726" t="s">
        <v>1193</v>
      </c>
      <c r="V129" s="722" t="s">
        <v>555</v>
      </c>
      <c r="W129" s="726" t="s">
        <v>857</v>
      </c>
      <c r="X129" s="742">
        <v>40817</v>
      </c>
      <c r="Y129" s="743">
        <v>2</v>
      </c>
      <c r="Z129" s="742" t="s">
        <v>1091</v>
      </c>
      <c r="AA129" s="735" t="s">
        <v>843</v>
      </c>
      <c r="AB129" s="736"/>
      <c r="AC129" s="744">
        <v>42397</v>
      </c>
      <c r="AD129" s="656" t="s">
        <v>1331</v>
      </c>
      <c r="AE129" s="759" t="s">
        <v>1080</v>
      </c>
      <c r="AF129" s="663">
        <f>IF(CampList[[#This Row],[Type of Accomodation]]="camp",MAX(0,CampList[[#This Row],[HH]]-SUMIF(Table_Shelter[Pcode],CampList[[#This Row],[CP_Pcode]],Table_Shelter[HH Covered])),0)</f>
        <v>55</v>
      </c>
      <c r="AG129" s="722"/>
      <c r="AH129" s="736">
        <f>MIN(CampList[[#This Row],[Shelter Gap]],CampList[[#This Row],[Land Status]])</f>
        <v>55</v>
      </c>
      <c r="AI129" s="722" t="str">
        <f ca="1">IFERROR(OFFSET(DistanceToCamp[Nearest Town],MATCH(CampList[[#This Row],[CP_Pcode]],DistanceToCamp[CP_Pcode],0)-1,0,1,1),"")</f>
        <v>Namhkan Town</v>
      </c>
      <c r="AJ129" s="739">
        <f ca="1">IFERROR(OFFSET(DistanceToCamp[distance],MATCH(CampList[[#This Row],[CP_Pcode]],DistanceToCamp[CP_Pcode],0)-1,0,1,1),"")</f>
        <v>19.796407430638478</v>
      </c>
      <c r="AK129" s="740">
        <f ca="1">IFERROR(INT(CampList[[#This Row],[Distance]]/5)+1,"")</f>
        <v>4</v>
      </c>
    </row>
    <row r="130" spans="1:37" s="511" customFormat="1" ht="15.6" customHeight="1" x14ac:dyDescent="0.25">
      <c r="A130" s="756" t="s">
        <v>501</v>
      </c>
      <c r="B130" s="214" t="s">
        <v>380</v>
      </c>
      <c r="C130" s="214" t="s">
        <v>526</v>
      </c>
      <c r="D130" s="214" t="s">
        <v>5</v>
      </c>
      <c r="E130" s="214" t="s">
        <v>530</v>
      </c>
      <c r="F130" s="214" t="s">
        <v>185</v>
      </c>
      <c r="G130" s="214" t="s">
        <v>534</v>
      </c>
      <c r="H130" s="214" t="s">
        <v>747</v>
      </c>
      <c r="I130" s="757" t="s">
        <v>748</v>
      </c>
      <c r="J130" s="214" t="s">
        <v>749</v>
      </c>
      <c r="K130" s="214">
        <v>167138</v>
      </c>
      <c r="L130" s="214" t="s">
        <v>215</v>
      </c>
      <c r="M130" s="214" t="s">
        <v>214</v>
      </c>
      <c r="N130" s="752">
        <v>97.669366999999994</v>
      </c>
      <c r="O130" s="752">
        <v>24.378167000000001</v>
      </c>
      <c r="P130" s="753">
        <v>1149</v>
      </c>
      <c r="Q130" s="663">
        <v>375</v>
      </c>
      <c r="R130" s="755">
        <v>1598</v>
      </c>
      <c r="S130" s="732">
        <f>IF(CampList[[#This Row],[HH]]&gt;0,CampList[[#This Row],[Total]]/CampList[[#This Row],[HH]],"NA")</f>
        <v>4.261333333333333</v>
      </c>
      <c r="T130" s="663" t="s">
        <v>514</v>
      </c>
      <c r="U130" s="722" t="s">
        <v>1193</v>
      </c>
      <c r="V130" s="663" t="s">
        <v>555</v>
      </c>
      <c r="W130" s="663" t="s">
        <v>857</v>
      </c>
      <c r="X130" s="754">
        <v>41000</v>
      </c>
      <c r="Y130" s="729">
        <v>2</v>
      </c>
      <c r="Z130" s="729" t="s">
        <v>1091</v>
      </c>
      <c r="AA130" s="752" t="s">
        <v>843</v>
      </c>
      <c r="AB130" s="752"/>
      <c r="AC130" s="744">
        <v>42416</v>
      </c>
      <c r="AD130" s="758" t="s">
        <v>1339</v>
      </c>
      <c r="AE130" s="759" t="s">
        <v>1079</v>
      </c>
      <c r="AF130" s="760">
        <f>IF(CampList[[#This Row],[Type of Accomodation]]="camp",MAX(0,CampList[[#This Row],[HH]]-SUMIF(Table_Shelter[Pcode],CampList[[#This Row],[CP_Pcode]],Table_Shelter[HH Covered])),0)</f>
        <v>0</v>
      </c>
      <c r="AG130" s="663"/>
      <c r="AH130" s="741">
        <f>MIN(CampList[[#This Row],[Shelter Gap]],CampList[[#This Row],[Land Status]])</f>
        <v>0</v>
      </c>
      <c r="AI130" s="760" t="str">
        <f ca="1">IFERROR(OFFSET(DistanceToCamp[Nearest Town],MATCH(CampList[[#This Row],[CP_Pcode]],DistanceToCamp[CP_Pcode],0)-1,0,1,1),"")</f>
        <v>Lwegel Town</v>
      </c>
      <c r="AJ130" s="739">
        <f ca="1">IFERROR(OFFSET(DistanceToCamp[distance],MATCH(CampList[[#This Row],[CP_Pcode]],DistanceToCamp[CP_Pcode],0)-1,0,1,1),"")</f>
        <v>20.558236360788097</v>
      </c>
      <c r="AK130" s="761">
        <f ca="1">IFERROR(INT(CampList[[#This Row],[Distance]]/5)+1,"")</f>
        <v>5</v>
      </c>
    </row>
    <row r="131" spans="1:37" s="511" customFormat="1" ht="15.6" customHeight="1" x14ac:dyDescent="0.25">
      <c r="A131" s="756" t="s">
        <v>501</v>
      </c>
      <c r="B131" s="214" t="s">
        <v>380</v>
      </c>
      <c r="C131" s="214" t="s">
        <v>526</v>
      </c>
      <c r="D131" s="214" t="s">
        <v>5</v>
      </c>
      <c r="E131" s="214" t="s">
        <v>530</v>
      </c>
      <c r="F131" s="214" t="s">
        <v>151</v>
      </c>
      <c r="G131" s="214" t="s">
        <v>540</v>
      </c>
      <c r="H131" s="214" t="s">
        <v>661</v>
      </c>
      <c r="I131" s="757" t="s">
        <v>662</v>
      </c>
      <c r="J131" s="728" t="s">
        <v>661</v>
      </c>
      <c r="K131" s="763">
        <v>167405</v>
      </c>
      <c r="L131" s="214" t="s">
        <v>154</v>
      </c>
      <c r="M131" s="214" t="s">
        <v>153</v>
      </c>
      <c r="N131" s="752">
        <v>97.578490000000002</v>
      </c>
      <c r="O131" s="752">
        <v>23.835319999999999</v>
      </c>
      <c r="P131" s="753">
        <v>795</v>
      </c>
      <c r="Q131" s="663">
        <v>458</v>
      </c>
      <c r="R131" s="755">
        <v>2139</v>
      </c>
      <c r="S131" s="732">
        <f>IF(CampList[[#This Row],[HH]]&gt;0,CampList[[#This Row],[Total]]/CampList[[#This Row],[HH]],"NA")</f>
        <v>4.6703056768558948</v>
      </c>
      <c r="T131" s="663" t="s">
        <v>512</v>
      </c>
      <c r="U131" s="722" t="s">
        <v>1193</v>
      </c>
      <c r="V131" s="663" t="s">
        <v>555</v>
      </c>
      <c r="W131" s="663" t="s">
        <v>857</v>
      </c>
      <c r="X131" s="754">
        <v>40848</v>
      </c>
      <c r="Y131" s="729">
        <v>2</v>
      </c>
      <c r="Z131" s="729" t="s">
        <v>1091</v>
      </c>
      <c r="AA131" s="752" t="s">
        <v>843</v>
      </c>
      <c r="AB131" s="752"/>
      <c r="AC131" s="744">
        <v>42416</v>
      </c>
      <c r="AD131" s="758" t="s">
        <v>1526</v>
      </c>
      <c r="AE131" s="759" t="s">
        <v>1095</v>
      </c>
      <c r="AF131" s="760">
        <f>IF(CampList[[#This Row],[Type of Accomodation]]="camp",MAX(0,CampList[[#This Row],[HH]]-SUMIF(Table_Shelter[Pcode],CampList[[#This Row],[CP_Pcode]],Table_Shelter[HH Covered])),0)</f>
        <v>258</v>
      </c>
      <c r="AG131" s="722"/>
      <c r="AH131" s="736">
        <f>MIN(CampList[[#This Row],[Shelter Gap]],CampList[[#This Row],[Land Status]])</f>
        <v>258</v>
      </c>
      <c r="AI131" s="760" t="str">
        <f ca="1">IFERROR(OFFSET(DistanceToCamp[Nearest Town],MATCH(CampList[[#This Row],[CP_Pcode]],DistanceToCamp[CP_Pcode],0)-1,0,1,1),"")</f>
        <v>Namhkan Town</v>
      </c>
      <c r="AJ131" s="739">
        <f ca="1">IFERROR(OFFSET(DistanceToCamp[distance],MATCH(CampList[[#This Row],[CP_Pcode]],DistanceToCamp[CP_Pcode],0)-1,0,1,1),"")</f>
        <v>10.509375400480517</v>
      </c>
      <c r="AK131" s="761">
        <f ca="1">IFERROR(INT(CampList[[#This Row],[Distance]]/5)+1,"")</f>
        <v>3</v>
      </c>
    </row>
    <row r="132" spans="1:37" s="511" customFormat="1" ht="15.6" customHeight="1" x14ac:dyDescent="0.25">
      <c r="A132" s="656" t="s">
        <v>501</v>
      </c>
      <c r="B132" s="406" t="s">
        <v>380</v>
      </c>
      <c r="C132" s="406" t="s">
        <v>526</v>
      </c>
      <c r="D132" s="406" t="s">
        <v>5</v>
      </c>
      <c r="E132" s="406" t="s">
        <v>530</v>
      </c>
      <c r="F132" s="406" t="s">
        <v>151</v>
      </c>
      <c r="G132" s="406" t="s">
        <v>540</v>
      </c>
      <c r="H132" s="728" t="s">
        <v>661</v>
      </c>
      <c r="I132" s="728" t="s">
        <v>662</v>
      </c>
      <c r="J132" s="728" t="s">
        <v>661</v>
      </c>
      <c r="K132" s="763">
        <v>167405</v>
      </c>
      <c r="L132" s="406" t="s">
        <v>160</v>
      </c>
      <c r="M132" s="406" t="s">
        <v>159</v>
      </c>
      <c r="N132" s="630">
        <v>97.589979999999997</v>
      </c>
      <c r="O132" s="630">
        <v>23.83013</v>
      </c>
      <c r="P132" s="741">
        <v>741</v>
      </c>
      <c r="Q132" s="663">
        <v>107</v>
      </c>
      <c r="R132" s="663">
        <v>525</v>
      </c>
      <c r="S132" s="732">
        <f>IF(CampList[[#This Row],[HH]]&gt;0,CampList[[#This Row],[Total]]/CampList[[#This Row],[HH]],"NA")</f>
        <v>4.9065420560747661</v>
      </c>
      <c r="T132" s="722" t="s">
        <v>512</v>
      </c>
      <c r="U132" s="726" t="s">
        <v>1193</v>
      </c>
      <c r="V132" s="722" t="s">
        <v>555</v>
      </c>
      <c r="W132" s="726" t="s">
        <v>857</v>
      </c>
      <c r="X132" s="742">
        <v>40940</v>
      </c>
      <c r="Y132" s="743">
        <v>2</v>
      </c>
      <c r="Z132" s="742" t="s">
        <v>461</v>
      </c>
      <c r="AA132" s="735" t="s">
        <v>843</v>
      </c>
      <c r="AB132" s="736"/>
      <c r="AC132" s="744">
        <v>42569</v>
      </c>
      <c r="AD132" s="728" t="s">
        <v>1475</v>
      </c>
      <c r="AE132" s="759" t="s">
        <v>1095</v>
      </c>
      <c r="AF132" s="663">
        <f>IF(CampList[[#This Row],[Type of Accomodation]]="camp",MAX(0,CampList[[#This Row],[HH]]-SUMIF(Table_Shelter[Pcode],CampList[[#This Row],[CP_Pcode]],Table_Shelter[HH Covered])),0)</f>
        <v>33</v>
      </c>
      <c r="AG132" s="722"/>
      <c r="AH132" s="736">
        <f>MIN(CampList[[#This Row],[Shelter Gap]],CampList[[#This Row],[Land Status]])</f>
        <v>33</v>
      </c>
      <c r="AI132" s="722" t="str">
        <f ca="1">IFERROR(OFFSET(DistanceToCamp[Nearest Town],MATCH(CampList[[#This Row],[CP_Pcode]],DistanceToCamp[CP_Pcode],0)-1,0,1,1),"")</f>
        <v>Namhkan Town</v>
      </c>
      <c r="AJ132" s="739">
        <f ca="1">IFERROR(OFFSET(DistanceToCamp[distance],MATCH(CampList[[#This Row],[CP_Pcode]],DistanceToCamp[CP_Pcode],0)-1,0,1,1),"")</f>
        <v>9.3704379947870464</v>
      </c>
      <c r="AK132" s="740">
        <f ca="1">IFERROR(INT(CampList[[#This Row],[Distance]]/5)+1,"")</f>
        <v>2</v>
      </c>
    </row>
    <row r="133" spans="1:37" s="511" customFormat="1" ht="15.6" customHeight="1" x14ac:dyDescent="0.25">
      <c r="A133" s="656" t="s">
        <v>501</v>
      </c>
      <c r="B133" s="406" t="s">
        <v>380</v>
      </c>
      <c r="C133" s="406" t="s">
        <v>526</v>
      </c>
      <c r="D133" s="406" t="s">
        <v>5</v>
      </c>
      <c r="E133" s="406" t="s">
        <v>530</v>
      </c>
      <c r="F133" s="406" t="s">
        <v>151</v>
      </c>
      <c r="G133" s="406" t="s">
        <v>540</v>
      </c>
      <c r="H133" s="728" t="s">
        <v>661</v>
      </c>
      <c r="I133" s="728" t="s">
        <v>662</v>
      </c>
      <c r="J133" s="728" t="s">
        <v>661</v>
      </c>
      <c r="K133" s="728">
        <v>167405</v>
      </c>
      <c r="L133" s="406" t="s">
        <v>156</v>
      </c>
      <c r="M133" s="406" t="s">
        <v>155</v>
      </c>
      <c r="N133" s="630">
        <v>97.588291999999996</v>
      </c>
      <c r="O133" s="630">
        <v>23.827870999999998</v>
      </c>
      <c r="P133" s="753"/>
      <c r="Q133" s="730">
        <v>175</v>
      </c>
      <c r="R133" s="731">
        <v>834</v>
      </c>
      <c r="S133" s="732">
        <f>IF(CampList[[#This Row],[HH]]&gt;0,CampList[[#This Row],[Total]]/CampList[[#This Row],[HH]],"NA")</f>
        <v>4.765714285714286</v>
      </c>
      <c r="T133" s="722" t="s">
        <v>512</v>
      </c>
      <c r="U133" s="726" t="s">
        <v>1193</v>
      </c>
      <c r="V133" s="723" t="s">
        <v>12</v>
      </c>
      <c r="W133" s="726" t="s">
        <v>857</v>
      </c>
      <c r="X133" s="733"/>
      <c r="Y133" s="729"/>
      <c r="Z133" s="734"/>
      <c r="AA133" s="735" t="s">
        <v>843</v>
      </c>
      <c r="AB133" s="736"/>
      <c r="AC133" s="744">
        <v>42397</v>
      </c>
      <c r="AD133" s="728" t="s">
        <v>1329</v>
      </c>
      <c r="AE133" s="755" t="s">
        <v>1095</v>
      </c>
      <c r="AF133" s="663">
        <f>IF(CampList[[#This Row],[Type of Accomodation]]="camp",MAX(0,CampList[[#This Row],[HH]]-SUMIF(Table_Shelter[Pcode],CampList[[#This Row],[CP_Pcode]],Table_Shelter[HH Covered])),0)</f>
        <v>0</v>
      </c>
      <c r="AG133" s="722"/>
      <c r="AH133" s="736">
        <f>MIN(CampList[[#This Row],[Shelter Gap]],CampList[[#This Row],[Land Status]])</f>
        <v>0</v>
      </c>
      <c r="AI133" s="722" t="str">
        <f ca="1">IFERROR(OFFSET(DistanceToCamp[Nearest Town],MATCH(CampList[[#This Row],[CP_Pcode]],DistanceToCamp[CP_Pcode],0)-1,0,1,1),"")</f>
        <v>Namhkan Town</v>
      </c>
      <c r="AJ133" s="739">
        <f ca="1">IFERROR(OFFSET(DistanceToCamp[distance],MATCH(CampList[[#This Row],[CP_Pcode]],DistanceToCamp[CP_Pcode],0)-1,0,1,1),"")</f>
        <v>9.5650381623500511</v>
      </c>
      <c r="AK133" s="740">
        <f ca="1">IFERROR(INT(CampList[[#This Row],[Distance]]/5)+1,"")</f>
        <v>2</v>
      </c>
    </row>
    <row r="134" spans="1:37" s="511" customFormat="1" ht="15.6" hidden="1" customHeight="1" x14ac:dyDescent="0.25">
      <c r="A134" s="656" t="s">
        <v>844</v>
      </c>
      <c r="B134" s="406" t="s">
        <v>380</v>
      </c>
      <c r="C134" s="406" t="s">
        <v>526</v>
      </c>
      <c r="D134" s="406" t="s">
        <v>5</v>
      </c>
      <c r="E134" s="406" t="s">
        <v>530</v>
      </c>
      <c r="F134" s="406" t="s">
        <v>151</v>
      </c>
      <c r="G134" s="406" t="s">
        <v>540</v>
      </c>
      <c r="H134" s="728" t="s">
        <v>738</v>
      </c>
      <c r="I134" s="728" t="s">
        <v>739</v>
      </c>
      <c r="J134" s="728"/>
      <c r="K134" s="728"/>
      <c r="L134" s="406" t="s">
        <v>158</v>
      </c>
      <c r="M134" s="406" t="s">
        <v>157</v>
      </c>
      <c r="N134" s="630">
        <v>97.585667000000001</v>
      </c>
      <c r="O134" s="630">
        <v>23.9055</v>
      </c>
      <c r="P134" s="747">
        <v>745</v>
      </c>
      <c r="Q134" s="730">
        <v>0</v>
      </c>
      <c r="R134" s="731">
        <v>0</v>
      </c>
      <c r="S134" s="732" t="str">
        <f>IF(CampList[[#This Row],[HH]]&gt;0,CampList[[#This Row],[Total]]/CampList[[#This Row],[HH]],"NA")</f>
        <v>NA</v>
      </c>
      <c r="T134" s="722" t="s">
        <v>514</v>
      </c>
      <c r="U134" s="726" t="s">
        <v>1193</v>
      </c>
      <c r="V134" s="722" t="s">
        <v>555</v>
      </c>
      <c r="W134" s="726" t="s">
        <v>858</v>
      </c>
      <c r="X134" s="742">
        <v>41122</v>
      </c>
      <c r="Y134" s="743">
        <v>2</v>
      </c>
      <c r="Z134" s="742" t="s">
        <v>1091</v>
      </c>
      <c r="AA134" s="735" t="s">
        <v>843</v>
      </c>
      <c r="AB134" s="736"/>
      <c r="AC134" s="744">
        <v>42235</v>
      </c>
      <c r="AD134" s="656" t="s">
        <v>1294</v>
      </c>
      <c r="AE134" s="759" t="s">
        <v>1080</v>
      </c>
      <c r="AF134" s="663">
        <f>IF(CampList[[#This Row],[Type of Accomodation]]="camp",MAX(0,CampList[[#This Row],[HH]]-SUMIF(Table_Shelter[Pcode],CampList[[#This Row],[CP_Pcode]],Table_Shelter[HH Covered])),0)</f>
        <v>0</v>
      </c>
      <c r="AG134" s="722"/>
      <c r="AH134" s="736">
        <f>MIN(CampList[[#This Row],[Shelter Gap]],CampList[[#This Row],[Land Status]])</f>
        <v>0</v>
      </c>
      <c r="AI134" s="722" t="str">
        <f ca="1">IFERROR(OFFSET(DistanceToCamp[Nearest Town],MATCH(CampList[[#This Row],[CP_Pcode]],DistanceToCamp[CP_Pcode],0)-1,0,1,1),"")</f>
        <v>Namhkan Town</v>
      </c>
      <c r="AJ134" s="739">
        <f ca="1">IFERROR(OFFSET(DistanceToCamp[distance],MATCH(CampList[[#This Row],[CP_Pcode]],DistanceToCamp[CP_Pcode],0)-1,0,1,1),"")</f>
        <v>12.392289083396149</v>
      </c>
      <c r="AK134" s="740">
        <f ca="1">IFERROR(INT(CampList[[#This Row],[Distance]]/5)+1,"")</f>
        <v>3</v>
      </c>
    </row>
    <row r="135" spans="1:37" s="511" customFormat="1" ht="15.6" hidden="1" customHeight="1" x14ac:dyDescent="0.25">
      <c r="A135" s="656" t="s">
        <v>844</v>
      </c>
      <c r="B135" s="406" t="s">
        <v>380</v>
      </c>
      <c r="C135" s="406" t="s">
        <v>526</v>
      </c>
      <c r="D135" s="406" t="s">
        <v>5</v>
      </c>
      <c r="E135" s="406" t="s">
        <v>530</v>
      </c>
      <c r="F135" s="406" t="s">
        <v>151</v>
      </c>
      <c r="G135" s="406" t="s">
        <v>540</v>
      </c>
      <c r="H135" s="728" t="s">
        <v>661</v>
      </c>
      <c r="I135" s="728" t="s">
        <v>662</v>
      </c>
      <c r="J135" s="728"/>
      <c r="K135" s="728"/>
      <c r="L135" s="406" t="s">
        <v>162</v>
      </c>
      <c r="M135" s="406" t="s">
        <v>161</v>
      </c>
      <c r="N135" s="630"/>
      <c r="O135" s="630"/>
      <c r="P135" s="753"/>
      <c r="Q135" s="730">
        <v>0</v>
      </c>
      <c r="R135" s="731">
        <v>0</v>
      </c>
      <c r="S135" s="732" t="str">
        <f>IF(CampList[[#This Row],[HH]]&gt;0,CampList[[#This Row],[Total]]/CampList[[#This Row],[HH]],"NA")</f>
        <v>NA</v>
      </c>
      <c r="T135" s="722" t="s">
        <v>514</v>
      </c>
      <c r="U135" s="726" t="s">
        <v>1193</v>
      </c>
      <c r="V135" s="722" t="s">
        <v>555</v>
      </c>
      <c r="W135" s="726"/>
      <c r="X135" s="733"/>
      <c r="Y135" s="729"/>
      <c r="Z135" s="734"/>
      <c r="AA135" s="735" t="s">
        <v>843</v>
      </c>
      <c r="AB135" s="736"/>
      <c r="AC135" s="744">
        <v>41737</v>
      </c>
      <c r="AD135" s="656" t="s">
        <v>1046</v>
      </c>
      <c r="AE135" s="755" t="s">
        <v>1009</v>
      </c>
      <c r="AF135" s="663">
        <f>IF(CampList[[#This Row],[Type of Accomodation]]="camp",MAX(0,CampList[[#This Row],[HH]]-SUMIF(Table_Shelter[Pcode],CampList[[#This Row],[CP_Pcode]],Table_Shelter[HH Covered])),0)</f>
        <v>0</v>
      </c>
      <c r="AG135" s="722"/>
      <c r="AH135" s="736">
        <f>MIN(CampList[[#This Row],[Shelter Gap]],CampList[[#This Row],[Land Status]])</f>
        <v>0</v>
      </c>
      <c r="AI135" s="722" t="str">
        <f ca="1">IFERROR(OFFSET(DistanceToCamp[Nearest Town],MATCH(CampList[[#This Row],[CP_Pcode]],DistanceToCamp[CP_Pcode],0)-1,0,1,1),"")</f>
        <v/>
      </c>
      <c r="AJ135" s="739" t="str">
        <f ca="1">IFERROR(OFFSET(DistanceToCamp[distance],MATCH(CampList[[#This Row],[CP_Pcode]],DistanceToCamp[CP_Pcode],0)-1,0,1,1),"")</f>
        <v/>
      </c>
      <c r="AK135" s="740" t="str">
        <f ca="1">IFERROR(INT(CampList[[#This Row],[Distance]]/5)+1,"")</f>
        <v/>
      </c>
    </row>
    <row r="136" spans="1:37" s="511" customFormat="1" ht="15.6" hidden="1" customHeight="1" x14ac:dyDescent="0.25">
      <c r="A136" s="656" t="s">
        <v>844</v>
      </c>
      <c r="B136" s="406" t="s">
        <v>380</v>
      </c>
      <c r="C136" s="406" t="s">
        <v>526</v>
      </c>
      <c r="D136" s="406" t="s">
        <v>5</v>
      </c>
      <c r="E136" s="406" t="s">
        <v>530</v>
      </c>
      <c r="F136" s="406" t="s">
        <v>151</v>
      </c>
      <c r="G136" s="406" t="s">
        <v>540</v>
      </c>
      <c r="H136" s="728" t="s">
        <v>629</v>
      </c>
      <c r="I136" s="728" t="s">
        <v>630</v>
      </c>
      <c r="J136" s="728"/>
      <c r="K136" s="728"/>
      <c r="L136" s="406" t="s">
        <v>164</v>
      </c>
      <c r="M136" s="406" t="s">
        <v>163</v>
      </c>
      <c r="N136" s="630">
        <v>97.132339999999999</v>
      </c>
      <c r="O136" s="630">
        <v>23.75817</v>
      </c>
      <c r="P136" s="753"/>
      <c r="Q136" s="730">
        <v>0</v>
      </c>
      <c r="R136" s="731">
        <v>0</v>
      </c>
      <c r="S136" s="732" t="str">
        <f>IF(CampList[[#This Row],[HH]]&gt;0,CampList[[#This Row],[Total]]/CampList[[#This Row],[HH]],"NA")</f>
        <v>NA</v>
      </c>
      <c r="T136" s="722" t="s">
        <v>514</v>
      </c>
      <c r="U136" s="726" t="s">
        <v>1193</v>
      </c>
      <c r="V136" s="722" t="s">
        <v>555</v>
      </c>
      <c r="W136" s="726"/>
      <c r="X136" s="733"/>
      <c r="Y136" s="729"/>
      <c r="Z136" s="734"/>
      <c r="AA136" s="735" t="s">
        <v>573</v>
      </c>
      <c r="AB136" s="736"/>
      <c r="AC136" s="737"/>
      <c r="AD136" s="656" t="s">
        <v>846</v>
      </c>
      <c r="AE136" s="755" t="s">
        <v>1009</v>
      </c>
      <c r="AF136" s="663">
        <f>IF(CampList[[#This Row],[Type of Accomodation]]="camp",MAX(0,CampList[[#This Row],[HH]]-SUMIF(Table_Shelter[Pcode],CampList[[#This Row],[CP_Pcode]],Table_Shelter[HH Covered])),0)</f>
        <v>0</v>
      </c>
      <c r="AG136" s="722"/>
      <c r="AH136" s="736">
        <f>MIN(CampList[[#This Row],[Shelter Gap]],CampList[[#This Row],[Land Status]])</f>
        <v>0</v>
      </c>
      <c r="AI136" s="722" t="str">
        <f ca="1">IFERROR(OFFSET(DistanceToCamp[Nearest Town],MATCH(CampList[[#This Row],[CP_Pcode]],DistanceToCamp[CP_Pcode],0)-1,0,1,1),"")</f>
        <v/>
      </c>
      <c r="AJ136" s="739" t="str">
        <f ca="1">IFERROR(OFFSET(DistanceToCamp[distance],MATCH(CampList[[#This Row],[CP_Pcode]],DistanceToCamp[CP_Pcode],0)-1,0,1,1),"")</f>
        <v/>
      </c>
      <c r="AK136" s="740" t="str">
        <f ca="1">IFERROR(INT(CampList[[#This Row],[Distance]]/5)+1,"")</f>
        <v/>
      </c>
    </row>
    <row r="137" spans="1:37" s="511" customFormat="1" ht="15.6" hidden="1" customHeight="1" x14ac:dyDescent="0.25">
      <c r="A137" s="656" t="s">
        <v>844</v>
      </c>
      <c r="B137" s="406" t="s">
        <v>380</v>
      </c>
      <c r="C137" s="406" t="s">
        <v>526</v>
      </c>
      <c r="D137" s="406" t="s">
        <v>237</v>
      </c>
      <c r="E137" s="406" t="s">
        <v>532</v>
      </c>
      <c r="F137" s="406" t="s">
        <v>363</v>
      </c>
      <c r="G137" s="406" t="s">
        <v>549</v>
      </c>
      <c r="H137" s="406"/>
      <c r="I137" s="406"/>
      <c r="J137" s="406"/>
      <c r="K137" s="406"/>
      <c r="L137" s="406" t="s">
        <v>35</v>
      </c>
      <c r="M137" s="406" t="s">
        <v>362</v>
      </c>
      <c r="N137" s="630"/>
      <c r="O137" s="630"/>
      <c r="P137" s="729"/>
      <c r="Q137" s="730">
        <v>0</v>
      </c>
      <c r="R137" s="731">
        <v>0</v>
      </c>
      <c r="S137" s="732" t="str">
        <f>IF(CampList[[#This Row],[HH]]&gt;0,CampList[[#This Row],[Total]]/CampList[[#This Row],[HH]],"NA")</f>
        <v>NA</v>
      </c>
      <c r="T137" s="722" t="s">
        <v>512</v>
      </c>
      <c r="U137" s="726" t="s">
        <v>1193</v>
      </c>
      <c r="V137" s="722" t="s">
        <v>555</v>
      </c>
      <c r="W137" s="726"/>
      <c r="X137" s="733"/>
      <c r="Y137" s="729"/>
      <c r="Z137" s="734"/>
      <c r="AA137" s="735"/>
      <c r="AB137" s="736"/>
      <c r="AC137" s="744">
        <v>41712</v>
      </c>
      <c r="AD137" s="656" t="s">
        <v>1025</v>
      </c>
      <c r="AE137" s="755" t="s">
        <v>1009</v>
      </c>
      <c r="AF137" s="663">
        <f>IF(CampList[[#This Row],[Type of Accomodation]]="camp",MAX(0,CampList[[#This Row],[HH]]-SUMIF(Table_Shelter[Pcode],CampList[[#This Row],[CP_Pcode]],Table_Shelter[HH Covered])),0)</f>
        <v>0</v>
      </c>
      <c r="AG137" s="722"/>
      <c r="AH137" s="736">
        <f>MIN(CampList[[#This Row],[Shelter Gap]],CampList[[#This Row],[Land Status]])</f>
        <v>0</v>
      </c>
      <c r="AI137" s="722" t="str">
        <f ca="1">IFERROR(OFFSET(DistanceToCamp[Nearest Town],MATCH(CampList[[#This Row],[CP_Pcode]],DistanceToCamp[CP_Pcode],0)-1,0,1,1),"")</f>
        <v/>
      </c>
      <c r="AJ137" s="739" t="str">
        <f ca="1">IFERROR(OFFSET(DistanceToCamp[distance],MATCH(CampList[[#This Row],[CP_Pcode]],DistanceToCamp[CP_Pcode],0)-1,0,1,1),"")</f>
        <v/>
      </c>
      <c r="AK137" s="740" t="str">
        <f ca="1">IFERROR(INT(CampList[[#This Row],[Distance]]/5)+1,"")</f>
        <v/>
      </c>
    </row>
    <row r="138" spans="1:37" s="511" customFormat="1" ht="15.6" customHeight="1" x14ac:dyDescent="0.25">
      <c r="A138" s="764" t="s">
        <v>501</v>
      </c>
      <c r="B138" s="406" t="s">
        <v>380</v>
      </c>
      <c r="C138" s="406" t="s">
        <v>526</v>
      </c>
      <c r="D138" s="406" t="s">
        <v>5</v>
      </c>
      <c r="E138" s="406" t="s">
        <v>530</v>
      </c>
      <c r="F138" s="406" t="s">
        <v>302</v>
      </c>
      <c r="G138" s="406" t="s">
        <v>541</v>
      </c>
      <c r="H138" s="406"/>
      <c r="I138" s="406"/>
      <c r="J138" s="406"/>
      <c r="K138" s="406"/>
      <c r="L138" s="406" t="s">
        <v>304</v>
      </c>
      <c r="M138" s="406" t="s">
        <v>303</v>
      </c>
      <c r="N138" s="630"/>
      <c r="O138" s="630"/>
      <c r="P138" s="753"/>
      <c r="Q138" s="730">
        <v>375</v>
      </c>
      <c r="R138" s="731">
        <v>1691</v>
      </c>
      <c r="S138" s="732">
        <f>IF(CampList[[#This Row],[HH]]&gt;0,CampList[[#This Row],[Total]]/CampList[[#This Row],[HH]],"NA")</f>
        <v>4.5093333333333332</v>
      </c>
      <c r="T138" s="722" t="s">
        <v>514</v>
      </c>
      <c r="U138" s="726" t="s">
        <v>1193</v>
      </c>
      <c r="V138" s="722" t="s">
        <v>12</v>
      </c>
      <c r="W138" s="726" t="s">
        <v>857</v>
      </c>
      <c r="X138" s="733">
        <v>41701</v>
      </c>
      <c r="Y138" s="729"/>
      <c r="Z138" s="734"/>
      <c r="AA138" s="735" t="s">
        <v>573</v>
      </c>
      <c r="AB138" s="736"/>
      <c r="AC138" s="744">
        <v>41701</v>
      </c>
      <c r="AD138" s="656" t="s">
        <v>1013</v>
      </c>
      <c r="AE138" s="755" t="s">
        <v>1095</v>
      </c>
      <c r="AF138" s="663">
        <f>IF(CampList[[#This Row],[Type of Accomodation]]="camp",MAX(0,CampList[[#This Row],[HH]]-SUMIF(Table_Shelter[Pcode],CampList[[#This Row],[CP_Pcode]],Table_Shelter[HH Covered])),0)</f>
        <v>0</v>
      </c>
      <c r="AG138" s="722"/>
      <c r="AH138" s="736">
        <f>MIN(CampList[[#This Row],[Shelter Gap]],CampList[[#This Row],[Land Status]])</f>
        <v>0</v>
      </c>
      <c r="AI138" s="722" t="str">
        <f ca="1">IFERROR(OFFSET(DistanceToCamp[Nearest Town],MATCH(CampList[[#This Row],[CP_Pcode]],DistanceToCamp[CP_Pcode],0)-1,0,1,1),"")</f>
        <v/>
      </c>
      <c r="AJ138" s="739" t="str">
        <f ca="1">IFERROR(OFFSET(DistanceToCamp[distance],MATCH(CampList[[#This Row],[CP_Pcode]],DistanceToCamp[CP_Pcode],0)-1,0,1,1),"")</f>
        <v/>
      </c>
      <c r="AK138" s="740" t="str">
        <f ca="1">IFERROR(INT(CampList[[#This Row],[Distance]]/5)+1,"")</f>
        <v/>
      </c>
    </row>
    <row r="139" spans="1:37" s="511" customFormat="1" ht="15.6" customHeight="1" x14ac:dyDescent="0.25">
      <c r="A139" s="656" t="s">
        <v>501</v>
      </c>
      <c r="B139" s="406" t="s">
        <v>380</v>
      </c>
      <c r="C139" s="406" t="s">
        <v>526</v>
      </c>
      <c r="D139" s="406" t="s">
        <v>180</v>
      </c>
      <c r="E139" s="406" t="s">
        <v>527</v>
      </c>
      <c r="F139" s="406" t="s">
        <v>528</v>
      </c>
      <c r="G139" s="406" t="s">
        <v>529</v>
      </c>
      <c r="H139" s="406" t="s">
        <v>1132</v>
      </c>
      <c r="I139" s="406" t="s">
        <v>1256</v>
      </c>
      <c r="J139" s="406" t="s">
        <v>1398</v>
      </c>
      <c r="K139" s="763">
        <v>220512</v>
      </c>
      <c r="L139" s="406" t="s">
        <v>88</v>
      </c>
      <c r="M139" s="406" t="s">
        <v>87</v>
      </c>
      <c r="N139" s="630">
        <v>96.705960000000005</v>
      </c>
      <c r="O139" s="630">
        <v>25.51352</v>
      </c>
      <c r="P139" s="741">
        <v>0</v>
      </c>
      <c r="Q139" s="663">
        <v>14</v>
      </c>
      <c r="R139" s="664">
        <v>46</v>
      </c>
      <c r="S139" s="732">
        <f>IF(CampList[[#This Row],[HH]]&gt;0,CampList[[#This Row],[Total]]/CampList[[#This Row],[HH]],"NA")</f>
        <v>3.2857142857142856</v>
      </c>
      <c r="T139" s="722" t="s">
        <v>512</v>
      </c>
      <c r="U139" s="726" t="s">
        <v>1193</v>
      </c>
      <c r="V139" s="722" t="s">
        <v>555</v>
      </c>
      <c r="W139" s="722" t="s">
        <v>804</v>
      </c>
      <c r="X139" s="742">
        <v>41183</v>
      </c>
      <c r="Y139" s="743">
        <v>1</v>
      </c>
      <c r="Z139" s="742" t="s">
        <v>461</v>
      </c>
      <c r="AA139" s="735" t="s">
        <v>843</v>
      </c>
      <c r="AB139" s="736"/>
      <c r="AC139" s="744">
        <v>42569</v>
      </c>
      <c r="AD139" s="656" t="s">
        <v>1476</v>
      </c>
      <c r="AE139" s="759" t="s">
        <v>1095</v>
      </c>
      <c r="AF139" s="663">
        <f>IF(CampList[[#This Row],[Type of Accomodation]]="camp",MAX(0,CampList[[#This Row],[HH]]-SUMIF(Table_Shelter[Pcode],CampList[[#This Row],[CP_Pcode]],Table_Shelter[HH Covered])),0)</f>
        <v>14</v>
      </c>
      <c r="AG139" s="722"/>
      <c r="AH139" s="736">
        <f>MIN(CampList[[#This Row],[Shelter Gap]],CampList[[#This Row],[Land Status]])</f>
        <v>14</v>
      </c>
      <c r="AI139" s="722" t="str">
        <f ca="1">IFERROR(OFFSET(DistanceToCamp[Nearest Town],MATCH(CampList[[#This Row],[CP_Pcode]],DistanceToCamp[CP_Pcode],0)-1,0,1,1),"")</f>
        <v>Kamaing Town</v>
      </c>
      <c r="AJ139" s="739">
        <f ca="1">IFERROR(OFFSET(DistanceToCamp[distance],MATCH(CampList[[#This Row],[CP_Pcode]],DistanceToCamp[CP_Pcode],0)-1,0,1,1),"")</f>
        <v>1.1537462444167914</v>
      </c>
      <c r="AK139" s="740">
        <f ca="1">IFERROR(INT(CampList[[#This Row],[Distance]]/5)+1,"")</f>
        <v>1</v>
      </c>
    </row>
    <row r="140" spans="1:37" s="511" customFormat="1" ht="15.6" customHeight="1" x14ac:dyDescent="0.25">
      <c r="A140" s="764" t="s">
        <v>501</v>
      </c>
      <c r="B140" s="406" t="s">
        <v>380</v>
      </c>
      <c r="C140" s="406" t="s">
        <v>526</v>
      </c>
      <c r="D140" s="406" t="s">
        <v>237</v>
      </c>
      <c r="E140" s="406" t="s">
        <v>532</v>
      </c>
      <c r="F140" s="406" t="s">
        <v>310</v>
      </c>
      <c r="G140" s="406" t="s">
        <v>533</v>
      </c>
      <c r="H140" s="406" t="s">
        <v>765</v>
      </c>
      <c r="I140" s="406" t="s">
        <v>766</v>
      </c>
      <c r="J140" s="406" t="s">
        <v>803</v>
      </c>
      <c r="K140" s="406">
        <v>165816</v>
      </c>
      <c r="L140" s="406" t="s">
        <v>340</v>
      </c>
      <c r="M140" s="406" t="s">
        <v>339</v>
      </c>
      <c r="N140" s="630">
        <v>97.718008999999995</v>
      </c>
      <c r="O140" s="630">
        <v>25.108011999999999</v>
      </c>
      <c r="P140" s="753"/>
      <c r="Q140" s="730">
        <v>355</v>
      </c>
      <c r="R140" s="731">
        <v>4450</v>
      </c>
      <c r="S140" s="732">
        <f>IF(CampList[[#This Row],[HH]]&gt;0,CampList[[#This Row],[Total]]/CampList[[#This Row],[HH]],"NA")</f>
        <v>12.535211267605634</v>
      </c>
      <c r="T140" s="722" t="s">
        <v>514</v>
      </c>
      <c r="U140" s="726" t="s">
        <v>1239</v>
      </c>
      <c r="V140" s="724" t="s">
        <v>1238</v>
      </c>
      <c r="W140" s="726" t="s">
        <v>804</v>
      </c>
      <c r="X140" s="733"/>
      <c r="Y140" s="729"/>
      <c r="Z140" s="734"/>
      <c r="AA140" s="735" t="s">
        <v>573</v>
      </c>
      <c r="AB140" s="736"/>
      <c r="AC140" s="744">
        <v>41803</v>
      </c>
      <c r="AD140" s="656" t="s">
        <v>1237</v>
      </c>
      <c r="AE140" s="755" t="s">
        <v>1095</v>
      </c>
      <c r="AF140" s="663">
        <f>IF(CampList[[#This Row],[Type of Accomodation]]="camp",MAX(0,CampList[[#This Row],[HH]]-SUMIF(Table_Shelter[Pcode],CampList[[#This Row],[CP_Pcode]],Table_Shelter[HH Covered])),0)</f>
        <v>0</v>
      </c>
      <c r="AG140" s="722"/>
      <c r="AH140" s="736">
        <f>MIN(CampList[[#This Row],[Shelter Gap]],CampList[[#This Row],[Land Status]])</f>
        <v>0</v>
      </c>
      <c r="AI140" s="722" t="str">
        <f ca="1">IFERROR(OFFSET(DistanceToCamp[Nearest Town],MATCH(CampList[[#This Row],[CP_Pcode]],DistanceToCamp[CP_Pcode],0)-1,0,1,1),"")</f>
        <v>Sadung Town</v>
      </c>
      <c r="AJ140" s="739">
        <f ca="1">IFERROR(OFFSET(DistanceToCamp[distance],MATCH(CampList[[#This Row],[CP_Pcode]],DistanceToCamp[CP_Pcode],0)-1,0,1,1),"")</f>
        <v>34.344689881690819</v>
      </c>
      <c r="AK140" s="740">
        <f ca="1">IFERROR(INT(CampList[[#This Row],[Distance]]/5)+1,"")</f>
        <v>7</v>
      </c>
    </row>
    <row r="141" spans="1:37" s="511" customFormat="1" ht="15.6" customHeight="1" x14ac:dyDescent="0.25">
      <c r="A141" s="656" t="s">
        <v>501</v>
      </c>
      <c r="B141" s="406" t="s">
        <v>380</v>
      </c>
      <c r="C141" s="406" t="s">
        <v>526</v>
      </c>
      <c r="D141" s="406" t="s">
        <v>180</v>
      </c>
      <c r="E141" s="406" t="s">
        <v>527</v>
      </c>
      <c r="F141" s="406" t="s">
        <v>180</v>
      </c>
      <c r="G141" s="406" t="s">
        <v>552</v>
      </c>
      <c r="H141" s="406" t="s">
        <v>617</v>
      </c>
      <c r="I141" s="406" t="s">
        <v>618</v>
      </c>
      <c r="J141" s="406" t="s">
        <v>936</v>
      </c>
      <c r="K141" s="406"/>
      <c r="L141" s="406" t="s">
        <v>287</v>
      </c>
      <c r="M141" s="406" t="s">
        <v>286</v>
      </c>
      <c r="N141" s="630">
        <v>96.364949999999993</v>
      </c>
      <c r="O141" s="630">
        <v>24.998349999999999</v>
      </c>
      <c r="P141" s="741"/>
      <c r="Q141" s="663">
        <v>19</v>
      </c>
      <c r="R141" s="664">
        <v>100</v>
      </c>
      <c r="S141" s="732">
        <f>IF(CampList[[#This Row],[HH]]&gt;0,CampList[[#This Row],[Total]]/CampList[[#This Row],[HH]],"NA")</f>
        <v>5.2631578947368425</v>
      </c>
      <c r="T141" s="722" t="s">
        <v>512</v>
      </c>
      <c r="U141" s="726" t="s">
        <v>1193</v>
      </c>
      <c r="V141" s="722" t="s">
        <v>555</v>
      </c>
      <c r="W141" s="726" t="s">
        <v>857</v>
      </c>
      <c r="X141" s="742">
        <v>40940</v>
      </c>
      <c r="Y141" s="743">
        <v>1</v>
      </c>
      <c r="Z141" s="742" t="s">
        <v>461</v>
      </c>
      <c r="AA141" s="736" t="s">
        <v>843</v>
      </c>
      <c r="AB141" s="736"/>
      <c r="AC141" s="744">
        <v>42569</v>
      </c>
      <c r="AD141" s="728" t="s">
        <v>1477</v>
      </c>
      <c r="AE141" s="759" t="s">
        <v>1095</v>
      </c>
      <c r="AF141" s="663">
        <f>IF(CampList[[#This Row],[Type of Accomodation]]="camp",MAX(0,CampList[[#This Row],[HH]]-SUMIF(Table_Shelter[Pcode],CampList[[#This Row],[CP_Pcode]],Table_Shelter[HH Covered])),0)</f>
        <v>0</v>
      </c>
      <c r="AG141" s="722"/>
      <c r="AH141" s="736">
        <f>MIN(CampList[[#This Row],[Shelter Gap]],CampList[[#This Row],[Land Status]])</f>
        <v>0</v>
      </c>
      <c r="AI141" s="722" t="str">
        <f ca="1">IFERROR(OFFSET(DistanceToCamp[Nearest Town],MATCH(CampList[[#This Row],[CP_Pcode]],DistanceToCamp[CP_Pcode],0)-1,0,1,1),"")</f>
        <v>Hopin Town</v>
      </c>
      <c r="AJ141" s="739">
        <f ca="1">IFERROR(OFFSET(DistanceToCamp[distance],MATCH(CampList[[#This Row],[CP_Pcode]],DistanceToCamp[CP_Pcode],0)-1,0,1,1),"")</f>
        <v>16.668825701583572</v>
      </c>
      <c r="AK141" s="740">
        <f ca="1">IFERROR(INT(CampList[[#This Row],[Distance]]/5)+1,"")</f>
        <v>4</v>
      </c>
    </row>
    <row r="142" spans="1:37" s="511" customFormat="1" ht="15.6" hidden="1" customHeight="1" x14ac:dyDescent="0.25">
      <c r="A142" s="656" t="s">
        <v>844</v>
      </c>
      <c r="B142" s="406" t="s">
        <v>380</v>
      </c>
      <c r="C142" s="406" t="s">
        <v>526</v>
      </c>
      <c r="D142" s="406" t="s">
        <v>5</v>
      </c>
      <c r="E142" s="406" t="s">
        <v>530</v>
      </c>
      <c r="F142" s="406" t="s">
        <v>5</v>
      </c>
      <c r="G142" s="406" t="s">
        <v>531</v>
      </c>
      <c r="H142" s="406"/>
      <c r="I142" s="406"/>
      <c r="J142" s="406"/>
      <c r="K142" s="406"/>
      <c r="L142" s="406" t="s">
        <v>10</v>
      </c>
      <c r="M142" s="406" t="s">
        <v>9</v>
      </c>
      <c r="N142" s="630"/>
      <c r="O142" s="630"/>
      <c r="P142" s="729"/>
      <c r="Q142" s="730">
        <v>0</v>
      </c>
      <c r="R142" s="731">
        <v>0</v>
      </c>
      <c r="S142" s="732" t="str">
        <f>IF(CampList[[#This Row],[HH]]&gt;0,CampList[[#This Row],[Total]]/CampList[[#This Row],[HH]],"NA")</f>
        <v>NA</v>
      </c>
      <c r="T142" s="722" t="s">
        <v>512</v>
      </c>
      <c r="U142" s="726" t="s">
        <v>1193</v>
      </c>
      <c r="V142" s="723" t="s">
        <v>12</v>
      </c>
      <c r="W142" s="726"/>
      <c r="X142" s="733"/>
      <c r="Y142" s="729"/>
      <c r="Z142" s="734"/>
      <c r="AA142" s="749"/>
      <c r="AB142" s="736" t="s">
        <v>1253</v>
      </c>
      <c r="AC142" s="750">
        <v>41666</v>
      </c>
      <c r="AD142" s="728" t="s">
        <v>941</v>
      </c>
      <c r="AE142" s="755" t="s">
        <v>1009</v>
      </c>
      <c r="AF142" s="663">
        <f>IF(CampList[[#This Row],[Type of Accomodation]]="camp",MAX(0,CampList[[#This Row],[HH]]-SUMIF(Table_Shelter[Pcode],CampList[[#This Row],[CP_Pcode]],Table_Shelter[HH Covered])),0)</f>
        <v>0</v>
      </c>
      <c r="AG142" s="722"/>
      <c r="AH142" s="736">
        <f>MIN(CampList[[#This Row],[Shelter Gap]],CampList[[#This Row],[Land Status]])</f>
        <v>0</v>
      </c>
      <c r="AI142" s="722" t="str">
        <f ca="1">IFERROR(OFFSET(DistanceToCamp[Nearest Town],MATCH(CampList[[#This Row],[CP_Pcode]],DistanceToCamp[CP_Pcode],0)-1,0,1,1),"")</f>
        <v/>
      </c>
      <c r="AJ142" s="739" t="str">
        <f ca="1">IFERROR(OFFSET(DistanceToCamp[distance],MATCH(CampList[[#This Row],[CP_Pcode]],DistanceToCamp[CP_Pcode],0)-1,0,1,1),"")</f>
        <v/>
      </c>
      <c r="AK142" s="740" t="str">
        <f ca="1">IFERROR(INT(CampList[[#This Row],[Distance]]/5)+1,"")</f>
        <v/>
      </c>
    </row>
    <row r="143" spans="1:37" s="511" customFormat="1" ht="15.6" customHeight="1" x14ac:dyDescent="0.25">
      <c r="A143" s="765" t="s">
        <v>501</v>
      </c>
      <c r="B143" s="214" t="s">
        <v>380</v>
      </c>
      <c r="C143" s="214" t="s">
        <v>526</v>
      </c>
      <c r="D143" s="214" t="s">
        <v>237</v>
      </c>
      <c r="E143" s="214" t="s">
        <v>532</v>
      </c>
      <c r="F143" s="214" t="s">
        <v>310</v>
      </c>
      <c r="G143" s="214" t="s">
        <v>533</v>
      </c>
      <c r="H143" s="746" t="s">
        <v>771</v>
      </c>
      <c r="I143" s="746" t="s">
        <v>770</v>
      </c>
      <c r="J143" s="746" t="s">
        <v>771</v>
      </c>
      <c r="K143" s="746">
        <v>165895</v>
      </c>
      <c r="L143" s="214" t="s">
        <v>355</v>
      </c>
      <c r="M143" s="214" t="s">
        <v>354</v>
      </c>
      <c r="N143" s="752">
        <v>97.990555999999998</v>
      </c>
      <c r="O143" s="752">
        <v>25.265277999999999</v>
      </c>
      <c r="P143" s="753">
        <v>2764</v>
      </c>
      <c r="Q143" s="663">
        <v>98</v>
      </c>
      <c r="R143" s="663">
        <v>554</v>
      </c>
      <c r="S143" s="732">
        <f>IF(CampList[[#This Row],[HH]]&gt;0,CampList[[#This Row],[Total]]/CampList[[#This Row],[HH]],"NA")</f>
        <v>5.6530612244897958</v>
      </c>
      <c r="T143" s="663" t="s">
        <v>514</v>
      </c>
      <c r="U143" s="722" t="s">
        <v>1193</v>
      </c>
      <c r="V143" s="663" t="s">
        <v>555</v>
      </c>
      <c r="W143" s="663" t="s">
        <v>858</v>
      </c>
      <c r="X143" s="754">
        <v>40848</v>
      </c>
      <c r="Y143" s="729">
        <v>2</v>
      </c>
      <c r="Z143" s="729" t="s">
        <v>1092</v>
      </c>
      <c r="AA143" s="752" t="s">
        <v>843</v>
      </c>
      <c r="AB143" s="752"/>
      <c r="AC143" s="744">
        <v>42565</v>
      </c>
      <c r="AD143" s="758" t="s">
        <v>1440</v>
      </c>
      <c r="AE143" s="759" t="s">
        <v>1079</v>
      </c>
      <c r="AF143" s="760">
        <f>IF(CampList[[#This Row],[Type of Accomodation]]="camp",MAX(0,CampList[[#This Row],[HH]]-SUMIF(Table_Shelter[Pcode],CampList[[#This Row],[CP_Pcode]],Table_Shelter[HH Covered])),0)</f>
        <v>33</v>
      </c>
      <c r="AG143" s="663"/>
      <c r="AH143" s="741">
        <f>MIN(CampList[[#This Row],[Shelter Gap]],CampList[[#This Row],[Land Status]])</f>
        <v>33</v>
      </c>
      <c r="AI143" s="760" t="str">
        <f ca="1">IFERROR(OFFSET(DistanceToCamp[Nearest Town],MATCH(CampList[[#This Row],[CP_Pcode]],DistanceToCamp[CP_Pcode],0)-1,0,1,1),"")</f>
        <v>Sadung Town</v>
      </c>
      <c r="AJ143" s="739">
        <f ca="1">IFERROR(OFFSET(DistanceToCamp[distance],MATCH(CampList[[#This Row],[CP_Pcode]],DistanceToCamp[CP_Pcode],0)-1,0,1,1),"")</f>
        <v>17.035515422123492</v>
      </c>
      <c r="AK143" s="761">
        <f ca="1">IFERROR(INT(CampList[[#This Row],[Distance]]/5)+1,"")</f>
        <v>4</v>
      </c>
    </row>
    <row r="144" spans="1:37" s="511" customFormat="1" ht="15.6" customHeight="1" x14ac:dyDescent="0.25">
      <c r="A144" s="756" t="s">
        <v>501</v>
      </c>
      <c r="B144" s="214" t="s">
        <v>380</v>
      </c>
      <c r="C144" s="214" t="s">
        <v>526</v>
      </c>
      <c r="D144" s="214" t="s">
        <v>237</v>
      </c>
      <c r="E144" s="214" t="s">
        <v>532</v>
      </c>
      <c r="F144" s="214" t="s">
        <v>237</v>
      </c>
      <c r="G144" s="214" t="s">
        <v>536</v>
      </c>
      <c r="H144" s="214" t="s">
        <v>710</v>
      </c>
      <c r="I144" s="757" t="s">
        <v>711</v>
      </c>
      <c r="J144" s="214" t="s">
        <v>712</v>
      </c>
      <c r="K144" s="214">
        <v>165685</v>
      </c>
      <c r="L144" s="214" t="s">
        <v>273</v>
      </c>
      <c r="M144" s="214" t="s">
        <v>272</v>
      </c>
      <c r="N144" s="752">
        <v>97.4345</v>
      </c>
      <c r="O144" s="752">
        <v>25.493819999999999</v>
      </c>
      <c r="P144" s="753"/>
      <c r="Q144" s="663">
        <v>44</v>
      </c>
      <c r="R144" s="755">
        <v>274</v>
      </c>
      <c r="S144" s="732">
        <f>IF(CampList[[#This Row],[HH]]&gt;0,CampList[[#This Row],[Total]]/CampList[[#This Row],[HH]],"NA")</f>
        <v>6.2272727272727275</v>
      </c>
      <c r="T144" s="663" t="s">
        <v>512</v>
      </c>
      <c r="U144" s="722" t="s">
        <v>1193</v>
      </c>
      <c r="V144" s="663" t="s">
        <v>555</v>
      </c>
      <c r="W144" s="663" t="s">
        <v>804</v>
      </c>
      <c r="X144" s="754">
        <v>41244</v>
      </c>
      <c r="Y144" s="729"/>
      <c r="Z144" s="729" t="s">
        <v>1092</v>
      </c>
      <c r="AA144" s="752" t="s">
        <v>843</v>
      </c>
      <c r="AB144" s="752"/>
      <c r="AC144" s="744">
        <v>42565</v>
      </c>
      <c r="AD144" s="758" t="s">
        <v>1433</v>
      </c>
      <c r="AE144" s="759" t="s">
        <v>1095</v>
      </c>
      <c r="AF144" s="760">
        <f>IF(CampList[[#This Row],[Type of Accomodation]]="camp",MAX(0,CampList[[#This Row],[HH]]-SUMIF(Table_Shelter[Pcode],CampList[[#This Row],[CP_Pcode]],Table_Shelter[HH Covered])),0)</f>
        <v>0</v>
      </c>
      <c r="AG144" s="663"/>
      <c r="AH144" s="741">
        <f>MIN(CampList[[#This Row],[Shelter Gap]],CampList[[#This Row],[Land Status]])</f>
        <v>0</v>
      </c>
      <c r="AI144" s="760" t="str">
        <f ca="1">IFERROR(OFFSET(DistanceToCamp[Nearest Town],MATCH(CampList[[#This Row],[CP_Pcode]],DistanceToCamp[CP_Pcode],0)-1,0,1,1),"")</f>
        <v>Myitkyina Town</v>
      </c>
      <c r="AJ144" s="739">
        <f ca="1">IFERROR(OFFSET(DistanceToCamp[distance],MATCH(CampList[[#This Row],[CP_Pcode]],DistanceToCamp[CP_Pcode],0)-1,0,1,1),"")</f>
        <v>12.627188913244609</v>
      </c>
      <c r="AK144" s="761">
        <f ca="1">IFERROR(INT(CampList[[#This Row],[Distance]]/5)+1,"")</f>
        <v>3</v>
      </c>
    </row>
    <row r="145" spans="1:37" s="511" customFormat="1" ht="15.6" customHeight="1" x14ac:dyDescent="0.25">
      <c r="A145" s="656" t="s">
        <v>501</v>
      </c>
      <c r="B145" s="406" t="s">
        <v>380</v>
      </c>
      <c r="C145" s="406" t="s">
        <v>526</v>
      </c>
      <c r="D145" s="406" t="s">
        <v>5</v>
      </c>
      <c r="E145" s="406" t="s">
        <v>530</v>
      </c>
      <c r="F145" s="406" t="s">
        <v>5</v>
      </c>
      <c r="G145" s="406" t="s">
        <v>531</v>
      </c>
      <c r="H145" s="728" t="s">
        <v>638</v>
      </c>
      <c r="I145" s="728" t="s">
        <v>639</v>
      </c>
      <c r="J145" s="406"/>
      <c r="K145" s="406"/>
      <c r="L145" s="406" t="s">
        <v>12</v>
      </c>
      <c r="M145" s="406" t="s">
        <v>11</v>
      </c>
      <c r="N145" s="630">
        <v>97.228835000000004</v>
      </c>
      <c r="O145" s="630">
        <v>24.263786</v>
      </c>
      <c r="P145" s="753"/>
      <c r="Q145" s="730">
        <v>211</v>
      </c>
      <c r="R145" s="731">
        <v>989</v>
      </c>
      <c r="S145" s="732">
        <f>IF(CampList[[#This Row],[HH]]&gt;0,CampList[[#This Row],[Total]]/CampList[[#This Row],[HH]],"NA")</f>
        <v>4.6872037914691944</v>
      </c>
      <c r="T145" s="722" t="s">
        <v>512</v>
      </c>
      <c r="U145" s="726" t="s">
        <v>1193</v>
      </c>
      <c r="V145" s="723" t="s">
        <v>12</v>
      </c>
      <c r="W145" s="722" t="s">
        <v>804</v>
      </c>
      <c r="X145" s="733"/>
      <c r="Y145" s="729"/>
      <c r="Z145" s="734"/>
      <c r="AA145" s="735" t="s">
        <v>843</v>
      </c>
      <c r="AB145" s="736"/>
      <c r="AC145" s="750">
        <v>42317</v>
      </c>
      <c r="AD145" s="656" t="s">
        <v>1322</v>
      </c>
      <c r="AE145" s="755" t="s">
        <v>1095</v>
      </c>
      <c r="AF145" s="663">
        <f>IF(CampList[[#This Row],[Type of Accomodation]]="camp",MAX(0,CampList[[#This Row],[HH]]-SUMIF(Table_Shelter[Pcode],CampList[[#This Row],[CP_Pcode]],Table_Shelter[HH Covered])),0)</f>
        <v>0</v>
      </c>
      <c r="AG145" s="722"/>
      <c r="AH145" s="736">
        <f>MIN(CampList[[#This Row],[Shelter Gap]],CampList[[#This Row],[Land Status]])</f>
        <v>0</v>
      </c>
      <c r="AI145" s="722" t="str">
        <f ca="1">IFERROR(OFFSET(DistanceToCamp[Nearest Town],MATCH(CampList[[#This Row],[CP_Pcode]],DistanceToCamp[CP_Pcode],0)-1,0,1,1),"")</f>
        <v>Bhamo Town</v>
      </c>
      <c r="AJ145" s="739">
        <f ca="1">IFERROR(OFFSET(DistanceToCamp[distance],MATCH(CampList[[#This Row],[CP_Pcode]],DistanceToCamp[CP_Pcode],0)-1,0,1,1),"")</f>
        <v>1.1354007641426449</v>
      </c>
      <c r="AK145" s="740">
        <f ca="1">IFERROR(INT(CampList[[#This Row],[Distance]]/5)+1,"")</f>
        <v>1</v>
      </c>
    </row>
    <row r="146" spans="1:37" s="511" customFormat="1" ht="15.6" customHeight="1" x14ac:dyDescent="0.25">
      <c r="A146" s="656" t="s">
        <v>501</v>
      </c>
      <c r="B146" s="406" t="s">
        <v>380</v>
      </c>
      <c r="C146" s="406" t="s">
        <v>526</v>
      </c>
      <c r="D146" s="406" t="s">
        <v>180</v>
      </c>
      <c r="E146" s="406" t="s">
        <v>527</v>
      </c>
      <c r="F146" s="406" t="s">
        <v>528</v>
      </c>
      <c r="G146" s="406" t="s">
        <v>529</v>
      </c>
      <c r="H146" s="406" t="s">
        <v>604</v>
      </c>
      <c r="I146" s="406" t="s">
        <v>605</v>
      </c>
      <c r="J146" s="406" t="s">
        <v>608</v>
      </c>
      <c r="K146" s="406" t="s">
        <v>609</v>
      </c>
      <c r="L146" s="406" t="s">
        <v>92</v>
      </c>
      <c r="M146" s="406" t="s">
        <v>91</v>
      </c>
      <c r="N146" s="630">
        <v>96.316400000000002</v>
      </c>
      <c r="O146" s="630">
        <v>25.61842</v>
      </c>
      <c r="P146" s="747">
        <v>250</v>
      </c>
      <c r="Q146" s="138">
        <v>15</v>
      </c>
      <c r="R146" s="663">
        <v>74</v>
      </c>
      <c r="S146" s="732">
        <f>IF(CampList[[#This Row],[HH]]&gt;0,CampList[[#This Row],[Total]]/CampList[[#This Row],[HH]],"NA")</f>
        <v>4.9333333333333336</v>
      </c>
      <c r="T146" s="722" t="s">
        <v>512</v>
      </c>
      <c r="U146" s="726" t="s">
        <v>1193</v>
      </c>
      <c r="V146" s="722" t="s">
        <v>555</v>
      </c>
      <c r="W146" s="722" t="s">
        <v>804</v>
      </c>
      <c r="X146" s="742">
        <v>41275</v>
      </c>
      <c r="Y146" s="743">
        <v>1</v>
      </c>
      <c r="Z146" s="742" t="s">
        <v>506</v>
      </c>
      <c r="AA146" s="735" t="s">
        <v>843</v>
      </c>
      <c r="AB146" s="736"/>
      <c r="AC146" s="744">
        <v>42571</v>
      </c>
      <c r="AD146" s="656" t="s">
        <v>1507</v>
      </c>
      <c r="AE146" s="759" t="s">
        <v>1095</v>
      </c>
      <c r="AF146" s="663">
        <f>IF(CampList[[#This Row],[Type of Accomodation]]="camp",MAX(0,CampList[[#This Row],[HH]]-SUMIF(Table_Shelter[Pcode],CampList[[#This Row],[CP_Pcode]],Table_Shelter[HH Covered])),0)</f>
        <v>0</v>
      </c>
      <c r="AG146" s="722"/>
      <c r="AH146" s="736">
        <f>MIN(CampList[[#This Row],[Shelter Gap]],CampList[[#This Row],[Land Status]])</f>
        <v>0</v>
      </c>
      <c r="AI146" s="722" t="str">
        <f ca="1">IFERROR(OFFSET(DistanceToCamp[Nearest Town],MATCH(CampList[[#This Row],[CP_Pcode]],DistanceToCamp[CP_Pcode],0)-1,0,1,1),"")</f>
        <v>Hpakant Town</v>
      </c>
      <c r="AJ146" s="739">
        <f ca="1">IFERROR(OFFSET(DistanceToCamp[distance],MATCH(CampList[[#This Row],[CP_Pcode]],DistanceToCamp[CP_Pcode],0)-1,0,1,1),"")</f>
        <v>0.75842119772531946</v>
      </c>
      <c r="AK146" s="740">
        <f ca="1">IFERROR(INT(CampList[[#This Row],[Distance]]/5)+1,"")</f>
        <v>1</v>
      </c>
    </row>
    <row r="147" spans="1:37" s="511" customFormat="1" ht="15.6" customHeight="1" x14ac:dyDescent="0.25">
      <c r="A147" s="656" t="s">
        <v>501</v>
      </c>
      <c r="B147" s="406" t="s">
        <v>554</v>
      </c>
      <c r="C147" s="406" t="s">
        <v>537</v>
      </c>
      <c r="D147" s="406" t="s">
        <v>230</v>
      </c>
      <c r="E147" s="406" t="s">
        <v>538</v>
      </c>
      <c r="F147" s="406" t="s">
        <v>289</v>
      </c>
      <c r="G147" s="406" t="s">
        <v>550</v>
      </c>
      <c r="H147" s="406" t="s">
        <v>752</v>
      </c>
      <c r="I147" s="406" t="s">
        <v>753</v>
      </c>
      <c r="J147" s="406" t="s">
        <v>752</v>
      </c>
      <c r="K147" s="406">
        <v>208353</v>
      </c>
      <c r="L147" s="406" t="s">
        <v>292</v>
      </c>
      <c r="M147" s="406" t="s">
        <v>291</v>
      </c>
      <c r="N147" s="630">
        <v>97.681970000000007</v>
      </c>
      <c r="O147" s="630">
        <v>23.821380000000001</v>
      </c>
      <c r="P147" s="741">
        <v>811.6</v>
      </c>
      <c r="Q147" s="663">
        <v>70</v>
      </c>
      <c r="R147" s="663">
        <v>363</v>
      </c>
      <c r="S147" s="732">
        <f>IF(CampList[[#This Row],[HH]]&gt;0,CampList[[#This Row],[Total]]/CampList[[#This Row],[HH]],"NA")</f>
        <v>5.1857142857142859</v>
      </c>
      <c r="T147" s="722" t="s">
        <v>512</v>
      </c>
      <c r="U147" s="726" t="s">
        <v>1193</v>
      </c>
      <c r="V147" s="722" t="s">
        <v>555</v>
      </c>
      <c r="W147" s="726" t="s">
        <v>804</v>
      </c>
      <c r="X147" s="742">
        <v>41609</v>
      </c>
      <c r="Y147" s="743">
        <v>2</v>
      </c>
      <c r="Z147" s="742" t="s">
        <v>461</v>
      </c>
      <c r="AA147" s="735" t="s">
        <v>843</v>
      </c>
      <c r="AB147" s="736"/>
      <c r="AC147" s="744">
        <v>42569</v>
      </c>
      <c r="AD147" s="728" t="s">
        <v>1485</v>
      </c>
      <c r="AE147" s="759" t="s">
        <v>1081</v>
      </c>
      <c r="AF147" s="663">
        <f>IF(CampList[[#This Row],[Type of Accomodation]]="camp",MAX(0,CampList[[#This Row],[HH]]-SUMIF(Table_Shelter[Pcode],CampList[[#This Row],[CP_Pcode]],Table_Shelter[HH Covered])),0)</f>
        <v>0</v>
      </c>
      <c r="AG147" s="722"/>
      <c r="AH147" s="736">
        <f>MIN(CampList[[#This Row],[Shelter Gap]],CampList[[#This Row],[Land Status]])</f>
        <v>0</v>
      </c>
      <c r="AI147" s="722" t="str">
        <f ca="1">IFERROR(OFFSET(DistanceToCamp[Nearest Town],MATCH(CampList[[#This Row],[CP_Pcode]],DistanceToCamp[CP_Pcode],0)-1,0,1,1),"")</f>
        <v>Namhkan Town</v>
      </c>
      <c r="AJ147" s="739">
        <f ca="1">IFERROR(OFFSET(DistanceToCamp[distance],MATCH(CampList[[#This Row],[CP_Pcode]],DistanceToCamp[CP_Pcode],0)-1,0,1,1),"")</f>
        <v>1.7369508287203668</v>
      </c>
      <c r="AK147" s="740">
        <f ca="1">IFERROR(INT(CampList[[#This Row],[Distance]]/5)+1,"")</f>
        <v>1</v>
      </c>
    </row>
    <row r="148" spans="1:37" s="511" customFormat="1" ht="15.6" customHeight="1" x14ac:dyDescent="0.25">
      <c r="A148" s="656" t="s">
        <v>501</v>
      </c>
      <c r="B148" s="406" t="s">
        <v>380</v>
      </c>
      <c r="C148" s="406" t="s">
        <v>526</v>
      </c>
      <c r="D148" s="406" t="s">
        <v>180</v>
      </c>
      <c r="E148" s="406" t="s">
        <v>527</v>
      </c>
      <c r="F148" s="406" t="s">
        <v>528</v>
      </c>
      <c r="G148" s="406" t="s">
        <v>529</v>
      </c>
      <c r="H148" s="728" t="s">
        <v>613</v>
      </c>
      <c r="I148" s="728" t="s">
        <v>614</v>
      </c>
      <c r="J148" s="728" t="s">
        <v>613</v>
      </c>
      <c r="K148" s="728">
        <v>166773</v>
      </c>
      <c r="L148" s="406" t="s">
        <v>120</v>
      </c>
      <c r="M148" s="406" t="s">
        <v>119</v>
      </c>
      <c r="N148" s="630">
        <v>96.353070000000002</v>
      </c>
      <c r="O148" s="630">
        <v>25.655819999999999</v>
      </c>
      <c r="P148" s="741">
        <v>317</v>
      </c>
      <c r="Q148" s="730">
        <v>77</v>
      </c>
      <c r="R148" s="731">
        <v>411</v>
      </c>
      <c r="S148" s="732">
        <f>IF(CampList[[#This Row],[HH]]&gt;0,CampList[[#This Row],[Total]]/CampList[[#This Row],[HH]],"NA")</f>
        <v>5.337662337662338</v>
      </c>
      <c r="T148" s="722" t="s">
        <v>512</v>
      </c>
      <c r="U148" s="726" t="s">
        <v>1193</v>
      </c>
      <c r="V148" s="722" t="s">
        <v>555</v>
      </c>
      <c r="W148" s="726" t="s">
        <v>857</v>
      </c>
      <c r="X148" s="742">
        <v>41275</v>
      </c>
      <c r="Y148" s="743"/>
      <c r="Z148" s="742" t="s">
        <v>1092</v>
      </c>
      <c r="AA148" s="735" t="s">
        <v>843</v>
      </c>
      <c r="AB148" s="736"/>
      <c r="AC148" s="744">
        <v>42565</v>
      </c>
      <c r="AD148" s="656" t="s">
        <v>1427</v>
      </c>
      <c r="AE148" s="759" t="s">
        <v>1095</v>
      </c>
      <c r="AF148" s="663">
        <f>IF(CampList[[#This Row],[Type of Accomodation]]="camp",MAX(0,CampList[[#This Row],[HH]]-SUMIF(Table_Shelter[Pcode],CampList[[#This Row],[CP_Pcode]],Table_Shelter[HH Covered])),0)</f>
        <v>65</v>
      </c>
      <c r="AG148" s="722"/>
      <c r="AH148" s="736">
        <f>MIN(CampList[[#This Row],[Shelter Gap]],CampList[[#This Row],[Land Status]])</f>
        <v>65</v>
      </c>
      <c r="AI148" s="722" t="str">
        <f ca="1">IFERROR(OFFSET(DistanceToCamp[Nearest Town],MATCH(CampList[[#This Row],[CP_Pcode]],DistanceToCamp[CP_Pcode],0)-1,0,1,1),"")</f>
        <v>Hpakant Town</v>
      </c>
      <c r="AJ148" s="739">
        <f ca="1">IFERROR(OFFSET(DistanceToCamp[distance],MATCH(CampList[[#This Row],[CP_Pcode]],DistanceToCamp[CP_Pcode],0)-1,0,1,1),"")</f>
        <v>6.3039408411778268</v>
      </c>
      <c r="AK148" s="740">
        <f ca="1">IFERROR(INT(CampList[[#This Row],[Distance]]/5)+1,"")</f>
        <v>2</v>
      </c>
    </row>
    <row r="149" spans="1:37" s="511" customFormat="1" ht="15.6" customHeight="1" x14ac:dyDescent="0.25">
      <c r="A149" s="656" t="s">
        <v>501</v>
      </c>
      <c r="B149" s="406" t="s">
        <v>380</v>
      </c>
      <c r="C149" s="406" t="s">
        <v>526</v>
      </c>
      <c r="D149" s="406" t="s">
        <v>180</v>
      </c>
      <c r="E149" s="406" t="s">
        <v>527</v>
      </c>
      <c r="F149" s="406" t="s">
        <v>528</v>
      </c>
      <c r="G149" s="406" t="s">
        <v>529</v>
      </c>
      <c r="H149" s="728" t="s">
        <v>613</v>
      </c>
      <c r="I149" s="728" t="s">
        <v>614</v>
      </c>
      <c r="J149" s="728" t="s">
        <v>615</v>
      </c>
      <c r="K149" s="728">
        <v>166775</v>
      </c>
      <c r="L149" s="406" t="s">
        <v>52</v>
      </c>
      <c r="M149" s="406" t="s">
        <v>51</v>
      </c>
      <c r="N149" s="630">
        <v>96.346469999999997</v>
      </c>
      <c r="O149" s="630">
        <v>25.647649999999999</v>
      </c>
      <c r="P149" s="741">
        <v>0</v>
      </c>
      <c r="Q149" s="663">
        <v>35</v>
      </c>
      <c r="R149" s="663">
        <v>226</v>
      </c>
      <c r="S149" s="732">
        <f>IF(CampList[[#This Row],[HH]]&gt;0,CampList[[#This Row],[Total]]/CampList[[#This Row],[HH]],"NA")</f>
        <v>6.4571428571428573</v>
      </c>
      <c r="T149" s="722" t="s">
        <v>512</v>
      </c>
      <c r="U149" s="726" t="s">
        <v>1193</v>
      </c>
      <c r="V149" s="722" t="s">
        <v>555</v>
      </c>
      <c r="W149" s="726" t="s">
        <v>857</v>
      </c>
      <c r="X149" s="742">
        <v>41275</v>
      </c>
      <c r="Y149" s="743">
        <v>2</v>
      </c>
      <c r="Z149" s="742" t="s">
        <v>461</v>
      </c>
      <c r="AA149" s="735" t="s">
        <v>843</v>
      </c>
      <c r="AB149" s="736"/>
      <c r="AC149" s="744">
        <v>42569</v>
      </c>
      <c r="AD149" s="656" t="s">
        <v>1478</v>
      </c>
      <c r="AE149" s="759" t="s">
        <v>1095</v>
      </c>
      <c r="AF149" s="663">
        <f>IF(CampList[[#This Row],[Type of Accomodation]]="camp",MAX(0,CampList[[#This Row],[HH]]-SUMIF(Table_Shelter[Pcode],CampList[[#This Row],[CP_Pcode]],Table_Shelter[HH Covered])),0)</f>
        <v>15</v>
      </c>
      <c r="AG149" s="722"/>
      <c r="AH149" s="736">
        <f>MIN(CampList[[#This Row],[Shelter Gap]],CampList[[#This Row],[Land Status]])</f>
        <v>15</v>
      </c>
      <c r="AI149" s="722" t="str">
        <f ca="1">IFERROR(OFFSET(DistanceToCamp[Nearest Town],MATCH(CampList[[#This Row],[CP_Pcode]],DistanceToCamp[CP_Pcode],0)-1,0,1,1),"")</f>
        <v>Hpakant Town</v>
      </c>
      <c r="AJ149" s="739">
        <f ca="1">IFERROR(OFFSET(DistanceToCamp[distance],MATCH(CampList[[#This Row],[CP_Pcode]],DistanceToCamp[CP_Pcode],0)-1,0,1,1),"")</f>
        <v>5.184483270539272</v>
      </c>
      <c r="AK149" s="740">
        <f ca="1">IFERROR(INT(CampList[[#This Row],[Distance]]/5)+1,"")</f>
        <v>2</v>
      </c>
    </row>
    <row r="150" spans="1:37" s="511" customFormat="1" ht="15.6" hidden="1" customHeight="1" x14ac:dyDescent="0.25">
      <c r="A150" s="656" t="s">
        <v>844</v>
      </c>
      <c r="B150" s="406" t="s">
        <v>380</v>
      </c>
      <c r="C150" s="406" t="s">
        <v>526</v>
      </c>
      <c r="D150" s="406" t="s">
        <v>180</v>
      </c>
      <c r="E150" s="406" t="s">
        <v>527</v>
      </c>
      <c r="F150" s="406" t="s">
        <v>528</v>
      </c>
      <c r="G150" s="406" t="s">
        <v>529</v>
      </c>
      <c r="H150" s="728" t="s">
        <v>613</v>
      </c>
      <c r="I150" s="728" t="s">
        <v>614</v>
      </c>
      <c r="J150" s="728" t="s">
        <v>761</v>
      </c>
      <c r="K150" s="728">
        <v>216877</v>
      </c>
      <c r="L150" s="406" t="s">
        <v>48</v>
      </c>
      <c r="M150" s="406" t="s">
        <v>47</v>
      </c>
      <c r="N150" s="630">
        <v>96.339870000000005</v>
      </c>
      <c r="O150" s="630">
        <v>25.655989999999999</v>
      </c>
      <c r="P150" s="729"/>
      <c r="Q150" s="730">
        <v>0</v>
      </c>
      <c r="R150" s="731">
        <v>0</v>
      </c>
      <c r="S150" s="732" t="str">
        <f>IF(CampList[[#This Row],[HH]]&gt;0,CampList[[#This Row],[Total]]/CampList[[#This Row],[HH]],"NA")</f>
        <v>NA</v>
      </c>
      <c r="T150" s="722" t="s">
        <v>512</v>
      </c>
      <c r="U150" s="726" t="s">
        <v>1193</v>
      </c>
      <c r="V150" s="722" t="s">
        <v>555</v>
      </c>
      <c r="W150" s="726"/>
      <c r="X150" s="733"/>
      <c r="Y150" s="729"/>
      <c r="Z150" s="734"/>
      <c r="AA150" s="735"/>
      <c r="AB150" s="736"/>
      <c r="AC150" s="737"/>
      <c r="AD150" s="656" t="s">
        <v>602</v>
      </c>
      <c r="AE150" s="755" t="s">
        <v>1009</v>
      </c>
      <c r="AF150" s="663">
        <f>IF(CampList[[#This Row],[Type of Accomodation]]="camp",MAX(0,CampList[[#This Row],[HH]]-SUMIF(Table_Shelter[Pcode],CampList[[#This Row],[CP_Pcode]],Table_Shelter[HH Covered])),0)</f>
        <v>0</v>
      </c>
      <c r="AG150" s="722"/>
      <c r="AH150" s="736">
        <f>MIN(CampList[[#This Row],[Shelter Gap]],CampList[[#This Row],[Land Status]])</f>
        <v>0</v>
      </c>
      <c r="AI150" s="722" t="str">
        <f ca="1">IFERROR(OFFSET(DistanceToCamp[Nearest Town],MATCH(CampList[[#This Row],[CP_Pcode]],DistanceToCamp[CP_Pcode],0)-1,0,1,1),"")</f>
        <v/>
      </c>
      <c r="AJ150" s="739" t="str">
        <f ca="1">IFERROR(OFFSET(DistanceToCamp[distance],MATCH(CampList[[#This Row],[CP_Pcode]],DistanceToCamp[CP_Pcode],0)-1,0,1,1),"")</f>
        <v/>
      </c>
      <c r="AK150" s="740" t="str">
        <f ca="1">IFERROR(INT(CampList[[#This Row],[Distance]]/5)+1,"")</f>
        <v/>
      </c>
    </row>
    <row r="151" spans="1:37" s="511" customFormat="1" ht="15.6" hidden="1" customHeight="1" x14ac:dyDescent="0.25">
      <c r="A151" s="656" t="s">
        <v>844</v>
      </c>
      <c r="B151" s="406" t="s">
        <v>380</v>
      </c>
      <c r="C151" s="406" t="s">
        <v>526</v>
      </c>
      <c r="D151" s="406" t="s">
        <v>180</v>
      </c>
      <c r="E151" s="406" t="s">
        <v>527</v>
      </c>
      <c r="F151" s="406" t="s">
        <v>528</v>
      </c>
      <c r="G151" s="406" t="s">
        <v>529</v>
      </c>
      <c r="H151" s="728" t="s">
        <v>613</v>
      </c>
      <c r="I151" s="728" t="s">
        <v>614</v>
      </c>
      <c r="J151" s="728" t="s">
        <v>613</v>
      </c>
      <c r="K151" s="728">
        <v>166773</v>
      </c>
      <c r="L151" s="406" t="s">
        <v>128</v>
      </c>
      <c r="M151" s="406" t="s">
        <v>127</v>
      </c>
      <c r="N151" s="630">
        <v>96.359549999999999</v>
      </c>
      <c r="O151" s="630">
        <v>25.658650000000002</v>
      </c>
      <c r="P151" s="729"/>
      <c r="Q151" s="730">
        <v>0</v>
      </c>
      <c r="R151" s="731">
        <v>0</v>
      </c>
      <c r="S151" s="732" t="str">
        <f>IF(CampList[[#This Row],[HH]]&gt;0,CampList[[#This Row],[Total]]/CampList[[#This Row],[HH]],"NA")</f>
        <v>NA</v>
      </c>
      <c r="T151" s="722" t="s">
        <v>512</v>
      </c>
      <c r="U151" s="726" t="s">
        <v>1193</v>
      </c>
      <c r="V151" s="722" t="s">
        <v>555</v>
      </c>
      <c r="W151" s="726"/>
      <c r="X151" s="733"/>
      <c r="Y151" s="729"/>
      <c r="Z151" s="734"/>
      <c r="AA151" s="735"/>
      <c r="AB151" s="736"/>
      <c r="AC151" s="737"/>
      <c r="AD151" s="656" t="s">
        <v>602</v>
      </c>
      <c r="AE151" s="738" t="s">
        <v>1009</v>
      </c>
      <c r="AF151" s="663">
        <f>IF(CampList[[#This Row],[Type of Accomodation]]="camp",MAX(0,CampList[[#This Row],[HH]]-SUMIF(Table_Shelter[Pcode],CampList[[#This Row],[CP_Pcode]],Table_Shelter[HH Covered])),0)</f>
        <v>0</v>
      </c>
      <c r="AG151" s="722"/>
      <c r="AH151" s="736">
        <f>MIN(CampList[[#This Row],[Shelter Gap]],CampList[[#This Row],[Land Status]])</f>
        <v>0</v>
      </c>
      <c r="AI151" s="722" t="str">
        <f ca="1">IFERROR(OFFSET(DistanceToCamp[Nearest Town],MATCH(CampList[[#This Row],[CP_Pcode]],DistanceToCamp[CP_Pcode],0)-1,0,1,1),"")</f>
        <v/>
      </c>
      <c r="AJ151" s="739" t="str">
        <f ca="1">IFERROR(OFFSET(DistanceToCamp[distance],MATCH(CampList[[#This Row],[CP_Pcode]],DistanceToCamp[CP_Pcode],0)-1,0,1,1),"")</f>
        <v/>
      </c>
      <c r="AK151" s="740" t="str">
        <f ca="1">IFERROR(INT(CampList[[#This Row],[Distance]]/5)+1,"")</f>
        <v/>
      </c>
    </row>
    <row r="152" spans="1:37" s="511" customFormat="1" ht="15.6" hidden="1" customHeight="1" x14ac:dyDescent="0.25">
      <c r="A152" s="656" t="s">
        <v>844</v>
      </c>
      <c r="B152" s="406" t="s">
        <v>380</v>
      </c>
      <c r="C152" s="406" t="s">
        <v>526</v>
      </c>
      <c r="D152" s="406" t="s">
        <v>180</v>
      </c>
      <c r="E152" s="406" t="s">
        <v>527</v>
      </c>
      <c r="F152" s="406" t="s">
        <v>528</v>
      </c>
      <c r="G152" s="406" t="s">
        <v>529</v>
      </c>
      <c r="H152" s="728" t="s">
        <v>613</v>
      </c>
      <c r="I152" s="728" t="s">
        <v>614</v>
      </c>
      <c r="J152" s="728" t="s">
        <v>616</v>
      </c>
      <c r="K152" s="728">
        <v>216880</v>
      </c>
      <c r="L152" s="406" t="s">
        <v>60</v>
      </c>
      <c r="M152" s="406" t="s">
        <v>59</v>
      </c>
      <c r="N152" s="630">
        <v>96.353070000000002</v>
      </c>
      <c r="O152" s="630">
        <v>25.668469999999999</v>
      </c>
      <c r="P152" s="747">
        <v>256</v>
      </c>
      <c r="Q152" s="730">
        <v>0</v>
      </c>
      <c r="R152" s="731">
        <v>0</v>
      </c>
      <c r="S152" s="732" t="str">
        <f>IF(CampList[[#This Row],[HH]]&gt;0,CampList[[#This Row],[Total]]/CampList[[#This Row],[HH]],"NA")</f>
        <v>NA</v>
      </c>
      <c r="T152" s="722" t="s">
        <v>512</v>
      </c>
      <c r="U152" s="726" t="s">
        <v>1193</v>
      </c>
      <c r="V152" s="722" t="s">
        <v>555</v>
      </c>
      <c r="W152" s="726" t="s">
        <v>857</v>
      </c>
      <c r="X152" s="742">
        <v>41275</v>
      </c>
      <c r="Y152" s="743"/>
      <c r="Z152" s="742"/>
      <c r="AA152" s="735" t="s">
        <v>842</v>
      </c>
      <c r="AB152" s="736"/>
      <c r="AC152" s="744">
        <v>41774</v>
      </c>
      <c r="AD152" s="656" t="s">
        <v>1048</v>
      </c>
      <c r="AE152" s="759" t="s">
        <v>1009</v>
      </c>
      <c r="AF152" s="663">
        <f>IF(CampList[[#This Row],[Type of Accomodation]]="camp",MAX(0,CampList[[#This Row],[HH]]-SUMIF(Table_Shelter[Pcode],CampList[[#This Row],[CP_Pcode]],Table_Shelter[HH Covered])),0)</f>
        <v>0</v>
      </c>
      <c r="AG152" s="722"/>
      <c r="AH152" s="736">
        <f>MIN(CampList[[#This Row],[Shelter Gap]],CampList[[#This Row],[Land Status]])</f>
        <v>0</v>
      </c>
      <c r="AI152" s="722" t="str">
        <f ca="1">IFERROR(OFFSET(DistanceToCamp[Nearest Town],MATCH(CampList[[#This Row],[CP_Pcode]],DistanceToCamp[CP_Pcode],0)-1,0,1,1),"")</f>
        <v/>
      </c>
      <c r="AJ152" s="739" t="str">
        <f ca="1">IFERROR(OFFSET(DistanceToCamp[distance],MATCH(CampList[[#This Row],[CP_Pcode]],DistanceToCamp[CP_Pcode],0)-1,0,1,1),"")</f>
        <v/>
      </c>
      <c r="AK152" s="740" t="str">
        <f ca="1">IFERROR(INT(CampList[[#This Row],[Distance]]/5)+1,"")</f>
        <v/>
      </c>
    </row>
    <row r="153" spans="1:37" s="511" customFormat="1" ht="15.6" hidden="1" customHeight="1" x14ac:dyDescent="0.25">
      <c r="A153" s="656" t="s">
        <v>844</v>
      </c>
      <c r="B153" s="406" t="s">
        <v>380</v>
      </c>
      <c r="C153" s="406" t="s">
        <v>526</v>
      </c>
      <c r="D153" s="406" t="s">
        <v>180</v>
      </c>
      <c r="E153" s="406" t="s">
        <v>527</v>
      </c>
      <c r="F153" s="406" t="s">
        <v>528</v>
      </c>
      <c r="G153" s="406" t="s">
        <v>529</v>
      </c>
      <c r="H153" s="728" t="s">
        <v>613</v>
      </c>
      <c r="I153" s="728" t="s">
        <v>614</v>
      </c>
      <c r="J153" s="728" t="s">
        <v>615</v>
      </c>
      <c r="K153" s="728">
        <v>166775</v>
      </c>
      <c r="L153" s="406" t="s">
        <v>39</v>
      </c>
      <c r="M153" s="406" t="s">
        <v>38</v>
      </c>
      <c r="N153" s="630"/>
      <c r="O153" s="630"/>
      <c r="P153" s="729"/>
      <c r="Q153" s="730">
        <v>0</v>
      </c>
      <c r="R153" s="731">
        <v>0</v>
      </c>
      <c r="S153" s="732" t="str">
        <f>IF(CampList[[#This Row],[HH]]&gt;0,CampList[[#This Row],[Total]]/CampList[[#This Row],[HH]],"NA")</f>
        <v>NA</v>
      </c>
      <c r="T153" s="722" t="s">
        <v>512</v>
      </c>
      <c r="U153" s="726" t="s">
        <v>1193</v>
      </c>
      <c r="V153" s="722" t="s">
        <v>555</v>
      </c>
      <c r="W153" s="726"/>
      <c r="X153" s="733"/>
      <c r="Y153" s="729"/>
      <c r="Z153" s="734"/>
      <c r="AA153" s="735"/>
      <c r="AB153" s="736"/>
      <c r="AC153" s="737"/>
      <c r="AD153" s="656" t="s">
        <v>602</v>
      </c>
      <c r="AE153" s="755" t="s">
        <v>1009</v>
      </c>
      <c r="AF153" s="663">
        <f>IF(CampList[[#This Row],[Type of Accomodation]]="camp",MAX(0,CampList[[#This Row],[HH]]-SUMIF(Table_Shelter[Pcode],CampList[[#This Row],[CP_Pcode]],Table_Shelter[HH Covered])),0)</f>
        <v>0</v>
      </c>
      <c r="AG153" s="722"/>
      <c r="AH153" s="736">
        <f>MIN(CampList[[#This Row],[Shelter Gap]],CampList[[#This Row],[Land Status]])</f>
        <v>0</v>
      </c>
      <c r="AI153" s="722" t="str">
        <f ca="1">IFERROR(OFFSET(DistanceToCamp[Nearest Town],MATCH(CampList[[#This Row],[CP_Pcode]],DistanceToCamp[CP_Pcode],0)-1,0,1,1),"")</f>
        <v/>
      </c>
      <c r="AJ153" s="739" t="str">
        <f ca="1">IFERROR(OFFSET(DistanceToCamp[distance],MATCH(CampList[[#This Row],[CP_Pcode]],DistanceToCamp[CP_Pcode],0)-1,0,1,1),"")</f>
        <v/>
      </c>
      <c r="AK153" s="740" t="str">
        <f ca="1">IFERROR(INT(CampList[[#This Row],[Distance]]/5)+1,"")</f>
        <v/>
      </c>
    </row>
    <row r="154" spans="1:37" s="511" customFormat="1" ht="15.6" customHeight="1" x14ac:dyDescent="0.25">
      <c r="A154" s="656" t="s">
        <v>501</v>
      </c>
      <c r="B154" s="406" t="s">
        <v>380</v>
      </c>
      <c r="C154" s="406" t="s">
        <v>526</v>
      </c>
      <c r="D154" s="406" t="s">
        <v>180</v>
      </c>
      <c r="E154" s="406" t="s">
        <v>527</v>
      </c>
      <c r="F154" s="406" t="s">
        <v>528</v>
      </c>
      <c r="G154" s="406" t="s">
        <v>529</v>
      </c>
      <c r="H154" s="728" t="s">
        <v>613</v>
      </c>
      <c r="I154" s="728" t="s">
        <v>614</v>
      </c>
      <c r="J154" s="728" t="s">
        <v>1396</v>
      </c>
      <c r="K154" s="763">
        <v>216876</v>
      </c>
      <c r="L154" s="406" t="s">
        <v>76</v>
      </c>
      <c r="M154" s="406" t="s">
        <v>75</v>
      </c>
      <c r="N154" s="630">
        <v>96.35257</v>
      </c>
      <c r="O154" s="630">
        <v>25.637309999999999</v>
      </c>
      <c r="P154" s="747">
        <v>277.60000000000002</v>
      </c>
      <c r="Q154" s="138">
        <v>66</v>
      </c>
      <c r="R154" s="663">
        <v>356</v>
      </c>
      <c r="S154" s="732">
        <f>IF(CampList[[#This Row],[HH]]&gt;0,CampList[[#This Row],[Total]]/CampList[[#This Row],[HH]],"NA")</f>
        <v>5.3939393939393936</v>
      </c>
      <c r="T154" s="722" t="s">
        <v>512</v>
      </c>
      <c r="U154" s="726" t="s">
        <v>1193</v>
      </c>
      <c r="V154" s="722" t="s">
        <v>555</v>
      </c>
      <c r="W154" s="663" t="s">
        <v>804</v>
      </c>
      <c r="X154" s="742">
        <v>41275</v>
      </c>
      <c r="Y154" s="743">
        <v>1</v>
      </c>
      <c r="Z154" s="742" t="s">
        <v>506</v>
      </c>
      <c r="AA154" s="735" t="s">
        <v>843</v>
      </c>
      <c r="AB154" s="736"/>
      <c r="AC154" s="744">
        <v>42571</v>
      </c>
      <c r="AD154" s="656" t="s">
        <v>1503</v>
      </c>
      <c r="AE154" s="759" t="s">
        <v>1095</v>
      </c>
      <c r="AF154" s="663">
        <f>IF(CampList[[#This Row],[Type of Accomodation]]="camp",MAX(0,CampList[[#This Row],[HH]]-SUMIF(Table_Shelter[Pcode],CampList[[#This Row],[CP_Pcode]],Table_Shelter[HH Covered])),0)</f>
        <v>0</v>
      </c>
      <c r="AG154" s="722"/>
      <c r="AH154" s="736">
        <f>MIN(CampList[[#This Row],[Shelter Gap]],CampList[[#This Row],[Land Status]])</f>
        <v>0</v>
      </c>
      <c r="AI154" s="722" t="str">
        <f ca="1">IFERROR(OFFSET(DistanceToCamp[Nearest Town],MATCH(CampList[[#This Row],[CP_Pcode]],DistanceToCamp[CP_Pcode],0)-1,0,1,1),"")</f>
        <v>Hpakant Town</v>
      </c>
      <c r="AJ154" s="739">
        <f ca="1">IFERROR(OFFSET(DistanceToCamp[distance],MATCH(CampList[[#This Row],[CP_Pcode]],DistanceToCamp[CP_Pcode],0)-1,0,1,1),"")</f>
        <v>4.8862832644478198</v>
      </c>
      <c r="AK154" s="740">
        <f ca="1">IFERROR(INT(CampList[[#This Row],[Distance]]/5)+1,"")</f>
        <v>1</v>
      </c>
    </row>
    <row r="155" spans="1:37" s="511" customFormat="1" ht="15.6" hidden="1" customHeight="1" x14ac:dyDescent="0.25">
      <c r="A155" s="656" t="s">
        <v>844</v>
      </c>
      <c r="B155" s="406" t="s">
        <v>380</v>
      </c>
      <c r="C155" s="406" t="s">
        <v>526</v>
      </c>
      <c r="D155" s="406" t="s">
        <v>180</v>
      </c>
      <c r="E155" s="406" t="s">
        <v>527</v>
      </c>
      <c r="F155" s="406" t="s">
        <v>528</v>
      </c>
      <c r="G155" s="406" t="s">
        <v>529</v>
      </c>
      <c r="H155" s="728" t="s">
        <v>604</v>
      </c>
      <c r="I155" s="728" t="s">
        <v>605</v>
      </c>
      <c r="J155" s="728" t="s">
        <v>702</v>
      </c>
      <c r="K155" s="728" t="s">
        <v>703</v>
      </c>
      <c r="L155" s="406" t="s">
        <v>74</v>
      </c>
      <c r="M155" s="406" t="s">
        <v>73</v>
      </c>
      <c r="N155" s="630"/>
      <c r="O155" s="630"/>
      <c r="P155" s="729"/>
      <c r="Q155" s="730">
        <v>0</v>
      </c>
      <c r="R155" s="731">
        <v>0</v>
      </c>
      <c r="S155" s="732" t="str">
        <f>IF(CampList[[#This Row],[HH]]&gt;0,CampList[[#This Row],[Total]]/CampList[[#This Row],[HH]],"NA")</f>
        <v>NA</v>
      </c>
      <c r="T155" s="722" t="s">
        <v>512</v>
      </c>
      <c r="U155" s="726" t="s">
        <v>1193</v>
      </c>
      <c r="V155" s="722" t="s">
        <v>555</v>
      </c>
      <c r="W155" s="726"/>
      <c r="X155" s="733"/>
      <c r="Y155" s="729"/>
      <c r="Z155" s="734"/>
      <c r="AA155" s="735"/>
      <c r="AB155" s="736"/>
      <c r="AC155" s="737"/>
      <c r="AD155" s="656" t="s">
        <v>602</v>
      </c>
      <c r="AE155" s="755" t="s">
        <v>1009</v>
      </c>
      <c r="AF155" s="663">
        <f>IF(CampList[[#This Row],[Type of Accomodation]]="camp",MAX(0,CampList[[#This Row],[HH]]-SUMIF(Table_Shelter[Pcode],CampList[[#This Row],[CP_Pcode]],Table_Shelter[HH Covered])),0)</f>
        <v>0</v>
      </c>
      <c r="AG155" s="722"/>
      <c r="AH155" s="736">
        <f>MIN(CampList[[#This Row],[Shelter Gap]],CampList[[#This Row],[Land Status]])</f>
        <v>0</v>
      </c>
      <c r="AI155" s="722" t="str">
        <f ca="1">IFERROR(OFFSET(DistanceToCamp[Nearest Town],MATCH(CampList[[#This Row],[CP_Pcode]],DistanceToCamp[CP_Pcode],0)-1,0,1,1),"")</f>
        <v/>
      </c>
      <c r="AJ155" s="739" t="str">
        <f ca="1">IFERROR(OFFSET(DistanceToCamp[distance],MATCH(CampList[[#This Row],[CP_Pcode]],DistanceToCamp[CP_Pcode],0)-1,0,1,1),"")</f>
        <v/>
      </c>
      <c r="AK155" s="740" t="str">
        <f ca="1">IFERROR(INT(CampList[[#This Row],[Distance]]/5)+1,"")</f>
        <v/>
      </c>
    </row>
    <row r="156" spans="1:37" s="511" customFormat="1" ht="15.6" customHeight="1" x14ac:dyDescent="0.25">
      <c r="A156" s="656" t="s">
        <v>501</v>
      </c>
      <c r="B156" s="406" t="s">
        <v>380</v>
      </c>
      <c r="C156" s="406" t="s">
        <v>526</v>
      </c>
      <c r="D156" s="406" t="s">
        <v>180</v>
      </c>
      <c r="E156" s="406" t="s">
        <v>527</v>
      </c>
      <c r="F156" s="406" t="s">
        <v>528</v>
      </c>
      <c r="G156" s="406" t="s">
        <v>529</v>
      </c>
      <c r="H156" s="728" t="s">
        <v>613</v>
      </c>
      <c r="I156" s="728" t="s">
        <v>614</v>
      </c>
      <c r="J156" s="728" t="s">
        <v>613</v>
      </c>
      <c r="K156" s="746">
        <v>166773</v>
      </c>
      <c r="L156" s="406" t="s">
        <v>41</v>
      </c>
      <c r="M156" s="406" t="s">
        <v>40</v>
      </c>
      <c r="N156" s="630">
        <v>96.345569999999995</v>
      </c>
      <c r="O156" s="630">
        <v>25.635300000000001</v>
      </c>
      <c r="P156" s="747">
        <v>0</v>
      </c>
      <c r="Q156" s="138">
        <v>67</v>
      </c>
      <c r="R156" s="663">
        <v>350</v>
      </c>
      <c r="S156" s="732">
        <f>IF(CampList[[#This Row],[HH]]&gt;0,CampList[[#This Row],[Total]]/CampList[[#This Row],[HH]],"NA")</f>
        <v>5.2238805970149258</v>
      </c>
      <c r="T156" s="722" t="s">
        <v>512</v>
      </c>
      <c r="U156" s="726" t="s">
        <v>1193</v>
      </c>
      <c r="V156" s="722" t="s">
        <v>555</v>
      </c>
      <c r="W156" s="726" t="s">
        <v>804</v>
      </c>
      <c r="X156" s="742">
        <v>41275</v>
      </c>
      <c r="Y156" s="743">
        <v>1</v>
      </c>
      <c r="Z156" s="742" t="s">
        <v>506</v>
      </c>
      <c r="AA156" s="735" t="s">
        <v>843</v>
      </c>
      <c r="AB156" s="736"/>
      <c r="AC156" s="744">
        <v>42571</v>
      </c>
      <c r="AD156" s="656" t="s">
        <v>1500</v>
      </c>
      <c r="AE156" s="759" t="s">
        <v>1095</v>
      </c>
      <c r="AF156" s="663">
        <f>IF(CampList[[#This Row],[Type of Accomodation]]="camp",MAX(0,CampList[[#This Row],[HH]]-SUMIF(Table_Shelter[Pcode],CampList[[#This Row],[CP_Pcode]],Table_Shelter[HH Covered])),0)</f>
        <v>7</v>
      </c>
      <c r="AG156" s="722"/>
      <c r="AH156" s="736">
        <f>MIN(CampList[[#This Row],[Shelter Gap]],CampList[[#This Row],[Land Status]])</f>
        <v>7</v>
      </c>
      <c r="AI156" s="722" t="str">
        <f ca="1">IFERROR(OFFSET(DistanceToCamp[Nearest Town],MATCH(CampList[[#This Row],[CP_Pcode]],DistanceToCamp[CP_Pcode],0)-1,0,1,1),"")</f>
        <v>Hpakant Town</v>
      </c>
      <c r="AJ156" s="739">
        <f ca="1">IFERROR(OFFSET(DistanceToCamp[distance],MATCH(CampList[[#This Row],[CP_Pcode]],DistanceToCamp[CP_Pcode],0)-1,0,1,1),"")</f>
        <v>4.1842484710239098</v>
      </c>
      <c r="AK156" s="740">
        <f ca="1">IFERROR(INT(CampList[[#This Row],[Distance]]/5)+1,"")</f>
        <v>1</v>
      </c>
    </row>
    <row r="157" spans="1:37" s="511" customFormat="1" ht="15.6" hidden="1" customHeight="1" x14ac:dyDescent="0.25">
      <c r="A157" s="656" t="s">
        <v>844</v>
      </c>
      <c r="B157" s="406" t="s">
        <v>380</v>
      </c>
      <c r="C157" s="406" t="s">
        <v>526</v>
      </c>
      <c r="D157" s="406" t="s">
        <v>180</v>
      </c>
      <c r="E157" s="406" t="s">
        <v>527</v>
      </c>
      <c r="F157" s="406" t="s">
        <v>528</v>
      </c>
      <c r="G157" s="406" t="s">
        <v>529</v>
      </c>
      <c r="H157" s="728" t="s">
        <v>613</v>
      </c>
      <c r="I157" s="728" t="s">
        <v>614</v>
      </c>
      <c r="J157" s="728" t="s">
        <v>613</v>
      </c>
      <c r="K157" s="728">
        <v>166773</v>
      </c>
      <c r="L157" s="406" t="s">
        <v>142</v>
      </c>
      <c r="M157" s="406" t="s">
        <v>141</v>
      </c>
      <c r="N157" s="630">
        <v>96.354159999999993</v>
      </c>
      <c r="O157" s="630">
        <v>25.658670000000001</v>
      </c>
      <c r="P157" s="741">
        <v>0</v>
      </c>
      <c r="Q157" s="730">
        <v>0</v>
      </c>
      <c r="R157" s="731">
        <v>0</v>
      </c>
      <c r="S157" s="732" t="str">
        <f>IF(CampList[[#This Row],[HH]]&gt;0,CampList[[#This Row],[Total]]/CampList[[#This Row],[HH]],"NA")</f>
        <v>NA</v>
      </c>
      <c r="T157" s="722" t="s">
        <v>512</v>
      </c>
      <c r="U157" s="726" t="s">
        <v>1193</v>
      </c>
      <c r="V157" s="722" t="s">
        <v>555</v>
      </c>
      <c r="W157" s="726" t="s">
        <v>857</v>
      </c>
      <c r="X157" s="742">
        <v>41275</v>
      </c>
      <c r="Y157" s="743"/>
      <c r="Z157" s="742"/>
      <c r="AA157" s="735" t="s">
        <v>842</v>
      </c>
      <c r="AB157" s="736"/>
      <c r="AC157" s="744">
        <v>41774</v>
      </c>
      <c r="AD157" s="656" t="s">
        <v>1050</v>
      </c>
      <c r="AE157" s="759" t="s">
        <v>1009</v>
      </c>
      <c r="AF157" s="663">
        <f>IF(CampList[[#This Row],[Type of Accomodation]]="camp",MAX(0,CampList[[#This Row],[HH]]-SUMIF(Table_Shelter[Pcode],CampList[[#This Row],[CP_Pcode]],Table_Shelter[HH Covered])),0)</f>
        <v>0</v>
      </c>
      <c r="AG157" s="722"/>
      <c r="AH157" s="736">
        <f>MIN(CampList[[#This Row],[Shelter Gap]],CampList[[#This Row],[Land Status]])</f>
        <v>0</v>
      </c>
      <c r="AI157" s="722" t="str">
        <f ca="1">IFERROR(OFFSET(DistanceToCamp[Nearest Town],MATCH(CampList[[#This Row],[CP_Pcode]],DistanceToCamp[CP_Pcode],0)-1,0,1,1),"")</f>
        <v/>
      </c>
      <c r="AJ157" s="739" t="str">
        <f ca="1">IFERROR(OFFSET(DistanceToCamp[distance],MATCH(CampList[[#This Row],[CP_Pcode]],DistanceToCamp[CP_Pcode],0)-1,0,1,1),"")</f>
        <v/>
      </c>
      <c r="AK157" s="740" t="str">
        <f ca="1">IFERROR(INT(CampList[[#This Row],[Distance]]/5)+1,"")</f>
        <v/>
      </c>
    </row>
    <row r="158" spans="1:37" s="511" customFormat="1" ht="15.6" hidden="1" customHeight="1" x14ac:dyDescent="0.25">
      <c r="A158" s="656" t="s">
        <v>844</v>
      </c>
      <c r="B158" s="406" t="s">
        <v>380</v>
      </c>
      <c r="C158" s="406" t="s">
        <v>526</v>
      </c>
      <c r="D158" s="406" t="s">
        <v>180</v>
      </c>
      <c r="E158" s="406" t="s">
        <v>527</v>
      </c>
      <c r="F158" s="406" t="s">
        <v>528</v>
      </c>
      <c r="G158" s="406" t="s">
        <v>529</v>
      </c>
      <c r="H158" s="728" t="s">
        <v>613</v>
      </c>
      <c r="I158" s="728" t="s">
        <v>614</v>
      </c>
      <c r="J158" s="728" t="s">
        <v>613</v>
      </c>
      <c r="K158" s="728">
        <v>166773</v>
      </c>
      <c r="L158" s="406" t="s">
        <v>98</v>
      </c>
      <c r="M158" s="406" t="s">
        <v>97</v>
      </c>
      <c r="N158" s="630">
        <v>96.359309999999994</v>
      </c>
      <c r="O158" s="630">
        <v>25.651440000000001</v>
      </c>
      <c r="P158" s="753"/>
      <c r="Q158" s="730">
        <v>0</v>
      </c>
      <c r="R158" s="731">
        <v>0</v>
      </c>
      <c r="S158" s="732" t="str">
        <f>IF(CampList[[#This Row],[HH]]&gt;0,CampList[[#This Row],[Total]]/CampList[[#This Row],[HH]],"NA")</f>
        <v>NA</v>
      </c>
      <c r="T158" s="722" t="s">
        <v>512</v>
      </c>
      <c r="U158" s="726" t="s">
        <v>1193</v>
      </c>
      <c r="V158" s="722" t="s">
        <v>555</v>
      </c>
      <c r="W158" s="726"/>
      <c r="X158" s="733"/>
      <c r="Y158" s="729"/>
      <c r="Z158" s="734"/>
      <c r="AA158" s="735"/>
      <c r="AB158" s="736"/>
      <c r="AC158" s="737"/>
      <c r="AD158" s="656" t="s">
        <v>602</v>
      </c>
      <c r="AE158" s="755" t="s">
        <v>1009</v>
      </c>
      <c r="AF158" s="663">
        <f>IF(CampList[[#This Row],[Type of Accomodation]]="camp",MAX(0,CampList[[#This Row],[HH]]-SUMIF(Table_Shelter[Pcode],CampList[[#This Row],[CP_Pcode]],Table_Shelter[HH Covered])),0)</f>
        <v>0</v>
      </c>
      <c r="AG158" s="722"/>
      <c r="AH158" s="736">
        <f>MIN(CampList[[#This Row],[Shelter Gap]],CampList[[#This Row],[Land Status]])</f>
        <v>0</v>
      </c>
      <c r="AI158" s="722" t="str">
        <f ca="1">IFERROR(OFFSET(DistanceToCamp[Nearest Town],MATCH(CampList[[#This Row],[CP_Pcode]],DistanceToCamp[CP_Pcode],0)-1,0,1,1),"")</f>
        <v/>
      </c>
      <c r="AJ158" s="739" t="str">
        <f ca="1">IFERROR(OFFSET(DistanceToCamp[distance],MATCH(CampList[[#This Row],[CP_Pcode]],DistanceToCamp[CP_Pcode],0)-1,0,1,1),"")</f>
        <v/>
      </c>
      <c r="AK158" s="740" t="str">
        <f ca="1">IFERROR(INT(CampList[[#This Row],[Distance]]/5)+1,"")</f>
        <v/>
      </c>
    </row>
    <row r="159" spans="1:37" s="511" customFormat="1" ht="15.6" customHeight="1" x14ac:dyDescent="0.25">
      <c r="A159" s="656" t="s">
        <v>501</v>
      </c>
      <c r="B159" s="406" t="s">
        <v>554</v>
      </c>
      <c r="C159" s="406" t="s">
        <v>537</v>
      </c>
      <c r="D159" s="406" t="s">
        <v>230</v>
      </c>
      <c r="E159" s="406" t="s">
        <v>538</v>
      </c>
      <c r="F159" s="406" t="s">
        <v>230</v>
      </c>
      <c r="G159" s="406" t="s">
        <v>539</v>
      </c>
      <c r="H159" s="406" t="s">
        <v>235</v>
      </c>
      <c r="I159" s="406" t="s">
        <v>1135</v>
      </c>
      <c r="J159" s="406" t="s">
        <v>235</v>
      </c>
      <c r="K159" s="406"/>
      <c r="L159" s="406" t="s">
        <v>235</v>
      </c>
      <c r="M159" s="406" t="s">
        <v>234</v>
      </c>
      <c r="N159" s="630">
        <v>98.054946000000001</v>
      </c>
      <c r="O159" s="630">
        <v>24.008452999999999</v>
      </c>
      <c r="P159" s="753">
        <v>3396</v>
      </c>
      <c r="Q159" s="730">
        <v>123</v>
      </c>
      <c r="R159" s="731">
        <v>503</v>
      </c>
      <c r="S159" s="732">
        <f>IF(CampList[[#This Row],[HH]]&gt;0,CampList[[#This Row],[Total]]/CampList[[#This Row],[HH]],"NA")</f>
        <v>4.0894308943089435</v>
      </c>
      <c r="T159" s="722" t="s">
        <v>514</v>
      </c>
      <c r="U159" s="726" t="s">
        <v>1193</v>
      </c>
      <c r="V159" s="722" t="s">
        <v>12</v>
      </c>
      <c r="W159" s="726" t="s">
        <v>857</v>
      </c>
      <c r="X159" s="733"/>
      <c r="Y159" s="729"/>
      <c r="Z159" s="734"/>
      <c r="AA159" s="736" t="s">
        <v>573</v>
      </c>
      <c r="AB159" s="736"/>
      <c r="AC159" s="744">
        <v>41701</v>
      </c>
      <c r="AD159" s="656" t="s">
        <v>1013</v>
      </c>
      <c r="AE159" s="755" t="s">
        <v>1079</v>
      </c>
      <c r="AF159" s="663">
        <f>IF(CampList[[#This Row],[Type of Accomodation]]="camp",MAX(0,CampList[[#This Row],[HH]]-SUMIF(Table_Shelter[Pcode],CampList[[#This Row],[CP_Pcode]],Table_Shelter[HH Covered])),0)</f>
        <v>0</v>
      </c>
      <c r="AG159" s="722"/>
      <c r="AH159" s="736">
        <f>MIN(CampList[[#This Row],[Shelter Gap]],CampList[[#This Row],[Land Status]])</f>
        <v>0</v>
      </c>
      <c r="AI159" s="722" t="str">
        <f ca="1">IFERROR(OFFSET(DistanceToCamp[Nearest Town],MATCH(CampList[[#This Row],[CP_Pcode]],DistanceToCamp[CP_Pcode],0)-1,0,1,1),"")</f>
        <v>Pang Hseng (Kyu Koke) Town</v>
      </c>
      <c r="AJ159" s="739">
        <f ca="1">IFERROR(OFFSET(DistanceToCamp[distance],MATCH(CampList[[#This Row],[CP_Pcode]],DistanceToCamp[CP_Pcode],0)-1,0,1,1),"")</f>
        <v>7.490291417449443</v>
      </c>
      <c r="AK159" s="740">
        <f ca="1">IFERROR(INT(CampList[[#This Row],[Distance]]/5)+1,"")</f>
        <v>2</v>
      </c>
    </row>
    <row r="160" spans="1:37" s="511" customFormat="1" ht="15.6" customHeight="1" x14ac:dyDescent="0.25">
      <c r="A160" s="656" t="s">
        <v>501</v>
      </c>
      <c r="B160" s="406" t="s">
        <v>554</v>
      </c>
      <c r="C160" s="406" t="s">
        <v>537</v>
      </c>
      <c r="D160" s="406" t="s">
        <v>230</v>
      </c>
      <c r="E160" s="406" t="s">
        <v>538</v>
      </c>
      <c r="F160" s="406" t="s">
        <v>146</v>
      </c>
      <c r="G160" s="406" t="s">
        <v>545</v>
      </c>
      <c r="H160" s="406" t="s">
        <v>786</v>
      </c>
      <c r="I160" s="406" t="s">
        <v>787</v>
      </c>
      <c r="J160" s="751" t="s">
        <v>788</v>
      </c>
      <c r="K160" s="214">
        <v>219842</v>
      </c>
      <c r="L160" s="406" t="s">
        <v>371</v>
      </c>
      <c r="M160" s="406" t="s">
        <v>147</v>
      </c>
      <c r="N160" s="630">
        <v>98.220614999999995</v>
      </c>
      <c r="O160" s="630">
        <v>23.400155999999999</v>
      </c>
      <c r="P160" s="741">
        <v>3109</v>
      </c>
      <c r="Q160" s="663">
        <v>62</v>
      </c>
      <c r="R160" s="663">
        <v>281</v>
      </c>
      <c r="S160" s="732">
        <f>IF(CampList[[#This Row],[HH]]&gt;0,CampList[[#This Row],[Total]]/CampList[[#This Row],[HH]],"NA")</f>
        <v>4.532258064516129</v>
      </c>
      <c r="T160" s="722" t="s">
        <v>512</v>
      </c>
      <c r="U160" s="726" t="s">
        <v>1193</v>
      </c>
      <c r="V160" s="722" t="s">
        <v>555</v>
      </c>
      <c r="W160" s="726" t="s">
        <v>857</v>
      </c>
      <c r="X160" s="742">
        <v>40787</v>
      </c>
      <c r="Y160" s="743">
        <v>1</v>
      </c>
      <c r="Z160" s="742" t="s">
        <v>461</v>
      </c>
      <c r="AA160" s="735" t="s">
        <v>843</v>
      </c>
      <c r="AB160" s="736"/>
      <c r="AC160" s="744">
        <v>42569</v>
      </c>
      <c r="AD160" s="656" t="s">
        <v>1487</v>
      </c>
      <c r="AE160" s="759" t="s">
        <v>1079</v>
      </c>
      <c r="AF160" s="663">
        <f>IF(CampList[[#This Row],[Type of Accomodation]]="camp",MAX(0,CampList[[#This Row],[HH]]-SUMIF(Table_Shelter[Pcode],CampList[[#This Row],[CP_Pcode]],Table_Shelter[HH Covered])),0)</f>
        <v>57</v>
      </c>
      <c r="AG160" s="722"/>
      <c r="AH160" s="736">
        <f>MIN(CampList[[#This Row],[Shelter Gap]],CampList[[#This Row],[Land Status]])</f>
        <v>57</v>
      </c>
      <c r="AI160" s="722" t="str">
        <f ca="1">IFERROR(OFFSET(DistanceToCamp[Nearest Town],MATCH(CampList[[#This Row],[CP_Pcode]],DistanceToCamp[CP_Pcode],0)-1,0,1,1),"")</f>
        <v>Tarmoenye Town</v>
      </c>
      <c r="AJ160" s="739">
        <f ca="1">IFERROR(OFFSET(DistanceToCamp[distance],MATCH(CampList[[#This Row],[CP_Pcode]],DistanceToCamp[CP_Pcode],0)-1,0,1,1),"")</f>
        <v>23.172399462804503</v>
      </c>
      <c r="AK160" s="740">
        <f ca="1">IFERROR(INT(CampList[[#This Row],[Distance]]/5)+1,"")</f>
        <v>5</v>
      </c>
    </row>
    <row r="161" spans="1:37" s="511" customFormat="1" ht="15.6" customHeight="1" x14ac:dyDescent="0.25">
      <c r="A161" s="656" t="s">
        <v>501</v>
      </c>
      <c r="B161" s="406" t="s">
        <v>554</v>
      </c>
      <c r="C161" s="406" t="s">
        <v>537</v>
      </c>
      <c r="D161" s="406" t="s">
        <v>230</v>
      </c>
      <c r="E161" s="406" t="s">
        <v>538</v>
      </c>
      <c r="F161" s="406" t="s">
        <v>146</v>
      </c>
      <c r="G161" s="406" t="s">
        <v>545</v>
      </c>
      <c r="H161" s="748" t="s">
        <v>724</v>
      </c>
      <c r="I161" s="406" t="s">
        <v>1258</v>
      </c>
      <c r="J161" s="748" t="s">
        <v>725</v>
      </c>
      <c r="K161" s="779">
        <v>208696</v>
      </c>
      <c r="L161" s="406" t="s">
        <v>149</v>
      </c>
      <c r="M161" s="406" t="s">
        <v>148</v>
      </c>
      <c r="N161" s="630">
        <v>97.818979999999996</v>
      </c>
      <c r="O161" s="630">
        <v>23.694130000000001</v>
      </c>
      <c r="P161" s="741">
        <v>1135.7</v>
      </c>
      <c r="Q161" s="663">
        <v>62</v>
      </c>
      <c r="R161" s="663">
        <v>281</v>
      </c>
      <c r="S161" s="732">
        <f>IF(CampList[[#This Row],[HH]]&gt;0,CampList[[#This Row],[Total]]/CampList[[#This Row],[HH]],"NA")</f>
        <v>4.532258064516129</v>
      </c>
      <c r="T161" s="722" t="s">
        <v>512</v>
      </c>
      <c r="U161" s="726" t="s">
        <v>1193</v>
      </c>
      <c r="V161" s="722" t="s">
        <v>555</v>
      </c>
      <c r="W161" s="726" t="s">
        <v>857</v>
      </c>
      <c r="X161" s="742">
        <v>40878</v>
      </c>
      <c r="Y161" s="743">
        <v>1</v>
      </c>
      <c r="Z161" s="742" t="s">
        <v>461</v>
      </c>
      <c r="AA161" s="735" t="s">
        <v>843</v>
      </c>
      <c r="AB161" s="736"/>
      <c r="AC161" s="744">
        <v>42569</v>
      </c>
      <c r="AD161" s="656" t="s">
        <v>1488</v>
      </c>
      <c r="AE161" s="759" t="s">
        <v>1081</v>
      </c>
      <c r="AF161" s="663">
        <f>IF(CampList[[#This Row],[Type of Accomodation]]="camp",MAX(0,CampList[[#This Row],[HH]]-SUMIF(Table_Shelter[Pcode],CampList[[#This Row],[CP_Pcode]],Table_Shelter[HH Covered])),0)</f>
        <v>36</v>
      </c>
      <c r="AG161" s="722"/>
      <c r="AH161" s="736">
        <f>MIN(CampList[[#This Row],[Shelter Gap]],CampList[[#This Row],[Land Status]])</f>
        <v>36</v>
      </c>
      <c r="AI161" s="722" t="str">
        <f ca="1">IFERROR(OFFSET(DistanceToCamp[Nearest Town],MATCH(CampList[[#This Row],[CP_Pcode]],DistanceToCamp[CP_Pcode],0)-1,0,1,1),"")</f>
        <v>Namhkan Town</v>
      </c>
      <c r="AJ161" s="739">
        <f ca="1">IFERROR(OFFSET(DistanceToCamp[distance],MATCH(CampList[[#This Row],[CP_Pcode]],DistanceToCamp[CP_Pcode],0)-1,0,1,1),"")</f>
        <v>21.148671772283631</v>
      </c>
      <c r="AK161" s="740">
        <f ca="1">IFERROR(INT(CampList[[#This Row],[Distance]]/5)+1,"")</f>
        <v>5</v>
      </c>
    </row>
    <row r="162" spans="1:37" s="511" customFormat="1" ht="15.6" customHeight="1" x14ac:dyDescent="0.25">
      <c r="A162" s="656" t="s">
        <v>501</v>
      </c>
      <c r="B162" s="406" t="s">
        <v>380</v>
      </c>
      <c r="C162" s="406" t="s">
        <v>526</v>
      </c>
      <c r="D162" s="406" t="s">
        <v>180</v>
      </c>
      <c r="E162" s="406" t="s">
        <v>527</v>
      </c>
      <c r="F162" s="406" t="s">
        <v>528</v>
      </c>
      <c r="G162" s="406" t="s">
        <v>529</v>
      </c>
      <c r="H162" s="728" t="s">
        <v>613</v>
      </c>
      <c r="I162" s="728" t="s">
        <v>614</v>
      </c>
      <c r="J162" s="728" t="s">
        <v>613</v>
      </c>
      <c r="K162" s="728">
        <v>166773</v>
      </c>
      <c r="L162" s="406" t="s">
        <v>62</v>
      </c>
      <c r="M162" s="406" t="s">
        <v>61</v>
      </c>
      <c r="N162" s="630">
        <v>96.355270000000004</v>
      </c>
      <c r="O162" s="630">
        <v>25.656130000000001</v>
      </c>
      <c r="P162" s="741">
        <v>0</v>
      </c>
      <c r="Q162" s="663">
        <v>73</v>
      </c>
      <c r="R162" s="663">
        <v>350</v>
      </c>
      <c r="S162" s="732">
        <f>IF(CampList[[#This Row],[HH]]&gt;0,CampList[[#This Row],[Total]]/CampList[[#This Row],[HH]],"NA")</f>
        <v>4.7945205479452051</v>
      </c>
      <c r="T162" s="722" t="s">
        <v>512</v>
      </c>
      <c r="U162" s="726" t="s">
        <v>1193</v>
      </c>
      <c r="V162" s="722" t="s">
        <v>555</v>
      </c>
      <c r="W162" s="726" t="s">
        <v>857</v>
      </c>
      <c r="X162" s="742">
        <v>41275</v>
      </c>
      <c r="Y162" s="743">
        <v>2</v>
      </c>
      <c r="Z162" s="742" t="s">
        <v>461</v>
      </c>
      <c r="AA162" s="735" t="s">
        <v>843</v>
      </c>
      <c r="AB162" s="736"/>
      <c r="AC162" s="744">
        <v>42569</v>
      </c>
      <c r="AD162" s="656" t="s">
        <v>1479</v>
      </c>
      <c r="AE162" s="759" t="s">
        <v>1095</v>
      </c>
      <c r="AF162" s="663">
        <f>IF(CampList[[#This Row],[Type of Accomodation]]="camp",MAX(0,CampList[[#This Row],[HH]]-SUMIF(Table_Shelter[Pcode],CampList[[#This Row],[CP_Pcode]],Table_Shelter[HH Covered])),0)</f>
        <v>53</v>
      </c>
      <c r="AG162" s="722"/>
      <c r="AH162" s="736">
        <f>MIN(CampList[[#This Row],[Shelter Gap]],CampList[[#This Row],[Land Status]])</f>
        <v>53</v>
      </c>
      <c r="AI162" s="722" t="str">
        <f ca="1">IFERROR(OFFSET(DistanceToCamp[Nearest Town],MATCH(CampList[[#This Row],[CP_Pcode]],DistanceToCamp[CP_Pcode],0)-1,0,1,1),"")</f>
        <v>Hpakant Town</v>
      </c>
      <c r="AJ162" s="739">
        <f ca="1">IFERROR(OFFSET(DistanceToCamp[distance],MATCH(CampList[[#This Row],[CP_Pcode]],DistanceToCamp[CP_Pcode],0)-1,0,1,1),"")</f>
        <v>6.4753396248436657</v>
      </c>
      <c r="AK162" s="740">
        <f ca="1">IFERROR(INT(CampList[[#This Row],[Distance]]/5)+1,"")</f>
        <v>2</v>
      </c>
    </row>
    <row r="163" spans="1:37" s="511" customFormat="1" ht="15.6" hidden="1" customHeight="1" x14ac:dyDescent="0.25">
      <c r="A163" s="656" t="s">
        <v>844</v>
      </c>
      <c r="B163" s="406" t="s">
        <v>380</v>
      </c>
      <c r="C163" s="406" t="s">
        <v>526</v>
      </c>
      <c r="D163" s="406" t="s">
        <v>180</v>
      </c>
      <c r="E163" s="406" t="s">
        <v>527</v>
      </c>
      <c r="F163" s="406" t="s">
        <v>528</v>
      </c>
      <c r="G163" s="406" t="s">
        <v>529</v>
      </c>
      <c r="H163" s="728" t="s">
        <v>599</v>
      </c>
      <c r="I163" s="728" t="s">
        <v>600</v>
      </c>
      <c r="J163" s="728" t="s">
        <v>599</v>
      </c>
      <c r="K163" s="728">
        <v>166783</v>
      </c>
      <c r="L163" s="406" t="s">
        <v>78</v>
      </c>
      <c r="M163" s="406" t="s">
        <v>77</v>
      </c>
      <c r="N163" s="630"/>
      <c r="O163" s="630"/>
      <c r="P163" s="729"/>
      <c r="Q163" s="730">
        <v>0</v>
      </c>
      <c r="R163" s="731">
        <v>0</v>
      </c>
      <c r="S163" s="732" t="str">
        <f>IF(CampList[[#This Row],[HH]]&gt;0,CampList[[#This Row],[Total]]/CampList[[#This Row],[HH]],"NA")</f>
        <v>NA</v>
      </c>
      <c r="T163" s="722" t="s">
        <v>512</v>
      </c>
      <c r="U163" s="726" t="s">
        <v>1193</v>
      </c>
      <c r="V163" s="722" t="s">
        <v>555</v>
      </c>
      <c r="W163" s="726" t="s">
        <v>857</v>
      </c>
      <c r="X163" s="733"/>
      <c r="Y163" s="729"/>
      <c r="Z163" s="734"/>
      <c r="AA163" s="735" t="s">
        <v>843</v>
      </c>
      <c r="AB163" s="736"/>
      <c r="AC163" s="744">
        <v>41774</v>
      </c>
      <c r="AD163" s="656" t="s">
        <v>1050</v>
      </c>
      <c r="AE163" s="755" t="s">
        <v>1009</v>
      </c>
      <c r="AF163" s="663">
        <f>IF(CampList[[#This Row],[Type of Accomodation]]="camp",MAX(0,CampList[[#This Row],[HH]]-SUMIF(Table_Shelter[Pcode],CampList[[#This Row],[CP_Pcode]],Table_Shelter[HH Covered])),0)</f>
        <v>0</v>
      </c>
      <c r="AG163" s="722"/>
      <c r="AH163" s="736">
        <f>MIN(CampList[[#This Row],[Shelter Gap]],CampList[[#This Row],[Land Status]])</f>
        <v>0</v>
      </c>
      <c r="AI163" s="722" t="str">
        <f ca="1">IFERROR(OFFSET(DistanceToCamp[Nearest Town],MATCH(CampList[[#This Row],[CP_Pcode]],DistanceToCamp[CP_Pcode],0)-1,0,1,1),"")</f>
        <v/>
      </c>
      <c r="AJ163" s="739" t="str">
        <f ca="1">IFERROR(OFFSET(DistanceToCamp[distance],MATCH(CampList[[#This Row],[CP_Pcode]],DistanceToCamp[CP_Pcode],0)-1,0,1,1),"")</f>
        <v/>
      </c>
      <c r="AK163" s="740" t="str">
        <f ca="1">IFERROR(INT(CampList[[#This Row],[Distance]]/5)+1,"")</f>
        <v/>
      </c>
    </row>
    <row r="164" spans="1:37" s="511" customFormat="1" ht="15.6" customHeight="1" x14ac:dyDescent="0.25">
      <c r="A164" s="656" t="s">
        <v>501</v>
      </c>
      <c r="B164" s="406" t="s">
        <v>380</v>
      </c>
      <c r="C164" s="406" t="s">
        <v>526</v>
      </c>
      <c r="D164" s="406" t="s">
        <v>180</v>
      </c>
      <c r="E164" s="406" t="s">
        <v>527</v>
      </c>
      <c r="F164" s="406" t="s">
        <v>528</v>
      </c>
      <c r="G164" s="406" t="s">
        <v>529</v>
      </c>
      <c r="H164" s="406" t="s">
        <v>599</v>
      </c>
      <c r="I164" s="406" t="s">
        <v>600</v>
      </c>
      <c r="J164" s="728" t="s">
        <v>601</v>
      </c>
      <c r="K164" s="728">
        <v>166785</v>
      </c>
      <c r="L164" s="406" t="s">
        <v>90</v>
      </c>
      <c r="M164" s="406" t="s">
        <v>89</v>
      </c>
      <c r="N164" s="630">
        <v>96.269199999999998</v>
      </c>
      <c r="O164" s="630">
        <v>25.566510000000001</v>
      </c>
      <c r="P164" s="747">
        <v>278</v>
      </c>
      <c r="Q164" s="138">
        <v>25</v>
      </c>
      <c r="R164" s="663">
        <v>133</v>
      </c>
      <c r="S164" s="732">
        <f>IF(CampList[[#This Row],[HH]]&gt;0,CampList[[#This Row],[Total]]/CampList[[#This Row],[HH]],"NA")</f>
        <v>5.32</v>
      </c>
      <c r="T164" s="722" t="s">
        <v>512</v>
      </c>
      <c r="U164" s="726" t="s">
        <v>1193</v>
      </c>
      <c r="V164" s="722" t="s">
        <v>555</v>
      </c>
      <c r="W164" s="726" t="s">
        <v>857</v>
      </c>
      <c r="X164" s="742">
        <v>41275</v>
      </c>
      <c r="Y164" s="743">
        <v>1</v>
      </c>
      <c r="Z164" s="742" t="s">
        <v>506</v>
      </c>
      <c r="AA164" s="735" t="s">
        <v>843</v>
      </c>
      <c r="AB164" s="736"/>
      <c r="AC164" s="744">
        <v>42571</v>
      </c>
      <c r="AD164" s="656" t="s">
        <v>1501</v>
      </c>
      <c r="AE164" s="759" t="s">
        <v>1095</v>
      </c>
      <c r="AF164" s="663">
        <f>IF(CampList[[#This Row],[Type of Accomodation]]="camp",MAX(0,CampList[[#This Row],[HH]]-SUMIF(Table_Shelter[Pcode],CampList[[#This Row],[CP_Pcode]],Table_Shelter[HH Covered])),0)</f>
        <v>0</v>
      </c>
      <c r="AG164" s="722"/>
      <c r="AH164" s="736">
        <f>MIN(CampList[[#This Row],[Shelter Gap]],CampList[[#This Row],[Land Status]])</f>
        <v>0</v>
      </c>
      <c r="AI164" s="722" t="str">
        <f ca="1">IFERROR(OFFSET(DistanceToCamp[Nearest Town],MATCH(CampList[[#This Row],[CP_Pcode]],DistanceToCamp[CP_Pcode],0)-1,0,1,1),"")</f>
        <v>Hpakant Town</v>
      </c>
      <c r="AJ164" s="739">
        <f ca="1">IFERROR(OFFSET(DistanceToCamp[distance],MATCH(CampList[[#This Row],[CP_Pcode]],DistanceToCamp[CP_Pcode],0)-1,0,1,1),"")</f>
        <v>6.7094919928483892</v>
      </c>
      <c r="AK164" s="740">
        <f ca="1">IFERROR(INT(CampList[[#This Row],[Distance]]/5)+1,"")</f>
        <v>2</v>
      </c>
    </row>
    <row r="165" spans="1:37" s="511" customFormat="1" ht="15.6" customHeight="1" x14ac:dyDescent="0.25">
      <c r="A165" s="656" t="s">
        <v>501</v>
      </c>
      <c r="B165" s="406" t="s">
        <v>380</v>
      </c>
      <c r="C165" s="406" t="s">
        <v>526</v>
      </c>
      <c r="D165" s="406" t="s">
        <v>180</v>
      </c>
      <c r="E165" s="406" t="s">
        <v>527</v>
      </c>
      <c r="F165" s="406" t="s">
        <v>528</v>
      </c>
      <c r="G165" s="406" t="s">
        <v>529</v>
      </c>
      <c r="H165" s="406" t="s">
        <v>599</v>
      </c>
      <c r="I165" s="406" t="s">
        <v>600</v>
      </c>
      <c r="J165" s="406" t="s">
        <v>601</v>
      </c>
      <c r="K165" s="406">
        <v>166785</v>
      </c>
      <c r="L165" s="406" t="s">
        <v>118</v>
      </c>
      <c r="M165" s="406" t="s">
        <v>117</v>
      </c>
      <c r="N165" s="630">
        <v>96.279200000000003</v>
      </c>
      <c r="O165" s="630">
        <v>25.56551</v>
      </c>
      <c r="P165" s="741">
        <v>259</v>
      </c>
      <c r="Q165" s="138">
        <v>10</v>
      </c>
      <c r="R165" s="663">
        <v>39</v>
      </c>
      <c r="S165" s="732">
        <f>IF(CampList[[#This Row],[HH]]&gt;0,CampList[[#This Row],[Total]]/CampList[[#This Row],[HH]],"NA")</f>
        <v>3.9</v>
      </c>
      <c r="T165" s="722" t="s">
        <v>512</v>
      </c>
      <c r="U165" s="726" t="s">
        <v>1193</v>
      </c>
      <c r="V165" s="722" t="s">
        <v>555</v>
      </c>
      <c r="W165" s="726" t="s">
        <v>857</v>
      </c>
      <c r="X165" s="742">
        <v>41275</v>
      </c>
      <c r="Y165" s="743">
        <v>1</v>
      </c>
      <c r="Z165" s="742" t="s">
        <v>506</v>
      </c>
      <c r="AA165" s="736" t="s">
        <v>843</v>
      </c>
      <c r="AB165" s="736"/>
      <c r="AC165" s="744">
        <v>42571</v>
      </c>
      <c r="AD165" s="728" t="s">
        <v>1518</v>
      </c>
      <c r="AE165" s="759" t="s">
        <v>1095</v>
      </c>
      <c r="AF165" s="663">
        <f>IF(CampList[[#This Row],[Type of Accomodation]]="camp",MAX(0,CampList[[#This Row],[HH]]-SUMIF(Table_Shelter[Pcode],CampList[[#This Row],[CP_Pcode]],Table_Shelter[HH Covered])),0)</f>
        <v>0</v>
      </c>
      <c r="AG165" s="663"/>
      <c r="AH165" s="736">
        <f>MIN(CampList[[#This Row],[Shelter Gap]],CampList[[#This Row],[Land Status]])</f>
        <v>0</v>
      </c>
      <c r="AI165" s="722" t="str">
        <f ca="1">IFERROR(OFFSET(DistanceToCamp[Nearest Town],MATCH(CampList[[#This Row],[CP_Pcode]],DistanceToCamp[CP_Pcode],0)-1,0,1,1),"")</f>
        <v>Hpakant Town</v>
      </c>
      <c r="AJ165" s="739">
        <f ca="1">IFERROR(OFFSET(DistanceToCamp[distance],MATCH(CampList[[#This Row],[CP_Pcode]],DistanceToCamp[CP_Pcode],0)-1,0,1,1),"")</f>
        <v>6.2085564346706201</v>
      </c>
      <c r="AK165" s="740">
        <f ca="1">IFERROR(INT(CampList[[#This Row],[Distance]]/5)+1,"")</f>
        <v>2</v>
      </c>
    </row>
    <row r="166" spans="1:37" s="511" customFormat="1" ht="15.6" customHeight="1" x14ac:dyDescent="0.25">
      <c r="A166" s="656" t="s">
        <v>501</v>
      </c>
      <c r="B166" s="406" t="s">
        <v>380</v>
      </c>
      <c r="C166" s="406" t="s">
        <v>526</v>
      </c>
      <c r="D166" s="406" t="s">
        <v>180</v>
      </c>
      <c r="E166" s="406" t="s">
        <v>527</v>
      </c>
      <c r="F166" s="406" t="s">
        <v>528</v>
      </c>
      <c r="G166" s="406" t="s">
        <v>529</v>
      </c>
      <c r="H166" s="406" t="s">
        <v>599</v>
      </c>
      <c r="I166" s="406" t="s">
        <v>600</v>
      </c>
      <c r="J166" s="406" t="s">
        <v>601</v>
      </c>
      <c r="K166" s="757">
        <v>166785</v>
      </c>
      <c r="L166" s="406" t="s">
        <v>124</v>
      </c>
      <c r="M166" s="406" t="s">
        <v>123</v>
      </c>
      <c r="N166" s="630">
        <v>96.353030000000004</v>
      </c>
      <c r="O166" s="630">
        <v>25.668399999999998</v>
      </c>
      <c r="P166" s="741">
        <v>0</v>
      </c>
      <c r="Q166" s="663">
        <v>8</v>
      </c>
      <c r="R166" s="663">
        <v>40</v>
      </c>
      <c r="S166" s="732">
        <f>IF(CampList[[#This Row],[HH]]&gt;0,CampList[[#This Row],[Total]]/CampList[[#This Row],[HH]],"NA")</f>
        <v>5</v>
      </c>
      <c r="T166" s="722" t="s">
        <v>512</v>
      </c>
      <c r="U166" s="726" t="s">
        <v>1193</v>
      </c>
      <c r="V166" s="722" t="s">
        <v>555</v>
      </c>
      <c r="W166" s="726" t="s">
        <v>857</v>
      </c>
      <c r="X166" s="742">
        <v>41275</v>
      </c>
      <c r="Y166" s="743">
        <v>1</v>
      </c>
      <c r="Z166" s="742" t="s">
        <v>461</v>
      </c>
      <c r="AA166" s="736" t="s">
        <v>843</v>
      </c>
      <c r="AB166" s="736"/>
      <c r="AC166" s="744">
        <v>42569</v>
      </c>
      <c r="AD166" s="728" t="s">
        <v>1480</v>
      </c>
      <c r="AE166" s="759" t="s">
        <v>1095</v>
      </c>
      <c r="AF166" s="663">
        <f>IF(CampList[[#This Row],[Type of Accomodation]]="camp",MAX(0,CampList[[#This Row],[HH]]-SUMIF(Table_Shelter[Pcode],CampList[[#This Row],[CP_Pcode]],Table_Shelter[HH Covered])),0)</f>
        <v>3</v>
      </c>
      <c r="AG166" s="663"/>
      <c r="AH166" s="736">
        <f>MIN(CampList[[#This Row],[Shelter Gap]],CampList[[#This Row],[Land Status]])</f>
        <v>3</v>
      </c>
      <c r="AI166" s="722" t="str">
        <f ca="1">IFERROR(OFFSET(DistanceToCamp[Nearest Town],MATCH(CampList[[#This Row],[CP_Pcode]],DistanceToCamp[CP_Pcode],0)-1,0,1,1),"")</f>
        <v>Hpakant Town</v>
      </c>
      <c r="AJ166" s="739">
        <f ca="1">IFERROR(OFFSET(DistanceToCamp[distance],MATCH(CampList[[#This Row],[CP_Pcode]],DistanceToCamp[CP_Pcode],0)-1,0,1,1),"")</f>
        <v>7.419312682373878</v>
      </c>
      <c r="AK166" s="740">
        <f ca="1">IFERROR(INT(CampList[[#This Row],[Distance]]/5)+1,"")</f>
        <v>2</v>
      </c>
    </row>
    <row r="167" spans="1:37" s="511" customFormat="1" ht="15.6" customHeight="1" x14ac:dyDescent="0.25">
      <c r="A167" s="656" t="s">
        <v>501</v>
      </c>
      <c r="B167" s="406" t="s">
        <v>380</v>
      </c>
      <c r="C167" s="406" t="s">
        <v>526</v>
      </c>
      <c r="D167" s="406" t="s">
        <v>180</v>
      </c>
      <c r="E167" s="406" t="s">
        <v>527</v>
      </c>
      <c r="F167" s="406" t="s">
        <v>528</v>
      </c>
      <c r="G167" s="406" t="s">
        <v>529</v>
      </c>
      <c r="H167" s="406" t="s">
        <v>599</v>
      </c>
      <c r="I167" s="406" t="s">
        <v>600</v>
      </c>
      <c r="J167" s="406" t="s">
        <v>603</v>
      </c>
      <c r="K167" s="406">
        <v>166788</v>
      </c>
      <c r="L167" s="406" t="s">
        <v>126</v>
      </c>
      <c r="M167" s="406" t="s">
        <v>125</v>
      </c>
      <c r="N167" s="630">
        <v>96.286680000000004</v>
      </c>
      <c r="O167" s="630">
        <v>25.577559999999998</v>
      </c>
      <c r="P167" s="741">
        <v>0</v>
      </c>
      <c r="Q167" s="663">
        <v>35</v>
      </c>
      <c r="R167" s="663">
        <v>173</v>
      </c>
      <c r="S167" s="732">
        <f>IF(CampList[[#This Row],[HH]]&gt;0,CampList[[#This Row],[Total]]/CampList[[#This Row],[HH]],"NA")</f>
        <v>4.9428571428571431</v>
      </c>
      <c r="T167" s="722" t="s">
        <v>512</v>
      </c>
      <c r="U167" s="726" t="s">
        <v>1193</v>
      </c>
      <c r="V167" s="722" t="s">
        <v>555</v>
      </c>
      <c r="W167" s="722" t="s">
        <v>804</v>
      </c>
      <c r="X167" s="742">
        <v>41275</v>
      </c>
      <c r="Y167" s="743">
        <v>2</v>
      </c>
      <c r="Z167" s="742" t="s">
        <v>461</v>
      </c>
      <c r="AA167" s="736" t="s">
        <v>843</v>
      </c>
      <c r="AB167" s="736"/>
      <c r="AC167" s="744">
        <v>42569</v>
      </c>
      <c r="AD167" s="728" t="s">
        <v>1481</v>
      </c>
      <c r="AE167" s="759" t="s">
        <v>1095</v>
      </c>
      <c r="AF167" s="663">
        <f>IF(CampList[[#This Row],[Type of Accomodation]]="camp",MAX(0,CampList[[#This Row],[HH]]-SUMIF(Table_Shelter[Pcode],CampList[[#This Row],[CP_Pcode]],Table_Shelter[HH Covered])),0)</f>
        <v>20</v>
      </c>
      <c r="AG167" s="722"/>
      <c r="AH167" s="736">
        <f>MIN(CampList[[#This Row],[Shelter Gap]],CampList[[#This Row],[Land Status]])</f>
        <v>20</v>
      </c>
      <c r="AI167" s="722" t="str">
        <f ca="1">IFERROR(OFFSET(DistanceToCamp[Nearest Town],MATCH(CampList[[#This Row],[CP_Pcode]],DistanceToCamp[CP_Pcode],0)-1,0,1,1),"")</f>
        <v>Hpakant Town</v>
      </c>
      <c r="AJ167" s="739">
        <f ca="1">IFERROR(OFFSET(DistanceToCamp[distance],MATCH(CampList[[#This Row],[CP_Pcode]],DistanceToCamp[CP_Pcode],0)-1,0,1,1),"")</f>
        <v>4.6754712546149264</v>
      </c>
      <c r="AK167" s="740">
        <f ca="1">IFERROR(INT(CampList[[#This Row],[Distance]]/5)+1,"")</f>
        <v>1</v>
      </c>
    </row>
    <row r="168" spans="1:37" s="511" customFormat="1" ht="15.6" hidden="1" customHeight="1" x14ac:dyDescent="0.25">
      <c r="A168" s="656" t="s">
        <v>844</v>
      </c>
      <c r="B168" s="406" t="s">
        <v>380</v>
      </c>
      <c r="C168" s="406" t="s">
        <v>526</v>
      </c>
      <c r="D168" s="406" t="s">
        <v>180</v>
      </c>
      <c r="E168" s="406" t="s">
        <v>527</v>
      </c>
      <c r="F168" s="406" t="s">
        <v>528</v>
      </c>
      <c r="G168" s="406" t="s">
        <v>529</v>
      </c>
      <c r="H168" s="728" t="s">
        <v>599</v>
      </c>
      <c r="I168" s="728" t="s">
        <v>600</v>
      </c>
      <c r="J168" s="728" t="s">
        <v>599</v>
      </c>
      <c r="K168" s="728">
        <v>166783</v>
      </c>
      <c r="L168" s="406" t="s">
        <v>64</v>
      </c>
      <c r="M168" s="406" t="s">
        <v>63</v>
      </c>
      <c r="N168" s="630">
        <v>96.288250000000005</v>
      </c>
      <c r="O168" s="630">
        <v>25.57921</v>
      </c>
      <c r="P168" s="747">
        <v>0</v>
      </c>
      <c r="Q168" s="730">
        <v>0</v>
      </c>
      <c r="R168" s="731">
        <v>0</v>
      </c>
      <c r="S168" s="732" t="str">
        <f>IF(CampList[[#This Row],[HH]]&gt;0,CampList[[#This Row],[Total]]/CampList[[#This Row],[HH]],"NA")</f>
        <v>NA</v>
      </c>
      <c r="T168" s="722" t="s">
        <v>512</v>
      </c>
      <c r="U168" s="726" t="s">
        <v>1193</v>
      </c>
      <c r="V168" s="722" t="s">
        <v>555</v>
      </c>
      <c r="W168" s="726" t="s">
        <v>857</v>
      </c>
      <c r="X168" s="742">
        <v>41275</v>
      </c>
      <c r="Y168" s="743"/>
      <c r="Z168" s="742" t="s">
        <v>1092</v>
      </c>
      <c r="AA168" s="735" t="s">
        <v>842</v>
      </c>
      <c r="AB168" s="736"/>
      <c r="AC168" s="744">
        <v>41736</v>
      </c>
      <c r="AD168" s="728" t="s">
        <v>1040</v>
      </c>
      <c r="AE168" s="759" t="s">
        <v>1009</v>
      </c>
      <c r="AF168" s="663">
        <f>IF(CampList[[#This Row],[Type of Accomodation]]="camp",MAX(0,CampList[[#This Row],[HH]]-SUMIF(Table_Shelter[Pcode],CampList[[#This Row],[CP_Pcode]],Table_Shelter[HH Covered])),0)</f>
        <v>0</v>
      </c>
      <c r="AG168" s="722"/>
      <c r="AH168" s="736">
        <f>MIN(CampList[[#This Row],[Shelter Gap]],CampList[[#This Row],[Land Status]])</f>
        <v>0</v>
      </c>
      <c r="AI168" s="722" t="str">
        <f ca="1">IFERROR(OFFSET(DistanceToCamp[Nearest Town],MATCH(CampList[[#This Row],[CP_Pcode]],DistanceToCamp[CP_Pcode],0)-1,0,1,1),"")</f>
        <v/>
      </c>
      <c r="AJ168" s="739" t="str">
        <f ca="1">IFERROR(OFFSET(DistanceToCamp[distance],MATCH(CampList[[#This Row],[CP_Pcode]],DistanceToCamp[CP_Pcode],0)-1,0,1,1),"")</f>
        <v/>
      </c>
      <c r="AK168" s="740" t="str">
        <f ca="1">IFERROR(INT(CampList[[#This Row],[Distance]]/5)+1,"")</f>
        <v/>
      </c>
    </row>
    <row r="169" spans="1:37" s="511" customFormat="1" ht="15.6" hidden="1" customHeight="1" x14ac:dyDescent="0.25">
      <c r="A169" s="656" t="s">
        <v>844</v>
      </c>
      <c r="B169" s="406" t="s">
        <v>380</v>
      </c>
      <c r="C169" s="406" t="s">
        <v>526</v>
      </c>
      <c r="D169" s="406" t="s">
        <v>180</v>
      </c>
      <c r="E169" s="406" t="s">
        <v>527</v>
      </c>
      <c r="F169" s="406" t="s">
        <v>528</v>
      </c>
      <c r="G169" s="406" t="s">
        <v>529</v>
      </c>
      <c r="H169" s="728" t="s">
        <v>599</v>
      </c>
      <c r="I169" s="728" t="s">
        <v>600</v>
      </c>
      <c r="J169" s="728" t="s">
        <v>599</v>
      </c>
      <c r="K169" s="728">
        <v>166783</v>
      </c>
      <c r="L169" s="406" t="s">
        <v>82</v>
      </c>
      <c r="M169" s="406" t="s">
        <v>81</v>
      </c>
      <c r="N169" s="630"/>
      <c r="O169" s="630"/>
      <c r="P169" s="729"/>
      <c r="Q169" s="730">
        <v>0</v>
      </c>
      <c r="R169" s="731">
        <v>0</v>
      </c>
      <c r="S169" s="732" t="str">
        <f>IF(CampList[[#This Row],[HH]]&gt;0,CampList[[#This Row],[Total]]/CampList[[#This Row],[HH]],"NA")</f>
        <v>NA</v>
      </c>
      <c r="T169" s="722" t="s">
        <v>512</v>
      </c>
      <c r="U169" s="726" t="s">
        <v>1193</v>
      </c>
      <c r="V169" s="722" t="s">
        <v>555</v>
      </c>
      <c r="W169" s="726"/>
      <c r="X169" s="733"/>
      <c r="Y169" s="729"/>
      <c r="Z169" s="734"/>
      <c r="AA169" s="735" t="s">
        <v>842</v>
      </c>
      <c r="AB169" s="736"/>
      <c r="AC169" s="744">
        <v>41663</v>
      </c>
      <c r="AD169" s="656" t="s">
        <v>940</v>
      </c>
      <c r="AE169" s="755" t="s">
        <v>1009</v>
      </c>
      <c r="AF169" s="663">
        <f>IF(CampList[[#This Row],[Type of Accomodation]]="camp",MAX(0,CampList[[#This Row],[HH]]-SUMIF(Table_Shelter[Pcode],CampList[[#This Row],[CP_Pcode]],Table_Shelter[HH Covered])),0)</f>
        <v>0</v>
      </c>
      <c r="AG169" s="722"/>
      <c r="AH169" s="736">
        <f>MIN(CampList[[#This Row],[Shelter Gap]],CampList[[#This Row],[Land Status]])</f>
        <v>0</v>
      </c>
      <c r="AI169" s="722" t="str">
        <f ca="1">IFERROR(OFFSET(DistanceToCamp[Nearest Town],MATCH(CampList[[#This Row],[CP_Pcode]],DistanceToCamp[CP_Pcode],0)-1,0,1,1),"")</f>
        <v/>
      </c>
      <c r="AJ169" s="739" t="str">
        <f ca="1">IFERROR(OFFSET(DistanceToCamp[distance],MATCH(CampList[[#This Row],[CP_Pcode]],DistanceToCamp[CP_Pcode],0)-1,0,1,1),"")</f>
        <v/>
      </c>
      <c r="AK169" s="740" t="str">
        <f ca="1">IFERROR(INT(CampList[[#This Row],[Distance]]/5)+1,"")</f>
        <v/>
      </c>
    </row>
    <row r="170" spans="1:37" s="511" customFormat="1" ht="15.6" hidden="1" customHeight="1" x14ac:dyDescent="0.25">
      <c r="A170" s="656" t="s">
        <v>844</v>
      </c>
      <c r="B170" s="406" t="s">
        <v>380</v>
      </c>
      <c r="C170" s="406" t="s">
        <v>526</v>
      </c>
      <c r="D170" s="406" t="s">
        <v>180</v>
      </c>
      <c r="E170" s="406" t="s">
        <v>527</v>
      </c>
      <c r="F170" s="406" t="s">
        <v>528</v>
      </c>
      <c r="G170" s="406" t="s">
        <v>529</v>
      </c>
      <c r="H170" s="728" t="s">
        <v>619</v>
      </c>
      <c r="I170" s="728" t="s">
        <v>620</v>
      </c>
      <c r="J170" s="728" t="s">
        <v>621</v>
      </c>
      <c r="K170" s="728">
        <v>166817</v>
      </c>
      <c r="L170" s="406" t="s">
        <v>58</v>
      </c>
      <c r="M170" s="406" t="s">
        <v>57</v>
      </c>
      <c r="N170" s="630">
        <v>96.673805000000002</v>
      </c>
      <c r="O170" s="630">
        <v>25.728653000000001</v>
      </c>
      <c r="P170" s="729"/>
      <c r="Q170" s="730">
        <v>0</v>
      </c>
      <c r="R170" s="731">
        <v>0</v>
      </c>
      <c r="S170" s="732" t="str">
        <f>IF(CampList[[#This Row],[HH]]&gt;0,CampList[[#This Row],[Total]]/CampList[[#This Row],[HH]],"NA")</f>
        <v>NA</v>
      </c>
      <c r="T170" s="722" t="s">
        <v>512</v>
      </c>
      <c r="U170" s="726" t="s">
        <v>1193</v>
      </c>
      <c r="V170" s="722" t="s">
        <v>555</v>
      </c>
      <c r="W170" s="726" t="s">
        <v>857</v>
      </c>
      <c r="X170" s="733"/>
      <c r="Y170" s="729">
        <v>1</v>
      </c>
      <c r="Z170" s="742" t="s">
        <v>506</v>
      </c>
      <c r="AA170" s="735" t="s">
        <v>843</v>
      </c>
      <c r="AB170" s="736"/>
      <c r="AC170" s="744">
        <v>42096</v>
      </c>
      <c r="AD170" s="656" t="s">
        <v>1300</v>
      </c>
      <c r="AE170" s="755" t="s">
        <v>1095</v>
      </c>
      <c r="AF170" s="663">
        <f>IF(CampList[[#This Row],[Type of Accomodation]]="camp",MAX(0,CampList[[#This Row],[HH]]-SUMIF(Table_Shelter[Pcode],CampList[[#This Row],[CP_Pcode]],Table_Shelter[HH Covered])),0)</f>
        <v>0</v>
      </c>
      <c r="AG170" s="722"/>
      <c r="AH170" s="736">
        <f>MIN(CampList[[#This Row],[Shelter Gap]],CampList[[#This Row],[Land Status]])</f>
        <v>0</v>
      </c>
      <c r="AI170" s="722" t="str">
        <f ca="1">IFERROR(OFFSET(DistanceToCamp[Nearest Town],MATCH(CampList[[#This Row],[CP_Pcode]],DistanceToCamp[CP_Pcode],0)-1,0,1,1),"")</f>
        <v>Kamaing Town</v>
      </c>
      <c r="AJ170" s="739">
        <f ca="1">IFERROR(OFFSET(DistanceToCamp[distance],MATCH(CampList[[#This Row],[CP_Pcode]],DistanceToCamp[CP_Pcode],0)-1,0,1,1),"")</f>
        <v>23.222739740353646</v>
      </c>
      <c r="AK170" s="740">
        <f ca="1">IFERROR(INT(CampList[[#This Row],[Distance]]/5)+1,"")</f>
        <v>5</v>
      </c>
    </row>
    <row r="171" spans="1:37" s="511" customFormat="1" ht="15.6" hidden="1" customHeight="1" x14ac:dyDescent="0.25">
      <c r="A171" s="656" t="s">
        <v>844</v>
      </c>
      <c r="B171" s="406" t="s">
        <v>380</v>
      </c>
      <c r="C171" s="406" t="s">
        <v>526</v>
      </c>
      <c r="D171" s="406" t="s">
        <v>180</v>
      </c>
      <c r="E171" s="406" t="s">
        <v>527</v>
      </c>
      <c r="F171" s="406" t="s">
        <v>528</v>
      </c>
      <c r="G171" s="406" t="s">
        <v>529</v>
      </c>
      <c r="H171" s="728" t="s">
        <v>604</v>
      </c>
      <c r="I171" s="728" t="s">
        <v>605</v>
      </c>
      <c r="J171" s="728" t="s">
        <v>608</v>
      </c>
      <c r="K171" s="728" t="s">
        <v>609</v>
      </c>
      <c r="L171" s="406" t="s">
        <v>56</v>
      </c>
      <c r="M171" s="406" t="s">
        <v>55</v>
      </c>
      <c r="N171" s="630"/>
      <c r="O171" s="630"/>
      <c r="P171" s="729"/>
      <c r="Q171" s="730">
        <v>0</v>
      </c>
      <c r="R171" s="731">
        <v>0</v>
      </c>
      <c r="S171" s="732" t="str">
        <f>IF(CampList[[#This Row],[HH]]&gt;0,CampList[[#This Row],[Total]]/CampList[[#This Row],[HH]],"NA")</f>
        <v>NA</v>
      </c>
      <c r="T171" s="722" t="s">
        <v>512</v>
      </c>
      <c r="U171" s="726" t="s">
        <v>1193</v>
      </c>
      <c r="V171" s="722" t="s">
        <v>555</v>
      </c>
      <c r="W171" s="726"/>
      <c r="X171" s="733"/>
      <c r="Y171" s="729"/>
      <c r="Z171" s="734"/>
      <c r="AA171" s="735"/>
      <c r="AB171" s="736"/>
      <c r="AC171" s="737"/>
      <c r="AD171" s="656"/>
      <c r="AE171" s="755" t="s">
        <v>1009</v>
      </c>
      <c r="AF171" s="663">
        <f>IF(CampList[[#This Row],[Type of Accomodation]]="camp",MAX(0,CampList[[#This Row],[HH]]-SUMIF(Table_Shelter[Pcode],CampList[[#This Row],[CP_Pcode]],Table_Shelter[HH Covered])),0)</f>
        <v>0</v>
      </c>
      <c r="AG171" s="722"/>
      <c r="AH171" s="736">
        <f>MIN(CampList[[#This Row],[Shelter Gap]],CampList[[#This Row],[Land Status]])</f>
        <v>0</v>
      </c>
      <c r="AI171" s="722" t="str">
        <f ca="1">IFERROR(OFFSET(DistanceToCamp[Nearest Town],MATCH(CampList[[#This Row],[CP_Pcode]],DistanceToCamp[CP_Pcode],0)-1,0,1,1),"")</f>
        <v/>
      </c>
      <c r="AJ171" s="739" t="str">
        <f ca="1">IFERROR(OFFSET(DistanceToCamp[distance],MATCH(CampList[[#This Row],[CP_Pcode]],DistanceToCamp[CP_Pcode],0)-1,0,1,1),"")</f>
        <v/>
      </c>
      <c r="AK171" s="740" t="str">
        <f ca="1">IFERROR(INT(CampList[[#This Row],[Distance]]/5)+1,"")</f>
        <v/>
      </c>
    </row>
    <row r="172" spans="1:37" s="511" customFormat="1" ht="15.6" customHeight="1" x14ac:dyDescent="0.25">
      <c r="A172" s="656" t="s">
        <v>501</v>
      </c>
      <c r="B172" s="406" t="s">
        <v>380</v>
      </c>
      <c r="C172" s="406" t="s">
        <v>526</v>
      </c>
      <c r="D172" s="406" t="s">
        <v>180</v>
      </c>
      <c r="E172" s="406" t="s">
        <v>527</v>
      </c>
      <c r="F172" s="406" t="s">
        <v>528</v>
      </c>
      <c r="G172" s="406" t="s">
        <v>529</v>
      </c>
      <c r="H172" s="728" t="s">
        <v>604</v>
      </c>
      <c r="I172" s="728" t="s">
        <v>605</v>
      </c>
      <c r="J172" s="728" t="s">
        <v>608</v>
      </c>
      <c r="K172" s="728" t="s">
        <v>609</v>
      </c>
      <c r="L172" s="406" t="s">
        <v>43</v>
      </c>
      <c r="M172" s="406" t="s">
        <v>42</v>
      </c>
      <c r="N172" s="630">
        <v>96.317350000000005</v>
      </c>
      <c r="O172" s="630">
        <v>25.616509000000001</v>
      </c>
      <c r="P172" s="747">
        <v>264</v>
      </c>
      <c r="Q172" s="138">
        <v>14</v>
      </c>
      <c r="R172" s="663">
        <v>83</v>
      </c>
      <c r="S172" s="732">
        <f>IF(CampList[[#This Row],[HH]]&gt;0,CampList[[#This Row],[Total]]/CampList[[#This Row],[HH]],"NA")</f>
        <v>5.9285714285714288</v>
      </c>
      <c r="T172" s="722" t="s">
        <v>512</v>
      </c>
      <c r="U172" s="726" t="s">
        <v>1193</v>
      </c>
      <c r="V172" s="722" t="s">
        <v>555</v>
      </c>
      <c r="W172" s="663" t="s">
        <v>804</v>
      </c>
      <c r="X172" s="742">
        <v>41275</v>
      </c>
      <c r="Y172" s="743">
        <v>1</v>
      </c>
      <c r="Z172" s="742" t="s">
        <v>506</v>
      </c>
      <c r="AA172" s="735" t="s">
        <v>843</v>
      </c>
      <c r="AB172" s="736"/>
      <c r="AC172" s="744">
        <v>42571</v>
      </c>
      <c r="AD172" s="656" t="s">
        <v>1500</v>
      </c>
      <c r="AE172" s="759" t="s">
        <v>1095</v>
      </c>
      <c r="AF172" s="663">
        <f>IF(CampList[[#This Row],[Type of Accomodation]]="camp",MAX(0,CampList[[#This Row],[HH]]-SUMIF(Table_Shelter[Pcode],CampList[[#This Row],[CP_Pcode]],Table_Shelter[HH Covered])),0)</f>
        <v>4</v>
      </c>
      <c r="AG172" s="722"/>
      <c r="AH172" s="736">
        <f>MIN(CampList[[#This Row],[Shelter Gap]],CampList[[#This Row],[Land Status]])</f>
        <v>4</v>
      </c>
      <c r="AI172" s="722" t="str">
        <f ca="1">IFERROR(OFFSET(DistanceToCamp[Nearest Town],MATCH(CampList[[#This Row],[CP_Pcode]],DistanceToCamp[CP_Pcode],0)-1,0,1,1),"")</f>
        <v>Hpakant Town</v>
      </c>
      <c r="AJ172" s="739">
        <f ca="1">IFERROR(OFFSET(DistanceToCamp[distance],MATCH(CampList[[#This Row],[CP_Pcode]],DistanceToCamp[CP_Pcode],0)-1,0,1,1),"")</f>
        <v>0.66733171900141897</v>
      </c>
      <c r="AK172" s="740">
        <f ca="1">IFERROR(INT(CampList[[#This Row],[Distance]]/5)+1,"")</f>
        <v>1</v>
      </c>
    </row>
    <row r="173" spans="1:37" s="511" customFormat="1" ht="15.6" customHeight="1" x14ac:dyDescent="0.25">
      <c r="A173" s="656" t="s">
        <v>501</v>
      </c>
      <c r="B173" s="406" t="s">
        <v>380</v>
      </c>
      <c r="C173" s="406" t="s">
        <v>526</v>
      </c>
      <c r="D173" s="406" t="s">
        <v>180</v>
      </c>
      <c r="E173" s="406" t="s">
        <v>527</v>
      </c>
      <c r="F173" s="406" t="s">
        <v>528</v>
      </c>
      <c r="G173" s="406" t="s">
        <v>529</v>
      </c>
      <c r="H173" s="728" t="s">
        <v>604</v>
      </c>
      <c r="I173" s="728" t="s">
        <v>605</v>
      </c>
      <c r="J173" s="728" t="s">
        <v>608</v>
      </c>
      <c r="K173" s="728" t="s">
        <v>609</v>
      </c>
      <c r="L173" s="406" t="s">
        <v>44</v>
      </c>
      <c r="M173" s="406" t="s">
        <v>45</v>
      </c>
      <c r="N173" s="630">
        <v>96.316564</v>
      </c>
      <c r="O173" s="630">
        <v>25.615960999999999</v>
      </c>
      <c r="P173" s="747">
        <v>281</v>
      </c>
      <c r="Q173" s="138">
        <v>8</v>
      </c>
      <c r="R173" s="663">
        <v>46</v>
      </c>
      <c r="S173" s="732">
        <f>IF(CampList[[#This Row],[HH]]&gt;0,CampList[[#This Row],[Total]]/CampList[[#This Row],[HH]],"NA")</f>
        <v>5.75</v>
      </c>
      <c r="T173" s="722" t="s">
        <v>512</v>
      </c>
      <c r="U173" s="726" t="s">
        <v>1193</v>
      </c>
      <c r="V173" s="722" t="s">
        <v>555</v>
      </c>
      <c r="W173" s="722" t="s">
        <v>804</v>
      </c>
      <c r="X173" s="742">
        <v>41122</v>
      </c>
      <c r="Y173" s="743">
        <v>1</v>
      </c>
      <c r="Z173" s="742" t="s">
        <v>506</v>
      </c>
      <c r="AA173" s="735" t="s">
        <v>843</v>
      </c>
      <c r="AB173" s="736"/>
      <c r="AC173" s="744">
        <v>42571</v>
      </c>
      <c r="AD173" s="656" t="s">
        <v>1505</v>
      </c>
      <c r="AE173" s="759" t="s">
        <v>1095</v>
      </c>
      <c r="AF173" s="663">
        <f>IF(CampList[[#This Row],[Type of Accomodation]]="camp",MAX(0,CampList[[#This Row],[HH]]-SUMIF(Table_Shelter[Pcode],CampList[[#This Row],[CP_Pcode]],Table_Shelter[HH Covered])),0)</f>
        <v>0</v>
      </c>
      <c r="AG173" s="722"/>
      <c r="AH173" s="736">
        <f>MIN(CampList[[#This Row],[Shelter Gap]],CampList[[#This Row],[Land Status]])</f>
        <v>0</v>
      </c>
      <c r="AI173" s="722" t="str">
        <f ca="1">IFERROR(OFFSET(DistanceToCamp[Nearest Town],MATCH(CampList[[#This Row],[CP_Pcode]],DistanceToCamp[CP_Pcode],0)-1,0,1,1),"")</f>
        <v>Hpakant Town</v>
      </c>
      <c r="AJ173" s="739">
        <f ca="1">IFERROR(OFFSET(DistanceToCamp[distance],MATCH(CampList[[#This Row],[CP_Pcode]],DistanceToCamp[CP_Pcode],0)-1,0,1,1),"")</f>
        <v>0.56771790814545575</v>
      </c>
      <c r="AK173" s="740">
        <f ca="1">IFERROR(INT(CampList[[#This Row],[Distance]]/5)+1,"")</f>
        <v>1</v>
      </c>
    </row>
    <row r="174" spans="1:37" s="511" customFormat="1" ht="15.6" customHeight="1" x14ac:dyDescent="0.25">
      <c r="A174" s="656" t="s">
        <v>501</v>
      </c>
      <c r="B174" s="406" t="s">
        <v>380</v>
      </c>
      <c r="C174" s="406" t="s">
        <v>526</v>
      </c>
      <c r="D174" s="406" t="s">
        <v>180</v>
      </c>
      <c r="E174" s="406" t="s">
        <v>527</v>
      </c>
      <c r="F174" s="406" t="s">
        <v>528</v>
      </c>
      <c r="G174" s="406" t="s">
        <v>529</v>
      </c>
      <c r="H174" s="728" t="s">
        <v>610</v>
      </c>
      <c r="I174" s="728" t="s">
        <v>611</v>
      </c>
      <c r="J174" s="728" t="s">
        <v>610</v>
      </c>
      <c r="K174" s="728">
        <v>166776</v>
      </c>
      <c r="L174" s="406" t="s">
        <v>612</v>
      </c>
      <c r="M174" s="406" t="s">
        <v>46</v>
      </c>
      <c r="N174" s="630">
        <v>96.339590000000001</v>
      </c>
      <c r="O174" s="630">
        <v>25.617998</v>
      </c>
      <c r="P174" s="729"/>
      <c r="Q174" s="138">
        <v>17</v>
      </c>
      <c r="R174" s="663">
        <v>64</v>
      </c>
      <c r="S174" s="732">
        <f>IF(CampList[[#This Row],[HH]]&gt;0,CampList[[#This Row],[Total]]/CampList[[#This Row],[HH]],"NA")</f>
        <v>3.7647058823529411</v>
      </c>
      <c r="T174" s="722" t="s">
        <v>512</v>
      </c>
      <c r="U174" s="726" t="s">
        <v>1193</v>
      </c>
      <c r="V174" s="722" t="s">
        <v>555</v>
      </c>
      <c r="W174" s="726" t="s">
        <v>804</v>
      </c>
      <c r="X174" s="742">
        <v>41275</v>
      </c>
      <c r="Y174" s="743">
        <v>1</v>
      </c>
      <c r="Z174" s="742" t="s">
        <v>506</v>
      </c>
      <c r="AA174" s="735" t="s">
        <v>843</v>
      </c>
      <c r="AB174" s="736"/>
      <c r="AC174" s="744">
        <v>42571</v>
      </c>
      <c r="AD174" s="656" t="s">
        <v>1514</v>
      </c>
      <c r="AE174" s="759" t="s">
        <v>1095</v>
      </c>
      <c r="AF174" s="663">
        <f>IF(CampList[[#This Row],[Type of Accomodation]]="camp",MAX(0,CampList[[#This Row],[HH]]-SUMIF(Table_Shelter[Pcode],CampList[[#This Row],[CP_Pcode]],Table_Shelter[HH Covered])),0)</f>
        <v>2</v>
      </c>
      <c r="AG174" s="722"/>
      <c r="AH174" s="736">
        <f>MIN(CampList[[#This Row],[Shelter Gap]],CampList[[#This Row],[Land Status]])</f>
        <v>2</v>
      </c>
      <c r="AI174" s="722" t="str">
        <f ca="1">IFERROR(OFFSET(DistanceToCamp[Nearest Town],MATCH(CampList[[#This Row],[CP_Pcode]],DistanceToCamp[CP_Pcode],0)-1,0,1,1),"")</f>
        <v>Hpakant Town</v>
      </c>
      <c r="AJ174" s="739">
        <f ca="1">IFERROR(OFFSET(DistanceToCamp[distance],MATCH(CampList[[#This Row],[CP_Pcode]],DistanceToCamp[CP_Pcode],0)-1,0,1,1),"")</f>
        <v>2.814225084976667</v>
      </c>
      <c r="AK174" s="740">
        <f ca="1">IFERROR(INT(CampList[[#This Row],[Distance]]/5)+1,"")</f>
        <v>1</v>
      </c>
    </row>
    <row r="175" spans="1:37" s="511" customFormat="1" ht="15.6" customHeight="1" x14ac:dyDescent="0.25">
      <c r="A175" s="656" t="s">
        <v>501</v>
      </c>
      <c r="B175" s="406" t="s">
        <v>380</v>
      </c>
      <c r="C175" s="406" t="s">
        <v>526</v>
      </c>
      <c r="D175" s="406" t="s">
        <v>5</v>
      </c>
      <c r="E175" s="406" t="s">
        <v>530</v>
      </c>
      <c r="F175" s="406" t="s">
        <v>5</v>
      </c>
      <c r="G175" s="406" t="s">
        <v>531</v>
      </c>
      <c r="H175" s="406" t="s">
        <v>646</v>
      </c>
      <c r="I175" s="406" t="s">
        <v>647</v>
      </c>
      <c r="J175" s="406" t="s">
        <v>648</v>
      </c>
      <c r="K175" s="406">
        <v>166854</v>
      </c>
      <c r="L175" s="406" t="s">
        <v>366</v>
      </c>
      <c r="M175" s="406" t="s">
        <v>376</v>
      </c>
      <c r="N175" s="630">
        <v>97.252650000000003</v>
      </c>
      <c r="O175" s="630">
        <v>24.222349999999999</v>
      </c>
      <c r="P175" s="741">
        <v>0</v>
      </c>
      <c r="Q175" s="663">
        <v>150</v>
      </c>
      <c r="R175" s="665">
        <v>761</v>
      </c>
      <c r="S175" s="732">
        <f>IF(CampList[[#This Row],[HH]]&gt;0,CampList[[#This Row],[Total]]/CampList[[#This Row],[HH]],"NA")</f>
        <v>5.0733333333333333</v>
      </c>
      <c r="T175" s="722" t="s">
        <v>512</v>
      </c>
      <c r="U175" s="726" t="s">
        <v>1193</v>
      </c>
      <c r="V175" s="722" t="s">
        <v>555</v>
      </c>
      <c r="W175" s="726" t="s">
        <v>804</v>
      </c>
      <c r="X175" s="742">
        <v>41275</v>
      </c>
      <c r="Y175" s="743">
        <v>1</v>
      </c>
      <c r="Z175" s="742" t="s">
        <v>461</v>
      </c>
      <c r="AA175" s="736" t="s">
        <v>843</v>
      </c>
      <c r="AB175" s="736"/>
      <c r="AC175" s="744">
        <v>42569</v>
      </c>
      <c r="AD175" s="728" t="s">
        <v>1482</v>
      </c>
      <c r="AE175" s="759" t="s">
        <v>1095</v>
      </c>
      <c r="AF175" s="663">
        <f>IF(CampList[[#This Row],[Type of Accomodation]]="camp",MAX(0,CampList[[#This Row],[HH]]-SUMIF(Table_Shelter[Pcode],CampList[[#This Row],[CP_Pcode]],Table_Shelter[HH Covered])),0)</f>
        <v>24</v>
      </c>
      <c r="AG175" s="663"/>
      <c r="AH175" s="736">
        <f>MIN(CampList[[#This Row],[Shelter Gap]],CampList[[#This Row],[Land Status]])</f>
        <v>24</v>
      </c>
      <c r="AI175" s="722" t="str">
        <f ca="1">IFERROR(OFFSET(DistanceToCamp[Nearest Town],MATCH(CampList[[#This Row],[CP_Pcode]],DistanceToCamp[CP_Pcode],0)-1,0,1,1),"")</f>
        <v>Bhamo Town</v>
      </c>
      <c r="AJ175" s="739">
        <f ca="1">IFERROR(OFFSET(DistanceToCamp[distance],MATCH(CampList[[#This Row],[CP_Pcode]],DistanceToCamp[CP_Pcode],0)-1,0,1,1),"")</f>
        <v>4.067486452659054</v>
      </c>
      <c r="AK175" s="740">
        <f ca="1">IFERROR(INT(CampList[[#This Row],[Distance]]/5)+1,"")</f>
        <v>1</v>
      </c>
    </row>
    <row r="176" spans="1:37" s="511" customFormat="1" ht="15.6" customHeight="1" x14ac:dyDescent="0.25">
      <c r="A176" s="656" t="s">
        <v>501</v>
      </c>
      <c r="B176" s="406" t="s">
        <v>380</v>
      </c>
      <c r="C176" s="406" t="s">
        <v>526</v>
      </c>
      <c r="D176" s="406" t="s">
        <v>5</v>
      </c>
      <c r="E176" s="406" t="s">
        <v>530</v>
      </c>
      <c r="F176" s="406" t="s">
        <v>5</v>
      </c>
      <c r="G176" s="406" t="s">
        <v>531</v>
      </c>
      <c r="H176" s="728" t="s">
        <v>1393</v>
      </c>
      <c r="I176" s="728" t="s">
        <v>1392</v>
      </c>
      <c r="J176" s="728" t="s">
        <v>1393</v>
      </c>
      <c r="K176" s="763">
        <v>166904</v>
      </c>
      <c r="L176" s="406" t="s">
        <v>513</v>
      </c>
      <c r="M176" s="406" t="s">
        <v>377</v>
      </c>
      <c r="N176" s="630">
        <v>97.252650000000003</v>
      </c>
      <c r="O176" s="630">
        <v>24.260466999999998</v>
      </c>
      <c r="P176" s="741">
        <v>0</v>
      </c>
      <c r="Q176" s="663">
        <v>12</v>
      </c>
      <c r="R176" s="665">
        <v>55</v>
      </c>
      <c r="S176" s="732">
        <f>IF(CampList[[#This Row],[HH]]&gt;0,CampList[[#This Row],[Total]]/CampList[[#This Row],[HH]],"NA")</f>
        <v>4.583333333333333</v>
      </c>
      <c r="T176" s="722" t="s">
        <v>512</v>
      </c>
      <c r="U176" s="726" t="s">
        <v>1193</v>
      </c>
      <c r="V176" s="722" t="s">
        <v>555</v>
      </c>
      <c r="W176" s="726" t="s">
        <v>804</v>
      </c>
      <c r="X176" s="742">
        <v>40787</v>
      </c>
      <c r="Y176" s="743">
        <v>1</v>
      </c>
      <c r="Z176" s="742" t="s">
        <v>461</v>
      </c>
      <c r="AA176" s="735" t="s">
        <v>843</v>
      </c>
      <c r="AB176" s="736"/>
      <c r="AC176" s="744">
        <v>42569</v>
      </c>
      <c r="AD176" s="656" t="s">
        <v>1483</v>
      </c>
      <c r="AE176" s="759" t="s">
        <v>1095</v>
      </c>
      <c r="AF176" s="663">
        <f>IF(CampList[[#This Row],[Type of Accomodation]]="camp",MAX(0,CampList[[#This Row],[HH]]-SUMIF(Table_Shelter[Pcode],CampList[[#This Row],[CP_Pcode]],Table_Shelter[HH Covered])),0)</f>
        <v>0</v>
      </c>
      <c r="AG176" s="722"/>
      <c r="AH176" s="736">
        <f>MIN(CampList[[#This Row],[Shelter Gap]],CampList[[#This Row],[Land Status]])</f>
        <v>0</v>
      </c>
      <c r="AI176" s="722" t="str">
        <f ca="1">IFERROR(OFFSET(DistanceToCamp[Nearest Town],MATCH(CampList[[#This Row],[CP_Pcode]],DistanceToCamp[CP_Pcode],0)-1,0,1,1),"")</f>
        <v>Bhamo Town</v>
      </c>
      <c r="AJ176" s="739">
        <f ca="1">IFERROR(OFFSET(DistanceToCamp[distance],MATCH(CampList[[#This Row],[CP_Pcode]],DistanceToCamp[CP_Pcode],0)-1,0,1,1),"")</f>
        <v>1.9489261822960435</v>
      </c>
      <c r="AK176" s="740">
        <f ca="1">IFERROR(INT(CampList[[#This Row],[Distance]]/5)+1,"")</f>
        <v>1</v>
      </c>
    </row>
    <row r="177" spans="1:37" s="511" customFormat="1" ht="15.6" customHeight="1" x14ac:dyDescent="0.25">
      <c r="A177" s="656" t="s">
        <v>501</v>
      </c>
      <c r="B177" s="406" t="s">
        <v>380</v>
      </c>
      <c r="C177" s="406" t="s">
        <v>526</v>
      </c>
      <c r="D177" s="406" t="s">
        <v>237</v>
      </c>
      <c r="E177" s="406" t="s">
        <v>532</v>
      </c>
      <c r="F177" s="406" t="s">
        <v>27</v>
      </c>
      <c r="G177" s="406" t="s">
        <v>535</v>
      </c>
      <c r="H177" s="748" t="s">
        <v>804</v>
      </c>
      <c r="I177" s="406" t="s">
        <v>793</v>
      </c>
      <c r="J177" s="748" t="s">
        <v>805</v>
      </c>
      <c r="K177" s="748"/>
      <c r="L177" s="406" t="s">
        <v>365</v>
      </c>
      <c r="M177" s="406" t="s">
        <v>378</v>
      </c>
      <c r="N177" s="630">
        <v>98.129990000000006</v>
      </c>
      <c r="O177" s="630">
        <v>25.887339999999998</v>
      </c>
      <c r="P177" s="729">
        <v>259.10000000000002</v>
      </c>
      <c r="Q177" s="762">
        <v>143</v>
      </c>
      <c r="R177" s="663">
        <v>638</v>
      </c>
      <c r="S177" s="732">
        <f>IF(CampList[[#This Row],[HH]]&gt;0,CampList[[#This Row],[Total]]/CampList[[#This Row],[HH]],"NA")</f>
        <v>4.4615384615384617</v>
      </c>
      <c r="T177" s="722" t="s">
        <v>512</v>
      </c>
      <c r="U177" s="726" t="s">
        <v>1193</v>
      </c>
      <c r="V177" s="722" t="s">
        <v>555</v>
      </c>
      <c r="W177" s="726" t="s">
        <v>857</v>
      </c>
      <c r="X177" s="742">
        <v>40940</v>
      </c>
      <c r="Y177" s="743">
        <v>1</v>
      </c>
      <c r="Z177" s="742" t="s">
        <v>506</v>
      </c>
      <c r="AA177" s="735" t="s">
        <v>843</v>
      </c>
      <c r="AB177" s="736"/>
      <c r="AC177" s="744">
        <v>42571</v>
      </c>
      <c r="AD177" s="656" t="s">
        <v>1506</v>
      </c>
      <c r="AE177" s="759" t="s">
        <v>1079</v>
      </c>
      <c r="AF177" s="663">
        <f>IF(CampList[[#This Row],[Type of Accomodation]]="camp",MAX(0,CampList[[#This Row],[HH]]-SUMIF(Table_Shelter[Pcode],CampList[[#This Row],[CP_Pcode]],Table_Shelter[HH Covered])),0)</f>
        <v>70</v>
      </c>
      <c r="AG177" s="722"/>
      <c r="AH177" s="736">
        <f>MIN(CampList[[#This Row],[Shelter Gap]],CampList[[#This Row],[Land Status]])</f>
        <v>70</v>
      </c>
      <c r="AI177" s="722"/>
      <c r="AJ177" s="739" t="str">
        <f ca="1">IFERROR(OFFSET(DistanceToCamp[distance],MATCH(CampList[[#This Row],[CP_Pcode]],DistanceToCamp[CP_Pcode],0)-1,0,1,1),"")</f>
        <v/>
      </c>
      <c r="AK177" s="740" t="str">
        <f ca="1">IFERROR(INT(CampList[[#This Row],[Distance]]/5)+1,"")</f>
        <v/>
      </c>
    </row>
    <row r="178" spans="1:37" s="511" customFormat="1" ht="15.6" customHeight="1" x14ac:dyDescent="0.25">
      <c r="A178" s="656" t="s">
        <v>501</v>
      </c>
      <c r="B178" s="406" t="s">
        <v>380</v>
      </c>
      <c r="C178" s="406" t="s">
        <v>526</v>
      </c>
      <c r="D178" s="406" t="s">
        <v>5</v>
      </c>
      <c r="E178" s="406" t="s">
        <v>530</v>
      </c>
      <c r="F178" s="406" t="s">
        <v>151</v>
      </c>
      <c r="G178" s="406" t="s">
        <v>540</v>
      </c>
      <c r="H178" s="728" t="s">
        <v>651</v>
      </c>
      <c r="I178" s="728" t="s">
        <v>652</v>
      </c>
      <c r="J178" s="406"/>
      <c r="K178" s="406"/>
      <c r="L178" s="406" t="s">
        <v>12</v>
      </c>
      <c r="M178" s="406" t="s">
        <v>390</v>
      </c>
      <c r="N178" s="630">
        <v>97.298055000000005</v>
      </c>
      <c r="O178" s="630">
        <v>24.118618999999999</v>
      </c>
      <c r="P178" s="753"/>
      <c r="Q178" s="730">
        <v>76</v>
      </c>
      <c r="R178" s="731">
        <v>256</v>
      </c>
      <c r="S178" s="732">
        <f>IF(CampList[[#This Row],[HH]]&gt;0,CampList[[#This Row],[Total]]/CampList[[#This Row],[HH]],"NA")</f>
        <v>3.3684210526315788</v>
      </c>
      <c r="T178" s="722" t="s">
        <v>512</v>
      </c>
      <c r="U178" s="726" t="s">
        <v>1193</v>
      </c>
      <c r="V178" s="723" t="s">
        <v>12</v>
      </c>
      <c r="W178" s="722" t="s">
        <v>804</v>
      </c>
      <c r="X178" s="733"/>
      <c r="Y178" s="729"/>
      <c r="Z178" s="734"/>
      <c r="AA178" s="735" t="s">
        <v>843</v>
      </c>
      <c r="AB178" s="736"/>
      <c r="AC178" s="750">
        <v>42317</v>
      </c>
      <c r="AD178" s="656" t="s">
        <v>1324</v>
      </c>
      <c r="AE178" s="755" t="s">
        <v>1095</v>
      </c>
      <c r="AF178" s="663">
        <f>IF(CampList[[#This Row],[Type of Accomodation]]="camp",MAX(0,CampList[[#This Row],[HH]]-SUMIF(Table_Shelter[Pcode],CampList[[#This Row],[CP_Pcode]],Table_Shelter[HH Covered])),0)</f>
        <v>0</v>
      </c>
      <c r="AG178" s="722"/>
      <c r="AH178" s="736">
        <f>MIN(CampList[[#This Row],[Shelter Gap]],CampList[[#This Row],[Land Status]])</f>
        <v>0</v>
      </c>
      <c r="AI178" s="722" t="str">
        <f ca="1">IFERROR(OFFSET(DistanceToCamp[Nearest Town],MATCH(CampList[[#This Row],[CP_Pcode]],DistanceToCamp[CP_Pcode],0)-1,0,1,1),"")</f>
        <v>Mansi Town</v>
      </c>
      <c r="AJ178" s="739">
        <f ca="1">IFERROR(OFFSET(DistanceToCamp[distance],MATCH(CampList[[#This Row],[CP_Pcode]],DistanceToCamp[CP_Pcode],0)-1,0,1,1),"")</f>
        <v>0.51447052329458698</v>
      </c>
      <c r="AK178" s="740">
        <f ca="1">IFERROR(INT(CampList[[#This Row],[Distance]]/5)+1,"")</f>
        <v>1</v>
      </c>
    </row>
    <row r="179" spans="1:37" s="511" customFormat="1" ht="15.6" customHeight="1" x14ac:dyDescent="0.25">
      <c r="A179" s="656" t="s">
        <v>501</v>
      </c>
      <c r="B179" s="406" t="s">
        <v>380</v>
      </c>
      <c r="C179" s="406" t="s">
        <v>526</v>
      </c>
      <c r="D179" s="406" t="s">
        <v>5</v>
      </c>
      <c r="E179" s="406" t="s">
        <v>530</v>
      </c>
      <c r="F179" s="406" t="s">
        <v>185</v>
      </c>
      <c r="G179" s="406" t="s">
        <v>534</v>
      </c>
      <c r="H179" s="406" t="s">
        <v>663</v>
      </c>
      <c r="I179" s="406" t="s">
        <v>664</v>
      </c>
      <c r="J179" s="406"/>
      <c r="K179" s="406"/>
      <c r="L179" s="406" t="s">
        <v>12</v>
      </c>
      <c r="M179" s="406" t="s">
        <v>391</v>
      </c>
      <c r="N179" s="630">
        <v>97.348405</v>
      </c>
      <c r="O179" s="630">
        <v>24.251232000000002</v>
      </c>
      <c r="P179" s="753"/>
      <c r="Q179" s="730">
        <v>320</v>
      </c>
      <c r="R179" s="731">
        <v>1125</v>
      </c>
      <c r="S179" s="732">
        <f>IF(CampList[[#This Row],[HH]]&gt;0,CampList[[#This Row],[Total]]/CampList[[#This Row],[HH]],"NA")</f>
        <v>3.515625</v>
      </c>
      <c r="T179" s="722" t="s">
        <v>512</v>
      </c>
      <c r="U179" s="726" t="s">
        <v>1193</v>
      </c>
      <c r="V179" s="723" t="s">
        <v>12</v>
      </c>
      <c r="W179" s="722" t="s">
        <v>804</v>
      </c>
      <c r="X179" s="733"/>
      <c r="Y179" s="729"/>
      <c r="Z179" s="734"/>
      <c r="AA179" s="735" t="s">
        <v>842</v>
      </c>
      <c r="AB179" s="736"/>
      <c r="AC179" s="750">
        <v>42317</v>
      </c>
      <c r="AD179" s="656" t="s">
        <v>1323</v>
      </c>
      <c r="AE179" s="755" t="s">
        <v>1095</v>
      </c>
      <c r="AF179" s="663">
        <f>IF(CampList[[#This Row],[Type of Accomodation]]="camp",MAX(0,CampList[[#This Row],[HH]]-SUMIF(Table_Shelter[Pcode],CampList[[#This Row],[CP_Pcode]],Table_Shelter[HH Covered])),0)</f>
        <v>0</v>
      </c>
      <c r="AG179" s="722"/>
      <c r="AH179" s="736">
        <f>MIN(CampList[[#This Row],[Shelter Gap]],CampList[[#This Row],[Land Status]])</f>
        <v>0</v>
      </c>
      <c r="AI179" s="722" t="str">
        <f ca="1">IFERROR(OFFSET(DistanceToCamp[Nearest Town],MATCH(CampList[[#This Row],[CP_Pcode]],DistanceToCamp[CP_Pcode],0)-1,0,1,1),"")</f>
        <v>Momauk Town</v>
      </c>
      <c r="AJ179" s="739">
        <f ca="1">IFERROR(OFFSET(DistanceToCamp[distance],MATCH(CampList[[#This Row],[CP_Pcode]],DistanceToCamp[CP_Pcode],0)-1,0,1,1),"")</f>
        <v>0.60629049139006752</v>
      </c>
      <c r="AK179" s="740">
        <f ca="1">IFERROR(INT(CampList[[#This Row],[Distance]]/5)+1,"")</f>
        <v>1</v>
      </c>
    </row>
    <row r="180" spans="1:37" s="511" customFormat="1" ht="15.6" customHeight="1" x14ac:dyDescent="0.25">
      <c r="A180" s="656" t="s">
        <v>501</v>
      </c>
      <c r="B180" s="406" t="s">
        <v>380</v>
      </c>
      <c r="C180" s="406" t="s">
        <v>526</v>
      </c>
      <c r="D180" s="406" t="s">
        <v>5</v>
      </c>
      <c r="E180" s="406" t="s">
        <v>530</v>
      </c>
      <c r="F180" s="406" t="s">
        <v>185</v>
      </c>
      <c r="G180" s="406" t="s">
        <v>534</v>
      </c>
      <c r="H180" s="728" t="s">
        <v>806</v>
      </c>
      <c r="I180" s="728" t="s">
        <v>807</v>
      </c>
      <c r="J180" s="728" t="s">
        <v>808</v>
      </c>
      <c r="K180" s="728">
        <v>167270</v>
      </c>
      <c r="L180" s="406" t="s">
        <v>205</v>
      </c>
      <c r="M180" s="406" t="s">
        <v>392</v>
      </c>
      <c r="N180" s="630">
        <v>97.276591999999994</v>
      </c>
      <c r="O180" s="630">
        <v>24.759551999999999</v>
      </c>
      <c r="P180" s="753"/>
      <c r="Q180" s="730"/>
      <c r="R180" s="731"/>
      <c r="S180" s="732" t="str">
        <f>IF(CampList[[#This Row],[HH]]&gt;0,CampList[[#This Row],[Total]]/CampList[[#This Row],[HH]],"NA")</f>
        <v>NA</v>
      </c>
      <c r="T180" s="722" t="s">
        <v>512</v>
      </c>
      <c r="U180" s="726" t="s">
        <v>1193</v>
      </c>
      <c r="V180" s="723" t="s">
        <v>12</v>
      </c>
      <c r="W180" s="726" t="s">
        <v>857</v>
      </c>
      <c r="X180" s="733"/>
      <c r="Y180" s="729"/>
      <c r="Z180" s="734"/>
      <c r="AA180" s="735" t="s">
        <v>842</v>
      </c>
      <c r="AB180" s="736"/>
      <c r="AC180" s="744">
        <v>41803</v>
      </c>
      <c r="AD180" s="656" t="s">
        <v>1070</v>
      </c>
      <c r="AE180" s="755" t="s">
        <v>1095</v>
      </c>
      <c r="AF180" s="663">
        <f>IF(CampList[[#This Row],[Type of Accomodation]]="camp",MAX(0,CampList[[#This Row],[HH]]-SUMIF(Table_Shelter[Pcode],CampList[[#This Row],[CP_Pcode]],Table_Shelter[HH Covered])),0)</f>
        <v>0</v>
      </c>
      <c r="AG180" s="722"/>
      <c r="AH180" s="736">
        <f>MIN(CampList[[#This Row],[Shelter Gap]],CampList[[#This Row],[Land Status]])</f>
        <v>0</v>
      </c>
      <c r="AI180" s="722" t="str">
        <f ca="1">IFERROR(OFFSET(DistanceToCamp[Nearest Town],MATCH(CampList[[#This Row],[CP_Pcode]],DistanceToCamp[CP_Pcode],0)-1,0,1,1),"")</f>
        <v>Dawthponeyan  Town</v>
      </c>
      <c r="AJ180" s="739">
        <f ca="1">IFERROR(OFFSET(DistanceToCamp[distance],MATCH(CampList[[#This Row],[CP_Pcode]],DistanceToCamp[CP_Pcode],0)-1,0,1,1),"")</f>
        <v>24.701686141136339</v>
      </c>
      <c r="AK180" s="740">
        <f ca="1">IFERROR(INT(CampList[[#This Row],[Distance]]/5)+1,"")</f>
        <v>5</v>
      </c>
    </row>
    <row r="181" spans="1:37" s="511" customFormat="1" ht="15.6" customHeight="1" x14ac:dyDescent="0.25">
      <c r="A181" s="764" t="s">
        <v>501</v>
      </c>
      <c r="B181" s="406" t="s">
        <v>380</v>
      </c>
      <c r="C181" s="406" t="s">
        <v>526</v>
      </c>
      <c r="D181" s="406" t="s">
        <v>5</v>
      </c>
      <c r="E181" s="406" t="s">
        <v>530</v>
      </c>
      <c r="F181" s="406" t="s">
        <v>302</v>
      </c>
      <c r="G181" s="406" t="s">
        <v>541</v>
      </c>
      <c r="H181" s="406" t="s">
        <v>622</v>
      </c>
      <c r="I181" s="406" t="s">
        <v>623</v>
      </c>
      <c r="J181" s="406"/>
      <c r="K181" s="406"/>
      <c r="L181" s="406" t="s">
        <v>12</v>
      </c>
      <c r="M181" s="406" t="s">
        <v>393</v>
      </c>
      <c r="N181" s="630">
        <v>96.793177</v>
      </c>
      <c r="O181" s="630">
        <v>24.224830999999998</v>
      </c>
      <c r="P181" s="753"/>
      <c r="Q181" s="730">
        <v>9</v>
      </c>
      <c r="R181" s="731">
        <v>30</v>
      </c>
      <c r="S181" s="732">
        <f>IF(CampList[[#This Row],[HH]]&gt;0,CampList[[#This Row],[Total]]/CampList[[#This Row],[HH]],"NA")</f>
        <v>3.3333333333333335</v>
      </c>
      <c r="T181" s="722" t="s">
        <v>512</v>
      </c>
      <c r="U181" s="726" t="s">
        <v>1193</v>
      </c>
      <c r="V181" s="724" t="s">
        <v>12</v>
      </c>
      <c r="W181" s="722" t="s">
        <v>804</v>
      </c>
      <c r="X181" s="733"/>
      <c r="Y181" s="729"/>
      <c r="Z181" s="734"/>
      <c r="AA181" s="735" t="s">
        <v>842</v>
      </c>
      <c r="AB181" s="736"/>
      <c r="AC181" s="744"/>
      <c r="AD181" s="656"/>
      <c r="AE181" s="755" t="s">
        <v>1095</v>
      </c>
      <c r="AF181" s="663">
        <f>IF(CampList[[#This Row],[Type of Accomodation]]="camp",MAX(0,CampList[[#This Row],[HH]]-SUMIF(Table_Shelter[Pcode],CampList[[#This Row],[CP_Pcode]],Table_Shelter[HH Covered])),0)</f>
        <v>0</v>
      </c>
      <c r="AG181" s="722"/>
      <c r="AH181" s="736">
        <f>MIN(CampList[[#This Row],[Shelter Gap]],CampList[[#This Row],[Land Status]])</f>
        <v>0</v>
      </c>
      <c r="AI181" s="722" t="str">
        <f ca="1">IFERROR(OFFSET(DistanceToCamp[Nearest Town],MATCH(CampList[[#This Row],[CP_Pcode]],DistanceToCamp[CP_Pcode],0)-1,0,1,1),"")</f>
        <v>Shwegu Town</v>
      </c>
      <c r="AJ181" s="739">
        <f ca="1">IFERROR(OFFSET(DistanceToCamp[distance],MATCH(CampList[[#This Row],[CP_Pcode]],DistanceToCamp[CP_Pcode],0)-1,0,1,1),"")</f>
        <v>2.3794331620169178</v>
      </c>
      <c r="AK181" s="740">
        <f ca="1">IFERROR(INT(CampList[[#This Row],[Distance]]/5)+1,"")</f>
        <v>1</v>
      </c>
    </row>
    <row r="182" spans="1:37" s="511" customFormat="1" ht="15.6" customHeight="1" x14ac:dyDescent="0.25">
      <c r="A182" s="656" t="s">
        <v>501</v>
      </c>
      <c r="B182" s="406" t="s">
        <v>380</v>
      </c>
      <c r="C182" s="406" t="s">
        <v>526</v>
      </c>
      <c r="D182" s="406" t="s">
        <v>5</v>
      </c>
      <c r="E182" s="406" t="s">
        <v>530</v>
      </c>
      <c r="F182" s="406" t="s">
        <v>185</v>
      </c>
      <c r="G182" s="406" t="s">
        <v>534</v>
      </c>
      <c r="H182" s="406" t="s">
        <v>1078</v>
      </c>
      <c r="I182" s="406" t="s">
        <v>1077</v>
      </c>
      <c r="J182" s="406" t="s">
        <v>1078</v>
      </c>
      <c r="K182" s="406">
        <v>167060</v>
      </c>
      <c r="L182" s="406" t="s">
        <v>522</v>
      </c>
      <c r="M182" s="406" t="s">
        <v>523</v>
      </c>
      <c r="N182" s="775">
        <v>97.343406999999999</v>
      </c>
      <c r="O182" s="630">
        <v>24.377054000000001</v>
      </c>
      <c r="P182" s="753"/>
      <c r="Q182" s="730">
        <v>4</v>
      </c>
      <c r="R182" s="731">
        <v>26</v>
      </c>
      <c r="S182" s="732">
        <f>IF(CampList[[#This Row],[HH]]&gt;0,CampList[[#This Row],[Total]]/CampList[[#This Row],[HH]],"NA")</f>
        <v>6.5</v>
      </c>
      <c r="T182" s="722" t="s">
        <v>512</v>
      </c>
      <c r="U182" s="726" t="s">
        <v>1193</v>
      </c>
      <c r="V182" s="722" t="s">
        <v>12</v>
      </c>
      <c r="W182" s="726" t="s">
        <v>857</v>
      </c>
      <c r="X182" s="733"/>
      <c r="Y182" s="729"/>
      <c r="Z182" s="734"/>
      <c r="AA182" s="735" t="s">
        <v>842</v>
      </c>
      <c r="AB182" s="736"/>
      <c r="AC182" s="744">
        <v>41701</v>
      </c>
      <c r="AD182" s="656" t="s">
        <v>1013</v>
      </c>
      <c r="AE182" s="755" t="s">
        <v>1095</v>
      </c>
      <c r="AF182" s="663">
        <f>IF(CampList[[#This Row],[Type of Accomodation]]="camp",MAX(0,CampList[[#This Row],[HH]]-SUMIF(Table_Shelter[Pcode],CampList[[#This Row],[CP_Pcode]],Table_Shelter[HH Covered])),0)</f>
        <v>0</v>
      </c>
      <c r="AG182" s="722"/>
      <c r="AH182" s="736">
        <f>MIN(CampList[[#This Row],[Shelter Gap]],CampList[[#This Row],[Land Status]])</f>
        <v>0</v>
      </c>
      <c r="AI182" s="722" t="str">
        <f ca="1">IFERROR(OFFSET(DistanceToCamp[Nearest Town],MATCH(CampList[[#This Row],[CP_Pcode]],DistanceToCamp[CP_Pcode],0)-1,0,1,1),"")</f>
        <v>Momauk Town</v>
      </c>
      <c r="AJ182" s="739">
        <f ca="1">IFERROR(OFFSET(DistanceToCamp[distance],MATCH(CampList[[#This Row],[CP_Pcode]],DistanceToCamp[CP_Pcode],0)-1,0,1,1),"")</f>
        <v>13.446032768350749</v>
      </c>
      <c r="AK182" s="740">
        <f ca="1">IFERROR(INT(CampList[[#This Row],[Distance]]/5)+1,"")</f>
        <v>3</v>
      </c>
    </row>
    <row r="183" spans="1:37" s="511" customFormat="1" ht="15.6" hidden="1" customHeight="1" x14ac:dyDescent="0.25">
      <c r="A183" s="656" t="s">
        <v>844</v>
      </c>
      <c r="B183" s="406" t="s">
        <v>380</v>
      </c>
      <c r="C183" s="406" t="s">
        <v>526</v>
      </c>
      <c r="D183" s="406" t="s">
        <v>180</v>
      </c>
      <c r="E183" s="406" t="s">
        <v>527</v>
      </c>
      <c r="F183" s="406" t="s">
        <v>528</v>
      </c>
      <c r="G183" s="406" t="s">
        <v>529</v>
      </c>
      <c r="H183" s="728" t="s">
        <v>604</v>
      </c>
      <c r="I183" s="728" t="s">
        <v>605</v>
      </c>
      <c r="J183" s="728" t="s">
        <v>608</v>
      </c>
      <c r="K183" s="728" t="s">
        <v>609</v>
      </c>
      <c r="L183" s="406" t="s">
        <v>515</v>
      </c>
      <c r="M183" s="406" t="s">
        <v>516</v>
      </c>
      <c r="N183" s="630">
        <v>96.315601999999998</v>
      </c>
      <c r="O183" s="630">
        <v>25.615006000000001</v>
      </c>
      <c r="P183" s="729"/>
      <c r="Q183" s="730">
        <v>0</v>
      </c>
      <c r="R183" s="731">
        <v>0</v>
      </c>
      <c r="S183" s="732" t="str">
        <f>IF(CampList[[#This Row],[HH]]&gt;0,CampList[[#This Row],[Total]]/CampList[[#This Row],[HH]],"NA")</f>
        <v>NA</v>
      </c>
      <c r="T183" s="722" t="s">
        <v>512</v>
      </c>
      <c r="U183" s="726" t="s">
        <v>1193</v>
      </c>
      <c r="V183" s="722" t="s">
        <v>555</v>
      </c>
      <c r="W183" s="726"/>
      <c r="X183" s="733"/>
      <c r="Y183" s="729"/>
      <c r="Z183" s="734"/>
      <c r="AA183" s="735"/>
      <c r="AB183" s="736"/>
      <c r="AC183" s="737"/>
      <c r="AD183" s="656" t="s">
        <v>602</v>
      </c>
      <c r="AE183" s="755" t="s">
        <v>1009</v>
      </c>
      <c r="AF183" s="663">
        <f>IF(CampList[[#This Row],[Type of Accomodation]]="camp",MAX(0,CampList[[#This Row],[HH]]-SUMIF(Table_Shelter[Pcode],CampList[[#This Row],[CP_Pcode]],Table_Shelter[HH Covered])),0)</f>
        <v>0</v>
      </c>
      <c r="AG183" s="722"/>
      <c r="AH183" s="736">
        <f>MIN(CampList[[#This Row],[Shelter Gap]],CampList[[#This Row],[Land Status]])</f>
        <v>0</v>
      </c>
      <c r="AI183" s="722" t="str">
        <f ca="1">IFERROR(OFFSET(DistanceToCamp[Nearest Town],MATCH(CampList[[#This Row],[CP_Pcode]],DistanceToCamp[CP_Pcode],0)-1,0,1,1),"")</f>
        <v/>
      </c>
      <c r="AJ183" s="739" t="str">
        <f ca="1">IFERROR(OFFSET(DistanceToCamp[distance],MATCH(CampList[[#This Row],[CP_Pcode]],DistanceToCamp[CP_Pcode],0)-1,0,1,1),"")</f>
        <v/>
      </c>
      <c r="AK183" s="740" t="str">
        <f ca="1">IFERROR(INT(CampList[[#This Row],[Distance]]/5)+1,"")</f>
        <v/>
      </c>
    </row>
    <row r="184" spans="1:37" s="511" customFormat="1" ht="15.6" hidden="1" customHeight="1" x14ac:dyDescent="0.25">
      <c r="A184" s="656" t="s">
        <v>844</v>
      </c>
      <c r="B184" s="406" t="s">
        <v>380</v>
      </c>
      <c r="C184" s="406" t="s">
        <v>526</v>
      </c>
      <c r="D184" s="406" t="s">
        <v>5</v>
      </c>
      <c r="E184" s="406" t="s">
        <v>530</v>
      </c>
      <c r="F184" s="406" t="s">
        <v>151</v>
      </c>
      <c r="G184" s="406" t="s">
        <v>540</v>
      </c>
      <c r="H184" s="728" t="s">
        <v>742</v>
      </c>
      <c r="I184" s="728" t="s">
        <v>743</v>
      </c>
      <c r="J184" s="728"/>
      <c r="K184" s="728"/>
      <c r="L184" s="406" t="s">
        <v>517</v>
      </c>
      <c r="M184" s="406" t="s">
        <v>518</v>
      </c>
      <c r="N184" s="630">
        <v>97.601243999999994</v>
      </c>
      <c r="O184" s="630">
        <v>23.867713999999999</v>
      </c>
      <c r="P184" s="747">
        <v>755</v>
      </c>
      <c r="Q184" s="730">
        <v>0</v>
      </c>
      <c r="R184" s="731">
        <v>0</v>
      </c>
      <c r="S184" s="732" t="str">
        <f>IF(CampList[[#This Row],[HH]]&gt;0,CampList[[#This Row],[Total]]/CampList[[#This Row],[HH]],"NA")</f>
        <v>NA</v>
      </c>
      <c r="T184" s="722" t="s">
        <v>514</v>
      </c>
      <c r="U184" s="726" t="s">
        <v>1193</v>
      </c>
      <c r="V184" s="722" t="s">
        <v>555</v>
      </c>
      <c r="W184" s="726" t="s">
        <v>857</v>
      </c>
      <c r="X184" s="742">
        <v>41365</v>
      </c>
      <c r="Y184" s="743">
        <v>2</v>
      </c>
      <c r="Z184" s="742" t="s">
        <v>1091</v>
      </c>
      <c r="AA184" s="735" t="s">
        <v>843</v>
      </c>
      <c r="AB184" s="736"/>
      <c r="AC184" s="744">
        <v>41811</v>
      </c>
      <c r="AD184" s="656" t="s">
        <v>1102</v>
      </c>
      <c r="AE184" s="759" t="s">
        <v>1095</v>
      </c>
      <c r="AF184" s="663">
        <f>IF(CampList[[#This Row],[Type of Accomodation]]="camp",MAX(0,CampList[[#This Row],[HH]]-SUMIF(Table_Shelter[Pcode],CampList[[#This Row],[CP_Pcode]],Table_Shelter[HH Covered])),0)</f>
        <v>0</v>
      </c>
      <c r="AG184" s="722"/>
      <c r="AH184" s="736">
        <f>MIN(CampList[[#This Row],[Shelter Gap]],CampList[[#This Row],[Land Status]])</f>
        <v>0</v>
      </c>
      <c r="AI184" s="722" t="str">
        <f ca="1">IFERROR(OFFSET(DistanceToCamp[Nearest Town],MATCH(CampList[[#This Row],[CP_Pcode]],DistanceToCamp[CP_Pcode],0)-1,0,1,1),"")</f>
        <v/>
      </c>
      <c r="AJ184" s="739" t="str">
        <f ca="1">IFERROR(OFFSET(DistanceToCamp[distance],MATCH(CampList[[#This Row],[CP_Pcode]],DistanceToCamp[CP_Pcode],0)-1,0,1,1),"")</f>
        <v/>
      </c>
      <c r="AK184" s="740" t="str">
        <f ca="1">IFERROR(INT(CampList[[#This Row],[Distance]]/5)+1,"")</f>
        <v/>
      </c>
    </row>
    <row r="185" spans="1:37" s="511" customFormat="1" ht="15.6" hidden="1" customHeight="1" x14ac:dyDescent="0.25">
      <c r="A185" s="656" t="s">
        <v>844</v>
      </c>
      <c r="B185" s="406" t="s">
        <v>380</v>
      </c>
      <c r="C185" s="406" t="s">
        <v>526</v>
      </c>
      <c r="D185" s="406" t="s">
        <v>5</v>
      </c>
      <c r="E185" s="406" t="s">
        <v>530</v>
      </c>
      <c r="F185" s="406" t="s">
        <v>151</v>
      </c>
      <c r="G185" s="406" t="s">
        <v>540</v>
      </c>
      <c r="H185" s="728" t="s">
        <v>627</v>
      </c>
      <c r="I185" s="728" t="s">
        <v>628</v>
      </c>
      <c r="J185" s="728"/>
      <c r="K185" s="728"/>
      <c r="L185" s="406" t="s">
        <v>519</v>
      </c>
      <c r="M185" s="406" t="s">
        <v>520</v>
      </c>
      <c r="N185" s="630">
        <v>96.808850000000007</v>
      </c>
      <c r="O185" s="630">
        <v>24.20645</v>
      </c>
      <c r="P185" s="741">
        <v>781.8</v>
      </c>
      <c r="Q185" s="730">
        <v>0</v>
      </c>
      <c r="R185" s="731">
        <v>0</v>
      </c>
      <c r="S185" s="732" t="str">
        <f>IF(CampList[[#This Row],[HH]]&gt;0,CampList[[#This Row],[Total]]/CampList[[#This Row],[HH]],"NA")</f>
        <v>NA</v>
      </c>
      <c r="T185" s="722" t="s">
        <v>514</v>
      </c>
      <c r="U185" s="726" t="s">
        <v>1193</v>
      </c>
      <c r="V185" s="722" t="s">
        <v>555</v>
      </c>
      <c r="W185" s="726" t="s">
        <v>857</v>
      </c>
      <c r="X185" s="742">
        <v>41091</v>
      </c>
      <c r="Y185" s="743"/>
      <c r="Z185" s="742"/>
      <c r="AA185" s="735" t="s">
        <v>843</v>
      </c>
      <c r="AB185" s="736"/>
      <c r="AC185" s="744">
        <v>41661</v>
      </c>
      <c r="AD185" s="656" t="s">
        <v>939</v>
      </c>
      <c r="AE185" s="759" t="s">
        <v>1009</v>
      </c>
      <c r="AF185" s="663">
        <f>IF(CampList[[#This Row],[Type of Accomodation]]="camp",MAX(0,CampList[[#This Row],[HH]]-SUMIF(Table_Shelter[Pcode],CampList[[#This Row],[CP_Pcode]],Table_Shelter[HH Covered])),0)</f>
        <v>0</v>
      </c>
      <c r="AG185" s="722"/>
      <c r="AH185" s="736">
        <f>MIN(CampList[[#This Row],[Shelter Gap]],CampList[[#This Row],[Land Status]])</f>
        <v>0</v>
      </c>
      <c r="AI185" s="722" t="str">
        <f ca="1">IFERROR(OFFSET(DistanceToCamp[Nearest Town],MATCH(CampList[[#This Row],[CP_Pcode]],DistanceToCamp[CP_Pcode],0)-1,0,1,1),"")</f>
        <v/>
      </c>
      <c r="AJ185" s="739" t="str">
        <f ca="1">IFERROR(OFFSET(DistanceToCamp[distance],MATCH(CampList[[#This Row],[CP_Pcode]],DistanceToCamp[CP_Pcode],0)-1,0,1,1),"")</f>
        <v/>
      </c>
      <c r="AK185" s="740" t="str">
        <f ca="1">IFERROR(INT(CampList[[#This Row],[Distance]]/5)+1,"")</f>
        <v/>
      </c>
    </row>
    <row r="186" spans="1:37" s="511" customFormat="1" ht="15.6" hidden="1" customHeight="1" x14ac:dyDescent="0.25">
      <c r="A186" s="656" t="s">
        <v>844</v>
      </c>
      <c r="B186" s="406" t="s">
        <v>380</v>
      </c>
      <c r="C186" s="406" t="s">
        <v>526</v>
      </c>
      <c r="D186" s="406" t="s">
        <v>5</v>
      </c>
      <c r="E186" s="406" t="s">
        <v>530</v>
      </c>
      <c r="F186" s="406" t="s">
        <v>151</v>
      </c>
      <c r="G186" s="406" t="s">
        <v>540</v>
      </c>
      <c r="H186" s="728" t="s">
        <v>629</v>
      </c>
      <c r="I186" s="728" t="s">
        <v>630</v>
      </c>
      <c r="J186" s="728"/>
      <c r="K186" s="728"/>
      <c r="L186" s="406" t="s">
        <v>866</v>
      </c>
      <c r="M186" s="406" t="s">
        <v>521</v>
      </c>
      <c r="N186" s="630">
        <v>97.132339999999999</v>
      </c>
      <c r="O186" s="630">
        <v>23.75817</v>
      </c>
      <c r="P186" s="741">
        <v>781.8</v>
      </c>
      <c r="Q186" s="730">
        <v>0</v>
      </c>
      <c r="R186" s="731">
        <v>0</v>
      </c>
      <c r="S186" s="732" t="str">
        <f>IF(CampList[[#This Row],[HH]]&gt;0,CampList[[#This Row],[Total]]/CampList[[#This Row],[HH]],"NA")</f>
        <v>NA</v>
      </c>
      <c r="T186" s="722" t="s">
        <v>514</v>
      </c>
      <c r="U186" s="726" t="s">
        <v>1193</v>
      </c>
      <c r="V186" s="722" t="s">
        <v>555</v>
      </c>
      <c r="W186" s="726" t="s">
        <v>857</v>
      </c>
      <c r="X186" s="742">
        <v>41091</v>
      </c>
      <c r="Y186" s="743"/>
      <c r="Z186" s="742"/>
      <c r="AA186" s="735" t="s">
        <v>843</v>
      </c>
      <c r="AB186" s="736"/>
      <c r="AC186" s="737"/>
      <c r="AD186" s="656" t="s">
        <v>939</v>
      </c>
      <c r="AE186" s="759" t="s">
        <v>1009</v>
      </c>
      <c r="AF186" s="663">
        <f>IF(CampList[[#This Row],[Type of Accomodation]]="camp",MAX(0,CampList[[#This Row],[HH]]-SUMIF(Table_Shelter[Pcode],CampList[[#This Row],[CP_Pcode]],Table_Shelter[HH Covered])),0)</f>
        <v>0</v>
      </c>
      <c r="AG186" s="722"/>
      <c r="AH186" s="736">
        <f>MIN(CampList[[#This Row],[Shelter Gap]],CampList[[#This Row],[Land Status]])</f>
        <v>0</v>
      </c>
      <c r="AI186" s="722" t="str">
        <f ca="1">IFERROR(OFFSET(DistanceToCamp[Nearest Town],MATCH(CampList[[#This Row],[CP_Pcode]],DistanceToCamp[CP_Pcode],0)-1,0,1,1),"")</f>
        <v/>
      </c>
      <c r="AJ186" s="739" t="str">
        <f ca="1">IFERROR(OFFSET(DistanceToCamp[distance],MATCH(CampList[[#This Row],[CP_Pcode]],DistanceToCamp[CP_Pcode],0)-1,0,1,1),"")</f>
        <v/>
      </c>
      <c r="AK186" s="740" t="str">
        <f ca="1">IFERROR(INT(CampList[[#This Row],[Distance]]/5)+1,"")</f>
        <v/>
      </c>
    </row>
    <row r="187" spans="1:37" s="511" customFormat="1" ht="15.6" customHeight="1" x14ac:dyDescent="0.25">
      <c r="A187" s="764" t="s">
        <v>501</v>
      </c>
      <c r="B187" s="406" t="s">
        <v>380</v>
      </c>
      <c r="C187" s="406" t="s">
        <v>526</v>
      </c>
      <c r="D187" s="406" t="s">
        <v>300</v>
      </c>
      <c r="E187" s="406" t="s">
        <v>547</v>
      </c>
      <c r="F187" s="406" t="s">
        <v>809</v>
      </c>
      <c r="G187" s="406" t="s">
        <v>810</v>
      </c>
      <c r="H187" s="406" t="s">
        <v>811</v>
      </c>
      <c r="I187" s="406" t="s">
        <v>812</v>
      </c>
      <c r="J187" s="406"/>
      <c r="K187" s="406"/>
      <c r="L187" s="406" t="s">
        <v>809</v>
      </c>
      <c r="M187" s="406" t="s">
        <v>813</v>
      </c>
      <c r="N187" s="630">
        <v>97.568836000000005</v>
      </c>
      <c r="O187" s="630">
        <v>26.541930000000001</v>
      </c>
      <c r="P187" s="741">
        <v>1025</v>
      </c>
      <c r="Q187" s="760">
        <v>5</v>
      </c>
      <c r="R187" s="755">
        <v>32</v>
      </c>
      <c r="S187" s="732">
        <f>IF(CampList[[#This Row],[HH]]&gt;0,CampList[[#This Row],[Total]]/CampList[[#This Row],[HH]],"NA")</f>
        <v>6.4</v>
      </c>
      <c r="T187" s="722" t="s">
        <v>512</v>
      </c>
      <c r="U187" s="726" t="s">
        <v>1193</v>
      </c>
      <c r="V187" s="722" t="s">
        <v>555</v>
      </c>
      <c r="W187" s="726" t="s">
        <v>857</v>
      </c>
      <c r="X187" s="742"/>
      <c r="Y187" s="743"/>
      <c r="Z187" s="742"/>
      <c r="AA187" s="736" t="s">
        <v>842</v>
      </c>
      <c r="AB187" s="736"/>
      <c r="AC187" s="744"/>
      <c r="AD187" s="728" t="s">
        <v>602</v>
      </c>
      <c r="AE187" s="759" t="s">
        <v>1095</v>
      </c>
      <c r="AF187" s="663">
        <f>IF(CampList[[#This Row],[Type of Accomodation]]="camp",MAX(0,CampList[[#This Row],[HH]]-SUMIF(Table_Shelter[Pcode],CampList[[#This Row],[CP_Pcode]],Table_Shelter[HH Covered])),0)</f>
        <v>5</v>
      </c>
      <c r="AG187" s="722"/>
      <c r="AH187" s="736">
        <f>MIN(CampList[[#This Row],[Shelter Gap]],CampList[[#This Row],[Land Status]])</f>
        <v>5</v>
      </c>
      <c r="AI187" s="722" t="str">
        <f ca="1">IFERROR(OFFSET(DistanceToCamp[Nearest Town],MATCH(CampList[[#This Row],[CP_Pcode]],DistanceToCamp[CP_Pcode],0)-1,0,1,1),"")</f>
        <v>Sumprabum Town</v>
      </c>
      <c r="AJ187" s="739">
        <f ca="1">IFERROR(OFFSET(DistanceToCamp[distance],MATCH(CampList[[#This Row],[CP_Pcode]],DistanceToCamp[CP_Pcode],0)-1,0,1,1),"")</f>
        <v>0.23004407510846425</v>
      </c>
      <c r="AK187" s="740">
        <f ca="1">IFERROR(INT(CampList[[#This Row],[Distance]]/5)+1,"")</f>
        <v>1</v>
      </c>
    </row>
    <row r="188" spans="1:37" s="511" customFormat="1" ht="15.6" customHeight="1" x14ac:dyDescent="0.25">
      <c r="A188" s="764" t="s">
        <v>501</v>
      </c>
      <c r="B188" s="406" t="s">
        <v>380</v>
      </c>
      <c r="C188" s="406" t="s">
        <v>526</v>
      </c>
      <c r="D188" s="406" t="s">
        <v>237</v>
      </c>
      <c r="E188" s="406" t="s">
        <v>532</v>
      </c>
      <c r="F188" s="406" t="s">
        <v>310</v>
      </c>
      <c r="G188" s="406" t="s">
        <v>533</v>
      </c>
      <c r="H188" s="406" t="s">
        <v>728</v>
      </c>
      <c r="I188" s="406" t="s">
        <v>729</v>
      </c>
      <c r="J188" s="406"/>
      <c r="K188" s="751"/>
      <c r="L188" s="406" t="s">
        <v>814</v>
      </c>
      <c r="M188" s="406" t="s">
        <v>815</v>
      </c>
      <c r="N188" s="630">
        <v>97.541793999999996</v>
      </c>
      <c r="O188" s="630">
        <v>24.752471</v>
      </c>
      <c r="P188" s="753"/>
      <c r="Q188" s="663"/>
      <c r="R188" s="755">
        <v>1047</v>
      </c>
      <c r="S188" s="732" t="str">
        <f>IF(CampList[[#This Row],[HH]]&gt;0,CampList[[#This Row],[Total]]/CampList[[#This Row],[HH]],"NA")</f>
        <v>NA</v>
      </c>
      <c r="T188" s="722" t="s">
        <v>514</v>
      </c>
      <c r="U188" s="726" t="s">
        <v>1193</v>
      </c>
      <c r="V188" s="722" t="s">
        <v>988</v>
      </c>
      <c r="W188" s="726" t="s">
        <v>804</v>
      </c>
      <c r="X188" s="733"/>
      <c r="Y188" s="729"/>
      <c r="Z188" s="734"/>
      <c r="AA188" s="735" t="s">
        <v>573</v>
      </c>
      <c r="AB188" s="736"/>
      <c r="AC188" s="744">
        <v>41899</v>
      </c>
      <c r="AD188" s="728" t="s">
        <v>1117</v>
      </c>
      <c r="AE188" s="755" t="s">
        <v>1080</v>
      </c>
      <c r="AF188" s="663">
        <f>IF(CampList[[#This Row],[Type of Accomodation]]="camp",MAX(0,CampList[[#This Row],[HH]]-SUMIF(Table_Shelter[Pcode],CampList[[#This Row],[CP_Pcode]],Table_Shelter[HH Covered])),0)</f>
        <v>0</v>
      </c>
      <c r="AG188" s="722"/>
      <c r="AH188" s="736">
        <f>MIN(CampList[[#This Row],[Shelter Gap]],CampList[[#This Row],[Land Status]])</f>
        <v>0</v>
      </c>
      <c r="AI188" s="722" t="str">
        <f ca="1">IFERROR(OFFSET(DistanceToCamp[Nearest Town],MATCH(CampList[[#This Row],[CP_Pcode]],DistanceToCamp[CP_Pcode],0)-1,0,1,1),"")</f>
        <v>Laiza town</v>
      </c>
      <c r="AJ188" s="739">
        <f ca="1">IFERROR(OFFSET(DistanceToCamp[distance],MATCH(CampList[[#This Row],[CP_Pcode]],DistanceToCamp[CP_Pcode],0)-1,0,1,1),"")</f>
        <v>2.3307568207764655</v>
      </c>
      <c r="AK188" s="740">
        <f ca="1">IFERROR(INT(CampList[[#This Row],[Distance]]/5)+1,"")</f>
        <v>1</v>
      </c>
    </row>
    <row r="189" spans="1:37" s="511" customFormat="1" ht="15.6" hidden="1" customHeight="1" x14ac:dyDescent="0.25">
      <c r="A189" s="656" t="s">
        <v>844</v>
      </c>
      <c r="B189" s="406" t="s">
        <v>380</v>
      </c>
      <c r="C189" s="406" t="s">
        <v>526</v>
      </c>
      <c r="D189" s="406" t="s">
        <v>5</v>
      </c>
      <c r="E189" s="406" t="s">
        <v>530</v>
      </c>
      <c r="F189" s="406" t="s">
        <v>151</v>
      </c>
      <c r="G189" s="406" t="s">
        <v>540</v>
      </c>
      <c r="H189" s="728" t="s">
        <v>629</v>
      </c>
      <c r="I189" s="728" t="s">
        <v>630</v>
      </c>
      <c r="J189" s="406"/>
      <c r="K189" s="751"/>
      <c r="L189" s="406" t="s">
        <v>867</v>
      </c>
      <c r="M189" s="406" t="s">
        <v>868</v>
      </c>
      <c r="N189" s="630"/>
      <c r="O189" s="630"/>
      <c r="P189" s="753"/>
      <c r="Q189" s="730">
        <v>0</v>
      </c>
      <c r="R189" s="731">
        <v>0</v>
      </c>
      <c r="S189" s="732" t="str">
        <f>IF(CampList[[#This Row],[HH]]&gt;0,CampList[[#This Row],[Total]]/CampList[[#This Row],[HH]],"NA")</f>
        <v>NA</v>
      </c>
      <c r="T189" s="722" t="s">
        <v>514</v>
      </c>
      <c r="U189" s="726" t="s">
        <v>1193</v>
      </c>
      <c r="V189" s="722" t="s">
        <v>555</v>
      </c>
      <c r="W189" s="722"/>
      <c r="X189" s="754"/>
      <c r="Y189" s="753"/>
      <c r="Z189" s="736"/>
      <c r="AA189" s="735" t="s">
        <v>843</v>
      </c>
      <c r="AB189" s="736"/>
      <c r="AC189" s="737"/>
      <c r="AD189" s="656" t="s">
        <v>939</v>
      </c>
      <c r="AE189" s="755" t="s">
        <v>1009</v>
      </c>
      <c r="AF189" s="663">
        <f>IF(CampList[[#This Row],[Type of Accomodation]]="camp",MAX(0,CampList[[#This Row],[HH]]-SUMIF(Table_Shelter[Pcode],CampList[[#This Row],[CP_Pcode]],Table_Shelter[HH Covered])),0)</f>
        <v>0</v>
      </c>
      <c r="AG189" s="722"/>
      <c r="AH189" s="736">
        <f>MIN(CampList[[#This Row],[Shelter Gap]],CampList[[#This Row],[Land Status]])</f>
        <v>0</v>
      </c>
      <c r="AI189" s="722" t="str">
        <f ca="1">IFERROR(OFFSET(DistanceToCamp[Nearest Town],MATCH(CampList[[#This Row],[CP_Pcode]],DistanceToCamp[CP_Pcode],0)-1,0,1,1),"")</f>
        <v/>
      </c>
      <c r="AJ189" s="739" t="str">
        <f ca="1">IFERROR(OFFSET(DistanceToCamp[distance],MATCH(CampList[[#This Row],[CP_Pcode]],DistanceToCamp[CP_Pcode],0)-1,0,1,1),"")</f>
        <v/>
      </c>
      <c r="AK189" s="740" t="str">
        <f ca="1">IFERROR(INT(CampList[[#This Row],[Distance]]/5)+1,"")</f>
        <v/>
      </c>
    </row>
    <row r="190" spans="1:37" s="511" customFormat="1" ht="15.6" customHeight="1" x14ac:dyDescent="0.25">
      <c r="A190" s="756" t="s">
        <v>501</v>
      </c>
      <c r="B190" s="214" t="s">
        <v>380</v>
      </c>
      <c r="C190" s="214" t="s">
        <v>526</v>
      </c>
      <c r="D190" s="214" t="s">
        <v>237</v>
      </c>
      <c r="E190" s="214" t="s">
        <v>532</v>
      </c>
      <c r="F190" s="214" t="s">
        <v>27</v>
      </c>
      <c r="G190" s="214" t="s">
        <v>535</v>
      </c>
      <c r="H190" s="214" t="s">
        <v>1197</v>
      </c>
      <c r="I190" s="757" t="s">
        <v>1405</v>
      </c>
      <c r="J190" s="214" t="s">
        <v>717</v>
      </c>
      <c r="K190" s="214" t="s">
        <v>1406</v>
      </c>
      <c r="L190" s="214" t="s">
        <v>865</v>
      </c>
      <c r="M190" s="214" t="s">
        <v>864</v>
      </c>
      <c r="N190" s="752">
        <v>98.377780000000001</v>
      </c>
      <c r="O190" s="752">
        <v>25.60867</v>
      </c>
      <c r="P190" s="753">
        <v>2345</v>
      </c>
      <c r="Q190" s="663">
        <v>60</v>
      </c>
      <c r="R190" s="755">
        <v>277</v>
      </c>
      <c r="S190" s="732">
        <f>IF(CampList[[#This Row],[HH]]&gt;0,CampList[[#This Row],[Total]]/CampList[[#This Row],[HH]],"NA")</f>
        <v>4.6166666666666663</v>
      </c>
      <c r="T190" s="663" t="s">
        <v>512</v>
      </c>
      <c r="U190" s="722" t="s">
        <v>1193</v>
      </c>
      <c r="V190" s="663" t="s">
        <v>555</v>
      </c>
      <c r="W190" s="663" t="s">
        <v>857</v>
      </c>
      <c r="X190" s="754">
        <v>41091</v>
      </c>
      <c r="Y190" s="729">
        <v>1</v>
      </c>
      <c r="Z190" s="729" t="s">
        <v>1092</v>
      </c>
      <c r="AA190" s="752" t="s">
        <v>843</v>
      </c>
      <c r="AB190" s="752"/>
      <c r="AC190" s="744">
        <v>42565</v>
      </c>
      <c r="AD190" s="758" t="s">
        <v>1425</v>
      </c>
      <c r="AE190" s="759" t="s">
        <v>1079</v>
      </c>
      <c r="AF190" s="760">
        <f>IF(CampList[[#This Row],[Type of Accomodation]]="camp",MAX(0,CampList[[#This Row],[HH]]-SUMIF(Table_Shelter[Pcode],CampList[[#This Row],[CP_Pcode]],Table_Shelter[HH Covered])),0)</f>
        <v>60</v>
      </c>
      <c r="AG190" s="663"/>
      <c r="AH190" s="741">
        <f>MIN(CampList[[#This Row],[Shelter Gap]],CampList[[#This Row],[Land Status]])</f>
        <v>60</v>
      </c>
      <c r="AI190" s="760" t="str">
        <f ca="1">IFERROR(OFFSET(DistanceToCamp[Nearest Town],MATCH(CampList[[#This Row],[CP_Pcode]],DistanceToCamp[CP_Pcode],0)-1,0,1,1),"")</f>
        <v>Pang War Town</v>
      </c>
      <c r="AJ190" s="739">
        <f ca="1">IFERROR(OFFSET(DistanceToCamp[distance],MATCH(CampList[[#This Row],[CP_Pcode]],DistanceToCamp[CP_Pcode],0)-1,0,1,1),"")</f>
        <v>0.18710270881855062</v>
      </c>
      <c r="AK190" s="761">
        <f ca="1">IFERROR(INT(CampList[[#This Row],[Distance]]/5)+1,"")</f>
        <v>1</v>
      </c>
    </row>
    <row r="191" spans="1:37" s="511" customFormat="1" ht="15.6" hidden="1" customHeight="1" x14ac:dyDescent="0.25">
      <c r="A191" s="656" t="s">
        <v>844</v>
      </c>
      <c r="B191" s="406" t="s">
        <v>380</v>
      </c>
      <c r="C191" s="406" t="s">
        <v>526</v>
      </c>
      <c r="D191" s="406" t="s">
        <v>5</v>
      </c>
      <c r="E191" s="406" t="s">
        <v>530</v>
      </c>
      <c r="F191" s="406" t="s">
        <v>5</v>
      </c>
      <c r="G191" s="406" t="s">
        <v>531</v>
      </c>
      <c r="H191" s="728"/>
      <c r="I191" s="728"/>
      <c r="J191" s="728"/>
      <c r="K191" s="728"/>
      <c r="L191" s="406" t="s">
        <v>870</v>
      </c>
      <c r="M191" s="406" t="s">
        <v>856</v>
      </c>
      <c r="N191" s="630"/>
      <c r="O191" s="630"/>
      <c r="P191" s="747"/>
      <c r="Q191" s="730">
        <v>0</v>
      </c>
      <c r="R191" s="731">
        <v>0</v>
      </c>
      <c r="S191" s="732" t="str">
        <f>IF(CampList[[#This Row],[HH]]&gt;0,CampList[[#This Row],[Total]]/CampList[[#This Row],[HH]],"NA")</f>
        <v>NA</v>
      </c>
      <c r="T191" s="722" t="s">
        <v>512</v>
      </c>
      <c r="U191" s="726" t="s">
        <v>1193</v>
      </c>
      <c r="V191" s="722" t="s">
        <v>555</v>
      </c>
      <c r="W191" s="726" t="s">
        <v>804</v>
      </c>
      <c r="X191" s="742"/>
      <c r="Y191" s="743"/>
      <c r="Z191" s="742"/>
      <c r="AA191" s="735" t="s">
        <v>843</v>
      </c>
      <c r="AB191" s="736"/>
      <c r="AC191" s="744">
        <v>41701</v>
      </c>
      <c r="AD191" s="656" t="s">
        <v>1019</v>
      </c>
      <c r="AE191" s="759" t="s">
        <v>1009</v>
      </c>
      <c r="AF191" s="663">
        <f>IF(CampList[[#This Row],[Type of Accomodation]]="camp",MAX(0,CampList[[#This Row],[HH]]-SUMIF(Table_Shelter[Pcode],CampList[[#This Row],[CP_Pcode]],Table_Shelter[HH Covered])),0)</f>
        <v>0</v>
      </c>
      <c r="AG191" s="722"/>
      <c r="AH191" s="736">
        <f>MIN(CampList[[#This Row],[Shelter Gap]],CampList[[#This Row],[Land Status]])</f>
        <v>0</v>
      </c>
      <c r="AI191" s="722" t="str">
        <f ca="1">IFERROR(OFFSET(DistanceToCamp[Nearest Town],MATCH(CampList[[#This Row],[CP_Pcode]],DistanceToCamp[CP_Pcode],0)-1,0,1,1),"")</f>
        <v/>
      </c>
      <c r="AJ191" s="739" t="str">
        <f ca="1">IFERROR(OFFSET(DistanceToCamp[distance],MATCH(CampList[[#This Row],[CP_Pcode]],DistanceToCamp[CP_Pcode],0)-1,0,1,1),"")</f>
        <v/>
      </c>
      <c r="AK191" s="740" t="str">
        <f ca="1">IFERROR(INT(CampList[[#This Row],[Distance]]/5)+1,"")</f>
        <v/>
      </c>
    </row>
    <row r="192" spans="1:37" s="511" customFormat="1" ht="15.6" hidden="1" customHeight="1" x14ac:dyDescent="0.25">
      <c r="A192" s="656" t="s">
        <v>844</v>
      </c>
      <c r="B192" s="406" t="s">
        <v>380</v>
      </c>
      <c r="C192" s="406" t="s">
        <v>526</v>
      </c>
      <c r="D192" s="406" t="s">
        <v>5</v>
      </c>
      <c r="E192" s="406" t="s">
        <v>530</v>
      </c>
      <c r="F192" s="406" t="s">
        <v>151</v>
      </c>
      <c r="G192" s="406" t="s">
        <v>540</v>
      </c>
      <c r="H192" s="728" t="s">
        <v>873</v>
      </c>
      <c r="I192" s="728" t="s">
        <v>874</v>
      </c>
      <c r="J192" s="728" t="s">
        <v>872</v>
      </c>
      <c r="K192" s="728">
        <v>167391</v>
      </c>
      <c r="L192" s="406" t="s">
        <v>877</v>
      </c>
      <c r="M192" s="406" t="s">
        <v>871</v>
      </c>
      <c r="N192" s="630">
        <v>97.710989999999995</v>
      </c>
      <c r="O192" s="766">
        <v>24.181640000000002</v>
      </c>
      <c r="P192" s="729"/>
      <c r="Q192" s="730">
        <v>0</v>
      </c>
      <c r="R192" s="731">
        <v>0</v>
      </c>
      <c r="S192" s="732" t="str">
        <f>IF(CampList[[#This Row],[HH]]&gt;0,CampList[[#This Row],[Total]]/CampList[[#This Row],[HH]],"NA")</f>
        <v>NA</v>
      </c>
      <c r="T192" s="722" t="s">
        <v>512</v>
      </c>
      <c r="U192" s="726" t="s">
        <v>1193</v>
      </c>
      <c r="V192" s="722" t="s">
        <v>555</v>
      </c>
      <c r="W192" s="726"/>
      <c r="X192" s="733"/>
      <c r="Y192" s="729"/>
      <c r="Z192" s="734"/>
      <c r="AA192" s="735" t="s">
        <v>843</v>
      </c>
      <c r="AB192" s="736"/>
      <c r="AC192" s="744">
        <v>41701</v>
      </c>
      <c r="AD192" s="656" t="s">
        <v>1014</v>
      </c>
      <c r="AE192" s="755" t="s">
        <v>1009</v>
      </c>
      <c r="AF192" s="663">
        <f>IF(CampList[[#This Row],[Type of Accomodation]]="camp",MAX(0,CampList[[#This Row],[HH]]-SUMIF(Table_Shelter[Pcode],CampList[[#This Row],[CP_Pcode]],Table_Shelter[HH Covered])),0)</f>
        <v>0</v>
      </c>
      <c r="AG192" s="722"/>
      <c r="AH192" s="736">
        <f>MIN(CampList[[#This Row],[Shelter Gap]],CampList[[#This Row],[Land Status]])</f>
        <v>0</v>
      </c>
      <c r="AI192" s="722" t="str">
        <f ca="1">IFERROR(OFFSET(DistanceToCamp[Nearest Town],MATCH(CampList[[#This Row],[CP_Pcode]],DistanceToCamp[CP_Pcode],0)-1,0,1,1),"")</f>
        <v/>
      </c>
      <c r="AJ192" s="739" t="str">
        <f ca="1">IFERROR(OFFSET(DistanceToCamp[distance],MATCH(CampList[[#This Row],[CP_Pcode]],DistanceToCamp[CP_Pcode],0)-1,0,1,1),"")</f>
        <v/>
      </c>
      <c r="AK192" s="740" t="str">
        <f ca="1">IFERROR(INT(CampList[[#This Row],[Distance]]/5)+1,"")</f>
        <v/>
      </c>
    </row>
    <row r="193" spans="1:37" s="511" customFormat="1" ht="15.6" hidden="1" customHeight="1" x14ac:dyDescent="0.25">
      <c r="A193" s="656" t="s">
        <v>844</v>
      </c>
      <c r="B193" s="406" t="s">
        <v>380</v>
      </c>
      <c r="C193" s="406" t="s">
        <v>526</v>
      </c>
      <c r="D193" s="406" t="s">
        <v>5</v>
      </c>
      <c r="E193" s="406" t="s">
        <v>530</v>
      </c>
      <c r="F193" s="406" t="s">
        <v>151</v>
      </c>
      <c r="G193" s="406" t="s">
        <v>540</v>
      </c>
      <c r="H193" s="728" t="s">
        <v>873</v>
      </c>
      <c r="I193" s="728" t="s">
        <v>874</v>
      </c>
      <c r="J193" s="728" t="s">
        <v>872</v>
      </c>
      <c r="K193" s="728">
        <v>167391</v>
      </c>
      <c r="L193" s="406" t="s">
        <v>876</v>
      </c>
      <c r="M193" s="406" t="s">
        <v>875</v>
      </c>
      <c r="N193" s="630">
        <v>97.710989999999995</v>
      </c>
      <c r="O193" s="766">
        <v>24.181640000000002</v>
      </c>
      <c r="P193" s="729"/>
      <c r="Q193" s="730">
        <v>0</v>
      </c>
      <c r="R193" s="731">
        <v>0</v>
      </c>
      <c r="S193" s="732" t="str">
        <f>IF(CampList[[#This Row],[HH]]&gt;0,CampList[[#This Row],[Total]]/CampList[[#This Row],[HH]],"NA")</f>
        <v>NA</v>
      </c>
      <c r="T193" s="722" t="s">
        <v>512</v>
      </c>
      <c r="U193" s="726" t="s">
        <v>1193</v>
      </c>
      <c r="V193" s="722" t="s">
        <v>555</v>
      </c>
      <c r="W193" s="726"/>
      <c r="X193" s="733"/>
      <c r="Y193" s="729"/>
      <c r="Z193" s="734"/>
      <c r="AA193" s="735" t="s">
        <v>843</v>
      </c>
      <c r="AB193" s="736"/>
      <c r="AC193" s="744">
        <v>41701</v>
      </c>
      <c r="AD193" s="656" t="s">
        <v>1014</v>
      </c>
      <c r="AE193" s="755" t="s">
        <v>1009</v>
      </c>
      <c r="AF193" s="663">
        <f>IF(CampList[[#This Row],[Type of Accomodation]]="camp",MAX(0,CampList[[#This Row],[HH]]-SUMIF(Table_Shelter[Pcode],CampList[[#This Row],[CP_Pcode]],Table_Shelter[HH Covered])),0)</f>
        <v>0</v>
      </c>
      <c r="AG193" s="722"/>
      <c r="AH193" s="736">
        <f>MIN(CampList[[#This Row],[Shelter Gap]],CampList[[#This Row],[Land Status]])</f>
        <v>0</v>
      </c>
      <c r="AI193" s="722" t="str">
        <f ca="1">IFERROR(OFFSET(DistanceToCamp[Nearest Town],MATCH(CampList[[#This Row],[CP_Pcode]],DistanceToCamp[CP_Pcode],0)-1,0,1,1),"")</f>
        <v/>
      </c>
      <c r="AJ193" s="739" t="str">
        <f ca="1">IFERROR(OFFSET(DistanceToCamp[distance],MATCH(CampList[[#This Row],[CP_Pcode]],DistanceToCamp[CP_Pcode],0)-1,0,1,1),"")</f>
        <v/>
      </c>
      <c r="AK193" s="740" t="str">
        <f ca="1">IFERROR(INT(CampList[[#This Row],[Distance]]/5)+1,"")</f>
        <v/>
      </c>
    </row>
    <row r="194" spans="1:37" s="511" customFormat="1" ht="15.6" hidden="1" customHeight="1" x14ac:dyDescent="0.25">
      <c r="A194" s="656" t="s">
        <v>844</v>
      </c>
      <c r="B194" s="406" t="s">
        <v>380</v>
      </c>
      <c r="C194" s="406" t="s">
        <v>526</v>
      </c>
      <c r="D194" s="406" t="s">
        <v>5</v>
      </c>
      <c r="E194" s="406" t="s">
        <v>530</v>
      </c>
      <c r="F194" s="406" t="s">
        <v>151</v>
      </c>
      <c r="G194" s="406" t="s">
        <v>540</v>
      </c>
      <c r="H194" s="728"/>
      <c r="I194" s="728"/>
      <c r="J194" s="728"/>
      <c r="K194" s="728"/>
      <c r="L194" s="406" t="s">
        <v>879</v>
      </c>
      <c r="M194" s="406" t="s">
        <v>880</v>
      </c>
      <c r="N194" s="630"/>
      <c r="O194" s="630"/>
      <c r="P194" s="729"/>
      <c r="Q194" s="730">
        <v>0</v>
      </c>
      <c r="R194" s="731">
        <v>0</v>
      </c>
      <c r="S194" s="732" t="str">
        <f>IF(CampList[[#This Row],[HH]]&gt;0,CampList[[#This Row],[Total]]/CampList[[#This Row],[HH]],"NA")</f>
        <v>NA</v>
      </c>
      <c r="T194" s="722" t="s">
        <v>512</v>
      </c>
      <c r="U194" s="726" t="s">
        <v>1193</v>
      </c>
      <c r="V194" s="722" t="s">
        <v>555</v>
      </c>
      <c r="W194" s="726"/>
      <c r="X194" s="733"/>
      <c r="Y194" s="729"/>
      <c r="Z194" s="734"/>
      <c r="AA194" s="735" t="s">
        <v>843</v>
      </c>
      <c r="AB194" s="736"/>
      <c r="AC194" s="744">
        <v>41701</v>
      </c>
      <c r="AD194" s="656" t="s">
        <v>1012</v>
      </c>
      <c r="AE194" s="755" t="s">
        <v>1009</v>
      </c>
      <c r="AF194" s="663">
        <f>IF(CampList[[#This Row],[Type of Accomodation]]="camp",MAX(0,CampList[[#This Row],[HH]]-SUMIF(Table_Shelter[Pcode],CampList[[#This Row],[CP_Pcode]],Table_Shelter[HH Covered])),0)</f>
        <v>0</v>
      </c>
      <c r="AG194" s="722"/>
      <c r="AH194" s="736">
        <f>MIN(CampList[[#This Row],[Shelter Gap]],CampList[[#This Row],[Land Status]])</f>
        <v>0</v>
      </c>
      <c r="AI194" s="722" t="str">
        <f ca="1">IFERROR(OFFSET(DistanceToCamp[Nearest Town],MATCH(CampList[[#This Row],[CP_Pcode]],DistanceToCamp[CP_Pcode],0)-1,0,1,1),"")</f>
        <v/>
      </c>
      <c r="AJ194" s="739" t="str">
        <f ca="1">IFERROR(OFFSET(DistanceToCamp[distance],MATCH(CampList[[#This Row],[CP_Pcode]],DistanceToCamp[CP_Pcode],0)-1,0,1,1),"")</f>
        <v/>
      </c>
      <c r="AK194" s="740" t="str">
        <f ca="1">IFERROR(INT(CampList[[#This Row],[Distance]]/5)+1,"")</f>
        <v/>
      </c>
    </row>
    <row r="195" spans="1:37" s="511" customFormat="1" ht="15.6" hidden="1" customHeight="1" x14ac:dyDescent="0.25">
      <c r="A195" s="656" t="s">
        <v>844</v>
      </c>
      <c r="B195" s="406" t="s">
        <v>380</v>
      </c>
      <c r="C195" s="406" t="s">
        <v>526</v>
      </c>
      <c r="D195" s="406" t="s">
        <v>5</v>
      </c>
      <c r="E195" s="406" t="s">
        <v>530</v>
      </c>
      <c r="F195" s="406" t="s">
        <v>151</v>
      </c>
      <c r="G195" s="406" t="s">
        <v>540</v>
      </c>
      <c r="H195" s="728"/>
      <c r="I195" s="728"/>
      <c r="J195" s="728"/>
      <c r="K195" s="728"/>
      <c r="L195" s="406" t="s">
        <v>883</v>
      </c>
      <c r="M195" s="406" t="s">
        <v>881</v>
      </c>
      <c r="N195" s="630"/>
      <c r="O195" s="630"/>
      <c r="P195" s="729"/>
      <c r="Q195" s="730">
        <v>0</v>
      </c>
      <c r="R195" s="731">
        <v>0</v>
      </c>
      <c r="S195" s="732" t="str">
        <f>IF(CampList[[#This Row],[HH]]&gt;0,CampList[[#This Row],[Total]]/CampList[[#This Row],[HH]],"NA")</f>
        <v>NA</v>
      </c>
      <c r="T195" s="722" t="s">
        <v>512</v>
      </c>
      <c r="U195" s="726" t="s">
        <v>1193</v>
      </c>
      <c r="V195" s="722" t="s">
        <v>555</v>
      </c>
      <c r="W195" s="726"/>
      <c r="X195" s="733"/>
      <c r="Y195" s="729"/>
      <c r="Z195" s="734"/>
      <c r="AA195" s="735" t="s">
        <v>843</v>
      </c>
      <c r="AB195" s="736"/>
      <c r="AC195" s="744">
        <v>41701</v>
      </c>
      <c r="AD195" s="656" t="s">
        <v>1012</v>
      </c>
      <c r="AE195" s="755" t="s">
        <v>1009</v>
      </c>
      <c r="AF195" s="663">
        <f>IF(CampList[[#This Row],[Type of Accomodation]]="camp",MAX(0,CampList[[#This Row],[HH]]-SUMIF(Table_Shelter[Pcode],CampList[[#This Row],[CP_Pcode]],Table_Shelter[HH Covered])),0)</f>
        <v>0</v>
      </c>
      <c r="AG195" s="722"/>
      <c r="AH195" s="736">
        <f>MIN(CampList[[#This Row],[Shelter Gap]],CampList[[#This Row],[Land Status]])</f>
        <v>0</v>
      </c>
      <c r="AI195" s="722" t="str">
        <f ca="1">IFERROR(OFFSET(DistanceToCamp[Nearest Town],MATCH(CampList[[#This Row],[CP_Pcode]],DistanceToCamp[CP_Pcode],0)-1,0,1,1),"")</f>
        <v/>
      </c>
      <c r="AJ195" s="739" t="str">
        <f ca="1">IFERROR(OFFSET(DistanceToCamp[distance],MATCH(CampList[[#This Row],[CP_Pcode]],DistanceToCamp[CP_Pcode],0)-1,0,1,1),"")</f>
        <v/>
      </c>
      <c r="AK195" s="740" t="str">
        <f ca="1">IFERROR(INT(CampList[[#This Row],[Distance]]/5)+1,"")</f>
        <v/>
      </c>
    </row>
    <row r="196" spans="1:37" s="511" customFormat="1" ht="15.6" hidden="1" customHeight="1" x14ac:dyDescent="0.25">
      <c r="A196" s="656" t="s">
        <v>844</v>
      </c>
      <c r="B196" s="406" t="s">
        <v>380</v>
      </c>
      <c r="C196" s="406" t="s">
        <v>526</v>
      </c>
      <c r="D196" s="406" t="s">
        <v>5</v>
      </c>
      <c r="E196" s="406" t="s">
        <v>530</v>
      </c>
      <c r="F196" s="406" t="s">
        <v>151</v>
      </c>
      <c r="G196" s="406" t="s">
        <v>540</v>
      </c>
      <c r="H196" s="728"/>
      <c r="I196" s="728"/>
      <c r="J196" s="728"/>
      <c r="K196" s="728"/>
      <c r="L196" s="406" t="s">
        <v>878</v>
      </c>
      <c r="M196" s="406" t="s">
        <v>882</v>
      </c>
      <c r="N196" s="630"/>
      <c r="O196" s="630"/>
      <c r="P196" s="729"/>
      <c r="Q196" s="730">
        <v>0</v>
      </c>
      <c r="R196" s="731">
        <v>0</v>
      </c>
      <c r="S196" s="732" t="str">
        <f>IF(CampList[[#This Row],[HH]]&gt;0,CampList[[#This Row],[Total]]/CampList[[#This Row],[HH]],"NA")</f>
        <v>NA</v>
      </c>
      <c r="T196" s="722" t="s">
        <v>512</v>
      </c>
      <c r="U196" s="726" t="s">
        <v>1193</v>
      </c>
      <c r="V196" s="722" t="s">
        <v>12</v>
      </c>
      <c r="W196" s="726" t="s">
        <v>857</v>
      </c>
      <c r="X196" s="733"/>
      <c r="Y196" s="729"/>
      <c r="Z196" s="734"/>
      <c r="AA196" s="735" t="s">
        <v>843</v>
      </c>
      <c r="AB196" s="736"/>
      <c r="AC196" s="744">
        <v>42090</v>
      </c>
      <c r="AD196" s="656" t="s">
        <v>1240</v>
      </c>
      <c r="AE196" s="755" t="s">
        <v>1095</v>
      </c>
      <c r="AF196" s="663">
        <f>IF(CampList[[#This Row],[Type of Accomodation]]="camp",MAX(0,CampList[[#This Row],[HH]]-SUMIF(Table_Shelter[Pcode],CampList[[#This Row],[CP_Pcode]],Table_Shelter[HH Covered])),0)</f>
        <v>0</v>
      </c>
      <c r="AG196" s="722"/>
      <c r="AH196" s="736">
        <f>MIN(CampList[[#This Row],[Shelter Gap]],CampList[[#This Row],[Land Status]])</f>
        <v>0</v>
      </c>
      <c r="AI196" s="722" t="str">
        <f ca="1">IFERROR(OFFSET(DistanceToCamp[Nearest Town],MATCH(CampList[[#This Row],[CP_Pcode]],DistanceToCamp[CP_Pcode],0)-1,0,1,1),"")</f>
        <v/>
      </c>
      <c r="AJ196" s="739" t="str">
        <f ca="1">IFERROR(OFFSET(DistanceToCamp[distance],MATCH(CampList[[#This Row],[CP_Pcode]],DistanceToCamp[CP_Pcode],0)-1,0,1,1),"")</f>
        <v/>
      </c>
      <c r="AK196" s="740" t="str">
        <f ca="1">IFERROR(INT(CampList[[#This Row],[Distance]]/5)+1,"")</f>
        <v/>
      </c>
    </row>
    <row r="197" spans="1:37" s="511" customFormat="1" ht="15.6" hidden="1" customHeight="1" x14ac:dyDescent="0.25">
      <c r="A197" s="656" t="s">
        <v>844</v>
      </c>
      <c r="B197" s="406" t="s">
        <v>380</v>
      </c>
      <c r="C197" s="406" t="s">
        <v>526</v>
      </c>
      <c r="D197" s="406" t="s">
        <v>5</v>
      </c>
      <c r="E197" s="406" t="s">
        <v>530</v>
      </c>
      <c r="F197" s="406" t="s">
        <v>151</v>
      </c>
      <c r="G197" s="406" t="s">
        <v>540</v>
      </c>
      <c r="H197" s="728"/>
      <c r="I197" s="728"/>
      <c r="J197" s="728"/>
      <c r="K197" s="728"/>
      <c r="L197" s="406" t="s">
        <v>885</v>
      </c>
      <c r="M197" s="406" t="s">
        <v>884</v>
      </c>
      <c r="N197" s="630"/>
      <c r="O197" s="766"/>
      <c r="P197" s="729"/>
      <c r="Q197" s="730">
        <v>0</v>
      </c>
      <c r="R197" s="731">
        <v>0</v>
      </c>
      <c r="S197" s="732" t="str">
        <f>IF(CampList[[#This Row],[HH]]&gt;0,CampList[[#This Row],[Total]]/CampList[[#This Row],[HH]],"NA")</f>
        <v>NA</v>
      </c>
      <c r="T197" s="722" t="s">
        <v>512</v>
      </c>
      <c r="U197" s="726" t="s">
        <v>1193</v>
      </c>
      <c r="V197" s="722" t="s">
        <v>857</v>
      </c>
      <c r="W197" s="726"/>
      <c r="X197" s="733"/>
      <c r="Y197" s="729"/>
      <c r="Z197" s="734"/>
      <c r="AA197" s="735" t="s">
        <v>843</v>
      </c>
      <c r="AB197" s="736"/>
      <c r="AC197" s="744">
        <v>41677</v>
      </c>
      <c r="AD197" s="656" t="s">
        <v>945</v>
      </c>
      <c r="AE197" s="755" t="s">
        <v>1009</v>
      </c>
      <c r="AF197" s="663">
        <f>IF(CampList[[#This Row],[Type of Accomodation]]="camp",MAX(0,CampList[[#This Row],[HH]]-SUMIF(Table_Shelter[Pcode],CampList[[#This Row],[CP_Pcode]],Table_Shelter[HH Covered])),0)</f>
        <v>0</v>
      </c>
      <c r="AG197" s="722"/>
      <c r="AH197" s="736">
        <f>MIN(CampList[[#This Row],[Shelter Gap]],CampList[[#This Row],[Land Status]])</f>
        <v>0</v>
      </c>
      <c r="AI197" s="722" t="str">
        <f ca="1">IFERROR(OFFSET(DistanceToCamp[Nearest Town],MATCH(CampList[[#This Row],[CP_Pcode]],DistanceToCamp[CP_Pcode],0)-1,0,1,1),"")</f>
        <v/>
      </c>
      <c r="AJ197" s="739" t="str">
        <f ca="1">IFERROR(OFFSET(DistanceToCamp[distance],MATCH(CampList[[#This Row],[CP_Pcode]],DistanceToCamp[CP_Pcode],0)-1,0,1,1),"")</f>
        <v/>
      </c>
      <c r="AK197" s="740" t="str">
        <f ca="1">IFERROR(INT(CampList[[#This Row],[Distance]]/5)+1,"")</f>
        <v/>
      </c>
    </row>
    <row r="198" spans="1:37" s="511" customFormat="1" ht="15.6" customHeight="1" x14ac:dyDescent="0.25">
      <c r="A198" s="656" t="s">
        <v>501</v>
      </c>
      <c r="B198" s="406" t="s">
        <v>380</v>
      </c>
      <c r="C198" s="406" t="s">
        <v>526</v>
      </c>
      <c r="D198" s="406" t="s">
        <v>5</v>
      </c>
      <c r="E198" s="406" t="s">
        <v>530</v>
      </c>
      <c r="F198" s="406" t="s">
        <v>151</v>
      </c>
      <c r="G198" s="406" t="s">
        <v>540</v>
      </c>
      <c r="H198" s="406" t="s">
        <v>886</v>
      </c>
      <c r="I198" s="406" t="s">
        <v>1409</v>
      </c>
      <c r="J198" s="406" t="s">
        <v>886</v>
      </c>
      <c r="K198" s="406">
        <v>167301</v>
      </c>
      <c r="L198" s="406" t="s">
        <v>886</v>
      </c>
      <c r="M198" s="406" t="s">
        <v>887</v>
      </c>
      <c r="N198" s="630">
        <v>97.225881000000001</v>
      </c>
      <c r="O198" s="630">
        <v>23.972453000000002</v>
      </c>
      <c r="P198" s="753">
        <v>466</v>
      </c>
      <c r="Q198" s="663">
        <v>390</v>
      </c>
      <c r="R198" s="665">
        <v>1672</v>
      </c>
      <c r="S198" s="732">
        <f>IF(CampList[[#This Row],[HH]]&gt;0,CampList[[#This Row],[Total]]/CampList[[#This Row],[HH]],"NA")</f>
        <v>4.287179487179487</v>
      </c>
      <c r="T198" s="722" t="s">
        <v>512</v>
      </c>
      <c r="U198" s="726" t="s">
        <v>1193</v>
      </c>
      <c r="V198" s="722" t="s">
        <v>555</v>
      </c>
      <c r="W198" s="722" t="s">
        <v>857</v>
      </c>
      <c r="X198" s="773">
        <v>41548</v>
      </c>
      <c r="Y198" s="743">
        <v>2</v>
      </c>
      <c r="Z198" s="742" t="s">
        <v>461</v>
      </c>
      <c r="AA198" s="735" t="s">
        <v>843</v>
      </c>
      <c r="AB198" s="736"/>
      <c r="AC198" s="744">
        <v>42569</v>
      </c>
      <c r="AD198" s="656" t="s">
        <v>1484</v>
      </c>
      <c r="AE198" s="759" t="s">
        <v>1095</v>
      </c>
      <c r="AF198" s="663">
        <f>IF(CampList[[#This Row],[Type of Accomodation]]="camp",MAX(0,CampList[[#This Row],[HH]]-SUMIF(Table_Shelter[Pcode],CampList[[#This Row],[CP_Pcode]],Table_Shelter[HH Covered])),0)</f>
        <v>81</v>
      </c>
      <c r="AG198" s="722"/>
      <c r="AH198" s="736">
        <f>MIN(CampList[[#This Row],[Shelter Gap]],CampList[[#This Row],[Land Status]])</f>
        <v>81</v>
      </c>
      <c r="AI198" s="722" t="str">
        <f ca="1">IFERROR(OFFSET(DistanceToCamp[Nearest Town],MATCH(CampList[[#This Row],[CP_Pcode]],DistanceToCamp[CP_Pcode],0)-1,0,1,1),"")</f>
        <v>Mansi Town</v>
      </c>
      <c r="AJ198" s="739">
        <f ca="1">IFERROR(OFFSET(DistanceToCamp[distance],MATCH(CampList[[#This Row],[CP_Pcode]],DistanceToCamp[CP_Pcode],0)-1,0,1,1),"")</f>
        <v>17.731070777343263</v>
      </c>
      <c r="AK198" s="740">
        <f ca="1">IFERROR(INT(CampList[[#This Row],[Distance]]/5)+1,"")</f>
        <v>4</v>
      </c>
    </row>
    <row r="199" spans="1:37" s="511" customFormat="1" ht="15.6" hidden="1" customHeight="1" x14ac:dyDescent="0.25">
      <c r="A199" s="656" t="s">
        <v>844</v>
      </c>
      <c r="B199" s="406" t="s">
        <v>380</v>
      </c>
      <c r="C199" s="406" t="s">
        <v>526</v>
      </c>
      <c r="D199" s="406" t="s">
        <v>5</v>
      </c>
      <c r="E199" s="406" t="s">
        <v>530</v>
      </c>
      <c r="F199" s="406" t="s">
        <v>151</v>
      </c>
      <c r="G199" s="406" t="s">
        <v>540</v>
      </c>
      <c r="H199" s="406"/>
      <c r="I199" s="406"/>
      <c r="J199" s="406"/>
      <c r="K199" s="406"/>
      <c r="L199" s="406" t="s">
        <v>888</v>
      </c>
      <c r="M199" s="406" t="s">
        <v>889</v>
      </c>
      <c r="N199" s="752"/>
      <c r="O199" s="752"/>
      <c r="P199" s="753"/>
      <c r="Q199" s="730">
        <v>0</v>
      </c>
      <c r="R199" s="731">
        <v>0</v>
      </c>
      <c r="S199" s="732" t="str">
        <f>IF(CampList[[#This Row],[HH]]&gt;0,CampList[[#This Row],[Total]]/CampList[[#This Row],[HH]],"NA")</f>
        <v>NA</v>
      </c>
      <c r="T199" s="722" t="s">
        <v>512</v>
      </c>
      <c r="U199" s="726" t="s">
        <v>1193</v>
      </c>
      <c r="V199" s="722" t="s">
        <v>555</v>
      </c>
      <c r="W199" s="722" t="s">
        <v>857</v>
      </c>
      <c r="X199" s="754"/>
      <c r="Y199" s="753"/>
      <c r="Z199" s="736"/>
      <c r="AA199" s="736" t="s">
        <v>843</v>
      </c>
      <c r="AB199" s="736"/>
      <c r="AC199" s="744">
        <v>41652</v>
      </c>
      <c r="AD199" s="656" t="s">
        <v>930</v>
      </c>
      <c r="AE199" s="755" t="s">
        <v>1009</v>
      </c>
      <c r="AF199" s="663">
        <f>IF(CampList[[#This Row],[Type of Accomodation]]="camp",MAX(0,CampList[[#This Row],[HH]]-SUMIF(Table_Shelter[Pcode],CampList[[#This Row],[CP_Pcode]],Table_Shelter[HH Covered])),0)</f>
        <v>0</v>
      </c>
      <c r="AG199" s="722"/>
      <c r="AH199" s="736">
        <f>MIN(CampList[[#This Row],[Shelter Gap]],CampList[[#This Row],[Land Status]])</f>
        <v>0</v>
      </c>
      <c r="AI199" s="722" t="str">
        <f ca="1">IFERROR(OFFSET(DistanceToCamp[Nearest Town],MATCH(CampList[[#This Row],[CP_Pcode]],DistanceToCamp[CP_Pcode],0)-1,0,1,1),"")</f>
        <v/>
      </c>
      <c r="AJ199" s="739" t="str">
        <f ca="1">IFERROR(OFFSET(DistanceToCamp[distance],MATCH(CampList[[#This Row],[CP_Pcode]],DistanceToCamp[CP_Pcode],0)-1,0,1,1),"")</f>
        <v/>
      </c>
      <c r="AK199" s="740" t="str">
        <f ca="1">IFERROR(INT(CampList[[#This Row],[Distance]]/5)+1,"")</f>
        <v/>
      </c>
    </row>
    <row r="200" spans="1:37" s="511" customFormat="1" ht="15.6" hidden="1" customHeight="1" x14ac:dyDescent="0.25">
      <c r="A200" s="656" t="s">
        <v>844</v>
      </c>
      <c r="B200" s="406" t="s">
        <v>380</v>
      </c>
      <c r="C200" s="406" t="s">
        <v>526</v>
      </c>
      <c r="D200" s="406" t="s">
        <v>300</v>
      </c>
      <c r="E200" s="406" t="s">
        <v>547</v>
      </c>
      <c r="F200" s="406" t="s">
        <v>300</v>
      </c>
      <c r="G200" s="406" t="s">
        <v>553</v>
      </c>
      <c r="H200" s="406" t="s">
        <v>1031</v>
      </c>
      <c r="I200" s="406" t="s">
        <v>1032</v>
      </c>
      <c r="J200" s="406" t="s">
        <v>1033</v>
      </c>
      <c r="K200" s="406">
        <v>167567</v>
      </c>
      <c r="L200" s="406" t="s">
        <v>892</v>
      </c>
      <c r="M200" s="406" t="s">
        <v>893</v>
      </c>
      <c r="N200" s="630">
        <v>97.58184</v>
      </c>
      <c r="O200" s="630">
        <v>27.270199999999999</v>
      </c>
      <c r="P200" s="741">
        <v>372.9</v>
      </c>
      <c r="Q200" s="760">
        <v>0</v>
      </c>
      <c r="R200" s="755">
        <v>0</v>
      </c>
      <c r="S200" s="732" t="str">
        <f>IF(CampList[[#This Row],[HH]]&gt;0,CampList[[#This Row],[Total]]/CampList[[#This Row],[HH]],"NA")</f>
        <v>NA</v>
      </c>
      <c r="T200" s="722" t="s">
        <v>512</v>
      </c>
      <c r="U200" s="726" t="s">
        <v>1193</v>
      </c>
      <c r="V200" s="722" t="s">
        <v>555</v>
      </c>
      <c r="W200" s="726" t="s">
        <v>857</v>
      </c>
      <c r="X200" s="742">
        <v>41487</v>
      </c>
      <c r="Y200" s="743"/>
      <c r="Z200" s="742"/>
      <c r="AA200" s="736" t="s">
        <v>843</v>
      </c>
      <c r="AB200" s="736"/>
      <c r="AC200" s="744">
        <v>41725</v>
      </c>
      <c r="AD200" s="728" t="s">
        <v>1268</v>
      </c>
      <c r="AE200" s="759" t="s">
        <v>1081</v>
      </c>
      <c r="AF200" s="663">
        <f>IF(CampList[[#This Row],[Type of Accomodation]]="camp",MAX(0,CampList[[#This Row],[HH]]-SUMIF(Table_Shelter[Pcode],CampList[[#This Row],[CP_Pcode]],Table_Shelter[HH Covered])),0)</f>
        <v>0</v>
      </c>
      <c r="AG200" s="722"/>
      <c r="AH200" s="736">
        <f>MIN(CampList[[#This Row],[Shelter Gap]],CampList[[#This Row],[Land Status]])</f>
        <v>0</v>
      </c>
      <c r="AI200" s="722" t="str">
        <f ca="1">IFERROR(OFFSET(DistanceToCamp[Nearest Town],MATCH(CampList[[#This Row],[CP_Pcode]],DistanceToCamp[CP_Pcode],0)-1,0,1,1),"")</f>
        <v>Machanbaw Town</v>
      </c>
      <c r="AJ200" s="739">
        <f ca="1">IFERROR(OFFSET(DistanceToCamp[distance],MATCH(CampList[[#This Row],[CP_Pcode]],DistanceToCamp[CP_Pcode],0)-1,0,1,1),"")</f>
        <v>1.7005689699647559</v>
      </c>
      <c r="AK200" s="740">
        <f ca="1">IFERROR(INT(CampList[[#This Row],[Distance]]/5)+1,"")</f>
        <v>1</v>
      </c>
    </row>
    <row r="201" spans="1:37" s="511" customFormat="1" ht="15.6" hidden="1" customHeight="1" x14ac:dyDescent="0.25">
      <c r="A201" s="656" t="s">
        <v>844</v>
      </c>
      <c r="B201" s="406" t="s">
        <v>380</v>
      </c>
      <c r="C201" s="406" t="s">
        <v>526</v>
      </c>
      <c r="D201" s="406" t="s">
        <v>300</v>
      </c>
      <c r="E201" s="406" t="s">
        <v>547</v>
      </c>
      <c r="F201" s="406" t="s">
        <v>894</v>
      </c>
      <c r="G201" s="406" t="s">
        <v>895</v>
      </c>
      <c r="H201" s="406"/>
      <c r="I201" s="406"/>
      <c r="J201" s="406"/>
      <c r="K201" s="406"/>
      <c r="L201" s="406" t="s">
        <v>896</v>
      </c>
      <c r="M201" s="406" t="s">
        <v>897</v>
      </c>
      <c r="N201" s="630">
        <v>97.586470000000006</v>
      </c>
      <c r="O201" s="630">
        <v>27.274059999999999</v>
      </c>
      <c r="P201" s="753">
        <v>403</v>
      </c>
      <c r="Q201" s="663">
        <v>0</v>
      </c>
      <c r="R201" s="755">
        <v>0</v>
      </c>
      <c r="S201" s="732" t="str">
        <f>IF(CampList[[#This Row],[HH]]&gt;0,CampList[[#This Row],[Total]]/CampList[[#This Row],[HH]],"NA")</f>
        <v>NA</v>
      </c>
      <c r="T201" s="722" t="s">
        <v>512</v>
      </c>
      <c r="U201" s="726" t="s">
        <v>1193</v>
      </c>
      <c r="V201" s="722" t="s">
        <v>555</v>
      </c>
      <c r="W201" s="722" t="s">
        <v>857</v>
      </c>
      <c r="X201" s="754">
        <v>41518</v>
      </c>
      <c r="Y201" s="753"/>
      <c r="Z201" s="769"/>
      <c r="AA201" s="736" t="s">
        <v>843</v>
      </c>
      <c r="AB201" s="736"/>
      <c r="AC201" s="744">
        <v>42180</v>
      </c>
      <c r="AD201" s="656" t="s">
        <v>1267</v>
      </c>
      <c r="AE201" s="755" t="s">
        <v>1081</v>
      </c>
      <c r="AF201" s="663">
        <f>IF(CampList[[#This Row],[Type of Accomodation]]="camp",MAX(0,CampList[[#This Row],[HH]]-SUMIF(Table_Shelter[Pcode],CampList[[#This Row],[CP_Pcode]],Table_Shelter[HH Covered])),0)</f>
        <v>0</v>
      </c>
      <c r="AG201" s="722"/>
      <c r="AH201" s="736">
        <f>MIN(CampList[[#This Row],[Shelter Gap]],CampList[[#This Row],[Land Status]])</f>
        <v>0</v>
      </c>
      <c r="AI201" s="722" t="str">
        <f ca="1">IFERROR(OFFSET(DistanceToCamp[Nearest Town],MATCH(CampList[[#This Row],[CP_Pcode]],DistanceToCamp[CP_Pcode],0)-1,0,1,1),"")</f>
        <v>Machanbaw Town</v>
      </c>
      <c r="AJ201" s="739">
        <f ca="1">IFERROR(OFFSET(DistanceToCamp[distance],MATCH(CampList[[#This Row],[CP_Pcode]],DistanceToCamp[CP_Pcode],0)-1,0,1,1),"")</f>
        <v>1.136583238544624</v>
      </c>
      <c r="AK201" s="740">
        <f ca="1">IFERROR(INT(CampList[[#This Row],[Distance]]/5)+1,"")</f>
        <v>1</v>
      </c>
    </row>
    <row r="202" spans="1:37" s="511" customFormat="1" ht="15.6" hidden="1" customHeight="1" x14ac:dyDescent="0.25">
      <c r="A202" s="656" t="s">
        <v>844</v>
      </c>
      <c r="B202" s="406" t="s">
        <v>380</v>
      </c>
      <c r="C202" s="406" t="s">
        <v>526</v>
      </c>
      <c r="D202" s="406" t="s">
        <v>5</v>
      </c>
      <c r="E202" s="406" t="s">
        <v>530</v>
      </c>
      <c r="F202" s="406" t="s">
        <v>5</v>
      </c>
      <c r="G202" s="406" t="s">
        <v>531</v>
      </c>
      <c r="H202" s="406"/>
      <c r="I202" s="406"/>
      <c r="J202" s="406"/>
      <c r="K202" s="406"/>
      <c r="L202" s="406" t="s">
        <v>899</v>
      </c>
      <c r="M202" s="406" t="s">
        <v>898</v>
      </c>
      <c r="N202" s="630"/>
      <c r="O202" s="630"/>
      <c r="P202" s="753"/>
      <c r="Q202" s="730">
        <v>0</v>
      </c>
      <c r="R202" s="731">
        <v>0</v>
      </c>
      <c r="S202" s="732" t="str">
        <f>IF(CampList[[#This Row],[HH]]&gt;0,CampList[[#This Row],[Total]]/CampList[[#This Row],[HH]],"NA")</f>
        <v>NA</v>
      </c>
      <c r="T202" s="722" t="s">
        <v>512</v>
      </c>
      <c r="U202" s="726" t="s">
        <v>1193</v>
      </c>
      <c r="V202" s="722" t="s">
        <v>555</v>
      </c>
      <c r="W202" s="726" t="s">
        <v>804</v>
      </c>
      <c r="X202" s="754"/>
      <c r="Y202" s="753"/>
      <c r="Z202" s="736"/>
      <c r="AA202" s="735" t="s">
        <v>843</v>
      </c>
      <c r="AB202" s="736"/>
      <c r="AC202" s="744">
        <v>41702</v>
      </c>
      <c r="AD202" s="728" t="s">
        <v>1018</v>
      </c>
      <c r="AE202" s="755" t="s">
        <v>1009</v>
      </c>
      <c r="AF202" s="663">
        <f>IF(CampList[[#This Row],[Type of Accomodation]]="camp",MAX(0,CampList[[#This Row],[HH]]-SUMIF(Table_Shelter[Pcode],CampList[[#This Row],[CP_Pcode]],Table_Shelter[HH Covered])),0)</f>
        <v>0</v>
      </c>
      <c r="AG202" s="722"/>
      <c r="AH202" s="736">
        <f>MIN(CampList[[#This Row],[Shelter Gap]],CampList[[#This Row],[Land Status]])</f>
        <v>0</v>
      </c>
      <c r="AI202" s="722" t="str">
        <f ca="1">IFERROR(OFFSET(DistanceToCamp[Nearest Town],MATCH(CampList[[#This Row],[CP_Pcode]],DistanceToCamp[CP_Pcode],0)-1,0,1,1),"")</f>
        <v/>
      </c>
      <c r="AJ202" s="739" t="str">
        <f ca="1">IFERROR(OFFSET(DistanceToCamp[distance],MATCH(CampList[[#This Row],[CP_Pcode]],DistanceToCamp[CP_Pcode],0)-1,0,1,1),"")</f>
        <v/>
      </c>
      <c r="AK202" s="740" t="str">
        <f ca="1">IFERROR(INT(CampList[[#This Row],[Distance]]/5)+1,"")</f>
        <v/>
      </c>
    </row>
    <row r="203" spans="1:37" s="511" customFormat="1" ht="15.6" customHeight="1" x14ac:dyDescent="0.25">
      <c r="A203" s="656" t="s">
        <v>501</v>
      </c>
      <c r="B203" s="406" t="s">
        <v>380</v>
      </c>
      <c r="C203" s="406" t="s">
        <v>526</v>
      </c>
      <c r="D203" s="406" t="s">
        <v>5</v>
      </c>
      <c r="E203" s="406" t="s">
        <v>530</v>
      </c>
      <c r="F203" s="406" t="s">
        <v>151</v>
      </c>
      <c r="G203" s="406" t="s">
        <v>540</v>
      </c>
      <c r="H203" s="406" t="s">
        <v>886</v>
      </c>
      <c r="I203" s="406" t="s">
        <v>1409</v>
      </c>
      <c r="J203" s="406" t="s">
        <v>886</v>
      </c>
      <c r="K203" s="406">
        <v>167301</v>
      </c>
      <c r="L203" s="406" t="s">
        <v>944</v>
      </c>
      <c r="M203" s="406" t="s">
        <v>943</v>
      </c>
      <c r="N203" s="630">
        <v>97.227057000000002</v>
      </c>
      <c r="O203" s="630">
        <v>23.976571</v>
      </c>
      <c r="P203" s="753">
        <v>478</v>
      </c>
      <c r="Q203" s="663">
        <v>123</v>
      </c>
      <c r="R203" s="755">
        <v>582</v>
      </c>
      <c r="S203" s="732">
        <f>IF(CampList[[#This Row],[HH]]&gt;0,CampList[[#This Row],[Total]]/CampList[[#This Row],[HH]],"NA")</f>
        <v>4.7317073170731705</v>
      </c>
      <c r="T203" s="722" t="s">
        <v>512</v>
      </c>
      <c r="U203" s="726" t="s">
        <v>1193</v>
      </c>
      <c r="V203" s="722" t="s">
        <v>555</v>
      </c>
      <c r="W203" s="722" t="s">
        <v>857</v>
      </c>
      <c r="X203" s="773">
        <v>41548</v>
      </c>
      <c r="Y203" s="753">
        <v>2</v>
      </c>
      <c r="Z203" s="742" t="s">
        <v>1091</v>
      </c>
      <c r="AA203" s="736" t="s">
        <v>843</v>
      </c>
      <c r="AB203" s="736"/>
      <c r="AC203" s="744">
        <v>42397</v>
      </c>
      <c r="AD203" s="728" t="s">
        <v>1424</v>
      </c>
      <c r="AE203" s="755" t="s">
        <v>1095</v>
      </c>
      <c r="AF203" s="663">
        <f>IF(CampList[[#This Row],[Type of Accomodation]]="camp",MAX(0,CampList[[#This Row],[HH]]-SUMIF(Table_Shelter[Pcode],CampList[[#This Row],[CP_Pcode]],Table_Shelter[HH Covered])),0)</f>
        <v>73</v>
      </c>
      <c r="AG203" s="722"/>
      <c r="AH203" s="736">
        <f>MIN(CampList[[#This Row],[Shelter Gap]],CampList[[#This Row],[Land Status]])</f>
        <v>73</v>
      </c>
      <c r="AI203" s="722" t="str">
        <f ca="1">IFERROR(OFFSET(DistanceToCamp[Nearest Town],MATCH(CampList[[#This Row],[CP_Pcode]],DistanceToCamp[CP_Pcode],0)-1,0,1,1),"")</f>
        <v>Kamaing Town</v>
      </c>
      <c r="AJ203" s="739">
        <f ca="1">IFERROR(OFFSET(DistanceToCamp[distance],MATCH(CampList[[#This Row],[CP_Pcode]],DistanceToCamp[CP_Pcode],0)-1,0,1,1),"")</f>
        <v>12.257552920582597</v>
      </c>
      <c r="AK203" s="740">
        <f ca="1">IFERROR(INT(CampList[[#This Row],[Distance]]/5)+1,"")</f>
        <v>3</v>
      </c>
    </row>
    <row r="204" spans="1:37" s="511" customFormat="1" ht="15.6" hidden="1" customHeight="1" x14ac:dyDescent="0.25">
      <c r="A204" s="656" t="s">
        <v>844</v>
      </c>
      <c r="B204" s="406" t="s">
        <v>380</v>
      </c>
      <c r="C204" s="406" t="s">
        <v>526</v>
      </c>
      <c r="D204" s="406" t="s">
        <v>5</v>
      </c>
      <c r="E204" s="406" t="s">
        <v>530</v>
      </c>
      <c r="F204" s="406" t="s">
        <v>5</v>
      </c>
      <c r="G204" s="406" t="s">
        <v>531</v>
      </c>
      <c r="H204" s="406" t="s">
        <v>646</v>
      </c>
      <c r="I204" s="406" t="s">
        <v>647</v>
      </c>
      <c r="J204" s="406"/>
      <c r="K204" s="406"/>
      <c r="L204" s="406" t="s">
        <v>1023</v>
      </c>
      <c r="M204" s="406" t="s">
        <v>1020</v>
      </c>
      <c r="N204" s="630">
        <v>97.239130000000003</v>
      </c>
      <c r="O204" s="752">
        <v>24.229189999999999</v>
      </c>
      <c r="P204" s="753">
        <v>126</v>
      </c>
      <c r="Q204" s="663">
        <v>0</v>
      </c>
      <c r="R204" s="755">
        <v>0</v>
      </c>
      <c r="S204" s="732" t="str">
        <f>IF(CampList[[#This Row],[HH]]&gt;0,CampList[[#This Row],[Total]]/CampList[[#This Row],[HH]],"NA")</f>
        <v>NA</v>
      </c>
      <c r="T204" s="722" t="s">
        <v>512</v>
      </c>
      <c r="U204" s="726" t="s">
        <v>1193</v>
      </c>
      <c r="V204" s="722" t="s">
        <v>555</v>
      </c>
      <c r="W204" s="722" t="s">
        <v>804</v>
      </c>
      <c r="X204" s="754"/>
      <c r="Y204" s="753"/>
      <c r="Z204" s="736" t="s">
        <v>506</v>
      </c>
      <c r="AA204" s="736" t="s">
        <v>843</v>
      </c>
      <c r="AB204" s="736"/>
      <c r="AC204" s="744">
        <v>41906</v>
      </c>
      <c r="AD204" s="728" t="s">
        <v>1118</v>
      </c>
      <c r="AE204" s="755" t="s">
        <v>1095</v>
      </c>
      <c r="AF204" s="663">
        <f>IF(CampList[[#This Row],[Type of Accomodation]]="camp",MAX(0,CampList[[#This Row],[HH]]-SUMIF(Table_Shelter[Pcode],CampList[[#This Row],[CP_Pcode]],Table_Shelter[HH Covered])),0)</f>
        <v>0</v>
      </c>
      <c r="AG204" s="722"/>
      <c r="AH204" s="736">
        <f>MIN(CampList[[#This Row],[Shelter Gap]],CampList[[#This Row],[Land Status]])</f>
        <v>0</v>
      </c>
      <c r="AI204" s="722" t="str">
        <f ca="1">IFERROR(OFFSET(DistanceToCamp[Nearest Town],MATCH(CampList[[#This Row],[CP_Pcode]],DistanceToCamp[CP_Pcode],0)-1,0,1,1),"")</f>
        <v/>
      </c>
      <c r="AJ204" s="739" t="str">
        <f ca="1">IFERROR(OFFSET(DistanceToCamp[distance],MATCH(CampList[[#This Row],[CP_Pcode]],DistanceToCamp[CP_Pcode],0)-1,0,1,1),"")</f>
        <v/>
      </c>
      <c r="AK204" s="740" t="str">
        <f ca="1">IFERROR(INT(CampList[[#This Row],[Distance]]/5)+1,"")</f>
        <v/>
      </c>
    </row>
    <row r="205" spans="1:37" s="511" customFormat="1" ht="15.6" customHeight="1" x14ac:dyDescent="0.25">
      <c r="A205" s="756" t="s">
        <v>501</v>
      </c>
      <c r="B205" s="214" t="s">
        <v>380</v>
      </c>
      <c r="C205" s="214" t="s">
        <v>526</v>
      </c>
      <c r="D205" s="214" t="s">
        <v>237</v>
      </c>
      <c r="E205" s="214" t="s">
        <v>532</v>
      </c>
      <c r="F205" s="214" t="s">
        <v>27</v>
      </c>
      <c r="G205" s="214" t="s">
        <v>535</v>
      </c>
      <c r="H205" s="214" t="s">
        <v>791</v>
      </c>
      <c r="I205" s="757" t="s">
        <v>790</v>
      </c>
      <c r="J205" s="214" t="s">
        <v>1021</v>
      </c>
      <c r="K205" s="214"/>
      <c r="L205" s="214" t="s">
        <v>1021</v>
      </c>
      <c r="M205" s="214" t="s">
        <v>1022</v>
      </c>
      <c r="N205" s="752">
        <v>98.356260000000006</v>
      </c>
      <c r="O205" s="752">
        <v>25.645959999999999</v>
      </c>
      <c r="P205" s="753">
        <v>1945</v>
      </c>
      <c r="Q205" s="663">
        <v>30</v>
      </c>
      <c r="R205" s="755">
        <v>175</v>
      </c>
      <c r="S205" s="732">
        <f>IF(CampList[[#This Row],[HH]]&gt;0,CampList[[#This Row],[Total]]/CampList[[#This Row],[HH]],"NA")</f>
        <v>5.833333333333333</v>
      </c>
      <c r="T205" s="663" t="s">
        <v>512</v>
      </c>
      <c r="U205" s="722" t="s">
        <v>1193</v>
      </c>
      <c r="V205" s="663" t="s">
        <v>555</v>
      </c>
      <c r="W205" s="663" t="s">
        <v>804</v>
      </c>
      <c r="X205" s="754">
        <v>41091</v>
      </c>
      <c r="Y205" s="729"/>
      <c r="Z205" s="729" t="s">
        <v>1092</v>
      </c>
      <c r="AA205" s="752" t="s">
        <v>843</v>
      </c>
      <c r="AB205" s="752"/>
      <c r="AC205" s="744">
        <v>42565</v>
      </c>
      <c r="AD205" s="758" t="s">
        <v>1426</v>
      </c>
      <c r="AE205" s="759" t="s">
        <v>1079</v>
      </c>
      <c r="AF205" s="760">
        <f>IF(CampList[[#This Row],[Type of Accomodation]]="camp",MAX(0,CampList[[#This Row],[HH]]-SUMIF(Table_Shelter[Pcode],CampList[[#This Row],[CP_Pcode]],Table_Shelter[HH Covered])),0)</f>
        <v>30</v>
      </c>
      <c r="AG205" s="663"/>
      <c r="AH205" s="741">
        <f>MIN(CampList[[#This Row],[Shelter Gap]],CampList[[#This Row],[Land Status]])</f>
        <v>30</v>
      </c>
      <c r="AI205" s="760" t="str">
        <f ca="1">IFERROR(OFFSET(DistanceToCamp[Nearest Town],MATCH(CampList[[#This Row],[CP_Pcode]],DistanceToCamp[CP_Pcode],0)-1,0,1,1),"")</f>
        <v>Naypyitaw Town</v>
      </c>
      <c r="AJ205" s="739">
        <f ca="1">IFERROR(OFFSET(DistanceToCamp[distance],MATCH(CampList[[#This Row],[CP_Pcode]],DistanceToCamp[CP_Pcode],0)-1,0,1,1),"")</f>
        <v>0</v>
      </c>
      <c r="AK205" s="761">
        <f ca="1">IFERROR(INT(CampList[[#This Row],[Distance]]/5)+1,"")</f>
        <v>1</v>
      </c>
    </row>
    <row r="206" spans="1:37" s="511" customFormat="1" ht="15.6" customHeight="1" x14ac:dyDescent="0.25">
      <c r="A206" s="656" t="s">
        <v>501</v>
      </c>
      <c r="B206" s="406" t="s">
        <v>380</v>
      </c>
      <c r="C206" s="406" t="s">
        <v>526</v>
      </c>
      <c r="D206" s="406" t="s">
        <v>5</v>
      </c>
      <c r="E206" s="406" t="s">
        <v>530</v>
      </c>
      <c r="F206" s="406" t="s">
        <v>151</v>
      </c>
      <c r="G206" s="406" t="s">
        <v>540</v>
      </c>
      <c r="H206" s="406" t="s">
        <v>740</v>
      </c>
      <c r="I206" s="406" t="s">
        <v>741</v>
      </c>
      <c r="J206" s="406" t="s">
        <v>740</v>
      </c>
      <c r="K206" s="757">
        <v>167343</v>
      </c>
      <c r="L206" s="406" t="s">
        <v>1036</v>
      </c>
      <c r="M206" s="406" t="s">
        <v>1037</v>
      </c>
      <c r="N206" s="630">
        <v>97.608249999999998</v>
      </c>
      <c r="O206" s="630">
        <v>24.000250000000001</v>
      </c>
      <c r="P206" s="753"/>
      <c r="Q206" s="663">
        <v>219</v>
      </c>
      <c r="R206" s="755">
        <v>891</v>
      </c>
      <c r="S206" s="732">
        <f>IF(CampList[[#This Row],[HH]]&gt;0,CampList[[#This Row],[Total]]/CampList[[#This Row],[HH]],"NA")</f>
        <v>4.0684931506849313</v>
      </c>
      <c r="T206" s="722" t="s">
        <v>514</v>
      </c>
      <c r="U206" s="726" t="s">
        <v>1193</v>
      </c>
      <c r="V206" s="722" t="s">
        <v>555</v>
      </c>
      <c r="W206" s="722" t="s">
        <v>857</v>
      </c>
      <c r="X206" s="754">
        <v>40817</v>
      </c>
      <c r="Y206" s="753"/>
      <c r="Z206" s="742" t="s">
        <v>1091</v>
      </c>
      <c r="AA206" s="736" t="s">
        <v>843</v>
      </c>
      <c r="AB206" s="736"/>
      <c r="AC206" s="744">
        <v>42397</v>
      </c>
      <c r="AD206" s="656" t="s">
        <v>1332</v>
      </c>
      <c r="AE206" s="755" t="s">
        <v>1080</v>
      </c>
      <c r="AF206" s="663">
        <f>IF(CampList[[#This Row],[Type of Accomodation]]="camp",MAX(0,CampList[[#This Row],[HH]]-SUMIF(Table_Shelter[Pcode],CampList[[#This Row],[CP_Pcode]],Table_Shelter[HH Covered])),0)</f>
        <v>99</v>
      </c>
      <c r="AG206" s="722"/>
      <c r="AH206" s="736">
        <f>MIN(CampList[[#This Row],[Shelter Gap]],CampList[[#This Row],[Land Status]])</f>
        <v>99</v>
      </c>
      <c r="AI206" s="722" t="str">
        <f ca="1">IFERROR(OFFSET(DistanceToCamp[Nearest Town],MATCH(CampList[[#This Row],[CP_Pcode]],DistanceToCamp[CP_Pcode],0)-1,0,1,1),"")</f>
        <v>Namhkan Town</v>
      </c>
      <c r="AJ206" s="739">
        <f ca="1">IFERROR(OFFSET(DistanceToCamp[distance],MATCH(CampList[[#This Row],[CP_Pcode]],DistanceToCamp[CP_Pcode],0)-1,0,1,1),"")</f>
        <v>19.631786732140053</v>
      </c>
      <c r="AK206" s="740">
        <f ca="1">IFERROR(INT(CampList[[#This Row],[Distance]]/5)+1,"")</f>
        <v>4</v>
      </c>
    </row>
    <row r="207" spans="1:37" s="511" customFormat="1" ht="15.6" customHeight="1" x14ac:dyDescent="0.25">
      <c r="A207" s="656" t="s">
        <v>501</v>
      </c>
      <c r="B207" s="406" t="s">
        <v>380</v>
      </c>
      <c r="C207" s="406" t="s">
        <v>526</v>
      </c>
      <c r="D207" s="406" t="s">
        <v>300</v>
      </c>
      <c r="E207" s="406" t="s">
        <v>547</v>
      </c>
      <c r="F207" s="406" t="s">
        <v>300</v>
      </c>
      <c r="G207" s="406" t="s">
        <v>553</v>
      </c>
      <c r="H207" s="406" t="s">
        <v>1031</v>
      </c>
      <c r="I207" s="406" t="s">
        <v>1032</v>
      </c>
      <c r="J207" s="406" t="s">
        <v>1042</v>
      </c>
      <c r="K207" s="406">
        <v>217032</v>
      </c>
      <c r="L207" s="406" t="s">
        <v>1043</v>
      </c>
      <c r="M207" s="406" t="s">
        <v>1045</v>
      </c>
      <c r="N207" s="752">
        <v>97.561105999999995</v>
      </c>
      <c r="O207" s="752">
        <v>27.248964999999998</v>
      </c>
      <c r="P207" s="753">
        <v>398</v>
      </c>
      <c r="Q207" s="663">
        <v>10</v>
      </c>
      <c r="R207" s="755">
        <v>56</v>
      </c>
      <c r="S207" s="732">
        <f>IF(CampList[[#This Row],[HH]]&gt;0,CampList[[#This Row],[Total]]/CampList[[#This Row],[HH]],"NA")</f>
        <v>5.6</v>
      </c>
      <c r="T207" s="722" t="s">
        <v>512</v>
      </c>
      <c r="U207" s="726" t="s">
        <v>1193</v>
      </c>
      <c r="V207" s="722" t="s">
        <v>12</v>
      </c>
      <c r="W207" s="722" t="s">
        <v>857</v>
      </c>
      <c r="X207" s="754">
        <v>41487</v>
      </c>
      <c r="Y207" s="753"/>
      <c r="Z207" s="736"/>
      <c r="AA207" s="736" t="s">
        <v>843</v>
      </c>
      <c r="AB207" s="736"/>
      <c r="AC207" s="744">
        <v>41736</v>
      </c>
      <c r="AD207" s="728" t="s">
        <v>1044</v>
      </c>
      <c r="AE207" s="755" t="s">
        <v>1081</v>
      </c>
      <c r="AF207" s="663">
        <f>IF(CampList[[#This Row],[Type of Accomodation]]="camp",MAX(0,CampList[[#This Row],[HH]]-SUMIF(Table_Shelter[Pcode],CampList[[#This Row],[CP_Pcode]],Table_Shelter[HH Covered])),0)</f>
        <v>0</v>
      </c>
      <c r="AG207" s="722"/>
      <c r="AH207" s="736">
        <f>MIN(CampList[[#This Row],[Shelter Gap]],CampList[[#This Row],[Land Status]])</f>
        <v>0</v>
      </c>
      <c r="AI207" s="722" t="str">
        <f ca="1">IFERROR(OFFSET(DistanceToCamp[Nearest Town],MATCH(CampList[[#This Row],[CP_Pcode]],DistanceToCamp[CP_Pcode],0)-1,0,1,1),"")</f>
        <v>Machanbaw Town</v>
      </c>
      <c r="AJ207" s="739">
        <f ca="1">IFERROR(OFFSET(DistanceToCamp[distance],MATCH(CampList[[#This Row],[CP_Pcode]],DistanceToCamp[CP_Pcode],0)-1,0,1,1),"")</f>
        <v>4.789460146835963</v>
      </c>
      <c r="AK207" s="740">
        <f ca="1">IFERROR(INT(CampList[[#This Row],[Distance]]/5)+1,"")</f>
        <v>1</v>
      </c>
    </row>
    <row r="208" spans="1:37" s="511" customFormat="1" ht="15.6" customHeight="1" x14ac:dyDescent="0.25">
      <c r="A208" s="756" t="s">
        <v>501</v>
      </c>
      <c r="B208" s="214" t="s">
        <v>380</v>
      </c>
      <c r="C208" s="214" t="s">
        <v>526</v>
      </c>
      <c r="D208" s="214" t="s">
        <v>5</v>
      </c>
      <c r="E208" s="214" t="s">
        <v>530</v>
      </c>
      <c r="F208" s="214" t="s">
        <v>151</v>
      </c>
      <c r="G208" s="214" t="s">
        <v>540</v>
      </c>
      <c r="H208" s="214" t="s">
        <v>661</v>
      </c>
      <c r="I208" s="757" t="s">
        <v>662</v>
      </c>
      <c r="J208" s="728" t="s">
        <v>661</v>
      </c>
      <c r="K208" s="763">
        <v>167405</v>
      </c>
      <c r="L208" s="214" t="s">
        <v>1063</v>
      </c>
      <c r="M208" s="214" t="s">
        <v>1064</v>
      </c>
      <c r="N208" s="752">
        <v>97.578367</v>
      </c>
      <c r="O208" s="752">
        <v>23.833477999999999</v>
      </c>
      <c r="P208" s="753">
        <v>925</v>
      </c>
      <c r="Q208" s="663">
        <v>123</v>
      </c>
      <c r="R208" s="755">
        <v>555</v>
      </c>
      <c r="S208" s="732">
        <f>IF(CampList[[#This Row],[HH]]&gt;0,CampList[[#This Row],[Total]]/CampList[[#This Row],[HH]],"NA")</f>
        <v>4.5121951219512191</v>
      </c>
      <c r="T208" s="663" t="s">
        <v>512</v>
      </c>
      <c r="U208" s="722" t="s">
        <v>1193</v>
      </c>
      <c r="V208" s="663" t="s">
        <v>555</v>
      </c>
      <c r="W208" s="663" t="s">
        <v>857</v>
      </c>
      <c r="X208" s="754">
        <v>41791</v>
      </c>
      <c r="Y208" s="729"/>
      <c r="Z208" s="729" t="s">
        <v>1091</v>
      </c>
      <c r="AA208" s="752" t="s">
        <v>843</v>
      </c>
      <c r="AB208" s="752"/>
      <c r="AC208" s="744">
        <v>42416</v>
      </c>
      <c r="AD208" s="758" t="s">
        <v>1338</v>
      </c>
      <c r="AE208" s="759" t="s">
        <v>1095</v>
      </c>
      <c r="AF208" s="760">
        <f>IF(CampList[[#This Row],[Type of Accomodation]]="camp",MAX(0,CampList[[#This Row],[HH]]-SUMIF(Table_Shelter[Pcode],CampList[[#This Row],[CP_Pcode]],Table_Shelter[HH Covered])),0)</f>
        <v>123</v>
      </c>
      <c r="AG208" s="722"/>
      <c r="AH208" s="736">
        <f>MIN(CampList[[#This Row],[Shelter Gap]],CampList[[#This Row],[Land Status]])</f>
        <v>123</v>
      </c>
      <c r="AI208" s="760" t="str">
        <f ca="1">IFERROR(OFFSET(DistanceToCamp[Nearest Town],MATCH(CampList[[#This Row],[CP_Pcode]],DistanceToCamp[CP_Pcode],0)-1,0,1,1),"")</f>
        <v>Namhkan Town</v>
      </c>
      <c r="AJ208" s="739">
        <f ca="1">IFERROR(OFFSET(DistanceToCamp[distance],MATCH(CampList[[#This Row],[CP_Pcode]],DistanceToCamp[CP_Pcode],0)-1,0,1,1),"")</f>
        <v>10.527586947557506</v>
      </c>
      <c r="AK208" s="761">
        <f ca="1">IFERROR(INT(CampList[[#This Row],[Distance]]/5)+1,"")</f>
        <v>3</v>
      </c>
    </row>
    <row r="209" spans="1:37" s="511" customFormat="1" ht="15.6" customHeight="1" x14ac:dyDescent="0.25">
      <c r="A209" s="656" t="s">
        <v>501</v>
      </c>
      <c r="B209" s="406" t="s">
        <v>380</v>
      </c>
      <c r="C209" s="406" t="s">
        <v>526</v>
      </c>
      <c r="D209" s="406" t="s">
        <v>180</v>
      </c>
      <c r="E209" s="406" t="s">
        <v>527</v>
      </c>
      <c r="F209" s="406" t="s">
        <v>528</v>
      </c>
      <c r="G209" s="406" t="s">
        <v>529</v>
      </c>
      <c r="H209" s="728" t="s">
        <v>610</v>
      </c>
      <c r="I209" s="728" t="s">
        <v>611</v>
      </c>
      <c r="J209" s="728" t="s">
        <v>610</v>
      </c>
      <c r="K209" s="728">
        <v>166776</v>
      </c>
      <c r="L209" s="406" t="s">
        <v>1067</v>
      </c>
      <c r="M209" s="406" t="s">
        <v>1068</v>
      </c>
      <c r="N209" s="630">
        <v>96.312790000000007</v>
      </c>
      <c r="O209" s="630">
        <v>25.611160000000002</v>
      </c>
      <c r="P209" s="753"/>
      <c r="Q209" s="663">
        <v>105</v>
      </c>
      <c r="R209" s="663">
        <v>506</v>
      </c>
      <c r="S209" s="732">
        <f>IF(CampList[[#This Row],[HH]]&gt;0,CampList[[#This Row],[Total]]/CampList[[#This Row],[HH]],"NA")</f>
        <v>4.8190476190476188</v>
      </c>
      <c r="T209" s="722" t="s">
        <v>512</v>
      </c>
      <c r="U209" s="726" t="s">
        <v>1193</v>
      </c>
      <c r="V209" s="722" t="s">
        <v>555</v>
      </c>
      <c r="W209" s="722" t="s">
        <v>804</v>
      </c>
      <c r="X209" s="754">
        <v>41122</v>
      </c>
      <c r="Y209" s="729"/>
      <c r="Z209" s="734" t="s">
        <v>461</v>
      </c>
      <c r="AA209" s="736" t="s">
        <v>843</v>
      </c>
      <c r="AB209" s="736"/>
      <c r="AC209" s="744">
        <v>42569</v>
      </c>
      <c r="AD209" s="728" t="s">
        <v>1495</v>
      </c>
      <c r="AE209" s="755" t="s">
        <v>1095</v>
      </c>
      <c r="AF209" s="663">
        <f>IF(CampList[[#This Row],[Type of Accomodation]]="camp",MAX(0,CampList[[#This Row],[HH]]-SUMIF(Table_Shelter[Pcode],CampList[[#This Row],[CP_Pcode]],Table_Shelter[HH Covered])),0)</f>
        <v>105</v>
      </c>
      <c r="AG209" s="722"/>
      <c r="AH209" s="736">
        <f>MIN(CampList[[#This Row],[Shelter Gap]],CampList[[#This Row],[Land Status]])</f>
        <v>105</v>
      </c>
      <c r="AI209" s="722" t="str">
        <f ca="1">IFERROR(OFFSET(DistanceToCamp[Nearest Town],MATCH(CampList[[#This Row],[CP_Pcode]],DistanceToCamp[CP_Pcode],0)-1,0,1,1),"")</f>
        <v>Hpakant Town</v>
      </c>
      <c r="AJ209" s="739">
        <f ca="1">IFERROR(OFFSET(DistanceToCamp[distance],MATCH(CampList[[#This Row],[CP_Pcode]],DistanceToCamp[CP_Pcode],0)-1,0,1,1),"")</f>
        <v>0.19374952337076978</v>
      </c>
      <c r="AK209" s="740">
        <f ca="1">IFERROR(INT(CampList[[#This Row],[Distance]]/5)+1,"")</f>
        <v>1</v>
      </c>
    </row>
    <row r="210" spans="1:37" s="511" customFormat="1" ht="15.6" customHeight="1" x14ac:dyDescent="0.25">
      <c r="A210" s="656" t="s">
        <v>501</v>
      </c>
      <c r="B210" s="406" t="s">
        <v>380</v>
      </c>
      <c r="C210" s="406" t="s">
        <v>526</v>
      </c>
      <c r="D210" s="406" t="s">
        <v>5</v>
      </c>
      <c r="E210" s="406" t="s">
        <v>530</v>
      </c>
      <c r="F210" s="406" t="s">
        <v>151</v>
      </c>
      <c r="G210" s="406" t="s">
        <v>540</v>
      </c>
      <c r="H210" s="406" t="s">
        <v>661</v>
      </c>
      <c r="I210" s="406" t="s">
        <v>662</v>
      </c>
      <c r="J210" s="406" t="s">
        <v>661</v>
      </c>
      <c r="K210" s="406">
        <v>167405</v>
      </c>
      <c r="L210" s="406" t="s">
        <v>1097</v>
      </c>
      <c r="M210" s="406" t="s">
        <v>1098</v>
      </c>
      <c r="N210" s="752">
        <v>97.590767</v>
      </c>
      <c r="O210" s="752">
        <v>23.829599000000002</v>
      </c>
      <c r="P210" s="753"/>
      <c r="Q210" s="663">
        <v>113</v>
      </c>
      <c r="R210" s="663">
        <v>476</v>
      </c>
      <c r="S210" s="732">
        <f>IF(CampList[[#This Row],[HH]]&gt;0,CampList[[#This Row],[Total]]/CampList[[#This Row],[HH]],"NA")</f>
        <v>4.2123893805309738</v>
      </c>
      <c r="T210" s="722" t="s">
        <v>512</v>
      </c>
      <c r="U210" s="726" t="s">
        <v>1193</v>
      </c>
      <c r="V210" s="722" t="s">
        <v>555</v>
      </c>
      <c r="W210" s="722" t="s">
        <v>857</v>
      </c>
      <c r="X210" s="754">
        <v>41730</v>
      </c>
      <c r="Y210" s="729"/>
      <c r="Z210" s="734" t="s">
        <v>461</v>
      </c>
      <c r="AA210" s="736" t="s">
        <v>843</v>
      </c>
      <c r="AB210" s="736"/>
      <c r="AC210" s="744">
        <v>42569</v>
      </c>
      <c r="AD210" s="728" t="s">
        <v>1485</v>
      </c>
      <c r="AE210" s="755" t="s">
        <v>1009</v>
      </c>
      <c r="AF210" s="663">
        <f>IF(CampList[[#This Row],[Type of Accomodation]]="camp",MAX(0,CampList[[#This Row],[HH]]-SUMIF(Table_Shelter[Pcode],CampList[[#This Row],[CP_Pcode]],Table_Shelter[HH Covered])),0)</f>
        <v>113</v>
      </c>
      <c r="AG210" s="722"/>
      <c r="AH210" s="736">
        <f>MIN(CampList[[#This Row],[Shelter Gap]],CampList[[#This Row],[Land Status]])</f>
        <v>113</v>
      </c>
      <c r="AI210" s="722" t="str">
        <f ca="1">IFERROR(OFFSET(DistanceToCamp[Nearest Town],MATCH(CampList[[#This Row],[CP_Pcode]],DistanceToCamp[CP_Pcode],0)-1,0,1,1),"")</f>
        <v>Namhkan Town</v>
      </c>
      <c r="AJ210" s="739">
        <f ca="1">IFERROR(OFFSET(DistanceToCamp[distance],MATCH(CampList[[#This Row],[CP_Pcode]],DistanceToCamp[CP_Pcode],0)-1,0,1,1),"")</f>
        <v>9.2957189123335944</v>
      </c>
      <c r="AK210" s="740">
        <f ca="1">IFERROR(INT(CampList[[#This Row],[Distance]]/5)+1,"")</f>
        <v>2</v>
      </c>
    </row>
    <row r="211" spans="1:37" s="511" customFormat="1" ht="15.6" customHeight="1" x14ac:dyDescent="0.25">
      <c r="A211" s="656" t="s">
        <v>501</v>
      </c>
      <c r="B211" s="406" t="s">
        <v>554</v>
      </c>
      <c r="C211" s="406" t="s">
        <v>537</v>
      </c>
      <c r="D211" s="406" t="s">
        <v>542</v>
      </c>
      <c r="E211" s="406" t="s">
        <v>543</v>
      </c>
      <c r="F211" s="406" t="s">
        <v>166</v>
      </c>
      <c r="G211" s="406" t="s">
        <v>544</v>
      </c>
      <c r="H211" s="748" t="s">
        <v>804</v>
      </c>
      <c r="I211" s="780" t="s">
        <v>1136</v>
      </c>
      <c r="J211" s="214" t="s">
        <v>717</v>
      </c>
      <c r="K211" s="214" t="s">
        <v>1404</v>
      </c>
      <c r="L211" s="406" t="s">
        <v>167</v>
      </c>
      <c r="M211" s="406" t="s">
        <v>165</v>
      </c>
      <c r="N211" s="630">
        <v>97.124403000000001</v>
      </c>
      <c r="O211" s="630">
        <v>23.250678000000001</v>
      </c>
      <c r="P211" s="741">
        <v>1250</v>
      </c>
      <c r="Q211" s="663">
        <v>37</v>
      </c>
      <c r="R211" s="663">
        <v>159</v>
      </c>
      <c r="S211" s="732">
        <f>IF(CampList[[#This Row],[HH]]&gt;0,CampList[[#This Row],[Total]]/CampList[[#This Row],[HH]],"NA")</f>
        <v>4.2972972972972974</v>
      </c>
      <c r="T211" s="722" t="s">
        <v>512</v>
      </c>
      <c r="U211" s="726" t="s">
        <v>1193</v>
      </c>
      <c r="V211" s="722" t="s">
        <v>555</v>
      </c>
      <c r="W211" s="726" t="s">
        <v>804</v>
      </c>
      <c r="X211" s="742">
        <v>41000</v>
      </c>
      <c r="Y211" s="743">
        <v>1</v>
      </c>
      <c r="Z211" s="742" t="s">
        <v>461</v>
      </c>
      <c r="AA211" s="735" t="s">
        <v>843</v>
      </c>
      <c r="AB211" s="736"/>
      <c r="AC211" s="744">
        <v>42569</v>
      </c>
      <c r="AD211" s="656" t="s">
        <v>1489</v>
      </c>
      <c r="AE211" s="759" t="s">
        <v>1080</v>
      </c>
      <c r="AF211" s="663">
        <f>IF(CampList[[#This Row],[Type of Accomodation]]="camp",MAX(0,CampList[[#This Row],[HH]]-SUMIF(Table_Shelter[Pcode],CampList[[#This Row],[CP_Pcode]],Table_Shelter[HH Covered])),0)</f>
        <v>0</v>
      </c>
      <c r="AG211" s="722"/>
      <c r="AH211" s="736">
        <f>MIN(CampList[[#This Row],[Shelter Gap]],CampList[[#This Row],[Land Status]])</f>
        <v>0</v>
      </c>
      <c r="AI211" s="722" t="str">
        <f ca="1">IFERROR(OFFSET(DistanceToCamp[Nearest Town],MATCH(CampList[[#This Row],[CP_Pcode]],DistanceToCamp[CP_Pcode],0)-1,0,1,1),"")</f>
        <v>Manton Town</v>
      </c>
      <c r="AJ211" s="739">
        <f ca="1">IFERROR(OFFSET(DistanceToCamp[distance],MATCH(CampList[[#This Row],[CP_Pcode]],DistanceToCamp[CP_Pcode],0)-1,0,1,1),"")</f>
        <v>0.43878855438285824</v>
      </c>
      <c r="AK211" s="740">
        <f ca="1">IFERROR(INT(CampList[[#This Row],[Distance]]/5)+1,"")</f>
        <v>1</v>
      </c>
    </row>
    <row r="212" spans="1:37" s="511" customFormat="1" ht="15.6" customHeight="1" x14ac:dyDescent="0.25">
      <c r="A212" s="656" t="s">
        <v>501</v>
      </c>
      <c r="B212" s="406" t="s">
        <v>554</v>
      </c>
      <c r="C212" s="406" t="s">
        <v>537</v>
      </c>
      <c r="D212" s="406" t="s">
        <v>230</v>
      </c>
      <c r="E212" s="406" t="s">
        <v>543</v>
      </c>
      <c r="F212" s="406" t="s">
        <v>230</v>
      </c>
      <c r="G212" s="406" t="s">
        <v>544</v>
      </c>
      <c r="H212" s="406" t="s">
        <v>1074</v>
      </c>
      <c r="I212" s="406" t="s">
        <v>1075</v>
      </c>
      <c r="J212" s="406" t="s">
        <v>1076</v>
      </c>
      <c r="K212" s="406"/>
      <c r="L212" s="406" t="s">
        <v>169</v>
      </c>
      <c r="M212" s="406" t="s">
        <v>168</v>
      </c>
      <c r="N212" s="630">
        <v>98.116817999999995</v>
      </c>
      <c r="O212" s="630">
        <v>23.917631</v>
      </c>
      <c r="P212" s="753"/>
      <c r="Q212" s="730">
        <v>32</v>
      </c>
      <c r="R212" s="731"/>
      <c r="S212" s="732">
        <f>IF(CampList[[#This Row],[HH]]&gt;0,CampList[[#This Row],[Total]]/CampList[[#This Row],[HH]],"NA")</f>
        <v>0</v>
      </c>
      <c r="T212" s="722" t="s">
        <v>512</v>
      </c>
      <c r="U212" s="726" t="s">
        <v>1193</v>
      </c>
      <c r="V212" s="722" t="s">
        <v>12</v>
      </c>
      <c r="W212" s="722" t="s">
        <v>857</v>
      </c>
      <c r="X212" s="733"/>
      <c r="Y212" s="729"/>
      <c r="Z212" s="734"/>
      <c r="AA212" s="735"/>
      <c r="AB212" s="736"/>
      <c r="AC212" s="744">
        <v>41701</v>
      </c>
      <c r="AD212" s="656" t="s">
        <v>1013</v>
      </c>
      <c r="AE212" s="755" t="s">
        <v>1081</v>
      </c>
      <c r="AF212" s="663">
        <f>IF(CampList[[#This Row],[Type of Accomodation]]="camp",MAX(0,CampList[[#This Row],[HH]]-SUMIF(Table_Shelter[Pcode],CampList[[#This Row],[CP_Pcode]],Table_Shelter[HH Covered])),0)</f>
        <v>0</v>
      </c>
      <c r="AG212" s="722"/>
      <c r="AH212" s="736">
        <f>MIN(CampList[[#This Row],[Shelter Gap]],CampList[[#This Row],[Land Status]])</f>
        <v>0</v>
      </c>
      <c r="AI212" s="722" t="str">
        <f ca="1">IFERROR(OFFSET(DistanceToCamp[Nearest Town],MATCH(CampList[[#This Row],[CP_Pcode]],DistanceToCamp[CP_Pcode],0)-1,0,1,1),"")</f>
        <v>Pang Hseng (Kyu Koke) Town</v>
      </c>
      <c r="AJ212" s="739">
        <f ca="1">IFERROR(OFFSET(DistanceToCamp[distance],MATCH(CampList[[#This Row],[CP_Pcode]],DistanceToCamp[CP_Pcode],0)-1,0,1,1),"")</f>
        <v>18.405283544772924</v>
      </c>
      <c r="AK212" s="740">
        <f ca="1">IFERROR(INT(CampList[[#This Row],[Distance]]/5)+1,"")</f>
        <v>4</v>
      </c>
    </row>
    <row r="213" spans="1:37" s="511" customFormat="1" ht="15.6" customHeight="1" x14ac:dyDescent="0.25">
      <c r="A213" s="656" t="s">
        <v>501</v>
      </c>
      <c r="B213" s="406" t="s">
        <v>554</v>
      </c>
      <c r="C213" s="406" t="s">
        <v>537</v>
      </c>
      <c r="D213" s="406" t="s">
        <v>230</v>
      </c>
      <c r="E213" s="406" t="s">
        <v>543</v>
      </c>
      <c r="F213" s="406" t="s">
        <v>230</v>
      </c>
      <c r="G213" s="406" t="s">
        <v>544</v>
      </c>
      <c r="H213" s="406" t="s">
        <v>1071</v>
      </c>
      <c r="I213" s="406" t="s">
        <v>1072</v>
      </c>
      <c r="J213" s="406" t="s">
        <v>1073</v>
      </c>
      <c r="K213" s="406">
        <v>208167</v>
      </c>
      <c r="L213" s="406" t="s">
        <v>171</v>
      </c>
      <c r="M213" s="406" t="s">
        <v>170</v>
      </c>
      <c r="N213" s="630">
        <v>98.129380999999995</v>
      </c>
      <c r="O213" s="630">
        <v>23.978088</v>
      </c>
      <c r="P213" s="753"/>
      <c r="Q213" s="730">
        <v>6</v>
      </c>
      <c r="R213" s="731"/>
      <c r="S213" s="732">
        <f>IF(CampList[[#This Row],[HH]]&gt;0,CampList[[#This Row],[Total]]/CampList[[#This Row],[HH]],"NA")</f>
        <v>0</v>
      </c>
      <c r="T213" s="722" t="s">
        <v>512</v>
      </c>
      <c r="U213" s="726" t="s">
        <v>1193</v>
      </c>
      <c r="V213" s="722" t="s">
        <v>12</v>
      </c>
      <c r="W213" s="726" t="s">
        <v>857</v>
      </c>
      <c r="X213" s="733"/>
      <c r="Y213" s="729"/>
      <c r="Z213" s="734"/>
      <c r="AA213" s="735"/>
      <c r="AB213" s="736"/>
      <c r="AC213" s="744">
        <v>41701</v>
      </c>
      <c r="AD213" s="656" t="s">
        <v>1013</v>
      </c>
      <c r="AE213" s="755" t="s">
        <v>1081</v>
      </c>
      <c r="AF213" s="663">
        <f>IF(CampList[[#This Row],[Type of Accomodation]]="camp",MAX(0,CampList[[#This Row],[HH]]-SUMIF(Table_Shelter[Pcode],CampList[[#This Row],[CP_Pcode]],Table_Shelter[HH Covered])),0)</f>
        <v>0</v>
      </c>
      <c r="AG213" s="722"/>
      <c r="AH213" s="736">
        <f>MIN(CampList[[#This Row],[Shelter Gap]],CampList[[#This Row],[Land Status]])</f>
        <v>0</v>
      </c>
      <c r="AI213" s="722" t="str">
        <f ca="1">IFERROR(OFFSET(DistanceToCamp[Nearest Town],MATCH(CampList[[#This Row],[CP_Pcode]],DistanceToCamp[CP_Pcode],0)-1,0,1,1),"")</f>
        <v>Pang Hseng (Kyu Koke) Town</v>
      </c>
      <c r="AJ213" s="739">
        <f ca="1">IFERROR(OFFSET(DistanceToCamp[distance],MATCH(CampList[[#This Row],[CP_Pcode]],DistanceToCamp[CP_Pcode],0)-1,0,1,1),"")</f>
        <v>12.794700705104317</v>
      </c>
      <c r="AK213" s="740">
        <f ca="1">IFERROR(INT(CampList[[#This Row],[Distance]]/5)+1,"")</f>
        <v>3</v>
      </c>
    </row>
    <row r="214" spans="1:37" s="512" customFormat="1" ht="15.6" hidden="1" customHeight="1" x14ac:dyDescent="0.25">
      <c r="A214" s="656" t="s">
        <v>844</v>
      </c>
      <c r="B214" s="406" t="s">
        <v>554</v>
      </c>
      <c r="C214" s="406" t="s">
        <v>537</v>
      </c>
      <c r="D214" s="406" t="s">
        <v>230</v>
      </c>
      <c r="E214" s="406" t="s">
        <v>538</v>
      </c>
      <c r="F214" s="406" t="s">
        <v>230</v>
      </c>
      <c r="G214" s="406" t="s">
        <v>539</v>
      </c>
      <c r="H214" s="748" t="s">
        <v>816</v>
      </c>
      <c r="I214" s="406" t="s">
        <v>1259</v>
      </c>
      <c r="J214" s="748" t="s">
        <v>817</v>
      </c>
      <c r="K214" s="748"/>
      <c r="L214" s="406" t="s">
        <v>233</v>
      </c>
      <c r="M214" s="406" t="s">
        <v>232</v>
      </c>
      <c r="N214" s="630">
        <v>98.320651999999995</v>
      </c>
      <c r="O214" s="630">
        <v>24.101320999999999</v>
      </c>
      <c r="P214" s="747">
        <v>2979</v>
      </c>
      <c r="Q214" s="730"/>
      <c r="R214" s="731"/>
      <c r="S214" s="732" t="str">
        <f>IF(CampList[[#This Row],[HH]]&gt;0,CampList[[#This Row],[Total]]/CampList[[#This Row],[HH]],"NA")</f>
        <v>NA</v>
      </c>
      <c r="T214" s="722" t="s">
        <v>514</v>
      </c>
      <c r="U214" s="726" t="s">
        <v>1193</v>
      </c>
      <c r="V214" s="722" t="s">
        <v>555</v>
      </c>
      <c r="W214" s="726" t="s">
        <v>804</v>
      </c>
      <c r="X214" s="742">
        <v>41091</v>
      </c>
      <c r="Y214" s="743">
        <v>1</v>
      </c>
      <c r="Z214" s="742" t="s">
        <v>461</v>
      </c>
      <c r="AA214" s="735" t="s">
        <v>843</v>
      </c>
      <c r="AB214" s="736"/>
      <c r="AC214" s="744">
        <v>42536</v>
      </c>
      <c r="AD214" s="656" t="s">
        <v>1416</v>
      </c>
      <c r="AE214" s="759" t="s">
        <v>1079</v>
      </c>
      <c r="AF214" s="663">
        <f>IF(CampList[[#This Row],[Type of Accomodation]]="camp",MAX(0,CampList[[#This Row],[HH]]-SUMIF(Table_Shelter[Pcode],CampList[[#This Row],[CP_Pcode]],Table_Shelter[HH Covered])),0)</f>
        <v>0</v>
      </c>
      <c r="AG214" s="722"/>
      <c r="AH214" s="736">
        <f>MIN(CampList[[#This Row],[Shelter Gap]],CampList[[#This Row],[Land Status]])</f>
        <v>0</v>
      </c>
      <c r="AI214" s="722" t="str">
        <f ca="1">IFERROR(OFFSET(DistanceToCamp[Nearest Town],MATCH(CampList[[#This Row],[CP_Pcode]],DistanceToCamp[CP_Pcode],0)-1,0,1,1),"")</f>
        <v>Monekoe Town</v>
      </c>
      <c r="AJ214" s="739">
        <f ca="1">IFERROR(OFFSET(DistanceToCamp[distance],MATCH(CampList[[#This Row],[CP_Pcode]],DistanceToCamp[CP_Pcode],0)-1,0,1,1),"")</f>
        <v>1.789574394782699</v>
      </c>
      <c r="AK214" s="740">
        <f ca="1">IFERROR(INT(CampList[[#This Row],[Distance]]/5)+1,"")</f>
        <v>1</v>
      </c>
    </row>
    <row r="215" spans="1:37" s="512" customFormat="1" ht="15.6" customHeight="1" x14ac:dyDescent="0.25">
      <c r="A215" s="656" t="s">
        <v>501</v>
      </c>
      <c r="B215" s="406" t="s">
        <v>554</v>
      </c>
      <c r="C215" s="406" t="s">
        <v>537</v>
      </c>
      <c r="D215" s="406" t="s">
        <v>542</v>
      </c>
      <c r="E215" s="406" t="s">
        <v>543</v>
      </c>
      <c r="F215" s="406" t="s">
        <v>298</v>
      </c>
      <c r="G215" s="406" t="s">
        <v>551</v>
      </c>
      <c r="H215" s="748" t="s">
        <v>818</v>
      </c>
      <c r="I215" s="406" t="s">
        <v>819</v>
      </c>
      <c r="J215" s="748" t="s">
        <v>820</v>
      </c>
      <c r="K215" s="748" t="s">
        <v>821</v>
      </c>
      <c r="L215" s="406" t="s">
        <v>822</v>
      </c>
      <c r="M215" s="406" t="s">
        <v>297</v>
      </c>
      <c r="N215" s="630">
        <v>97.404089999999997</v>
      </c>
      <c r="O215" s="630">
        <v>23.094290000000001</v>
      </c>
      <c r="P215" s="741">
        <v>534.29999999999995</v>
      </c>
      <c r="Q215" s="663">
        <v>9</v>
      </c>
      <c r="R215" s="663">
        <v>37</v>
      </c>
      <c r="S215" s="732">
        <f>IF(CampList[[#This Row],[HH]]&gt;0,CampList[[#This Row],[Total]]/CampList[[#This Row],[HH]],"NA")</f>
        <v>4.1111111111111107</v>
      </c>
      <c r="T215" s="722" t="s">
        <v>512</v>
      </c>
      <c r="U215" s="726" t="s">
        <v>1193</v>
      </c>
      <c r="V215" s="722" t="s">
        <v>555</v>
      </c>
      <c r="W215" s="726" t="s">
        <v>804</v>
      </c>
      <c r="X215" s="742">
        <v>41000</v>
      </c>
      <c r="Y215" s="743">
        <v>1</v>
      </c>
      <c r="Z215" s="742" t="s">
        <v>461</v>
      </c>
      <c r="AA215" s="735" t="s">
        <v>843</v>
      </c>
      <c r="AB215" s="736"/>
      <c r="AC215" s="744">
        <v>42569</v>
      </c>
      <c r="AD215" s="656" t="s">
        <v>1488</v>
      </c>
      <c r="AE215" s="759" t="s">
        <v>1081</v>
      </c>
      <c r="AF215" s="663">
        <f>IF(CampList[[#This Row],[Type of Accomodation]]="camp",MAX(0,CampList[[#This Row],[HH]]-SUMIF(Table_Shelter[Pcode],CampList[[#This Row],[CP_Pcode]],Table_Shelter[HH Covered])),0)</f>
        <v>0</v>
      </c>
      <c r="AG215" s="722"/>
      <c r="AH215" s="736">
        <f>MIN(CampList[[#This Row],[Shelter Gap]],CampList[[#This Row],[Land Status]])</f>
        <v>0</v>
      </c>
      <c r="AI215" s="722" t="str">
        <f ca="1">IFERROR(OFFSET(DistanceToCamp[Nearest Town],MATCH(CampList[[#This Row],[CP_Pcode]],DistanceToCamp[CP_Pcode],0)-1,0,1,1),"")</f>
        <v>Namtu Town</v>
      </c>
      <c r="AJ215" s="739">
        <f ca="1">IFERROR(OFFSET(DistanceToCamp[distance],MATCH(CampList[[#This Row],[CP_Pcode]],DistanceToCamp[CP_Pcode],0)-1,0,1,1),"")</f>
        <v>0.37588352961435612</v>
      </c>
      <c r="AK215" s="740">
        <f ca="1">IFERROR(INT(CampList[[#This Row],[Distance]]/5)+1,"")</f>
        <v>1</v>
      </c>
    </row>
    <row r="216" spans="1:37" s="512" customFormat="1" ht="15.6" customHeight="1" x14ac:dyDescent="0.25">
      <c r="A216" s="656" t="s">
        <v>501</v>
      </c>
      <c r="B216" s="406" t="s">
        <v>554</v>
      </c>
      <c r="C216" s="406" t="s">
        <v>537</v>
      </c>
      <c r="D216" s="406" t="s">
        <v>230</v>
      </c>
      <c r="E216" s="406" t="s">
        <v>538</v>
      </c>
      <c r="F216" s="406" t="s">
        <v>146</v>
      </c>
      <c r="G216" s="406" t="s">
        <v>545</v>
      </c>
      <c r="H216" s="748" t="s">
        <v>767</v>
      </c>
      <c r="I216" s="406" t="s">
        <v>768</v>
      </c>
      <c r="J216" s="748" t="s">
        <v>769</v>
      </c>
      <c r="K216" s="748">
        <v>208557</v>
      </c>
      <c r="L216" s="406" t="s">
        <v>372</v>
      </c>
      <c r="M216" s="406" t="s">
        <v>382</v>
      </c>
      <c r="N216" s="630">
        <v>97.848529999999997</v>
      </c>
      <c r="O216" s="630">
        <v>23.4008</v>
      </c>
      <c r="P216" s="741">
        <v>0</v>
      </c>
      <c r="Q216" s="663">
        <v>88</v>
      </c>
      <c r="R216" s="663">
        <v>505</v>
      </c>
      <c r="S216" s="732">
        <f>IF(CampList[[#This Row],[HH]]&gt;0,CampList[[#This Row],[Total]]/CampList[[#This Row],[HH]],"NA")</f>
        <v>5.7386363636363633</v>
      </c>
      <c r="T216" s="722" t="s">
        <v>512</v>
      </c>
      <c r="U216" s="726" t="s">
        <v>1193</v>
      </c>
      <c r="V216" s="722" t="s">
        <v>555</v>
      </c>
      <c r="W216" s="726" t="s">
        <v>857</v>
      </c>
      <c r="X216" s="742">
        <v>41275</v>
      </c>
      <c r="Y216" s="743"/>
      <c r="Z216" s="742" t="s">
        <v>461</v>
      </c>
      <c r="AA216" s="735" t="s">
        <v>843</v>
      </c>
      <c r="AB216" s="736"/>
      <c r="AC216" s="744">
        <v>42569</v>
      </c>
      <c r="AD216" s="656" t="s">
        <v>1498</v>
      </c>
      <c r="AE216" s="759" t="s">
        <v>1081</v>
      </c>
      <c r="AF216" s="663">
        <f>IF(CampList[[#This Row],[Type of Accomodation]]="camp",MAX(0,CampList[[#This Row],[HH]]-SUMIF(Table_Shelter[Pcode],CampList[[#This Row],[CP_Pcode]],Table_Shelter[HH Covered])),0)</f>
        <v>0</v>
      </c>
      <c r="AG216" s="722"/>
      <c r="AH216" s="736">
        <f>MIN(CampList[[#This Row],[Shelter Gap]],CampList[[#This Row],[Land Status]])</f>
        <v>0</v>
      </c>
      <c r="AI216" s="722" t="str">
        <f ca="1">IFERROR(OFFSET(DistanceToCamp[Nearest Town],MATCH(CampList[[#This Row],[CP_Pcode]],DistanceToCamp[CP_Pcode],0)-1,0,1,1),"")</f>
        <v>Kutkai Town</v>
      </c>
      <c r="AJ216" s="739">
        <f ca="1">IFERROR(OFFSET(DistanceToCamp[distance],MATCH(CampList[[#This Row],[CP_Pcode]],DistanceToCamp[CP_Pcode],0)-1,0,1,1),"")</f>
        <v>11.65743881259678</v>
      </c>
      <c r="AK216" s="740">
        <f ca="1">IFERROR(INT(CampList[[#This Row],[Distance]]/5)+1,"")</f>
        <v>3</v>
      </c>
    </row>
    <row r="217" spans="1:37" s="512" customFormat="1" ht="15.6" customHeight="1" x14ac:dyDescent="0.25">
      <c r="A217" s="656" t="s">
        <v>501</v>
      </c>
      <c r="B217" s="406" t="s">
        <v>554</v>
      </c>
      <c r="C217" s="406" t="s">
        <v>537</v>
      </c>
      <c r="D217" s="406" t="s">
        <v>230</v>
      </c>
      <c r="E217" s="406" t="s">
        <v>538</v>
      </c>
      <c r="F217" s="406" t="s">
        <v>146</v>
      </c>
      <c r="G217" s="406" t="s">
        <v>545</v>
      </c>
      <c r="H217" s="406" t="s">
        <v>730</v>
      </c>
      <c r="I217" s="406" t="s">
        <v>731</v>
      </c>
      <c r="J217" s="406" t="s">
        <v>732</v>
      </c>
      <c r="K217" s="406" t="s">
        <v>733</v>
      </c>
      <c r="L217" s="406" t="s">
        <v>369</v>
      </c>
      <c r="M217" s="406" t="s">
        <v>383</v>
      </c>
      <c r="N217" s="630">
        <v>97.926813999999993</v>
      </c>
      <c r="O217" s="630">
        <v>23.450914000000001</v>
      </c>
      <c r="P217" s="741">
        <v>4336</v>
      </c>
      <c r="Q217" s="663">
        <v>63</v>
      </c>
      <c r="R217" s="663">
        <v>286</v>
      </c>
      <c r="S217" s="732">
        <f>IF(CampList[[#This Row],[HH]]&gt;0,CampList[[#This Row],[Total]]/CampList[[#This Row],[HH]],"NA")</f>
        <v>4.5396825396825395</v>
      </c>
      <c r="T217" s="722" t="s">
        <v>512</v>
      </c>
      <c r="U217" s="726" t="s">
        <v>1193</v>
      </c>
      <c r="V217" s="722" t="s">
        <v>555</v>
      </c>
      <c r="W217" s="726" t="s">
        <v>804</v>
      </c>
      <c r="X217" s="742">
        <v>41244</v>
      </c>
      <c r="Y217" s="743">
        <v>2</v>
      </c>
      <c r="Z217" s="742" t="s">
        <v>461</v>
      </c>
      <c r="AA217" s="735" t="s">
        <v>843</v>
      </c>
      <c r="AB217" s="736"/>
      <c r="AC217" s="744">
        <v>42569</v>
      </c>
      <c r="AD217" s="656" t="s">
        <v>1490</v>
      </c>
      <c r="AE217" s="759" t="s">
        <v>1081</v>
      </c>
      <c r="AF217" s="663">
        <f>IF(CampList[[#This Row],[Type of Accomodation]]="camp",MAX(0,CampList[[#This Row],[HH]]-SUMIF(Table_Shelter[Pcode],CampList[[#This Row],[CP_Pcode]],Table_Shelter[HH Covered])),0)</f>
        <v>0</v>
      </c>
      <c r="AG217" s="722"/>
      <c r="AH217" s="736">
        <f>MIN(CampList[[#This Row],[Shelter Gap]],CampList[[#This Row],[Land Status]])</f>
        <v>0</v>
      </c>
      <c r="AI217" s="722" t="str">
        <f ca="1">IFERROR(OFFSET(DistanceToCamp[Nearest Town],MATCH(CampList[[#This Row],[CP_Pcode]],DistanceToCamp[CP_Pcode],0)-1,0,1,1),"")</f>
        <v>Kutkai Town</v>
      </c>
      <c r="AJ217" s="739">
        <f ca="1">IFERROR(OFFSET(DistanceToCamp[distance],MATCH(CampList[[#This Row],[CP_Pcode]],DistanceToCamp[CP_Pcode],0)-1,0,1,1),"")</f>
        <v>1.9281430163271129</v>
      </c>
      <c r="AK217" s="740">
        <f ca="1">IFERROR(INT(CampList[[#This Row],[Distance]]/5)+1,"")</f>
        <v>1</v>
      </c>
    </row>
    <row r="218" spans="1:37" s="512" customFormat="1" ht="15.6" customHeight="1" x14ac:dyDescent="0.25">
      <c r="A218" s="656" t="s">
        <v>501</v>
      </c>
      <c r="B218" s="406" t="s">
        <v>380</v>
      </c>
      <c r="C218" s="406" t="s">
        <v>526</v>
      </c>
      <c r="D218" s="406" t="s">
        <v>180</v>
      </c>
      <c r="E218" s="406" t="s">
        <v>527</v>
      </c>
      <c r="F218" s="406" t="s">
        <v>528</v>
      </c>
      <c r="G218" s="406" t="s">
        <v>529</v>
      </c>
      <c r="H218" s="406" t="s">
        <v>613</v>
      </c>
      <c r="I218" s="406" t="s">
        <v>614</v>
      </c>
      <c r="J218" s="406" t="s">
        <v>761</v>
      </c>
      <c r="K218" s="406">
        <v>216877</v>
      </c>
      <c r="L218" s="406" t="s">
        <v>1122</v>
      </c>
      <c r="M218" s="406" t="s">
        <v>1123</v>
      </c>
      <c r="N218" s="752"/>
      <c r="O218" s="752"/>
      <c r="P218" s="753"/>
      <c r="Q218" s="663">
        <v>50</v>
      </c>
      <c r="R218" s="663">
        <v>241</v>
      </c>
      <c r="S218" s="732">
        <f>IF(CampList[[#This Row],[HH]]&gt;0,CampList[[#This Row],[Total]]/CampList[[#This Row],[HH]],"NA")</f>
        <v>4.82</v>
      </c>
      <c r="T218" s="722" t="s">
        <v>512</v>
      </c>
      <c r="U218" s="726" t="s">
        <v>1193</v>
      </c>
      <c r="V218" s="722" t="s">
        <v>555</v>
      </c>
      <c r="W218" s="722" t="s">
        <v>857</v>
      </c>
      <c r="X218" s="773">
        <v>42019</v>
      </c>
      <c r="Y218" s="753"/>
      <c r="Z218" s="734" t="s">
        <v>461</v>
      </c>
      <c r="AA218" s="736" t="s">
        <v>843</v>
      </c>
      <c r="AB218" s="736"/>
      <c r="AC218" s="744">
        <v>42569</v>
      </c>
      <c r="AD218" s="728" t="s">
        <v>1496</v>
      </c>
      <c r="AE218" s="759"/>
      <c r="AF218" s="663">
        <f>IF(CampList[[#This Row],[Type of Accomodation]]="camp",MAX(0,CampList[[#This Row],[HH]]-SUMIF(Table_Shelter[Pcode],CampList[[#This Row],[CP_Pcode]],Table_Shelter[HH Covered])),0)</f>
        <v>0</v>
      </c>
      <c r="AG218" s="722"/>
      <c r="AH218" s="736">
        <f>MIN(CampList[[#This Row],[Shelter Gap]],CampList[[#This Row],[Land Status]])</f>
        <v>0</v>
      </c>
      <c r="AI218" s="722"/>
      <c r="AJ218" s="739" t="str">
        <f ca="1">IFERROR(OFFSET(DistanceToCamp[distance],MATCH(CampList[[#This Row],[CP_Pcode]],DistanceToCamp[CP_Pcode],0)-1,0,1,1),"")</f>
        <v/>
      </c>
      <c r="AK218" s="740" t="str">
        <f ca="1">IFERROR(INT(CampList[[#This Row],[Distance]]/5)+1,"")</f>
        <v/>
      </c>
    </row>
    <row r="219" spans="1:37" s="512" customFormat="1" ht="15.6" customHeight="1" x14ac:dyDescent="0.25">
      <c r="A219" s="756" t="s">
        <v>501</v>
      </c>
      <c r="B219" s="214" t="s">
        <v>554</v>
      </c>
      <c r="C219" s="214" t="s">
        <v>537</v>
      </c>
      <c r="D219" s="214" t="s">
        <v>230</v>
      </c>
      <c r="E219" s="214" t="s">
        <v>538</v>
      </c>
      <c r="F219" s="214" t="s">
        <v>146</v>
      </c>
      <c r="G219" s="214" t="s">
        <v>545</v>
      </c>
      <c r="H219" s="214" t="s">
        <v>730</v>
      </c>
      <c r="I219" s="757" t="s">
        <v>731</v>
      </c>
      <c r="J219" s="214" t="s">
        <v>715</v>
      </c>
      <c r="K219" s="214" t="s">
        <v>734</v>
      </c>
      <c r="L219" s="214" t="s">
        <v>370</v>
      </c>
      <c r="M219" s="214" t="s">
        <v>384</v>
      </c>
      <c r="N219" s="752">
        <v>97.947360000000003</v>
      </c>
      <c r="O219" s="752">
        <v>23.460349999999998</v>
      </c>
      <c r="P219" s="729">
        <v>4430</v>
      </c>
      <c r="Q219" s="663">
        <v>30</v>
      </c>
      <c r="R219" s="755">
        <v>139</v>
      </c>
      <c r="S219" s="732">
        <f>IF(CampList[[#This Row],[HH]]&gt;0,CampList[[#This Row],[Total]]/CampList[[#This Row],[HH]],"NA")</f>
        <v>4.6333333333333337</v>
      </c>
      <c r="T219" s="663" t="s">
        <v>512</v>
      </c>
      <c r="U219" s="722" t="s">
        <v>1193</v>
      </c>
      <c r="V219" s="663" t="s">
        <v>555</v>
      </c>
      <c r="W219" s="663" t="s">
        <v>804</v>
      </c>
      <c r="X219" s="754">
        <v>41244</v>
      </c>
      <c r="Y219" s="729"/>
      <c r="Z219" s="729" t="s">
        <v>1265</v>
      </c>
      <c r="AA219" s="752" t="s">
        <v>843</v>
      </c>
      <c r="AB219" s="752"/>
      <c r="AC219" s="744">
        <v>42565</v>
      </c>
      <c r="AD219" s="758" t="s">
        <v>1444</v>
      </c>
      <c r="AE219" s="759" t="s">
        <v>1081</v>
      </c>
      <c r="AF219" s="760">
        <f>IF(CampList[[#This Row],[Type of Accomodation]]="camp",MAX(0,CampList[[#This Row],[HH]]-SUMIF(Table_Shelter[Pcode],CampList[[#This Row],[CP_Pcode]],Table_Shelter[HH Covered])),0)</f>
        <v>0</v>
      </c>
      <c r="AG219" s="663"/>
      <c r="AH219" s="741">
        <f>MIN(CampList[[#This Row],[Shelter Gap]],CampList[[#This Row],[Land Status]])</f>
        <v>0</v>
      </c>
      <c r="AI219" s="760" t="str">
        <f ca="1">IFERROR(OFFSET(DistanceToCamp[Nearest Town],MATCH(CampList[[#This Row],[CP_Pcode]],DistanceToCamp[CP_Pcode],0)-1,0,1,1),"")</f>
        <v>Kutkai Town</v>
      </c>
      <c r="AJ219" s="739">
        <f ca="1">IFERROR(OFFSET(DistanceToCamp[distance],MATCH(CampList[[#This Row],[CP_Pcode]],DistanceToCamp[CP_Pcode],0)-1,0,1,1),"")</f>
        <v>0.42212558305526549</v>
      </c>
      <c r="AK219" s="761">
        <f ca="1">IFERROR(INT(CampList[[#This Row],[Distance]]/5)+1,"")</f>
        <v>1</v>
      </c>
    </row>
    <row r="220" spans="1:37" s="512" customFormat="1" ht="15.6" customHeight="1" x14ac:dyDescent="0.25">
      <c r="A220" s="656" t="s">
        <v>501</v>
      </c>
      <c r="B220" s="406" t="s">
        <v>380</v>
      </c>
      <c r="C220" s="406" t="s">
        <v>526</v>
      </c>
      <c r="D220" s="406" t="s">
        <v>180</v>
      </c>
      <c r="E220" s="406" t="s">
        <v>527</v>
      </c>
      <c r="F220" s="406" t="s">
        <v>180</v>
      </c>
      <c r="G220" s="406" t="s">
        <v>552</v>
      </c>
      <c r="H220" s="406" t="s">
        <v>1205</v>
      </c>
      <c r="I220" s="406" t="s">
        <v>1411</v>
      </c>
      <c r="J220" s="406" t="s">
        <v>1412</v>
      </c>
      <c r="K220" s="406" t="s">
        <v>1413</v>
      </c>
      <c r="L220" s="406" t="s">
        <v>1159</v>
      </c>
      <c r="M220" s="406" t="s">
        <v>1161</v>
      </c>
      <c r="N220" s="752">
        <v>96.52534</v>
      </c>
      <c r="O220" s="752">
        <v>24.996279999999999</v>
      </c>
      <c r="P220" s="753"/>
      <c r="Q220" s="663">
        <v>36</v>
      </c>
      <c r="R220" s="755">
        <v>153</v>
      </c>
      <c r="S220" s="732">
        <f>IF(CampList[[#This Row],[HH]]&gt;0,CampList[[#This Row],[Total]]/CampList[[#This Row],[HH]],"NA")</f>
        <v>4.25</v>
      </c>
      <c r="T220" s="722" t="s">
        <v>512</v>
      </c>
      <c r="U220" s="726" t="s">
        <v>1193</v>
      </c>
      <c r="V220" s="723" t="s">
        <v>12</v>
      </c>
      <c r="W220" s="722"/>
      <c r="X220" s="754"/>
      <c r="Y220" s="729"/>
      <c r="Z220" s="734"/>
      <c r="AA220" s="736" t="s">
        <v>843</v>
      </c>
      <c r="AB220" s="736"/>
      <c r="AC220" s="744">
        <v>42082</v>
      </c>
      <c r="AD220" s="728" t="s">
        <v>1241</v>
      </c>
      <c r="AE220" s="759"/>
      <c r="AF220" s="760">
        <f>IF(CampList[[#This Row],[Type of Accomodation]]="camp",MAX(0,CampList[[#This Row],[HH]]-SUMIF(Table_Shelter[Pcode],CampList[[#This Row],[CP_Pcode]],Table_Shelter[HH Covered])),0)</f>
        <v>0</v>
      </c>
      <c r="AG220" s="722"/>
      <c r="AH220" s="736">
        <f>MIN(CampList[[#This Row],[Shelter Gap]],CampList[[#This Row],[Land Status]])</f>
        <v>0</v>
      </c>
      <c r="AI220" s="722" t="str">
        <f ca="1">IFERROR(OFFSET(DistanceToCamp[Nearest Town],MATCH(CampList[[#This Row],[CP_Pcode]],DistanceToCamp[CP_Pcode],0)-1,0,1,1),"")</f>
        <v/>
      </c>
      <c r="AJ220" s="739" t="str">
        <f ca="1">IFERROR(OFFSET(DistanceToCamp[distance],MATCH(CampList[[#This Row],[CP_Pcode]],DistanceToCamp[CP_Pcode],0)-1,0,1,1),"")</f>
        <v/>
      </c>
      <c r="AK220" s="740" t="str">
        <f ca="1">IFERROR(INT(CampList[[#This Row],[Distance]]/5)+1,"")</f>
        <v/>
      </c>
    </row>
    <row r="221" spans="1:37" s="512" customFormat="1" ht="15.6" customHeight="1" x14ac:dyDescent="0.25">
      <c r="A221" s="656" t="s">
        <v>501</v>
      </c>
      <c r="B221" s="406" t="s">
        <v>554</v>
      </c>
      <c r="C221" s="406" t="s">
        <v>537</v>
      </c>
      <c r="D221" s="406" t="s">
        <v>230</v>
      </c>
      <c r="E221" s="406" t="s">
        <v>538</v>
      </c>
      <c r="F221" s="406" t="s">
        <v>146</v>
      </c>
      <c r="G221" s="406" t="s">
        <v>545</v>
      </c>
      <c r="H221" s="748" t="s">
        <v>723</v>
      </c>
      <c r="I221" s="406" t="s">
        <v>1257</v>
      </c>
      <c r="J221" s="748" t="s">
        <v>723</v>
      </c>
      <c r="K221" s="796">
        <v>208747</v>
      </c>
      <c r="L221" s="406" t="s">
        <v>368</v>
      </c>
      <c r="M221" s="406" t="s">
        <v>385</v>
      </c>
      <c r="N221" s="630">
        <v>97.793019999999999</v>
      </c>
      <c r="O221" s="630">
        <v>23.588920000000002</v>
      </c>
      <c r="P221" s="741">
        <v>1012.5</v>
      </c>
      <c r="Q221" s="663">
        <v>69</v>
      </c>
      <c r="R221" s="663">
        <v>305</v>
      </c>
      <c r="S221" s="732">
        <f>IF(CampList[[#This Row],[HH]]&gt;0,CampList[[#This Row],[Total]]/CampList[[#This Row],[HH]],"NA")</f>
        <v>4.4202898550724639</v>
      </c>
      <c r="T221" s="722" t="s">
        <v>512</v>
      </c>
      <c r="U221" s="726" t="s">
        <v>1193</v>
      </c>
      <c r="V221" s="722" t="s">
        <v>555</v>
      </c>
      <c r="W221" s="726" t="s">
        <v>857</v>
      </c>
      <c r="X221" s="742">
        <v>41275</v>
      </c>
      <c r="Y221" s="743">
        <v>2</v>
      </c>
      <c r="Z221" s="742" t="s">
        <v>461</v>
      </c>
      <c r="AA221" s="735" t="s">
        <v>843</v>
      </c>
      <c r="AB221" s="736"/>
      <c r="AC221" s="744">
        <v>42569</v>
      </c>
      <c r="AD221" s="656" t="s">
        <v>1488</v>
      </c>
      <c r="AE221" s="759" t="s">
        <v>1081</v>
      </c>
      <c r="AF221" s="663">
        <f>IF(CampList[[#This Row],[Type of Accomodation]]="camp",MAX(0,CampList[[#This Row],[HH]]-SUMIF(Table_Shelter[Pcode],CampList[[#This Row],[CP_Pcode]],Table_Shelter[HH Covered])),0)</f>
        <v>6</v>
      </c>
      <c r="AG221" s="722"/>
      <c r="AH221" s="736">
        <f>MIN(CampList[[#This Row],[Shelter Gap]],CampList[[#This Row],[Land Status]])</f>
        <v>6</v>
      </c>
      <c r="AI221" s="722" t="str">
        <f ca="1">IFERROR(OFFSET(DistanceToCamp[Nearest Town],MATCH(CampList[[#This Row],[CP_Pcode]],DistanceToCamp[CP_Pcode],0)-1,0,1,1),"")</f>
        <v>Kutkai Town</v>
      </c>
      <c r="AJ221" s="739">
        <f ca="1">IFERROR(OFFSET(DistanceToCamp[distance],MATCH(CampList[[#This Row],[CP_Pcode]],DistanceToCamp[CP_Pcode],0)-1,0,1,1),"")</f>
        <v>21.050742639251741</v>
      </c>
      <c r="AK221" s="740">
        <f ca="1">IFERROR(INT(CampList[[#This Row],[Distance]]/5)+1,"")</f>
        <v>5</v>
      </c>
    </row>
    <row r="222" spans="1:37" s="512" customFormat="1" ht="15.6" hidden="1" customHeight="1" x14ac:dyDescent="0.25">
      <c r="A222" s="656" t="s">
        <v>844</v>
      </c>
      <c r="B222" s="406" t="s">
        <v>554</v>
      </c>
      <c r="C222" s="406" t="s">
        <v>537</v>
      </c>
      <c r="D222" s="406" t="s">
        <v>230</v>
      </c>
      <c r="E222" s="406" t="s">
        <v>538</v>
      </c>
      <c r="F222" s="406" t="s">
        <v>146</v>
      </c>
      <c r="G222" s="406" t="s">
        <v>545</v>
      </c>
      <c r="H222" s="406" t="s">
        <v>786</v>
      </c>
      <c r="I222" s="406" t="s">
        <v>787</v>
      </c>
      <c r="J222" s="748" t="s">
        <v>788</v>
      </c>
      <c r="K222" s="748"/>
      <c r="L222" s="406" t="s">
        <v>367</v>
      </c>
      <c r="M222" s="406" t="s">
        <v>386</v>
      </c>
      <c r="N222" s="630">
        <v>98.213958000000005</v>
      </c>
      <c r="O222" s="630">
        <v>23.391741</v>
      </c>
      <c r="P222" s="741">
        <v>0</v>
      </c>
      <c r="Q222" s="730">
        <v>0</v>
      </c>
      <c r="R222" s="731">
        <v>0</v>
      </c>
      <c r="S222" s="732" t="str">
        <f>IF(CampList[[#This Row],[HH]]&gt;0,CampList[[#This Row],[Total]]/CampList[[#This Row],[HH]],"NA")</f>
        <v>NA</v>
      </c>
      <c r="T222" s="722" t="s">
        <v>512</v>
      </c>
      <c r="U222" s="726" t="s">
        <v>1193</v>
      </c>
      <c r="V222" s="722" t="s">
        <v>555</v>
      </c>
      <c r="W222" s="726" t="s">
        <v>857</v>
      </c>
      <c r="X222" s="742">
        <v>40787</v>
      </c>
      <c r="Y222" s="743"/>
      <c r="Z222" s="742"/>
      <c r="AA222" s="735" t="s">
        <v>843</v>
      </c>
      <c r="AB222" s="736"/>
      <c r="AC222" s="744">
        <v>41701</v>
      </c>
      <c r="AD222" s="656" t="s">
        <v>1017</v>
      </c>
      <c r="AE222" s="759" t="s">
        <v>1009</v>
      </c>
      <c r="AF222" s="663">
        <f>IF(CampList[[#This Row],[Type of Accomodation]]="camp",MAX(0,CampList[[#This Row],[HH]]-SUMIF(Table_Shelter[Pcode],CampList[[#This Row],[CP_Pcode]],Table_Shelter[HH Covered])),0)</f>
        <v>0</v>
      </c>
      <c r="AG222" s="722"/>
      <c r="AH222" s="736">
        <f>MIN(CampList[[#This Row],[Shelter Gap]],CampList[[#This Row],[Land Status]])</f>
        <v>0</v>
      </c>
      <c r="AI222" s="722" t="str">
        <f ca="1">IFERROR(OFFSET(DistanceToCamp[Nearest Town],MATCH(CampList[[#This Row],[CP_Pcode]],DistanceToCamp[CP_Pcode],0)-1,0,1,1),"")</f>
        <v/>
      </c>
      <c r="AJ222" s="739" t="str">
        <f ca="1">IFERROR(OFFSET(DistanceToCamp[distance],MATCH(CampList[[#This Row],[CP_Pcode]],DistanceToCamp[CP_Pcode],0)-1,0,1,1),"")</f>
        <v/>
      </c>
      <c r="AK222" s="740" t="str">
        <f ca="1">IFERROR(INT(CampList[[#This Row],[Distance]]/5)+1,"")</f>
        <v/>
      </c>
    </row>
    <row r="223" spans="1:37" s="512" customFormat="1" ht="15.6" customHeight="1" x14ac:dyDescent="0.25">
      <c r="A223" s="656" t="s">
        <v>501</v>
      </c>
      <c r="B223" s="406" t="s">
        <v>380</v>
      </c>
      <c r="C223" s="406" t="s">
        <v>526</v>
      </c>
      <c r="D223" s="406" t="s">
        <v>180</v>
      </c>
      <c r="E223" s="406" t="s">
        <v>527</v>
      </c>
      <c r="F223" s="406" t="s">
        <v>180</v>
      </c>
      <c r="G223" s="406" t="s">
        <v>552</v>
      </c>
      <c r="H223" s="406" t="s">
        <v>1133</v>
      </c>
      <c r="I223" s="406" t="s">
        <v>1255</v>
      </c>
      <c r="J223" s="406"/>
      <c r="K223" s="406"/>
      <c r="L223" s="406" t="s">
        <v>1160</v>
      </c>
      <c r="M223" s="406" t="s">
        <v>1162</v>
      </c>
      <c r="N223" s="752">
        <v>96.366919999999993</v>
      </c>
      <c r="O223" s="752">
        <v>24.764959999999999</v>
      </c>
      <c r="P223" s="753"/>
      <c r="Q223" s="663">
        <v>15</v>
      </c>
      <c r="R223" s="755">
        <v>64</v>
      </c>
      <c r="S223" s="732">
        <f>IF(CampList[[#This Row],[HH]]&gt;0,CampList[[#This Row],[Total]]/CampList[[#This Row],[HH]],"NA")</f>
        <v>4.2666666666666666</v>
      </c>
      <c r="T223" s="722" t="s">
        <v>512</v>
      </c>
      <c r="U223" s="726" t="s">
        <v>1193</v>
      </c>
      <c r="V223" s="723" t="s">
        <v>12</v>
      </c>
      <c r="W223" s="722"/>
      <c r="X223" s="754"/>
      <c r="Y223" s="729"/>
      <c r="Z223" s="734"/>
      <c r="AA223" s="736" t="s">
        <v>843</v>
      </c>
      <c r="AB223" s="736"/>
      <c r="AC223" s="744">
        <v>42537</v>
      </c>
      <c r="AD223" s="728" t="s">
        <v>1418</v>
      </c>
      <c r="AE223" s="759"/>
      <c r="AF223" s="760">
        <f>IF(CampList[[#This Row],[Type of Accomodation]]="camp",MAX(0,CampList[[#This Row],[HH]]-SUMIF(Table_Shelter[Pcode],CampList[[#This Row],[CP_Pcode]],Table_Shelter[HH Covered])),0)</f>
        <v>0</v>
      </c>
      <c r="AG223" s="722"/>
      <c r="AH223" s="736">
        <f>MIN(CampList[[#This Row],[Shelter Gap]],CampList[[#This Row],[Land Status]])</f>
        <v>0</v>
      </c>
      <c r="AI223" s="722" t="str">
        <f ca="1">IFERROR(OFFSET(DistanceToCamp[Nearest Town],MATCH(CampList[[#This Row],[CP_Pcode]],DistanceToCamp[CP_Pcode],0)-1,0,1,1),"")</f>
        <v/>
      </c>
      <c r="AJ223" s="739" t="str">
        <f ca="1">IFERROR(OFFSET(DistanceToCamp[distance],MATCH(CampList[[#This Row],[CP_Pcode]],DistanceToCamp[CP_Pcode],0)-1,0,1,1),"")</f>
        <v/>
      </c>
      <c r="AK223" s="740" t="str">
        <f ca="1">IFERROR(INT(CampList[[#This Row],[Distance]]/5)+1,"")</f>
        <v/>
      </c>
    </row>
    <row r="224" spans="1:37" s="512" customFormat="1" ht="15.6" customHeight="1" x14ac:dyDescent="0.25">
      <c r="A224" s="764" t="s">
        <v>501</v>
      </c>
      <c r="B224" s="406" t="s">
        <v>554</v>
      </c>
      <c r="C224" s="406" t="s">
        <v>537</v>
      </c>
      <c r="D224" s="406" t="s">
        <v>230</v>
      </c>
      <c r="E224" s="406" t="s">
        <v>538</v>
      </c>
      <c r="F224" s="406" t="s">
        <v>146</v>
      </c>
      <c r="G224" s="406" t="s">
        <v>545</v>
      </c>
      <c r="H224" s="406" t="s">
        <v>767</v>
      </c>
      <c r="I224" s="406" t="s">
        <v>768</v>
      </c>
      <c r="J224" s="406" t="s">
        <v>769</v>
      </c>
      <c r="K224" s="406">
        <v>208557</v>
      </c>
      <c r="L224" s="406" t="s">
        <v>373</v>
      </c>
      <c r="M224" s="406" t="s">
        <v>387</v>
      </c>
      <c r="N224" s="630">
        <v>97.837040000000002</v>
      </c>
      <c r="O224" s="630">
        <v>23.38503</v>
      </c>
      <c r="P224" s="741">
        <v>0</v>
      </c>
      <c r="Q224" s="663">
        <v>202</v>
      </c>
      <c r="R224" s="663">
        <v>906</v>
      </c>
      <c r="S224" s="732">
        <f>IF(CampList[[#This Row],[HH]]&gt;0,CampList[[#This Row],[Total]]/CampList[[#This Row],[HH]],"NA")</f>
        <v>4.4851485148514856</v>
      </c>
      <c r="T224" s="722" t="s">
        <v>512</v>
      </c>
      <c r="U224" s="726" t="s">
        <v>1193</v>
      </c>
      <c r="V224" s="722" t="s">
        <v>555</v>
      </c>
      <c r="W224" s="722" t="s">
        <v>857</v>
      </c>
      <c r="X224" s="742">
        <v>41244</v>
      </c>
      <c r="Y224" s="743"/>
      <c r="Z224" s="742" t="s">
        <v>461</v>
      </c>
      <c r="AA224" s="736" t="s">
        <v>843</v>
      </c>
      <c r="AB224" s="736"/>
      <c r="AC224" s="744">
        <v>42569</v>
      </c>
      <c r="AD224" s="728" t="s">
        <v>1499</v>
      </c>
      <c r="AE224" s="759" t="s">
        <v>1081</v>
      </c>
      <c r="AF224" s="663">
        <f>IF(CampList[[#This Row],[Type of Accomodation]]="camp",MAX(0,CampList[[#This Row],[HH]]-SUMIF(Table_Shelter[Pcode],CampList[[#This Row],[CP_Pcode]],Table_Shelter[HH Covered])),0)</f>
        <v>101</v>
      </c>
      <c r="AG224" s="722"/>
      <c r="AH224" s="736">
        <f>MIN(CampList[[#This Row],[Shelter Gap]],CampList[[#This Row],[Land Status]])</f>
        <v>101</v>
      </c>
      <c r="AI224" s="722" t="str">
        <f ca="1">IFERROR(OFFSET(DistanceToCamp[Nearest Town],MATCH(CampList[[#This Row],[CP_Pcode]],DistanceToCamp[CP_Pcode],0)-1,0,1,1),"")</f>
        <v>Kutkai Town</v>
      </c>
      <c r="AJ224" s="739">
        <f ca="1">IFERROR(OFFSET(DistanceToCamp[distance],MATCH(CampList[[#This Row],[CP_Pcode]],DistanceToCamp[CP_Pcode],0)-1,0,1,1),"")</f>
        <v>13.632081902964599</v>
      </c>
      <c r="AK224" s="740">
        <f ca="1">IFERROR(INT(CampList[[#This Row],[Distance]]/5)+1,"")</f>
        <v>3</v>
      </c>
    </row>
    <row r="225" spans="1:37" s="512" customFormat="1" ht="15.6" customHeight="1" x14ac:dyDescent="0.25">
      <c r="A225" s="656" t="s">
        <v>501</v>
      </c>
      <c r="B225" s="406" t="s">
        <v>554</v>
      </c>
      <c r="C225" s="406" t="s">
        <v>537</v>
      </c>
      <c r="D225" s="406" t="s">
        <v>230</v>
      </c>
      <c r="E225" s="406" t="s">
        <v>538</v>
      </c>
      <c r="F225" s="406" t="s">
        <v>230</v>
      </c>
      <c r="G225" s="406" t="s">
        <v>539</v>
      </c>
      <c r="H225" s="406" t="s">
        <v>775</v>
      </c>
      <c r="I225" s="406" t="s">
        <v>776</v>
      </c>
      <c r="J225" s="406" t="s">
        <v>777</v>
      </c>
      <c r="K225" s="406">
        <v>208156</v>
      </c>
      <c r="L225" s="406" t="s">
        <v>231</v>
      </c>
      <c r="M225" s="406" t="s">
        <v>388</v>
      </c>
      <c r="N225" s="630">
        <v>98.115809999999996</v>
      </c>
      <c r="O225" s="630">
        <v>24.08738</v>
      </c>
      <c r="P225" s="729"/>
      <c r="Q225" s="730">
        <v>32</v>
      </c>
      <c r="R225" s="731">
        <v>187</v>
      </c>
      <c r="S225" s="732">
        <f>IF(CampList[[#This Row],[HH]]&gt;0,CampList[[#This Row],[Total]]/CampList[[#This Row],[HH]],"NA")</f>
        <v>5.84375</v>
      </c>
      <c r="T225" s="722" t="s">
        <v>514</v>
      </c>
      <c r="U225" s="726" t="s">
        <v>1193</v>
      </c>
      <c r="V225" s="722" t="s">
        <v>12</v>
      </c>
      <c r="W225" s="722" t="s">
        <v>857</v>
      </c>
      <c r="X225" s="733"/>
      <c r="Y225" s="729"/>
      <c r="Z225" s="734"/>
      <c r="AA225" s="735" t="s">
        <v>573</v>
      </c>
      <c r="AB225" s="736"/>
      <c r="AC225" s="744">
        <v>41701</v>
      </c>
      <c r="AD225" s="656" t="s">
        <v>1013</v>
      </c>
      <c r="AE225" s="755" t="s">
        <v>1095</v>
      </c>
      <c r="AF225" s="663">
        <f>IF(CampList[[#This Row],[Type of Accomodation]]="camp",MAX(0,CampList[[#This Row],[HH]]-SUMIF(Table_Shelter[Pcode],CampList[[#This Row],[CP_Pcode]],Table_Shelter[HH Covered])),0)</f>
        <v>0</v>
      </c>
      <c r="AG225" s="722"/>
      <c r="AH225" s="736">
        <f>MIN(CampList[[#This Row],[Shelter Gap]],CampList[[#This Row],[Land Status]])</f>
        <v>0</v>
      </c>
      <c r="AI225" s="722" t="str">
        <f ca="1">IFERROR(OFFSET(DistanceToCamp[Nearest Town],MATCH(CampList[[#This Row],[CP_Pcode]],DistanceToCamp[CP_Pcode],0)-1,0,1,1),"")</f>
        <v>Pang Hseng (Kyu Koke) Town</v>
      </c>
      <c r="AJ225" s="739">
        <f ca="1">IFERROR(OFFSET(DistanceToCamp[distance],MATCH(CampList[[#This Row],[CP_Pcode]],DistanceToCamp[CP_Pcode],0)-1,0,1,1),"")</f>
        <v>5.5919136174199959</v>
      </c>
      <c r="AK225" s="740">
        <f ca="1">IFERROR(INT(CampList[[#This Row],[Distance]]/5)+1,"")</f>
        <v>2</v>
      </c>
    </row>
    <row r="226" spans="1:37" s="512" customFormat="1" ht="15.6" hidden="1" customHeight="1" x14ac:dyDescent="0.25">
      <c r="A226" s="656" t="s">
        <v>844</v>
      </c>
      <c r="B226" s="406" t="s">
        <v>554</v>
      </c>
      <c r="C226" s="406" t="s">
        <v>537</v>
      </c>
      <c r="D226" s="406" t="s">
        <v>230</v>
      </c>
      <c r="E226" s="406" t="s">
        <v>538</v>
      </c>
      <c r="F226" s="406" t="s">
        <v>289</v>
      </c>
      <c r="G226" s="406" t="s">
        <v>550</v>
      </c>
      <c r="H226" s="406" t="s">
        <v>752</v>
      </c>
      <c r="I226" s="406" t="s">
        <v>753</v>
      </c>
      <c r="J226" s="406" t="s">
        <v>752</v>
      </c>
      <c r="K226" s="406">
        <v>208353</v>
      </c>
      <c r="L226" s="406" t="s">
        <v>375</v>
      </c>
      <c r="M226" s="406" t="s">
        <v>389</v>
      </c>
      <c r="N226" s="630">
        <v>97.678299999999993</v>
      </c>
      <c r="O226" s="630">
        <v>23.82152</v>
      </c>
      <c r="P226" s="753">
        <v>813.4</v>
      </c>
      <c r="Q226" s="730">
        <v>0</v>
      </c>
      <c r="R226" s="731">
        <v>0</v>
      </c>
      <c r="S226" s="732" t="str">
        <f>IF(CampList[[#This Row],[HH]]&gt;0,CampList[[#This Row],[Total]]/CampList[[#This Row],[HH]],"NA")</f>
        <v>NA</v>
      </c>
      <c r="T226" s="722" t="s">
        <v>514</v>
      </c>
      <c r="U226" s="726" t="s">
        <v>1193</v>
      </c>
      <c r="V226" s="722" t="s">
        <v>555</v>
      </c>
      <c r="W226" s="726"/>
      <c r="X226" s="733"/>
      <c r="Y226" s="729"/>
      <c r="Z226" s="742" t="s">
        <v>1091</v>
      </c>
      <c r="AA226" s="735" t="s">
        <v>843</v>
      </c>
      <c r="AB226" s="736"/>
      <c r="AC226" s="744">
        <v>41712</v>
      </c>
      <c r="AD226" s="656" t="s">
        <v>1024</v>
      </c>
      <c r="AE226" s="755" t="s">
        <v>1009</v>
      </c>
      <c r="AF226" s="663">
        <f>IF(CampList[[#This Row],[Type of Accomodation]]="camp",MAX(0,CampList[[#This Row],[HH]]-SUMIF(Table_Shelter[Pcode],CampList[[#This Row],[CP_Pcode]],Table_Shelter[HH Covered])),0)</f>
        <v>0</v>
      </c>
      <c r="AG226" s="722"/>
      <c r="AH226" s="736">
        <f>MIN(CampList[[#This Row],[Shelter Gap]],CampList[[#This Row],[Land Status]])</f>
        <v>0</v>
      </c>
      <c r="AI226" s="722" t="str">
        <f ca="1">IFERROR(OFFSET(DistanceToCamp[Nearest Town],MATCH(CampList[[#This Row],[CP_Pcode]],DistanceToCamp[CP_Pcode],0)-1,0,1,1),"")</f>
        <v/>
      </c>
      <c r="AJ226" s="739" t="str">
        <f ca="1">IFERROR(OFFSET(DistanceToCamp[distance],MATCH(CampList[[#This Row],[CP_Pcode]],DistanceToCamp[CP_Pcode],0)-1,0,1,1),"")</f>
        <v/>
      </c>
      <c r="AK226" s="740" t="str">
        <f ca="1">IFERROR(INT(CampList[[#This Row],[Distance]]/5)+1,"")</f>
        <v/>
      </c>
    </row>
    <row r="227" spans="1:37" s="657" customFormat="1" ht="15.6" hidden="1" customHeight="1" x14ac:dyDescent="0.25">
      <c r="A227" s="656" t="s">
        <v>844</v>
      </c>
      <c r="B227" s="406" t="s">
        <v>554</v>
      </c>
      <c r="C227" s="406" t="s">
        <v>537</v>
      </c>
      <c r="D227" s="406" t="s">
        <v>230</v>
      </c>
      <c r="E227" s="406" t="s">
        <v>538</v>
      </c>
      <c r="F227" s="406" t="s">
        <v>230</v>
      </c>
      <c r="G227" s="406" t="s">
        <v>539</v>
      </c>
      <c r="H227" s="406" t="s">
        <v>1027</v>
      </c>
      <c r="I227" s="406" t="s">
        <v>1026</v>
      </c>
      <c r="J227" s="406" t="s">
        <v>1028</v>
      </c>
      <c r="K227" s="406">
        <v>208182</v>
      </c>
      <c r="L227" s="406" t="s">
        <v>361</v>
      </c>
      <c r="M227" s="406" t="s">
        <v>838</v>
      </c>
      <c r="N227" s="630"/>
      <c r="O227" s="630"/>
      <c r="P227" s="741">
        <v>0</v>
      </c>
      <c r="Q227" s="730"/>
      <c r="R227" s="731"/>
      <c r="S227" s="732" t="str">
        <f>IF(CampList[[#This Row],[HH]]&gt;0,CampList[[#This Row],[Total]]/CampList[[#This Row],[HH]],"NA")</f>
        <v>NA</v>
      </c>
      <c r="T227" s="722" t="s">
        <v>514</v>
      </c>
      <c r="U227" s="722" t="s">
        <v>1193</v>
      </c>
      <c r="V227" s="722" t="s">
        <v>555</v>
      </c>
      <c r="W227" s="722" t="s">
        <v>857</v>
      </c>
      <c r="X227" s="773">
        <v>40787</v>
      </c>
      <c r="Y227" s="774">
        <v>1</v>
      </c>
      <c r="Z227" s="773" t="s">
        <v>461</v>
      </c>
      <c r="AA227" s="735" t="s">
        <v>843</v>
      </c>
      <c r="AB227" s="736"/>
      <c r="AC227" s="744">
        <v>42432</v>
      </c>
      <c r="AD227" s="656" t="s">
        <v>1369</v>
      </c>
      <c r="AE227" s="759" t="s">
        <v>1080</v>
      </c>
      <c r="AF227" s="663">
        <f>IF(CampList[[#This Row],[Type of Accomodation]]="camp",MAX(0,CampList[[#This Row],[HH]]-SUMIF(Table_Shelter[Pcode],CampList[[#This Row],[CP_Pcode]],Table_Shelter[HH Covered])),0)</f>
        <v>0</v>
      </c>
      <c r="AG227" s="722"/>
      <c r="AH227" s="736">
        <f>MIN(CampList[[#This Row],[Shelter Gap]],CampList[[#This Row],[Land Status]])</f>
        <v>0</v>
      </c>
      <c r="AI227" s="722" t="str">
        <f ca="1">IFERROR(OFFSET(DistanceToCamp[Nearest Town],MATCH(CampList[[#This Row],[CP_Pcode]],DistanceToCamp[CP_Pcode],0)-1,0,1,1),"")</f>
        <v/>
      </c>
      <c r="AJ227" s="739" t="str">
        <f ca="1">IFERROR(OFFSET(DistanceToCamp[distance],MATCH(CampList[[#This Row],[CP_Pcode]],DistanceToCamp[CP_Pcode],0)-1,0,1,1),"")</f>
        <v/>
      </c>
      <c r="AK227" s="740" t="str">
        <f ca="1">IFERROR(INT(CampList[[#This Row],[Distance]]/5)+1,"")</f>
        <v/>
      </c>
    </row>
    <row r="228" spans="1:37" s="512" customFormat="1" ht="15.6" customHeight="1" x14ac:dyDescent="0.25">
      <c r="A228" s="656" t="s">
        <v>501</v>
      </c>
      <c r="B228" s="406" t="s">
        <v>554</v>
      </c>
      <c r="C228" s="406" t="s">
        <v>537</v>
      </c>
      <c r="D228" s="406" t="s">
        <v>778</v>
      </c>
      <c r="E228" s="406" t="s">
        <v>779</v>
      </c>
      <c r="F228" s="406" t="s">
        <v>780</v>
      </c>
      <c r="G228" s="406" t="s">
        <v>781</v>
      </c>
      <c r="H228" s="406" t="s">
        <v>782</v>
      </c>
      <c r="I228" s="406" t="s">
        <v>783</v>
      </c>
      <c r="J228" s="406" t="s">
        <v>782</v>
      </c>
      <c r="K228" s="406">
        <v>206422</v>
      </c>
      <c r="L228" s="406" t="s">
        <v>595</v>
      </c>
      <c r="M228" s="406" t="s">
        <v>839</v>
      </c>
      <c r="N228" s="630">
        <v>98.352670000000003</v>
      </c>
      <c r="O228" s="630">
        <v>23.372409999999999</v>
      </c>
      <c r="P228" s="747">
        <v>617.6</v>
      </c>
      <c r="Q228" s="760">
        <v>67</v>
      </c>
      <c r="R228" s="755">
        <v>392</v>
      </c>
      <c r="S228" s="732">
        <f>IF(CampList[[#This Row],[HH]]&gt;0,CampList[[#This Row],[Total]]/CampList[[#This Row],[HH]],"NA")</f>
        <v>5.8507462686567164</v>
      </c>
      <c r="T228" s="722" t="s">
        <v>514</v>
      </c>
      <c r="U228" s="726" t="s">
        <v>1193</v>
      </c>
      <c r="V228" s="722" t="s">
        <v>12</v>
      </c>
      <c r="W228" s="726" t="s">
        <v>857</v>
      </c>
      <c r="X228" s="742">
        <v>41365</v>
      </c>
      <c r="Y228" s="743"/>
      <c r="Z228" s="742"/>
      <c r="AA228" s="736" t="s">
        <v>843</v>
      </c>
      <c r="AB228" s="736"/>
      <c r="AC228" s="744">
        <v>41701</v>
      </c>
      <c r="AD228" s="728" t="s">
        <v>1013</v>
      </c>
      <c r="AE228" s="759" t="s">
        <v>1095</v>
      </c>
      <c r="AF228" s="663">
        <f>IF(CampList[[#This Row],[Type of Accomodation]]="camp",MAX(0,CampList[[#This Row],[HH]]-SUMIF(Table_Shelter[Pcode],CampList[[#This Row],[CP_Pcode]],Table_Shelter[HH Covered])),0)</f>
        <v>0</v>
      </c>
      <c r="AG228" s="722"/>
      <c r="AH228" s="736">
        <f>MIN(CampList[[#This Row],[Shelter Gap]],CampList[[#This Row],[Land Status]])</f>
        <v>0</v>
      </c>
      <c r="AI228" s="722" t="str">
        <f ca="1">IFERROR(OFFSET(DistanceToCamp[Nearest Town],MATCH(CampList[[#This Row],[CP_Pcode]],DistanceToCamp[CP_Pcode],0)-1,0,1,1),"")</f>
        <v>Kunlong Town</v>
      </c>
      <c r="AJ228" s="739">
        <f ca="1">IFERROR(OFFSET(DistanceToCamp[distance],MATCH(CampList[[#This Row],[CP_Pcode]],DistanceToCamp[CP_Pcode],0)-1,0,1,1),"")</f>
        <v>30.037709702375544</v>
      </c>
      <c r="AK228" s="740">
        <f ca="1">IFERROR(INT(CampList[[#This Row],[Distance]]/5)+1,"")</f>
        <v>7</v>
      </c>
    </row>
    <row r="229" spans="1:37" s="512" customFormat="1" ht="15.6" customHeight="1" x14ac:dyDescent="0.25">
      <c r="A229" s="756" t="s">
        <v>501</v>
      </c>
      <c r="B229" s="214" t="s">
        <v>554</v>
      </c>
      <c r="C229" s="214" t="s">
        <v>537</v>
      </c>
      <c r="D229" s="214" t="s">
        <v>542</v>
      </c>
      <c r="E229" s="214" t="s">
        <v>543</v>
      </c>
      <c r="F229" s="214" t="s">
        <v>166</v>
      </c>
      <c r="G229" s="214" t="s">
        <v>544</v>
      </c>
      <c r="H229" s="214" t="s">
        <v>804</v>
      </c>
      <c r="I229" s="757" t="s">
        <v>1136</v>
      </c>
      <c r="J229" s="214" t="s">
        <v>717</v>
      </c>
      <c r="K229" s="214" t="s">
        <v>1404</v>
      </c>
      <c r="L229" s="214" t="s">
        <v>823</v>
      </c>
      <c r="M229" s="214" t="s">
        <v>824</v>
      </c>
      <c r="N229" s="752">
        <v>97.116680000000002</v>
      </c>
      <c r="O229" s="752">
        <v>23.24661</v>
      </c>
      <c r="P229" s="729">
        <v>87.3</v>
      </c>
      <c r="Q229" s="663">
        <v>29</v>
      </c>
      <c r="R229" s="755">
        <v>157</v>
      </c>
      <c r="S229" s="732">
        <f>IF(CampList[[#This Row],[HH]]&gt;0,CampList[[#This Row],[Total]]/CampList[[#This Row],[HH]],"NA")</f>
        <v>5.4137931034482758</v>
      </c>
      <c r="T229" s="663" t="s">
        <v>512</v>
      </c>
      <c r="U229" s="722" t="s">
        <v>1193</v>
      </c>
      <c r="V229" s="663" t="s">
        <v>555</v>
      </c>
      <c r="W229" s="663" t="s">
        <v>804</v>
      </c>
      <c r="X229" s="754">
        <v>41030</v>
      </c>
      <c r="Y229" s="729"/>
      <c r="Z229" s="729" t="s">
        <v>1265</v>
      </c>
      <c r="AA229" s="752" t="s">
        <v>843</v>
      </c>
      <c r="AB229" s="752"/>
      <c r="AC229" s="744">
        <v>42565</v>
      </c>
      <c r="AD229" s="758" t="s">
        <v>1445</v>
      </c>
      <c r="AE229" s="759" t="s">
        <v>1081</v>
      </c>
      <c r="AF229" s="760">
        <f>IF(CampList[[#This Row],[Type of Accomodation]]="camp",MAX(0,CampList[[#This Row],[HH]]-SUMIF(Table_Shelter[Pcode],CampList[[#This Row],[CP_Pcode]],Table_Shelter[HH Covered])),0)</f>
        <v>0</v>
      </c>
      <c r="AG229" s="663"/>
      <c r="AH229" s="741">
        <f>MIN(CampList[[#This Row],[Shelter Gap]],CampList[[#This Row],[Land Status]])</f>
        <v>0</v>
      </c>
      <c r="AI229" s="760" t="str">
        <f ca="1">IFERROR(OFFSET(DistanceToCamp[Nearest Town],MATCH(CampList[[#This Row],[CP_Pcode]],DistanceToCamp[CP_Pcode],0)-1,0,1,1),"")</f>
        <v>Manton Town</v>
      </c>
      <c r="AJ229" s="739">
        <f ca="1">IFERROR(OFFSET(DistanceToCamp[distance],MATCH(CampList[[#This Row],[CP_Pcode]],DistanceToCamp[CP_Pcode],0)-1,0,1,1),"")</f>
        <v>0.71762888500316424</v>
      </c>
      <c r="AK229" s="761">
        <f ca="1">IFERROR(INT(CampList[[#This Row],[Distance]]/5)+1,"")</f>
        <v>1</v>
      </c>
    </row>
    <row r="230" spans="1:37" s="512" customFormat="1" ht="15.6" customHeight="1" x14ac:dyDescent="0.25">
      <c r="A230" s="656" t="s">
        <v>501</v>
      </c>
      <c r="B230" s="406" t="s">
        <v>554</v>
      </c>
      <c r="C230" s="406" t="s">
        <v>537</v>
      </c>
      <c r="D230" s="406" t="s">
        <v>542</v>
      </c>
      <c r="E230" s="406" t="s">
        <v>543</v>
      </c>
      <c r="F230" s="406" t="s">
        <v>298</v>
      </c>
      <c r="G230" s="406" t="s">
        <v>551</v>
      </c>
      <c r="H230" s="748" t="s">
        <v>818</v>
      </c>
      <c r="I230" s="406" t="s">
        <v>819</v>
      </c>
      <c r="J230" s="748" t="s">
        <v>820</v>
      </c>
      <c r="K230" s="748" t="s">
        <v>821</v>
      </c>
      <c r="L230" s="406" t="s">
        <v>594</v>
      </c>
      <c r="M230" s="406" t="s">
        <v>825</v>
      </c>
      <c r="N230" s="630">
        <v>97.398989</v>
      </c>
      <c r="O230" s="630">
        <v>23.088058</v>
      </c>
      <c r="P230" s="747">
        <v>1948</v>
      </c>
      <c r="Q230" s="730">
        <v>118</v>
      </c>
      <c r="R230" s="731">
        <v>520</v>
      </c>
      <c r="S230" s="732">
        <f>IF(CampList[[#This Row],[HH]]&gt;0,CampList[[#This Row],[Total]]/CampList[[#This Row],[HH]],"NA")</f>
        <v>4.406779661016949</v>
      </c>
      <c r="T230" s="722" t="s">
        <v>512</v>
      </c>
      <c r="U230" s="726" t="s">
        <v>1193</v>
      </c>
      <c r="V230" s="722" t="s">
        <v>12</v>
      </c>
      <c r="W230" s="726" t="s">
        <v>804</v>
      </c>
      <c r="X230" s="742"/>
      <c r="Y230" s="743"/>
      <c r="Z230" s="742"/>
      <c r="AA230" s="735" t="s">
        <v>843</v>
      </c>
      <c r="AB230" s="736"/>
      <c r="AC230" s="744">
        <v>41883</v>
      </c>
      <c r="AD230" s="656" t="s">
        <v>1111</v>
      </c>
      <c r="AE230" s="759" t="s">
        <v>1081</v>
      </c>
      <c r="AF230" s="663">
        <f>IF(CampList[[#This Row],[Type of Accomodation]]="camp",MAX(0,CampList[[#This Row],[HH]]-SUMIF(Table_Shelter[Pcode],CampList[[#This Row],[CP_Pcode]],Table_Shelter[HH Covered])),0)</f>
        <v>0</v>
      </c>
      <c r="AG230" s="722"/>
      <c r="AH230" s="736">
        <f>MIN(CampList[[#This Row],[Shelter Gap]],CampList[[#This Row],[Land Status]])</f>
        <v>0</v>
      </c>
      <c r="AI230" s="722" t="str">
        <f ca="1">IFERROR(OFFSET(DistanceToCamp[Nearest Town],MATCH(CampList[[#This Row],[CP_Pcode]],DistanceToCamp[CP_Pcode],0)-1,0,1,1),"")</f>
        <v>Namtu Town</v>
      </c>
      <c r="AJ230" s="739">
        <f ca="1">IFERROR(OFFSET(DistanceToCamp[distance],MATCH(CampList[[#This Row],[CP_Pcode]],DistanceToCamp[CP_Pcode],0)-1,0,1,1),"")</f>
        <v>0.63626694856259092</v>
      </c>
      <c r="AK230" s="740">
        <f ca="1">IFERROR(INT(CampList[[#This Row],[Distance]]/5)+1,"")</f>
        <v>1</v>
      </c>
    </row>
    <row r="231" spans="1:37" s="512" customFormat="1" ht="15.6" hidden="1" customHeight="1" x14ac:dyDescent="0.25">
      <c r="A231" s="656" t="s">
        <v>844</v>
      </c>
      <c r="B231" s="406" t="s">
        <v>554</v>
      </c>
      <c r="C231" s="406" t="s">
        <v>537</v>
      </c>
      <c r="D231" s="406" t="s">
        <v>230</v>
      </c>
      <c r="E231" s="406" t="s">
        <v>538</v>
      </c>
      <c r="F231" s="406" t="s">
        <v>146</v>
      </c>
      <c r="G231" s="406" t="s">
        <v>545</v>
      </c>
      <c r="H231" s="406" t="s">
        <v>931</v>
      </c>
      <c r="I231" s="406"/>
      <c r="J231" s="406" t="s">
        <v>931</v>
      </c>
      <c r="K231" s="406"/>
      <c r="L231" s="406" t="s">
        <v>932</v>
      </c>
      <c r="M231" s="406" t="s">
        <v>933</v>
      </c>
      <c r="N231" s="752"/>
      <c r="O231" s="752"/>
      <c r="P231" s="753"/>
      <c r="Q231" s="730">
        <v>0</v>
      </c>
      <c r="R231" s="731">
        <v>0</v>
      </c>
      <c r="S231" s="732" t="str">
        <f>IF(CampList[[#This Row],[HH]]&gt;0,CampList[[#This Row],[Total]]/CampList[[#This Row],[HH]],"NA")</f>
        <v>NA</v>
      </c>
      <c r="T231" s="722" t="s">
        <v>514</v>
      </c>
      <c r="U231" s="726" t="s">
        <v>1193</v>
      </c>
      <c r="V231" s="722" t="s">
        <v>555</v>
      </c>
      <c r="W231" s="722" t="s">
        <v>857</v>
      </c>
      <c r="X231" s="754"/>
      <c r="Y231" s="753"/>
      <c r="Z231" s="736"/>
      <c r="AA231" s="736" t="s">
        <v>843</v>
      </c>
      <c r="AB231" s="736"/>
      <c r="AC231" s="744">
        <v>41289</v>
      </c>
      <c r="AD231" s="728" t="s">
        <v>937</v>
      </c>
      <c r="AE231" s="755" t="s">
        <v>1009</v>
      </c>
      <c r="AF231" s="663">
        <f>IF(CampList[[#This Row],[Type of Accomodation]]="camp",MAX(0,CampList[[#This Row],[HH]]-SUMIF(Table_Shelter[Pcode],CampList[[#This Row],[CP_Pcode]],Table_Shelter[HH Covered])),0)</f>
        <v>0</v>
      </c>
      <c r="AG231" s="722"/>
      <c r="AH231" s="736">
        <f>MIN(CampList[[#This Row],[Shelter Gap]],CampList[[#This Row],[Land Status]])</f>
        <v>0</v>
      </c>
      <c r="AI231" s="722" t="str">
        <f ca="1">IFERROR(OFFSET(DistanceToCamp[Nearest Town],MATCH(CampList[[#This Row],[CP_Pcode]],DistanceToCamp[CP_Pcode],0)-1,0,1,1),"")</f>
        <v/>
      </c>
      <c r="AJ231" s="739" t="str">
        <f ca="1">IFERROR(OFFSET(DistanceToCamp[distance],MATCH(CampList[[#This Row],[CP_Pcode]],DistanceToCamp[CP_Pcode],0)-1,0,1,1),"")</f>
        <v/>
      </c>
      <c r="AK231" s="740" t="str">
        <f ca="1">IFERROR(INT(CampList[[#This Row],[Distance]]/5)+1,"")</f>
        <v/>
      </c>
    </row>
    <row r="232" spans="1:37" s="512" customFormat="1" ht="15.6" customHeight="1" x14ac:dyDescent="0.25">
      <c r="A232" s="656" t="s">
        <v>501</v>
      </c>
      <c r="B232" s="406" t="s">
        <v>380</v>
      </c>
      <c r="C232" s="406" t="s">
        <v>526</v>
      </c>
      <c r="D232" s="406" t="s">
        <v>300</v>
      </c>
      <c r="E232" s="406" t="s">
        <v>547</v>
      </c>
      <c r="F232" s="406" t="s">
        <v>300</v>
      </c>
      <c r="G232" s="406" t="s">
        <v>553</v>
      </c>
      <c r="H232" s="214" t="s">
        <v>801</v>
      </c>
      <c r="I232" s="757" t="s">
        <v>802</v>
      </c>
      <c r="J232" s="214" t="s">
        <v>1269</v>
      </c>
      <c r="K232" s="728" t="s">
        <v>1270</v>
      </c>
      <c r="L232" s="214" t="s">
        <v>1263</v>
      </c>
      <c r="M232" s="406" t="s">
        <v>1262</v>
      </c>
      <c r="N232" s="776">
        <v>97.416121000000004</v>
      </c>
      <c r="O232" s="776">
        <v>27.337499999999999</v>
      </c>
      <c r="P232" s="753"/>
      <c r="Q232" s="663">
        <v>59</v>
      </c>
      <c r="R232" s="663">
        <v>370</v>
      </c>
      <c r="S232" s="732">
        <f>IF(CampList[[#This Row],[HH]]&gt;0,CampList[[#This Row],[Total]]/CampList[[#This Row],[HH]],"NA")</f>
        <v>6.2711864406779663</v>
      </c>
      <c r="T232" s="722" t="s">
        <v>512</v>
      </c>
      <c r="U232" s="726" t="s">
        <v>1193</v>
      </c>
      <c r="V232" s="722" t="s">
        <v>555</v>
      </c>
      <c r="W232" s="663" t="s">
        <v>804</v>
      </c>
      <c r="X232" s="754">
        <v>42180</v>
      </c>
      <c r="Y232" s="729"/>
      <c r="Z232" s="729" t="s">
        <v>461</v>
      </c>
      <c r="AA232" s="736" t="s">
        <v>843</v>
      </c>
      <c r="AB232" s="752"/>
      <c r="AC232" s="744">
        <v>42569</v>
      </c>
      <c r="AD232" s="758" t="s">
        <v>1497</v>
      </c>
      <c r="AE232" s="759"/>
      <c r="AF232" s="760">
        <f>IF(CampList[[#This Row],[Type of Accomodation]]="camp",MAX(0,CampList[[#This Row],[HH]]-SUMIF(Table_Shelter[Pcode],CampList[[#This Row],[CP_Pcode]],Table_Shelter[HH Covered])),0)</f>
        <v>0</v>
      </c>
      <c r="AG232" s="663"/>
      <c r="AH232" s="741">
        <f>MIN(CampList[[#This Row],[Shelter Gap]],CampList[[#This Row],[Land Status]])</f>
        <v>0</v>
      </c>
      <c r="AI232" s="760" t="str">
        <f ca="1">IFERROR(OFFSET(DistanceToCamp[Nearest Town],MATCH(CampList[[#This Row],[CP_Pcode]],DistanceToCamp[CP_Pcode],0)-1,0,1,1),"")</f>
        <v/>
      </c>
      <c r="AJ232" s="739" t="str">
        <f ca="1">IFERROR(OFFSET(DistanceToCamp[distance],MATCH(CampList[[#This Row],[CP_Pcode]],DistanceToCamp[CP_Pcode],0)-1,0,1,1),"")</f>
        <v/>
      </c>
      <c r="AK232" s="761" t="str">
        <f ca="1">IFERROR(INT(CampList[[#This Row],[Distance]]/5)+1,"")</f>
        <v/>
      </c>
    </row>
    <row r="233" spans="1:37" s="512" customFormat="1" ht="15.6" customHeight="1" x14ac:dyDescent="0.25">
      <c r="A233" s="656" t="s">
        <v>501</v>
      </c>
      <c r="B233" s="406" t="s">
        <v>380</v>
      </c>
      <c r="C233" s="406" t="s">
        <v>526</v>
      </c>
      <c r="D233" s="406" t="s">
        <v>180</v>
      </c>
      <c r="E233" s="406" t="s">
        <v>527</v>
      </c>
      <c r="F233" s="406" t="s">
        <v>173</v>
      </c>
      <c r="G233" s="406" t="s">
        <v>546</v>
      </c>
      <c r="H233" s="406" t="s">
        <v>1276</v>
      </c>
      <c r="I233" s="406" t="s">
        <v>1277</v>
      </c>
      <c r="J233" s="406" t="s">
        <v>1276</v>
      </c>
      <c r="K233" s="748">
        <v>166724</v>
      </c>
      <c r="L233" s="406" t="s">
        <v>1281</v>
      </c>
      <c r="M233" s="406" t="s">
        <v>1272</v>
      </c>
      <c r="N233" s="630"/>
      <c r="O233" s="630"/>
      <c r="P233" s="753"/>
      <c r="Q233" s="663">
        <v>24</v>
      </c>
      <c r="R233" s="755">
        <v>83</v>
      </c>
      <c r="S233" s="732">
        <f>IF(CampList[[#This Row],[HH]]&gt;0,CampList[[#This Row],[Total]]/CampList[[#This Row],[HH]],"NA")</f>
        <v>3.4583333333333335</v>
      </c>
      <c r="T233" s="722" t="s">
        <v>512</v>
      </c>
      <c r="U233" s="726" t="s">
        <v>1193</v>
      </c>
      <c r="V233" s="722" t="s">
        <v>12</v>
      </c>
      <c r="W233" s="722" t="s">
        <v>857</v>
      </c>
      <c r="X233" s="754">
        <v>42125</v>
      </c>
      <c r="Y233" s="753"/>
      <c r="Z233" s="736"/>
      <c r="AA233" s="736" t="s">
        <v>842</v>
      </c>
      <c r="AB233" s="736"/>
      <c r="AC233" s="744">
        <v>42180</v>
      </c>
      <c r="AD233" s="728" t="s">
        <v>1275</v>
      </c>
      <c r="AE233" s="755"/>
      <c r="AF233" s="663">
        <f>IF(CampList[[#This Row],[Type of Accomodation]]="camp",MAX(0,CampList[[#This Row],[HH]]-SUMIF(Table_Shelter[Pcode],CampList[[#This Row],[CP_Pcode]],Table_Shelter[HH Covered])),0)</f>
        <v>0</v>
      </c>
      <c r="AG233" s="722"/>
      <c r="AH233" s="736">
        <f>MIN(CampList[[#This Row],[Shelter Gap]],CampList[[#This Row],[Land Status]])</f>
        <v>0</v>
      </c>
      <c r="AI233" s="722" t="str">
        <f ca="1">IFERROR(OFFSET(DistanceToCamp[Nearest Town],MATCH(CampList[[#This Row],[CP_Pcode]],DistanceToCamp[CP_Pcode],0)-1,0,1,1),"")</f>
        <v/>
      </c>
      <c r="AJ233" s="739" t="str">
        <f ca="1">IFERROR(OFFSET(DistanceToCamp[distance],MATCH(CampList[[#This Row],[CP_Pcode]],DistanceToCamp[CP_Pcode],0)-1,0,1,1),"")</f>
        <v/>
      </c>
      <c r="AK233" s="740" t="str">
        <f ca="1">IFERROR(INT(CampList[[#This Row],[Distance]]/5)+1,"")</f>
        <v/>
      </c>
    </row>
    <row r="234" spans="1:37" s="512" customFormat="1" ht="15.6" customHeight="1" x14ac:dyDescent="0.25">
      <c r="A234" s="656" t="s">
        <v>501</v>
      </c>
      <c r="B234" s="406" t="s">
        <v>380</v>
      </c>
      <c r="C234" s="406" t="s">
        <v>526</v>
      </c>
      <c r="D234" s="406" t="s">
        <v>180</v>
      </c>
      <c r="E234" s="406" t="s">
        <v>527</v>
      </c>
      <c r="F234" s="406" t="s">
        <v>173</v>
      </c>
      <c r="G234" s="406" t="s">
        <v>546</v>
      </c>
      <c r="H234" s="406" t="s">
        <v>1276</v>
      </c>
      <c r="I234" s="406" t="s">
        <v>1277</v>
      </c>
      <c r="J234" s="406" t="s">
        <v>1276</v>
      </c>
      <c r="K234" s="406">
        <v>166724</v>
      </c>
      <c r="L234" s="406" t="s">
        <v>1280</v>
      </c>
      <c r="M234" s="406" t="s">
        <v>1273</v>
      </c>
      <c r="N234" s="630"/>
      <c r="O234" s="630"/>
      <c r="P234" s="753"/>
      <c r="Q234" s="663">
        <v>30</v>
      </c>
      <c r="R234" s="664">
        <v>137</v>
      </c>
      <c r="S234" s="732">
        <f>IF(CampList[[#This Row],[HH]]&gt;0,CampList[[#This Row],[Total]]/CampList[[#This Row],[HH]],"NA")</f>
        <v>4.5666666666666664</v>
      </c>
      <c r="T234" s="722" t="s">
        <v>512</v>
      </c>
      <c r="U234" s="726" t="s">
        <v>1193</v>
      </c>
      <c r="V234" s="722" t="s">
        <v>555</v>
      </c>
      <c r="W234" s="722" t="s">
        <v>857</v>
      </c>
      <c r="X234" s="754">
        <v>42125</v>
      </c>
      <c r="Y234" s="729"/>
      <c r="Z234" s="734" t="s">
        <v>461</v>
      </c>
      <c r="AA234" s="736" t="s">
        <v>842</v>
      </c>
      <c r="AB234" s="736"/>
      <c r="AC234" s="744">
        <v>42569</v>
      </c>
      <c r="AD234" s="728" t="s">
        <v>1486</v>
      </c>
      <c r="AE234" s="755"/>
      <c r="AF234" s="663">
        <f>IF(CampList[[#This Row],[Type of Accomodation]]="camp",MAX(0,CampList[[#This Row],[HH]]-SUMIF(Table_Shelter[Pcode],CampList[[#This Row],[CP_Pcode]],Table_Shelter[HH Covered])),0)</f>
        <v>0</v>
      </c>
      <c r="AG234" s="722"/>
      <c r="AH234" s="736">
        <f>MIN(CampList[[#This Row],[Shelter Gap]],CampList[[#This Row],[Land Status]])</f>
        <v>0</v>
      </c>
      <c r="AI234" s="722" t="str">
        <f ca="1">IFERROR(OFFSET(DistanceToCamp[Nearest Town],MATCH(CampList[[#This Row],[CP_Pcode]],DistanceToCamp[CP_Pcode],0)-1,0,1,1),"")</f>
        <v/>
      </c>
      <c r="AJ234" s="739" t="str">
        <f ca="1">IFERROR(OFFSET(DistanceToCamp[distance],MATCH(CampList[[#This Row],[CP_Pcode]],DistanceToCamp[CP_Pcode],0)-1,0,1,1),"")</f>
        <v/>
      </c>
      <c r="AK234" s="740" t="str">
        <f ca="1">IFERROR(INT(CampList[[#This Row],[Distance]]/5)+1,"")</f>
        <v/>
      </c>
    </row>
    <row r="235" spans="1:37" s="512" customFormat="1" ht="15.6" hidden="1" customHeight="1" x14ac:dyDescent="0.25">
      <c r="A235" s="656" t="s">
        <v>844</v>
      </c>
      <c r="B235" s="406" t="s">
        <v>554</v>
      </c>
      <c r="C235" s="406" t="s">
        <v>537</v>
      </c>
      <c r="D235" s="406" t="s">
        <v>230</v>
      </c>
      <c r="E235" s="406" t="s">
        <v>538</v>
      </c>
      <c r="F235" s="406" t="s">
        <v>146</v>
      </c>
      <c r="G235" s="406" t="s">
        <v>545</v>
      </c>
      <c r="H235" s="406" t="s">
        <v>931</v>
      </c>
      <c r="I235" s="406"/>
      <c r="J235" s="406" t="s">
        <v>931</v>
      </c>
      <c r="K235" s="406"/>
      <c r="L235" s="406" t="s">
        <v>934</v>
      </c>
      <c r="M235" s="406" t="s">
        <v>935</v>
      </c>
      <c r="N235" s="752"/>
      <c r="O235" s="752"/>
      <c r="P235" s="753"/>
      <c r="Q235" s="730">
        <v>0</v>
      </c>
      <c r="R235" s="731">
        <v>0</v>
      </c>
      <c r="S235" s="732" t="str">
        <f>IF(CampList[[#This Row],[HH]]&gt;0,CampList[[#This Row],[Total]]/CampList[[#This Row],[HH]],"NA")</f>
        <v>NA</v>
      </c>
      <c r="T235" s="722" t="s">
        <v>514</v>
      </c>
      <c r="U235" s="726" t="s">
        <v>1193</v>
      </c>
      <c r="V235" s="722" t="s">
        <v>555</v>
      </c>
      <c r="W235" s="722" t="s">
        <v>857</v>
      </c>
      <c r="X235" s="754"/>
      <c r="Y235" s="753"/>
      <c r="Z235" s="736"/>
      <c r="AA235" s="736" t="s">
        <v>843</v>
      </c>
      <c r="AB235" s="736"/>
      <c r="AC235" s="744">
        <v>41289</v>
      </c>
      <c r="AD235" s="728" t="s">
        <v>938</v>
      </c>
      <c r="AE235" s="755" t="s">
        <v>1009</v>
      </c>
      <c r="AF235" s="663">
        <f>IF(CampList[[#This Row],[Type of Accomodation]]="camp",MAX(0,CampList[[#This Row],[HH]]-SUMIF(Table_Shelter[Pcode],CampList[[#This Row],[CP_Pcode]],Table_Shelter[HH Covered])),0)</f>
        <v>0</v>
      </c>
      <c r="AG235" s="722"/>
      <c r="AH235" s="736">
        <f>MIN(CampList[[#This Row],[Shelter Gap]],CampList[[#This Row],[Land Status]])</f>
        <v>0</v>
      </c>
      <c r="AI235" s="722" t="str">
        <f ca="1">IFERROR(OFFSET(DistanceToCamp[Nearest Town],MATCH(CampList[[#This Row],[CP_Pcode]],DistanceToCamp[CP_Pcode],0)-1,0,1,1),"")</f>
        <v/>
      </c>
      <c r="AJ235" s="739" t="str">
        <f ca="1">IFERROR(OFFSET(DistanceToCamp[distance],MATCH(CampList[[#This Row],[CP_Pcode]],DistanceToCamp[CP_Pcode],0)-1,0,1,1),"")</f>
        <v/>
      </c>
      <c r="AK235" s="740" t="str">
        <f ca="1">IFERROR(INT(CampList[[#This Row],[Distance]]/5)+1,"")</f>
        <v/>
      </c>
    </row>
    <row r="236" spans="1:37" s="512" customFormat="1" ht="15.6" customHeight="1" x14ac:dyDescent="0.25">
      <c r="A236" s="656" t="s">
        <v>501</v>
      </c>
      <c r="B236" s="406" t="s">
        <v>554</v>
      </c>
      <c r="C236" s="406" t="s">
        <v>537</v>
      </c>
      <c r="D236" s="406" t="s">
        <v>230</v>
      </c>
      <c r="E236" s="406" t="s">
        <v>538</v>
      </c>
      <c r="F236" s="406" t="s">
        <v>230</v>
      </c>
      <c r="G236" s="406" t="s">
        <v>539</v>
      </c>
      <c r="H236" s="406" t="s">
        <v>1051</v>
      </c>
      <c r="I236" s="406" t="s">
        <v>1052</v>
      </c>
      <c r="J236" s="406" t="s">
        <v>1053</v>
      </c>
      <c r="K236" s="748" t="s">
        <v>1054</v>
      </c>
      <c r="L236" s="406" t="s">
        <v>1055</v>
      </c>
      <c r="M236" s="406" t="s">
        <v>1056</v>
      </c>
      <c r="N236" s="630">
        <v>97.909400000000005</v>
      </c>
      <c r="O236" s="630">
        <v>24.006319999999999</v>
      </c>
      <c r="P236" s="753">
        <v>812.7</v>
      </c>
      <c r="Q236" s="663">
        <v>52</v>
      </c>
      <c r="R236" s="663">
        <v>212</v>
      </c>
      <c r="S236" s="732">
        <f>IF(CampList[[#This Row],[HH]]&gt;0,CampList[[#This Row],[Total]]/CampList[[#This Row],[HH]],"NA")</f>
        <v>4.0769230769230766</v>
      </c>
      <c r="T236" s="722" t="s">
        <v>512</v>
      </c>
      <c r="U236" s="726" t="s">
        <v>1193</v>
      </c>
      <c r="V236" s="722" t="s">
        <v>555</v>
      </c>
      <c r="W236" s="722" t="s">
        <v>804</v>
      </c>
      <c r="X236" s="754">
        <v>41703</v>
      </c>
      <c r="Y236" s="753"/>
      <c r="Z236" s="736" t="s">
        <v>461</v>
      </c>
      <c r="AA236" s="736" t="s">
        <v>843</v>
      </c>
      <c r="AB236" s="736"/>
      <c r="AC236" s="744">
        <v>42569</v>
      </c>
      <c r="AD236" s="728" t="s">
        <v>1491</v>
      </c>
      <c r="AE236" s="755" t="s">
        <v>1095</v>
      </c>
      <c r="AF236" s="663">
        <f>IF(CampList[[#This Row],[Type of Accomodation]]="camp",MAX(0,CampList[[#This Row],[HH]]-SUMIF(Table_Shelter[Pcode],CampList[[#This Row],[CP_Pcode]],Table_Shelter[HH Covered])),0)</f>
        <v>8</v>
      </c>
      <c r="AG236" s="722"/>
      <c r="AH236" s="736">
        <f>MIN(CampList[[#This Row],[Shelter Gap]],CampList[[#This Row],[Land Status]])</f>
        <v>8</v>
      </c>
      <c r="AI236" s="722" t="str">
        <f ca="1">IFERROR(OFFSET(DistanceToCamp[Nearest Town],MATCH(CampList[[#This Row],[CP_Pcode]],DistanceToCamp[CP_Pcode],0)-1,0,1,1),"")</f>
        <v>Muse Town</v>
      </c>
      <c r="AJ236" s="739">
        <f ca="1">IFERROR(OFFSET(DistanceToCamp[distance],MATCH(CampList[[#This Row],[CP_Pcode]],DistanceToCamp[CP_Pcode],0)-1,0,1,1),"")</f>
        <v>1.989668595899414</v>
      </c>
      <c r="AK236" s="740">
        <f ca="1">IFERROR(INT(CampList[[#This Row],[Distance]]/5)+1,"")</f>
        <v>1</v>
      </c>
    </row>
    <row r="237" spans="1:37" s="555" customFormat="1" ht="15.6" customHeight="1" x14ac:dyDescent="0.25">
      <c r="A237" s="756" t="s">
        <v>501</v>
      </c>
      <c r="B237" s="214" t="s">
        <v>380</v>
      </c>
      <c r="C237" s="406" t="s">
        <v>526</v>
      </c>
      <c r="D237" s="406" t="s">
        <v>180</v>
      </c>
      <c r="E237" s="406" t="s">
        <v>527</v>
      </c>
      <c r="F237" s="214" t="s">
        <v>173</v>
      </c>
      <c r="G237" s="214" t="s">
        <v>546</v>
      </c>
      <c r="H237" s="214" t="s">
        <v>633</v>
      </c>
      <c r="I237" s="757" t="s">
        <v>634</v>
      </c>
      <c r="J237" s="214" t="s">
        <v>635</v>
      </c>
      <c r="K237" s="214">
        <v>166676</v>
      </c>
      <c r="L237" s="214" t="s">
        <v>1271</v>
      </c>
      <c r="M237" s="214" t="s">
        <v>1274</v>
      </c>
      <c r="N237" s="752"/>
      <c r="O237" s="752"/>
      <c r="P237" s="753"/>
      <c r="Q237" s="663">
        <v>7</v>
      </c>
      <c r="R237" s="755">
        <v>32</v>
      </c>
      <c r="S237" s="732">
        <f>IF(CampList[[#This Row],[HH]]&gt;0,CampList[[#This Row],[Total]]/CampList[[#This Row],[HH]],"NA")</f>
        <v>4.5714285714285712</v>
      </c>
      <c r="T237" s="663" t="s">
        <v>512</v>
      </c>
      <c r="U237" s="722" t="s">
        <v>1193</v>
      </c>
      <c r="V237" s="663" t="s">
        <v>555</v>
      </c>
      <c r="W237" s="663" t="s">
        <v>804</v>
      </c>
      <c r="X237" s="754">
        <v>42125</v>
      </c>
      <c r="Y237" s="729"/>
      <c r="Z237" s="729" t="s">
        <v>1092</v>
      </c>
      <c r="AA237" s="752" t="s">
        <v>842</v>
      </c>
      <c r="AB237" s="752"/>
      <c r="AC237" s="744">
        <v>42565</v>
      </c>
      <c r="AD237" s="758" t="s">
        <v>1429</v>
      </c>
      <c r="AE237" s="759"/>
      <c r="AF237" s="760">
        <f>IF(CampList[[#This Row],[Type of Accomodation]]="camp",MAX(0,CampList[[#This Row],[HH]]-SUMIF(Table_Shelter[Pcode],CampList[[#This Row],[CP_Pcode]],Table_Shelter[HH Covered])),0)</f>
        <v>7</v>
      </c>
      <c r="AG237" s="663"/>
      <c r="AH237" s="741">
        <f>MIN(CampList[[#This Row],[Shelter Gap]],CampList[[#This Row],[Land Status]])</f>
        <v>7</v>
      </c>
      <c r="AI237" s="760" t="str">
        <f ca="1">IFERROR(OFFSET(DistanceToCamp[Nearest Town],MATCH(CampList[[#This Row],[CP_Pcode]],DistanceToCamp[CP_Pcode],0)-1,0,1,1),"")</f>
        <v/>
      </c>
      <c r="AJ237" s="739" t="str">
        <f ca="1">IFERROR(OFFSET(DistanceToCamp[distance],MATCH(CampList[[#This Row],[CP_Pcode]],DistanceToCamp[CP_Pcode],0)-1,0,1,1),"")</f>
        <v/>
      </c>
      <c r="AK237" s="761" t="str">
        <f ca="1">IFERROR(INT(CampList[[#This Row],[Distance]]/5)+1,"")</f>
        <v/>
      </c>
    </row>
    <row r="238" spans="1:37" s="512" customFormat="1" ht="15.6" customHeight="1" x14ac:dyDescent="0.25">
      <c r="A238" s="756" t="s">
        <v>501</v>
      </c>
      <c r="B238" s="214" t="s">
        <v>380</v>
      </c>
      <c r="C238" s="406" t="s">
        <v>526</v>
      </c>
      <c r="D238" s="406" t="s">
        <v>300</v>
      </c>
      <c r="E238" s="406" t="s">
        <v>547</v>
      </c>
      <c r="F238" s="406" t="s">
        <v>809</v>
      </c>
      <c r="G238" s="406" t="s">
        <v>810</v>
      </c>
      <c r="H238" s="214"/>
      <c r="I238" s="757"/>
      <c r="J238" s="214"/>
      <c r="K238" s="214"/>
      <c r="L238" s="406" t="s">
        <v>1301</v>
      </c>
      <c r="M238" s="214" t="s">
        <v>1302</v>
      </c>
      <c r="N238" s="776">
        <v>97.745480999999998</v>
      </c>
      <c r="O238" s="776">
        <v>26.569633</v>
      </c>
      <c r="P238" s="753"/>
      <c r="Q238" s="663">
        <v>161</v>
      </c>
      <c r="R238" s="755">
        <v>711</v>
      </c>
      <c r="S238" s="732">
        <f>IF(CampList[[#This Row],[HH]]&gt;0,CampList[[#This Row],[Total]]/CampList[[#This Row],[HH]],"NA")</f>
        <v>4.4161490683229809</v>
      </c>
      <c r="T238" s="663" t="s">
        <v>512</v>
      </c>
      <c r="U238" s="722" t="s">
        <v>1193</v>
      </c>
      <c r="V238" s="663" t="s">
        <v>555</v>
      </c>
      <c r="W238" s="663"/>
      <c r="X238" s="754"/>
      <c r="Y238" s="753"/>
      <c r="Z238" s="753"/>
      <c r="AA238" s="752"/>
      <c r="AB238" s="752"/>
      <c r="AC238" s="744">
        <v>42279</v>
      </c>
      <c r="AD238" s="816" t="s">
        <v>1303</v>
      </c>
      <c r="AE238" s="759"/>
      <c r="AF238" s="760">
        <f>IF(CampList[[#This Row],[Type of Accomodation]]="camp",MAX(0,CampList[[#This Row],[HH]]-SUMIF(Table_Shelter[Pcode],CampList[[#This Row],[CP_Pcode]],Table_Shelter[HH Covered])),0)</f>
        <v>161</v>
      </c>
      <c r="AG238" s="663"/>
      <c r="AH238" s="741">
        <f>MIN(CampList[[#This Row],[Shelter Gap]],CampList[[#This Row],[Land Status]])</f>
        <v>161</v>
      </c>
      <c r="AI238" s="760" t="str">
        <f ca="1">IFERROR(OFFSET(DistanceToCamp[Nearest Town],MATCH(CampList[[#This Row],[CP_Pcode]],DistanceToCamp[CP_Pcode],0)-1,0,1,1),"")</f>
        <v/>
      </c>
      <c r="AJ238" s="739" t="str">
        <f ca="1">IFERROR(OFFSET(DistanceToCamp[distance],MATCH(CampList[[#This Row],[CP_Pcode]],DistanceToCamp[CP_Pcode],0)-1,0,1,1),"")</f>
        <v/>
      </c>
      <c r="AK238" s="761" t="str">
        <f ca="1">IFERROR(INT(CampList[[#This Row],[Distance]]/5)+1,"")</f>
        <v/>
      </c>
    </row>
    <row r="239" spans="1:37" s="512" customFormat="1" ht="15.6" customHeight="1" x14ac:dyDescent="0.25">
      <c r="A239" s="656" t="s">
        <v>501</v>
      </c>
      <c r="B239" s="406" t="s">
        <v>554</v>
      </c>
      <c r="C239" s="406" t="s">
        <v>537</v>
      </c>
      <c r="D239" s="406" t="s">
        <v>230</v>
      </c>
      <c r="E239" s="406" t="s">
        <v>538</v>
      </c>
      <c r="F239" s="406" t="s">
        <v>289</v>
      </c>
      <c r="G239" s="406" t="s">
        <v>550</v>
      </c>
      <c r="H239" s="406" t="s">
        <v>752</v>
      </c>
      <c r="I239" s="406" t="s">
        <v>753</v>
      </c>
      <c r="J239" s="406" t="s">
        <v>752</v>
      </c>
      <c r="K239" s="406">
        <v>208353</v>
      </c>
      <c r="L239" s="406" t="s">
        <v>1057</v>
      </c>
      <c r="M239" s="406" t="s">
        <v>1058</v>
      </c>
      <c r="N239" s="630">
        <v>97.700940000000003</v>
      </c>
      <c r="O239" s="630">
        <v>23.841646999999998</v>
      </c>
      <c r="P239" s="753">
        <v>798</v>
      </c>
      <c r="Q239" s="663">
        <v>35</v>
      </c>
      <c r="R239" s="663">
        <v>198</v>
      </c>
      <c r="S239" s="732">
        <f>IF(CampList[[#This Row],[HH]]&gt;0,CampList[[#This Row],[Total]]/CampList[[#This Row],[HH]],"NA")</f>
        <v>5.6571428571428575</v>
      </c>
      <c r="T239" s="722" t="s">
        <v>512</v>
      </c>
      <c r="U239" s="726" t="s">
        <v>1193</v>
      </c>
      <c r="V239" s="722" t="s">
        <v>555</v>
      </c>
      <c r="W239" s="722" t="s">
        <v>804</v>
      </c>
      <c r="X239" s="754">
        <v>41947</v>
      </c>
      <c r="Y239" s="729"/>
      <c r="Z239" s="734" t="s">
        <v>461</v>
      </c>
      <c r="AA239" s="736" t="s">
        <v>843</v>
      </c>
      <c r="AB239" s="736"/>
      <c r="AC239" s="744">
        <v>42569</v>
      </c>
      <c r="AD239" s="728" t="s">
        <v>1485</v>
      </c>
      <c r="AE239" s="755" t="s">
        <v>1095</v>
      </c>
      <c r="AF239" s="663">
        <f>IF(CampList[[#This Row],[Type of Accomodation]]="camp",MAX(0,CampList[[#This Row],[HH]]-SUMIF(Table_Shelter[Pcode],CampList[[#This Row],[CP_Pcode]],Table_Shelter[HH Covered])),0)</f>
        <v>0</v>
      </c>
      <c r="AG239" s="722"/>
      <c r="AH239" s="736">
        <f>MIN(CampList[[#This Row],[Shelter Gap]],CampList[[#This Row],[Land Status]])</f>
        <v>0</v>
      </c>
      <c r="AI239" s="722" t="str">
        <f ca="1">IFERROR(OFFSET(DistanceToCamp[Nearest Town],MATCH(CampList[[#This Row],[CP_Pcode]],DistanceToCamp[CP_Pcode],0)-1,0,1,1),"")</f>
        <v>Namhkan Town</v>
      </c>
      <c r="AJ239" s="739">
        <f ca="1">IFERROR(OFFSET(DistanceToCamp[distance],MATCH(CampList[[#This Row],[CP_Pcode]],DistanceToCamp[CP_Pcode],0)-1,0,1,1),"")</f>
        <v>2.0141034419413328</v>
      </c>
      <c r="AK239" s="740">
        <f ca="1">IFERROR(INT(CampList[[#This Row],[Distance]]/5)+1,"")</f>
        <v>1</v>
      </c>
    </row>
    <row r="240" spans="1:37" s="512" customFormat="1" ht="15.6" customHeight="1" x14ac:dyDescent="0.25">
      <c r="A240" s="656" t="s">
        <v>501</v>
      </c>
      <c r="B240" s="406" t="s">
        <v>554</v>
      </c>
      <c r="C240" s="406" t="s">
        <v>537</v>
      </c>
      <c r="D240" s="406" t="s">
        <v>230</v>
      </c>
      <c r="E240" s="406" t="s">
        <v>538</v>
      </c>
      <c r="F240" s="406" t="s">
        <v>289</v>
      </c>
      <c r="G240" s="406" t="s">
        <v>550</v>
      </c>
      <c r="H240" s="406" t="s">
        <v>1060</v>
      </c>
      <c r="I240" s="406" t="s">
        <v>1059</v>
      </c>
      <c r="J240" s="406" t="s">
        <v>1061</v>
      </c>
      <c r="K240" s="748">
        <v>208338</v>
      </c>
      <c r="L240" s="406" t="s">
        <v>1069</v>
      </c>
      <c r="M240" s="406" t="s">
        <v>1062</v>
      </c>
      <c r="N240" s="630">
        <v>97.709879999999998</v>
      </c>
      <c r="O240" s="630">
        <v>23.838190000000001</v>
      </c>
      <c r="P240" s="753">
        <v>829.8</v>
      </c>
      <c r="Q240" s="663">
        <v>123</v>
      </c>
      <c r="R240" s="663">
        <v>575</v>
      </c>
      <c r="S240" s="732">
        <f>IF(CampList[[#This Row],[HH]]&gt;0,CampList[[#This Row],[Total]]/CampList[[#This Row],[HH]],"NA")</f>
        <v>4.6747967479674797</v>
      </c>
      <c r="T240" s="722" t="s">
        <v>512</v>
      </c>
      <c r="U240" s="726" t="s">
        <v>1193</v>
      </c>
      <c r="V240" s="722" t="s">
        <v>555</v>
      </c>
      <c r="W240" s="722" t="s">
        <v>804</v>
      </c>
      <c r="X240" s="754">
        <v>41747</v>
      </c>
      <c r="Y240" s="753"/>
      <c r="Z240" s="736" t="s">
        <v>461</v>
      </c>
      <c r="AA240" s="736" t="s">
        <v>843</v>
      </c>
      <c r="AB240" s="736"/>
      <c r="AC240" s="744">
        <v>42569</v>
      </c>
      <c r="AD240" s="728" t="s">
        <v>1492</v>
      </c>
      <c r="AE240" s="755" t="s">
        <v>1095</v>
      </c>
      <c r="AF240" s="663">
        <f>IF(CampList[[#This Row],[Type of Accomodation]]="camp",MAX(0,CampList[[#This Row],[HH]]-SUMIF(Table_Shelter[Pcode],CampList[[#This Row],[CP_Pcode]],Table_Shelter[HH Covered])),0)</f>
        <v>51</v>
      </c>
      <c r="AG240" s="722"/>
      <c r="AH240" s="736">
        <f>MIN(CampList[[#This Row],[Shelter Gap]],CampList[[#This Row],[Land Status]])</f>
        <v>51</v>
      </c>
      <c r="AI240" s="722" t="str">
        <f ca="1">IFERROR(OFFSET(DistanceToCamp[Nearest Town],MATCH(CampList[[#This Row],[CP_Pcode]],DistanceToCamp[CP_Pcode],0)-1,0,1,1),"")</f>
        <v>Namhkan Town</v>
      </c>
      <c r="AJ240" s="739">
        <f ca="1">IFERROR(OFFSET(DistanceToCamp[distance],MATCH(CampList[[#This Row],[CP_Pcode]],DistanceToCamp[CP_Pcode],0)-1,0,1,1),"")</f>
        <v>2.8590638493982405</v>
      </c>
      <c r="AK240" s="740">
        <f ca="1">IFERROR(INT(CampList[[#This Row],[Distance]]/5)+1,"")</f>
        <v>1</v>
      </c>
    </row>
    <row r="241" spans="1:37" s="512" customFormat="1" ht="15.6" customHeight="1" x14ac:dyDescent="0.25">
      <c r="A241" s="756" t="s">
        <v>501</v>
      </c>
      <c r="B241" s="214" t="s">
        <v>380</v>
      </c>
      <c r="C241" s="406" t="s">
        <v>526</v>
      </c>
      <c r="D241" s="406" t="s">
        <v>300</v>
      </c>
      <c r="E241" s="406" t="s">
        <v>547</v>
      </c>
      <c r="F241" s="406" t="s">
        <v>809</v>
      </c>
      <c r="G241" s="406" t="s">
        <v>810</v>
      </c>
      <c r="H241" s="214"/>
      <c r="I241" s="757"/>
      <c r="J241" s="214"/>
      <c r="K241" s="214"/>
      <c r="L241" s="214" t="s">
        <v>1304</v>
      </c>
      <c r="M241" s="214" t="s">
        <v>1305</v>
      </c>
      <c r="N241" s="776">
        <v>97.75609</v>
      </c>
      <c r="O241" s="776">
        <v>26.548506</v>
      </c>
      <c r="P241" s="753"/>
      <c r="Q241" s="663"/>
      <c r="R241" s="755">
        <v>489</v>
      </c>
      <c r="S241" s="732" t="str">
        <f>IF(CampList[[#This Row],[HH]]&gt;0,CampList[[#This Row],[Total]]/CampList[[#This Row],[HH]],"NA")</f>
        <v>NA</v>
      </c>
      <c r="T241" s="663" t="s">
        <v>512</v>
      </c>
      <c r="U241" s="722" t="s">
        <v>1193</v>
      </c>
      <c r="V241" s="663" t="s">
        <v>555</v>
      </c>
      <c r="W241" s="663"/>
      <c r="X241" s="754"/>
      <c r="Y241" s="753"/>
      <c r="Z241" s="753"/>
      <c r="AA241" s="752"/>
      <c r="AB241" s="752"/>
      <c r="AC241" s="744">
        <v>42279</v>
      </c>
      <c r="AD241" s="816" t="s">
        <v>1303</v>
      </c>
      <c r="AE241" s="759"/>
      <c r="AF241" s="760">
        <f>IF(CampList[[#This Row],[Type of Accomodation]]="camp",MAX(0,CampList[[#This Row],[HH]]-SUMIF(Table_Shelter[Pcode],CampList[[#This Row],[CP_Pcode]],Table_Shelter[HH Covered])),0)</f>
        <v>0</v>
      </c>
      <c r="AG241" s="663"/>
      <c r="AH241" s="741">
        <f>MIN(CampList[[#This Row],[Shelter Gap]],CampList[[#This Row],[Land Status]])</f>
        <v>0</v>
      </c>
      <c r="AI241" s="760" t="str">
        <f ca="1">IFERROR(OFFSET(DistanceToCamp[Nearest Town],MATCH(CampList[[#This Row],[CP_Pcode]],DistanceToCamp[CP_Pcode],0)-1,0,1,1),"")</f>
        <v/>
      </c>
      <c r="AJ241" s="739" t="str">
        <f ca="1">IFERROR(OFFSET(DistanceToCamp[distance],MATCH(CampList[[#This Row],[CP_Pcode]],DistanceToCamp[CP_Pcode],0)-1,0,1,1),"")</f>
        <v/>
      </c>
      <c r="AK241" s="761" t="str">
        <f ca="1">IFERROR(INT(CampList[[#This Row],[Distance]]/5)+1,"")</f>
        <v/>
      </c>
    </row>
    <row r="242" spans="1:37" s="512" customFormat="1" ht="15.6" customHeight="1" x14ac:dyDescent="0.25">
      <c r="A242" s="756" t="s">
        <v>501</v>
      </c>
      <c r="B242" s="406" t="s">
        <v>380</v>
      </c>
      <c r="C242" s="406" t="s">
        <v>526</v>
      </c>
      <c r="D242" s="406" t="s">
        <v>5</v>
      </c>
      <c r="E242" s="406" t="s">
        <v>530</v>
      </c>
      <c r="F242" s="777" t="s">
        <v>185</v>
      </c>
      <c r="G242" s="777" t="s">
        <v>534</v>
      </c>
      <c r="H242" s="777" t="s">
        <v>1207</v>
      </c>
      <c r="I242" s="777" t="s">
        <v>1316</v>
      </c>
      <c r="J242" s="214" t="s">
        <v>717</v>
      </c>
      <c r="K242" s="406" t="s">
        <v>1410</v>
      </c>
      <c r="L242" s="406" t="s">
        <v>1317</v>
      </c>
      <c r="M242" s="406" t="s">
        <v>1318</v>
      </c>
      <c r="N242" s="778">
        <v>97.461271999999994</v>
      </c>
      <c r="O242" s="778">
        <v>24.613976000000001</v>
      </c>
      <c r="P242" s="753"/>
      <c r="Q242" s="760"/>
      <c r="R242" s="755">
        <v>49</v>
      </c>
      <c r="S242" s="732" t="str">
        <f>IF(CampList[[#This Row],[HH]]&gt;0,CampList[[#This Row],[Total]]/CampList[[#This Row],[HH]],"NA")</f>
        <v>NA</v>
      </c>
      <c r="T242" s="722" t="s">
        <v>512</v>
      </c>
      <c r="U242" s="722" t="s">
        <v>1193</v>
      </c>
      <c r="V242" s="722" t="s">
        <v>988</v>
      </c>
      <c r="W242" s="722" t="s">
        <v>857</v>
      </c>
      <c r="X242" s="773"/>
      <c r="Y242" s="743"/>
      <c r="Z242" s="742"/>
      <c r="AA242" s="736"/>
      <c r="AB242" s="736"/>
      <c r="AC242" s="744">
        <v>42317</v>
      </c>
      <c r="AD242" s="728" t="s">
        <v>1325</v>
      </c>
      <c r="AE242" s="759"/>
      <c r="AF242" s="760">
        <f>IF(CampList[[#This Row],[Type of Accomodation]]="camp",MAX(0,CampList[[#This Row],[HH]]-SUMIF(Table_Shelter[Pcode],CampList[[#This Row],[CP_Pcode]],Table_Shelter[HH Covered])),0)</f>
        <v>0</v>
      </c>
      <c r="AG242" s="722"/>
      <c r="AH242" s="741">
        <f>MIN(CampList[[#This Row],[Shelter Gap]],CampList[[#This Row],[Land Status]])</f>
        <v>0</v>
      </c>
      <c r="AI242" s="760" t="str">
        <f ca="1">IFERROR(OFFSET(DistanceToCamp[Nearest Town],MATCH(CampList[[#This Row],[CP_Pcode]],DistanceToCamp[CP_Pcode],0)-1,0,1,1),"")</f>
        <v/>
      </c>
      <c r="AJ242" s="739" t="str">
        <f ca="1">IFERROR(OFFSET(DistanceToCamp[distance],MATCH(CampList[[#This Row],[CP_Pcode]],DistanceToCamp[CP_Pcode],0)-1,0,1,1),"")</f>
        <v/>
      </c>
      <c r="AK242" s="761" t="str">
        <f ca="1">IFERROR(INT(CampList[[#This Row],[Distance]]/5)+1,"")</f>
        <v/>
      </c>
    </row>
    <row r="243" spans="1:37" s="512" customFormat="1" ht="15.6" customHeight="1" x14ac:dyDescent="0.25">
      <c r="A243" s="756" t="s">
        <v>501</v>
      </c>
      <c r="B243" s="214" t="s">
        <v>554</v>
      </c>
      <c r="C243" s="214" t="s">
        <v>537</v>
      </c>
      <c r="D243" s="214" t="s">
        <v>230</v>
      </c>
      <c r="E243" s="214" t="s">
        <v>538</v>
      </c>
      <c r="F243" s="214" t="s">
        <v>230</v>
      </c>
      <c r="G243" s="214" t="s">
        <v>539</v>
      </c>
      <c r="H243" s="214" t="s">
        <v>1051</v>
      </c>
      <c r="I243" s="757" t="s">
        <v>1052</v>
      </c>
      <c r="J243" s="214" t="s">
        <v>1053</v>
      </c>
      <c r="K243" s="214" t="s">
        <v>1054</v>
      </c>
      <c r="L243" s="214" t="s">
        <v>1065</v>
      </c>
      <c r="M243" s="214" t="s">
        <v>1066</v>
      </c>
      <c r="N243" s="752">
        <v>97.911647000000002</v>
      </c>
      <c r="O243" s="752">
        <v>24.006789000000001</v>
      </c>
      <c r="P243" s="729">
        <v>814</v>
      </c>
      <c r="Q243" s="663">
        <v>26</v>
      </c>
      <c r="R243" s="755">
        <v>118</v>
      </c>
      <c r="S243" s="732">
        <f>IF(CampList[[#This Row],[HH]]&gt;0,CampList[[#This Row],[Total]]/CampList[[#This Row],[HH]],"NA")</f>
        <v>4.5384615384615383</v>
      </c>
      <c r="T243" s="663" t="s">
        <v>512</v>
      </c>
      <c r="U243" s="722" t="s">
        <v>1193</v>
      </c>
      <c r="V243" s="663" t="s">
        <v>555</v>
      </c>
      <c r="W243" s="663" t="s">
        <v>804</v>
      </c>
      <c r="X243" s="754">
        <v>41734</v>
      </c>
      <c r="Y243" s="729"/>
      <c r="Z243" s="729" t="s">
        <v>1265</v>
      </c>
      <c r="AA243" s="752" t="s">
        <v>843</v>
      </c>
      <c r="AB243" s="752"/>
      <c r="AC243" s="744">
        <v>42565</v>
      </c>
      <c r="AD243" s="758" t="s">
        <v>1446</v>
      </c>
      <c r="AE243" s="759" t="s">
        <v>1095</v>
      </c>
      <c r="AF243" s="760">
        <f>IF(CampList[[#This Row],[Type of Accomodation]]="camp",MAX(0,CampList[[#This Row],[HH]]-SUMIF(Table_Shelter[Pcode],CampList[[#This Row],[CP_Pcode]],Table_Shelter[HH Covered])),0)</f>
        <v>0</v>
      </c>
      <c r="AG243" s="722"/>
      <c r="AH243" s="741">
        <f>MIN(CampList[[#This Row],[Shelter Gap]],CampList[[#This Row],[Land Status]])</f>
        <v>0</v>
      </c>
      <c r="AI243" s="760" t="str">
        <f ca="1">IFERROR(OFFSET(DistanceToCamp[Nearest Town],MATCH(CampList[[#This Row],[CP_Pcode]],DistanceToCamp[CP_Pcode],0)-1,0,1,1),"")</f>
        <v>Muse Town</v>
      </c>
      <c r="AJ243" s="739">
        <f ca="1">IFERROR(OFFSET(DistanceToCamp[distance],MATCH(CampList[[#This Row],[CP_Pcode]],DistanceToCamp[CP_Pcode],0)-1,0,1,1),"")</f>
        <v>2.1362355825722199</v>
      </c>
      <c r="AK243" s="761">
        <f ca="1">IFERROR(INT(CampList[[#This Row],[Distance]]/5)+1,"")</f>
        <v>1</v>
      </c>
    </row>
    <row r="244" spans="1:37" s="513" customFormat="1" ht="15.6" customHeight="1" x14ac:dyDescent="0.25">
      <c r="A244" s="756" t="s">
        <v>501</v>
      </c>
      <c r="B244" s="214" t="s">
        <v>554</v>
      </c>
      <c r="C244" s="214" t="s">
        <v>537</v>
      </c>
      <c r="D244" s="214" t="s">
        <v>230</v>
      </c>
      <c r="E244" s="214" t="s">
        <v>538</v>
      </c>
      <c r="F244" s="214" t="s">
        <v>146</v>
      </c>
      <c r="G244" s="214" t="s">
        <v>545</v>
      </c>
      <c r="H244" s="214" t="s">
        <v>786</v>
      </c>
      <c r="I244" s="757" t="s">
        <v>787</v>
      </c>
      <c r="J244" s="214" t="s">
        <v>788</v>
      </c>
      <c r="K244" s="214">
        <v>219842</v>
      </c>
      <c r="L244" s="214" t="s">
        <v>1104</v>
      </c>
      <c r="M244" s="214" t="s">
        <v>1103</v>
      </c>
      <c r="N244" s="752"/>
      <c r="O244" s="752"/>
      <c r="P244" s="729"/>
      <c r="Q244" s="663">
        <v>22</v>
      </c>
      <c r="R244" s="755">
        <v>111</v>
      </c>
      <c r="S244" s="732">
        <f>IF(CampList[[#This Row],[HH]]&gt;0,CampList[[#This Row],[Total]]/CampList[[#This Row],[HH]],"NA")</f>
        <v>5.0454545454545459</v>
      </c>
      <c r="T244" s="663" t="s">
        <v>512</v>
      </c>
      <c r="U244" s="722" t="s">
        <v>1193</v>
      </c>
      <c r="V244" s="663" t="s">
        <v>555</v>
      </c>
      <c r="W244" s="663" t="s">
        <v>857</v>
      </c>
      <c r="X244" s="754">
        <v>40787</v>
      </c>
      <c r="Y244" s="729"/>
      <c r="Z244" s="729" t="s">
        <v>1265</v>
      </c>
      <c r="AA244" s="752" t="s">
        <v>843</v>
      </c>
      <c r="AB244" s="752"/>
      <c r="AC244" s="744">
        <v>42565</v>
      </c>
      <c r="AD244" s="758" t="s">
        <v>1443</v>
      </c>
      <c r="AE244" s="759"/>
      <c r="AF244" s="760">
        <f>IF(CampList[[#This Row],[Type of Accomodation]]="camp",MAX(0,CampList[[#This Row],[HH]]-SUMIF(Table_Shelter[Pcode],CampList[[#This Row],[CP_Pcode]],Table_Shelter[HH Covered])),0)</f>
        <v>22</v>
      </c>
      <c r="AG244" s="722"/>
      <c r="AH244" s="741">
        <f>MIN(CampList[[#This Row],[Shelter Gap]],CampList[[#This Row],[Land Status]])</f>
        <v>22</v>
      </c>
      <c r="AI244" s="760" t="str">
        <f ca="1">IFERROR(OFFSET(DistanceToCamp[Nearest Town],MATCH(CampList[[#This Row],[CP_Pcode]],DistanceToCamp[CP_Pcode],0)-1,0,1,1),"")</f>
        <v/>
      </c>
      <c r="AJ244" s="739" t="str">
        <f ca="1">IFERROR(OFFSET(DistanceToCamp[distance],MATCH(CampList[[#This Row],[CP_Pcode]],DistanceToCamp[CP_Pcode],0)-1,0,1,1),"")</f>
        <v/>
      </c>
      <c r="AK244" s="761" t="str">
        <f ca="1">IFERROR(INT(CampList[[#This Row],[Distance]]/5)+1,"")</f>
        <v/>
      </c>
    </row>
    <row r="245" spans="1:37" s="555" customFormat="1" ht="15.6" customHeight="1" x14ac:dyDescent="0.25">
      <c r="A245" s="656" t="s">
        <v>501</v>
      </c>
      <c r="B245" s="406" t="s">
        <v>554</v>
      </c>
      <c r="C245" s="406" t="s">
        <v>537</v>
      </c>
      <c r="D245" s="406" t="s">
        <v>778</v>
      </c>
      <c r="E245" s="406" t="s">
        <v>779</v>
      </c>
      <c r="F245" s="406" t="s">
        <v>780</v>
      </c>
      <c r="G245" s="406" t="s">
        <v>781</v>
      </c>
      <c r="H245" s="406" t="s">
        <v>1278</v>
      </c>
      <c r="I245" s="406" t="s">
        <v>1279</v>
      </c>
      <c r="J245" s="406" t="s">
        <v>1278</v>
      </c>
      <c r="K245" s="406">
        <v>206352</v>
      </c>
      <c r="L245" s="406" t="s">
        <v>1278</v>
      </c>
      <c r="M245" s="406" t="s">
        <v>1261</v>
      </c>
      <c r="N245" s="776">
        <v>98.218626999999998</v>
      </c>
      <c r="O245" s="776">
        <v>23.354268999999999</v>
      </c>
      <c r="P245" s="753"/>
      <c r="Q245" s="663">
        <v>38</v>
      </c>
      <c r="R245" s="663">
        <v>202</v>
      </c>
      <c r="S245" s="732">
        <f>IF(CampList[[#This Row],[HH]]&gt;0,CampList[[#This Row],[Total]]/CampList[[#This Row],[HH]],"NA")</f>
        <v>5.3157894736842106</v>
      </c>
      <c r="T245" s="722" t="s">
        <v>512</v>
      </c>
      <c r="U245" s="722" t="s">
        <v>1193</v>
      </c>
      <c r="V245" s="722" t="s">
        <v>555</v>
      </c>
      <c r="W245" s="722" t="s">
        <v>857</v>
      </c>
      <c r="X245" s="754">
        <v>42036</v>
      </c>
      <c r="Y245" s="753"/>
      <c r="Z245" s="736" t="s">
        <v>461</v>
      </c>
      <c r="AA245" s="736" t="s">
        <v>843</v>
      </c>
      <c r="AB245" s="736"/>
      <c r="AC245" s="744">
        <v>42569</v>
      </c>
      <c r="AD245" s="728" t="s">
        <v>1493</v>
      </c>
      <c r="AE245" s="755"/>
      <c r="AF245" s="663">
        <f>IF(CampList[[#This Row],[Type of Accomodation]]="camp",MAX(0,CampList[[#This Row],[HH]]-SUMIF(Table_Shelter[Pcode],CampList[[#This Row],[CP_Pcode]],Table_Shelter[HH Covered])),0)</f>
        <v>3</v>
      </c>
      <c r="AG245" s="722"/>
      <c r="AH245" s="736">
        <f>MIN(CampList[[#This Row],[Shelter Gap]],CampList[[#This Row],[Land Status]])</f>
        <v>3</v>
      </c>
      <c r="AI245" s="722" t="str">
        <f ca="1">IFERROR(OFFSET(DistanceToCamp[Nearest Town],MATCH(CampList[[#This Row],[CP_Pcode]],DistanceToCamp[CP_Pcode],0)-1,0,1,1),"")</f>
        <v/>
      </c>
      <c r="AJ245" s="739" t="str">
        <f ca="1">IFERROR(OFFSET(DistanceToCamp[distance],MATCH(CampList[[#This Row],[CP_Pcode]],DistanceToCamp[CP_Pcode],0)-1,0,1,1),"")</f>
        <v/>
      </c>
      <c r="AK245" s="740" t="str">
        <f ca="1">IFERROR(INT(CampList[[#This Row],[Distance]]/5)+1,"")</f>
        <v/>
      </c>
    </row>
    <row r="246" spans="1:37" s="512" customFormat="1" ht="15.6" customHeight="1" x14ac:dyDescent="0.25">
      <c r="A246" s="656" t="s">
        <v>501</v>
      </c>
      <c r="B246" s="406" t="s">
        <v>554</v>
      </c>
      <c r="C246" s="406" t="s">
        <v>537</v>
      </c>
      <c r="D246" s="406" t="s">
        <v>230</v>
      </c>
      <c r="E246" s="214" t="s">
        <v>538</v>
      </c>
      <c r="F246" s="214" t="s">
        <v>146</v>
      </c>
      <c r="G246" s="214" t="s">
        <v>545</v>
      </c>
      <c r="H246" s="777" t="s">
        <v>767</v>
      </c>
      <c r="I246" s="757" t="s">
        <v>768</v>
      </c>
      <c r="J246" s="406"/>
      <c r="K246" s="406"/>
      <c r="L246" s="777" t="s">
        <v>1319</v>
      </c>
      <c r="M246" s="406" t="s">
        <v>1320</v>
      </c>
      <c r="N246" s="797">
        <v>97.868876999999998</v>
      </c>
      <c r="O246" s="797">
        <v>23.447111</v>
      </c>
      <c r="P246" s="729"/>
      <c r="Q246" s="760">
        <v>105</v>
      </c>
      <c r="R246" s="755">
        <v>568</v>
      </c>
      <c r="S246" s="732">
        <f>IF(CampList[[#This Row],[HH]]&gt;0,CampList[[#This Row],[Total]]/CampList[[#This Row],[HH]],"NA")</f>
        <v>5.4095238095238098</v>
      </c>
      <c r="T246" s="722" t="s">
        <v>512</v>
      </c>
      <c r="U246" s="722" t="s">
        <v>1193</v>
      </c>
      <c r="V246" s="722" t="s">
        <v>555</v>
      </c>
      <c r="W246" s="722" t="s">
        <v>857</v>
      </c>
      <c r="X246" s="773">
        <v>42036</v>
      </c>
      <c r="Y246" s="743"/>
      <c r="Z246" s="742"/>
      <c r="AA246" s="736"/>
      <c r="AB246" s="736"/>
      <c r="AC246" s="744">
        <v>42317</v>
      </c>
      <c r="AD246" s="728" t="s">
        <v>1321</v>
      </c>
      <c r="AE246" s="759"/>
      <c r="AF246" s="760">
        <f>IF(CampList[[#This Row],[Type of Accomodation]]="camp",MAX(0,CampList[[#This Row],[HH]]-SUMIF(Table_Shelter[Pcode],CampList[[#This Row],[CP_Pcode]],Table_Shelter[HH Covered])),0)</f>
        <v>105</v>
      </c>
      <c r="AG246" s="722"/>
      <c r="AH246" s="741">
        <f>MIN(CampList[[#This Row],[Shelter Gap]],CampList[[#This Row],[Land Status]])</f>
        <v>105</v>
      </c>
      <c r="AI246" s="760" t="str">
        <f ca="1">IFERROR(OFFSET(DistanceToCamp[Nearest Town],MATCH(CampList[[#This Row],[CP_Pcode]],DistanceToCamp[CP_Pcode],0)-1,0,1,1),"")</f>
        <v/>
      </c>
      <c r="AJ246" s="739" t="str">
        <f ca="1">IFERROR(OFFSET(DistanceToCamp[distance],MATCH(CampList[[#This Row],[CP_Pcode]],DistanceToCamp[CP_Pcode],0)-1,0,1,1),"")</f>
        <v/>
      </c>
      <c r="AK246" s="761" t="str">
        <f ca="1">IFERROR(INT(CampList[[#This Row],[Distance]]/5)+1,"")</f>
        <v/>
      </c>
    </row>
    <row r="247" spans="1:37" s="657" customFormat="1" ht="15.6" customHeight="1" x14ac:dyDescent="0.25">
      <c r="A247" s="799" t="s">
        <v>501</v>
      </c>
      <c r="B247" s="782" t="s">
        <v>380</v>
      </c>
      <c r="C247" s="782" t="s">
        <v>526</v>
      </c>
      <c r="D247" s="785" t="s">
        <v>237</v>
      </c>
      <c r="E247" s="785" t="s">
        <v>532</v>
      </c>
      <c r="F247" s="785" t="s">
        <v>1544</v>
      </c>
      <c r="G247" s="785" t="s">
        <v>1543</v>
      </c>
      <c r="H247" s="785"/>
      <c r="I247" s="800"/>
      <c r="J247" s="782"/>
      <c r="K247" s="782"/>
      <c r="L247" s="785" t="s">
        <v>1541</v>
      </c>
      <c r="M247" s="782" t="s">
        <v>1542</v>
      </c>
      <c r="N247" s="786"/>
      <c r="O247" s="786"/>
      <c r="P247" s="790"/>
      <c r="Q247" s="793">
        <v>6</v>
      </c>
      <c r="R247" s="788">
        <v>9</v>
      </c>
      <c r="S247" s="789">
        <f>IF(CampList[[#This Row],[HH]]&gt;0,CampList[[#This Row],[Total]]/CampList[[#This Row],[HH]],"NA")</f>
        <v>1.5</v>
      </c>
      <c r="T247" s="727"/>
      <c r="U247" s="727" t="s">
        <v>1193</v>
      </c>
      <c r="V247" s="727" t="s">
        <v>555</v>
      </c>
      <c r="W247" s="727"/>
      <c r="X247" s="810">
        <v>42370</v>
      </c>
      <c r="Y247" s="807"/>
      <c r="Z247" s="808"/>
      <c r="AA247" s="804" t="s">
        <v>843</v>
      </c>
      <c r="AB247" s="804"/>
      <c r="AC247" s="791">
        <v>42576</v>
      </c>
      <c r="AD247" s="781" t="s">
        <v>1539</v>
      </c>
      <c r="AE247" s="792"/>
      <c r="AF247" s="793">
        <f>IF(CampList[[#This Row],[Type of Accomodation]]="camp",MAX(0,CampList[[#This Row],[HH]]-SUMIF(Table_Shelter[Pcode],CampList[[#This Row],[CP_Pcode]],Table_Shelter[HH Covered])),0)</f>
        <v>6</v>
      </c>
      <c r="AG247" s="727"/>
      <c r="AH247" s="787">
        <f>MIN(CampList[[#This Row],[Shelter Gap]],CampList[[#This Row],[Land Status]])</f>
        <v>6</v>
      </c>
      <c r="AI247" s="793" t="str">
        <f ca="1">IFERROR(OFFSET(DistanceToCamp[Nearest Town],MATCH(CampList[[#This Row],[CP_Pcode]],DistanceToCamp[CP_Pcode],0)-1,0,1,1),"")</f>
        <v/>
      </c>
      <c r="AJ247" s="794" t="str">
        <f ca="1">IFERROR(OFFSET(DistanceToCamp[distance],MATCH(CampList[[#This Row],[CP_Pcode]],DistanceToCamp[CP_Pcode],0)-1,0,1,1),"")</f>
        <v/>
      </c>
      <c r="AK247" s="795" t="str">
        <f ca="1">IFERROR(INT(CampList[[#This Row],[Distance]]/5)+1,"")</f>
        <v/>
      </c>
    </row>
    <row r="248" spans="1:37" s="44" customFormat="1" ht="15.6" hidden="1" customHeight="1" x14ac:dyDescent="0.25">
      <c r="A248" s="806" t="s">
        <v>844</v>
      </c>
      <c r="B248" s="406" t="s">
        <v>380</v>
      </c>
      <c r="C248" s="406" t="s">
        <v>526</v>
      </c>
      <c r="D248" s="406" t="s">
        <v>5</v>
      </c>
      <c r="E248" s="406" t="s">
        <v>530</v>
      </c>
      <c r="F248" s="406" t="s">
        <v>151</v>
      </c>
      <c r="G248" s="406" t="s">
        <v>540</v>
      </c>
      <c r="H248" s="406" t="s">
        <v>627</v>
      </c>
      <c r="I248" s="406" t="s">
        <v>628</v>
      </c>
      <c r="J248" s="406" t="s">
        <v>627</v>
      </c>
      <c r="K248" s="406">
        <v>167495</v>
      </c>
      <c r="L248" s="406" t="s">
        <v>296</v>
      </c>
      <c r="M248" s="406" t="s">
        <v>1540</v>
      </c>
      <c r="N248" s="630">
        <v>97.174999999999997</v>
      </c>
      <c r="O248" s="630">
        <v>23.867000000000001</v>
      </c>
      <c r="P248" s="753"/>
      <c r="Q248" s="730">
        <v>0</v>
      </c>
      <c r="R248" s="731">
        <v>0</v>
      </c>
      <c r="S248" s="732" t="str">
        <f>IF(CampList[[#This Row],[HH]]&gt;0,CampList[[#This Row],[Total]]/CampList[[#This Row],[HH]],"NA")</f>
        <v>NA</v>
      </c>
      <c r="T248" s="722" t="s">
        <v>514</v>
      </c>
      <c r="U248" s="726" t="s">
        <v>1193</v>
      </c>
      <c r="V248" s="722" t="s">
        <v>555</v>
      </c>
      <c r="W248" s="726"/>
      <c r="X248" s="733"/>
      <c r="Y248" s="729"/>
      <c r="Z248" s="734"/>
      <c r="AA248" s="735"/>
      <c r="AB248" s="736"/>
      <c r="AC248" s="744">
        <v>41701</v>
      </c>
      <c r="AD248" s="656" t="s">
        <v>1015</v>
      </c>
      <c r="AE248" s="755" t="s">
        <v>1009</v>
      </c>
      <c r="AF248" s="663">
        <f>IF(CampList[[#This Row],[Type of Accomodation]]="camp",MAX(0,CampList[[#This Row],[HH]]-SUMIF(Table_Shelter[Pcode],CampList[[#This Row],[CP_Pcode]],Table_Shelter[HH Covered])),0)</f>
        <v>0</v>
      </c>
      <c r="AG248" s="722"/>
      <c r="AH248" s="736">
        <f>MIN(CampList[[#This Row],[Shelter Gap]],CampList[[#This Row],[Land Status]])</f>
        <v>0</v>
      </c>
      <c r="AI248" s="722" t="str">
        <f ca="1">IFERROR(OFFSET(DistanceToCamp[Nearest Town],MATCH(CampList[[#This Row],[CP_Pcode]],DistanceToCamp[CP_Pcode],0)-1,0,1,1),"")</f>
        <v/>
      </c>
      <c r="AJ248" s="739" t="str">
        <f ca="1">IFERROR(OFFSET(DistanceToCamp[distance],MATCH(CampList[[#This Row],[CP_Pcode]],DistanceToCamp[CP_Pcode],0)-1,0,1,1),"")</f>
        <v/>
      </c>
      <c r="AK248" s="740" t="str">
        <f ca="1">IFERROR(INT(CampList[[#This Row],[Distance]]/5)+1,"")</f>
        <v/>
      </c>
    </row>
    <row r="249" spans="1:37" s="798" customFormat="1" ht="15.6" customHeight="1" x14ac:dyDescent="0.25">
      <c r="A249" s="781" t="s">
        <v>501</v>
      </c>
      <c r="B249" s="782" t="s">
        <v>554</v>
      </c>
      <c r="C249" s="782" t="s">
        <v>537</v>
      </c>
      <c r="D249" s="782" t="s">
        <v>230</v>
      </c>
      <c r="E249" s="782" t="s">
        <v>538</v>
      </c>
      <c r="F249" s="782" t="s">
        <v>146</v>
      </c>
      <c r="G249" s="782" t="s">
        <v>545</v>
      </c>
      <c r="H249" s="783" t="s">
        <v>723</v>
      </c>
      <c r="I249" s="782" t="s">
        <v>1257</v>
      </c>
      <c r="J249" s="783" t="s">
        <v>723</v>
      </c>
      <c r="K249" s="784">
        <v>208747</v>
      </c>
      <c r="L249" s="785" t="s">
        <v>1535</v>
      </c>
      <c r="M249" s="785" t="s">
        <v>1527</v>
      </c>
      <c r="N249" s="786"/>
      <c r="O249" s="786"/>
      <c r="P249" s="787">
        <v>1012.5</v>
      </c>
      <c r="Q249" s="725">
        <v>142</v>
      </c>
      <c r="R249" s="788">
        <v>710</v>
      </c>
      <c r="S249" s="789">
        <f>IF(CampList[[#This Row],[HH]]&gt;0,CampList[[#This Row],[Total]]/CampList[[#This Row],[HH]],"NA")</f>
        <v>5</v>
      </c>
      <c r="T249" s="725" t="s">
        <v>512</v>
      </c>
      <c r="U249" s="727" t="s">
        <v>1193</v>
      </c>
      <c r="V249" s="725" t="s">
        <v>555</v>
      </c>
      <c r="W249" s="725" t="s">
        <v>857</v>
      </c>
      <c r="X249" s="810">
        <v>42435</v>
      </c>
      <c r="Y249" s="790"/>
      <c r="Z249" s="790"/>
      <c r="AA249" s="786" t="s">
        <v>843</v>
      </c>
      <c r="AB249" s="786"/>
      <c r="AC249" s="791">
        <v>42569</v>
      </c>
      <c r="AD249" s="817" t="s">
        <v>1494</v>
      </c>
      <c r="AE249" s="792"/>
      <c r="AF249" s="793">
        <f>IF(CampList[[#This Row],[Type of Accomodation]]="camp",MAX(0,CampList[[#This Row],[HH]]-SUMIF(Table_Shelter[Pcode],CampList[[#This Row],[CP_Pcode]],Table_Shelter[HH Covered])),0)</f>
        <v>142</v>
      </c>
      <c r="AG249" s="725"/>
      <c r="AH249" s="787">
        <f>MIN(CampList[[#This Row],[Shelter Gap]],CampList[[#This Row],[Land Status]])</f>
        <v>142</v>
      </c>
      <c r="AI249" s="727" t="str">
        <f ca="1">IFERROR(OFFSET(DistanceToCamp[Nearest Town],MATCH(CampList[[#This Row],[CP_Pcode]],DistanceToCamp[CP_Pcode],0)-1,0,1,1),"")</f>
        <v/>
      </c>
      <c r="AJ249" s="794" t="str">
        <f ca="1">IFERROR(OFFSET(DistanceToCamp[distance],MATCH(CampList[[#This Row],[CP_Pcode]],DistanceToCamp[CP_Pcode],0)-1,0,1,1),"")</f>
        <v/>
      </c>
      <c r="AK249" s="795" t="str">
        <f ca="1">IFERROR(INT(CampList[[#This Row],[Distance]]/5)+1,"")</f>
        <v/>
      </c>
    </row>
    <row r="250" spans="1:37" s="798" customFormat="1" ht="15.6" customHeight="1" x14ac:dyDescent="0.25">
      <c r="A250" s="799" t="s">
        <v>501</v>
      </c>
      <c r="B250" s="782" t="s">
        <v>554</v>
      </c>
      <c r="C250" s="782" t="s">
        <v>537</v>
      </c>
      <c r="D250" s="782" t="s">
        <v>542</v>
      </c>
      <c r="E250" s="782" t="s">
        <v>543</v>
      </c>
      <c r="F250" s="782" t="s">
        <v>298</v>
      </c>
      <c r="G250" s="782" t="s">
        <v>551</v>
      </c>
      <c r="H250" s="782" t="s">
        <v>1061</v>
      </c>
      <c r="I250" s="800" t="s">
        <v>1547</v>
      </c>
      <c r="J250" s="782" t="s">
        <v>1548</v>
      </c>
      <c r="K250" s="800">
        <v>210455</v>
      </c>
      <c r="L250" s="782" t="s">
        <v>1546</v>
      </c>
      <c r="M250" s="785" t="s">
        <v>1528</v>
      </c>
      <c r="N250" s="801"/>
      <c r="O250" s="801"/>
      <c r="P250" s="790"/>
      <c r="Q250" s="802">
        <v>19</v>
      </c>
      <c r="R250" s="803">
        <v>82</v>
      </c>
      <c r="S250" s="789">
        <f>IF(CampList[[#This Row],[HH]]&gt;0,CampList[[#This Row],[Total]]/CampList[[#This Row],[HH]],"NA")</f>
        <v>4.3157894736842106</v>
      </c>
      <c r="T250" s="725" t="s">
        <v>512</v>
      </c>
      <c r="U250" s="727" t="s">
        <v>1193</v>
      </c>
      <c r="V250" s="725" t="s">
        <v>555</v>
      </c>
      <c r="W250" s="727"/>
      <c r="X250" s="810">
        <v>42370</v>
      </c>
      <c r="Y250" s="790"/>
      <c r="Z250" s="804"/>
      <c r="AA250" s="786" t="s">
        <v>843</v>
      </c>
      <c r="AB250" s="804"/>
      <c r="AC250" s="791">
        <v>42576</v>
      </c>
      <c r="AD250" s="781" t="s">
        <v>1539</v>
      </c>
      <c r="AE250" s="792"/>
      <c r="AF250" s="793">
        <f>IF(CampList[[#This Row],[Type of Accomodation]]="camp",MAX(0,CampList[[#This Row],[HH]]-SUMIF(Table_Shelter[Pcode],CampList[[#This Row],[CP_Pcode]],Table_Shelter[HH Covered])),0)</f>
        <v>19</v>
      </c>
      <c r="AG250" s="727"/>
      <c r="AH250" s="787">
        <f>MIN(CampList[[#This Row],[Shelter Gap]],CampList[[#This Row],[Land Status]])</f>
        <v>19</v>
      </c>
      <c r="AI250" s="793" t="str">
        <f ca="1">IFERROR(OFFSET(DistanceToCamp[Nearest Town],MATCH(CampList[[#This Row],[CP_Pcode]],DistanceToCamp[CP_Pcode],0)-1,0,1,1),"")</f>
        <v/>
      </c>
      <c r="AJ250" s="794" t="str">
        <f ca="1">IFERROR(OFFSET(DistanceToCamp[distance],MATCH(CampList[[#This Row],[CP_Pcode]],DistanceToCamp[CP_Pcode],0)-1,0,1,1),"")</f>
        <v/>
      </c>
      <c r="AK250" s="795" t="str">
        <f ca="1">IFERROR(INT(CampList[[#This Row],[Distance]]/5)+1,"")</f>
        <v/>
      </c>
    </row>
    <row r="251" spans="1:37" s="798" customFormat="1" ht="15.6" customHeight="1" x14ac:dyDescent="0.25">
      <c r="A251" s="799" t="s">
        <v>501</v>
      </c>
      <c r="B251" s="782" t="s">
        <v>554</v>
      </c>
      <c r="C251" s="782" t="s">
        <v>537</v>
      </c>
      <c r="D251" s="782" t="s">
        <v>542</v>
      </c>
      <c r="E251" s="782" t="s">
        <v>543</v>
      </c>
      <c r="F251" s="782" t="s">
        <v>166</v>
      </c>
      <c r="G251" s="782" t="s">
        <v>544</v>
      </c>
      <c r="H251" s="782"/>
      <c r="I251" s="800"/>
      <c r="J251" s="782"/>
      <c r="K251" s="782"/>
      <c r="L251" s="782" t="s">
        <v>1549</v>
      </c>
      <c r="M251" s="785" t="s">
        <v>1529</v>
      </c>
      <c r="N251" s="801"/>
      <c r="O251" s="801"/>
      <c r="P251" s="790"/>
      <c r="Q251" s="802">
        <v>36</v>
      </c>
      <c r="R251" s="803">
        <v>188</v>
      </c>
      <c r="S251" s="789">
        <f>IF(CampList[[#This Row],[HH]]&gt;0,CampList[[#This Row],[Total]]/CampList[[#This Row],[HH]],"NA")</f>
        <v>5.2222222222222223</v>
      </c>
      <c r="T251" s="725" t="s">
        <v>512</v>
      </c>
      <c r="U251" s="727" t="s">
        <v>1193</v>
      </c>
      <c r="V251" s="725" t="s">
        <v>555</v>
      </c>
      <c r="W251" s="727"/>
      <c r="X251" s="810">
        <v>42370</v>
      </c>
      <c r="Y251" s="790"/>
      <c r="Z251" s="804"/>
      <c r="AA251" s="786" t="s">
        <v>843</v>
      </c>
      <c r="AB251" s="804"/>
      <c r="AC251" s="791">
        <v>42576</v>
      </c>
      <c r="AD251" s="781" t="s">
        <v>1539</v>
      </c>
      <c r="AE251" s="792"/>
      <c r="AF251" s="793">
        <f>IF(CampList[[#This Row],[Type of Accomodation]]="camp",MAX(0,CampList[[#This Row],[HH]]-SUMIF(Table_Shelter[Pcode],CampList[[#This Row],[CP_Pcode]],Table_Shelter[HH Covered])),0)</f>
        <v>36</v>
      </c>
      <c r="AG251" s="727"/>
      <c r="AH251" s="787">
        <f>MIN(CampList[[#This Row],[Shelter Gap]],CampList[[#This Row],[Land Status]])</f>
        <v>36</v>
      </c>
      <c r="AI251" s="793" t="str">
        <f ca="1">IFERROR(OFFSET(DistanceToCamp[Nearest Town],MATCH(CampList[[#This Row],[CP_Pcode]],DistanceToCamp[CP_Pcode],0)-1,0,1,1),"")</f>
        <v/>
      </c>
      <c r="AJ251" s="794" t="str">
        <f ca="1">IFERROR(OFFSET(DistanceToCamp[distance],MATCH(CampList[[#This Row],[CP_Pcode]],DistanceToCamp[CP_Pcode],0)-1,0,1,1),"")</f>
        <v/>
      </c>
      <c r="AK251" s="795" t="str">
        <f ca="1">IFERROR(INT(CampList[[#This Row],[Distance]]/5)+1,"")</f>
        <v/>
      </c>
    </row>
    <row r="252" spans="1:37" s="798" customFormat="1" ht="15.6" customHeight="1" x14ac:dyDescent="0.25">
      <c r="A252" s="799" t="s">
        <v>501</v>
      </c>
      <c r="B252" s="782" t="s">
        <v>554</v>
      </c>
      <c r="C252" s="782" t="s">
        <v>537</v>
      </c>
      <c r="D252" s="782" t="s">
        <v>230</v>
      </c>
      <c r="E252" s="782" t="s">
        <v>538</v>
      </c>
      <c r="F252" s="782" t="s">
        <v>289</v>
      </c>
      <c r="G252" s="782" t="s">
        <v>550</v>
      </c>
      <c r="H252" s="782" t="s">
        <v>1550</v>
      </c>
      <c r="I252" s="800" t="s">
        <v>1551</v>
      </c>
      <c r="J252" s="782" t="s">
        <v>1550</v>
      </c>
      <c r="K252" s="800">
        <v>208469</v>
      </c>
      <c r="L252" s="782" t="s">
        <v>1536</v>
      </c>
      <c r="M252" s="785" t="s">
        <v>1530</v>
      </c>
      <c r="N252" s="801"/>
      <c r="O252" s="801"/>
      <c r="P252" s="790"/>
      <c r="Q252" s="802">
        <v>200</v>
      </c>
      <c r="R252" s="803">
        <v>827</v>
      </c>
      <c r="S252" s="789">
        <f>IF(CampList[[#This Row],[HH]]&gt;0,CampList[[#This Row],[Total]]/CampList[[#This Row],[HH]],"NA")</f>
        <v>4.1349999999999998</v>
      </c>
      <c r="T252" s="725" t="s">
        <v>512</v>
      </c>
      <c r="U252" s="727" t="s">
        <v>1193</v>
      </c>
      <c r="V252" s="725" t="s">
        <v>555</v>
      </c>
      <c r="W252" s="727"/>
      <c r="X252" s="810">
        <v>42401</v>
      </c>
      <c r="Y252" s="790"/>
      <c r="Z252" s="804"/>
      <c r="AA252" s="786" t="s">
        <v>843</v>
      </c>
      <c r="AB252" s="804"/>
      <c r="AC252" s="791">
        <v>42576</v>
      </c>
      <c r="AD252" s="781" t="s">
        <v>1539</v>
      </c>
      <c r="AE252" s="792"/>
      <c r="AF252" s="793">
        <f>IF(CampList[[#This Row],[Type of Accomodation]]="camp",MAX(0,CampList[[#This Row],[HH]]-SUMIF(Table_Shelter[Pcode],CampList[[#This Row],[CP_Pcode]],Table_Shelter[HH Covered])),0)</f>
        <v>200</v>
      </c>
      <c r="AG252" s="727"/>
      <c r="AH252" s="787">
        <f>MIN(CampList[[#This Row],[Shelter Gap]],CampList[[#This Row],[Land Status]])</f>
        <v>200</v>
      </c>
      <c r="AI252" s="793" t="str">
        <f ca="1">IFERROR(OFFSET(DistanceToCamp[Nearest Town],MATCH(CampList[[#This Row],[CP_Pcode]],DistanceToCamp[CP_Pcode],0)-1,0,1,1),"")</f>
        <v/>
      </c>
      <c r="AJ252" s="794" t="str">
        <f ca="1">IFERROR(OFFSET(DistanceToCamp[distance],MATCH(CampList[[#This Row],[CP_Pcode]],DistanceToCamp[CP_Pcode],0)-1,0,1,1),"")</f>
        <v/>
      </c>
      <c r="AK252" s="795" t="str">
        <f ca="1">IFERROR(INT(CampList[[#This Row],[Distance]]/5)+1,"")</f>
        <v/>
      </c>
    </row>
    <row r="253" spans="1:37" s="798" customFormat="1" ht="15.6" customHeight="1" x14ac:dyDescent="0.25">
      <c r="A253" s="799" t="s">
        <v>501</v>
      </c>
      <c r="B253" s="782" t="s">
        <v>554</v>
      </c>
      <c r="C253" s="782" t="s">
        <v>537</v>
      </c>
      <c r="D253" s="782" t="s">
        <v>230</v>
      </c>
      <c r="E253" s="782" t="s">
        <v>538</v>
      </c>
      <c r="F253" s="782" t="s">
        <v>289</v>
      </c>
      <c r="G253" s="782" t="s">
        <v>550</v>
      </c>
      <c r="H253" s="782" t="s">
        <v>1550</v>
      </c>
      <c r="I253" s="800" t="s">
        <v>1551</v>
      </c>
      <c r="J253" s="782" t="s">
        <v>1550</v>
      </c>
      <c r="K253" s="800">
        <v>208469</v>
      </c>
      <c r="L253" s="782" t="s">
        <v>1537</v>
      </c>
      <c r="M253" s="785" t="s">
        <v>1531</v>
      </c>
      <c r="N253" s="801"/>
      <c r="O253" s="801"/>
      <c r="P253" s="790"/>
      <c r="Q253" s="802">
        <v>61</v>
      </c>
      <c r="R253" s="803">
        <v>247</v>
      </c>
      <c r="S253" s="789">
        <f>IF(CampList[[#This Row],[HH]]&gt;0,CampList[[#This Row],[Total]]/CampList[[#This Row],[HH]],"NA")</f>
        <v>4.0491803278688527</v>
      </c>
      <c r="T253" s="725" t="s">
        <v>512</v>
      </c>
      <c r="U253" s="727" t="s">
        <v>1193</v>
      </c>
      <c r="V253" s="725" t="s">
        <v>555</v>
      </c>
      <c r="W253" s="727"/>
      <c r="X253" s="810">
        <v>42430</v>
      </c>
      <c r="Y253" s="790"/>
      <c r="Z253" s="804"/>
      <c r="AA253" s="786" t="s">
        <v>843</v>
      </c>
      <c r="AB253" s="804"/>
      <c r="AC253" s="791">
        <v>42576</v>
      </c>
      <c r="AD253" s="781" t="s">
        <v>1539</v>
      </c>
      <c r="AE253" s="792"/>
      <c r="AF253" s="793">
        <f>IF(CampList[[#This Row],[Type of Accomodation]]="camp",MAX(0,CampList[[#This Row],[HH]]-SUMIF(Table_Shelter[Pcode],CampList[[#This Row],[CP_Pcode]],Table_Shelter[HH Covered])),0)</f>
        <v>61</v>
      </c>
      <c r="AG253" s="727"/>
      <c r="AH253" s="787">
        <f>MIN(CampList[[#This Row],[Shelter Gap]],CampList[[#This Row],[Land Status]])</f>
        <v>61</v>
      </c>
      <c r="AI253" s="793" t="str">
        <f ca="1">IFERROR(OFFSET(DistanceToCamp[Nearest Town],MATCH(CampList[[#This Row],[CP_Pcode]],DistanceToCamp[CP_Pcode],0)-1,0,1,1),"")</f>
        <v/>
      </c>
      <c r="AJ253" s="794" t="str">
        <f ca="1">IFERROR(OFFSET(DistanceToCamp[distance],MATCH(CampList[[#This Row],[CP_Pcode]],DistanceToCamp[CP_Pcode],0)-1,0,1,1),"")</f>
        <v/>
      </c>
      <c r="AK253" s="795" t="str">
        <f ca="1">IFERROR(INT(CampList[[#This Row],[Distance]]/5)+1,"")</f>
        <v/>
      </c>
    </row>
    <row r="254" spans="1:37" s="798" customFormat="1" ht="15.6" customHeight="1" x14ac:dyDescent="0.25">
      <c r="A254" s="799" t="s">
        <v>501</v>
      </c>
      <c r="B254" s="782" t="s">
        <v>554</v>
      </c>
      <c r="C254" s="782" t="s">
        <v>537</v>
      </c>
      <c r="D254" s="782" t="s">
        <v>230</v>
      </c>
      <c r="E254" s="782" t="s">
        <v>538</v>
      </c>
      <c r="F254" s="782" t="s">
        <v>146</v>
      </c>
      <c r="G254" s="782" t="s">
        <v>545</v>
      </c>
      <c r="H254" s="783" t="s">
        <v>724</v>
      </c>
      <c r="I254" s="782" t="s">
        <v>1258</v>
      </c>
      <c r="J254" s="783" t="s">
        <v>1420</v>
      </c>
      <c r="K254" s="805"/>
      <c r="L254" s="782" t="s">
        <v>1538</v>
      </c>
      <c r="M254" s="785" t="s">
        <v>1532</v>
      </c>
      <c r="N254" s="801"/>
      <c r="O254" s="801"/>
      <c r="P254" s="790"/>
      <c r="Q254" s="802">
        <v>176</v>
      </c>
      <c r="R254" s="803">
        <v>798</v>
      </c>
      <c r="S254" s="789">
        <f>IF(CampList[[#This Row],[HH]]&gt;0,CampList[[#This Row],[Total]]/CampList[[#This Row],[HH]],"NA")</f>
        <v>4.5340909090909092</v>
      </c>
      <c r="T254" s="725" t="s">
        <v>512</v>
      </c>
      <c r="U254" s="727" t="s">
        <v>1193</v>
      </c>
      <c r="V254" s="725" t="s">
        <v>555</v>
      </c>
      <c r="W254" s="727"/>
      <c r="X254" s="810">
        <v>42401</v>
      </c>
      <c r="Y254" s="790"/>
      <c r="Z254" s="804"/>
      <c r="AA254" s="786" t="s">
        <v>843</v>
      </c>
      <c r="AB254" s="804"/>
      <c r="AC254" s="791">
        <v>42576</v>
      </c>
      <c r="AD254" s="781" t="s">
        <v>1539</v>
      </c>
      <c r="AE254" s="792"/>
      <c r="AF254" s="793">
        <f>IF(CampList[[#This Row],[Type of Accomodation]]="camp",MAX(0,CampList[[#This Row],[HH]]-SUMIF(Table_Shelter[Pcode],CampList[[#This Row],[CP_Pcode]],Table_Shelter[HH Covered])),0)</f>
        <v>176</v>
      </c>
      <c r="AG254" s="727"/>
      <c r="AH254" s="787">
        <f>MIN(CampList[[#This Row],[Shelter Gap]],CampList[[#This Row],[Land Status]])</f>
        <v>176</v>
      </c>
      <c r="AI254" s="793" t="str">
        <f ca="1">IFERROR(OFFSET(DistanceToCamp[Nearest Town],MATCH(CampList[[#This Row],[CP_Pcode]],DistanceToCamp[CP_Pcode],0)-1,0,1,1),"")</f>
        <v/>
      </c>
      <c r="AJ254" s="794" t="str">
        <f ca="1">IFERROR(OFFSET(DistanceToCamp[distance],MATCH(CampList[[#This Row],[CP_Pcode]],DistanceToCamp[CP_Pcode],0)-1,0,1,1),"")</f>
        <v/>
      </c>
      <c r="AK254" s="795" t="str">
        <f ca="1">IFERROR(INT(CampList[[#This Row],[Distance]]/5)+1,"")</f>
        <v/>
      </c>
    </row>
    <row r="255" spans="1:37" s="798" customFormat="1" ht="15.6" customHeight="1" x14ac:dyDescent="0.25">
      <c r="A255" s="799" t="s">
        <v>501</v>
      </c>
      <c r="B255" s="782" t="s">
        <v>554</v>
      </c>
      <c r="C255" s="782" t="s">
        <v>537</v>
      </c>
      <c r="D255" s="782" t="s">
        <v>778</v>
      </c>
      <c r="E255" s="782" t="s">
        <v>779</v>
      </c>
      <c r="F255" s="782" t="s">
        <v>780</v>
      </c>
      <c r="G255" s="782" t="s">
        <v>781</v>
      </c>
      <c r="H255" s="782" t="s">
        <v>1553</v>
      </c>
      <c r="I255" s="800" t="s">
        <v>1555</v>
      </c>
      <c r="J255" s="782" t="s">
        <v>1553</v>
      </c>
      <c r="K255" s="782" t="s">
        <v>1554</v>
      </c>
      <c r="L255" s="782" t="s">
        <v>1552</v>
      </c>
      <c r="M255" s="785" t="s">
        <v>1533</v>
      </c>
      <c r="N255" s="801"/>
      <c r="O255" s="801"/>
      <c r="P255" s="790"/>
      <c r="Q255" s="802">
        <v>20</v>
      </c>
      <c r="R255" s="803">
        <v>75</v>
      </c>
      <c r="S255" s="789">
        <f>IF(CampList[[#This Row],[HH]]&gt;0,CampList[[#This Row],[Total]]/CampList[[#This Row],[HH]],"NA")</f>
        <v>3.75</v>
      </c>
      <c r="T255" s="725" t="s">
        <v>512</v>
      </c>
      <c r="U255" s="727" t="s">
        <v>1193</v>
      </c>
      <c r="V255" s="725" t="s">
        <v>555</v>
      </c>
      <c r="W255" s="727"/>
      <c r="X255" s="810">
        <v>42430</v>
      </c>
      <c r="Y255" s="790"/>
      <c r="Z255" s="804"/>
      <c r="AA255" s="786" t="s">
        <v>843</v>
      </c>
      <c r="AB255" s="804"/>
      <c r="AC255" s="791">
        <v>42576</v>
      </c>
      <c r="AD255" s="781" t="s">
        <v>1539</v>
      </c>
      <c r="AE255" s="792"/>
      <c r="AF255" s="793">
        <f>IF(CampList[[#This Row],[Type of Accomodation]]="camp",MAX(0,CampList[[#This Row],[HH]]-SUMIF(Table_Shelter[Pcode],CampList[[#This Row],[CP_Pcode]],Table_Shelter[HH Covered])),0)</f>
        <v>20</v>
      </c>
      <c r="AG255" s="727"/>
      <c r="AH255" s="787">
        <f>MIN(CampList[[#This Row],[Shelter Gap]],CampList[[#This Row],[Land Status]])</f>
        <v>20</v>
      </c>
      <c r="AI255" s="793" t="str">
        <f ca="1">IFERROR(OFFSET(DistanceToCamp[Nearest Town],MATCH(CampList[[#This Row],[CP_Pcode]],DistanceToCamp[CP_Pcode],0)-1,0,1,1),"")</f>
        <v/>
      </c>
      <c r="AJ255" s="794" t="str">
        <f ca="1">IFERROR(OFFSET(DistanceToCamp[distance],MATCH(CampList[[#This Row],[CP_Pcode]],DistanceToCamp[CP_Pcode],0)-1,0,1,1),"")</f>
        <v/>
      </c>
      <c r="AK255" s="795" t="str">
        <f ca="1">IFERROR(INT(CampList[[#This Row],[Distance]]/5)+1,"")</f>
        <v/>
      </c>
    </row>
    <row r="256" spans="1:37" s="798" customFormat="1" ht="15.6" customHeight="1" x14ac:dyDescent="0.25">
      <c r="A256" s="799" t="s">
        <v>501</v>
      </c>
      <c r="B256" s="782" t="s">
        <v>554</v>
      </c>
      <c r="C256" s="782" t="s">
        <v>537</v>
      </c>
      <c r="D256" s="782" t="s">
        <v>230</v>
      </c>
      <c r="E256" s="782" t="s">
        <v>538</v>
      </c>
      <c r="F256" s="782" t="s">
        <v>146</v>
      </c>
      <c r="G256" s="782" t="s">
        <v>545</v>
      </c>
      <c r="H256" s="782" t="s">
        <v>1557</v>
      </c>
      <c r="I256" s="800"/>
      <c r="J256" s="782" t="s">
        <v>1558</v>
      </c>
      <c r="K256" s="782"/>
      <c r="L256" s="782" t="s">
        <v>1556</v>
      </c>
      <c r="M256" s="785" t="s">
        <v>1534</v>
      </c>
      <c r="N256" s="801"/>
      <c r="O256" s="801"/>
      <c r="P256" s="790"/>
      <c r="Q256" s="802">
        <v>30</v>
      </c>
      <c r="R256" s="803">
        <v>170</v>
      </c>
      <c r="S256" s="789">
        <f>IF(CampList[[#This Row],[HH]]&gt;0,CampList[[#This Row],[Total]]/CampList[[#This Row],[HH]],"NA")</f>
        <v>5.666666666666667</v>
      </c>
      <c r="T256" s="725" t="s">
        <v>512</v>
      </c>
      <c r="U256" s="727" t="s">
        <v>1193</v>
      </c>
      <c r="V256" s="725" t="s">
        <v>555</v>
      </c>
      <c r="W256" s="727"/>
      <c r="X256" s="810">
        <v>42401</v>
      </c>
      <c r="Y256" s="790"/>
      <c r="Z256" s="804"/>
      <c r="AA256" s="786" t="s">
        <v>843</v>
      </c>
      <c r="AB256" s="804"/>
      <c r="AC256" s="791">
        <v>42576</v>
      </c>
      <c r="AD256" s="781" t="s">
        <v>1539</v>
      </c>
      <c r="AE256" s="792"/>
      <c r="AF256" s="793">
        <f>IF(CampList[[#This Row],[Type of Accomodation]]="camp",MAX(0,CampList[[#This Row],[HH]]-SUMIF(Table_Shelter[Pcode],CampList[[#This Row],[CP_Pcode]],Table_Shelter[HH Covered])),0)</f>
        <v>30</v>
      </c>
      <c r="AG256" s="727"/>
      <c r="AH256" s="787">
        <f>MIN(CampList[[#This Row],[Shelter Gap]],CampList[[#This Row],[Land Status]])</f>
        <v>30</v>
      </c>
      <c r="AI256" s="793" t="str">
        <f ca="1">IFERROR(OFFSET(DistanceToCamp[Nearest Town],MATCH(CampList[[#This Row],[CP_Pcode]],DistanceToCamp[CP_Pcode],0)-1,0,1,1),"")</f>
        <v/>
      </c>
      <c r="AJ256" s="794" t="str">
        <f ca="1">IFERROR(OFFSET(DistanceToCamp[distance],MATCH(CampList[[#This Row],[CP_Pcode]],DistanceToCamp[CP_Pcode],0)-1,0,1,1),"")</f>
        <v/>
      </c>
      <c r="AK256" s="795" t="str">
        <f ca="1">IFERROR(INT(CampList[[#This Row],[Distance]]/5)+1,"")</f>
        <v/>
      </c>
    </row>
    <row r="257" spans="12:30" ht="15.6" customHeight="1" x14ac:dyDescent="0.25">
      <c r="AD257" s="818"/>
    </row>
    <row r="258" spans="12:30" ht="15.6" customHeight="1" x14ac:dyDescent="0.25">
      <c r="AD258" s="818"/>
    </row>
    <row r="259" spans="12:30" ht="15.6" customHeight="1" x14ac:dyDescent="0.25">
      <c r="X259" s="811"/>
      <c r="AD259" s="818"/>
    </row>
    <row r="260" spans="12:30" ht="15.6" customHeight="1" x14ac:dyDescent="0.25">
      <c r="L260" s="624"/>
      <c r="X260" s="811"/>
      <c r="AD260" s="818"/>
    </row>
    <row r="261" spans="12:30" ht="15.6" customHeight="1" x14ac:dyDescent="0.25">
      <c r="X261" s="811"/>
    </row>
    <row r="262" spans="12:30" ht="15.6" customHeight="1" x14ac:dyDescent="0.25">
      <c r="X262" s="811"/>
    </row>
    <row r="263" spans="12:30" ht="15.6" customHeight="1" x14ac:dyDescent="0.25">
      <c r="X263" s="811"/>
    </row>
  </sheetData>
  <sortState ref="A73:AK238">
    <sortCondition ref="G1:G1048576"/>
    <sortCondition ref="L1:L1048576"/>
  </sortState>
  <mergeCells count="1">
    <mergeCell ref="A3:C3"/>
  </mergeCells>
  <conditionalFormatting sqref="A117:A155 A5:A110">
    <cfRule type="cellIs" dxfId="112" priority="77" operator="equal">
      <formula>"closed"</formula>
    </cfRule>
  </conditionalFormatting>
  <conditionalFormatting sqref="A111">
    <cfRule type="cellIs" dxfId="111" priority="73" operator="equal">
      <formula>"closed"</formula>
    </cfRule>
  </conditionalFormatting>
  <conditionalFormatting sqref="A112">
    <cfRule type="cellIs" dxfId="110" priority="72" operator="equal">
      <formula>"closed"</formula>
    </cfRule>
  </conditionalFormatting>
  <conditionalFormatting sqref="A113:A115">
    <cfRule type="cellIs" dxfId="109" priority="71" operator="equal">
      <formula>"closed"</formula>
    </cfRule>
  </conditionalFormatting>
  <conditionalFormatting sqref="A116">
    <cfRule type="cellIs" dxfId="108" priority="70" operator="equal">
      <formula>"closed"</formula>
    </cfRule>
  </conditionalFormatting>
  <conditionalFormatting sqref="AB1:AB3 AA4:AA155 AB214:AB1048576">
    <cfRule type="cellIs" dxfId="107" priority="66" operator="equal">
      <formula>"RRD"</formula>
    </cfRule>
    <cfRule type="cellIs" dxfId="106" priority="67" operator="equal">
      <formula>"IP"</formula>
    </cfRule>
    <cfRule type="cellIs" dxfId="105" priority="68" operator="equal">
      <formula>"IRRC"</formula>
    </cfRule>
  </conditionalFormatting>
  <conditionalFormatting sqref="A156:A205">
    <cfRule type="cellIs" dxfId="104" priority="46" operator="equal">
      <formula>"closed"</formula>
    </cfRule>
  </conditionalFormatting>
  <conditionalFormatting sqref="AA156:AA205">
    <cfRule type="cellIs" dxfId="103" priority="43" operator="equal">
      <formula>"RRD"</formula>
    </cfRule>
    <cfRule type="cellIs" dxfId="102" priority="44" operator="equal">
      <formula>"IP"</formula>
    </cfRule>
    <cfRule type="cellIs" dxfId="101" priority="45" operator="equal">
      <formula>"IRRC"</formula>
    </cfRule>
  </conditionalFormatting>
  <conditionalFormatting sqref="A206">
    <cfRule type="cellIs" dxfId="100" priority="42" operator="equal">
      <formula>"closed"</formula>
    </cfRule>
  </conditionalFormatting>
  <conditionalFormatting sqref="AA206">
    <cfRule type="cellIs" dxfId="99" priority="39" operator="equal">
      <formula>"RRD"</formula>
    </cfRule>
    <cfRule type="cellIs" dxfId="98" priority="40" operator="equal">
      <formula>"IP"</formula>
    </cfRule>
    <cfRule type="cellIs" dxfId="97" priority="41" operator="equal">
      <formula>"IRRC"</formula>
    </cfRule>
  </conditionalFormatting>
  <conditionalFormatting sqref="AG5:AG213">
    <cfRule type="notContainsBlanks" dxfId="96" priority="78">
      <formula>LEN(TRIM(AG5))&gt;0</formula>
    </cfRule>
  </conditionalFormatting>
  <conditionalFormatting sqref="AA208 AA210 AA212">
    <cfRule type="cellIs" dxfId="95" priority="2" operator="equal">
      <formula>"RRD"</formula>
    </cfRule>
    <cfRule type="cellIs" dxfId="94" priority="3" operator="equal">
      <formula>"IP"</formula>
    </cfRule>
    <cfRule type="cellIs" dxfId="93" priority="4" operator="equal">
      <formula>"IRRC"</formula>
    </cfRule>
  </conditionalFormatting>
  <conditionalFormatting sqref="A207 A209 A211 A213">
    <cfRule type="cellIs" dxfId="92" priority="9" operator="equal">
      <formula>"closed"</formula>
    </cfRule>
  </conditionalFormatting>
  <conditionalFormatting sqref="AA207 AA209 AA211 AA213">
    <cfRule type="cellIs" dxfId="91" priority="6" operator="equal">
      <formula>"RRD"</formula>
    </cfRule>
    <cfRule type="cellIs" dxfId="90" priority="7" operator="equal">
      <formula>"IP"</formula>
    </cfRule>
    <cfRule type="cellIs" dxfId="89" priority="8" operator="equal">
      <formula>"IRRC"</formula>
    </cfRule>
  </conditionalFormatting>
  <conditionalFormatting sqref="A208 A210 A212">
    <cfRule type="cellIs" dxfId="88" priority="5" operator="equal">
      <formula>"closed"</formula>
    </cfRule>
  </conditionalFormatting>
  <conditionalFormatting sqref="A237">
    <cfRule type="cellIs" dxfId="87" priority="1" operator="equal">
      <formula>"closed"</formula>
    </cfRule>
  </conditionalFormatting>
  <pageMargins left="0.7" right="0.7" top="0.75" bottom="0.75" header="0.3" footer="0.3"/>
  <pageSetup scale="82" orientation="landscape" r:id="rId1"/>
  <ignoredErrors>
    <ignoredError sqref="K255"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C160"/>
  <sheetViews>
    <sheetView topLeftCell="A127" workbookViewId="0">
      <selection activeCell="C162" sqref="C162"/>
    </sheetView>
  </sheetViews>
  <sheetFormatPr defaultRowHeight="15" x14ac:dyDescent="0.25"/>
  <cols>
    <col min="1" max="1" width="20" style="122" customWidth="1"/>
    <col min="2" max="2" width="23" style="122" customWidth="1"/>
    <col min="3" max="3" width="11.7109375" style="184" customWidth="1"/>
  </cols>
  <sheetData>
    <row r="1" spans="1:3" s="186" customFormat="1" x14ac:dyDescent="0.25">
      <c r="A1" s="185" t="s">
        <v>927</v>
      </c>
      <c r="B1" s="187" t="s">
        <v>1194</v>
      </c>
      <c r="C1" s="188" t="s">
        <v>1195</v>
      </c>
    </row>
    <row r="2" spans="1:3" x14ac:dyDescent="0.25">
      <c r="A2" s="129" t="s">
        <v>236</v>
      </c>
      <c r="B2" s="174" t="s">
        <v>672</v>
      </c>
      <c r="C2" s="181">
        <v>3.1341427522963001</v>
      </c>
    </row>
    <row r="3" spans="1:3" x14ac:dyDescent="0.25">
      <c r="A3" s="129" t="s">
        <v>268</v>
      </c>
      <c r="B3" s="174" t="s">
        <v>672</v>
      </c>
      <c r="C3" s="181">
        <v>3.8820329084732181</v>
      </c>
    </row>
    <row r="4" spans="1:3" x14ac:dyDescent="0.25">
      <c r="A4" s="129" t="s">
        <v>250</v>
      </c>
      <c r="B4" s="174" t="s">
        <v>672</v>
      </c>
      <c r="C4" s="181">
        <v>2.3045478259125423</v>
      </c>
    </row>
    <row r="5" spans="1:3" x14ac:dyDescent="0.25">
      <c r="A5" s="129" t="s">
        <v>248</v>
      </c>
      <c r="B5" s="174" t="s">
        <v>672</v>
      </c>
      <c r="C5" s="181">
        <v>3.3637010801853577</v>
      </c>
    </row>
    <row r="6" spans="1:3" x14ac:dyDescent="0.25">
      <c r="A6" s="129" t="s">
        <v>274</v>
      </c>
      <c r="B6" s="174" t="s">
        <v>672</v>
      </c>
      <c r="C6" s="181">
        <v>2.0123527499589278</v>
      </c>
    </row>
    <row r="7" spans="1:3" x14ac:dyDescent="0.25">
      <c r="A7" s="129" t="s">
        <v>276</v>
      </c>
      <c r="B7" s="174" t="s">
        <v>672</v>
      </c>
      <c r="C7" s="181">
        <v>2.9133254097712102</v>
      </c>
    </row>
    <row r="8" spans="1:3" x14ac:dyDescent="0.25">
      <c r="A8" s="129" t="s">
        <v>278</v>
      </c>
      <c r="B8" s="174" t="s">
        <v>672</v>
      </c>
      <c r="C8" s="181">
        <v>4.9021696969220816</v>
      </c>
    </row>
    <row r="9" spans="1:3" x14ac:dyDescent="0.25">
      <c r="A9" s="175" t="s">
        <v>260</v>
      </c>
      <c r="B9" s="174" t="s">
        <v>672</v>
      </c>
      <c r="C9" s="181">
        <v>5.4145379230647226</v>
      </c>
    </row>
    <row r="10" spans="1:3" x14ac:dyDescent="0.25">
      <c r="A10" s="175" t="s">
        <v>280</v>
      </c>
      <c r="B10" s="174" t="s">
        <v>672</v>
      </c>
      <c r="C10" s="181">
        <v>6.6198004689728469</v>
      </c>
    </row>
    <row r="11" spans="1:3" x14ac:dyDescent="0.25">
      <c r="A11" s="129" t="s">
        <v>244</v>
      </c>
      <c r="B11" s="174" t="s">
        <v>672</v>
      </c>
      <c r="C11" s="181">
        <v>1.1985969617964649</v>
      </c>
    </row>
    <row r="12" spans="1:3" x14ac:dyDescent="0.25">
      <c r="A12" s="129" t="s">
        <v>246</v>
      </c>
      <c r="B12" s="174" t="s">
        <v>672</v>
      </c>
      <c r="C12" s="181">
        <v>1.3510454549069482</v>
      </c>
    </row>
    <row r="13" spans="1:3" x14ac:dyDescent="0.25">
      <c r="A13" s="129" t="s">
        <v>242</v>
      </c>
      <c r="B13" s="174" t="s">
        <v>672</v>
      </c>
      <c r="C13" s="181">
        <v>1.5295244799681529</v>
      </c>
    </row>
    <row r="14" spans="1:3" x14ac:dyDescent="0.25">
      <c r="A14" s="129" t="s">
        <v>256</v>
      </c>
      <c r="B14" s="174" t="s">
        <v>672</v>
      </c>
      <c r="C14" s="181">
        <v>2.8164250706222882</v>
      </c>
    </row>
    <row r="15" spans="1:3" x14ac:dyDescent="0.25">
      <c r="A15" s="129" t="s">
        <v>284</v>
      </c>
      <c r="B15" s="174" t="s">
        <v>672</v>
      </c>
      <c r="C15" s="181">
        <v>4.262018365878137</v>
      </c>
    </row>
    <row r="16" spans="1:3" x14ac:dyDescent="0.25">
      <c r="A16" s="129" t="s">
        <v>239</v>
      </c>
      <c r="B16" s="174" t="s">
        <v>672</v>
      </c>
      <c r="C16" s="181">
        <v>3.3602711423118103</v>
      </c>
    </row>
    <row r="17" spans="1:3" x14ac:dyDescent="0.25">
      <c r="A17" s="129" t="s">
        <v>258</v>
      </c>
      <c r="B17" s="174" t="s">
        <v>696</v>
      </c>
      <c r="C17" s="181">
        <v>3.3362307375127798</v>
      </c>
    </row>
    <row r="18" spans="1:3" x14ac:dyDescent="0.25">
      <c r="A18" s="129" t="s">
        <v>266</v>
      </c>
      <c r="B18" s="174" t="s">
        <v>672</v>
      </c>
      <c r="C18" s="181">
        <v>1.3751794210741128</v>
      </c>
    </row>
    <row r="19" spans="1:3" x14ac:dyDescent="0.25">
      <c r="A19" s="129" t="s">
        <v>252</v>
      </c>
      <c r="B19" s="174" t="s">
        <v>672</v>
      </c>
      <c r="C19" s="181">
        <v>2.4647367211404561</v>
      </c>
    </row>
    <row r="20" spans="1:3" x14ac:dyDescent="0.25">
      <c r="A20" s="129" t="s">
        <v>254</v>
      </c>
      <c r="B20" s="174" t="s">
        <v>672</v>
      </c>
      <c r="C20" s="181">
        <v>1.8563710010113432</v>
      </c>
    </row>
    <row r="21" spans="1:3" x14ac:dyDescent="0.25">
      <c r="A21" s="129" t="s">
        <v>262</v>
      </c>
      <c r="B21" s="174" t="s">
        <v>672</v>
      </c>
      <c r="C21" s="181">
        <v>10.744749696609457</v>
      </c>
    </row>
    <row r="22" spans="1:3" x14ac:dyDescent="0.25">
      <c r="A22" s="129" t="s">
        <v>264</v>
      </c>
      <c r="B22" s="174" t="s">
        <v>672</v>
      </c>
      <c r="C22" s="181">
        <v>10.15228229456989</v>
      </c>
    </row>
    <row r="23" spans="1:3" x14ac:dyDescent="0.25">
      <c r="A23" s="129" t="s">
        <v>282</v>
      </c>
      <c r="B23" s="174" t="s">
        <v>672</v>
      </c>
      <c r="C23" s="181">
        <v>1.7877148351104664</v>
      </c>
    </row>
    <row r="24" spans="1:3" x14ac:dyDescent="0.25">
      <c r="A24" s="129" t="s">
        <v>241</v>
      </c>
      <c r="B24" s="174" t="s">
        <v>672</v>
      </c>
      <c r="C24" s="181">
        <v>2.6190942927115026</v>
      </c>
    </row>
    <row r="25" spans="1:3" x14ac:dyDescent="0.25">
      <c r="A25" s="129" t="s">
        <v>270</v>
      </c>
      <c r="B25" s="174" t="s">
        <v>672</v>
      </c>
      <c r="C25" s="181">
        <v>4.037940696665812</v>
      </c>
    </row>
    <row r="26" spans="1:3" x14ac:dyDescent="0.25">
      <c r="A26" s="129" t="s">
        <v>341</v>
      </c>
      <c r="B26" s="174" t="s">
        <v>696</v>
      </c>
      <c r="C26" s="181">
        <v>0.4474205416025816</v>
      </c>
    </row>
    <row r="27" spans="1:3" x14ac:dyDescent="0.25">
      <c r="A27" s="129" t="s">
        <v>350</v>
      </c>
      <c r="B27" s="174" t="s">
        <v>696</v>
      </c>
      <c r="C27" s="181">
        <v>1.0367202051285227</v>
      </c>
    </row>
    <row r="28" spans="1:3" x14ac:dyDescent="0.25">
      <c r="A28" s="182" t="s">
        <v>319</v>
      </c>
      <c r="B28" s="174" t="s">
        <v>696</v>
      </c>
      <c r="C28" s="181">
        <v>1.1134935940025397</v>
      </c>
    </row>
    <row r="29" spans="1:3" x14ac:dyDescent="0.25">
      <c r="A29" s="129" t="s">
        <v>312</v>
      </c>
      <c r="B29" s="174" t="s">
        <v>696</v>
      </c>
      <c r="C29" s="181">
        <v>5.0655036329811631</v>
      </c>
    </row>
    <row r="30" spans="1:3" x14ac:dyDescent="0.25">
      <c r="A30" s="175" t="s">
        <v>329</v>
      </c>
      <c r="B30" s="174" t="s">
        <v>672</v>
      </c>
      <c r="C30" s="181">
        <v>5.7019834469756479</v>
      </c>
    </row>
    <row r="31" spans="1:3" x14ac:dyDescent="0.25">
      <c r="A31" s="129" t="s">
        <v>337</v>
      </c>
      <c r="B31" s="174" t="s">
        <v>696</v>
      </c>
      <c r="C31" s="181">
        <v>0.77827912736780092</v>
      </c>
    </row>
    <row r="32" spans="1:3" x14ac:dyDescent="0.25">
      <c r="A32" s="129" t="s">
        <v>327</v>
      </c>
      <c r="B32" s="174" t="s">
        <v>672</v>
      </c>
      <c r="C32" s="181">
        <v>5.9727739497559158</v>
      </c>
    </row>
    <row r="33" spans="1:3" x14ac:dyDescent="0.25">
      <c r="A33" s="129" t="s">
        <v>317</v>
      </c>
      <c r="B33" s="174" t="s">
        <v>696</v>
      </c>
      <c r="C33" s="181">
        <v>0.37684287609457234</v>
      </c>
    </row>
    <row r="34" spans="1:3" x14ac:dyDescent="0.25">
      <c r="A34" s="129" t="s">
        <v>343</v>
      </c>
      <c r="B34" s="174" t="s">
        <v>672</v>
      </c>
      <c r="C34" s="181">
        <v>6.0275881703713861</v>
      </c>
    </row>
    <row r="35" spans="1:3" x14ac:dyDescent="0.25">
      <c r="A35" s="182" t="s">
        <v>309</v>
      </c>
      <c r="B35" s="174" t="s">
        <v>696</v>
      </c>
      <c r="C35" s="181">
        <v>0.70725493400809891</v>
      </c>
    </row>
    <row r="36" spans="1:3" x14ac:dyDescent="0.25">
      <c r="A36" s="129" t="s">
        <v>348</v>
      </c>
      <c r="B36" s="174" t="s">
        <v>696</v>
      </c>
      <c r="C36" s="181">
        <v>2.4174307716662291</v>
      </c>
    </row>
    <row r="37" spans="1:3" x14ac:dyDescent="0.25">
      <c r="A37" s="129" t="s">
        <v>315</v>
      </c>
      <c r="B37" s="174" t="s">
        <v>696</v>
      </c>
      <c r="C37" s="181">
        <v>0.15089472113650237</v>
      </c>
    </row>
    <row r="38" spans="1:3" x14ac:dyDescent="0.25">
      <c r="A38" s="129" t="s">
        <v>325</v>
      </c>
      <c r="B38" s="174" t="s">
        <v>672</v>
      </c>
      <c r="C38" s="181">
        <v>4.3887485673235673</v>
      </c>
    </row>
    <row r="39" spans="1:3" x14ac:dyDescent="0.25">
      <c r="A39" s="129" t="s">
        <v>323</v>
      </c>
      <c r="B39" s="174" t="s">
        <v>672</v>
      </c>
      <c r="C39" s="181">
        <v>5.2238983299151851</v>
      </c>
    </row>
    <row r="40" spans="1:3" x14ac:dyDescent="0.25">
      <c r="A40" s="129" t="s">
        <v>346</v>
      </c>
      <c r="B40" s="174" t="s">
        <v>1210</v>
      </c>
      <c r="C40" s="181">
        <v>9.3609732231189877</v>
      </c>
    </row>
    <row r="41" spans="1:3" x14ac:dyDescent="0.25">
      <c r="A41" s="129" t="s">
        <v>30</v>
      </c>
      <c r="B41" s="174" t="s">
        <v>792</v>
      </c>
      <c r="C41" s="181">
        <v>0.15809623370782155</v>
      </c>
    </row>
    <row r="42" spans="1:3" x14ac:dyDescent="0.25">
      <c r="A42" s="129" t="s">
        <v>29</v>
      </c>
      <c r="B42" s="174" t="s">
        <v>1197</v>
      </c>
      <c r="C42" s="181">
        <v>19.834999342466848</v>
      </c>
    </row>
    <row r="43" spans="1:3" x14ac:dyDescent="0.25">
      <c r="A43" s="129" t="s">
        <v>33</v>
      </c>
      <c r="B43" s="174" t="s">
        <v>1197</v>
      </c>
      <c r="C43" s="181">
        <v>12.486065224161463</v>
      </c>
    </row>
    <row r="44" spans="1:3" x14ac:dyDescent="0.25">
      <c r="A44" s="129" t="s">
        <v>21</v>
      </c>
      <c r="B44" s="174" t="s">
        <v>638</v>
      </c>
      <c r="C44" s="181">
        <v>1.5797992800898704</v>
      </c>
    </row>
    <row r="45" spans="1:3" x14ac:dyDescent="0.25">
      <c r="A45" s="129" t="s">
        <v>17</v>
      </c>
      <c r="B45" s="174" t="s">
        <v>638</v>
      </c>
      <c r="C45" s="181">
        <v>1.0876401420946245</v>
      </c>
    </row>
    <row r="46" spans="1:3" x14ac:dyDescent="0.25">
      <c r="A46" s="129" t="s">
        <v>4</v>
      </c>
      <c r="B46" s="174" t="s">
        <v>638</v>
      </c>
      <c r="C46" s="181">
        <v>0.78440046838596356</v>
      </c>
    </row>
    <row r="47" spans="1:3" x14ac:dyDescent="0.25">
      <c r="A47" s="129" t="s">
        <v>7</v>
      </c>
      <c r="B47" s="174" t="s">
        <v>638</v>
      </c>
      <c r="C47" s="181">
        <v>0.20824727902294948</v>
      </c>
    </row>
    <row r="48" spans="1:3" x14ac:dyDescent="0.25">
      <c r="A48" s="129" t="s">
        <v>13</v>
      </c>
      <c r="B48" s="174" t="s">
        <v>638</v>
      </c>
      <c r="C48" s="181">
        <v>0.84749304721635399</v>
      </c>
    </row>
    <row r="49" spans="1:3" x14ac:dyDescent="0.25">
      <c r="A49" s="129" t="s">
        <v>25</v>
      </c>
      <c r="B49" s="174" t="s">
        <v>638</v>
      </c>
      <c r="C49" s="181">
        <v>0.87147615879849294</v>
      </c>
    </row>
    <row r="50" spans="1:3" x14ac:dyDescent="0.25">
      <c r="A50" s="175" t="s">
        <v>19</v>
      </c>
      <c r="B50" s="174" t="s">
        <v>663</v>
      </c>
      <c r="C50" s="181">
        <v>8.3788619521763046</v>
      </c>
    </row>
    <row r="51" spans="1:3" x14ac:dyDescent="0.25">
      <c r="A51" s="129" t="s">
        <v>23</v>
      </c>
      <c r="B51" s="174" t="s">
        <v>638</v>
      </c>
      <c r="C51" s="181">
        <v>4.108228790802368</v>
      </c>
    </row>
    <row r="52" spans="1:3" x14ac:dyDescent="0.25">
      <c r="A52" s="129" t="s">
        <v>208</v>
      </c>
      <c r="B52" s="174" t="s">
        <v>663</v>
      </c>
      <c r="C52" s="181">
        <v>0.62513510418653162</v>
      </c>
    </row>
    <row r="53" spans="1:3" x14ac:dyDescent="0.25">
      <c r="A53" s="129" t="s">
        <v>206</v>
      </c>
      <c r="B53" s="174" t="s">
        <v>663</v>
      </c>
      <c r="C53" s="181">
        <v>0.49034468319599833</v>
      </c>
    </row>
    <row r="54" spans="1:3" x14ac:dyDescent="0.25">
      <c r="A54" s="129" t="s">
        <v>216</v>
      </c>
      <c r="B54" s="174" t="s">
        <v>663</v>
      </c>
      <c r="C54" s="181">
        <v>0.32830807173487342</v>
      </c>
    </row>
    <row r="55" spans="1:3" x14ac:dyDescent="0.25">
      <c r="A55" s="129" t="s">
        <v>226</v>
      </c>
      <c r="B55" s="174" t="s">
        <v>1207</v>
      </c>
      <c r="C55" s="181">
        <v>14.236592976936194</v>
      </c>
    </row>
    <row r="56" spans="1:3" x14ac:dyDescent="0.25">
      <c r="A56" s="129" t="s">
        <v>212</v>
      </c>
      <c r="B56" s="174" t="s">
        <v>663</v>
      </c>
      <c r="C56" s="181">
        <v>17.689123339899055</v>
      </c>
    </row>
    <row r="57" spans="1:3" x14ac:dyDescent="0.25">
      <c r="A57" s="129" t="s">
        <v>201</v>
      </c>
      <c r="B57" s="174" t="s">
        <v>663</v>
      </c>
      <c r="C57" s="181">
        <v>2.4411071835305544</v>
      </c>
    </row>
    <row r="58" spans="1:3" x14ac:dyDescent="0.25">
      <c r="A58" s="129" t="s">
        <v>203</v>
      </c>
      <c r="B58" s="174" t="s">
        <v>663</v>
      </c>
      <c r="C58" s="181">
        <v>17.282528446236295</v>
      </c>
    </row>
    <row r="59" spans="1:3" x14ac:dyDescent="0.25">
      <c r="A59" s="129" t="s">
        <v>199</v>
      </c>
      <c r="B59" s="174" t="s">
        <v>1207</v>
      </c>
      <c r="C59" s="181">
        <v>19.860265975801305</v>
      </c>
    </row>
    <row r="60" spans="1:3" x14ac:dyDescent="0.25">
      <c r="A60" s="182" t="s">
        <v>220</v>
      </c>
      <c r="B60" s="174" t="s">
        <v>1207</v>
      </c>
      <c r="C60" s="181">
        <v>3.6887624513681017</v>
      </c>
    </row>
    <row r="61" spans="1:3" x14ac:dyDescent="0.25">
      <c r="A61" s="129" t="s">
        <v>150</v>
      </c>
      <c r="B61" s="174" t="s">
        <v>651</v>
      </c>
      <c r="C61" s="181">
        <v>1.0576516850656514</v>
      </c>
    </row>
    <row r="62" spans="1:3" x14ac:dyDescent="0.25">
      <c r="A62" s="129" t="s">
        <v>305</v>
      </c>
      <c r="B62" s="174" t="s">
        <v>622</v>
      </c>
      <c r="C62" s="181">
        <v>0.74396039478864395</v>
      </c>
    </row>
    <row r="63" spans="1:3" x14ac:dyDescent="0.25">
      <c r="A63" s="129" t="s">
        <v>307</v>
      </c>
      <c r="B63" s="174" t="s">
        <v>622</v>
      </c>
      <c r="C63" s="181">
        <v>0.74330366237812662</v>
      </c>
    </row>
    <row r="64" spans="1:3" x14ac:dyDescent="0.25">
      <c r="A64" s="129" t="s">
        <v>222</v>
      </c>
      <c r="B64" s="174" t="s">
        <v>754</v>
      </c>
      <c r="C64" s="181">
        <v>0.77978735578277303</v>
      </c>
    </row>
    <row r="65" spans="1:3" x14ac:dyDescent="0.25">
      <c r="A65" s="129" t="s">
        <v>189</v>
      </c>
      <c r="B65" s="174" t="s">
        <v>754</v>
      </c>
      <c r="C65" s="181">
        <v>0.38934692601696641</v>
      </c>
    </row>
    <row r="66" spans="1:3" x14ac:dyDescent="0.25">
      <c r="A66" s="129" t="s">
        <v>184</v>
      </c>
      <c r="B66" s="174" t="s">
        <v>754</v>
      </c>
      <c r="C66" s="181">
        <v>0.28829825866869707</v>
      </c>
    </row>
    <row r="67" spans="1:3" x14ac:dyDescent="0.25">
      <c r="A67" s="129" t="s">
        <v>228</v>
      </c>
      <c r="B67" s="174" t="s">
        <v>754</v>
      </c>
      <c r="C67" s="181">
        <v>0.77561767807574999</v>
      </c>
    </row>
    <row r="68" spans="1:3" x14ac:dyDescent="0.25">
      <c r="A68" s="129" t="s">
        <v>224</v>
      </c>
      <c r="B68" s="174" t="s">
        <v>754</v>
      </c>
      <c r="C68" s="181">
        <v>1.343152344964242</v>
      </c>
    </row>
    <row r="69" spans="1:3" x14ac:dyDescent="0.25">
      <c r="A69" s="129" t="s">
        <v>143</v>
      </c>
      <c r="B69" s="174" t="s">
        <v>1201</v>
      </c>
      <c r="C69" s="181">
        <v>28.422357500443528</v>
      </c>
    </row>
    <row r="70" spans="1:3" x14ac:dyDescent="0.25">
      <c r="A70" s="182" t="s">
        <v>299</v>
      </c>
      <c r="B70" s="174" t="s">
        <v>801</v>
      </c>
      <c r="C70" s="181">
        <v>1.3759254000531889</v>
      </c>
    </row>
    <row r="71" spans="1:3" x14ac:dyDescent="0.25">
      <c r="A71" s="129" t="s">
        <v>175</v>
      </c>
      <c r="B71" s="174" t="s">
        <v>631</v>
      </c>
      <c r="C71" s="181">
        <v>0.71141459237180937</v>
      </c>
    </row>
    <row r="72" spans="1:3" x14ac:dyDescent="0.25">
      <c r="A72" s="129" t="s">
        <v>172</v>
      </c>
      <c r="B72" s="174" t="s">
        <v>631</v>
      </c>
      <c r="C72" s="181">
        <v>1.815139598767344</v>
      </c>
    </row>
    <row r="73" spans="1:3" x14ac:dyDescent="0.25">
      <c r="A73" s="129" t="s">
        <v>177</v>
      </c>
      <c r="B73" s="174" t="s">
        <v>631</v>
      </c>
      <c r="C73" s="181">
        <v>0.86042374061342075</v>
      </c>
    </row>
    <row r="74" spans="1:3" x14ac:dyDescent="0.25">
      <c r="A74" s="129" t="s">
        <v>179</v>
      </c>
      <c r="B74" s="174" t="s">
        <v>1133</v>
      </c>
      <c r="C74" s="181">
        <v>1.7021273757523427</v>
      </c>
    </row>
    <row r="75" spans="1:3" x14ac:dyDescent="0.25">
      <c r="A75" s="129" t="s">
        <v>99</v>
      </c>
      <c r="B75" s="174" t="s">
        <v>1198</v>
      </c>
      <c r="C75" s="181">
        <v>0.79577754007276646</v>
      </c>
    </row>
    <row r="76" spans="1:3" x14ac:dyDescent="0.25">
      <c r="A76" s="129" t="s">
        <v>107</v>
      </c>
      <c r="B76" s="174" t="s">
        <v>1198</v>
      </c>
      <c r="C76" s="181">
        <v>2.9334852607184256</v>
      </c>
    </row>
    <row r="77" spans="1:3" x14ac:dyDescent="0.25">
      <c r="A77" s="129" t="s">
        <v>139</v>
      </c>
      <c r="B77" s="174" t="s">
        <v>1198</v>
      </c>
      <c r="C77" s="181">
        <v>1.5942018764815451</v>
      </c>
    </row>
    <row r="78" spans="1:3" x14ac:dyDescent="0.25">
      <c r="A78" s="129" t="s">
        <v>71</v>
      </c>
      <c r="B78" s="174" t="s">
        <v>1198</v>
      </c>
      <c r="C78" s="181">
        <v>4.4704963044882238</v>
      </c>
    </row>
    <row r="79" spans="1:3" x14ac:dyDescent="0.25">
      <c r="A79" s="129" t="s">
        <v>356</v>
      </c>
      <c r="B79" s="174" t="s">
        <v>1211</v>
      </c>
      <c r="C79" s="181">
        <v>32.827754639406997</v>
      </c>
    </row>
    <row r="80" spans="1:3" x14ac:dyDescent="0.25">
      <c r="A80" s="129" t="s">
        <v>333</v>
      </c>
      <c r="B80" s="174" t="s">
        <v>1211</v>
      </c>
      <c r="C80" s="181">
        <v>18.198335991626355</v>
      </c>
    </row>
    <row r="81" spans="1:3" x14ac:dyDescent="0.25">
      <c r="A81" s="129" t="s">
        <v>335</v>
      </c>
      <c r="B81" s="174" t="s">
        <v>1211</v>
      </c>
      <c r="C81" s="181">
        <v>21.287604662770121</v>
      </c>
    </row>
    <row r="82" spans="1:3" x14ac:dyDescent="0.25">
      <c r="A82" s="175" t="s">
        <v>352</v>
      </c>
      <c r="B82" s="174" t="s">
        <v>1206</v>
      </c>
      <c r="C82" s="181">
        <v>1.7420415164460403</v>
      </c>
    </row>
    <row r="83" spans="1:3" x14ac:dyDescent="0.25">
      <c r="A83" s="175" t="s">
        <v>314</v>
      </c>
      <c r="B83" s="174" t="s">
        <v>1206</v>
      </c>
      <c r="C83" s="181">
        <v>1.857513522619473</v>
      </c>
    </row>
    <row r="84" spans="1:3" x14ac:dyDescent="0.25">
      <c r="A84" s="129" t="s">
        <v>321</v>
      </c>
      <c r="B84" s="174" t="s">
        <v>1206</v>
      </c>
      <c r="C84" s="181">
        <v>28.888856599204185</v>
      </c>
    </row>
    <row r="85" spans="1:3" x14ac:dyDescent="0.25">
      <c r="A85" s="129" t="s">
        <v>345</v>
      </c>
      <c r="B85" s="174" t="s">
        <v>1206</v>
      </c>
      <c r="C85" s="181">
        <v>20.599512012485512</v>
      </c>
    </row>
    <row r="86" spans="1:3" x14ac:dyDescent="0.25">
      <c r="A86" s="129" t="s">
        <v>195</v>
      </c>
      <c r="B86" s="174" t="s">
        <v>1206</v>
      </c>
      <c r="C86" s="181">
        <v>7.985347533011188</v>
      </c>
    </row>
    <row r="87" spans="1:3" x14ac:dyDescent="0.25">
      <c r="A87" s="129" t="s">
        <v>193</v>
      </c>
      <c r="B87" s="174" t="s">
        <v>1206</v>
      </c>
      <c r="C87" s="181">
        <v>10.953347686331073</v>
      </c>
    </row>
    <row r="88" spans="1:3" x14ac:dyDescent="0.25">
      <c r="A88" s="129" t="s">
        <v>191</v>
      </c>
      <c r="B88" s="174" t="s">
        <v>1207</v>
      </c>
      <c r="C88" s="181">
        <v>18.65617244319267</v>
      </c>
    </row>
    <row r="89" spans="1:3" x14ac:dyDescent="0.25">
      <c r="A89" s="129" t="s">
        <v>218</v>
      </c>
      <c r="B89" s="174" t="s">
        <v>754</v>
      </c>
      <c r="C89" s="181">
        <v>8.953204937938569</v>
      </c>
    </row>
    <row r="90" spans="1:3" x14ac:dyDescent="0.25">
      <c r="A90" s="129" t="s">
        <v>197</v>
      </c>
      <c r="B90" s="174" t="s">
        <v>754</v>
      </c>
      <c r="C90" s="181">
        <v>18.620903555062636</v>
      </c>
    </row>
    <row r="91" spans="1:3" x14ac:dyDescent="0.25">
      <c r="A91" s="129" t="s">
        <v>187</v>
      </c>
      <c r="B91" s="174" t="s">
        <v>1202</v>
      </c>
      <c r="C91" s="181">
        <v>19.796407430638478</v>
      </c>
    </row>
    <row r="92" spans="1:3" x14ac:dyDescent="0.25">
      <c r="A92" s="129" t="s">
        <v>214</v>
      </c>
      <c r="B92" s="174" t="s">
        <v>754</v>
      </c>
      <c r="C92" s="181">
        <v>20.558236360788097</v>
      </c>
    </row>
    <row r="93" spans="1:3" x14ac:dyDescent="0.25">
      <c r="A93" s="129" t="s">
        <v>153</v>
      </c>
      <c r="B93" s="174" t="s">
        <v>1202</v>
      </c>
      <c r="C93" s="181">
        <v>10.509375400480517</v>
      </c>
    </row>
    <row r="94" spans="1:3" x14ac:dyDescent="0.25">
      <c r="A94" s="129" t="s">
        <v>159</v>
      </c>
      <c r="B94" s="174" t="s">
        <v>1202</v>
      </c>
      <c r="C94" s="181">
        <v>9.3704379947870464</v>
      </c>
    </row>
    <row r="95" spans="1:3" x14ac:dyDescent="0.25">
      <c r="A95" s="129" t="s">
        <v>155</v>
      </c>
      <c r="B95" s="174" t="s">
        <v>1202</v>
      </c>
      <c r="C95" s="181">
        <v>9.5650381623500511</v>
      </c>
    </row>
    <row r="96" spans="1:3" x14ac:dyDescent="0.25">
      <c r="A96" s="129" t="s">
        <v>157</v>
      </c>
      <c r="B96" s="174" t="s">
        <v>1202</v>
      </c>
      <c r="C96" s="181">
        <v>12.392289083396149</v>
      </c>
    </row>
    <row r="97" spans="1:3" x14ac:dyDescent="0.25">
      <c r="A97" s="129" t="s">
        <v>87</v>
      </c>
      <c r="B97" s="174" t="s">
        <v>1199</v>
      </c>
      <c r="C97" s="181">
        <v>1.1537462444167914</v>
      </c>
    </row>
    <row r="98" spans="1:3" x14ac:dyDescent="0.25">
      <c r="A98" s="175" t="s">
        <v>339</v>
      </c>
      <c r="B98" s="174" t="s">
        <v>1211</v>
      </c>
      <c r="C98" s="181">
        <v>34.344689881690819</v>
      </c>
    </row>
    <row r="99" spans="1:3" x14ac:dyDescent="0.25">
      <c r="A99" s="129" t="s">
        <v>286</v>
      </c>
      <c r="B99" s="174" t="s">
        <v>1205</v>
      </c>
      <c r="C99" s="181">
        <v>16.668825701583572</v>
      </c>
    </row>
    <row r="100" spans="1:3" x14ac:dyDescent="0.25">
      <c r="A100" s="129" t="s">
        <v>354</v>
      </c>
      <c r="B100" s="174" t="s">
        <v>1211</v>
      </c>
      <c r="C100" s="181">
        <v>17.035515422123492</v>
      </c>
    </row>
    <row r="101" spans="1:3" x14ac:dyDescent="0.25">
      <c r="A101" s="175" t="s">
        <v>272</v>
      </c>
      <c r="B101" s="174" t="s">
        <v>672</v>
      </c>
      <c r="C101" s="181">
        <v>12.627188913244609</v>
      </c>
    </row>
    <row r="102" spans="1:3" x14ac:dyDescent="0.25">
      <c r="A102" s="129" t="s">
        <v>11</v>
      </c>
      <c r="B102" s="174" t="s">
        <v>638</v>
      </c>
      <c r="C102" s="181">
        <v>1.1354007641426449</v>
      </c>
    </row>
    <row r="103" spans="1:3" x14ac:dyDescent="0.25">
      <c r="A103" s="129" t="s">
        <v>91</v>
      </c>
      <c r="B103" s="174" t="s">
        <v>1198</v>
      </c>
      <c r="C103" s="181">
        <v>0.75842119772531946</v>
      </c>
    </row>
    <row r="104" spans="1:3" x14ac:dyDescent="0.25">
      <c r="A104" s="129" t="s">
        <v>119</v>
      </c>
      <c r="B104" s="174" t="s">
        <v>1198</v>
      </c>
      <c r="C104" s="181">
        <v>6.3039408411778268</v>
      </c>
    </row>
    <row r="105" spans="1:3" x14ac:dyDescent="0.25">
      <c r="A105" s="129" t="s">
        <v>51</v>
      </c>
      <c r="B105" s="174" t="s">
        <v>1198</v>
      </c>
      <c r="C105" s="181">
        <v>5.184483270539272</v>
      </c>
    </row>
    <row r="106" spans="1:3" x14ac:dyDescent="0.25">
      <c r="A106" s="129" t="s">
        <v>75</v>
      </c>
      <c r="B106" s="174" t="s">
        <v>1198</v>
      </c>
      <c r="C106" s="181">
        <v>4.8862832644478198</v>
      </c>
    </row>
    <row r="107" spans="1:3" x14ac:dyDescent="0.25">
      <c r="A107" s="129" t="s">
        <v>40</v>
      </c>
      <c r="B107" s="174" t="s">
        <v>1198</v>
      </c>
      <c r="C107" s="181">
        <v>4.1842484710239098</v>
      </c>
    </row>
    <row r="108" spans="1:3" x14ac:dyDescent="0.25">
      <c r="A108" s="129" t="s">
        <v>61</v>
      </c>
      <c r="B108" s="174" t="s">
        <v>1198</v>
      </c>
      <c r="C108" s="181">
        <v>6.4753396248436657</v>
      </c>
    </row>
    <row r="109" spans="1:3" x14ac:dyDescent="0.25">
      <c r="A109" s="129" t="s">
        <v>89</v>
      </c>
      <c r="B109" s="174" t="s">
        <v>1198</v>
      </c>
      <c r="C109" s="181">
        <v>6.7094919928483892</v>
      </c>
    </row>
    <row r="110" spans="1:3" x14ac:dyDescent="0.25">
      <c r="A110" s="129" t="s">
        <v>117</v>
      </c>
      <c r="B110" s="174" t="s">
        <v>1198</v>
      </c>
      <c r="C110" s="181">
        <v>6.2085564346706201</v>
      </c>
    </row>
    <row r="111" spans="1:3" x14ac:dyDescent="0.25">
      <c r="A111" s="129" t="s">
        <v>123</v>
      </c>
      <c r="B111" s="174" t="s">
        <v>1198</v>
      </c>
      <c r="C111" s="181">
        <v>7.419312682373878</v>
      </c>
    </row>
    <row r="112" spans="1:3" x14ac:dyDescent="0.25">
      <c r="A112" s="129" t="s">
        <v>125</v>
      </c>
      <c r="B112" s="174" t="s">
        <v>1198</v>
      </c>
      <c r="C112" s="181">
        <v>4.6754712546149264</v>
      </c>
    </row>
    <row r="113" spans="1:3" x14ac:dyDescent="0.25">
      <c r="A113" s="129" t="s">
        <v>57</v>
      </c>
      <c r="B113" s="174" t="s">
        <v>1199</v>
      </c>
      <c r="C113" s="181">
        <v>23.222739740353646</v>
      </c>
    </row>
    <row r="114" spans="1:3" x14ac:dyDescent="0.25">
      <c r="A114" s="129" t="s">
        <v>42</v>
      </c>
      <c r="B114" s="174" t="s">
        <v>1198</v>
      </c>
      <c r="C114" s="181">
        <v>0.66733171900141897</v>
      </c>
    </row>
    <row r="115" spans="1:3" x14ac:dyDescent="0.25">
      <c r="A115" s="129" t="s">
        <v>45</v>
      </c>
      <c r="B115" s="174" t="s">
        <v>1198</v>
      </c>
      <c r="C115" s="181">
        <v>0.56771790814545575</v>
      </c>
    </row>
    <row r="116" spans="1:3" x14ac:dyDescent="0.25">
      <c r="A116" s="129" t="s">
        <v>46</v>
      </c>
      <c r="B116" s="174" t="s">
        <v>1198</v>
      </c>
      <c r="C116" s="181">
        <v>2.814225084976667</v>
      </c>
    </row>
    <row r="117" spans="1:3" x14ac:dyDescent="0.25">
      <c r="A117" s="129" t="s">
        <v>376</v>
      </c>
      <c r="B117" s="174" t="s">
        <v>638</v>
      </c>
      <c r="C117" s="181">
        <v>4.067486452659054</v>
      </c>
    </row>
    <row r="118" spans="1:3" x14ac:dyDescent="0.25">
      <c r="A118" s="129" t="s">
        <v>377</v>
      </c>
      <c r="B118" s="174" t="s">
        <v>638</v>
      </c>
      <c r="C118" s="181">
        <v>1.9489261822960435</v>
      </c>
    </row>
    <row r="119" spans="1:3" x14ac:dyDescent="0.25">
      <c r="A119" s="129" t="s">
        <v>390</v>
      </c>
      <c r="B119" s="174" t="s">
        <v>651</v>
      </c>
      <c r="C119" s="181">
        <v>0.51447052329458698</v>
      </c>
    </row>
    <row r="120" spans="1:3" x14ac:dyDescent="0.25">
      <c r="A120" s="129" t="s">
        <v>391</v>
      </c>
      <c r="B120" s="174" t="s">
        <v>663</v>
      </c>
      <c r="C120" s="181">
        <v>0.60629049139006752</v>
      </c>
    </row>
    <row r="121" spans="1:3" x14ac:dyDescent="0.25">
      <c r="A121" s="129" t="s">
        <v>392</v>
      </c>
      <c r="B121" s="174" t="s">
        <v>1207</v>
      </c>
      <c r="C121" s="181">
        <v>24.701686141136339</v>
      </c>
    </row>
    <row r="122" spans="1:3" x14ac:dyDescent="0.25">
      <c r="A122" s="129" t="s">
        <v>393</v>
      </c>
      <c r="B122" s="174" t="s">
        <v>622</v>
      </c>
      <c r="C122" s="181">
        <v>2.3794331620169178</v>
      </c>
    </row>
    <row r="123" spans="1:3" x14ac:dyDescent="0.25">
      <c r="A123" s="129" t="s">
        <v>523</v>
      </c>
      <c r="B123" s="174" t="s">
        <v>663</v>
      </c>
      <c r="C123" s="181">
        <v>13.446032768350749</v>
      </c>
    </row>
    <row r="124" spans="1:3" x14ac:dyDescent="0.25">
      <c r="A124" s="182" t="s">
        <v>813</v>
      </c>
      <c r="B124" s="174" t="s">
        <v>811</v>
      </c>
      <c r="C124" s="181">
        <v>0.23004407510846425</v>
      </c>
    </row>
    <row r="125" spans="1:3" x14ac:dyDescent="0.25">
      <c r="A125" s="175" t="s">
        <v>815</v>
      </c>
      <c r="B125" s="174" t="s">
        <v>1206</v>
      </c>
      <c r="C125" s="181">
        <v>2.3307568207764655</v>
      </c>
    </row>
    <row r="126" spans="1:3" x14ac:dyDescent="0.25">
      <c r="A126" s="182" t="s">
        <v>864</v>
      </c>
      <c r="B126" s="174" t="s">
        <v>1197</v>
      </c>
      <c r="C126" s="181">
        <v>0.18710270881855062</v>
      </c>
    </row>
    <row r="127" spans="1:3" x14ac:dyDescent="0.25">
      <c r="A127" s="129" t="s">
        <v>887</v>
      </c>
      <c r="B127" s="174" t="s">
        <v>651</v>
      </c>
      <c r="C127" s="181">
        <v>17.731070777343263</v>
      </c>
    </row>
    <row r="128" spans="1:3" x14ac:dyDescent="0.25">
      <c r="A128" s="182" t="s">
        <v>893</v>
      </c>
      <c r="B128" s="174" t="s">
        <v>1212</v>
      </c>
      <c r="C128" s="181">
        <v>1.7005689699647559</v>
      </c>
    </row>
    <row r="129" spans="1:3" x14ac:dyDescent="0.25">
      <c r="A129" s="182" t="s">
        <v>897</v>
      </c>
      <c r="B129" s="174" t="s">
        <v>1212</v>
      </c>
      <c r="C129" s="181">
        <v>1.136583238544624</v>
      </c>
    </row>
    <row r="130" spans="1:3" x14ac:dyDescent="0.25">
      <c r="A130" s="129" t="s">
        <v>943</v>
      </c>
      <c r="B130" s="174" t="s">
        <v>1199</v>
      </c>
      <c r="C130" s="181">
        <v>12.257552920582597</v>
      </c>
    </row>
    <row r="131" spans="1:3" x14ac:dyDescent="0.25">
      <c r="A131" s="129" t="s">
        <v>1022</v>
      </c>
      <c r="B131" s="174" t="s">
        <v>1196</v>
      </c>
      <c r="C131" s="181">
        <v>0</v>
      </c>
    </row>
    <row r="132" spans="1:3" x14ac:dyDescent="0.25">
      <c r="A132" s="88" t="s">
        <v>1037</v>
      </c>
      <c r="B132" s="174" t="s">
        <v>1202</v>
      </c>
      <c r="C132" s="181">
        <v>19.631786732140053</v>
      </c>
    </row>
    <row r="133" spans="1:3" x14ac:dyDescent="0.25">
      <c r="A133" s="183" t="s">
        <v>1045</v>
      </c>
      <c r="B133" s="174" t="s">
        <v>1212</v>
      </c>
      <c r="C133" s="181">
        <v>4.789460146835963</v>
      </c>
    </row>
    <row r="134" spans="1:3" x14ac:dyDescent="0.25">
      <c r="A134" s="129" t="s">
        <v>1064</v>
      </c>
      <c r="B134" s="174" t="s">
        <v>1202</v>
      </c>
      <c r="C134" s="181">
        <v>10.527586947557506</v>
      </c>
    </row>
    <row r="135" spans="1:3" x14ac:dyDescent="0.25">
      <c r="A135" s="129" t="s">
        <v>1068</v>
      </c>
      <c r="B135" s="174" t="s">
        <v>1198</v>
      </c>
      <c r="C135" s="181">
        <v>0.19374952337076978</v>
      </c>
    </row>
    <row r="136" spans="1:3" x14ac:dyDescent="0.25">
      <c r="A136" s="129" t="s">
        <v>1098</v>
      </c>
      <c r="B136" s="174" t="s">
        <v>1202</v>
      </c>
      <c r="C136" s="181">
        <v>9.2957189123335944</v>
      </c>
    </row>
    <row r="137" spans="1:3" x14ac:dyDescent="0.25">
      <c r="A137" s="129" t="s">
        <v>288</v>
      </c>
      <c r="B137" s="174" t="s">
        <v>1202</v>
      </c>
      <c r="C137" s="181">
        <v>1.5619149693996526</v>
      </c>
    </row>
    <row r="138" spans="1:3" x14ac:dyDescent="0.25">
      <c r="A138" s="129" t="s">
        <v>295</v>
      </c>
      <c r="B138" s="174" t="s">
        <v>1202</v>
      </c>
      <c r="C138" s="181">
        <v>1.5239325151406049</v>
      </c>
    </row>
    <row r="139" spans="1:3" x14ac:dyDescent="0.25">
      <c r="A139" s="129" t="s">
        <v>291</v>
      </c>
      <c r="B139" s="174" t="s">
        <v>1202</v>
      </c>
      <c r="C139" s="181">
        <v>1.7369508287203668</v>
      </c>
    </row>
    <row r="140" spans="1:3" x14ac:dyDescent="0.25">
      <c r="A140" s="129" t="s">
        <v>234</v>
      </c>
      <c r="B140" s="174" t="s">
        <v>1209</v>
      </c>
      <c r="C140" s="181">
        <v>7.490291417449443</v>
      </c>
    </row>
    <row r="141" spans="1:3" x14ac:dyDescent="0.25">
      <c r="A141" s="129" t="s">
        <v>147</v>
      </c>
      <c r="B141" s="174" t="s">
        <v>1203</v>
      </c>
      <c r="C141" s="181">
        <v>23.172399462804503</v>
      </c>
    </row>
    <row r="142" spans="1:3" x14ac:dyDescent="0.25">
      <c r="A142" s="129" t="s">
        <v>148</v>
      </c>
      <c r="B142" s="174" t="s">
        <v>1202</v>
      </c>
      <c r="C142" s="181">
        <v>21.148671772283631</v>
      </c>
    </row>
    <row r="143" spans="1:3" x14ac:dyDescent="0.25">
      <c r="A143" s="129" t="s">
        <v>165</v>
      </c>
      <c r="B143" s="174" t="s">
        <v>1204</v>
      </c>
      <c r="C143" s="181">
        <v>0.43878855438285824</v>
      </c>
    </row>
    <row r="144" spans="1:3" x14ac:dyDescent="0.25">
      <c r="A144" s="129" t="s">
        <v>168</v>
      </c>
      <c r="B144" s="174" t="s">
        <v>1209</v>
      </c>
      <c r="C144" s="181">
        <v>18.405283544772924</v>
      </c>
    </row>
    <row r="145" spans="1:3" x14ac:dyDescent="0.25">
      <c r="A145" s="129" t="s">
        <v>170</v>
      </c>
      <c r="B145" s="174" t="s">
        <v>1209</v>
      </c>
      <c r="C145" s="181">
        <v>12.794700705104317</v>
      </c>
    </row>
    <row r="146" spans="1:3" x14ac:dyDescent="0.25">
      <c r="A146" s="129" t="s">
        <v>232</v>
      </c>
      <c r="B146" s="174" t="s">
        <v>1208</v>
      </c>
      <c r="C146" s="181">
        <v>1.789574394782699</v>
      </c>
    </row>
    <row r="147" spans="1:3" x14ac:dyDescent="0.25">
      <c r="A147" s="129" t="s">
        <v>297</v>
      </c>
      <c r="B147" s="174" t="s">
        <v>818</v>
      </c>
      <c r="C147" s="181">
        <v>0.37588352961435612</v>
      </c>
    </row>
    <row r="148" spans="1:3" x14ac:dyDescent="0.25">
      <c r="A148" s="129" t="s">
        <v>382</v>
      </c>
      <c r="B148" s="174" t="s">
        <v>730</v>
      </c>
      <c r="C148" s="181">
        <v>11.65743881259678</v>
      </c>
    </row>
    <row r="149" spans="1:3" x14ac:dyDescent="0.25">
      <c r="A149" s="129" t="s">
        <v>383</v>
      </c>
      <c r="B149" s="174" t="s">
        <v>730</v>
      </c>
      <c r="C149" s="181">
        <v>1.9281430163271129</v>
      </c>
    </row>
    <row r="150" spans="1:3" x14ac:dyDescent="0.25">
      <c r="A150" s="129" t="s">
        <v>384</v>
      </c>
      <c r="B150" s="174" t="s">
        <v>730</v>
      </c>
      <c r="C150" s="181">
        <v>0.42212558305526549</v>
      </c>
    </row>
    <row r="151" spans="1:3" x14ac:dyDescent="0.25">
      <c r="A151" s="129" t="s">
        <v>385</v>
      </c>
      <c r="B151" s="174" t="s">
        <v>730</v>
      </c>
      <c r="C151" s="181">
        <v>21.050742639251741</v>
      </c>
    </row>
    <row r="152" spans="1:3" x14ac:dyDescent="0.25">
      <c r="A152" s="129" t="s">
        <v>387</v>
      </c>
      <c r="B152" s="174" t="s">
        <v>730</v>
      </c>
      <c r="C152" s="181">
        <v>13.632081902964599</v>
      </c>
    </row>
    <row r="153" spans="1:3" x14ac:dyDescent="0.25">
      <c r="A153" s="129" t="s">
        <v>388</v>
      </c>
      <c r="B153" s="174" t="s">
        <v>1209</v>
      </c>
      <c r="C153" s="181">
        <v>5.5919136174199959</v>
      </c>
    </row>
    <row r="154" spans="1:3" x14ac:dyDescent="0.25">
      <c r="A154" s="129" t="s">
        <v>839</v>
      </c>
      <c r="B154" s="174" t="s">
        <v>1200</v>
      </c>
      <c r="C154" s="181">
        <v>30.037709702375544</v>
      </c>
    </row>
    <row r="155" spans="1:3" x14ac:dyDescent="0.25">
      <c r="A155" s="129" t="s">
        <v>824</v>
      </c>
      <c r="B155" s="174" t="s">
        <v>1204</v>
      </c>
      <c r="C155" s="181">
        <v>0.71762888500316424</v>
      </c>
    </row>
    <row r="156" spans="1:3" x14ac:dyDescent="0.25">
      <c r="A156" s="129" t="s">
        <v>825</v>
      </c>
      <c r="B156" s="174" t="s">
        <v>818</v>
      </c>
      <c r="C156" s="181">
        <v>0.63626694856259092</v>
      </c>
    </row>
    <row r="157" spans="1:3" x14ac:dyDescent="0.25">
      <c r="A157" s="88" t="s">
        <v>1056</v>
      </c>
      <c r="B157" s="174" t="s">
        <v>1051</v>
      </c>
      <c r="C157" s="181">
        <v>1.989668595899414</v>
      </c>
    </row>
    <row r="158" spans="1:3" x14ac:dyDescent="0.25">
      <c r="A158" s="88" t="s">
        <v>1058</v>
      </c>
      <c r="B158" s="174" t="s">
        <v>1202</v>
      </c>
      <c r="C158" s="181">
        <v>2.0141034419413328</v>
      </c>
    </row>
    <row r="159" spans="1:3" x14ac:dyDescent="0.25">
      <c r="A159" s="88" t="s">
        <v>1062</v>
      </c>
      <c r="B159" s="174" t="s">
        <v>1202</v>
      </c>
      <c r="C159" s="181">
        <v>2.8590638493982405</v>
      </c>
    </row>
    <row r="160" spans="1:3" x14ac:dyDescent="0.25">
      <c r="A160" s="88" t="s">
        <v>1066</v>
      </c>
      <c r="B160" s="174" t="s">
        <v>1051</v>
      </c>
      <c r="C160" s="181">
        <v>2.1362355825722199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G265"/>
  <sheetViews>
    <sheetView showZeros="0" zoomScale="85" zoomScaleNormal="85" workbookViewId="0">
      <pane ySplit="1" topLeftCell="A2" activePane="bottomLeft" state="frozen"/>
      <selection activeCell="AS915" sqref="AS915"/>
      <selection pane="bottomLeft" activeCell="A19" sqref="A19"/>
    </sheetView>
  </sheetViews>
  <sheetFormatPr defaultColWidth="9.140625" defaultRowHeight="15" x14ac:dyDescent="0.25"/>
  <cols>
    <col min="1" max="1" width="19.5703125" style="5" customWidth="1"/>
    <col min="2" max="2" width="16.28515625" style="5" customWidth="1"/>
    <col min="3" max="3" width="13.42578125" style="5" customWidth="1"/>
    <col min="4" max="4" width="7.28515625" style="5" customWidth="1"/>
    <col min="5" max="5" width="11.28515625" style="5" customWidth="1"/>
    <col min="6" max="6" width="7" style="5" customWidth="1"/>
    <col min="7" max="7" width="16.42578125" style="5" customWidth="1"/>
    <col min="8" max="8" width="11.28515625" style="5" customWidth="1"/>
    <col min="9" max="9" width="7.28515625" style="5" customWidth="1"/>
    <col min="10" max="10" width="11.28515625" style="5" customWidth="1"/>
    <col min="11" max="11" width="8.7109375" style="5" customWidth="1"/>
    <col min="12" max="12" width="11.28515625" style="5" customWidth="1"/>
    <col min="13" max="13" width="12.28515625" style="5" customWidth="1"/>
    <col min="14" max="14" width="9.140625" style="5"/>
    <col min="15" max="15" width="0" style="5" hidden="1" customWidth="1"/>
    <col min="16" max="16" width="19.42578125" style="5" hidden="1" customWidth="1"/>
    <col min="17" max="17" width="20.5703125" style="5" hidden="1" customWidth="1"/>
    <col min="18" max="18" width="0" style="5" hidden="1" customWidth="1"/>
    <col min="19" max="22" width="9.140625" style="5"/>
    <col min="23" max="23" width="15.5703125" style="5" customWidth="1"/>
    <col min="24" max="24" width="10.7109375" style="5" customWidth="1"/>
    <col min="25" max="25" width="14.28515625" style="5" bestFit="1" customWidth="1"/>
    <col min="26" max="26" width="10.140625" style="5" customWidth="1"/>
    <col min="27" max="27" width="9.140625" style="5"/>
    <col min="28" max="28" width="7.42578125" style="5" customWidth="1"/>
    <col min="29" max="29" width="7" style="5" customWidth="1"/>
    <col min="30" max="30" width="6.5703125" style="5" customWidth="1"/>
    <col min="31" max="31" width="9.85546875" style="5" bestFit="1" customWidth="1"/>
    <col min="32" max="32" width="7.140625" style="5" customWidth="1"/>
    <col min="33" max="33" width="8.140625" style="5" customWidth="1"/>
    <col min="34" max="34" width="6" style="5" customWidth="1"/>
    <col min="35" max="35" width="8" style="5" customWidth="1"/>
    <col min="36" max="36" width="9.42578125" style="5" bestFit="1" customWidth="1"/>
    <col min="37" max="37" width="9" style="5" customWidth="1"/>
    <col min="38" max="38" width="10.85546875" style="5" bestFit="1" customWidth="1"/>
    <col min="39" max="39" width="9.85546875" style="5" bestFit="1" customWidth="1"/>
    <col min="40" max="40" width="13.85546875" style="5" bestFit="1" customWidth="1"/>
    <col min="41" max="42" width="7.28515625" style="5" customWidth="1"/>
    <col min="43" max="43" width="11.5703125" style="5" bestFit="1" customWidth="1"/>
    <col min="44" max="16384" width="9.140625" style="5"/>
  </cols>
  <sheetData>
    <row r="1" spans="1:59" s="122" customFormat="1" ht="36" x14ac:dyDescent="0.25">
      <c r="A1" s="283"/>
      <c r="B1" s="284"/>
      <c r="C1" s="284"/>
      <c r="D1" s="284"/>
      <c r="E1" s="284"/>
      <c r="F1" s="284"/>
      <c r="G1" s="284"/>
      <c r="H1" s="284"/>
      <c r="I1" s="284"/>
      <c r="J1" s="284"/>
      <c r="K1" s="284"/>
      <c r="L1" s="284"/>
      <c r="M1" s="284"/>
      <c r="N1" s="235"/>
      <c r="O1" s="5"/>
      <c r="P1" s="5"/>
      <c r="Q1" s="5"/>
      <c r="R1" s="5"/>
      <c r="S1" s="5"/>
      <c r="T1" s="5"/>
      <c r="U1" s="5"/>
      <c r="BF1" s="2"/>
      <c r="BG1" s="2"/>
    </row>
    <row r="2" spans="1:59" s="1" customFormat="1" ht="63.75" customHeight="1" x14ac:dyDescent="0.25">
      <c r="A2" s="302" t="s">
        <v>418</v>
      </c>
      <c r="B2" s="54"/>
      <c r="C2" s="54"/>
      <c r="D2" s="54"/>
      <c r="E2" s="54"/>
      <c r="F2" s="54"/>
      <c r="G2" s="54"/>
      <c r="H2" s="54"/>
      <c r="I2" s="54"/>
      <c r="J2" s="54"/>
      <c r="K2" s="54"/>
      <c r="L2" s="54"/>
      <c r="M2" s="54"/>
      <c r="N2" s="236"/>
      <c r="O2" s="5"/>
      <c r="P2" s="5"/>
      <c r="Q2" s="5"/>
      <c r="R2" s="5"/>
      <c r="S2" s="315"/>
      <c r="T2" s="315"/>
      <c r="U2" s="315"/>
      <c r="V2" s="232"/>
      <c r="BF2" s="55"/>
      <c r="BG2" s="55"/>
    </row>
    <row r="3" spans="1:59" s="17" customFormat="1" ht="18" customHeight="1" x14ac:dyDescent="0.25">
      <c r="A3" s="303">
        <f>Definition!B23</f>
        <v>42571</v>
      </c>
      <c r="B3" s="304"/>
      <c r="C3" s="304"/>
      <c r="D3" s="304"/>
      <c r="E3" s="304"/>
      <c r="F3" s="304"/>
      <c r="G3" s="304"/>
      <c r="H3" s="304"/>
      <c r="I3" s="304"/>
      <c r="J3" s="304"/>
      <c r="K3" s="304"/>
      <c r="L3" s="304"/>
      <c r="M3" s="304"/>
      <c r="N3" s="305"/>
      <c r="O3" s="42"/>
      <c r="P3" s="42"/>
      <c r="Q3" s="42"/>
      <c r="R3" s="42"/>
      <c r="S3" s="316"/>
      <c r="T3" s="317"/>
      <c r="U3" s="317"/>
      <c r="V3" s="232"/>
      <c r="BF3" s="56"/>
      <c r="BG3" s="56"/>
    </row>
    <row r="4" spans="1:59" s="17" customFormat="1" ht="36" x14ac:dyDescent="0.25">
      <c r="A4" s="203"/>
      <c r="B4" s="203"/>
      <c r="C4" s="215"/>
      <c r="D4" s="215"/>
      <c r="E4" s="215"/>
      <c r="F4" s="215"/>
      <c r="G4" s="216"/>
      <c r="H4" s="216"/>
      <c r="I4" s="216"/>
      <c r="J4" s="216"/>
      <c r="K4" s="38"/>
      <c r="L4" s="216"/>
      <c r="M4" s="216"/>
      <c r="N4" s="216"/>
      <c r="O4" s="42"/>
      <c r="P4" s="42"/>
      <c r="Q4" s="42"/>
      <c r="R4" s="42"/>
      <c r="S4" s="316"/>
      <c r="T4" s="317"/>
      <c r="U4" s="317"/>
      <c r="V4" s="232"/>
      <c r="BF4" s="56"/>
      <c r="BG4" s="56"/>
    </row>
    <row r="5" spans="1:59" s="17" customFormat="1" ht="16.5" customHeight="1" x14ac:dyDescent="0.25">
      <c r="A5" s="487" t="s">
        <v>395</v>
      </c>
      <c r="B5" s="487" t="s">
        <v>597</v>
      </c>
      <c r="C5" s="217"/>
      <c r="D5" s="217"/>
      <c r="E5" s="217"/>
      <c r="F5" s="217"/>
      <c r="G5" s="217"/>
      <c r="H5" s="217"/>
      <c r="I5" s="217"/>
      <c r="J5" s="217"/>
      <c r="K5" s="217"/>
      <c r="L5" s="216"/>
      <c r="M5" s="216"/>
      <c r="N5" s="216"/>
      <c r="O5" s="42"/>
      <c r="P5" s="42"/>
      <c r="Q5" s="42"/>
      <c r="R5" s="42"/>
      <c r="S5" s="316"/>
      <c r="T5" s="317"/>
      <c r="U5" s="317"/>
      <c r="V5" s="232"/>
      <c r="BF5" s="56"/>
      <c r="BG5" s="56"/>
    </row>
    <row r="6" spans="1:59" ht="18.75" x14ac:dyDescent="0.25">
      <c r="A6" s="487" t="s">
        <v>0</v>
      </c>
      <c r="B6" s="487" t="s">
        <v>597</v>
      </c>
      <c r="C6" s="235"/>
      <c r="S6" s="318"/>
      <c r="T6" s="315"/>
      <c r="U6" s="315"/>
      <c r="V6" s="315"/>
    </row>
    <row r="7" spans="1:59" x14ac:dyDescent="0.25">
      <c r="A7" s="516" t="s">
        <v>1252</v>
      </c>
      <c r="B7" s="515" t="s">
        <v>1193</v>
      </c>
      <c r="C7" s="239" t="s">
        <v>421</v>
      </c>
      <c r="P7" s="122"/>
      <c r="Q7" s="122"/>
      <c r="S7" s="315"/>
      <c r="T7" s="315"/>
      <c r="U7" s="315"/>
      <c r="V7" s="315"/>
    </row>
    <row r="8" spans="1:59" x14ac:dyDescent="0.25">
      <c r="P8" s="122"/>
      <c r="Q8" s="122"/>
      <c r="S8" s="315"/>
      <c r="T8" s="315"/>
      <c r="U8" s="315"/>
      <c r="V8" s="315"/>
    </row>
    <row r="9" spans="1:59" x14ac:dyDescent="0.25">
      <c r="A9" s="429" t="s">
        <v>414</v>
      </c>
      <c r="B9" s="430" t="s">
        <v>417</v>
      </c>
      <c r="C9" s="428" t="s">
        <v>416</v>
      </c>
      <c r="P9" s="400" t="s">
        <v>395</v>
      </c>
      <c r="Q9" s="397" t="s">
        <v>597</v>
      </c>
      <c r="R9" s="5" t="s">
        <v>421</v>
      </c>
      <c r="S9" s="315"/>
      <c r="T9" s="315"/>
      <c r="U9" s="315"/>
      <c r="V9" s="315"/>
    </row>
    <row r="10" spans="1:59" x14ac:dyDescent="0.25">
      <c r="A10" s="431" t="s">
        <v>501</v>
      </c>
      <c r="B10" s="432">
        <v>19537</v>
      </c>
      <c r="C10" s="433">
        <v>97640</v>
      </c>
      <c r="S10" s="315"/>
      <c r="T10" s="315"/>
      <c r="U10" s="315"/>
      <c r="V10" s="315"/>
      <c r="W10" s="122"/>
      <c r="X10" s="122"/>
    </row>
    <row r="11" spans="1:59" x14ac:dyDescent="0.25">
      <c r="A11" s="434" t="s">
        <v>5</v>
      </c>
      <c r="B11" s="432">
        <v>1501</v>
      </c>
      <c r="C11" s="433">
        <v>8184</v>
      </c>
      <c r="P11" s="397" t="s">
        <v>414</v>
      </c>
      <c r="Q11" s="397" t="s">
        <v>416</v>
      </c>
      <c r="R11" s="122"/>
      <c r="S11" s="315"/>
      <c r="T11" s="315"/>
      <c r="U11" s="315"/>
      <c r="V11" s="315"/>
      <c r="W11" s="122"/>
      <c r="X11" s="122"/>
    </row>
    <row r="12" spans="1:59" x14ac:dyDescent="0.25">
      <c r="A12" s="434" t="s">
        <v>27</v>
      </c>
      <c r="B12" s="432">
        <v>494</v>
      </c>
      <c r="C12" s="433">
        <v>2609</v>
      </c>
      <c r="P12" s="398" t="s">
        <v>5</v>
      </c>
      <c r="Q12" s="399"/>
      <c r="R12" s="122"/>
      <c r="S12" s="315"/>
      <c r="T12" s="315"/>
      <c r="U12" s="315"/>
      <c r="V12" s="315"/>
      <c r="W12" s="122"/>
      <c r="X12" s="122"/>
    </row>
    <row r="13" spans="1:59" x14ac:dyDescent="0.25">
      <c r="A13" s="434" t="s">
        <v>528</v>
      </c>
      <c r="B13" s="432">
        <v>694</v>
      </c>
      <c r="C13" s="433">
        <v>3482</v>
      </c>
      <c r="P13" s="404" t="s">
        <v>5</v>
      </c>
      <c r="Q13" s="399">
        <v>8184</v>
      </c>
      <c r="R13" s="122"/>
      <c r="S13" s="315"/>
      <c r="T13" s="315"/>
      <c r="U13" s="315"/>
      <c r="V13" s="315"/>
      <c r="W13" s="122"/>
      <c r="X13" s="122"/>
    </row>
    <row r="14" spans="1:59" x14ac:dyDescent="0.25">
      <c r="A14" s="434" t="s">
        <v>780</v>
      </c>
      <c r="B14" s="432">
        <v>125</v>
      </c>
      <c r="C14" s="433">
        <v>669</v>
      </c>
      <c r="P14" s="398" t="s">
        <v>27</v>
      </c>
      <c r="Q14" s="399"/>
      <c r="R14" s="122"/>
      <c r="W14" s="122"/>
      <c r="X14" s="122"/>
    </row>
    <row r="15" spans="1:59" x14ac:dyDescent="0.25">
      <c r="A15" s="434" t="s">
        <v>1184</v>
      </c>
      <c r="B15" s="432">
        <v>1474</v>
      </c>
      <c r="C15" s="433">
        <v>6899</v>
      </c>
      <c r="P15" s="404" t="s">
        <v>27</v>
      </c>
      <c r="Q15" s="399">
        <v>2609</v>
      </c>
      <c r="R15" s="122"/>
      <c r="W15" s="122"/>
      <c r="X15" s="122"/>
    </row>
    <row r="16" spans="1:59" x14ac:dyDescent="0.25">
      <c r="A16" s="434" t="s">
        <v>146</v>
      </c>
      <c r="B16" s="432">
        <v>1051</v>
      </c>
      <c r="C16" s="433">
        <v>5060</v>
      </c>
      <c r="P16" s="398" t="s">
        <v>528</v>
      </c>
      <c r="Q16" s="399"/>
      <c r="R16" s="122"/>
      <c r="W16" s="122"/>
      <c r="X16" s="122"/>
    </row>
    <row r="17" spans="1:24" x14ac:dyDescent="0.25">
      <c r="A17" s="434" t="s">
        <v>151</v>
      </c>
      <c r="B17" s="432">
        <v>2770</v>
      </c>
      <c r="C17" s="433">
        <v>12630</v>
      </c>
      <c r="P17" s="404" t="s">
        <v>528</v>
      </c>
      <c r="Q17" s="399">
        <v>3482</v>
      </c>
      <c r="R17" s="122"/>
      <c r="W17" s="122"/>
      <c r="X17" s="122"/>
    </row>
    <row r="18" spans="1:24" x14ac:dyDescent="0.25">
      <c r="A18" s="434" t="s">
        <v>185</v>
      </c>
      <c r="B18" s="432">
        <v>3114</v>
      </c>
      <c r="C18" s="433">
        <v>15638</v>
      </c>
      <c r="P18" s="398" t="s">
        <v>780</v>
      </c>
      <c r="Q18" s="399"/>
      <c r="R18" s="122"/>
      <c r="W18" s="122"/>
      <c r="X18" s="122"/>
    </row>
    <row r="19" spans="1:24" x14ac:dyDescent="0.25">
      <c r="A19" s="434" t="s">
        <v>237</v>
      </c>
      <c r="B19" s="432">
        <v>1409</v>
      </c>
      <c r="C19" s="433">
        <v>7181</v>
      </c>
      <c r="P19" s="404" t="s">
        <v>780</v>
      </c>
      <c r="Q19" s="399">
        <v>669</v>
      </c>
      <c r="R19" s="122"/>
      <c r="W19" s="122"/>
      <c r="X19" s="122"/>
    </row>
    <row r="20" spans="1:24" x14ac:dyDescent="0.25">
      <c r="A20" s="434" t="s">
        <v>289</v>
      </c>
      <c r="B20" s="432">
        <v>601</v>
      </c>
      <c r="C20" s="433">
        <v>2805</v>
      </c>
      <c r="P20" s="398" t="s">
        <v>363</v>
      </c>
      <c r="Q20" s="399"/>
      <c r="R20" s="122"/>
      <c r="W20" s="122"/>
      <c r="X20" s="122"/>
    </row>
    <row r="21" spans="1:24" x14ac:dyDescent="0.25">
      <c r="A21" s="434" t="s">
        <v>310</v>
      </c>
      <c r="B21" s="432">
        <v>6298</v>
      </c>
      <c r="C21" s="433">
        <v>32474</v>
      </c>
      <c r="P21" s="404" t="s">
        <v>363</v>
      </c>
      <c r="Q21" s="399">
        <v>0</v>
      </c>
      <c r="R21" s="122"/>
      <c r="W21" s="122"/>
      <c r="X21" s="122"/>
    </row>
    <row r="22" spans="1:24" x14ac:dyDescent="0.25">
      <c r="A22" s="434" t="s">
        <v>1544</v>
      </c>
      <c r="B22" s="432">
        <v>6</v>
      </c>
      <c r="C22" s="433">
        <v>9</v>
      </c>
      <c r="P22" s="398" t="s">
        <v>1184</v>
      </c>
      <c r="Q22" s="399"/>
      <c r="R22" s="122"/>
      <c r="W22" s="122"/>
      <c r="X22" s="122"/>
    </row>
    <row r="23" spans="1:24" x14ac:dyDescent="0.25">
      <c r="A23" s="431" t="s">
        <v>844</v>
      </c>
      <c r="B23" s="432">
        <v>0</v>
      </c>
      <c r="C23" s="433">
        <v>0</v>
      </c>
      <c r="P23" s="404" t="s">
        <v>144</v>
      </c>
      <c r="Q23" s="399">
        <v>17</v>
      </c>
      <c r="R23" s="122"/>
      <c r="W23" s="122"/>
      <c r="X23" s="122"/>
    </row>
    <row r="24" spans="1:24" x14ac:dyDescent="0.25">
      <c r="A24" s="434" t="s">
        <v>5</v>
      </c>
      <c r="B24" s="432">
        <v>0</v>
      </c>
      <c r="C24" s="433">
        <v>0</v>
      </c>
      <c r="P24" s="404" t="s">
        <v>894</v>
      </c>
      <c r="Q24" s="399">
        <v>0</v>
      </c>
      <c r="R24" s="122"/>
      <c r="W24" s="122"/>
      <c r="X24" s="122"/>
    </row>
    <row r="25" spans="1:24" x14ac:dyDescent="0.25">
      <c r="A25" s="434" t="s">
        <v>27</v>
      </c>
      <c r="B25" s="432">
        <v>0</v>
      </c>
      <c r="C25" s="433">
        <v>0</v>
      </c>
      <c r="P25" s="404" t="s">
        <v>166</v>
      </c>
      <c r="Q25" s="399">
        <v>504</v>
      </c>
      <c r="R25" s="122"/>
      <c r="W25" s="122"/>
      <c r="X25" s="122"/>
    </row>
    <row r="26" spans="1:24" x14ac:dyDescent="0.25">
      <c r="A26" s="434" t="s">
        <v>528</v>
      </c>
      <c r="B26" s="432">
        <v>0</v>
      </c>
      <c r="C26" s="433">
        <v>0</v>
      </c>
      <c r="P26" s="404" t="s">
        <v>173</v>
      </c>
      <c r="Q26" s="399">
        <v>433</v>
      </c>
      <c r="R26" s="122"/>
      <c r="W26" s="122"/>
      <c r="X26" s="122"/>
    </row>
    <row r="27" spans="1:24" x14ac:dyDescent="0.25">
      <c r="A27" s="434" t="s">
        <v>363</v>
      </c>
      <c r="B27" s="432">
        <v>0</v>
      </c>
      <c r="C27" s="433">
        <v>0</v>
      </c>
      <c r="P27" s="404" t="s">
        <v>180</v>
      </c>
      <c r="Q27" s="399">
        <v>378</v>
      </c>
      <c r="W27" s="122"/>
      <c r="X27" s="122"/>
    </row>
    <row r="28" spans="1:24" x14ac:dyDescent="0.25">
      <c r="A28" s="434" t="s">
        <v>1184</v>
      </c>
      <c r="B28" s="432">
        <v>0</v>
      </c>
      <c r="C28" s="433">
        <v>0</v>
      </c>
      <c r="P28" s="404" t="s">
        <v>230</v>
      </c>
      <c r="Q28" s="399">
        <v>1020</v>
      </c>
      <c r="W28" s="122"/>
      <c r="X28" s="122"/>
    </row>
    <row r="29" spans="1:24" x14ac:dyDescent="0.25">
      <c r="A29" s="434" t="s">
        <v>146</v>
      </c>
      <c r="B29" s="432">
        <v>0</v>
      </c>
      <c r="C29" s="433">
        <v>0</v>
      </c>
      <c r="P29" s="404" t="s">
        <v>298</v>
      </c>
      <c r="Q29" s="399">
        <v>639</v>
      </c>
      <c r="W29" s="122"/>
      <c r="X29" s="122"/>
    </row>
    <row r="30" spans="1:24" x14ac:dyDescent="0.25">
      <c r="A30" s="434" t="s">
        <v>151</v>
      </c>
      <c r="B30" s="432">
        <v>0</v>
      </c>
      <c r="C30" s="433">
        <v>0</v>
      </c>
      <c r="P30" s="404" t="s">
        <v>300</v>
      </c>
      <c r="Q30" s="399">
        <v>490</v>
      </c>
      <c r="W30" s="122"/>
      <c r="X30" s="122"/>
    </row>
    <row r="31" spans="1:24" x14ac:dyDescent="0.25">
      <c r="A31" s="434" t="s">
        <v>185</v>
      </c>
      <c r="B31" s="432"/>
      <c r="C31" s="433"/>
      <c r="P31" s="404" t="s">
        <v>302</v>
      </c>
      <c r="Q31" s="399">
        <v>2186</v>
      </c>
      <c r="W31" s="122"/>
      <c r="X31" s="122"/>
    </row>
    <row r="32" spans="1:24" x14ac:dyDescent="0.25">
      <c r="A32" s="434" t="s">
        <v>237</v>
      </c>
      <c r="B32" s="432">
        <v>0</v>
      </c>
      <c r="C32" s="433">
        <v>0</v>
      </c>
      <c r="P32" s="404" t="s">
        <v>809</v>
      </c>
      <c r="Q32" s="399">
        <v>1232</v>
      </c>
      <c r="W32" s="122"/>
      <c r="X32" s="122"/>
    </row>
    <row r="33" spans="1:24" x14ac:dyDescent="0.25">
      <c r="A33" s="434" t="s">
        <v>289</v>
      </c>
      <c r="B33" s="432">
        <v>0</v>
      </c>
      <c r="C33" s="433">
        <v>0</v>
      </c>
      <c r="P33" s="398" t="s">
        <v>146</v>
      </c>
      <c r="Q33" s="399"/>
      <c r="W33" s="122"/>
      <c r="X33" s="122"/>
    </row>
    <row r="34" spans="1:24" x14ac:dyDescent="0.25">
      <c r="A34" s="434" t="s">
        <v>310</v>
      </c>
      <c r="B34" s="432">
        <v>0</v>
      </c>
      <c r="C34" s="433">
        <v>0</v>
      </c>
      <c r="P34" s="404" t="s">
        <v>146</v>
      </c>
      <c r="Q34" s="399">
        <v>5060</v>
      </c>
      <c r="W34" s="122"/>
      <c r="X34" s="122"/>
    </row>
    <row r="35" spans="1:24" x14ac:dyDescent="0.25">
      <c r="A35" s="435" t="s">
        <v>415</v>
      </c>
      <c r="B35" s="436">
        <v>19537</v>
      </c>
      <c r="C35" s="506">
        <v>97640</v>
      </c>
      <c r="P35" s="398" t="s">
        <v>151</v>
      </c>
      <c r="Q35" s="399"/>
      <c r="W35" s="122"/>
      <c r="X35" s="122"/>
    </row>
    <row r="36" spans="1:24" hidden="1" x14ac:dyDescent="0.25">
      <c r="A36"/>
      <c r="B36"/>
      <c r="C36"/>
      <c r="P36" s="404" t="s">
        <v>151</v>
      </c>
      <c r="Q36" s="399">
        <v>12630</v>
      </c>
      <c r="W36" s="122"/>
      <c r="X36" s="122"/>
    </row>
    <row r="37" spans="1:24" hidden="1" x14ac:dyDescent="0.25">
      <c r="P37" s="398" t="s">
        <v>185</v>
      </c>
      <c r="Q37" s="399"/>
      <c r="W37" s="122"/>
      <c r="X37" s="122"/>
    </row>
    <row r="38" spans="1:24" hidden="1" x14ac:dyDescent="0.25">
      <c r="P38" s="404" t="s">
        <v>185</v>
      </c>
      <c r="Q38" s="399">
        <v>15638</v>
      </c>
      <c r="W38" s="122"/>
      <c r="X38" s="122"/>
    </row>
    <row r="39" spans="1:24" hidden="1" x14ac:dyDescent="0.25">
      <c r="P39" s="398" t="s">
        <v>237</v>
      </c>
      <c r="Q39" s="399"/>
      <c r="W39" s="122"/>
      <c r="X39" s="122"/>
    </row>
    <row r="40" spans="1:24" hidden="1" x14ac:dyDescent="0.25">
      <c r="P40" s="404" t="s">
        <v>237</v>
      </c>
      <c r="Q40" s="399">
        <v>7181</v>
      </c>
      <c r="W40" s="122"/>
      <c r="X40" s="122"/>
    </row>
    <row r="41" spans="1:24" hidden="1" x14ac:dyDescent="0.25">
      <c r="P41" s="398" t="s">
        <v>289</v>
      </c>
      <c r="Q41" s="399"/>
      <c r="W41" s="122"/>
      <c r="X41" s="122"/>
    </row>
    <row r="42" spans="1:24" hidden="1" x14ac:dyDescent="0.25">
      <c r="P42" s="404" t="s">
        <v>289</v>
      </c>
      <c r="Q42" s="399">
        <v>2805</v>
      </c>
      <c r="W42" s="122"/>
      <c r="X42" s="122"/>
    </row>
    <row r="43" spans="1:24" x14ac:dyDescent="0.25">
      <c r="A43" s="453" t="s">
        <v>395</v>
      </c>
      <c r="B43" s="445" t="s">
        <v>597</v>
      </c>
      <c r="P43" s="398" t="s">
        <v>310</v>
      </c>
      <c r="Q43" s="399"/>
      <c r="W43" s="122"/>
      <c r="X43" s="122"/>
    </row>
    <row r="44" spans="1:24" x14ac:dyDescent="0.25">
      <c r="A44" s="453" t="s">
        <v>1252</v>
      </c>
      <c r="B44" s="445" t="s">
        <v>1193</v>
      </c>
      <c r="C44" s="314" t="s">
        <v>421</v>
      </c>
      <c r="P44" s="404" t="s">
        <v>310</v>
      </c>
      <c r="Q44" s="399">
        <v>36924</v>
      </c>
      <c r="W44" s="122"/>
      <c r="X44" s="122"/>
    </row>
    <row r="45" spans="1:24" x14ac:dyDescent="0.25">
      <c r="P45" s="398" t="s">
        <v>1544</v>
      </c>
      <c r="Q45" s="399"/>
      <c r="W45" s="122"/>
      <c r="X45" s="122"/>
    </row>
    <row r="46" spans="1:24" x14ac:dyDescent="0.25">
      <c r="A46" s="439" t="s">
        <v>827</v>
      </c>
      <c r="B46" s="407" t="s">
        <v>826</v>
      </c>
      <c r="C46" s="407"/>
      <c r="D46" s="407"/>
      <c r="E46" s="408"/>
      <c r="P46" s="404" t="s">
        <v>1544</v>
      </c>
      <c r="Q46" s="399">
        <v>9</v>
      </c>
      <c r="W46" s="122"/>
      <c r="X46" s="122"/>
    </row>
    <row r="47" spans="1:24" x14ac:dyDescent="0.25">
      <c r="A47" s="440" t="s">
        <v>414</v>
      </c>
      <c r="B47" s="405" t="s">
        <v>512</v>
      </c>
      <c r="C47" s="405" t="s">
        <v>514</v>
      </c>
      <c r="D47" s="405" t="s">
        <v>860</v>
      </c>
      <c r="E47" s="409" t="s">
        <v>415</v>
      </c>
      <c r="P47" s="505" t="s">
        <v>415</v>
      </c>
      <c r="Q47" s="504">
        <v>102090</v>
      </c>
      <c r="W47" s="122"/>
      <c r="X47" s="122"/>
    </row>
    <row r="48" spans="1:24" x14ac:dyDescent="0.25">
      <c r="A48" s="447" t="s">
        <v>501</v>
      </c>
      <c r="B48" s="448">
        <v>55739</v>
      </c>
      <c r="C48" s="448">
        <v>41892</v>
      </c>
      <c r="D48" s="448">
        <v>9</v>
      </c>
      <c r="E48" s="449">
        <v>97640</v>
      </c>
      <c r="W48" s="122"/>
      <c r="X48" s="122"/>
    </row>
    <row r="49" spans="1:24" x14ac:dyDescent="0.25">
      <c r="A49" s="447" t="s">
        <v>844</v>
      </c>
      <c r="B49" s="448">
        <v>0</v>
      </c>
      <c r="C49" s="448">
        <v>0</v>
      </c>
      <c r="D49" s="448"/>
      <c r="E49" s="449">
        <v>0</v>
      </c>
      <c r="W49" s="122"/>
      <c r="X49" s="122"/>
    </row>
    <row r="50" spans="1:24" x14ac:dyDescent="0.25">
      <c r="A50" s="507" t="s">
        <v>415</v>
      </c>
      <c r="B50" s="508">
        <v>55739</v>
      </c>
      <c r="C50" s="508">
        <v>41892</v>
      </c>
      <c r="D50" s="508">
        <v>9</v>
      </c>
      <c r="E50" s="506">
        <v>97640</v>
      </c>
      <c r="W50" s="122"/>
      <c r="X50" s="122"/>
    </row>
    <row r="51" spans="1:24" x14ac:dyDescent="0.25">
      <c r="A51"/>
      <c r="B51"/>
      <c r="C51"/>
      <c r="D51"/>
      <c r="E51"/>
      <c r="W51" s="122"/>
      <c r="X51" s="122"/>
    </row>
    <row r="52" spans="1:24" s="397" customFormat="1" x14ac:dyDescent="0.25">
      <c r="A52" s="394"/>
      <c r="B52" s="394"/>
      <c r="C52" s="394"/>
      <c r="D52" s="394"/>
      <c r="E52" s="394"/>
      <c r="W52" s="394"/>
      <c r="X52" s="394"/>
    </row>
    <row r="53" spans="1:24" x14ac:dyDescent="0.25">
      <c r="A53" s="487" t="s">
        <v>499</v>
      </c>
      <c r="B53" s="487" t="s">
        <v>501</v>
      </c>
      <c r="W53" s="122"/>
      <c r="X53" s="122"/>
    </row>
    <row r="54" spans="1:24" x14ac:dyDescent="0.25">
      <c r="A54" s="453" t="s">
        <v>1252</v>
      </c>
      <c r="B54" s="445" t="s">
        <v>1193</v>
      </c>
    </row>
    <row r="56" spans="1:24" x14ac:dyDescent="0.25">
      <c r="A56" s="439" t="s">
        <v>827</v>
      </c>
      <c r="B56" s="407" t="s">
        <v>826</v>
      </c>
      <c r="C56" s="407"/>
      <c r="D56" s="407"/>
      <c r="E56" s="408"/>
    </row>
    <row r="57" spans="1:24" x14ac:dyDescent="0.25">
      <c r="A57" s="440" t="s">
        <v>414</v>
      </c>
      <c r="B57" s="405" t="s">
        <v>512</v>
      </c>
      <c r="C57" s="405" t="s">
        <v>514</v>
      </c>
      <c r="D57" s="405" t="s">
        <v>860</v>
      </c>
      <c r="E57" s="409" t="s">
        <v>415</v>
      </c>
    </row>
    <row r="58" spans="1:24" x14ac:dyDescent="0.25">
      <c r="A58" s="450" t="s">
        <v>555</v>
      </c>
      <c r="B58" s="451">
        <v>51078</v>
      </c>
      <c r="C58" s="451">
        <v>38072</v>
      </c>
      <c r="D58" s="451">
        <v>9</v>
      </c>
      <c r="E58" s="452">
        <v>89159</v>
      </c>
    </row>
    <row r="59" spans="1:24" x14ac:dyDescent="0.25">
      <c r="A59" s="450" t="s">
        <v>12</v>
      </c>
      <c r="B59" s="451">
        <v>4612</v>
      </c>
      <c r="C59" s="451">
        <v>2773</v>
      </c>
      <c r="D59" s="451"/>
      <c r="E59" s="452">
        <v>7385</v>
      </c>
    </row>
    <row r="60" spans="1:24" x14ac:dyDescent="0.25">
      <c r="A60" s="450" t="s">
        <v>988</v>
      </c>
      <c r="B60" s="451">
        <v>49</v>
      </c>
      <c r="C60" s="451">
        <v>1047</v>
      </c>
      <c r="D60" s="451"/>
      <c r="E60" s="452">
        <v>1096</v>
      </c>
    </row>
    <row r="61" spans="1:24" x14ac:dyDescent="0.25">
      <c r="A61" s="442" t="s">
        <v>415</v>
      </c>
      <c r="B61" s="443">
        <v>55739</v>
      </c>
      <c r="C61" s="443">
        <v>41892</v>
      </c>
      <c r="D61" s="443">
        <v>9</v>
      </c>
      <c r="E61" s="444">
        <v>97640</v>
      </c>
    </row>
    <row r="62" spans="1:24" x14ac:dyDescent="0.25">
      <c r="A62"/>
      <c r="B62"/>
      <c r="C62"/>
      <c r="D62"/>
    </row>
    <row r="65" spans="1:5" x14ac:dyDescent="0.25">
      <c r="A65" s="437" t="s">
        <v>499</v>
      </c>
      <c r="B65" s="438" t="s">
        <v>501</v>
      </c>
    </row>
    <row r="66" spans="1:5" x14ac:dyDescent="0.25">
      <c r="A66" s="437" t="s">
        <v>1252</v>
      </c>
      <c r="B66" s="438" t="s">
        <v>1193</v>
      </c>
    </row>
    <row r="68" spans="1:5" x14ac:dyDescent="0.25">
      <c r="A68" s="460" t="s">
        <v>942</v>
      </c>
      <c r="B68" s="461" t="s">
        <v>826</v>
      </c>
      <c r="C68" s="426"/>
      <c r="D68" s="426"/>
      <c r="E68" s="427"/>
    </row>
    <row r="69" spans="1:5" x14ac:dyDescent="0.25">
      <c r="A69" s="462" t="s">
        <v>414</v>
      </c>
      <c r="B69" s="395" t="s">
        <v>512</v>
      </c>
      <c r="C69" s="395" t="s">
        <v>514</v>
      </c>
      <c r="D69" s="395" t="s">
        <v>860</v>
      </c>
      <c r="E69" s="425" t="s">
        <v>415</v>
      </c>
    </row>
    <row r="70" spans="1:5" x14ac:dyDescent="0.25">
      <c r="A70" s="463" t="s">
        <v>555</v>
      </c>
      <c r="B70" s="410">
        <v>128</v>
      </c>
      <c r="C70" s="410">
        <v>16</v>
      </c>
      <c r="D70" s="410">
        <v>1</v>
      </c>
      <c r="E70" s="464">
        <v>145</v>
      </c>
    </row>
    <row r="71" spans="1:5" x14ac:dyDescent="0.25">
      <c r="A71" s="463" t="s">
        <v>12</v>
      </c>
      <c r="B71" s="410">
        <v>21</v>
      </c>
      <c r="C71" s="410">
        <v>4</v>
      </c>
      <c r="D71" s="410"/>
      <c r="E71" s="464">
        <v>25</v>
      </c>
    </row>
    <row r="72" spans="1:5" x14ac:dyDescent="0.25">
      <c r="A72" s="463" t="s">
        <v>988</v>
      </c>
      <c r="B72" s="410">
        <v>1</v>
      </c>
      <c r="C72" s="410">
        <v>1</v>
      </c>
      <c r="D72" s="410"/>
      <c r="E72" s="464">
        <v>2</v>
      </c>
    </row>
    <row r="73" spans="1:5" x14ac:dyDescent="0.25">
      <c r="A73" s="465" t="s">
        <v>415</v>
      </c>
      <c r="B73" s="466">
        <v>150</v>
      </c>
      <c r="C73" s="466">
        <v>21</v>
      </c>
      <c r="D73" s="466">
        <v>1</v>
      </c>
      <c r="E73" s="467">
        <v>172</v>
      </c>
    </row>
    <row r="74" spans="1:5" x14ac:dyDescent="0.25">
      <c r="A74"/>
      <c r="B74"/>
      <c r="C74"/>
      <c r="D74"/>
    </row>
    <row r="78" spans="1:5" x14ac:dyDescent="0.25">
      <c r="A78" s="487" t="s">
        <v>499</v>
      </c>
      <c r="B78" s="488" t="s">
        <v>501</v>
      </c>
    </row>
    <row r="79" spans="1:5" x14ac:dyDescent="0.25">
      <c r="A79" s="516" t="s">
        <v>1252</v>
      </c>
      <c r="B79" s="515" t="s">
        <v>1193</v>
      </c>
      <c r="C79" s="314" t="s">
        <v>421</v>
      </c>
    </row>
    <row r="81" spans="1:4" x14ac:dyDescent="0.25">
      <c r="A81" s="439" t="s">
        <v>414</v>
      </c>
      <c r="B81" s="407" t="s">
        <v>1177</v>
      </c>
      <c r="C81" s="407" t="s">
        <v>827</v>
      </c>
      <c r="D81" s="408" t="s">
        <v>1178</v>
      </c>
    </row>
    <row r="82" spans="1:4" x14ac:dyDescent="0.25">
      <c r="A82" s="441" t="s">
        <v>380</v>
      </c>
      <c r="B82" s="446">
        <v>138</v>
      </c>
      <c r="C82" s="446">
        <v>86943</v>
      </c>
      <c r="D82" s="454">
        <v>0.89044448996312986</v>
      </c>
    </row>
    <row r="83" spans="1:4" x14ac:dyDescent="0.25">
      <c r="A83" s="434" t="s">
        <v>512</v>
      </c>
      <c r="B83" s="432"/>
      <c r="C83" s="432"/>
      <c r="D83" s="455"/>
    </row>
    <row r="84" spans="1:4" x14ac:dyDescent="0.25">
      <c r="A84" s="456" t="s">
        <v>988</v>
      </c>
      <c r="B84" s="432">
        <v>1</v>
      </c>
      <c r="C84" s="432">
        <v>49</v>
      </c>
      <c r="D84" s="457">
        <v>5.0184350675952483E-4</v>
      </c>
    </row>
    <row r="85" spans="1:4" x14ac:dyDescent="0.25">
      <c r="A85" s="456" t="s">
        <v>555</v>
      </c>
      <c r="B85" s="432">
        <v>100</v>
      </c>
      <c r="C85" s="432">
        <v>41983</v>
      </c>
      <c r="D85" s="457">
        <v>0.42997746825071692</v>
      </c>
    </row>
    <row r="86" spans="1:4" x14ac:dyDescent="0.25">
      <c r="A86" s="456" t="s">
        <v>12</v>
      </c>
      <c r="B86" s="432">
        <v>18</v>
      </c>
      <c r="C86" s="432">
        <v>4092</v>
      </c>
      <c r="D86" s="457">
        <v>4.1909053666530111E-2</v>
      </c>
    </row>
    <row r="87" spans="1:4" x14ac:dyDescent="0.25">
      <c r="A87" s="434" t="s">
        <v>514</v>
      </c>
      <c r="B87" s="432"/>
      <c r="C87" s="432"/>
      <c r="D87" s="457"/>
    </row>
    <row r="88" spans="1:4" x14ac:dyDescent="0.25">
      <c r="A88" s="456" t="s">
        <v>988</v>
      </c>
      <c r="B88" s="432">
        <v>1</v>
      </c>
      <c r="C88" s="432">
        <v>1047</v>
      </c>
      <c r="D88" s="457">
        <v>1.0723064317902499E-2</v>
      </c>
    </row>
    <row r="89" spans="1:4" x14ac:dyDescent="0.25">
      <c r="A89" s="456" t="s">
        <v>555</v>
      </c>
      <c r="B89" s="432">
        <v>16</v>
      </c>
      <c r="C89" s="432">
        <v>38072</v>
      </c>
      <c r="D89" s="457">
        <v>0.3899221630479312</v>
      </c>
    </row>
    <row r="90" spans="1:4" x14ac:dyDescent="0.25">
      <c r="A90" s="456" t="s">
        <v>12</v>
      </c>
      <c r="B90" s="432">
        <v>1</v>
      </c>
      <c r="C90" s="432">
        <v>1691</v>
      </c>
      <c r="D90" s="457">
        <v>1.7318721835313397E-2</v>
      </c>
    </row>
    <row r="91" spans="1:4" x14ac:dyDescent="0.25">
      <c r="A91" s="434" t="s">
        <v>860</v>
      </c>
      <c r="B91" s="432"/>
      <c r="C91" s="432"/>
      <c r="D91" s="455"/>
    </row>
    <row r="92" spans="1:4" x14ac:dyDescent="0.25">
      <c r="A92" s="456" t="s">
        <v>555</v>
      </c>
      <c r="B92" s="432">
        <v>1</v>
      </c>
      <c r="C92" s="432">
        <v>9</v>
      </c>
      <c r="D92" s="455">
        <v>9.2175337976239244E-5</v>
      </c>
    </row>
    <row r="93" spans="1:4" x14ac:dyDescent="0.25">
      <c r="A93" s="458" t="s">
        <v>554</v>
      </c>
      <c r="B93" s="432">
        <v>34</v>
      </c>
      <c r="C93" s="432">
        <v>10697</v>
      </c>
      <c r="D93" s="457">
        <v>0.10955551003687014</v>
      </c>
    </row>
    <row r="94" spans="1:4" x14ac:dyDescent="0.25">
      <c r="A94" s="435" t="s">
        <v>415</v>
      </c>
      <c r="B94" s="436">
        <v>172</v>
      </c>
      <c r="C94" s="436">
        <v>97640</v>
      </c>
      <c r="D94" s="459">
        <v>1</v>
      </c>
    </row>
    <row r="95" spans="1:4" x14ac:dyDescent="0.25">
      <c r="A95" s="315"/>
      <c r="B95" s="315"/>
      <c r="C95" s="315"/>
      <c r="D95" s="315"/>
    </row>
    <row r="96" spans="1:4" x14ac:dyDescent="0.25">
      <c r="A96" s="315"/>
      <c r="B96" s="315"/>
      <c r="C96" s="315"/>
      <c r="D96" s="315"/>
    </row>
    <row r="97" spans="1:4" x14ac:dyDescent="0.25">
      <c r="A97" s="315"/>
      <c r="B97" s="315"/>
      <c r="C97" s="315"/>
      <c r="D97" s="315"/>
    </row>
    <row r="98" spans="1:4" x14ac:dyDescent="0.25">
      <c r="A98" s="315"/>
      <c r="B98" s="315"/>
      <c r="C98" s="315"/>
      <c r="D98" s="315"/>
    </row>
    <row r="99" spans="1:4" x14ac:dyDescent="0.25">
      <c r="A99" s="315"/>
      <c r="B99" s="315"/>
      <c r="C99" s="315"/>
      <c r="D99" s="315"/>
    </row>
    <row r="100" spans="1:4" x14ac:dyDescent="0.25">
      <c r="A100" s="315"/>
      <c r="B100" s="315"/>
      <c r="C100" s="315"/>
      <c r="D100" s="315"/>
    </row>
    <row r="101" spans="1:4" x14ac:dyDescent="0.25">
      <c r="A101" s="315"/>
      <c r="B101" s="315"/>
      <c r="C101" s="315"/>
      <c r="D101" s="315"/>
    </row>
    <row r="102" spans="1:4" x14ac:dyDescent="0.25">
      <c r="A102" s="315"/>
      <c r="B102" s="315"/>
      <c r="C102" s="315"/>
      <c r="D102" s="315"/>
    </row>
    <row r="103" spans="1:4" x14ac:dyDescent="0.25">
      <c r="A103" s="315"/>
      <c r="B103" s="315"/>
      <c r="C103" s="315"/>
      <c r="D103" s="315"/>
    </row>
    <row r="104" spans="1:4" x14ac:dyDescent="0.25">
      <c r="A104" s="315"/>
      <c r="B104" s="315"/>
      <c r="C104" s="315"/>
      <c r="D104" s="315"/>
    </row>
    <row r="105" spans="1:4" x14ac:dyDescent="0.25">
      <c r="A105" s="315"/>
      <c r="B105" s="315"/>
      <c r="C105" s="315"/>
      <c r="D105" s="315"/>
    </row>
    <row r="106" spans="1:4" x14ac:dyDescent="0.25">
      <c r="A106" s="315"/>
      <c r="B106" s="315"/>
      <c r="C106" s="315"/>
      <c r="D106" s="315"/>
    </row>
    <row r="107" spans="1:4" x14ac:dyDescent="0.25">
      <c r="A107" s="315"/>
      <c r="B107" s="315"/>
      <c r="C107" s="315"/>
      <c r="D107" s="315"/>
    </row>
    <row r="108" spans="1:4" x14ac:dyDescent="0.25">
      <c r="A108" s="315"/>
      <c r="B108" s="315"/>
      <c r="C108" s="315"/>
      <c r="D108" s="315"/>
    </row>
    <row r="109" spans="1:4" x14ac:dyDescent="0.25">
      <c r="A109" s="315"/>
      <c r="B109" s="315"/>
      <c r="C109" s="315"/>
      <c r="D109" s="315"/>
    </row>
    <row r="110" spans="1:4" x14ac:dyDescent="0.25">
      <c r="A110" s="315"/>
      <c r="B110" s="315"/>
      <c r="C110" s="315"/>
      <c r="D110" s="315"/>
    </row>
    <row r="111" spans="1:4" x14ac:dyDescent="0.25">
      <c r="A111" s="315"/>
      <c r="B111" s="315"/>
      <c r="C111" s="315"/>
      <c r="D111" s="315"/>
    </row>
    <row r="112" spans="1:4" x14ac:dyDescent="0.25">
      <c r="A112" s="315"/>
      <c r="B112" s="315"/>
      <c r="C112" s="315"/>
      <c r="D112" s="315"/>
    </row>
    <row r="113" spans="1:4" x14ac:dyDescent="0.25">
      <c r="A113" s="315"/>
      <c r="B113" s="315"/>
      <c r="C113" s="315"/>
      <c r="D113" s="315"/>
    </row>
    <row r="114" spans="1:4" x14ac:dyDescent="0.25">
      <c r="A114" s="315"/>
      <c r="B114" s="315"/>
      <c r="C114" s="315"/>
      <c r="D114" s="315"/>
    </row>
    <row r="115" spans="1:4" x14ac:dyDescent="0.25">
      <c r="A115" s="315"/>
      <c r="B115" s="315"/>
      <c r="C115" s="315"/>
      <c r="D115" s="315"/>
    </row>
    <row r="116" spans="1:4" x14ac:dyDescent="0.25">
      <c r="A116" s="315"/>
      <c r="B116" s="315"/>
      <c r="C116" s="315"/>
      <c r="D116" s="315"/>
    </row>
    <row r="117" spans="1:4" x14ac:dyDescent="0.25">
      <c r="A117" s="315"/>
      <c r="B117" s="315"/>
      <c r="C117" s="315"/>
      <c r="D117" s="315"/>
    </row>
    <row r="118" spans="1:4" x14ac:dyDescent="0.25">
      <c r="A118" s="315"/>
      <c r="B118" s="315"/>
      <c r="C118" s="315"/>
      <c r="D118" s="315"/>
    </row>
    <row r="119" spans="1:4" x14ac:dyDescent="0.25">
      <c r="A119" s="315"/>
      <c r="B119" s="315"/>
      <c r="C119" s="315"/>
      <c r="D119" s="315"/>
    </row>
    <row r="120" spans="1:4" x14ac:dyDescent="0.25">
      <c r="A120" s="315"/>
      <c r="B120" s="315"/>
      <c r="C120" s="315"/>
      <c r="D120" s="315"/>
    </row>
    <row r="121" spans="1:4" x14ac:dyDescent="0.25">
      <c r="A121" s="315"/>
      <c r="B121" s="315"/>
      <c r="C121" s="315"/>
      <c r="D121" s="315"/>
    </row>
    <row r="122" spans="1:4" x14ac:dyDescent="0.25">
      <c r="A122" s="315"/>
      <c r="B122" s="315"/>
      <c r="C122" s="315"/>
      <c r="D122" s="315"/>
    </row>
    <row r="123" spans="1:4" x14ac:dyDescent="0.25">
      <c r="A123" s="315"/>
      <c r="B123" s="315"/>
      <c r="C123" s="315"/>
      <c r="D123" s="315"/>
    </row>
    <row r="124" spans="1:4" x14ac:dyDescent="0.25">
      <c r="A124" s="315"/>
      <c r="B124" s="315"/>
      <c r="C124" s="315"/>
      <c r="D124" s="315"/>
    </row>
    <row r="125" spans="1:4" x14ac:dyDescent="0.25">
      <c r="A125" s="315"/>
      <c r="B125" s="315"/>
      <c r="C125" s="315"/>
      <c r="D125" s="315"/>
    </row>
    <row r="126" spans="1:4" x14ac:dyDescent="0.25">
      <c r="A126" s="315"/>
      <c r="B126" s="315"/>
      <c r="C126" s="315"/>
      <c r="D126" s="315"/>
    </row>
    <row r="127" spans="1:4" x14ac:dyDescent="0.25">
      <c r="A127" s="315"/>
      <c r="B127" s="315"/>
      <c r="C127" s="315"/>
      <c r="D127" s="315"/>
    </row>
    <row r="128" spans="1:4" x14ac:dyDescent="0.25">
      <c r="A128" s="315"/>
      <c r="B128" s="315"/>
      <c r="C128" s="315"/>
      <c r="D128" s="315"/>
    </row>
    <row r="129" spans="1:4" x14ac:dyDescent="0.25">
      <c r="A129" s="315"/>
      <c r="B129" s="315"/>
      <c r="C129" s="315"/>
      <c r="D129" s="315"/>
    </row>
    <row r="130" spans="1:4" x14ac:dyDescent="0.25">
      <c r="A130" s="315"/>
      <c r="B130" s="315"/>
      <c r="C130" s="315"/>
      <c r="D130" s="315"/>
    </row>
    <row r="131" spans="1:4" x14ac:dyDescent="0.25">
      <c r="A131" s="315"/>
      <c r="B131" s="315"/>
      <c r="C131" s="315"/>
      <c r="D131" s="315"/>
    </row>
    <row r="132" spans="1:4" x14ac:dyDescent="0.25">
      <c r="A132" s="315"/>
      <c r="B132" s="315"/>
      <c r="C132" s="315"/>
      <c r="D132" s="315"/>
    </row>
    <row r="133" spans="1:4" x14ac:dyDescent="0.25">
      <c r="A133" s="315"/>
      <c r="B133" s="315"/>
      <c r="C133" s="315"/>
      <c r="D133" s="315"/>
    </row>
    <row r="134" spans="1:4" x14ac:dyDescent="0.25">
      <c r="A134" s="315"/>
      <c r="B134" s="315"/>
      <c r="C134" s="315"/>
      <c r="D134" s="315"/>
    </row>
    <row r="135" spans="1:4" x14ac:dyDescent="0.25">
      <c r="A135" s="315"/>
      <c r="B135" s="315"/>
      <c r="C135" s="315"/>
      <c r="D135" s="315"/>
    </row>
    <row r="136" spans="1:4" x14ac:dyDescent="0.25">
      <c r="A136" s="315"/>
      <c r="B136" s="315"/>
      <c r="C136" s="315"/>
      <c r="D136" s="315"/>
    </row>
    <row r="137" spans="1:4" x14ac:dyDescent="0.25">
      <c r="A137" s="315"/>
      <c r="B137" s="315"/>
      <c r="C137" s="315"/>
      <c r="D137" s="315"/>
    </row>
    <row r="138" spans="1:4" x14ac:dyDescent="0.25">
      <c r="A138" s="315"/>
      <c r="B138" s="315"/>
      <c r="C138" s="315"/>
      <c r="D138" s="315"/>
    </row>
    <row r="139" spans="1:4" x14ac:dyDescent="0.25">
      <c r="A139" s="315"/>
      <c r="B139" s="315"/>
      <c r="C139" s="315"/>
      <c r="D139" s="315"/>
    </row>
    <row r="140" spans="1:4" x14ac:dyDescent="0.25">
      <c r="A140" s="315"/>
      <c r="B140" s="315"/>
      <c r="C140" s="315"/>
      <c r="D140" s="315"/>
    </row>
    <row r="141" spans="1:4" x14ac:dyDescent="0.25">
      <c r="A141" s="315"/>
      <c r="B141" s="315"/>
      <c r="C141" s="315"/>
      <c r="D141" s="315"/>
    </row>
    <row r="142" spans="1:4" x14ac:dyDescent="0.25">
      <c r="A142" s="315"/>
      <c r="B142" s="315"/>
      <c r="C142" s="315"/>
      <c r="D142" s="315"/>
    </row>
    <row r="143" spans="1:4" x14ac:dyDescent="0.25">
      <c r="A143" s="315"/>
      <c r="B143" s="315"/>
      <c r="C143" s="315"/>
      <c r="D143" s="315"/>
    </row>
    <row r="144" spans="1:4" x14ac:dyDescent="0.25">
      <c r="A144" s="315"/>
      <c r="B144" s="315"/>
      <c r="C144" s="315"/>
      <c r="D144" s="315"/>
    </row>
    <row r="145" spans="1:4" x14ac:dyDescent="0.25">
      <c r="A145" s="315"/>
      <c r="B145" s="315"/>
      <c r="C145" s="315"/>
      <c r="D145" s="315"/>
    </row>
    <row r="146" spans="1:4" x14ac:dyDescent="0.25">
      <c r="A146" s="315"/>
      <c r="B146" s="315"/>
      <c r="C146" s="315"/>
      <c r="D146" s="315"/>
    </row>
    <row r="147" spans="1:4" x14ac:dyDescent="0.25">
      <c r="A147" s="315"/>
      <c r="B147" s="315"/>
      <c r="C147" s="315"/>
      <c r="D147" s="315"/>
    </row>
    <row r="148" spans="1:4" x14ac:dyDescent="0.25">
      <c r="A148" s="315"/>
      <c r="B148" s="315"/>
      <c r="C148" s="315"/>
      <c r="D148" s="315"/>
    </row>
    <row r="149" spans="1:4" x14ac:dyDescent="0.25">
      <c r="A149" s="315"/>
      <c r="B149" s="315"/>
      <c r="C149" s="315"/>
      <c r="D149" s="315"/>
    </row>
    <row r="150" spans="1:4" x14ac:dyDescent="0.25">
      <c r="A150" s="315"/>
      <c r="B150" s="315"/>
      <c r="C150" s="315"/>
      <c r="D150" s="315"/>
    </row>
    <row r="151" spans="1:4" x14ac:dyDescent="0.25">
      <c r="A151" s="315"/>
      <c r="B151" s="315"/>
      <c r="C151" s="315"/>
      <c r="D151" s="315"/>
    </row>
    <row r="152" spans="1:4" x14ac:dyDescent="0.25">
      <c r="A152" s="315"/>
      <c r="B152" s="315"/>
      <c r="C152" s="315"/>
      <c r="D152" s="315"/>
    </row>
    <row r="153" spans="1:4" x14ac:dyDescent="0.25">
      <c r="A153" s="315"/>
      <c r="B153" s="315"/>
      <c r="C153" s="315"/>
      <c r="D153" s="315"/>
    </row>
    <row r="154" spans="1:4" x14ac:dyDescent="0.25">
      <c r="A154" s="315"/>
      <c r="B154" s="315"/>
      <c r="C154" s="315"/>
      <c r="D154" s="315"/>
    </row>
    <row r="155" spans="1:4" x14ac:dyDescent="0.25">
      <c r="A155" s="315"/>
      <c r="B155" s="315"/>
      <c r="C155" s="315"/>
      <c r="D155" s="315"/>
    </row>
    <row r="156" spans="1:4" x14ac:dyDescent="0.25">
      <c r="A156" s="315"/>
      <c r="B156" s="315"/>
      <c r="C156" s="315"/>
      <c r="D156" s="315"/>
    </row>
    <row r="157" spans="1:4" x14ac:dyDescent="0.25">
      <c r="A157" s="315"/>
      <c r="B157" s="315"/>
      <c r="C157" s="315"/>
      <c r="D157" s="315"/>
    </row>
    <row r="158" spans="1:4" x14ac:dyDescent="0.25">
      <c r="A158" s="122"/>
      <c r="B158" s="122"/>
      <c r="C158" s="122"/>
      <c r="D158" s="122"/>
    </row>
    <row r="159" spans="1:4" x14ac:dyDescent="0.25">
      <c r="A159" s="122"/>
      <c r="B159" s="122"/>
      <c r="C159" s="122"/>
      <c r="D159" s="122"/>
    </row>
    <row r="160" spans="1:4" x14ac:dyDescent="0.25">
      <c r="A160" s="122"/>
      <c r="B160" s="122"/>
      <c r="C160" s="122"/>
      <c r="D160" s="122"/>
    </row>
    <row r="161" spans="1:4" x14ac:dyDescent="0.25">
      <c r="A161" s="122"/>
      <c r="B161" s="122"/>
      <c r="C161" s="122"/>
      <c r="D161" s="122"/>
    </row>
    <row r="162" spans="1:4" x14ac:dyDescent="0.25">
      <c r="A162" s="122"/>
      <c r="B162" s="122"/>
      <c r="C162" s="122"/>
      <c r="D162" s="122"/>
    </row>
    <row r="163" spans="1:4" x14ac:dyDescent="0.25">
      <c r="A163" s="122"/>
      <c r="B163" s="122"/>
      <c r="C163" s="122"/>
      <c r="D163" s="122"/>
    </row>
    <row r="164" spans="1:4" x14ac:dyDescent="0.25">
      <c r="A164" s="122"/>
      <c r="B164" s="122"/>
      <c r="C164" s="122"/>
      <c r="D164" s="122"/>
    </row>
    <row r="165" spans="1:4" x14ac:dyDescent="0.25">
      <c r="A165" s="122"/>
      <c r="B165" s="122"/>
      <c r="C165" s="122"/>
      <c r="D165" s="122"/>
    </row>
    <row r="166" spans="1:4" x14ac:dyDescent="0.25">
      <c r="A166" s="122"/>
      <c r="B166" s="122"/>
      <c r="C166" s="122"/>
      <c r="D166" s="122"/>
    </row>
    <row r="167" spans="1:4" x14ac:dyDescent="0.25">
      <c r="A167" s="122"/>
      <c r="B167" s="122"/>
      <c r="C167" s="122"/>
      <c r="D167" s="122"/>
    </row>
    <row r="168" spans="1:4" x14ac:dyDescent="0.25">
      <c r="A168" s="122"/>
      <c r="B168" s="122"/>
      <c r="C168" s="122"/>
      <c r="D168" s="122"/>
    </row>
    <row r="169" spans="1:4" x14ac:dyDescent="0.25">
      <c r="A169" s="122"/>
      <c r="B169" s="122"/>
      <c r="C169" s="122"/>
      <c r="D169" s="122"/>
    </row>
    <row r="170" spans="1:4" x14ac:dyDescent="0.25">
      <c r="A170" s="122"/>
      <c r="B170" s="122"/>
      <c r="C170" s="122"/>
      <c r="D170" s="122"/>
    </row>
    <row r="171" spans="1:4" x14ac:dyDescent="0.25">
      <c r="A171" s="122"/>
      <c r="B171" s="122"/>
      <c r="C171" s="122"/>
      <c r="D171" s="122"/>
    </row>
    <row r="172" spans="1:4" x14ac:dyDescent="0.25">
      <c r="A172" s="122"/>
      <c r="B172" s="122"/>
      <c r="C172" s="122"/>
      <c r="D172" s="122"/>
    </row>
    <row r="173" spans="1:4" x14ac:dyDescent="0.25">
      <c r="A173" s="122"/>
      <c r="B173" s="122"/>
      <c r="C173" s="122"/>
      <c r="D173" s="122"/>
    </row>
    <row r="174" spans="1:4" x14ac:dyDescent="0.25">
      <c r="A174" s="122"/>
      <c r="B174" s="122"/>
      <c r="C174" s="122"/>
      <c r="D174" s="122"/>
    </row>
    <row r="175" spans="1:4" x14ac:dyDescent="0.25">
      <c r="A175" s="122"/>
      <c r="B175" s="122"/>
      <c r="C175" s="122"/>
      <c r="D175" s="122"/>
    </row>
    <row r="176" spans="1:4" x14ac:dyDescent="0.25">
      <c r="A176" s="122"/>
      <c r="B176" s="122"/>
      <c r="C176" s="122"/>
      <c r="D176" s="122"/>
    </row>
    <row r="177" spans="1:4" x14ac:dyDescent="0.25">
      <c r="A177" s="122"/>
      <c r="B177" s="122"/>
      <c r="C177" s="122"/>
      <c r="D177" s="122"/>
    </row>
    <row r="178" spans="1:4" x14ac:dyDescent="0.25">
      <c r="A178" s="122"/>
      <c r="B178" s="122"/>
      <c r="C178" s="122"/>
      <c r="D178" s="122"/>
    </row>
    <row r="179" spans="1:4" x14ac:dyDescent="0.25">
      <c r="A179" s="122"/>
      <c r="B179" s="122"/>
      <c r="C179" s="122"/>
      <c r="D179" s="122"/>
    </row>
    <row r="180" spans="1:4" x14ac:dyDescent="0.25">
      <c r="A180" s="122"/>
      <c r="B180" s="122"/>
      <c r="C180" s="122"/>
      <c r="D180" s="122"/>
    </row>
    <row r="181" spans="1:4" x14ac:dyDescent="0.25">
      <c r="A181" s="122"/>
      <c r="B181" s="122"/>
      <c r="C181" s="122"/>
      <c r="D181" s="122"/>
    </row>
    <row r="182" spans="1:4" x14ac:dyDescent="0.25">
      <c r="A182" s="122"/>
      <c r="B182" s="122"/>
      <c r="C182" s="122"/>
      <c r="D182" s="122"/>
    </row>
    <row r="183" spans="1:4" x14ac:dyDescent="0.25">
      <c r="A183" s="122"/>
      <c r="B183" s="122"/>
      <c r="C183" s="122"/>
      <c r="D183" s="122"/>
    </row>
    <row r="184" spans="1:4" x14ac:dyDescent="0.25">
      <c r="A184" s="122"/>
      <c r="B184" s="122"/>
      <c r="C184" s="122"/>
      <c r="D184" s="122"/>
    </row>
    <row r="185" spans="1:4" x14ac:dyDescent="0.25">
      <c r="A185" s="122"/>
      <c r="B185" s="122"/>
      <c r="C185" s="122"/>
      <c r="D185" s="122"/>
    </row>
    <row r="186" spans="1:4" x14ac:dyDescent="0.25">
      <c r="A186" s="122"/>
      <c r="B186" s="122"/>
      <c r="C186" s="122"/>
      <c r="D186" s="122"/>
    </row>
    <row r="187" spans="1:4" x14ac:dyDescent="0.25">
      <c r="A187" s="122"/>
      <c r="B187" s="122"/>
      <c r="C187" s="122"/>
      <c r="D187" s="122"/>
    </row>
    <row r="188" spans="1:4" x14ac:dyDescent="0.25">
      <c r="A188" s="122"/>
      <c r="B188" s="122"/>
      <c r="C188" s="122"/>
      <c r="D188" s="122"/>
    </row>
    <row r="189" spans="1:4" x14ac:dyDescent="0.25">
      <c r="A189" s="122"/>
      <c r="B189" s="122"/>
      <c r="C189" s="122"/>
      <c r="D189" s="122"/>
    </row>
    <row r="190" spans="1:4" x14ac:dyDescent="0.25">
      <c r="A190" s="122"/>
      <c r="B190" s="122"/>
      <c r="C190" s="122"/>
      <c r="D190" s="122"/>
    </row>
    <row r="191" spans="1:4" x14ac:dyDescent="0.25">
      <c r="A191" s="122"/>
      <c r="B191" s="122"/>
      <c r="C191" s="122"/>
      <c r="D191" s="122"/>
    </row>
    <row r="192" spans="1:4" x14ac:dyDescent="0.25">
      <c r="A192" s="122"/>
      <c r="B192" s="122"/>
      <c r="C192" s="122"/>
      <c r="D192" s="122"/>
    </row>
    <row r="193" spans="1:4" x14ac:dyDescent="0.25">
      <c r="A193" s="122"/>
      <c r="B193" s="122"/>
      <c r="C193" s="122"/>
      <c r="D193" s="122"/>
    </row>
    <row r="194" spans="1:4" x14ac:dyDescent="0.25">
      <c r="A194" s="122"/>
      <c r="B194" s="122"/>
      <c r="C194" s="122"/>
      <c r="D194" s="122"/>
    </row>
    <row r="195" spans="1:4" x14ac:dyDescent="0.25">
      <c r="A195" s="122"/>
      <c r="B195" s="122"/>
      <c r="C195" s="122"/>
      <c r="D195" s="122"/>
    </row>
    <row r="196" spans="1:4" x14ac:dyDescent="0.25">
      <c r="A196" s="122"/>
      <c r="B196" s="122"/>
      <c r="C196" s="122"/>
      <c r="D196" s="122"/>
    </row>
    <row r="197" spans="1:4" x14ac:dyDescent="0.25">
      <c r="A197" s="122"/>
      <c r="B197" s="122"/>
      <c r="C197" s="122"/>
      <c r="D197" s="122"/>
    </row>
    <row r="198" spans="1:4" x14ac:dyDescent="0.25">
      <c r="A198" s="122"/>
      <c r="B198" s="122"/>
      <c r="C198" s="122"/>
      <c r="D198" s="122"/>
    </row>
    <row r="199" spans="1:4" x14ac:dyDescent="0.25">
      <c r="A199" s="122"/>
      <c r="B199" s="122"/>
      <c r="C199" s="122"/>
      <c r="D199" s="122"/>
    </row>
    <row r="200" spans="1:4" x14ac:dyDescent="0.25">
      <c r="A200" s="122"/>
      <c r="B200" s="122"/>
      <c r="C200" s="122"/>
      <c r="D200" s="122"/>
    </row>
    <row r="201" spans="1:4" x14ac:dyDescent="0.25">
      <c r="A201" s="122"/>
      <c r="B201" s="122"/>
      <c r="C201" s="122"/>
      <c r="D201" s="122"/>
    </row>
    <row r="202" spans="1:4" x14ac:dyDescent="0.25">
      <c r="A202" s="122"/>
      <c r="B202" s="122"/>
      <c r="C202" s="122"/>
      <c r="D202" s="122"/>
    </row>
    <row r="203" spans="1:4" x14ac:dyDescent="0.25">
      <c r="A203" s="122"/>
      <c r="B203" s="122"/>
      <c r="C203" s="122"/>
      <c r="D203" s="122"/>
    </row>
    <row r="204" spans="1:4" x14ac:dyDescent="0.25">
      <c r="A204" s="122"/>
      <c r="B204" s="122"/>
      <c r="C204" s="122"/>
      <c r="D204" s="122"/>
    </row>
    <row r="205" spans="1:4" x14ac:dyDescent="0.25">
      <c r="A205" s="122"/>
      <c r="B205" s="122"/>
      <c r="C205" s="122"/>
      <c r="D205" s="122"/>
    </row>
    <row r="206" spans="1:4" x14ac:dyDescent="0.25">
      <c r="A206" s="122"/>
      <c r="B206" s="122"/>
      <c r="C206" s="122"/>
      <c r="D206" s="122"/>
    </row>
    <row r="207" spans="1:4" x14ac:dyDescent="0.25">
      <c r="A207" s="122"/>
      <c r="B207" s="122"/>
      <c r="C207" s="122"/>
      <c r="D207" s="122"/>
    </row>
    <row r="208" spans="1:4" x14ac:dyDescent="0.25">
      <c r="A208" s="122"/>
      <c r="B208" s="122"/>
      <c r="C208" s="122"/>
      <c r="D208" s="122"/>
    </row>
    <row r="209" spans="1:4" x14ac:dyDescent="0.25">
      <c r="A209" s="122"/>
      <c r="B209" s="122"/>
      <c r="C209" s="122"/>
      <c r="D209" s="122"/>
    </row>
    <row r="210" spans="1:4" x14ac:dyDescent="0.25">
      <c r="A210" s="122"/>
      <c r="B210" s="122"/>
      <c r="C210" s="122"/>
      <c r="D210" s="122"/>
    </row>
    <row r="211" spans="1:4" x14ac:dyDescent="0.25">
      <c r="A211" s="122"/>
      <c r="B211" s="122"/>
      <c r="C211" s="122"/>
      <c r="D211" s="122"/>
    </row>
    <row r="212" spans="1:4" x14ac:dyDescent="0.25">
      <c r="A212" s="122"/>
      <c r="B212" s="122"/>
      <c r="C212" s="122"/>
      <c r="D212" s="122"/>
    </row>
    <row r="213" spans="1:4" x14ac:dyDescent="0.25">
      <c r="A213" s="122"/>
      <c r="B213" s="122"/>
      <c r="C213" s="122"/>
      <c r="D213" s="122"/>
    </row>
    <row r="214" spans="1:4" x14ac:dyDescent="0.25">
      <c r="A214" s="122"/>
      <c r="B214" s="122"/>
      <c r="C214" s="122"/>
      <c r="D214" s="122"/>
    </row>
    <row r="215" spans="1:4" x14ac:dyDescent="0.25">
      <c r="A215" s="122"/>
      <c r="B215" s="122"/>
      <c r="C215" s="122"/>
      <c r="D215" s="122"/>
    </row>
    <row r="216" spans="1:4" x14ac:dyDescent="0.25">
      <c r="A216" s="122"/>
      <c r="B216" s="122"/>
      <c r="C216" s="122"/>
      <c r="D216" s="122"/>
    </row>
    <row r="217" spans="1:4" x14ac:dyDescent="0.25">
      <c r="A217" s="122"/>
      <c r="B217" s="122"/>
      <c r="C217" s="122"/>
      <c r="D217" s="122"/>
    </row>
    <row r="218" spans="1:4" x14ac:dyDescent="0.25">
      <c r="A218" s="122"/>
      <c r="B218" s="122"/>
      <c r="C218" s="122"/>
      <c r="D218" s="122"/>
    </row>
    <row r="219" spans="1:4" x14ac:dyDescent="0.25">
      <c r="A219" s="122"/>
      <c r="B219" s="122"/>
      <c r="C219" s="122"/>
      <c r="D219" s="122"/>
    </row>
    <row r="220" spans="1:4" x14ac:dyDescent="0.25">
      <c r="A220" s="122"/>
      <c r="B220" s="122"/>
      <c r="C220" s="122"/>
      <c r="D220" s="122"/>
    </row>
    <row r="221" spans="1:4" x14ac:dyDescent="0.25">
      <c r="A221" s="122"/>
      <c r="B221" s="122"/>
      <c r="C221" s="122"/>
      <c r="D221" s="122"/>
    </row>
    <row r="222" spans="1:4" x14ac:dyDescent="0.25">
      <c r="A222" s="122"/>
      <c r="B222" s="122"/>
      <c r="C222" s="122"/>
      <c r="D222" s="122"/>
    </row>
    <row r="223" spans="1:4" x14ac:dyDescent="0.25">
      <c r="A223" s="122"/>
      <c r="B223" s="122"/>
      <c r="C223" s="122"/>
      <c r="D223" s="122"/>
    </row>
    <row r="224" spans="1:4" x14ac:dyDescent="0.25">
      <c r="A224" s="122"/>
      <c r="B224" s="122"/>
      <c r="C224" s="122"/>
      <c r="D224" s="122"/>
    </row>
    <row r="225" spans="1:4" x14ac:dyDescent="0.25">
      <c r="A225" s="122"/>
      <c r="B225" s="122"/>
      <c r="C225" s="122"/>
      <c r="D225" s="122"/>
    </row>
    <row r="226" spans="1:4" x14ac:dyDescent="0.25">
      <c r="A226" s="122"/>
      <c r="B226" s="122"/>
      <c r="C226" s="122"/>
      <c r="D226" s="122"/>
    </row>
    <row r="227" spans="1:4" x14ac:dyDescent="0.25">
      <c r="A227" s="122"/>
      <c r="B227" s="122"/>
      <c r="C227" s="122"/>
      <c r="D227" s="122"/>
    </row>
    <row r="228" spans="1:4" x14ac:dyDescent="0.25">
      <c r="A228" s="122"/>
      <c r="B228" s="122"/>
      <c r="C228" s="122"/>
      <c r="D228" s="122"/>
    </row>
    <row r="229" spans="1:4" x14ac:dyDescent="0.25">
      <c r="A229" s="122"/>
      <c r="B229" s="122"/>
      <c r="C229" s="122"/>
      <c r="D229" s="122"/>
    </row>
    <row r="230" spans="1:4" x14ac:dyDescent="0.25">
      <c r="A230" s="122"/>
      <c r="B230" s="122"/>
      <c r="C230" s="122"/>
      <c r="D230" s="122"/>
    </row>
    <row r="231" spans="1:4" x14ac:dyDescent="0.25">
      <c r="A231" s="122"/>
      <c r="B231" s="122"/>
      <c r="C231" s="122"/>
      <c r="D231" s="122"/>
    </row>
    <row r="232" spans="1:4" x14ac:dyDescent="0.25">
      <c r="A232" s="122"/>
      <c r="B232" s="122"/>
      <c r="C232" s="122"/>
      <c r="D232" s="122"/>
    </row>
    <row r="233" spans="1:4" x14ac:dyDescent="0.25">
      <c r="A233" s="122"/>
      <c r="B233" s="122"/>
      <c r="C233" s="122"/>
      <c r="D233" s="122"/>
    </row>
    <row r="234" spans="1:4" x14ac:dyDescent="0.25">
      <c r="A234" s="122"/>
      <c r="B234" s="122"/>
      <c r="C234" s="122"/>
      <c r="D234" s="122"/>
    </row>
    <row r="235" spans="1:4" x14ac:dyDescent="0.25">
      <c r="A235" s="122"/>
      <c r="B235" s="122"/>
      <c r="C235" s="122"/>
      <c r="D235" s="122"/>
    </row>
    <row r="236" spans="1:4" x14ac:dyDescent="0.25">
      <c r="A236" s="122"/>
      <c r="B236" s="122"/>
      <c r="C236" s="122"/>
      <c r="D236" s="122"/>
    </row>
    <row r="237" spans="1:4" x14ac:dyDescent="0.25">
      <c r="A237" s="122"/>
      <c r="B237" s="122"/>
      <c r="C237" s="122"/>
      <c r="D237" s="122"/>
    </row>
    <row r="238" spans="1:4" x14ac:dyDescent="0.25">
      <c r="A238" s="122"/>
      <c r="B238" s="122"/>
      <c r="C238" s="122"/>
      <c r="D238" s="122"/>
    </row>
    <row r="239" spans="1:4" x14ac:dyDescent="0.25">
      <c r="A239" s="122"/>
      <c r="B239" s="122"/>
      <c r="C239" s="122"/>
      <c r="D239" s="122"/>
    </row>
    <row r="240" spans="1:4" x14ac:dyDescent="0.25">
      <c r="A240" s="122"/>
      <c r="B240" s="122"/>
      <c r="C240" s="122"/>
      <c r="D240" s="122"/>
    </row>
    <row r="241" spans="1:4" x14ac:dyDescent="0.25">
      <c r="A241" s="122"/>
      <c r="B241" s="122"/>
      <c r="C241" s="122"/>
      <c r="D241" s="122"/>
    </row>
    <row r="242" spans="1:4" x14ac:dyDescent="0.25">
      <c r="A242" s="122"/>
      <c r="B242" s="122"/>
      <c r="C242" s="122"/>
      <c r="D242" s="122"/>
    </row>
    <row r="243" spans="1:4" x14ac:dyDescent="0.25">
      <c r="A243" s="122"/>
      <c r="B243" s="122"/>
      <c r="C243" s="122"/>
      <c r="D243" s="122"/>
    </row>
    <row r="244" spans="1:4" x14ac:dyDescent="0.25">
      <c r="A244" s="122"/>
      <c r="B244" s="122"/>
      <c r="C244" s="122"/>
      <c r="D244" s="122"/>
    </row>
    <row r="245" spans="1:4" x14ac:dyDescent="0.25">
      <c r="A245" s="122"/>
      <c r="B245" s="122"/>
      <c r="C245" s="122"/>
      <c r="D245" s="122"/>
    </row>
    <row r="246" spans="1:4" x14ac:dyDescent="0.25">
      <c r="A246" s="122"/>
      <c r="B246" s="122"/>
      <c r="C246" s="122"/>
      <c r="D246" s="122"/>
    </row>
    <row r="247" spans="1:4" x14ac:dyDescent="0.25">
      <c r="A247" s="122"/>
      <c r="B247" s="122"/>
      <c r="C247" s="122"/>
      <c r="D247" s="122"/>
    </row>
    <row r="248" spans="1:4" x14ac:dyDescent="0.25">
      <c r="A248" s="122"/>
      <c r="B248" s="122"/>
      <c r="C248" s="122"/>
      <c r="D248" s="122"/>
    </row>
    <row r="249" spans="1:4" x14ac:dyDescent="0.25">
      <c r="A249" s="122"/>
      <c r="B249" s="122"/>
      <c r="C249" s="122"/>
      <c r="D249" s="122"/>
    </row>
    <row r="250" spans="1:4" x14ac:dyDescent="0.25">
      <c r="A250" s="122"/>
      <c r="B250" s="122"/>
      <c r="C250" s="122"/>
      <c r="D250" s="122"/>
    </row>
    <row r="251" spans="1:4" x14ac:dyDescent="0.25">
      <c r="A251" s="122"/>
      <c r="B251" s="122"/>
      <c r="C251" s="122"/>
      <c r="D251" s="122"/>
    </row>
    <row r="252" spans="1:4" x14ac:dyDescent="0.25">
      <c r="A252" s="122"/>
      <c r="B252" s="122"/>
      <c r="C252" s="122"/>
      <c r="D252" s="122"/>
    </row>
    <row r="253" spans="1:4" x14ac:dyDescent="0.25">
      <c r="A253" s="122"/>
      <c r="B253" s="122"/>
      <c r="C253" s="122"/>
      <c r="D253" s="122"/>
    </row>
    <row r="254" spans="1:4" x14ac:dyDescent="0.25">
      <c r="A254" s="122"/>
      <c r="B254" s="122"/>
      <c r="C254" s="122"/>
      <c r="D254" s="122"/>
    </row>
    <row r="255" spans="1:4" x14ac:dyDescent="0.25">
      <c r="A255" s="122"/>
      <c r="B255" s="122"/>
      <c r="C255" s="122"/>
      <c r="D255" s="122"/>
    </row>
    <row r="256" spans="1:4" x14ac:dyDescent="0.25">
      <c r="A256" s="122"/>
      <c r="B256" s="122"/>
      <c r="C256" s="122"/>
      <c r="D256" s="122"/>
    </row>
    <row r="257" spans="1:4" x14ac:dyDescent="0.25">
      <c r="A257" s="122"/>
      <c r="B257" s="122"/>
      <c r="C257" s="122"/>
      <c r="D257" s="122"/>
    </row>
    <row r="258" spans="1:4" x14ac:dyDescent="0.25">
      <c r="A258" s="122"/>
      <c r="B258" s="122"/>
      <c r="C258" s="122"/>
      <c r="D258" s="122"/>
    </row>
    <row r="259" spans="1:4" x14ac:dyDescent="0.25">
      <c r="A259" s="122"/>
      <c r="B259" s="122"/>
      <c r="C259" s="122"/>
      <c r="D259" s="122"/>
    </row>
    <row r="260" spans="1:4" x14ac:dyDescent="0.25">
      <c r="A260" s="122"/>
      <c r="B260" s="122"/>
      <c r="C260" s="122"/>
      <c r="D260" s="122"/>
    </row>
    <row r="261" spans="1:4" x14ac:dyDescent="0.25">
      <c r="A261" s="122"/>
      <c r="B261" s="122"/>
      <c r="C261" s="122"/>
      <c r="D261" s="122"/>
    </row>
    <row r="262" spans="1:4" x14ac:dyDescent="0.25">
      <c r="A262" s="122"/>
      <c r="B262" s="122"/>
      <c r="C262" s="122"/>
      <c r="D262" s="122"/>
    </row>
    <row r="263" spans="1:4" x14ac:dyDescent="0.25">
      <c r="A263" s="122"/>
      <c r="B263" s="122"/>
      <c r="C263" s="122"/>
      <c r="D263" s="122"/>
    </row>
    <row r="264" spans="1:4" x14ac:dyDescent="0.25">
      <c r="A264" s="122"/>
      <c r="B264" s="122"/>
      <c r="C264" s="122"/>
      <c r="D264" s="122"/>
    </row>
    <row r="265" spans="1:4" x14ac:dyDescent="0.25">
      <c r="A265" s="122"/>
      <c r="B265" s="122"/>
      <c r="C265" s="122"/>
      <c r="D265" s="122"/>
    </row>
  </sheetData>
  <printOptions horizontalCentered="1"/>
  <pageMargins left="0" right="0" top="0" bottom="0" header="0.3" footer="0.3"/>
  <pageSetup paperSize="9" scale="76" fitToWidth="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59999389629810485"/>
  </sheetPr>
  <dimension ref="A1:K358"/>
  <sheetViews>
    <sheetView zoomScale="90" zoomScaleNormal="90" workbookViewId="0">
      <selection activeCell="C20" activeCellId="1" sqref="C8:C17 C19:C23 C25:C44 C46 C48:C57 C59:C63 C65:C66 C68:C78 C80:C103 C105 C107:C108 C110:C112 C114:C135 C137 C140:C141 C143:C154 C156:C158 C160:C161 C163:C169 C171:C172"/>
      <pivotSelection pane="bottomRight" showHeader="1" axis="axisRow" dimension="2" activeRow="19" activeCol="2" previousRow="19" previousCol="2" click="1" r:id="rId1">
        <pivotArea dataOnly="0" labelOnly="1" outline="0" fieldPosition="0">
          <references count="1">
            <reference field="11" count="0"/>
          </references>
        </pivotArea>
      </pivotSelection>
    </sheetView>
  </sheetViews>
  <sheetFormatPr defaultRowHeight="15" x14ac:dyDescent="0.25"/>
  <cols>
    <col min="1" max="1" width="11.28515625" style="122" customWidth="1"/>
    <col min="2" max="2" width="12.7109375" style="122" customWidth="1"/>
    <col min="3" max="3" width="47" style="122" bestFit="1" customWidth="1"/>
    <col min="4" max="4" width="19.140625" style="122" customWidth="1"/>
    <col min="5" max="5" width="15" style="122" customWidth="1"/>
    <col min="6" max="6" width="12" style="122" customWidth="1"/>
    <col min="7" max="7" width="10.7109375" style="24" customWidth="1"/>
    <col min="8" max="8" width="11.28515625" style="24" customWidth="1"/>
    <col min="9" max="9" width="9.7109375" style="122" customWidth="1"/>
    <col min="10" max="11" width="9.140625" style="122"/>
  </cols>
  <sheetData>
    <row r="1" spans="1:11" x14ac:dyDescent="0.25">
      <c r="A1" s="313"/>
      <c r="B1" s="234"/>
      <c r="C1" s="234"/>
      <c r="D1" s="234"/>
      <c r="E1" s="234"/>
      <c r="F1" s="234"/>
      <c r="G1" s="234"/>
      <c r="H1" s="235"/>
      <c r="I1" s="4"/>
      <c r="J1" s="4"/>
      <c r="K1" s="4"/>
    </row>
    <row r="2" spans="1:11" ht="28.5" x14ac:dyDescent="0.45">
      <c r="A2" s="319" t="s">
        <v>859</v>
      </c>
      <c r="B2" s="218"/>
      <c r="C2" s="218"/>
      <c r="D2" s="218"/>
      <c r="E2" s="218"/>
      <c r="F2" s="218"/>
      <c r="G2" s="218"/>
      <c r="H2" s="320"/>
      <c r="I2" s="121"/>
      <c r="J2" s="133"/>
      <c r="K2" s="133"/>
    </row>
    <row r="3" spans="1:11" ht="28.5" x14ac:dyDescent="0.45">
      <c r="A3" s="832">
        <f>Definition!B23</f>
        <v>42571</v>
      </c>
      <c r="B3" s="833"/>
      <c r="C3" s="321"/>
      <c r="D3" s="321"/>
      <c r="E3" s="321"/>
      <c r="F3" s="321"/>
      <c r="G3" s="321"/>
      <c r="H3" s="322"/>
      <c r="I3" s="121"/>
      <c r="J3" s="134"/>
      <c r="K3" s="121"/>
    </row>
    <row r="4" spans="1:11" ht="17.25" customHeight="1" x14ac:dyDescent="0.45">
      <c r="A4" s="437" t="s">
        <v>499</v>
      </c>
      <c r="B4" s="438" t="s">
        <v>501</v>
      </c>
      <c r="C4" s="121"/>
      <c r="D4" s="121"/>
      <c r="E4" s="121"/>
      <c r="F4" s="121"/>
      <c r="G4" s="121"/>
      <c r="H4" s="121"/>
      <c r="I4" s="121"/>
      <c r="J4" s="134"/>
      <c r="K4" s="121"/>
    </row>
    <row r="5" spans="1:11" x14ac:dyDescent="0.25">
      <c r="A5" s="437" t="s">
        <v>1252</v>
      </c>
      <c r="B5" s="438" t="s">
        <v>1193</v>
      </c>
    </row>
    <row r="7" spans="1:11" ht="45" x14ac:dyDescent="0.25">
      <c r="A7" s="468" t="s">
        <v>395</v>
      </c>
      <c r="B7" s="469" t="s">
        <v>0</v>
      </c>
      <c r="C7" s="469" t="s">
        <v>555</v>
      </c>
      <c r="D7" s="469" t="s">
        <v>927</v>
      </c>
      <c r="E7" s="469" t="s">
        <v>1296</v>
      </c>
      <c r="F7" s="498" t="s">
        <v>928</v>
      </c>
      <c r="G7" s="470" t="s">
        <v>498</v>
      </c>
      <c r="H7" s="471" t="s">
        <v>861</v>
      </c>
      <c r="I7" s="471" t="s">
        <v>862</v>
      </c>
      <c r="J7" s="427" t="s">
        <v>1295</v>
      </c>
      <c r="K7" s="173"/>
    </row>
    <row r="8" spans="1:11" ht="11.25" customHeight="1" x14ac:dyDescent="0.25">
      <c r="A8" s="424" t="s">
        <v>380</v>
      </c>
      <c r="B8" s="395" t="s">
        <v>5</v>
      </c>
      <c r="C8" s="395" t="s">
        <v>6</v>
      </c>
      <c r="D8" s="395" t="s">
        <v>4</v>
      </c>
      <c r="E8" s="395" t="s">
        <v>555</v>
      </c>
      <c r="F8" s="395" t="s">
        <v>1091</v>
      </c>
      <c r="G8" s="395" t="s">
        <v>512</v>
      </c>
      <c r="H8" s="410">
        <v>274</v>
      </c>
      <c r="I8" s="410">
        <v>1349</v>
      </c>
      <c r="J8" s="464">
        <v>1</v>
      </c>
    </row>
    <row r="9" spans="1:11" ht="11.25" customHeight="1" x14ac:dyDescent="0.25">
      <c r="A9" s="424"/>
      <c r="B9" s="395"/>
      <c r="C9" s="395" t="s">
        <v>513</v>
      </c>
      <c r="D9" s="395" t="s">
        <v>377</v>
      </c>
      <c r="E9" s="395" t="s">
        <v>555</v>
      </c>
      <c r="F9" s="395" t="s">
        <v>461</v>
      </c>
      <c r="G9" s="395" t="s">
        <v>512</v>
      </c>
      <c r="H9" s="410">
        <v>12</v>
      </c>
      <c r="I9" s="410">
        <v>55</v>
      </c>
      <c r="J9" s="464">
        <v>1</v>
      </c>
    </row>
    <row r="10" spans="1:11" ht="11.25" customHeight="1" x14ac:dyDescent="0.25">
      <c r="A10" s="424"/>
      <c r="B10" s="395"/>
      <c r="C10" s="395" t="s">
        <v>14</v>
      </c>
      <c r="D10" s="395" t="s">
        <v>13</v>
      </c>
      <c r="E10" s="395" t="s">
        <v>555</v>
      </c>
      <c r="F10" s="395" t="s">
        <v>461</v>
      </c>
      <c r="G10" s="395" t="s">
        <v>512</v>
      </c>
      <c r="H10" s="410">
        <v>39</v>
      </c>
      <c r="I10" s="410">
        <v>232</v>
      </c>
      <c r="J10" s="464">
        <v>1</v>
      </c>
    </row>
    <row r="11" spans="1:11" x14ac:dyDescent="0.25">
      <c r="A11" s="424"/>
      <c r="B11" s="395"/>
      <c r="C11" s="401" t="s">
        <v>18</v>
      </c>
      <c r="D11" s="395" t="s">
        <v>17</v>
      </c>
      <c r="E11" s="395" t="s">
        <v>555</v>
      </c>
      <c r="F11" s="395" t="s">
        <v>506</v>
      </c>
      <c r="G11" s="395" t="s">
        <v>512</v>
      </c>
      <c r="H11" s="410">
        <v>116</v>
      </c>
      <c r="I11" s="410">
        <v>659</v>
      </c>
      <c r="J11" s="464">
        <v>1</v>
      </c>
    </row>
    <row r="12" spans="1:11" ht="11.25" customHeight="1" x14ac:dyDescent="0.25">
      <c r="A12" s="424"/>
      <c r="B12" s="395"/>
      <c r="C12" s="401" t="s">
        <v>8</v>
      </c>
      <c r="D12" s="395" t="s">
        <v>7</v>
      </c>
      <c r="E12" s="395" t="s">
        <v>555</v>
      </c>
      <c r="F12" s="395" t="s">
        <v>506</v>
      </c>
      <c r="G12" s="395" t="s">
        <v>512</v>
      </c>
      <c r="H12" s="410">
        <v>14</v>
      </c>
      <c r="I12" s="410">
        <v>65</v>
      </c>
      <c r="J12" s="464">
        <v>1</v>
      </c>
    </row>
    <row r="13" spans="1:11" ht="11.25" customHeight="1" x14ac:dyDescent="0.25">
      <c r="A13" s="424"/>
      <c r="B13" s="395"/>
      <c r="C13" s="401" t="s">
        <v>20</v>
      </c>
      <c r="D13" s="395" t="s">
        <v>19</v>
      </c>
      <c r="E13" s="395" t="s">
        <v>555</v>
      </c>
      <c r="F13" s="395" t="s">
        <v>1091</v>
      </c>
      <c r="G13" s="395" t="s">
        <v>512</v>
      </c>
      <c r="H13" s="410">
        <v>20</v>
      </c>
      <c r="I13" s="410">
        <v>103</v>
      </c>
      <c r="J13" s="464">
        <v>1</v>
      </c>
    </row>
    <row r="14" spans="1:11" ht="11.25" customHeight="1" x14ac:dyDescent="0.25">
      <c r="A14" s="424"/>
      <c r="B14" s="395"/>
      <c r="C14" s="401" t="s">
        <v>366</v>
      </c>
      <c r="D14" s="395" t="s">
        <v>376</v>
      </c>
      <c r="E14" s="395" t="s">
        <v>555</v>
      </c>
      <c r="F14" s="395" t="s">
        <v>461</v>
      </c>
      <c r="G14" s="395" t="s">
        <v>512</v>
      </c>
      <c r="H14" s="410">
        <v>150</v>
      </c>
      <c r="I14" s="410">
        <v>761</v>
      </c>
      <c r="J14" s="464">
        <v>1</v>
      </c>
    </row>
    <row r="15" spans="1:11" ht="11.25" customHeight="1" x14ac:dyDescent="0.25">
      <c r="A15" s="424"/>
      <c r="B15" s="395"/>
      <c r="C15" s="401" t="s">
        <v>22</v>
      </c>
      <c r="D15" s="395" t="s">
        <v>21</v>
      </c>
      <c r="E15" s="395" t="s">
        <v>555</v>
      </c>
      <c r="F15" s="395" t="s">
        <v>461</v>
      </c>
      <c r="G15" s="395" t="s">
        <v>512</v>
      </c>
      <c r="H15" s="410">
        <v>629</v>
      </c>
      <c r="I15" s="410">
        <v>3801</v>
      </c>
      <c r="J15" s="464">
        <v>1</v>
      </c>
    </row>
    <row r="16" spans="1:11" ht="11.25" customHeight="1" x14ac:dyDescent="0.25">
      <c r="A16" s="424"/>
      <c r="B16" s="395"/>
      <c r="C16" s="401" t="s">
        <v>24</v>
      </c>
      <c r="D16" s="395" t="s">
        <v>23</v>
      </c>
      <c r="E16" s="395" t="s">
        <v>555</v>
      </c>
      <c r="F16" s="395" t="s">
        <v>506</v>
      </c>
      <c r="G16" s="395" t="s">
        <v>512</v>
      </c>
      <c r="H16" s="410">
        <v>21</v>
      </c>
      <c r="I16" s="410">
        <v>97</v>
      </c>
      <c r="J16" s="464">
        <v>1</v>
      </c>
    </row>
    <row r="17" spans="1:10" ht="11.25" customHeight="1" x14ac:dyDescent="0.25">
      <c r="A17" s="424"/>
      <c r="B17" s="395"/>
      <c r="C17" s="395" t="s">
        <v>26</v>
      </c>
      <c r="D17" s="395" t="s">
        <v>25</v>
      </c>
      <c r="E17" s="395" t="s">
        <v>555</v>
      </c>
      <c r="F17" s="395" t="s">
        <v>506</v>
      </c>
      <c r="G17" s="395" t="s">
        <v>512</v>
      </c>
      <c r="H17" s="410">
        <v>15</v>
      </c>
      <c r="I17" s="410">
        <v>73</v>
      </c>
      <c r="J17" s="464">
        <v>1</v>
      </c>
    </row>
    <row r="18" spans="1:10" ht="11.25" customHeight="1" x14ac:dyDescent="0.25">
      <c r="A18" s="424"/>
      <c r="B18" s="395" t="s">
        <v>1166</v>
      </c>
      <c r="C18" s="395"/>
      <c r="D18" s="395"/>
      <c r="E18" s="395"/>
      <c r="F18" s="395"/>
      <c r="G18" s="395"/>
      <c r="H18" s="410">
        <v>1290</v>
      </c>
      <c r="I18" s="410">
        <v>7195</v>
      </c>
      <c r="J18" s="464">
        <v>10</v>
      </c>
    </row>
    <row r="19" spans="1:10" ht="11.25" customHeight="1" x14ac:dyDescent="0.25">
      <c r="A19" s="424"/>
      <c r="B19" s="395" t="s">
        <v>27</v>
      </c>
      <c r="C19" s="395" t="s">
        <v>28</v>
      </c>
      <c r="D19" s="395" t="s">
        <v>30</v>
      </c>
      <c r="E19" s="395" t="s">
        <v>555</v>
      </c>
      <c r="F19" s="395" t="s">
        <v>506</v>
      </c>
      <c r="G19" s="395" t="s">
        <v>512</v>
      </c>
      <c r="H19" s="410">
        <v>109</v>
      </c>
      <c r="I19" s="410">
        <v>504</v>
      </c>
      <c r="J19" s="464">
        <v>1</v>
      </c>
    </row>
    <row r="20" spans="1:10" ht="11.25" customHeight="1" x14ac:dyDescent="0.25">
      <c r="A20" s="424"/>
      <c r="B20" s="395"/>
      <c r="C20" s="395" t="s">
        <v>364</v>
      </c>
      <c r="D20" s="395" t="s">
        <v>29</v>
      </c>
      <c r="E20" s="395" t="s">
        <v>555</v>
      </c>
      <c r="F20" s="395" t="s">
        <v>461</v>
      </c>
      <c r="G20" s="395" t="s">
        <v>514</v>
      </c>
      <c r="H20" s="410">
        <v>152</v>
      </c>
      <c r="I20" s="410">
        <v>1015</v>
      </c>
      <c r="J20" s="464">
        <v>1</v>
      </c>
    </row>
    <row r="21" spans="1:10" ht="11.25" customHeight="1" x14ac:dyDescent="0.25">
      <c r="A21" s="424"/>
      <c r="B21" s="395"/>
      <c r="C21" s="395" t="s">
        <v>365</v>
      </c>
      <c r="D21" s="395" t="s">
        <v>378</v>
      </c>
      <c r="E21" s="395" t="s">
        <v>555</v>
      </c>
      <c r="F21" s="395" t="s">
        <v>506</v>
      </c>
      <c r="G21" s="395" t="s">
        <v>512</v>
      </c>
      <c r="H21" s="410">
        <v>143</v>
      </c>
      <c r="I21" s="410">
        <v>638</v>
      </c>
      <c r="J21" s="464">
        <v>1</v>
      </c>
    </row>
    <row r="22" spans="1:10" ht="11.25" customHeight="1" x14ac:dyDescent="0.25">
      <c r="A22" s="424"/>
      <c r="B22" s="395"/>
      <c r="C22" s="395" t="s">
        <v>865</v>
      </c>
      <c r="D22" s="395" t="s">
        <v>864</v>
      </c>
      <c r="E22" s="395" t="s">
        <v>555</v>
      </c>
      <c r="F22" s="395" t="s">
        <v>1092</v>
      </c>
      <c r="G22" s="395" t="s">
        <v>512</v>
      </c>
      <c r="H22" s="410">
        <v>60</v>
      </c>
      <c r="I22" s="410">
        <v>277</v>
      </c>
      <c r="J22" s="464">
        <v>1</v>
      </c>
    </row>
    <row r="23" spans="1:10" ht="11.25" customHeight="1" x14ac:dyDescent="0.25">
      <c r="A23" s="424"/>
      <c r="B23" s="395"/>
      <c r="C23" s="395" t="s">
        <v>1021</v>
      </c>
      <c r="D23" s="395" t="s">
        <v>1022</v>
      </c>
      <c r="E23" s="395" t="s">
        <v>555</v>
      </c>
      <c r="F23" s="395" t="s">
        <v>1092</v>
      </c>
      <c r="G23" s="395" t="s">
        <v>512</v>
      </c>
      <c r="H23" s="410">
        <v>30</v>
      </c>
      <c r="I23" s="410">
        <v>175</v>
      </c>
      <c r="J23" s="464">
        <v>1</v>
      </c>
    </row>
    <row r="24" spans="1:10" ht="11.25" customHeight="1" x14ac:dyDescent="0.25">
      <c r="A24" s="424"/>
      <c r="B24" s="395" t="s">
        <v>1119</v>
      </c>
      <c r="C24" s="395"/>
      <c r="D24" s="395"/>
      <c r="E24" s="395"/>
      <c r="F24" s="395"/>
      <c r="G24" s="395"/>
      <c r="H24" s="410">
        <v>494</v>
      </c>
      <c r="I24" s="410">
        <v>2609</v>
      </c>
      <c r="J24" s="464">
        <v>5</v>
      </c>
    </row>
    <row r="25" spans="1:10" ht="11.25" customHeight="1" x14ac:dyDescent="0.25">
      <c r="A25" s="424"/>
      <c r="B25" s="395" t="s">
        <v>528</v>
      </c>
      <c r="C25" s="395" t="s">
        <v>62</v>
      </c>
      <c r="D25" s="395" t="s">
        <v>61</v>
      </c>
      <c r="E25" s="395" t="s">
        <v>555</v>
      </c>
      <c r="F25" s="395" t="s">
        <v>461</v>
      </c>
      <c r="G25" s="395" t="s">
        <v>512</v>
      </c>
      <c r="H25" s="410">
        <v>73</v>
      </c>
      <c r="I25" s="410">
        <v>350</v>
      </c>
      <c r="J25" s="464">
        <v>1</v>
      </c>
    </row>
    <row r="26" spans="1:10" ht="11.25" customHeight="1" x14ac:dyDescent="0.25">
      <c r="A26" s="424"/>
      <c r="B26" s="395"/>
      <c r="C26" s="395" t="s">
        <v>120</v>
      </c>
      <c r="D26" s="395" t="s">
        <v>119</v>
      </c>
      <c r="E26" s="395" t="s">
        <v>555</v>
      </c>
      <c r="F26" s="395" t="s">
        <v>1092</v>
      </c>
      <c r="G26" s="395" t="s">
        <v>512</v>
      </c>
      <c r="H26" s="410">
        <v>77</v>
      </c>
      <c r="I26" s="410">
        <v>411</v>
      </c>
      <c r="J26" s="464">
        <v>1</v>
      </c>
    </row>
    <row r="27" spans="1:10" ht="11.25" customHeight="1" x14ac:dyDescent="0.25">
      <c r="A27" s="424"/>
      <c r="B27" s="395"/>
      <c r="C27" s="395" t="s">
        <v>41</v>
      </c>
      <c r="D27" s="395" t="s">
        <v>40</v>
      </c>
      <c r="E27" s="395" t="s">
        <v>555</v>
      </c>
      <c r="F27" s="395" t="s">
        <v>506</v>
      </c>
      <c r="G27" s="395" t="s">
        <v>512</v>
      </c>
      <c r="H27" s="410">
        <v>67</v>
      </c>
      <c r="I27" s="410">
        <v>350</v>
      </c>
      <c r="J27" s="464">
        <v>1</v>
      </c>
    </row>
    <row r="28" spans="1:10" ht="11.25" customHeight="1" x14ac:dyDescent="0.25">
      <c r="A28" s="424"/>
      <c r="B28" s="395"/>
      <c r="C28" s="395" t="s">
        <v>43</v>
      </c>
      <c r="D28" s="395" t="s">
        <v>42</v>
      </c>
      <c r="E28" s="395" t="s">
        <v>555</v>
      </c>
      <c r="F28" s="395" t="s">
        <v>506</v>
      </c>
      <c r="G28" s="395" t="s">
        <v>512</v>
      </c>
      <c r="H28" s="410">
        <v>14</v>
      </c>
      <c r="I28" s="410">
        <v>83</v>
      </c>
      <c r="J28" s="464">
        <v>1</v>
      </c>
    </row>
    <row r="29" spans="1:10" ht="11.25" customHeight="1" x14ac:dyDescent="0.25">
      <c r="A29" s="424"/>
      <c r="B29" s="395"/>
      <c r="C29" s="395" t="s">
        <v>52</v>
      </c>
      <c r="D29" s="395" t="s">
        <v>51</v>
      </c>
      <c r="E29" s="395" t="s">
        <v>555</v>
      </c>
      <c r="F29" s="395" t="s">
        <v>461</v>
      </c>
      <c r="G29" s="395" t="s">
        <v>512</v>
      </c>
      <c r="H29" s="410">
        <v>35</v>
      </c>
      <c r="I29" s="410">
        <v>226</v>
      </c>
      <c r="J29" s="464">
        <v>1</v>
      </c>
    </row>
    <row r="30" spans="1:10" ht="11.25" customHeight="1" x14ac:dyDescent="0.25">
      <c r="A30" s="424"/>
      <c r="B30" s="395"/>
      <c r="C30" s="395" t="s">
        <v>72</v>
      </c>
      <c r="D30" s="395" t="s">
        <v>71</v>
      </c>
      <c r="E30" s="395" t="s">
        <v>555</v>
      </c>
      <c r="F30" s="395" t="s">
        <v>506</v>
      </c>
      <c r="G30" s="395" t="s">
        <v>512</v>
      </c>
      <c r="H30" s="410">
        <v>6</v>
      </c>
      <c r="I30" s="410">
        <v>30</v>
      </c>
      <c r="J30" s="464">
        <v>1</v>
      </c>
    </row>
    <row r="31" spans="1:10" ht="11.25" customHeight="1" x14ac:dyDescent="0.25">
      <c r="A31" s="424"/>
      <c r="B31" s="395"/>
      <c r="C31" s="395" t="s">
        <v>76</v>
      </c>
      <c r="D31" s="395" t="s">
        <v>75</v>
      </c>
      <c r="E31" s="395" t="s">
        <v>555</v>
      </c>
      <c r="F31" s="395" t="s">
        <v>506</v>
      </c>
      <c r="G31" s="395" t="s">
        <v>512</v>
      </c>
      <c r="H31" s="410">
        <v>66</v>
      </c>
      <c r="I31" s="410">
        <v>356</v>
      </c>
      <c r="J31" s="464">
        <v>1</v>
      </c>
    </row>
    <row r="32" spans="1:10" ht="11.25" customHeight="1" x14ac:dyDescent="0.25">
      <c r="A32" s="424"/>
      <c r="B32" s="395"/>
      <c r="C32" s="395" t="s">
        <v>88</v>
      </c>
      <c r="D32" s="395" t="s">
        <v>87</v>
      </c>
      <c r="E32" s="395" t="s">
        <v>555</v>
      </c>
      <c r="F32" s="395" t="s">
        <v>461</v>
      </c>
      <c r="G32" s="395" t="s">
        <v>512</v>
      </c>
      <c r="H32" s="410">
        <v>14</v>
      </c>
      <c r="I32" s="410">
        <v>46</v>
      </c>
      <c r="J32" s="464">
        <v>1</v>
      </c>
    </row>
    <row r="33" spans="1:10" ht="11.25" customHeight="1" x14ac:dyDescent="0.25">
      <c r="A33" s="424"/>
      <c r="B33" s="395"/>
      <c r="C33" s="395" t="s">
        <v>44</v>
      </c>
      <c r="D33" s="395" t="s">
        <v>45</v>
      </c>
      <c r="E33" s="395" t="s">
        <v>555</v>
      </c>
      <c r="F33" s="395" t="s">
        <v>506</v>
      </c>
      <c r="G33" s="395" t="s">
        <v>512</v>
      </c>
      <c r="H33" s="410">
        <v>8</v>
      </c>
      <c r="I33" s="410">
        <v>46</v>
      </c>
      <c r="J33" s="464">
        <v>1</v>
      </c>
    </row>
    <row r="34" spans="1:10" ht="11.25" customHeight="1" x14ac:dyDescent="0.25">
      <c r="A34" s="424"/>
      <c r="B34" s="395"/>
      <c r="C34" s="395" t="s">
        <v>90</v>
      </c>
      <c r="D34" s="395" t="s">
        <v>89</v>
      </c>
      <c r="E34" s="395" t="s">
        <v>555</v>
      </c>
      <c r="F34" s="395" t="s">
        <v>506</v>
      </c>
      <c r="G34" s="395" t="s">
        <v>512</v>
      </c>
      <c r="H34" s="410">
        <v>25</v>
      </c>
      <c r="I34" s="410">
        <v>133</v>
      </c>
      <c r="J34" s="464">
        <v>1</v>
      </c>
    </row>
    <row r="35" spans="1:10" ht="11.25" customHeight="1" x14ac:dyDescent="0.25">
      <c r="A35" s="424"/>
      <c r="B35" s="395"/>
      <c r="C35" s="395" t="s">
        <v>92</v>
      </c>
      <c r="D35" s="395" t="s">
        <v>91</v>
      </c>
      <c r="E35" s="395" t="s">
        <v>555</v>
      </c>
      <c r="F35" s="395" t="s">
        <v>506</v>
      </c>
      <c r="G35" s="395" t="s">
        <v>512</v>
      </c>
      <c r="H35" s="410">
        <v>15</v>
      </c>
      <c r="I35" s="410">
        <v>74</v>
      </c>
      <c r="J35" s="464">
        <v>1</v>
      </c>
    </row>
    <row r="36" spans="1:10" ht="11.25" customHeight="1" x14ac:dyDescent="0.25">
      <c r="A36" s="424"/>
      <c r="B36" s="395"/>
      <c r="C36" s="395" t="s">
        <v>100</v>
      </c>
      <c r="D36" s="395" t="s">
        <v>99</v>
      </c>
      <c r="E36" s="395" t="s">
        <v>555</v>
      </c>
      <c r="F36" s="395" t="s">
        <v>506</v>
      </c>
      <c r="G36" s="395" t="s">
        <v>512</v>
      </c>
      <c r="H36" s="410">
        <v>5</v>
      </c>
      <c r="I36" s="410">
        <v>26</v>
      </c>
      <c r="J36" s="464">
        <v>1</v>
      </c>
    </row>
    <row r="37" spans="1:10" ht="11.25" customHeight="1" x14ac:dyDescent="0.25">
      <c r="A37" s="424"/>
      <c r="B37" s="395"/>
      <c r="C37" s="395" t="s">
        <v>612</v>
      </c>
      <c r="D37" s="395" t="s">
        <v>46</v>
      </c>
      <c r="E37" s="395" t="s">
        <v>555</v>
      </c>
      <c r="F37" s="395" t="s">
        <v>506</v>
      </c>
      <c r="G37" s="395" t="s">
        <v>512</v>
      </c>
      <c r="H37" s="410">
        <v>17</v>
      </c>
      <c r="I37" s="410">
        <v>64</v>
      </c>
      <c r="J37" s="464">
        <v>1</v>
      </c>
    </row>
    <row r="38" spans="1:10" ht="11.25" customHeight="1" x14ac:dyDescent="0.25">
      <c r="A38" s="424"/>
      <c r="B38" s="395"/>
      <c r="C38" s="395" t="s">
        <v>108</v>
      </c>
      <c r="D38" s="395" t="s">
        <v>107</v>
      </c>
      <c r="E38" s="395" t="s">
        <v>555</v>
      </c>
      <c r="F38" s="395" t="s">
        <v>1092</v>
      </c>
      <c r="G38" s="395" t="s">
        <v>512</v>
      </c>
      <c r="H38" s="410">
        <v>52</v>
      </c>
      <c r="I38" s="410">
        <v>240</v>
      </c>
      <c r="J38" s="464">
        <v>1</v>
      </c>
    </row>
    <row r="39" spans="1:10" ht="11.25" customHeight="1" x14ac:dyDescent="0.25">
      <c r="A39" s="424"/>
      <c r="B39" s="395"/>
      <c r="C39" s="395" t="s">
        <v>118</v>
      </c>
      <c r="D39" s="395" t="s">
        <v>117</v>
      </c>
      <c r="E39" s="395" t="s">
        <v>555</v>
      </c>
      <c r="F39" s="395" t="s">
        <v>506</v>
      </c>
      <c r="G39" s="395" t="s">
        <v>512</v>
      </c>
      <c r="H39" s="410">
        <v>10</v>
      </c>
      <c r="I39" s="410">
        <v>39</v>
      </c>
      <c r="J39" s="464">
        <v>1</v>
      </c>
    </row>
    <row r="40" spans="1:10" ht="11.25" customHeight="1" x14ac:dyDescent="0.25">
      <c r="A40" s="424"/>
      <c r="B40" s="395"/>
      <c r="C40" s="395" t="s">
        <v>124</v>
      </c>
      <c r="D40" s="395" t="s">
        <v>123</v>
      </c>
      <c r="E40" s="395" t="s">
        <v>555</v>
      </c>
      <c r="F40" s="395" t="s">
        <v>461</v>
      </c>
      <c r="G40" s="395" t="s">
        <v>512</v>
      </c>
      <c r="H40" s="410">
        <v>8</v>
      </c>
      <c r="I40" s="410">
        <v>40</v>
      </c>
      <c r="J40" s="464">
        <v>1</v>
      </c>
    </row>
    <row r="41" spans="1:10" ht="11.25" customHeight="1" x14ac:dyDescent="0.25">
      <c r="A41" s="424"/>
      <c r="B41" s="395"/>
      <c r="C41" s="395" t="s">
        <v>126</v>
      </c>
      <c r="D41" s="395" t="s">
        <v>125</v>
      </c>
      <c r="E41" s="395" t="s">
        <v>555</v>
      </c>
      <c r="F41" s="395" t="s">
        <v>461</v>
      </c>
      <c r="G41" s="395" t="s">
        <v>512</v>
      </c>
      <c r="H41" s="410">
        <v>35</v>
      </c>
      <c r="I41" s="410">
        <v>173</v>
      </c>
      <c r="J41" s="464">
        <v>1</v>
      </c>
    </row>
    <row r="42" spans="1:10" ht="11.25" customHeight="1" x14ac:dyDescent="0.25">
      <c r="A42" s="424"/>
      <c r="B42" s="395"/>
      <c r="C42" s="395" t="s">
        <v>140</v>
      </c>
      <c r="D42" s="395" t="s">
        <v>139</v>
      </c>
      <c r="E42" s="395" t="s">
        <v>555</v>
      </c>
      <c r="F42" s="395" t="s">
        <v>461</v>
      </c>
      <c r="G42" s="395" t="s">
        <v>512</v>
      </c>
      <c r="H42" s="410">
        <v>12</v>
      </c>
      <c r="I42" s="410">
        <v>48</v>
      </c>
      <c r="J42" s="464">
        <v>1</v>
      </c>
    </row>
    <row r="43" spans="1:10" ht="11.25" customHeight="1" x14ac:dyDescent="0.25">
      <c r="A43" s="424"/>
      <c r="B43" s="395"/>
      <c r="C43" s="395" t="s">
        <v>1067</v>
      </c>
      <c r="D43" s="395" t="s">
        <v>1068</v>
      </c>
      <c r="E43" s="395" t="s">
        <v>555</v>
      </c>
      <c r="F43" s="395" t="s">
        <v>461</v>
      </c>
      <c r="G43" s="395" t="s">
        <v>512</v>
      </c>
      <c r="H43" s="410">
        <v>105</v>
      </c>
      <c r="I43" s="410">
        <v>506</v>
      </c>
      <c r="J43" s="464">
        <v>1</v>
      </c>
    </row>
    <row r="44" spans="1:10" ht="11.25" customHeight="1" x14ac:dyDescent="0.25">
      <c r="A44" s="424"/>
      <c r="B44" s="395"/>
      <c r="C44" s="395" t="s">
        <v>1122</v>
      </c>
      <c r="D44" s="395" t="s">
        <v>1123</v>
      </c>
      <c r="E44" s="395" t="s">
        <v>555</v>
      </c>
      <c r="F44" s="395" t="s">
        <v>461</v>
      </c>
      <c r="G44" s="395" t="s">
        <v>512</v>
      </c>
      <c r="H44" s="410">
        <v>50</v>
      </c>
      <c r="I44" s="410">
        <v>241</v>
      </c>
      <c r="J44" s="464">
        <v>1</v>
      </c>
    </row>
    <row r="45" spans="1:10" ht="11.25" customHeight="1" x14ac:dyDescent="0.25">
      <c r="A45" s="424"/>
      <c r="B45" s="395" t="s">
        <v>1167</v>
      </c>
      <c r="C45" s="395"/>
      <c r="D45" s="395"/>
      <c r="E45" s="395"/>
      <c r="F45" s="395"/>
      <c r="G45" s="395"/>
      <c r="H45" s="410">
        <v>694</v>
      </c>
      <c r="I45" s="410">
        <v>3482</v>
      </c>
      <c r="J45" s="464">
        <v>20</v>
      </c>
    </row>
    <row r="46" spans="1:10" ht="11.25" customHeight="1" x14ac:dyDescent="0.25">
      <c r="A46" s="424"/>
      <c r="B46" s="395" t="s">
        <v>144</v>
      </c>
      <c r="C46" s="395" t="s">
        <v>145</v>
      </c>
      <c r="D46" s="395" t="s">
        <v>143</v>
      </c>
      <c r="E46" s="395" t="s">
        <v>555</v>
      </c>
      <c r="F46" s="395" t="s">
        <v>602</v>
      </c>
      <c r="G46" s="395" t="s">
        <v>512</v>
      </c>
      <c r="H46" s="410">
        <v>11</v>
      </c>
      <c r="I46" s="410">
        <v>17</v>
      </c>
      <c r="J46" s="464">
        <v>1</v>
      </c>
    </row>
    <row r="47" spans="1:10" ht="11.25" customHeight="1" x14ac:dyDescent="0.25">
      <c r="A47" s="424"/>
      <c r="B47" s="395" t="s">
        <v>1371</v>
      </c>
      <c r="C47" s="395"/>
      <c r="D47" s="395"/>
      <c r="E47" s="395"/>
      <c r="F47" s="395"/>
      <c r="G47" s="395"/>
      <c r="H47" s="410">
        <v>11</v>
      </c>
      <c r="I47" s="410">
        <v>17</v>
      </c>
      <c r="J47" s="464">
        <v>1</v>
      </c>
    </row>
    <row r="48" spans="1:10" ht="11.25" customHeight="1" x14ac:dyDescent="0.25">
      <c r="A48" s="424"/>
      <c r="B48" s="395" t="s">
        <v>151</v>
      </c>
      <c r="C48" s="395" t="s">
        <v>188</v>
      </c>
      <c r="D48" s="395" t="s">
        <v>187</v>
      </c>
      <c r="E48" s="395" t="s">
        <v>555</v>
      </c>
      <c r="F48" s="395" t="s">
        <v>1091</v>
      </c>
      <c r="G48" s="395" t="s">
        <v>514</v>
      </c>
      <c r="H48" s="410">
        <v>245</v>
      </c>
      <c r="I48" s="410">
        <v>1232</v>
      </c>
      <c r="J48" s="464">
        <v>1</v>
      </c>
    </row>
    <row r="49" spans="1:10" ht="11.25" customHeight="1" x14ac:dyDescent="0.25">
      <c r="A49" s="424"/>
      <c r="B49" s="395"/>
      <c r="C49" s="395" t="s">
        <v>198</v>
      </c>
      <c r="D49" s="395" t="s">
        <v>197</v>
      </c>
      <c r="E49" s="395" t="s">
        <v>555</v>
      </c>
      <c r="F49" s="395" t="s">
        <v>1091</v>
      </c>
      <c r="G49" s="395" t="s">
        <v>514</v>
      </c>
      <c r="H49" s="410">
        <v>545</v>
      </c>
      <c r="I49" s="410">
        <v>2560</v>
      </c>
      <c r="J49" s="464">
        <v>1</v>
      </c>
    </row>
    <row r="50" spans="1:10" ht="11.25" customHeight="1" x14ac:dyDescent="0.25">
      <c r="A50" s="424"/>
      <c r="B50" s="395"/>
      <c r="C50" s="395" t="s">
        <v>886</v>
      </c>
      <c r="D50" s="395" t="s">
        <v>887</v>
      </c>
      <c r="E50" s="395" t="s">
        <v>555</v>
      </c>
      <c r="F50" s="395" t="s">
        <v>461</v>
      </c>
      <c r="G50" s="395" t="s">
        <v>512</v>
      </c>
      <c r="H50" s="410">
        <v>390</v>
      </c>
      <c r="I50" s="410">
        <v>1672</v>
      </c>
      <c r="J50" s="464">
        <v>1</v>
      </c>
    </row>
    <row r="51" spans="1:10" ht="11.25" customHeight="1" x14ac:dyDescent="0.25">
      <c r="A51" s="424"/>
      <c r="B51" s="395"/>
      <c r="C51" s="395" t="s">
        <v>160</v>
      </c>
      <c r="D51" s="395" t="s">
        <v>159</v>
      </c>
      <c r="E51" s="395" t="s">
        <v>555</v>
      </c>
      <c r="F51" s="395" t="s">
        <v>461</v>
      </c>
      <c r="G51" s="395" t="s">
        <v>512</v>
      </c>
      <c r="H51" s="410">
        <v>107</v>
      </c>
      <c r="I51" s="410">
        <v>525</v>
      </c>
      <c r="J51" s="464">
        <v>1</v>
      </c>
    </row>
    <row r="52" spans="1:10" ht="11.25" customHeight="1" x14ac:dyDescent="0.25">
      <c r="A52" s="424"/>
      <c r="B52" s="395"/>
      <c r="C52" s="395" t="s">
        <v>154</v>
      </c>
      <c r="D52" s="395" t="s">
        <v>153</v>
      </c>
      <c r="E52" s="395" t="s">
        <v>555</v>
      </c>
      <c r="F52" s="395" t="s">
        <v>1091</v>
      </c>
      <c r="G52" s="395" t="s">
        <v>512</v>
      </c>
      <c r="H52" s="410">
        <v>458</v>
      </c>
      <c r="I52" s="410">
        <v>2139</v>
      </c>
      <c r="J52" s="464">
        <v>1</v>
      </c>
    </row>
    <row r="53" spans="1:10" ht="11.25" customHeight="1" x14ac:dyDescent="0.25">
      <c r="A53" s="424"/>
      <c r="B53" s="395"/>
      <c r="C53" s="395" t="s">
        <v>152</v>
      </c>
      <c r="D53" s="395" t="s">
        <v>150</v>
      </c>
      <c r="E53" s="395" t="s">
        <v>555</v>
      </c>
      <c r="F53" s="395" t="s">
        <v>461</v>
      </c>
      <c r="G53" s="395" t="s">
        <v>512</v>
      </c>
      <c r="H53" s="410">
        <v>196</v>
      </c>
      <c r="I53" s="410">
        <v>908</v>
      </c>
      <c r="J53" s="464">
        <v>1</v>
      </c>
    </row>
    <row r="54" spans="1:10" ht="11.25" customHeight="1" x14ac:dyDescent="0.25">
      <c r="A54" s="424"/>
      <c r="B54" s="395"/>
      <c r="C54" s="395" t="s">
        <v>944</v>
      </c>
      <c r="D54" s="395" t="s">
        <v>943</v>
      </c>
      <c r="E54" s="395" t="s">
        <v>555</v>
      </c>
      <c r="F54" s="395" t="s">
        <v>1091</v>
      </c>
      <c r="G54" s="395" t="s">
        <v>512</v>
      </c>
      <c r="H54" s="410">
        <v>123</v>
      </c>
      <c r="I54" s="410">
        <v>582</v>
      </c>
      <c r="J54" s="464">
        <v>1</v>
      </c>
    </row>
    <row r="55" spans="1:10" ht="11.25" customHeight="1" x14ac:dyDescent="0.25">
      <c r="A55" s="424"/>
      <c r="B55" s="395"/>
      <c r="C55" s="395" t="s">
        <v>1036</v>
      </c>
      <c r="D55" s="395" t="s">
        <v>1037</v>
      </c>
      <c r="E55" s="395" t="s">
        <v>555</v>
      </c>
      <c r="F55" s="395" t="s">
        <v>1091</v>
      </c>
      <c r="G55" s="395" t="s">
        <v>514</v>
      </c>
      <c r="H55" s="410">
        <v>219</v>
      </c>
      <c r="I55" s="410">
        <v>891</v>
      </c>
      <c r="J55" s="464">
        <v>1</v>
      </c>
    </row>
    <row r="56" spans="1:10" ht="11.25" customHeight="1" x14ac:dyDescent="0.25">
      <c r="A56" s="424"/>
      <c r="B56" s="395"/>
      <c r="C56" s="395" t="s">
        <v>1063</v>
      </c>
      <c r="D56" s="395" t="s">
        <v>1064</v>
      </c>
      <c r="E56" s="395" t="s">
        <v>555</v>
      </c>
      <c r="F56" s="395" t="s">
        <v>1091</v>
      </c>
      <c r="G56" s="395" t="s">
        <v>512</v>
      </c>
      <c r="H56" s="410">
        <v>123</v>
      </c>
      <c r="I56" s="410">
        <v>555</v>
      </c>
      <c r="J56" s="464">
        <v>1</v>
      </c>
    </row>
    <row r="57" spans="1:10" ht="11.25" customHeight="1" x14ac:dyDescent="0.25">
      <c r="A57" s="424"/>
      <c r="B57" s="395"/>
      <c r="C57" s="395" t="s">
        <v>1097</v>
      </c>
      <c r="D57" s="395" t="s">
        <v>1098</v>
      </c>
      <c r="E57" s="395" t="s">
        <v>555</v>
      </c>
      <c r="F57" s="395" t="s">
        <v>461</v>
      </c>
      <c r="G57" s="395" t="s">
        <v>512</v>
      </c>
      <c r="H57" s="410">
        <v>113</v>
      </c>
      <c r="I57" s="410">
        <v>476</v>
      </c>
      <c r="J57" s="464">
        <v>1</v>
      </c>
    </row>
    <row r="58" spans="1:10" ht="11.25" customHeight="1" x14ac:dyDescent="0.25">
      <c r="A58" s="424"/>
      <c r="B58" s="395" t="s">
        <v>1168</v>
      </c>
      <c r="C58" s="395"/>
      <c r="D58" s="395"/>
      <c r="E58" s="395"/>
      <c r="F58" s="395"/>
      <c r="G58" s="395"/>
      <c r="H58" s="410">
        <v>2519</v>
      </c>
      <c r="I58" s="410">
        <v>11540</v>
      </c>
      <c r="J58" s="464">
        <v>10</v>
      </c>
    </row>
    <row r="59" spans="1:10" ht="11.25" customHeight="1" x14ac:dyDescent="0.25">
      <c r="A59" s="424"/>
      <c r="B59" s="395" t="s">
        <v>173</v>
      </c>
      <c r="C59" s="395" t="s">
        <v>174</v>
      </c>
      <c r="D59" s="395" t="s">
        <v>172</v>
      </c>
      <c r="E59" s="395" t="s">
        <v>555</v>
      </c>
      <c r="F59" s="395" t="s">
        <v>461</v>
      </c>
      <c r="G59" s="395" t="s">
        <v>512</v>
      </c>
      <c r="H59" s="410">
        <v>13</v>
      </c>
      <c r="I59" s="410">
        <v>64</v>
      </c>
      <c r="J59" s="464">
        <v>1</v>
      </c>
    </row>
    <row r="60" spans="1:10" ht="11.25" customHeight="1" x14ac:dyDescent="0.25">
      <c r="A60" s="424"/>
      <c r="B60" s="395"/>
      <c r="C60" s="395" t="s">
        <v>176</v>
      </c>
      <c r="D60" s="395" t="s">
        <v>175</v>
      </c>
      <c r="E60" s="395" t="s">
        <v>555</v>
      </c>
      <c r="F60" s="395" t="s">
        <v>461</v>
      </c>
      <c r="G60" s="395" t="s">
        <v>512</v>
      </c>
      <c r="H60" s="410">
        <v>16</v>
      </c>
      <c r="I60" s="410">
        <v>71</v>
      </c>
      <c r="J60" s="464">
        <v>1</v>
      </c>
    </row>
    <row r="61" spans="1:10" ht="11.25" customHeight="1" x14ac:dyDescent="0.25">
      <c r="A61" s="424"/>
      <c r="B61" s="395"/>
      <c r="C61" s="395" t="s">
        <v>178</v>
      </c>
      <c r="D61" s="395" t="s">
        <v>177</v>
      </c>
      <c r="E61" s="395" t="s">
        <v>555</v>
      </c>
      <c r="F61" s="395" t="s">
        <v>461</v>
      </c>
      <c r="G61" s="395" t="s">
        <v>512</v>
      </c>
      <c r="H61" s="410">
        <v>12</v>
      </c>
      <c r="I61" s="410">
        <v>46</v>
      </c>
      <c r="J61" s="464">
        <v>1</v>
      </c>
    </row>
    <row r="62" spans="1:10" ht="11.25" customHeight="1" x14ac:dyDescent="0.25">
      <c r="A62" s="424"/>
      <c r="B62" s="395"/>
      <c r="C62" s="395" t="s">
        <v>1280</v>
      </c>
      <c r="D62" s="395" t="s">
        <v>1273</v>
      </c>
      <c r="E62" s="395" t="s">
        <v>555</v>
      </c>
      <c r="F62" s="395" t="s">
        <v>461</v>
      </c>
      <c r="G62" s="395" t="s">
        <v>512</v>
      </c>
      <c r="H62" s="410">
        <v>30</v>
      </c>
      <c r="I62" s="410">
        <v>137</v>
      </c>
      <c r="J62" s="464">
        <v>1</v>
      </c>
    </row>
    <row r="63" spans="1:10" ht="11.25" customHeight="1" x14ac:dyDescent="0.25">
      <c r="A63" s="424"/>
      <c r="B63" s="395"/>
      <c r="C63" s="395" t="s">
        <v>1271</v>
      </c>
      <c r="D63" s="395" t="s">
        <v>1274</v>
      </c>
      <c r="E63" s="395" t="s">
        <v>555</v>
      </c>
      <c r="F63" s="395" t="s">
        <v>1092</v>
      </c>
      <c r="G63" s="395" t="s">
        <v>512</v>
      </c>
      <c r="H63" s="410">
        <v>7</v>
      </c>
      <c r="I63" s="410">
        <v>32</v>
      </c>
      <c r="J63" s="464">
        <v>1</v>
      </c>
    </row>
    <row r="64" spans="1:10" ht="11.25" customHeight="1" x14ac:dyDescent="0.25">
      <c r="A64" s="424"/>
      <c r="B64" s="395" t="s">
        <v>1372</v>
      </c>
      <c r="C64" s="395"/>
      <c r="D64" s="395"/>
      <c r="E64" s="395"/>
      <c r="F64" s="395"/>
      <c r="G64" s="395"/>
      <c r="H64" s="410">
        <v>78</v>
      </c>
      <c r="I64" s="410">
        <v>350</v>
      </c>
      <c r="J64" s="464">
        <v>5</v>
      </c>
    </row>
    <row r="65" spans="1:10" ht="11.25" customHeight="1" x14ac:dyDescent="0.25">
      <c r="A65" s="424"/>
      <c r="B65" s="395" t="s">
        <v>180</v>
      </c>
      <c r="C65" s="395" t="s">
        <v>287</v>
      </c>
      <c r="D65" s="395" t="s">
        <v>286</v>
      </c>
      <c r="E65" s="395" t="s">
        <v>555</v>
      </c>
      <c r="F65" s="395" t="s">
        <v>461</v>
      </c>
      <c r="G65" s="395" t="s">
        <v>512</v>
      </c>
      <c r="H65" s="410">
        <v>19</v>
      </c>
      <c r="I65" s="410">
        <v>100</v>
      </c>
      <c r="J65" s="464">
        <v>1</v>
      </c>
    </row>
    <row r="66" spans="1:10" ht="11.25" customHeight="1" x14ac:dyDescent="0.25">
      <c r="A66" s="424"/>
      <c r="B66" s="395"/>
      <c r="C66" s="395" t="s">
        <v>181</v>
      </c>
      <c r="D66" s="395" t="s">
        <v>179</v>
      </c>
      <c r="E66" s="395" t="s">
        <v>555</v>
      </c>
      <c r="F66" s="395" t="s">
        <v>1092</v>
      </c>
      <c r="G66" s="395" t="s">
        <v>512</v>
      </c>
      <c r="H66" s="410">
        <v>12</v>
      </c>
      <c r="I66" s="410">
        <v>61</v>
      </c>
      <c r="J66" s="464">
        <v>1</v>
      </c>
    </row>
    <row r="67" spans="1:10" ht="11.25" customHeight="1" x14ac:dyDescent="0.25">
      <c r="A67" s="424"/>
      <c r="B67" s="395" t="s">
        <v>1169</v>
      </c>
      <c r="C67" s="395"/>
      <c r="D67" s="395"/>
      <c r="E67" s="395"/>
      <c r="F67" s="395"/>
      <c r="G67" s="395"/>
      <c r="H67" s="410">
        <v>31</v>
      </c>
      <c r="I67" s="410">
        <v>161</v>
      </c>
      <c r="J67" s="464">
        <v>2</v>
      </c>
    </row>
    <row r="68" spans="1:10" ht="11.25" customHeight="1" x14ac:dyDescent="0.25">
      <c r="A68" s="424"/>
      <c r="B68" s="395" t="s">
        <v>185</v>
      </c>
      <c r="C68" s="395" t="s">
        <v>192</v>
      </c>
      <c r="D68" s="395" t="s">
        <v>191</v>
      </c>
      <c r="E68" s="395" t="s">
        <v>555</v>
      </c>
      <c r="F68" s="395" t="s">
        <v>1092</v>
      </c>
      <c r="G68" s="395" t="s">
        <v>514</v>
      </c>
      <c r="H68" s="410">
        <v>116</v>
      </c>
      <c r="I68" s="410">
        <v>602</v>
      </c>
      <c r="J68" s="464">
        <v>1</v>
      </c>
    </row>
    <row r="69" spans="1:10" ht="11.25" customHeight="1" x14ac:dyDescent="0.25">
      <c r="A69" s="424"/>
      <c r="B69" s="395"/>
      <c r="C69" s="395" t="s">
        <v>194</v>
      </c>
      <c r="D69" s="395" t="s">
        <v>193</v>
      </c>
      <c r="E69" s="395" t="s">
        <v>555</v>
      </c>
      <c r="F69" s="395" t="s">
        <v>1092</v>
      </c>
      <c r="G69" s="395" t="s">
        <v>514</v>
      </c>
      <c r="H69" s="410">
        <v>604</v>
      </c>
      <c r="I69" s="410">
        <v>2888</v>
      </c>
      <c r="J69" s="464">
        <v>1</v>
      </c>
    </row>
    <row r="70" spans="1:10" ht="11.25" customHeight="1" x14ac:dyDescent="0.25">
      <c r="A70" s="424"/>
      <c r="B70" s="395"/>
      <c r="C70" s="395" t="s">
        <v>186</v>
      </c>
      <c r="D70" s="395" t="s">
        <v>184</v>
      </c>
      <c r="E70" s="395" t="s">
        <v>555</v>
      </c>
      <c r="F70" s="395" t="s">
        <v>461</v>
      </c>
      <c r="G70" s="395" t="s">
        <v>512</v>
      </c>
      <c r="H70" s="410">
        <v>36</v>
      </c>
      <c r="I70" s="410">
        <v>215</v>
      </c>
      <c r="J70" s="464">
        <v>1</v>
      </c>
    </row>
    <row r="71" spans="1:10" ht="11.25" customHeight="1" x14ac:dyDescent="0.25">
      <c r="A71" s="424"/>
      <c r="B71" s="395"/>
      <c r="C71" s="395" t="s">
        <v>223</v>
      </c>
      <c r="D71" s="395" t="s">
        <v>222</v>
      </c>
      <c r="E71" s="395" t="s">
        <v>555</v>
      </c>
      <c r="F71" s="395" t="s">
        <v>1091</v>
      </c>
      <c r="G71" s="395" t="s">
        <v>512</v>
      </c>
      <c r="H71" s="410">
        <v>124</v>
      </c>
      <c r="I71" s="410">
        <v>544</v>
      </c>
      <c r="J71" s="464">
        <v>1</v>
      </c>
    </row>
    <row r="72" spans="1:10" ht="11.25" customHeight="1" x14ac:dyDescent="0.25">
      <c r="A72" s="424"/>
      <c r="B72" s="395"/>
      <c r="C72" s="395" t="s">
        <v>190</v>
      </c>
      <c r="D72" s="395" t="s">
        <v>189</v>
      </c>
      <c r="E72" s="395" t="s">
        <v>555</v>
      </c>
      <c r="F72" s="395" t="s">
        <v>461</v>
      </c>
      <c r="G72" s="395" t="s">
        <v>512</v>
      </c>
      <c r="H72" s="410">
        <v>190</v>
      </c>
      <c r="I72" s="410">
        <v>1021</v>
      </c>
      <c r="J72" s="464">
        <v>1</v>
      </c>
    </row>
    <row r="73" spans="1:10" ht="11.25" customHeight="1" x14ac:dyDescent="0.25">
      <c r="A73" s="424"/>
      <c r="B73" s="395"/>
      <c r="C73" s="395" t="s">
        <v>202</v>
      </c>
      <c r="D73" s="395" t="s">
        <v>201</v>
      </c>
      <c r="E73" s="395" t="s">
        <v>555</v>
      </c>
      <c r="F73" s="395" t="s">
        <v>1091</v>
      </c>
      <c r="G73" s="395" t="s">
        <v>512</v>
      </c>
      <c r="H73" s="410">
        <v>261</v>
      </c>
      <c r="I73" s="410">
        <v>1155</v>
      </c>
      <c r="J73" s="464">
        <v>1</v>
      </c>
    </row>
    <row r="74" spans="1:10" ht="11.25" customHeight="1" x14ac:dyDescent="0.25">
      <c r="A74" s="424"/>
      <c r="B74" s="395"/>
      <c r="C74" s="395" t="s">
        <v>209</v>
      </c>
      <c r="D74" s="395" t="s">
        <v>208</v>
      </c>
      <c r="E74" s="395" t="s">
        <v>555</v>
      </c>
      <c r="F74" s="395" t="s">
        <v>461</v>
      </c>
      <c r="G74" s="395" t="s">
        <v>512</v>
      </c>
      <c r="H74" s="410">
        <v>226</v>
      </c>
      <c r="I74" s="410">
        <v>1824</v>
      </c>
      <c r="J74" s="464">
        <v>1</v>
      </c>
    </row>
    <row r="75" spans="1:10" ht="11.25" customHeight="1" x14ac:dyDescent="0.25">
      <c r="A75" s="424"/>
      <c r="B75" s="395"/>
      <c r="C75" s="395" t="s">
        <v>215</v>
      </c>
      <c r="D75" s="395" t="s">
        <v>214</v>
      </c>
      <c r="E75" s="395" t="s">
        <v>555</v>
      </c>
      <c r="F75" s="395" t="s">
        <v>1091</v>
      </c>
      <c r="G75" s="395" t="s">
        <v>514</v>
      </c>
      <c r="H75" s="410">
        <v>375</v>
      </c>
      <c r="I75" s="410">
        <v>1598</v>
      </c>
      <c r="J75" s="464">
        <v>1</v>
      </c>
    </row>
    <row r="76" spans="1:10" ht="11.25" customHeight="1" x14ac:dyDescent="0.25">
      <c r="A76" s="424"/>
      <c r="B76" s="395"/>
      <c r="C76" s="395" t="s">
        <v>229</v>
      </c>
      <c r="D76" s="395" t="s">
        <v>228</v>
      </c>
      <c r="E76" s="395" t="s">
        <v>555</v>
      </c>
      <c r="F76" s="395" t="s">
        <v>461</v>
      </c>
      <c r="G76" s="395" t="s">
        <v>512</v>
      </c>
      <c r="H76" s="410">
        <v>50</v>
      </c>
      <c r="I76" s="410">
        <v>309</v>
      </c>
      <c r="J76" s="464">
        <v>1</v>
      </c>
    </row>
    <row r="77" spans="1:10" ht="11.25" customHeight="1" x14ac:dyDescent="0.25">
      <c r="A77" s="424"/>
      <c r="B77" s="395"/>
      <c r="C77" s="395" t="s">
        <v>219</v>
      </c>
      <c r="D77" s="395" t="s">
        <v>218</v>
      </c>
      <c r="E77" s="395" t="s">
        <v>555</v>
      </c>
      <c r="F77" s="395" t="s">
        <v>1091</v>
      </c>
      <c r="G77" s="395" t="s">
        <v>514</v>
      </c>
      <c r="H77" s="410">
        <v>677</v>
      </c>
      <c r="I77" s="410">
        <v>3622</v>
      </c>
      <c r="J77" s="464">
        <v>1</v>
      </c>
    </row>
    <row r="78" spans="1:10" ht="11.25" customHeight="1" x14ac:dyDescent="0.25">
      <c r="A78" s="424"/>
      <c r="B78" s="395"/>
      <c r="C78" s="395" t="s">
        <v>225</v>
      </c>
      <c r="D78" s="395" t="s">
        <v>224</v>
      </c>
      <c r="E78" s="395" t="s">
        <v>555</v>
      </c>
      <c r="F78" s="395" t="s">
        <v>461</v>
      </c>
      <c r="G78" s="395" t="s">
        <v>512</v>
      </c>
      <c r="H78" s="410">
        <v>39</v>
      </c>
      <c r="I78" s="410">
        <v>248</v>
      </c>
      <c r="J78" s="464">
        <v>1</v>
      </c>
    </row>
    <row r="79" spans="1:10" ht="11.25" customHeight="1" x14ac:dyDescent="0.25">
      <c r="A79" s="424"/>
      <c r="B79" s="395" t="s">
        <v>1170</v>
      </c>
      <c r="C79" s="395"/>
      <c r="D79" s="395"/>
      <c r="E79" s="395"/>
      <c r="F79" s="395"/>
      <c r="G79" s="395"/>
      <c r="H79" s="410">
        <v>2698</v>
      </c>
      <c r="I79" s="410">
        <v>14026</v>
      </c>
      <c r="J79" s="464">
        <v>11</v>
      </c>
    </row>
    <row r="80" spans="1:10" ht="11.25" customHeight="1" x14ac:dyDescent="0.25">
      <c r="A80" s="424"/>
      <c r="B80" s="395" t="s">
        <v>237</v>
      </c>
      <c r="C80" s="395" t="s">
        <v>243</v>
      </c>
      <c r="D80" s="395" t="s">
        <v>242</v>
      </c>
      <c r="E80" s="395" t="s">
        <v>555</v>
      </c>
      <c r="F80" s="395" t="s">
        <v>461</v>
      </c>
      <c r="G80" s="395" t="s">
        <v>512</v>
      </c>
      <c r="H80" s="410">
        <v>6</v>
      </c>
      <c r="I80" s="410">
        <v>28</v>
      </c>
      <c r="J80" s="464">
        <v>1</v>
      </c>
    </row>
    <row r="81" spans="1:10" ht="11.25" customHeight="1" x14ac:dyDescent="0.25">
      <c r="A81" s="424"/>
      <c r="B81" s="395"/>
      <c r="C81" s="401" t="s">
        <v>245</v>
      </c>
      <c r="D81" s="395" t="s">
        <v>244</v>
      </c>
      <c r="E81" s="395" t="s">
        <v>555</v>
      </c>
      <c r="F81" s="395" t="s">
        <v>461</v>
      </c>
      <c r="G81" s="395" t="s">
        <v>512</v>
      </c>
      <c r="H81" s="410">
        <v>6</v>
      </c>
      <c r="I81" s="410">
        <v>39</v>
      </c>
      <c r="J81" s="464">
        <v>1</v>
      </c>
    </row>
    <row r="82" spans="1:10" ht="11.25" customHeight="1" x14ac:dyDescent="0.25">
      <c r="A82" s="424"/>
      <c r="B82" s="395"/>
      <c r="C82" s="401" t="s">
        <v>247</v>
      </c>
      <c r="D82" s="395" t="s">
        <v>246</v>
      </c>
      <c r="E82" s="395" t="s">
        <v>555</v>
      </c>
      <c r="F82" s="395" t="s">
        <v>461</v>
      </c>
      <c r="G82" s="395" t="s">
        <v>512</v>
      </c>
      <c r="H82" s="410">
        <v>44</v>
      </c>
      <c r="I82" s="410">
        <v>212</v>
      </c>
      <c r="J82" s="464">
        <v>1</v>
      </c>
    </row>
    <row r="83" spans="1:10" ht="11.25" customHeight="1" x14ac:dyDescent="0.25">
      <c r="A83" s="424"/>
      <c r="B83" s="395"/>
      <c r="C83" s="401" t="s">
        <v>253</v>
      </c>
      <c r="D83" s="395" t="s">
        <v>252</v>
      </c>
      <c r="E83" s="395" t="s">
        <v>555</v>
      </c>
      <c r="F83" s="395" t="s">
        <v>461</v>
      </c>
      <c r="G83" s="395" t="s">
        <v>512</v>
      </c>
      <c r="H83" s="410">
        <v>198</v>
      </c>
      <c r="I83" s="410">
        <v>1084</v>
      </c>
      <c r="J83" s="464">
        <v>1</v>
      </c>
    </row>
    <row r="84" spans="1:10" ht="11.25" customHeight="1" x14ac:dyDescent="0.25">
      <c r="A84" s="424"/>
      <c r="B84" s="395"/>
      <c r="C84" s="401" t="s">
        <v>255</v>
      </c>
      <c r="D84" s="395" t="s">
        <v>254</v>
      </c>
      <c r="E84" s="395" t="s">
        <v>555</v>
      </c>
      <c r="F84" s="395" t="s">
        <v>1092</v>
      </c>
      <c r="G84" s="395" t="s">
        <v>512</v>
      </c>
      <c r="H84" s="410">
        <v>101</v>
      </c>
      <c r="I84" s="410">
        <v>451</v>
      </c>
      <c r="J84" s="464">
        <v>1</v>
      </c>
    </row>
    <row r="85" spans="1:10" ht="11.25" customHeight="1" x14ac:dyDescent="0.25">
      <c r="A85" s="424"/>
      <c r="B85" s="395"/>
      <c r="C85" s="401" t="s">
        <v>257</v>
      </c>
      <c r="D85" s="395" t="s">
        <v>256</v>
      </c>
      <c r="E85" s="395" t="s">
        <v>555</v>
      </c>
      <c r="F85" s="395" t="s">
        <v>461</v>
      </c>
      <c r="G85" s="395" t="s">
        <v>512</v>
      </c>
      <c r="H85" s="410">
        <v>44</v>
      </c>
      <c r="I85" s="410">
        <v>194</v>
      </c>
      <c r="J85" s="464">
        <v>1</v>
      </c>
    </row>
    <row r="86" spans="1:10" ht="11.25" customHeight="1" x14ac:dyDescent="0.25">
      <c r="A86" s="424"/>
      <c r="B86" s="395"/>
      <c r="C86" s="401" t="s">
        <v>240</v>
      </c>
      <c r="D86" s="395" t="s">
        <v>239</v>
      </c>
      <c r="E86" s="395" t="s">
        <v>555</v>
      </c>
      <c r="F86" s="395" t="s">
        <v>461</v>
      </c>
      <c r="G86" s="395" t="s">
        <v>512</v>
      </c>
      <c r="H86" s="410">
        <v>96</v>
      </c>
      <c r="I86" s="410">
        <v>544</v>
      </c>
      <c r="J86" s="464">
        <v>1</v>
      </c>
    </row>
    <row r="87" spans="1:10" ht="11.25" customHeight="1" x14ac:dyDescent="0.25">
      <c r="A87" s="424"/>
      <c r="B87" s="395"/>
      <c r="C87" s="401" t="s">
        <v>285</v>
      </c>
      <c r="D87" s="395" t="s">
        <v>284</v>
      </c>
      <c r="E87" s="395" t="s">
        <v>555</v>
      </c>
      <c r="F87" s="395" t="s">
        <v>461</v>
      </c>
      <c r="G87" s="395" t="s">
        <v>512</v>
      </c>
      <c r="H87" s="410">
        <v>138</v>
      </c>
      <c r="I87" s="410">
        <v>697</v>
      </c>
      <c r="J87" s="464">
        <v>1</v>
      </c>
    </row>
    <row r="88" spans="1:10" ht="11.25" customHeight="1" x14ac:dyDescent="0.25">
      <c r="A88" s="424"/>
      <c r="B88" s="395"/>
      <c r="C88" s="395" t="s">
        <v>259</v>
      </c>
      <c r="D88" s="395" t="s">
        <v>258</v>
      </c>
      <c r="E88" s="395" t="s">
        <v>555</v>
      </c>
      <c r="F88" s="395" t="s">
        <v>461</v>
      </c>
      <c r="G88" s="395" t="s">
        <v>512</v>
      </c>
      <c r="H88" s="410">
        <v>60</v>
      </c>
      <c r="I88" s="410">
        <v>293</v>
      </c>
      <c r="J88" s="464">
        <v>1</v>
      </c>
    </row>
    <row r="89" spans="1:10" ht="11.25" customHeight="1" x14ac:dyDescent="0.25">
      <c r="A89" s="424"/>
      <c r="B89" s="395"/>
      <c r="C89" s="395" t="s">
        <v>261</v>
      </c>
      <c r="D89" s="395" t="s">
        <v>260</v>
      </c>
      <c r="E89" s="395" t="s">
        <v>555</v>
      </c>
      <c r="F89" s="395" t="s">
        <v>461</v>
      </c>
      <c r="G89" s="395" t="s">
        <v>512</v>
      </c>
      <c r="H89" s="410">
        <v>99</v>
      </c>
      <c r="I89" s="410">
        <v>537</v>
      </c>
      <c r="J89" s="464">
        <v>1</v>
      </c>
    </row>
    <row r="90" spans="1:10" ht="11.25" customHeight="1" x14ac:dyDescent="0.25">
      <c r="A90" s="424"/>
      <c r="B90" s="395"/>
      <c r="C90" s="395" t="s">
        <v>263</v>
      </c>
      <c r="D90" s="395" t="s">
        <v>262</v>
      </c>
      <c r="E90" s="395" t="s">
        <v>555</v>
      </c>
      <c r="F90" s="395" t="s">
        <v>506</v>
      </c>
      <c r="G90" s="395" t="s">
        <v>512</v>
      </c>
      <c r="H90" s="410">
        <v>21</v>
      </c>
      <c r="I90" s="410">
        <v>97</v>
      </c>
      <c r="J90" s="464">
        <v>1</v>
      </c>
    </row>
    <row r="91" spans="1:10" ht="11.25" customHeight="1" x14ac:dyDescent="0.25">
      <c r="A91" s="424"/>
      <c r="B91" s="395"/>
      <c r="C91" s="395" t="s">
        <v>265</v>
      </c>
      <c r="D91" s="395" t="s">
        <v>264</v>
      </c>
      <c r="E91" s="395" t="s">
        <v>555</v>
      </c>
      <c r="F91" s="395" t="s">
        <v>506</v>
      </c>
      <c r="G91" s="395" t="s">
        <v>512</v>
      </c>
      <c r="H91" s="410">
        <v>14</v>
      </c>
      <c r="I91" s="410">
        <v>71</v>
      </c>
      <c r="J91" s="464">
        <v>1</v>
      </c>
    </row>
    <row r="92" spans="1:10" ht="11.25" customHeight="1" x14ac:dyDescent="0.25">
      <c r="A92" s="424"/>
      <c r="B92" s="395"/>
      <c r="C92" s="395" t="s">
        <v>271</v>
      </c>
      <c r="D92" s="395" t="s">
        <v>270</v>
      </c>
      <c r="E92" s="395" t="s">
        <v>555</v>
      </c>
      <c r="F92" s="395" t="s">
        <v>1092</v>
      </c>
      <c r="G92" s="395" t="s">
        <v>512</v>
      </c>
      <c r="H92" s="410">
        <v>68</v>
      </c>
      <c r="I92" s="410">
        <v>333</v>
      </c>
      <c r="J92" s="464">
        <v>1</v>
      </c>
    </row>
    <row r="93" spans="1:10" ht="11.25" customHeight="1" x14ac:dyDescent="0.25">
      <c r="A93" s="424"/>
      <c r="B93" s="395"/>
      <c r="C93" s="395" t="s">
        <v>269</v>
      </c>
      <c r="D93" s="395" t="s">
        <v>268</v>
      </c>
      <c r="E93" s="395" t="s">
        <v>555</v>
      </c>
      <c r="F93" s="395" t="s">
        <v>461</v>
      </c>
      <c r="G93" s="395" t="s">
        <v>512</v>
      </c>
      <c r="H93" s="410">
        <v>60</v>
      </c>
      <c r="I93" s="410">
        <v>256</v>
      </c>
      <c r="J93" s="464">
        <v>1</v>
      </c>
    </row>
    <row r="94" spans="1:10" ht="11.25" customHeight="1" x14ac:dyDescent="0.25">
      <c r="A94" s="424"/>
      <c r="B94" s="395"/>
      <c r="C94" s="395" t="s">
        <v>273</v>
      </c>
      <c r="D94" s="395" t="s">
        <v>272</v>
      </c>
      <c r="E94" s="395" t="s">
        <v>555</v>
      </c>
      <c r="F94" s="395" t="s">
        <v>1092</v>
      </c>
      <c r="G94" s="395" t="s">
        <v>512</v>
      </c>
      <c r="H94" s="410">
        <v>44</v>
      </c>
      <c r="I94" s="410">
        <v>274</v>
      </c>
      <c r="J94" s="464">
        <v>1</v>
      </c>
    </row>
    <row r="95" spans="1:10" ht="11.25" customHeight="1" x14ac:dyDescent="0.25">
      <c r="A95" s="424"/>
      <c r="B95" s="395"/>
      <c r="C95" s="395" t="s">
        <v>277</v>
      </c>
      <c r="D95" s="395" t="s">
        <v>276</v>
      </c>
      <c r="E95" s="395" t="s">
        <v>555</v>
      </c>
      <c r="F95" s="395" t="s">
        <v>461</v>
      </c>
      <c r="G95" s="395" t="s">
        <v>512</v>
      </c>
      <c r="H95" s="410">
        <v>90</v>
      </c>
      <c r="I95" s="410">
        <v>394</v>
      </c>
      <c r="J95" s="464">
        <v>1</v>
      </c>
    </row>
    <row r="96" spans="1:10" ht="11.25" customHeight="1" x14ac:dyDescent="0.25">
      <c r="A96" s="424"/>
      <c r="B96" s="395"/>
      <c r="C96" s="395" t="s">
        <v>279</v>
      </c>
      <c r="D96" s="395" t="s">
        <v>278</v>
      </c>
      <c r="E96" s="395" t="s">
        <v>555</v>
      </c>
      <c r="F96" s="395" t="s">
        <v>506</v>
      </c>
      <c r="G96" s="395" t="s">
        <v>512</v>
      </c>
      <c r="H96" s="410">
        <v>22</v>
      </c>
      <c r="I96" s="410">
        <v>111</v>
      </c>
      <c r="J96" s="464">
        <v>1</v>
      </c>
    </row>
    <row r="97" spans="1:10" ht="11.25" customHeight="1" x14ac:dyDescent="0.25">
      <c r="A97" s="424"/>
      <c r="B97" s="395"/>
      <c r="C97" s="395" t="s">
        <v>281</v>
      </c>
      <c r="D97" s="395" t="s">
        <v>280</v>
      </c>
      <c r="E97" s="395" t="s">
        <v>555</v>
      </c>
      <c r="F97" s="395" t="s">
        <v>461</v>
      </c>
      <c r="G97" s="395" t="s">
        <v>512</v>
      </c>
      <c r="H97" s="410">
        <v>89</v>
      </c>
      <c r="I97" s="410">
        <v>492</v>
      </c>
      <c r="J97" s="464">
        <v>1</v>
      </c>
    </row>
    <row r="98" spans="1:10" x14ac:dyDescent="0.25">
      <c r="A98" s="424"/>
      <c r="B98" s="395"/>
      <c r="C98" s="395" t="s">
        <v>238</v>
      </c>
      <c r="D98" s="395" t="s">
        <v>236</v>
      </c>
      <c r="E98" s="395" t="s">
        <v>555</v>
      </c>
      <c r="F98" s="395" t="s">
        <v>461</v>
      </c>
      <c r="G98" s="395" t="s">
        <v>512</v>
      </c>
      <c r="H98" s="410">
        <v>67</v>
      </c>
      <c r="I98" s="410">
        <v>365</v>
      </c>
      <c r="J98" s="464">
        <v>1</v>
      </c>
    </row>
    <row r="99" spans="1:10" ht="11.25" customHeight="1" x14ac:dyDescent="0.25">
      <c r="A99" s="424"/>
      <c r="B99" s="395"/>
      <c r="C99" s="395" t="s">
        <v>249</v>
      </c>
      <c r="D99" s="395" t="s">
        <v>248</v>
      </c>
      <c r="E99" s="395" t="s">
        <v>555</v>
      </c>
      <c r="F99" s="395" t="s">
        <v>506</v>
      </c>
      <c r="G99" s="395" t="s">
        <v>512</v>
      </c>
      <c r="H99" s="410">
        <v>6</v>
      </c>
      <c r="I99" s="410">
        <v>29</v>
      </c>
      <c r="J99" s="464">
        <v>1</v>
      </c>
    </row>
    <row r="100" spans="1:10" ht="11.25" customHeight="1" x14ac:dyDescent="0.25">
      <c r="A100" s="424"/>
      <c r="B100" s="395"/>
      <c r="C100" s="395" t="s">
        <v>251</v>
      </c>
      <c r="D100" s="395" t="s">
        <v>250</v>
      </c>
      <c r="E100" s="395" t="s">
        <v>555</v>
      </c>
      <c r="F100" s="395" t="s">
        <v>461</v>
      </c>
      <c r="G100" s="395" t="s">
        <v>512</v>
      </c>
      <c r="H100" s="410">
        <v>32</v>
      </c>
      <c r="I100" s="410">
        <v>160</v>
      </c>
      <c r="J100" s="464">
        <v>1</v>
      </c>
    </row>
    <row r="101" spans="1:10" x14ac:dyDescent="0.25">
      <c r="A101" s="424"/>
      <c r="B101" s="395"/>
      <c r="C101" s="395" t="s">
        <v>275</v>
      </c>
      <c r="D101" s="395" t="s">
        <v>274</v>
      </c>
      <c r="E101" s="395" t="s">
        <v>555</v>
      </c>
      <c r="F101" s="395" t="s">
        <v>461</v>
      </c>
      <c r="G101" s="395" t="s">
        <v>512</v>
      </c>
      <c r="H101" s="410">
        <v>43</v>
      </c>
      <c r="I101" s="410">
        <v>225</v>
      </c>
      <c r="J101" s="464">
        <v>1</v>
      </c>
    </row>
    <row r="102" spans="1:10" ht="11.25" customHeight="1" x14ac:dyDescent="0.25">
      <c r="A102" s="424"/>
      <c r="B102" s="395"/>
      <c r="C102" s="395" t="s">
        <v>283</v>
      </c>
      <c r="D102" s="395" t="s">
        <v>282</v>
      </c>
      <c r="E102" s="395" t="s">
        <v>555</v>
      </c>
      <c r="F102" s="395" t="s">
        <v>506</v>
      </c>
      <c r="G102" s="395" t="s">
        <v>512</v>
      </c>
      <c r="H102" s="410">
        <v>7</v>
      </c>
      <c r="I102" s="410">
        <v>37</v>
      </c>
      <c r="J102" s="464">
        <v>1</v>
      </c>
    </row>
    <row r="103" spans="1:10" ht="11.25" customHeight="1" x14ac:dyDescent="0.25">
      <c r="A103" s="424"/>
      <c r="B103" s="395"/>
      <c r="C103" s="395" t="s">
        <v>1247</v>
      </c>
      <c r="D103" s="395" t="s">
        <v>241</v>
      </c>
      <c r="E103" s="395" t="s">
        <v>555</v>
      </c>
      <c r="F103" s="395" t="s">
        <v>506</v>
      </c>
      <c r="G103" s="395" t="s">
        <v>512</v>
      </c>
      <c r="H103" s="410">
        <v>54</v>
      </c>
      <c r="I103" s="410">
        <v>258</v>
      </c>
      <c r="J103" s="464">
        <v>1</v>
      </c>
    </row>
    <row r="104" spans="1:10" ht="11.25" customHeight="1" x14ac:dyDescent="0.25">
      <c r="A104" s="424"/>
      <c r="B104" s="395" t="s">
        <v>1171</v>
      </c>
      <c r="C104" s="395"/>
      <c r="D104" s="395"/>
      <c r="E104" s="395"/>
      <c r="F104" s="395"/>
      <c r="G104" s="395"/>
      <c r="H104" s="410">
        <v>1409</v>
      </c>
      <c r="I104" s="410">
        <v>7181</v>
      </c>
      <c r="J104" s="464">
        <v>24</v>
      </c>
    </row>
    <row r="105" spans="1:10" ht="11.25" customHeight="1" x14ac:dyDescent="0.25">
      <c r="A105" s="424"/>
      <c r="B105" s="395" t="s">
        <v>300</v>
      </c>
      <c r="C105" s="395" t="s">
        <v>1263</v>
      </c>
      <c r="D105" s="395" t="s">
        <v>1262</v>
      </c>
      <c r="E105" s="395" t="s">
        <v>555</v>
      </c>
      <c r="F105" s="395" t="s">
        <v>461</v>
      </c>
      <c r="G105" s="395" t="s">
        <v>512</v>
      </c>
      <c r="H105" s="410">
        <v>59</v>
      </c>
      <c r="I105" s="410">
        <v>370</v>
      </c>
      <c r="J105" s="464">
        <v>1</v>
      </c>
    </row>
    <row r="106" spans="1:10" ht="11.25" customHeight="1" x14ac:dyDescent="0.25">
      <c r="A106" s="424"/>
      <c r="B106" s="395" t="s">
        <v>1172</v>
      </c>
      <c r="C106" s="395"/>
      <c r="D106" s="395"/>
      <c r="E106" s="395"/>
      <c r="F106" s="395"/>
      <c r="G106" s="395"/>
      <c r="H106" s="410">
        <v>59</v>
      </c>
      <c r="I106" s="410">
        <v>370</v>
      </c>
      <c r="J106" s="464">
        <v>1</v>
      </c>
    </row>
    <row r="107" spans="1:10" ht="11.25" customHeight="1" x14ac:dyDescent="0.25">
      <c r="A107" s="424"/>
      <c r="B107" s="395" t="s">
        <v>302</v>
      </c>
      <c r="C107" s="395" t="s">
        <v>306</v>
      </c>
      <c r="D107" s="395" t="s">
        <v>305</v>
      </c>
      <c r="E107" s="395" t="s">
        <v>555</v>
      </c>
      <c r="F107" s="395" t="s">
        <v>461</v>
      </c>
      <c r="G107" s="395" t="s">
        <v>512</v>
      </c>
      <c r="H107" s="410">
        <v>86</v>
      </c>
      <c r="I107" s="410">
        <v>313</v>
      </c>
      <c r="J107" s="464">
        <v>1</v>
      </c>
    </row>
    <row r="108" spans="1:10" ht="11.25" customHeight="1" x14ac:dyDescent="0.25">
      <c r="A108" s="424"/>
      <c r="B108" s="395"/>
      <c r="C108" s="395" t="s">
        <v>308</v>
      </c>
      <c r="D108" s="395" t="s">
        <v>307</v>
      </c>
      <c r="E108" s="395" t="s">
        <v>555</v>
      </c>
      <c r="F108" s="395" t="s">
        <v>1091</v>
      </c>
      <c r="G108" s="395" t="s">
        <v>512</v>
      </c>
      <c r="H108" s="410">
        <v>41</v>
      </c>
      <c r="I108" s="410">
        <v>152</v>
      </c>
      <c r="J108" s="464">
        <v>1</v>
      </c>
    </row>
    <row r="109" spans="1:10" ht="11.25" customHeight="1" x14ac:dyDescent="0.25">
      <c r="A109" s="424"/>
      <c r="B109" s="395" t="s">
        <v>1373</v>
      </c>
      <c r="C109" s="395"/>
      <c r="D109" s="395"/>
      <c r="E109" s="395"/>
      <c r="F109" s="395"/>
      <c r="G109" s="395"/>
      <c r="H109" s="410">
        <v>127</v>
      </c>
      <c r="I109" s="410">
        <v>465</v>
      </c>
      <c r="J109" s="464">
        <v>2</v>
      </c>
    </row>
    <row r="110" spans="1:10" ht="11.25" customHeight="1" x14ac:dyDescent="0.25">
      <c r="A110" s="424"/>
      <c r="B110" s="395" t="s">
        <v>809</v>
      </c>
      <c r="C110" s="395" t="s">
        <v>809</v>
      </c>
      <c r="D110" s="395" t="s">
        <v>813</v>
      </c>
      <c r="E110" s="395" t="s">
        <v>555</v>
      </c>
      <c r="F110" s="395" t="s">
        <v>602</v>
      </c>
      <c r="G110" s="395" t="s">
        <v>512</v>
      </c>
      <c r="H110" s="410">
        <v>5</v>
      </c>
      <c r="I110" s="410">
        <v>32</v>
      </c>
      <c r="J110" s="464">
        <v>1</v>
      </c>
    </row>
    <row r="111" spans="1:10" ht="11.25" customHeight="1" x14ac:dyDescent="0.25">
      <c r="A111" s="424"/>
      <c r="B111" s="395"/>
      <c r="C111" s="395" t="s">
        <v>1301</v>
      </c>
      <c r="D111" s="395" t="s">
        <v>1302</v>
      </c>
      <c r="E111" s="395" t="s">
        <v>555</v>
      </c>
      <c r="F111" s="395" t="s">
        <v>602</v>
      </c>
      <c r="G111" s="395" t="s">
        <v>512</v>
      </c>
      <c r="H111" s="410">
        <v>161</v>
      </c>
      <c r="I111" s="410">
        <v>711</v>
      </c>
      <c r="J111" s="464">
        <v>1</v>
      </c>
    </row>
    <row r="112" spans="1:10" ht="11.25" customHeight="1" x14ac:dyDescent="0.25">
      <c r="A112" s="424"/>
      <c r="B112" s="395"/>
      <c r="C112" s="395" t="s">
        <v>1304</v>
      </c>
      <c r="D112" s="395" t="s">
        <v>1305</v>
      </c>
      <c r="E112" s="395" t="s">
        <v>555</v>
      </c>
      <c r="F112" s="395" t="s">
        <v>602</v>
      </c>
      <c r="G112" s="395" t="s">
        <v>512</v>
      </c>
      <c r="H112" s="410"/>
      <c r="I112" s="410">
        <v>489</v>
      </c>
      <c r="J112" s="464">
        <v>1</v>
      </c>
    </row>
    <row r="113" spans="1:10" ht="11.25" customHeight="1" x14ac:dyDescent="0.25">
      <c r="A113" s="424"/>
      <c r="B113" s="395" t="s">
        <v>1374</v>
      </c>
      <c r="C113" s="395"/>
      <c r="D113" s="395"/>
      <c r="E113" s="395"/>
      <c r="F113" s="395"/>
      <c r="G113" s="395"/>
      <c r="H113" s="410">
        <v>166</v>
      </c>
      <c r="I113" s="410">
        <v>1232</v>
      </c>
      <c r="J113" s="464">
        <v>3</v>
      </c>
    </row>
    <row r="114" spans="1:10" ht="11.25" customHeight="1" x14ac:dyDescent="0.25">
      <c r="A114" s="424"/>
      <c r="B114" s="395" t="s">
        <v>310</v>
      </c>
      <c r="C114" s="395" t="s">
        <v>334</v>
      </c>
      <c r="D114" s="395" t="s">
        <v>333</v>
      </c>
      <c r="E114" s="395" t="s">
        <v>555</v>
      </c>
      <c r="F114" s="395" t="s">
        <v>1092</v>
      </c>
      <c r="G114" s="395" t="s">
        <v>514</v>
      </c>
      <c r="H114" s="410">
        <v>160</v>
      </c>
      <c r="I114" s="410">
        <v>648</v>
      </c>
      <c r="J114" s="464">
        <v>1</v>
      </c>
    </row>
    <row r="115" spans="1:10" ht="11.25" customHeight="1" x14ac:dyDescent="0.25">
      <c r="A115" s="424"/>
      <c r="B115" s="395"/>
      <c r="C115" s="395" t="s">
        <v>313</v>
      </c>
      <c r="D115" s="395" t="s">
        <v>312</v>
      </c>
      <c r="E115" s="395" t="s">
        <v>555</v>
      </c>
      <c r="F115" s="395" t="s">
        <v>506</v>
      </c>
      <c r="G115" s="395" t="s">
        <v>512</v>
      </c>
      <c r="H115" s="410">
        <v>99</v>
      </c>
      <c r="I115" s="410">
        <v>480</v>
      </c>
      <c r="J115" s="464">
        <v>1</v>
      </c>
    </row>
    <row r="116" spans="1:10" ht="11.25" customHeight="1" x14ac:dyDescent="0.25">
      <c r="A116" s="424"/>
      <c r="B116" s="395"/>
      <c r="C116" s="395" t="s">
        <v>336</v>
      </c>
      <c r="D116" s="395" t="s">
        <v>335</v>
      </c>
      <c r="E116" s="395" t="s">
        <v>555</v>
      </c>
      <c r="F116" s="395" t="s">
        <v>461</v>
      </c>
      <c r="G116" s="395" t="s">
        <v>514</v>
      </c>
      <c r="H116" s="410">
        <v>146</v>
      </c>
      <c r="I116" s="410">
        <v>1072</v>
      </c>
      <c r="J116" s="464">
        <v>1</v>
      </c>
    </row>
    <row r="117" spans="1:10" ht="11.25" customHeight="1" x14ac:dyDescent="0.25">
      <c r="A117" s="424"/>
      <c r="B117" s="395"/>
      <c r="C117" s="395" t="s">
        <v>196</v>
      </c>
      <c r="D117" s="395" t="s">
        <v>195</v>
      </c>
      <c r="E117" s="395" t="s">
        <v>555</v>
      </c>
      <c r="F117" s="395" t="s">
        <v>1092</v>
      </c>
      <c r="G117" s="395" t="s">
        <v>514</v>
      </c>
      <c r="H117" s="410">
        <v>1658</v>
      </c>
      <c r="I117" s="410">
        <v>8585</v>
      </c>
      <c r="J117" s="464">
        <v>1</v>
      </c>
    </row>
    <row r="118" spans="1:10" ht="11.25" customHeight="1" x14ac:dyDescent="0.25">
      <c r="A118" s="424"/>
      <c r="B118" s="395"/>
      <c r="C118" s="401" t="s">
        <v>320</v>
      </c>
      <c r="D118" s="395" t="s">
        <v>319</v>
      </c>
      <c r="E118" s="395" t="s">
        <v>555</v>
      </c>
      <c r="F118" s="395" t="s">
        <v>461</v>
      </c>
      <c r="G118" s="395" t="s">
        <v>512</v>
      </c>
      <c r="H118" s="410">
        <v>22</v>
      </c>
      <c r="I118" s="410">
        <v>128</v>
      </c>
      <c r="J118" s="464">
        <v>1</v>
      </c>
    </row>
    <row r="119" spans="1:10" ht="11.25" customHeight="1" x14ac:dyDescent="0.25">
      <c r="A119" s="424"/>
      <c r="B119" s="395"/>
      <c r="C119" s="401" t="s">
        <v>322</v>
      </c>
      <c r="D119" s="395" t="s">
        <v>321</v>
      </c>
      <c r="E119" s="395" t="s">
        <v>555</v>
      </c>
      <c r="F119" s="395" t="s">
        <v>1092</v>
      </c>
      <c r="G119" s="395" t="s">
        <v>514</v>
      </c>
      <c r="H119" s="410">
        <v>586</v>
      </c>
      <c r="I119" s="410">
        <v>2574</v>
      </c>
      <c r="J119" s="464">
        <v>1</v>
      </c>
    </row>
    <row r="120" spans="1:10" ht="11.25" customHeight="1" x14ac:dyDescent="0.25">
      <c r="A120" s="424"/>
      <c r="B120" s="395"/>
      <c r="C120" s="401" t="s">
        <v>328</v>
      </c>
      <c r="D120" s="395" t="s">
        <v>327</v>
      </c>
      <c r="E120" s="395" t="s">
        <v>555</v>
      </c>
      <c r="F120" s="395" t="s">
        <v>506</v>
      </c>
      <c r="G120" s="395" t="s">
        <v>512</v>
      </c>
      <c r="H120" s="410">
        <v>143</v>
      </c>
      <c r="I120" s="410">
        <v>800</v>
      </c>
      <c r="J120" s="464">
        <v>1</v>
      </c>
    </row>
    <row r="121" spans="1:10" ht="11.25" customHeight="1" x14ac:dyDescent="0.25">
      <c r="A121" s="424"/>
      <c r="B121" s="395"/>
      <c r="C121" s="401" t="s">
        <v>330</v>
      </c>
      <c r="D121" s="395" t="s">
        <v>329</v>
      </c>
      <c r="E121" s="395" t="s">
        <v>555</v>
      </c>
      <c r="F121" s="395" t="s">
        <v>1092</v>
      </c>
      <c r="G121" s="395" t="s">
        <v>512</v>
      </c>
      <c r="H121" s="410">
        <v>222</v>
      </c>
      <c r="I121" s="410">
        <v>1251</v>
      </c>
      <c r="J121" s="464">
        <v>1</v>
      </c>
    </row>
    <row r="122" spans="1:10" ht="11.25" customHeight="1" x14ac:dyDescent="0.25">
      <c r="A122" s="424"/>
      <c r="B122" s="395"/>
      <c r="C122" s="401" t="s">
        <v>324</v>
      </c>
      <c r="D122" s="395" t="s">
        <v>323</v>
      </c>
      <c r="E122" s="395" t="s">
        <v>555</v>
      </c>
      <c r="F122" s="395" t="s">
        <v>461</v>
      </c>
      <c r="G122" s="395" t="s">
        <v>512</v>
      </c>
      <c r="H122" s="410">
        <v>396</v>
      </c>
      <c r="I122" s="410">
        <v>2120</v>
      </c>
      <c r="J122" s="464">
        <v>1</v>
      </c>
    </row>
    <row r="123" spans="1:10" ht="11.25" customHeight="1" x14ac:dyDescent="0.25">
      <c r="A123" s="424"/>
      <c r="B123" s="395"/>
      <c r="C123" s="401" t="s">
        <v>326</v>
      </c>
      <c r="D123" s="395" t="s">
        <v>325</v>
      </c>
      <c r="E123" s="395" t="s">
        <v>555</v>
      </c>
      <c r="F123" s="395" t="s">
        <v>461</v>
      </c>
      <c r="G123" s="395" t="s">
        <v>512</v>
      </c>
      <c r="H123" s="410">
        <v>46</v>
      </c>
      <c r="I123" s="410">
        <v>192</v>
      </c>
      <c r="J123" s="464">
        <v>1</v>
      </c>
    </row>
    <row r="124" spans="1:10" ht="11.25" customHeight="1" x14ac:dyDescent="0.25">
      <c r="A124" s="424"/>
      <c r="B124" s="395"/>
      <c r="C124" s="401" t="s">
        <v>344</v>
      </c>
      <c r="D124" s="395" t="s">
        <v>343</v>
      </c>
      <c r="E124" s="395" t="s">
        <v>555</v>
      </c>
      <c r="F124" s="395" t="s">
        <v>506</v>
      </c>
      <c r="G124" s="395" t="s">
        <v>512</v>
      </c>
      <c r="H124" s="410">
        <v>18</v>
      </c>
      <c r="I124" s="410">
        <v>82</v>
      </c>
      <c r="J124" s="464">
        <v>1</v>
      </c>
    </row>
    <row r="125" spans="1:10" ht="11.25" customHeight="1" x14ac:dyDescent="0.25">
      <c r="A125" s="424"/>
      <c r="B125" s="395"/>
      <c r="C125" s="401" t="s">
        <v>355</v>
      </c>
      <c r="D125" s="395" t="s">
        <v>354</v>
      </c>
      <c r="E125" s="395" t="s">
        <v>555</v>
      </c>
      <c r="F125" s="395" t="s">
        <v>1092</v>
      </c>
      <c r="G125" s="395" t="s">
        <v>514</v>
      </c>
      <c r="H125" s="410">
        <v>98</v>
      </c>
      <c r="I125" s="410">
        <v>554</v>
      </c>
      <c r="J125" s="464">
        <v>1</v>
      </c>
    </row>
    <row r="126" spans="1:10" ht="11.25" customHeight="1" x14ac:dyDescent="0.25">
      <c r="A126" s="424"/>
      <c r="B126" s="395"/>
      <c r="C126" s="401" t="s">
        <v>318</v>
      </c>
      <c r="D126" s="395" t="s">
        <v>317</v>
      </c>
      <c r="E126" s="395" t="s">
        <v>555</v>
      </c>
      <c r="F126" s="395" t="s">
        <v>506</v>
      </c>
      <c r="G126" s="395" t="s">
        <v>512</v>
      </c>
      <c r="H126" s="410">
        <v>91</v>
      </c>
      <c r="I126" s="410">
        <v>329</v>
      </c>
      <c r="J126" s="464">
        <v>1</v>
      </c>
    </row>
    <row r="127" spans="1:10" ht="11.25" customHeight="1" x14ac:dyDescent="0.25">
      <c r="A127" s="424"/>
      <c r="B127" s="395"/>
      <c r="C127" s="401" t="s">
        <v>342</v>
      </c>
      <c r="D127" s="395" t="s">
        <v>341</v>
      </c>
      <c r="E127" s="395" t="s">
        <v>555</v>
      </c>
      <c r="F127" s="395" t="s">
        <v>461</v>
      </c>
      <c r="G127" s="395" t="s">
        <v>512</v>
      </c>
      <c r="H127" s="410">
        <v>65</v>
      </c>
      <c r="I127" s="410">
        <v>328</v>
      </c>
      <c r="J127" s="464">
        <v>1</v>
      </c>
    </row>
    <row r="128" spans="1:10" ht="11.25" customHeight="1" x14ac:dyDescent="0.25">
      <c r="A128" s="424"/>
      <c r="B128" s="395"/>
      <c r="C128" s="401" t="s">
        <v>338</v>
      </c>
      <c r="D128" s="395" t="s">
        <v>337</v>
      </c>
      <c r="E128" s="395" t="s">
        <v>555</v>
      </c>
      <c r="F128" s="395" t="s">
        <v>506</v>
      </c>
      <c r="G128" s="395" t="s">
        <v>512</v>
      </c>
      <c r="H128" s="410">
        <v>31</v>
      </c>
      <c r="I128" s="410">
        <v>171</v>
      </c>
      <c r="J128" s="464">
        <v>1</v>
      </c>
    </row>
    <row r="129" spans="1:10" ht="11.25" customHeight="1" x14ac:dyDescent="0.25">
      <c r="A129" s="424"/>
      <c r="B129" s="395"/>
      <c r="C129" s="401" t="s">
        <v>351</v>
      </c>
      <c r="D129" s="395" t="s">
        <v>350</v>
      </c>
      <c r="E129" s="395" t="s">
        <v>555</v>
      </c>
      <c r="F129" s="395" t="s">
        <v>506</v>
      </c>
      <c r="G129" s="395" t="s">
        <v>512</v>
      </c>
      <c r="H129" s="410">
        <v>88</v>
      </c>
      <c r="I129" s="410">
        <v>482</v>
      </c>
      <c r="J129" s="464">
        <v>1</v>
      </c>
    </row>
    <row r="130" spans="1:10" ht="11.25" customHeight="1" x14ac:dyDescent="0.25">
      <c r="A130" s="424"/>
      <c r="B130" s="395"/>
      <c r="C130" s="401" t="s">
        <v>347</v>
      </c>
      <c r="D130" s="395" t="s">
        <v>346</v>
      </c>
      <c r="E130" s="395" t="s">
        <v>555</v>
      </c>
      <c r="F130" s="395" t="s">
        <v>461</v>
      </c>
      <c r="G130" s="395" t="s">
        <v>512</v>
      </c>
      <c r="H130" s="410">
        <v>179</v>
      </c>
      <c r="I130" s="410">
        <v>940</v>
      </c>
      <c r="J130" s="464">
        <v>1</v>
      </c>
    </row>
    <row r="131" spans="1:10" ht="11.25" customHeight="1" x14ac:dyDescent="0.25">
      <c r="A131" s="424"/>
      <c r="B131" s="395"/>
      <c r="C131" s="401" t="s">
        <v>349</v>
      </c>
      <c r="D131" s="395" t="s">
        <v>348</v>
      </c>
      <c r="E131" s="395" t="s">
        <v>555</v>
      </c>
      <c r="F131" s="395" t="s">
        <v>506</v>
      </c>
      <c r="G131" s="395" t="s">
        <v>512</v>
      </c>
      <c r="H131" s="410">
        <v>44</v>
      </c>
      <c r="I131" s="410">
        <v>182</v>
      </c>
      <c r="J131" s="464">
        <v>1</v>
      </c>
    </row>
    <row r="132" spans="1:10" ht="11.25" customHeight="1" x14ac:dyDescent="0.25">
      <c r="A132" s="424"/>
      <c r="B132" s="395"/>
      <c r="C132" s="401" t="s">
        <v>316</v>
      </c>
      <c r="D132" s="395" t="s">
        <v>315</v>
      </c>
      <c r="E132" s="395" t="s">
        <v>555</v>
      </c>
      <c r="F132" s="395" t="s">
        <v>506</v>
      </c>
      <c r="G132" s="395" t="s">
        <v>512</v>
      </c>
      <c r="H132" s="410">
        <v>70</v>
      </c>
      <c r="I132" s="410">
        <v>278</v>
      </c>
      <c r="J132" s="464">
        <v>1</v>
      </c>
    </row>
    <row r="133" spans="1:10" ht="11.25" customHeight="1" x14ac:dyDescent="0.25">
      <c r="A133" s="424"/>
      <c r="B133" s="395"/>
      <c r="C133" s="395" t="s">
        <v>353</v>
      </c>
      <c r="D133" s="395" t="s">
        <v>352</v>
      </c>
      <c r="E133" s="395" t="s">
        <v>555</v>
      </c>
      <c r="F133" s="395" t="s">
        <v>1092</v>
      </c>
      <c r="G133" s="395" t="s">
        <v>514</v>
      </c>
      <c r="H133" s="410">
        <v>1355</v>
      </c>
      <c r="I133" s="410">
        <v>6602</v>
      </c>
      <c r="J133" s="464">
        <v>1</v>
      </c>
    </row>
    <row r="134" spans="1:10" ht="11.25" customHeight="1" x14ac:dyDescent="0.25">
      <c r="A134" s="424"/>
      <c r="B134" s="395"/>
      <c r="C134" s="395" t="s">
        <v>1246</v>
      </c>
      <c r="D134" s="395" t="s">
        <v>345</v>
      </c>
      <c r="E134" s="395" t="s">
        <v>555</v>
      </c>
      <c r="F134" s="395" t="s">
        <v>461</v>
      </c>
      <c r="G134" s="395" t="s">
        <v>514</v>
      </c>
      <c r="H134" s="410">
        <v>177</v>
      </c>
      <c r="I134" s="410">
        <v>844</v>
      </c>
      <c r="J134" s="464">
        <v>1</v>
      </c>
    </row>
    <row r="135" spans="1:10" ht="11.25" customHeight="1" x14ac:dyDescent="0.25">
      <c r="A135" s="424"/>
      <c r="B135" s="395"/>
      <c r="C135" s="395" t="s">
        <v>1248</v>
      </c>
      <c r="D135" s="395" t="s">
        <v>356</v>
      </c>
      <c r="E135" s="395" t="s">
        <v>555</v>
      </c>
      <c r="F135" s="395" t="s">
        <v>461</v>
      </c>
      <c r="G135" s="395" t="s">
        <v>514</v>
      </c>
      <c r="H135" s="410">
        <v>604</v>
      </c>
      <c r="I135" s="410">
        <v>2785</v>
      </c>
      <c r="J135" s="464">
        <v>1</v>
      </c>
    </row>
    <row r="136" spans="1:10" ht="11.25" customHeight="1" x14ac:dyDescent="0.25">
      <c r="A136" s="424"/>
      <c r="B136" s="395" t="s">
        <v>1120</v>
      </c>
      <c r="C136" s="395"/>
      <c r="D136" s="395"/>
      <c r="E136" s="395"/>
      <c r="F136" s="395"/>
      <c r="G136" s="395"/>
      <c r="H136" s="410">
        <v>6298</v>
      </c>
      <c r="I136" s="410">
        <v>31427</v>
      </c>
      <c r="J136" s="464">
        <v>22</v>
      </c>
    </row>
    <row r="137" spans="1:10" ht="11.25" customHeight="1" x14ac:dyDescent="0.25">
      <c r="A137" s="424"/>
      <c r="B137" s="395" t="s">
        <v>1544</v>
      </c>
      <c r="C137" s="395" t="s">
        <v>1541</v>
      </c>
      <c r="D137" s="395" t="s">
        <v>1542</v>
      </c>
      <c r="E137" s="395" t="s">
        <v>555</v>
      </c>
      <c r="F137" s="395" t="s">
        <v>602</v>
      </c>
      <c r="G137" s="395" t="s">
        <v>860</v>
      </c>
      <c r="H137" s="410">
        <v>6</v>
      </c>
      <c r="I137" s="410">
        <v>9</v>
      </c>
      <c r="J137" s="464">
        <v>1</v>
      </c>
    </row>
    <row r="138" spans="1:10" ht="11.25" customHeight="1" x14ac:dyDescent="0.25">
      <c r="A138" s="424"/>
      <c r="B138" s="395" t="s">
        <v>1545</v>
      </c>
      <c r="C138" s="395"/>
      <c r="D138" s="395"/>
      <c r="E138" s="395"/>
      <c r="F138" s="395"/>
      <c r="G138" s="395"/>
      <c r="H138" s="410">
        <v>6</v>
      </c>
      <c r="I138" s="410">
        <v>9</v>
      </c>
      <c r="J138" s="464">
        <v>1</v>
      </c>
    </row>
    <row r="139" spans="1:10" ht="11.25" customHeight="1" x14ac:dyDescent="0.25">
      <c r="A139" s="424" t="s">
        <v>852</v>
      </c>
      <c r="B139" s="395"/>
      <c r="C139" s="395"/>
      <c r="D139" s="395"/>
      <c r="E139" s="395"/>
      <c r="F139" s="395"/>
      <c r="G139" s="395"/>
      <c r="H139" s="410">
        <v>15880</v>
      </c>
      <c r="I139" s="410">
        <v>80064</v>
      </c>
      <c r="J139" s="464">
        <v>117</v>
      </c>
    </row>
    <row r="140" spans="1:10" ht="11.25" customHeight="1" x14ac:dyDescent="0.25">
      <c r="A140" s="424" t="s">
        <v>554</v>
      </c>
      <c r="B140" s="395" t="s">
        <v>780</v>
      </c>
      <c r="C140" s="395" t="s">
        <v>1278</v>
      </c>
      <c r="D140" s="395" t="s">
        <v>1261</v>
      </c>
      <c r="E140" s="395" t="s">
        <v>555</v>
      </c>
      <c r="F140" s="395" t="s">
        <v>461</v>
      </c>
      <c r="G140" s="395" t="s">
        <v>512</v>
      </c>
      <c r="H140" s="410">
        <v>38</v>
      </c>
      <c r="I140" s="410">
        <v>202</v>
      </c>
      <c r="J140" s="464">
        <v>1</v>
      </c>
    </row>
    <row r="141" spans="1:10" ht="11.25" customHeight="1" x14ac:dyDescent="0.25">
      <c r="A141" s="424"/>
      <c r="B141" s="395"/>
      <c r="C141" s="395" t="s">
        <v>1552</v>
      </c>
      <c r="D141" s="395" t="s">
        <v>1533</v>
      </c>
      <c r="E141" s="395" t="s">
        <v>555</v>
      </c>
      <c r="F141" s="395" t="s">
        <v>602</v>
      </c>
      <c r="G141" s="395" t="s">
        <v>512</v>
      </c>
      <c r="H141" s="410">
        <v>20</v>
      </c>
      <c r="I141" s="410">
        <v>75</v>
      </c>
      <c r="J141" s="464">
        <v>1</v>
      </c>
    </row>
    <row r="142" spans="1:10" ht="11.25" customHeight="1" x14ac:dyDescent="0.25">
      <c r="A142" s="424"/>
      <c r="B142" s="395" t="s">
        <v>1375</v>
      </c>
      <c r="C142" s="395"/>
      <c r="D142" s="395"/>
      <c r="E142" s="395"/>
      <c r="F142" s="395"/>
      <c r="G142" s="395"/>
      <c r="H142" s="410">
        <v>58</v>
      </c>
      <c r="I142" s="410">
        <v>277</v>
      </c>
      <c r="J142" s="464">
        <v>2</v>
      </c>
    </row>
    <row r="143" spans="1:10" ht="11.25" customHeight="1" x14ac:dyDescent="0.25">
      <c r="A143" s="424"/>
      <c r="B143" s="395" t="s">
        <v>146</v>
      </c>
      <c r="C143" s="395" t="s">
        <v>372</v>
      </c>
      <c r="D143" s="395" t="s">
        <v>382</v>
      </c>
      <c r="E143" s="395" t="s">
        <v>555</v>
      </c>
      <c r="F143" s="395" t="s">
        <v>461</v>
      </c>
      <c r="G143" s="395" t="s">
        <v>512</v>
      </c>
      <c r="H143" s="410">
        <v>88</v>
      </c>
      <c r="I143" s="410">
        <v>505</v>
      </c>
      <c r="J143" s="464">
        <v>1</v>
      </c>
    </row>
    <row r="144" spans="1:10" ht="11.25" customHeight="1" x14ac:dyDescent="0.25">
      <c r="A144" s="424"/>
      <c r="B144" s="395"/>
      <c r="C144" s="395" t="s">
        <v>369</v>
      </c>
      <c r="D144" s="395" t="s">
        <v>383</v>
      </c>
      <c r="E144" s="395" t="s">
        <v>555</v>
      </c>
      <c r="F144" s="395" t="s">
        <v>461</v>
      </c>
      <c r="G144" s="395" t="s">
        <v>512</v>
      </c>
      <c r="H144" s="410">
        <v>63</v>
      </c>
      <c r="I144" s="410">
        <v>286</v>
      </c>
      <c r="J144" s="464">
        <v>1</v>
      </c>
    </row>
    <row r="145" spans="1:10" ht="11.25" customHeight="1" x14ac:dyDescent="0.25">
      <c r="A145" s="424"/>
      <c r="B145" s="395"/>
      <c r="C145" s="395" t="s">
        <v>370</v>
      </c>
      <c r="D145" s="395" t="s">
        <v>384</v>
      </c>
      <c r="E145" s="395" t="s">
        <v>555</v>
      </c>
      <c r="F145" s="395" t="s">
        <v>1265</v>
      </c>
      <c r="G145" s="395" t="s">
        <v>512</v>
      </c>
      <c r="H145" s="410">
        <v>30</v>
      </c>
      <c r="I145" s="410">
        <v>139</v>
      </c>
      <c r="J145" s="464">
        <v>1</v>
      </c>
    </row>
    <row r="146" spans="1:10" ht="11.25" customHeight="1" x14ac:dyDescent="0.25">
      <c r="A146" s="424"/>
      <c r="B146" s="395"/>
      <c r="C146" s="395" t="s">
        <v>368</v>
      </c>
      <c r="D146" s="395" t="s">
        <v>385</v>
      </c>
      <c r="E146" s="395" t="s">
        <v>555</v>
      </c>
      <c r="F146" s="395" t="s">
        <v>461</v>
      </c>
      <c r="G146" s="395" t="s">
        <v>512</v>
      </c>
      <c r="H146" s="410">
        <v>69</v>
      </c>
      <c r="I146" s="410">
        <v>305</v>
      </c>
      <c r="J146" s="464">
        <v>1</v>
      </c>
    </row>
    <row r="147" spans="1:10" ht="11.25" customHeight="1" x14ac:dyDescent="0.25">
      <c r="A147" s="424"/>
      <c r="B147" s="395"/>
      <c r="C147" s="395" t="s">
        <v>371</v>
      </c>
      <c r="D147" s="395" t="s">
        <v>147</v>
      </c>
      <c r="E147" s="395" t="s">
        <v>555</v>
      </c>
      <c r="F147" s="395" t="s">
        <v>461</v>
      </c>
      <c r="G147" s="395" t="s">
        <v>512</v>
      </c>
      <c r="H147" s="410">
        <v>62</v>
      </c>
      <c r="I147" s="410">
        <v>281</v>
      </c>
      <c r="J147" s="464">
        <v>1</v>
      </c>
    </row>
    <row r="148" spans="1:10" ht="11.25" customHeight="1" x14ac:dyDescent="0.25">
      <c r="A148" s="424"/>
      <c r="B148" s="395"/>
      <c r="C148" s="395" t="s">
        <v>149</v>
      </c>
      <c r="D148" s="395" t="s">
        <v>148</v>
      </c>
      <c r="E148" s="395" t="s">
        <v>555</v>
      </c>
      <c r="F148" s="395" t="s">
        <v>461</v>
      </c>
      <c r="G148" s="395" t="s">
        <v>512</v>
      </c>
      <c r="H148" s="410">
        <v>62</v>
      </c>
      <c r="I148" s="410">
        <v>281</v>
      </c>
      <c r="J148" s="464">
        <v>1</v>
      </c>
    </row>
    <row r="149" spans="1:10" ht="11.25" customHeight="1" x14ac:dyDescent="0.25">
      <c r="A149" s="424"/>
      <c r="B149" s="395"/>
      <c r="C149" s="395" t="s">
        <v>373</v>
      </c>
      <c r="D149" s="395" t="s">
        <v>387</v>
      </c>
      <c r="E149" s="395" t="s">
        <v>555</v>
      </c>
      <c r="F149" s="395" t="s">
        <v>461</v>
      </c>
      <c r="G149" s="395" t="s">
        <v>512</v>
      </c>
      <c r="H149" s="410">
        <v>202</v>
      </c>
      <c r="I149" s="410">
        <v>906</v>
      </c>
      <c r="J149" s="464">
        <v>1</v>
      </c>
    </row>
    <row r="150" spans="1:10" ht="11.25" customHeight="1" x14ac:dyDescent="0.25">
      <c r="A150" s="424"/>
      <c r="B150" s="395"/>
      <c r="C150" s="395" t="s">
        <v>1104</v>
      </c>
      <c r="D150" s="395" t="s">
        <v>1103</v>
      </c>
      <c r="E150" s="395" t="s">
        <v>555</v>
      </c>
      <c r="F150" s="395" t="s">
        <v>1265</v>
      </c>
      <c r="G150" s="395" t="s">
        <v>512</v>
      </c>
      <c r="H150" s="410">
        <v>22</v>
      </c>
      <c r="I150" s="410">
        <v>111</v>
      </c>
      <c r="J150" s="464">
        <v>1</v>
      </c>
    </row>
    <row r="151" spans="1:10" ht="11.25" customHeight="1" x14ac:dyDescent="0.25">
      <c r="A151" s="424"/>
      <c r="B151" s="395"/>
      <c r="C151" s="395" t="s">
        <v>1319</v>
      </c>
      <c r="D151" s="395" t="s">
        <v>1320</v>
      </c>
      <c r="E151" s="395" t="s">
        <v>555</v>
      </c>
      <c r="F151" s="395" t="s">
        <v>602</v>
      </c>
      <c r="G151" s="395" t="s">
        <v>512</v>
      </c>
      <c r="H151" s="410">
        <v>105</v>
      </c>
      <c r="I151" s="410">
        <v>568</v>
      </c>
      <c r="J151" s="464">
        <v>1</v>
      </c>
    </row>
    <row r="152" spans="1:10" ht="11.25" customHeight="1" x14ac:dyDescent="0.25">
      <c r="A152" s="424"/>
      <c r="B152" s="395"/>
      <c r="C152" s="395" t="s">
        <v>1535</v>
      </c>
      <c r="D152" s="395" t="s">
        <v>1527</v>
      </c>
      <c r="E152" s="395" t="s">
        <v>555</v>
      </c>
      <c r="F152" s="395" t="s">
        <v>602</v>
      </c>
      <c r="G152" s="395" t="s">
        <v>512</v>
      </c>
      <c r="H152" s="410">
        <v>142</v>
      </c>
      <c r="I152" s="410">
        <v>710</v>
      </c>
      <c r="J152" s="464">
        <v>1</v>
      </c>
    </row>
    <row r="153" spans="1:10" ht="11.25" customHeight="1" x14ac:dyDescent="0.25">
      <c r="A153" s="424"/>
      <c r="B153" s="395"/>
      <c r="C153" s="395" t="s">
        <v>1538</v>
      </c>
      <c r="D153" s="395" t="s">
        <v>1532</v>
      </c>
      <c r="E153" s="395" t="s">
        <v>555</v>
      </c>
      <c r="F153" s="395" t="s">
        <v>602</v>
      </c>
      <c r="G153" s="395" t="s">
        <v>512</v>
      </c>
      <c r="H153" s="410">
        <v>176</v>
      </c>
      <c r="I153" s="410">
        <v>798</v>
      </c>
      <c r="J153" s="464">
        <v>1</v>
      </c>
    </row>
    <row r="154" spans="1:10" ht="11.25" customHeight="1" x14ac:dyDescent="0.25">
      <c r="A154" s="424"/>
      <c r="B154" s="395"/>
      <c r="C154" s="395" t="s">
        <v>1556</v>
      </c>
      <c r="D154" s="395" t="s">
        <v>1534</v>
      </c>
      <c r="E154" s="395" t="s">
        <v>555</v>
      </c>
      <c r="F154" s="395" t="s">
        <v>602</v>
      </c>
      <c r="G154" s="395" t="s">
        <v>512</v>
      </c>
      <c r="H154" s="410">
        <v>30</v>
      </c>
      <c r="I154" s="410">
        <v>170</v>
      </c>
      <c r="J154" s="464">
        <v>1</v>
      </c>
    </row>
    <row r="155" spans="1:10" ht="11.25" customHeight="1" x14ac:dyDescent="0.25">
      <c r="A155" s="424"/>
      <c r="B155" s="395" t="s">
        <v>1173</v>
      </c>
      <c r="C155" s="395"/>
      <c r="D155" s="395"/>
      <c r="E155" s="395"/>
      <c r="F155" s="395"/>
      <c r="G155" s="395"/>
      <c r="H155" s="410">
        <v>1051</v>
      </c>
      <c r="I155" s="410">
        <v>5060</v>
      </c>
      <c r="J155" s="464">
        <v>12</v>
      </c>
    </row>
    <row r="156" spans="1:10" ht="11.25" customHeight="1" x14ac:dyDescent="0.25">
      <c r="A156" s="424"/>
      <c r="B156" s="395" t="s">
        <v>166</v>
      </c>
      <c r="C156" s="395" t="s">
        <v>167</v>
      </c>
      <c r="D156" s="395" t="s">
        <v>165</v>
      </c>
      <c r="E156" s="395" t="s">
        <v>555</v>
      </c>
      <c r="F156" s="395" t="s">
        <v>461</v>
      </c>
      <c r="G156" s="395" t="s">
        <v>512</v>
      </c>
      <c r="H156" s="410">
        <v>37</v>
      </c>
      <c r="I156" s="410">
        <v>159</v>
      </c>
      <c r="J156" s="464">
        <v>1</v>
      </c>
    </row>
    <row r="157" spans="1:10" ht="11.25" customHeight="1" x14ac:dyDescent="0.25">
      <c r="A157" s="424"/>
      <c r="B157" s="395"/>
      <c r="C157" s="395" t="s">
        <v>823</v>
      </c>
      <c r="D157" s="395" t="s">
        <v>824</v>
      </c>
      <c r="E157" s="395" t="s">
        <v>555</v>
      </c>
      <c r="F157" s="395" t="s">
        <v>1265</v>
      </c>
      <c r="G157" s="395" t="s">
        <v>512</v>
      </c>
      <c r="H157" s="410">
        <v>29</v>
      </c>
      <c r="I157" s="410">
        <v>157</v>
      </c>
      <c r="J157" s="464">
        <v>1</v>
      </c>
    </row>
    <row r="158" spans="1:10" ht="11.25" customHeight="1" x14ac:dyDescent="0.25">
      <c r="A158" s="424"/>
      <c r="B158" s="395"/>
      <c r="C158" s="395" t="s">
        <v>1549</v>
      </c>
      <c r="D158" s="395" t="s">
        <v>1529</v>
      </c>
      <c r="E158" s="395" t="s">
        <v>555</v>
      </c>
      <c r="F158" s="395" t="s">
        <v>602</v>
      </c>
      <c r="G158" s="395" t="s">
        <v>512</v>
      </c>
      <c r="H158" s="410">
        <v>36</v>
      </c>
      <c r="I158" s="410">
        <v>188</v>
      </c>
      <c r="J158" s="464">
        <v>1</v>
      </c>
    </row>
    <row r="159" spans="1:10" ht="11.25" customHeight="1" x14ac:dyDescent="0.25">
      <c r="A159" s="424"/>
      <c r="B159" s="395" t="s">
        <v>1376</v>
      </c>
      <c r="C159" s="395"/>
      <c r="D159" s="395"/>
      <c r="E159" s="395"/>
      <c r="F159" s="395"/>
      <c r="G159" s="395"/>
      <c r="H159" s="410">
        <v>102</v>
      </c>
      <c r="I159" s="410">
        <v>504</v>
      </c>
      <c r="J159" s="464">
        <v>3</v>
      </c>
    </row>
    <row r="160" spans="1:10" ht="11.25" customHeight="1" x14ac:dyDescent="0.25">
      <c r="A160" s="424"/>
      <c r="B160" s="395" t="s">
        <v>230</v>
      </c>
      <c r="C160" s="395" t="s">
        <v>1055</v>
      </c>
      <c r="D160" s="395" t="s">
        <v>1056</v>
      </c>
      <c r="E160" s="395" t="s">
        <v>555</v>
      </c>
      <c r="F160" s="395" t="s">
        <v>461</v>
      </c>
      <c r="G160" s="395" t="s">
        <v>512</v>
      </c>
      <c r="H160" s="410">
        <v>52</v>
      </c>
      <c r="I160" s="410">
        <v>212</v>
      </c>
      <c r="J160" s="464">
        <v>1</v>
      </c>
    </row>
    <row r="161" spans="1:10" ht="11.25" customHeight="1" x14ac:dyDescent="0.25">
      <c r="A161" s="424"/>
      <c r="B161" s="395"/>
      <c r="C161" s="395" t="s">
        <v>1065</v>
      </c>
      <c r="D161" s="395" t="s">
        <v>1066</v>
      </c>
      <c r="E161" s="395" t="s">
        <v>555</v>
      </c>
      <c r="F161" s="395" t="s">
        <v>1265</v>
      </c>
      <c r="G161" s="395" t="s">
        <v>512</v>
      </c>
      <c r="H161" s="410">
        <v>26</v>
      </c>
      <c r="I161" s="410">
        <v>118</v>
      </c>
      <c r="J161" s="464">
        <v>1</v>
      </c>
    </row>
    <row r="162" spans="1:10" ht="11.25" customHeight="1" x14ac:dyDescent="0.25">
      <c r="A162" s="424"/>
      <c r="B162" s="395" t="s">
        <v>1174</v>
      </c>
      <c r="C162" s="395"/>
      <c r="D162" s="395"/>
      <c r="E162" s="395"/>
      <c r="F162" s="395"/>
      <c r="G162" s="395"/>
      <c r="H162" s="410">
        <v>78</v>
      </c>
      <c r="I162" s="410">
        <v>330</v>
      </c>
      <c r="J162" s="464">
        <v>2</v>
      </c>
    </row>
    <row r="163" spans="1:10" ht="11.25" customHeight="1" x14ac:dyDescent="0.25">
      <c r="A163" s="424"/>
      <c r="B163" s="395" t="s">
        <v>289</v>
      </c>
      <c r="C163" s="395" t="s">
        <v>292</v>
      </c>
      <c r="D163" s="395" t="s">
        <v>291</v>
      </c>
      <c r="E163" s="395" t="s">
        <v>555</v>
      </c>
      <c r="F163" s="395" t="s">
        <v>461</v>
      </c>
      <c r="G163" s="395" t="s">
        <v>512</v>
      </c>
      <c r="H163" s="410">
        <v>70</v>
      </c>
      <c r="I163" s="410">
        <v>363</v>
      </c>
      <c r="J163" s="464">
        <v>1</v>
      </c>
    </row>
    <row r="164" spans="1:10" ht="11.25" customHeight="1" x14ac:dyDescent="0.25">
      <c r="A164" s="424"/>
      <c r="B164" s="395"/>
      <c r="C164" s="395" t="s">
        <v>290</v>
      </c>
      <c r="D164" s="395" t="s">
        <v>288</v>
      </c>
      <c r="E164" s="395" t="s">
        <v>555</v>
      </c>
      <c r="F164" s="395" t="s">
        <v>461</v>
      </c>
      <c r="G164" s="395" t="s">
        <v>512</v>
      </c>
      <c r="H164" s="410">
        <v>68</v>
      </c>
      <c r="I164" s="410">
        <v>380</v>
      </c>
      <c r="J164" s="464">
        <v>1</v>
      </c>
    </row>
    <row r="165" spans="1:10" x14ac:dyDescent="0.25">
      <c r="A165" s="424"/>
      <c r="B165" s="395"/>
      <c r="C165" s="395" t="s">
        <v>374</v>
      </c>
      <c r="D165" s="395" t="s">
        <v>295</v>
      </c>
      <c r="E165" s="395" t="s">
        <v>555</v>
      </c>
      <c r="F165" s="395" t="s">
        <v>1265</v>
      </c>
      <c r="G165" s="395" t="s">
        <v>512</v>
      </c>
      <c r="H165" s="410">
        <v>44</v>
      </c>
      <c r="I165" s="410">
        <v>215</v>
      </c>
      <c r="J165" s="464">
        <v>1</v>
      </c>
    </row>
    <row r="166" spans="1:10" x14ac:dyDescent="0.25">
      <c r="A166" s="424"/>
      <c r="B166" s="395"/>
      <c r="C166" s="395" t="s">
        <v>1057</v>
      </c>
      <c r="D166" s="395" t="s">
        <v>1058</v>
      </c>
      <c r="E166" s="395" t="s">
        <v>555</v>
      </c>
      <c r="F166" s="395" t="s">
        <v>461</v>
      </c>
      <c r="G166" s="395" t="s">
        <v>512</v>
      </c>
      <c r="H166" s="410">
        <v>35</v>
      </c>
      <c r="I166" s="410">
        <v>198</v>
      </c>
      <c r="J166" s="464">
        <v>1</v>
      </c>
    </row>
    <row r="167" spans="1:10" ht="11.25" customHeight="1" x14ac:dyDescent="0.25">
      <c r="A167" s="424"/>
      <c r="B167" s="395"/>
      <c r="C167" s="395" t="s">
        <v>1069</v>
      </c>
      <c r="D167" s="395" t="s">
        <v>1062</v>
      </c>
      <c r="E167" s="395" t="s">
        <v>555</v>
      </c>
      <c r="F167" s="395" t="s">
        <v>461</v>
      </c>
      <c r="G167" s="395" t="s">
        <v>512</v>
      </c>
      <c r="H167" s="410">
        <v>123</v>
      </c>
      <c r="I167" s="410">
        <v>575</v>
      </c>
      <c r="J167" s="464">
        <v>1</v>
      </c>
    </row>
    <row r="168" spans="1:10" ht="11.25" customHeight="1" x14ac:dyDescent="0.25">
      <c r="A168" s="424"/>
      <c r="B168" s="395"/>
      <c r="C168" s="395" t="s">
        <v>1536</v>
      </c>
      <c r="D168" s="395" t="s">
        <v>1530</v>
      </c>
      <c r="E168" s="395" t="s">
        <v>555</v>
      </c>
      <c r="F168" s="395" t="s">
        <v>602</v>
      </c>
      <c r="G168" s="395" t="s">
        <v>512</v>
      </c>
      <c r="H168" s="410">
        <v>200</v>
      </c>
      <c r="I168" s="410">
        <v>827</v>
      </c>
      <c r="J168" s="464">
        <v>1</v>
      </c>
    </row>
    <row r="169" spans="1:10" ht="11.25" customHeight="1" x14ac:dyDescent="0.25">
      <c r="A169" s="424"/>
      <c r="B169" s="395"/>
      <c r="C169" s="395" t="s">
        <v>1537</v>
      </c>
      <c r="D169" s="395" t="s">
        <v>1531</v>
      </c>
      <c r="E169" s="395" t="s">
        <v>555</v>
      </c>
      <c r="F169" s="395" t="s">
        <v>602</v>
      </c>
      <c r="G169" s="395" t="s">
        <v>512</v>
      </c>
      <c r="H169" s="410">
        <v>61</v>
      </c>
      <c r="I169" s="410">
        <v>247</v>
      </c>
      <c r="J169" s="464">
        <v>1</v>
      </c>
    </row>
    <row r="170" spans="1:10" ht="11.25" customHeight="1" x14ac:dyDescent="0.25">
      <c r="A170" s="424"/>
      <c r="B170" s="395" t="s">
        <v>1175</v>
      </c>
      <c r="C170" s="395"/>
      <c r="D170" s="395"/>
      <c r="E170" s="395"/>
      <c r="F170" s="395"/>
      <c r="G170" s="395"/>
      <c r="H170" s="410">
        <v>601</v>
      </c>
      <c r="I170" s="410">
        <v>2805</v>
      </c>
      <c r="J170" s="464">
        <v>7</v>
      </c>
    </row>
    <row r="171" spans="1:10" ht="11.25" customHeight="1" x14ac:dyDescent="0.25">
      <c r="A171" s="424"/>
      <c r="B171" s="395" t="s">
        <v>298</v>
      </c>
      <c r="C171" s="395" t="s">
        <v>822</v>
      </c>
      <c r="D171" s="395" t="s">
        <v>297</v>
      </c>
      <c r="E171" s="395" t="s">
        <v>555</v>
      </c>
      <c r="F171" s="395" t="s">
        <v>461</v>
      </c>
      <c r="G171" s="395" t="s">
        <v>512</v>
      </c>
      <c r="H171" s="410">
        <v>9</v>
      </c>
      <c r="I171" s="410">
        <v>37</v>
      </c>
      <c r="J171" s="464">
        <v>1</v>
      </c>
    </row>
    <row r="172" spans="1:10" ht="11.25" customHeight="1" x14ac:dyDescent="0.25">
      <c r="A172" s="424"/>
      <c r="B172" s="395"/>
      <c r="C172" s="395" t="s">
        <v>1546</v>
      </c>
      <c r="D172" s="395" t="s">
        <v>1528</v>
      </c>
      <c r="E172" s="395" t="s">
        <v>555</v>
      </c>
      <c r="F172" s="395" t="s">
        <v>602</v>
      </c>
      <c r="G172" s="395" t="s">
        <v>512</v>
      </c>
      <c r="H172" s="410">
        <v>19</v>
      </c>
      <c r="I172" s="410">
        <v>82</v>
      </c>
      <c r="J172" s="464">
        <v>1</v>
      </c>
    </row>
    <row r="173" spans="1:10" ht="11.25" customHeight="1" x14ac:dyDescent="0.25">
      <c r="A173" s="424"/>
      <c r="B173" s="395" t="s">
        <v>1377</v>
      </c>
      <c r="C173" s="395"/>
      <c r="D173" s="395"/>
      <c r="E173" s="395"/>
      <c r="F173" s="395"/>
      <c r="G173" s="395"/>
      <c r="H173" s="410">
        <v>28</v>
      </c>
      <c r="I173" s="410">
        <v>119</v>
      </c>
      <c r="J173" s="464">
        <v>2</v>
      </c>
    </row>
    <row r="174" spans="1:10" ht="11.25" customHeight="1" x14ac:dyDescent="0.25">
      <c r="A174" s="424" t="s">
        <v>1176</v>
      </c>
      <c r="B174" s="395"/>
      <c r="C174" s="395"/>
      <c r="D174" s="395"/>
      <c r="E174" s="395"/>
      <c r="F174" s="395"/>
      <c r="G174" s="395"/>
      <c r="H174" s="410">
        <v>1918</v>
      </c>
      <c r="I174" s="410">
        <v>9095</v>
      </c>
      <c r="J174" s="464">
        <v>28</v>
      </c>
    </row>
    <row r="175" spans="1:10" x14ac:dyDescent="0.25">
      <c r="A175" s="472" t="s">
        <v>415</v>
      </c>
      <c r="B175" s="473"/>
      <c r="C175" s="473"/>
      <c r="D175" s="473"/>
      <c r="E175" s="473"/>
      <c r="F175" s="473"/>
      <c r="G175" s="473"/>
      <c r="H175" s="474">
        <v>17798</v>
      </c>
      <c r="I175" s="474">
        <v>89159</v>
      </c>
      <c r="J175" s="475">
        <v>145</v>
      </c>
    </row>
    <row r="176" spans="1:10" ht="11.25" customHeight="1" x14ac:dyDescent="0.25">
      <c r="A176"/>
      <c r="B176"/>
      <c r="C176"/>
      <c r="D176"/>
      <c r="E176"/>
      <c r="F176"/>
      <c r="G176"/>
      <c r="H176"/>
      <c r="I176"/>
      <c r="J176"/>
    </row>
    <row r="177" spans="1:10" ht="11.25" customHeight="1" x14ac:dyDescent="0.25">
      <c r="A177"/>
      <c r="B177"/>
      <c r="C177"/>
      <c r="D177"/>
      <c r="E177"/>
      <c r="F177"/>
      <c r="G177"/>
      <c r="H177"/>
      <c r="I177"/>
      <c r="J177"/>
    </row>
    <row r="178" spans="1:10" ht="11.25" customHeight="1" x14ac:dyDescent="0.25">
      <c r="A178"/>
      <c r="B178"/>
      <c r="C178"/>
      <c r="D178"/>
      <c r="E178"/>
      <c r="F178"/>
      <c r="G178"/>
      <c r="H178"/>
      <c r="I178"/>
      <c r="J178"/>
    </row>
    <row r="179" spans="1:10" ht="11.25" customHeight="1" x14ac:dyDescent="0.25">
      <c r="A179"/>
      <c r="B179"/>
      <c r="C179"/>
      <c r="D179"/>
      <c r="E179"/>
      <c r="F179"/>
      <c r="G179"/>
      <c r="H179"/>
      <c r="I179"/>
      <c r="J179"/>
    </row>
    <row r="180" spans="1:10" ht="11.25" customHeight="1" x14ac:dyDescent="0.25">
      <c r="A180"/>
      <c r="B180"/>
      <c r="C180"/>
      <c r="D180"/>
      <c r="E180"/>
      <c r="F180"/>
      <c r="G180"/>
      <c r="H180"/>
      <c r="I180"/>
      <c r="J180"/>
    </row>
    <row r="181" spans="1:10" ht="11.25" customHeight="1" x14ac:dyDescent="0.25">
      <c r="A181"/>
      <c r="B181"/>
      <c r="C181"/>
      <c r="D181"/>
      <c r="E181"/>
      <c r="F181"/>
      <c r="G181"/>
      <c r="H181"/>
      <c r="I181"/>
      <c r="J181"/>
    </row>
    <row r="182" spans="1:10" ht="11.25" customHeight="1" x14ac:dyDescent="0.25">
      <c r="A182"/>
      <c r="B182"/>
      <c r="C182"/>
      <c r="D182"/>
      <c r="E182"/>
      <c r="F182"/>
      <c r="G182"/>
      <c r="H182"/>
      <c r="I182"/>
      <c r="J182"/>
    </row>
    <row r="183" spans="1:10" ht="11.25" customHeight="1" x14ac:dyDescent="0.25">
      <c r="A183"/>
      <c r="B183"/>
      <c r="C183"/>
      <c r="D183"/>
      <c r="E183"/>
      <c r="F183"/>
      <c r="G183"/>
      <c r="H183"/>
      <c r="I183"/>
      <c r="J183"/>
    </row>
    <row r="184" spans="1:10" ht="11.25" customHeight="1" x14ac:dyDescent="0.25">
      <c r="A184"/>
      <c r="B184"/>
      <c r="C184"/>
      <c r="D184"/>
      <c r="E184"/>
      <c r="F184"/>
      <c r="G184"/>
      <c r="H184"/>
      <c r="I184"/>
      <c r="J184"/>
    </row>
    <row r="185" spans="1:10" ht="11.25" customHeight="1" x14ac:dyDescent="0.25">
      <c r="A185"/>
      <c r="B185"/>
      <c r="C185"/>
      <c r="D185"/>
      <c r="E185"/>
      <c r="F185"/>
      <c r="G185"/>
      <c r="H185"/>
      <c r="I185"/>
      <c r="J185"/>
    </row>
    <row r="186" spans="1:10" ht="11.25" customHeight="1" x14ac:dyDescent="0.25">
      <c r="A186"/>
      <c r="B186"/>
      <c r="C186"/>
      <c r="D186"/>
      <c r="E186"/>
      <c r="F186"/>
      <c r="G186"/>
      <c r="H186"/>
      <c r="I186"/>
      <c r="J186"/>
    </row>
    <row r="187" spans="1:10" ht="11.25" customHeight="1" x14ac:dyDescent="0.25">
      <c r="A187"/>
      <c r="B187"/>
      <c r="C187"/>
      <c r="D187"/>
      <c r="E187"/>
      <c r="F187"/>
      <c r="G187"/>
      <c r="H187"/>
      <c r="I187"/>
      <c r="J187"/>
    </row>
    <row r="188" spans="1:10" ht="11.25" customHeight="1" x14ac:dyDescent="0.25">
      <c r="A188"/>
      <c r="B188"/>
      <c r="C188"/>
      <c r="D188"/>
      <c r="E188"/>
      <c r="F188"/>
      <c r="G188"/>
      <c r="H188"/>
      <c r="I188"/>
      <c r="J188"/>
    </row>
    <row r="189" spans="1:10" ht="11.25" customHeight="1" x14ac:dyDescent="0.25">
      <c r="A189"/>
      <c r="B189"/>
      <c r="C189"/>
      <c r="D189"/>
      <c r="E189"/>
      <c r="F189"/>
      <c r="G189"/>
      <c r="H189"/>
      <c r="I189"/>
      <c r="J189"/>
    </row>
    <row r="190" spans="1:10" ht="11.25" customHeight="1" x14ac:dyDescent="0.25">
      <c r="A190"/>
      <c r="B190"/>
      <c r="C190"/>
      <c r="D190"/>
      <c r="E190"/>
      <c r="F190"/>
      <c r="G190"/>
      <c r="H190"/>
      <c r="I190"/>
      <c r="J190"/>
    </row>
    <row r="191" spans="1:10" ht="11.25" customHeight="1" x14ac:dyDescent="0.25">
      <c r="A191"/>
      <c r="B191"/>
      <c r="C191"/>
      <c r="D191"/>
      <c r="E191"/>
      <c r="F191"/>
      <c r="G191"/>
      <c r="H191"/>
      <c r="I191"/>
      <c r="J191"/>
    </row>
    <row r="192" spans="1:10" ht="11.25" customHeight="1" x14ac:dyDescent="0.25">
      <c r="A192"/>
      <c r="B192"/>
      <c r="C192"/>
      <c r="D192"/>
      <c r="E192"/>
      <c r="F192"/>
      <c r="G192"/>
      <c r="H192"/>
      <c r="I192"/>
      <c r="J192"/>
    </row>
    <row r="193" spans="1:10" x14ac:dyDescent="0.25">
      <c r="A193"/>
      <c r="B193"/>
      <c r="C193"/>
      <c r="D193"/>
      <c r="E193"/>
      <c r="F193"/>
      <c r="G193"/>
      <c r="H193"/>
      <c r="I193"/>
      <c r="J193"/>
    </row>
    <row r="194" spans="1:10" x14ac:dyDescent="0.25">
      <c r="A194"/>
      <c r="B194"/>
      <c r="C194"/>
      <c r="D194"/>
      <c r="E194"/>
      <c r="F194"/>
      <c r="G194"/>
      <c r="H194"/>
      <c r="I194"/>
      <c r="J194"/>
    </row>
    <row r="195" spans="1:10" x14ac:dyDescent="0.25">
      <c r="A195"/>
      <c r="B195"/>
      <c r="C195"/>
      <c r="D195"/>
      <c r="E195"/>
      <c r="F195"/>
      <c r="G195"/>
      <c r="H195"/>
      <c r="I195"/>
      <c r="J195"/>
    </row>
    <row r="196" spans="1:10" x14ac:dyDescent="0.25">
      <c r="A196"/>
      <c r="B196"/>
      <c r="C196"/>
      <c r="D196"/>
      <c r="E196"/>
      <c r="F196"/>
      <c r="G196"/>
      <c r="H196"/>
      <c r="I196"/>
      <c r="J196"/>
    </row>
    <row r="197" spans="1:10" x14ac:dyDescent="0.25">
      <c r="A197"/>
      <c r="B197"/>
      <c r="C197"/>
      <c r="D197"/>
      <c r="E197"/>
      <c r="F197"/>
      <c r="G197"/>
      <c r="H197"/>
      <c r="I197"/>
      <c r="J197"/>
    </row>
    <row r="198" spans="1:10" x14ac:dyDescent="0.25">
      <c r="A198"/>
      <c r="B198"/>
      <c r="C198"/>
      <c r="D198"/>
      <c r="E198"/>
      <c r="F198"/>
      <c r="G198"/>
      <c r="H198"/>
      <c r="I198"/>
      <c r="J198"/>
    </row>
    <row r="199" spans="1:10" x14ac:dyDescent="0.25">
      <c r="A199"/>
      <c r="B199"/>
      <c r="C199"/>
      <c r="D199"/>
      <c r="E199"/>
      <c r="F199"/>
      <c r="G199"/>
      <c r="H199"/>
      <c r="I199"/>
      <c r="J199"/>
    </row>
    <row r="200" spans="1:10" x14ac:dyDescent="0.25">
      <c r="A200"/>
      <c r="B200"/>
      <c r="C200"/>
      <c r="D200"/>
      <c r="E200"/>
      <c r="F200"/>
      <c r="G200"/>
      <c r="H200"/>
      <c r="I200"/>
      <c r="J200"/>
    </row>
    <row r="201" spans="1:10" x14ac:dyDescent="0.25">
      <c r="A201"/>
      <c r="B201"/>
      <c r="C201"/>
      <c r="D201"/>
      <c r="E201"/>
      <c r="F201"/>
      <c r="G201"/>
      <c r="H201"/>
      <c r="I201"/>
      <c r="J201"/>
    </row>
    <row r="202" spans="1:10" x14ac:dyDescent="0.25">
      <c r="A202"/>
      <c r="B202"/>
      <c r="C202"/>
      <c r="D202"/>
      <c r="E202"/>
      <c r="F202"/>
      <c r="G202"/>
      <c r="H202"/>
      <c r="I202"/>
      <c r="J202"/>
    </row>
    <row r="203" spans="1:10" x14ac:dyDescent="0.25">
      <c r="A203"/>
      <c r="B203"/>
      <c r="C203"/>
      <c r="D203"/>
      <c r="E203"/>
      <c r="F203"/>
      <c r="G203"/>
      <c r="H203"/>
      <c r="I203"/>
      <c r="J203"/>
    </row>
    <row r="204" spans="1:10" x14ac:dyDescent="0.25">
      <c r="A204"/>
      <c r="B204"/>
      <c r="C204"/>
      <c r="D204"/>
      <c r="E204"/>
      <c r="F204"/>
      <c r="G204"/>
      <c r="H204"/>
      <c r="I204"/>
      <c r="J204"/>
    </row>
    <row r="205" spans="1:10" x14ac:dyDescent="0.25">
      <c r="A205"/>
      <c r="B205"/>
      <c r="C205"/>
      <c r="D205"/>
      <c r="E205"/>
      <c r="F205"/>
      <c r="G205"/>
      <c r="H205"/>
      <c r="I205"/>
      <c r="J205"/>
    </row>
    <row r="206" spans="1:10" x14ac:dyDescent="0.25">
      <c r="A206"/>
      <c r="B206"/>
      <c r="C206"/>
      <c r="D206"/>
      <c r="E206"/>
      <c r="F206"/>
      <c r="G206"/>
      <c r="H206"/>
      <c r="I206"/>
      <c r="J206"/>
    </row>
    <row r="207" spans="1:10" x14ac:dyDescent="0.25">
      <c r="A207"/>
      <c r="B207"/>
      <c r="C207"/>
      <c r="D207"/>
      <c r="E207"/>
      <c r="F207"/>
      <c r="G207"/>
      <c r="H207"/>
      <c r="I207"/>
      <c r="J207"/>
    </row>
    <row r="208" spans="1:10" x14ac:dyDescent="0.25">
      <c r="A208"/>
      <c r="B208"/>
      <c r="C208"/>
      <c r="D208"/>
      <c r="E208"/>
      <c r="F208"/>
      <c r="G208"/>
      <c r="H208"/>
      <c r="I208"/>
      <c r="J208"/>
    </row>
    <row r="209" spans="1:10" x14ac:dyDescent="0.25">
      <c r="A209"/>
      <c r="B209"/>
      <c r="C209"/>
      <c r="D209"/>
      <c r="E209"/>
      <c r="F209"/>
      <c r="G209"/>
      <c r="H209"/>
      <c r="I209"/>
      <c r="J209"/>
    </row>
    <row r="210" spans="1:10" x14ac:dyDescent="0.25">
      <c r="A210"/>
      <c r="B210"/>
      <c r="C210"/>
      <c r="D210"/>
      <c r="E210"/>
      <c r="F210"/>
      <c r="G210"/>
      <c r="H210"/>
      <c r="I210"/>
      <c r="J210"/>
    </row>
    <row r="211" spans="1:10" x14ac:dyDescent="0.25">
      <c r="A211"/>
      <c r="B211"/>
      <c r="C211"/>
      <c r="D211"/>
      <c r="E211"/>
      <c r="F211"/>
      <c r="G211"/>
      <c r="H211"/>
      <c r="I211"/>
      <c r="J211"/>
    </row>
    <row r="212" spans="1:10" x14ac:dyDescent="0.25">
      <c r="A212"/>
      <c r="B212"/>
      <c r="C212"/>
      <c r="D212"/>
      <c r="E212"/>
      <c r="F212"/>
      <c r="G212"/>
      <c r="H212"/>
      <c r="I212"/>
      <c r="J212"/>
    </row>
    <row r="213" spans="1:10" x14ac:dyDescent="0.25">
      <c r="A213"/>
      <c r="B213"/>
      <c r="C213"/>
      <c r="D213"/>
      <c r="E213"/>
      <c r="F213"/>
      <c r="G213"/>
      <c r="H213"/>
      <c r="I213"/>
      <c r="J213"/>
    </row>
    <row r="214" spans="1:10" x14ac:dyDescent="0.25">
      <c r="A214"/>
      <c r="B214"/>
      <c r="C214"/>
      <c r="D214"/>
      <c r="E214"/>
      <c r="F214"/>
      <c r="G214"/>
      <c r="H214"/>
      <c r="I214"/>
      <c r="J214"/>
    </row>
    <row r="215" spans="1:10" x14ac:dyDescent="0.25">
      <c r="A215"/>
      <c r="B215"/>
      <c r="C215"/>
      <c r="D215"/>
      <c r="E215"/>
      <c r="F215"/>
      <c r="G215"/>
      <c r="H215"/>
      <c r="I215"/>
      <c r="J215"/>
    </row>
    <row r="216" spans="1:10" x14ac:dyDescent="0.25">
      <c r="A216"/>
      <c r="B216"/>
      <c r="C216"/>
      <c r="D216"/>
      <c r="E216"/>
      <c r="F216"/>
      <c r="G216"/>
      <c r="H216"/>
      <c r="I216"/>
      <c r="J216"/>
    </row>
    <row r="217" spans="1:10" x14ac:dyDescent="0.25">
      <c r="A217"/>
      <c r="B217"/>
      <c r="C217"/>
      <c r="D217"/>
      <c r="E217"/>
      <c r="F217"/>
      <c r="G217"/>
      <c r="H217"/>
      <c r="I217"/>
      <c r="J217"/>
    </row>
    <row r="218" spans="1:10" x14ac:dyDescent="0.25">
      <c r="A218"/>
      <c r="B218"/>
      <c r="C218"/>
      <c r="D218"/>
      <c r="E218"/>
      <c r="F218"/>
      <c r="G218"/>
      <c r="H218"/>
      <c r="I218"/>
      <c r="J218"/>
    </row>
    <row r="219" spans="1:10" x14ac:dyDescent="0.25">
      <c r="A219"/>
      <c r="B219"/>
      <c r="C219"/>
      <c r="D219"/>
      <c r="E219"/>
      <c r="F219"/>
      <c r="G219"/>
      <c r="H219"/>
      <c r="I219"/>
      <c r="J219"/>
    </row>
    <row r="220" spans="1:10" x14ac:dyDescent="0.25">
      <c r="A220"/>
      <c r="B220"/>
      <c r="C220"/>
      <c r="D220"/>
      <c r="E220"/>
      <c r="F220"/>
      <c r="G220"/>
      <c r="H220"/>
      <c r="I220"/>
      <c r="J220"/>
    </row>
    <row r="221" spans="1:10" x14ac:dyDescent="0.25">
      <c r="A221"/>
      <c r="B221"/>
      <c r="C221"/>
      <c r="D221"/>
      <c r="E221"/>
      <c r="F221"/>
      <c r="G221"/>
      <c r="H221"/>
      <c r="I221"/>
      <c r="J221"/>
    </row>
    <row r="222" spans="1:10" x14ac:dyDescent="0.25">
      <c r="A222"/>
      <c r="B222"/>
      <c r="C222"/>
      <c r="D222"/>
      <c r="E222"/>
      <c r="F222"/>
      <c r="G222"/>
      <c r="H222"/>
      <c r="I222"/>
      <c r="J222"/>
    </row>
    <row r="223" spans="1:10" x14ac:dyDescent="0.25">
      <c r="A223"/>
      <c r="B223"/>
      <c r="C223"/>
      <c r="D223"/>
      <c r="E223"/>
      <c r="F223"/>
      <c r="G223"/>
      <c r="H223"/>
      <c r="I223"/>
      <c r="J223"/>
    </row>
    <row r="224" spans="1:10" x14ac:dyDescent="0.25">
      <c r="A224"/>
      <c r="B224"/>
      <c r="C224"/>
      <c r="D224"/>
      <c r="E224"/>
      <c r="F224"/>
      <c r="G224"/>
      <c r="H224"/>
      <c r="I224"/>
      <c r="J224"/>
    </row>
    <row r="225" spans="1:10" x14ac:dyDescent="0.25">
      <c r="A225"/>
      <c r="B225"/>
      <c r="C225"/>
      <c r="D225"/>
      <c r="E225"/>
      <c r="F225"/>
      <c r="G225"/>
      <c r="H225"/>
      <c r="I225"/>
      <c r="J225"/>
    </row>
    <row r="226" spans="1:10" x14ac:dyDescent="0.25">
      <c r="A226"/>
      <c r="B226"/>
      <c r="C226"/>
      <c r="D226"/>
      <c r="E226"/>
      <c r="F226"/>
      <c r="G226"/>
      <c r="H226"/>
      <c r="I226"/>
      <c r="J226"/>
    </row>
    <row r="227" spans="1:10" x14ac:dyDescent="0.25">
      <c r="A227"/>
      <c r="B227"/>
      <c r="C227"/>
      <c r="D227"/>
      <c r="E227"/>
      <c r="F227"/>
      <c r="G227"/>
      <c r="H227"/>
      <c r="I227"/>
      <c r="J227"/>
    </row>
    <row r="228" spans="1:10" x14ac:dyDescent="0.25">
      <c r="A228"/>
      <c r="B228"/>
      <c r="C228"/>
      <c r="D228"/>
      <c r="E228"/>
      <c r="F228"/>
      <c r="G228"/>
      <c r="H228"/>
      <c r="I228"/>
      <c r="J228"/>
    </row>
    <row r="229" spans="1:10" x14ac:dyDescent="0.25">
      <c r="A229"/>
      <c r="B229"/>
      <c r="C229"/>
      <c r="D229"/>
      <c r="E229"/>
      <c r="F229"/>
      <c r="G229"/>
      <c r="H229"/>
      <c r="I229"/>
      <c r="J229"/>
    </row>
    <row r="230" spans="1:10" x14ac:dyDescent="0.25">
      <c r="A230"/>
      <c r="B230"/>
      <c r="C230"/>
      <c r="D230"/>
      <c r="E230"/>
      <c r="F230"/>
      <c r="G230"/>
      <c r="H230"/>
      <c r="I230"/>
      <c r="J230"/>
    </row>
    <row r="231" spans="1:10" x14ac:dyDescent="0.25">
      <c r="A231"/>
      <c r="B231"/>
      <c r="C231"/>
      <c r="D231"/>
      <c r="E231"/>
      <c r="F231"/>
      <c r="G231"/>
      <c r="H231"/>
      <c r="I231"/>
      <c r="J231"/>
    </row>
    <row r="232" spans="1:10" x14ac:dyDescent="0.25">
      <c r="A232"/>
      <c r="B232"/>
      <c r="C232"/>
      <c r="D232"/>
      <c r="E232"/>
      <c r="F232"/>
      <c r="G232"/>
      <c r="H232"/>
      <c r="I232"/>
      <c r="J232"/>
    </row>
    <row r="233" spans="1:10" x14ac:dyDescent="0.25">
      <c r="A233"/>
      <c r="B233"/>
      <c r="C233"/>
      <c r="D233"/>
      <c r="E233"/>
      <c r="F233"/>
      <c r="G233"/>
      <c r="H233"/>
      <c r="I233"/>
      <c r="J233"/>
    </row>
    <row r="234" spans="1:10" x14ac:dyDescent="0.25">
      <c r="A234"/>
      <c r="B234"/>
      <c r="C234"/>
      <c r="D234"/>
      <c r="E234"/>
      <c r="F234"/>
      <c r="G234"/>
      <c r="H234"/>
      <c r="I234"/>
      <c r="J234"/>
    </row>
    <row r="235" spans="1:10" x14ac:dyDescent="0.25">
      <c r="A235"/>
      <c r="B235"/>
      <c r="C235"/>
      <c r="D235"/>
      <c r="E235"/>
      <c r="F235"/>
      <c r="G235"/>
      <c r="H235"/>
      <c r="I235"/>
      <c r="J235"/>
    </row>
    <row r="236" spans="1:10" x14ac:dyDescent="0.25">
      <c r="A236"/>
      <c r="B236"/>
      <c r="C236"/>
      <c r="D236"/>
      <c r="E236"/>
      <c r="F236"/>
      <c r="G236"/>
      <c r="H236"/>
      <c r="I236"/>
      <c r="J236"/>
    </row>
    <row r="237" spans="1:10" x14ac:dyDescent="0.25">
      <c r="A237"/>
      <c r="B237"/>
      <c r="C237"/>
      <c r="D237"/>
      <c r="E237"/>
      <c r="F237"/>
      <c r="G237"/>
      <c r="H237"/>
      <c r="I237"/>
      <c r="J237"/>
    </row>
    <row r="238" spans="1:10" x14ac:dyDescent="0.25">
      <c r="A238"/>
      <c r="B238"/>
      <c r="C238"/>
      <c r="D238"/>
      <c r="E238"/>
      <c r="F238"/>
      <c r="G238"/>
      <c r="H238"/>
      <c r="I238"/>
      <c r="J238"/>
    </row>
    <row r="239" spans="1:10" x14ac:dyDescent="0.25">
      <c r="A239"/>
      <c r="B239"/>
      <c r="C239"/>
      <c r="D239"/>
      <c r="E239"/>
      <c r="F239"/>
      <c r="G239"/>
      <c r="H239"/>
      <c r="I239"/>
      <c r="J239"/>
    </row>
    <row r="240" spans="1:10" x14ac:dyDescent="0.25">
      <c r="A240"/>
      <c r="B240"/>
      <c r="C240"/>
      <c r="D240"/>
      <c r="E240"/>
      <c r="F240"/>
      <c r="G240"/>
      <c r="H240"/>
      <c r="I240"/>
      <c r="J240"/>
    </row>
    <row r="241" spans="1:10" x14ac:dyDescent="0.25">
      <c r="A241"/>
      <c r="B241"/>
      <c r="C241"/>
      <c r="D241"/>
      <c r="E241"/>
      <c r="F241"/>
      <c r="G241"/>
      <c r="H241"/>
      <c r="I241"/>
      <c r="J241"/>
    </row>
    <row r="242" spans="1:10" x14ac:dyDescent="0.25">
      <c r="A242"/>
      <c r="B242"/>
      <c r="C242"/>
      <c r="D242"/>
      <c r="E242"/>
      <c r="F242"/>
      <c r="G242"/>
      <c r="H242"/>
      <c r="I242"/>
      <c r="J242"/>
    </row>
    <row r="243" spans="1:10" x14ac:dyDescent="0.25">
      <c r="A243"/>
      <c r="B243"/>
      <c r="C243"/>
      <c r="D243"/>
      <c r="E243"/>
      <c r="F243"/>
      <c r="G243"/>
      <c r="H243"/>
      <c r="I243"/>
      <c r="J243"/>
    </row>
    <row r="244" spans="1:10" x14ac:dyDescent="0.25">
      <c r="A244"/>
      <c r="B244"/>
      <c r="C244"/>
      <c r="D244"/>
      <c r="E244"/>
      <c r="F244"/>
      <c r="G244"/>
      <c r="H244"/>
      <c r="I244"/>
      <c r="J244"/>
    </row>
    <row r="245" spans="1:10" x14ac:dyDescent="0.25">
      <c r="A245"/>
      <c r="B245"/>
      <c r="C245"/>
      <c r="D245"/>
      <c r="E245"/>
      <c r="F245"/>
      <c r="G245"/>
      <c r="H245"/>
      <c r="I245"/>
      <c r="J245"/>
    </row>
    <row r="246" spans="1:10" x14ac:dyDescent="0.25">
      <c r="A246"/>
      <c r="B246"/>
      <c r="C246"/>
      <c r="D246"/>
      <c r="E246"/>
      <c r="F246"/>
      <c r="G246"/>
      <c r="H246"/>
      <c r="I246"/>
      <c r="J246"/>
    </row>
    <row r="247" spans="1:10" x14ac:dyDescent="0.25">
      <c r="A247"/>
      <c r="B247"/>
      <c r="C247"/>
      <c r="D247"/>
      <c r="E247"/>
      <c r="F247"/>
      <c r="G247"/>
      <c r="H247"/>
      <c r="I247"/>
      <c r="J247"/>
    </row>
    <row r="248" spans="1:10" x14ac:dyDescent="0.25">
      <c r="A248"/>
      <c r="B248"/>
      <c r="C248"/>
      <c r="D248"/>
      <c r="E248"/>
      <c r="F248"/>
      <c r="G248"/>
      <c r="H248"/>
      <c r="I248"/>
      <c r="J248"/>
    </row>
    <row r="249" spans="1:10" x14ac:dyDescent="0.25">
      <c r="A249"/>
      <c r="B249"/>
      <c r="C249"/>
      <c r="D249"/>
      <c r="E249"/>
      <c r="F249"/>
      <c r="G249"/>
      <c r="H249"/>
      <c r="I249"/>
      <c r="J249"/>
    </row>
    <row r="250" spans="1:10" x14ac:dyDescent="0.25">
      <c r="A250"/>
      <c r="B250"/>
      <c r="C250"/>
      <c r="D250"/>
      <c r="E250"/>
      <c r="F250"/>
      <c r="G250"/>
      <c r="H250"/>
      <c r="I250"/>
      <c r="J250"/>
    </row>
    <row r="251" spans="1:10" x14ac:dyDescent="0.25">
      <c r="A251"/>
      <c r="B251"/>
      <c r="C251"/>
      <c r="D251"/>
      <c r="E251"/>
      <c r="F251"/>
      <c r="G251"/>
      <c r="H251"/>
      <c r="I251"/>
      <c r="J251"/>
    </row>
    <row r="252" spans="1:10" x14ac:dyDescent="0.25">
      <c r="A252"/>
      <c r="B252"/>
      <c r="C252"/>
      <c r="D252"/>
      <c r="E252"/>
      <c r="F252"/>
      <c r="G252"/>
      <c r="H252"/>
      <c r="I252"/>
      <c r="J252"/>
    </row>
    <row r="253" spans="1:10" x14ac:dyDescent="0.25">
      <c r="A253"/>
      <c r="B253"/>
      <c r="C253"/>
      <c r="D253"/>
      <c r="E253"/>
      <c r="F253"/>
      <c r="G253"/>
      <c r="H253"/>
      <c r="I253"/>
      <c r="J253"/>
    </row>
    <row r="254" spans="1:10" x14ac:dyDescent="0.25">
      <c r="A254"/>
      <c r="B254"/>
      <c r="C254"/>
      <c r="D254"/>
      <c r="E254"/>
      <c r="F254"/>
      <c r="G254"/>
      <c r="H254"/>
      <c r="I254"/>
      <c r="J254"/>
    </row>
    <row r="255" spans="1:10" x14ac:dyDescent="0.25">
      <c r="A255"/>
      <c r="B255"/>
      <c r="C255"/>
      <c r="D255"/>
      <c r="E255"/>
      <c r="F255"/>
      <c r="G255"/>
      <c r="H255"/>
      <c r="I255"/>
      <c r="J255"/>
    </row>
    <row r="256" spans="1:10" x14ac:dyDescent="0.25">
      <c r="A256"/>
      <c r="B256"/>
      <c r="C256"/>
      <c r="D256"/>
      <c r="E256"/>
      <c r="F256"/>
      <c r="G256"/>
      <c r="H256"/>
      <c r="I256"/>
      <c r="J256"/>
    </row>
    <row r="257" spans="1:10" x14ac:dyDescent="0.25">
      <c r="A257"/>
      <c r="B257"/>
      <c r="C257"/>
      <c r="D257"/>
      <c r="E257"/>
      <c r="F257"/>
      <c r="G257"/>
      <c r="H257"/>
      <c r="I257"/>
      <c r="J257"/>
    </row>
    <row r="258" spans="1:10" x14ac:dyDescent="0.25">
      <c r="A258"/>
      <c r="B258"/>
      <c r="C258"/>
      <c r="D258"/>
      <c r="E258"/>
      <c r="F258"/>
      <c r="G258"/>
      <c r="H258"/>
      <c r="I258"/>
      <c r="J258"/>
    </row>
    <row r="259" spans="1:10" x14ac:dyDescent="0.25">
      <c r="A259"/>
      <c r="B259"/>
      <c r="C259"/>
      <c r="D259"/>
      <c r="E259"/>
      <c r="F259"/>
      <c r="G259"/>
      <c r="H259"/>
      <c r="I259"/>
      <c r="J259"/>
    </row>
    <row r="260" spans="1:10" x14ac:dyDescent="0.25">
      <c r="A260"/>
      <c r="B260"/>
      <c r="C260"/>
      <c r="D260"/>
      <c r="E260"/>
      <c r="F260"/>
      <c r="G260"/>
      <c r="H260"/>
      <c r="I260"/>
      <c r="J260"/>
    </row>
    <row r="261" spans="1:10" x14ac:dyDescent="0.25">
      <c r="A261"/>
      <c r="B261"/>
      <c r="C261"/>
      <c r="D261"/>
      <c r="E261"/>
      <c r="F261"/>
      <c r="G261"/>
      <c r="H261"/>
      <c r="I261"/>
      <c r="J261"/>
    </row>
    <row r="262" spans="1:10" x14ac:dyDescent="0.25">
      <c r="A262"/>
      <c r="B262"/>
      <c r="C262"/>
      <c r="D262"/>
      <c r="E262"/>
      <c r="F262"/>
      <c r="G262"/>
      <c r="H262"/>
      <c r="I262"/>
      <c r="J262"/>
    </row>
    <row r="263" spans="1:10" x14ac:dyDescent="0.25">
      <c r="A263"/>
      <c r="B263"/>
      <c r="C263"/>
      <c r="D263"/>
      <c r="E263"/>
      <c r="F263"/>
      <c r="G263"/>
      <c r="H263"/>
      <c r="I263"/>
      <c r="J263"/>
    </row>
    <row r="264" spans="1:10" x14ac:dyDescent="0.25">
      <c r="A264"/>
      <c r="B264"/>
      <c r="C264"/>
      <c r="D264"/>
      <c r="E264"/>
      <c r="F264"/>
      <c r="G264"/>
      <c r="H264"/>
      <c r="I264"/>
      <c r="J264"/>
    </row>
    <row r="265" spans="1:10" x14ac:dyDescent="0.25">
      <c r="A265"/>
      <c r="B265"/>
      <c r="C265"/>
      <c r="D265"/>
      <c r="E265"/>
      <c r="F265"/>
      <c r="G265"/>
      <c r="H265"/>
      <c r="I265"/>
      <c r="J265"/>
    </row>
    <row r="266" spans="1:10" x14ac:dyDescent="0.25">
      <c r="A266"/>
      <c r="B266"/>
      <c r="C266"/>
      <c r="D266"/>
      <c r="E266"/>
      <c r="F266"/>
      <c r="G266"/>
      <c r="H266"/>
      <c r="I266"/>
      <c r="J266"/>
    </row>
    <row r="267" spans="1:10" x14ac:dyDescent="0.25">
      <c r="A267"/>
      <c r="B267"/>
      <c r="C267"/>
      <c r="D267"/>
      <c r="E267"/>
      <c r="F267"/>
      <c r="G267"/>
      <c r="H267"/>
      <c r="I267"/>
      <c r="J267"/>
    </row>
    <row r="268" spans="1:10" x14ac:dyDescent="0.25">
      <c r="A268"/>
      <c r="B268"/>
      <c r="C268"/>
      <c r="D268"/>
      <c r="E268"/>
      <c r="F268"/>
      <c r="G268"/>
      <c r="H268"/>
      <c r="I268"/>
      <c r="J268"/>
    </row>
    <row r="269" spans="1:10" x14ac:dyDescent="0.25">
      <c r="A269"/>
      <c r="B269"/>
      <c r="C269"/>
      <c r="D269"/>
      <c r="E269"/>
      <c r="F269"/>
      <c r="G269"/>
      <c r="H269"/>
      <c r="I269"/>
      <c r="J269"/>
    </row>
    <row r="270" spans="1:10" x14ac:dyDescent="0.25">
      <c r="A270"/>
      <c r="B270"/>
      <c r="C270"/>
      <c r="D270"/>
      <c r="E270"/>
      <c r="F270"/>
      <c r="G270"/>
      <c r="H270"/>
      <c r="I270"/>
      <c r="J270"/>
    </row>
    <row r="271" spans="1:10" x14ac:dyDescent="0.25">
      <c r="G271" s="122"/>
      <c r="H271" s="122"/>
    </row>
    <row r="272" spans="1:10" x14ac:dyDescent="0.25">
      <c r="G272" s="122"/>
      <c r="H272" s="122"/>
    </row>
    <row r="273" spans="7:8" x14ac:dyDescent="0.25">
      <c r="G273" s="122"/>
      <c r="H273" s="122"/>
    </row>
    <row r="274" spans="7:8" x14ac:dyDescent="0.25">
      <c r="G274" s="122"/>
      <c r="H274" s="122"/>
    </row>
    <row r="275" spans="7:8" x14ac:dyDescent="0.25">
      <c r="G275" s="122"/>
      <c r="H275" s="122"/>
    </row>
    <row r="276" spans="7:8" x14ac:dyDescent="0.25">
      <c r="G276" s="122"/>
      <c r="H276" s="122"/>
    </row>
    <row r="277" spans="7:8" x14ac:dyDescent="0.25">
      <c r="G277" s="122"/>
      <c r="H277" s="122"/>
    </row>
    <row r="278" spans="7:8" x14ac:dyDescent="0.25">
      <c r="G278" s="122"/>
      <c r="H278" s="122"/>
    </row>
    <row r="279" spans="7:8" x14ac:dyDescent="0.25">
      <c r="G279" s="122"/>
      <c r="H279" s="122"/>
    </row>
    <row r="280" spans="7:8" x14ac:dyDescent="0.25">
      <c r="G280" s="122"/>
      <c r="H280" s="122"/>
    </row>
    <row r="281" spans="7:8" x14ac:dyDescent="0.25">
      <c r="G281" s="122"/>
      <c r="H281" s="122"/>
    </row>
    <row r="282" spans="7:8" x14ac:dyDescent="0.25">
      <c r="G282" s="122"/>
      <c r="H282" s="122"/>
    </row>
    <row r="283" spans="7:8" x14ac:dyDescent="0.25">
      <c r="G283" s="122"/>
      <c r="H283" s="122"/>
    </row>
    <row r="284" spans="7:8" x14ac:dyDescent="0.25">
      <c r="G284" s="122"/>
      <c r="H284" s="122"/>
    </row>
    <row r="285" spans="7:8" x14ac:dyDescent="0.25">
      <c r="G285" s="122"/>
      <c r="H285" s="122"/>
    </row>
    <row r="286" spans="7:8" x14ac:dyDescent="0.25">
      <c r="G286" s="122"/>
      <c r="H286" s="122"/>
    </row>
    <row r="287" spans="7:8" x14ac:dyDescent="0.25">
      <c r="G287" s="122"/>
      <c r="H287" s="122"/>
    </row>
    <row r="288" spans="7:8" x14ac:dyDescent="0.25">
      <c r="G288" s="122"/>
      <c r="H288" s="122"/>
    </row>
    <row r="289" spans="7:8" x14ac:dyDescent="0.25">
      <c r="G289" s="122"/>
      <c r="H289" s="122"/>
    </row>
    <row r="290" spans="7:8" x14ac:dyDescent="0.25">
      <c r="G290" s="122"/>
      <c r="H290" s="122"/>
    </row>
    <row r="291" spans="7:8" x14ac:dyDescent="0.25">
      <c r="G291" s="122"/>
      <c r="H291" s="122"/>
    </row>
    <row r="292" spans="7:8" x14ac:dyDescent="0.25">
      <c r="G292" s="122"/>
      <c r="H292" s="122"/>
    </row>
    <row r="293" spans="7:8" x14ac:dyDescent="0.25">
      <c r="G293" s="122"/>
      <c r="H293" s="122"/>
    </row>
    <row r="294" spans="7:8" x14ac:dyDescent="0.25">
      <c r="G294" s="122"/>
      <c r="H294" s="122"/>
    </row>
    <row r="295" spans="7:8" x14ac:dyDescent="0.25">
      <c r="G295" s="122"/>
      <c r="H295" s="122"/>
    </row>
    <row r="296" spans="7:8" x14ac:dyDescent="0.25">
      <c r="G296" s="122"/>
      <c r="H296" s="122"/>
    </row>
    <row r="297" spans="7:8" x14ac:dyDescent="0.25">
      <c r="G297" s="122"/>
      <c r="H297" s="122"/>
    </row>
    <row r="298" spans="7:8" x14ac:dyDescent="0.25">
      <c r="G298" s="122"/>
      <c r="H298" s="122"/>
    </row>
    <row r="299" spans="7:8" x14ac:dyDescent="0.25">
      <c r="G299" s="122"/>
      <c r="H299" s="122"/>
    </row>
    <row r="300" spans="7:8" x14ac:dyDescent="0.25">
      <c r="G300" s="122"/>
      <c r="H300" s="122"/>
    </row>
    <row r="301" spans="7:8" x14ac:dyDescent="0.25">
      <c r="G301" s="122"/>
      <c r="H301" s="122"/>
    </row>
    <row r="302" spans="7:8" x14ac:dyDescent="0.25">
      <c r="G302" s="122"/>
      <c r="H302" s="122"/>
    </row>
    <row r="303" spans="7:8" x14ac:dyDescent="0.25">
      <c r="G303" s="122"/>
      <c r="H303" s="122"/>
    </row>
    <row r="304" spans="7:8" x14ac:dyDescent="0.25">
      <c r="G304" s="122"/>
      <c r="H304" s="122"/>
    </row>
    <row r="305" spans="7:8" x14ac:dyDescent="0.25">
      <c r="G305" s="122"/>
      <c r="H305" s="122"/>
    </row>
    <row r="306" spans="7:8" x14ac:dyDescent="0.25">
      <c r="G306" s="122"/>
      <c r="H306" s="122"/>
    </row>
    <row r="307" spans="7:8" x14ac:dyDescent="0.25">
      <c r="G307" s="122"/>
      <c r="H307" s="122"/>
    </row>
    <row r="308" spans="7:8" x14ac:dyDescent="0.25">
      <c r="G308" s="122"/>
      <c r="H308" s="122"/>
    </row>
    <row r="309" spans="7:8" x14ac:dyDescent="0.25">
      <c r="G309" s="122"/>
      <c r="H309" s="122"/>
    </row>
    <row r="310" spans="7:8" x14ac:dyDescent="0.25">
      <c r="G310" s="122"/>
      <c r="H310" s="122"/>
    </row>
    <row r="311" spans="7:8" x14ac:dyDescent="0.25">
      <c r="G311" s="122"/>
      <c r="H311" s="122"/>
    </row>
    <row r="312" spans="7:8" x14ac:dyDescent="0.25">
      <c r="G312" s="122"/>
      <c r="H312" s="122"/>
    </row>
    <row r="313" spans="7:8" x14ac:dyDescent="0.25">
      <c r="G313" s="122"/>
      <c r="H313" s="122"/>
    </row>
    <row r="314" spans="7:8" x14ac:dyDescent="0.25">
      <c r="G314" s="122"/>
      <c r="H314" s="122"/>
    </row>
    <row r="315" spans="7:8" x14ac:dyDescent="0.25">
      <c r="G315" s="122"/>
      <c r="H315" s="122"/>
    </row>
    <row r="316" spans="7:8" x14ac:dyDescent="0.25">
      <c r="G316" s="122"/>
      <c r="H316" s="122"/>
    </row>
    <row r="317" spans="7:8" x14ac:dyDescent="0.25">
      <c r="G317" s="122"/>
      <c r="H317" s="122"/>
    </row>
    <row r="318" spans="7:8" x14ac:dyDescent="0.25">
      <c r="G318" s="122"/>
      <c r="H318" s="122"/>
    </row>
    <row r="319" spans="7:8" x14ac:dyDescent="0.25">
      <c r="G319" s="122"/>
      <c r="H319" s="122"/>
    </row>
    <row r="320" spans="7:8" x14ac:dyDescent="0.25">
      <c r="G320" s="122"/>
      <c r="H320" s="122"/>
    </row>
    <row r="321" spans="7:8" x14ac:dyDescent="0.25">
      <c r="G321" s="122"/>
      <c r="H321" s="122"/>
    </row>
    <row r="322" spans="7:8" x14ac:dyDescent="0.25">
      <c r="G322" s="122"/>
      <c r="H322" s="122"/>
    </row>
    <row r="323" spans="7:8" x14ac:dyDescent="0.25">
      <c r="G323" s="122"/>
      <c r="H323" s="122"/>
    </row>
    <row r="324" spans="7:8" x14ac:dyDescent="0.25">
      <c r="G324" s="122"/>
      <c r="H324" s="122"/>
    </row>
    <row r="325" spans="7:8" x14ac:dyDescent="0.25">
      <c r="G325" s="122"/>
      <c r="H325" s="122"/>
    </row>
    <row r="326" spans="7:8" x14ac:dyDescent="0.25">
      <c r="G326" s="122"/>
      <c r="H326" s="122"/>
    </row>
    <row r="327" spans="7:8" x14ac:dyDescent="0.25">
      <c r="G327" s="122"/>
      <c r="H327" s="122"/>
    </row>
    <row r="328" spans="7:8" x14ac:dyDescent="0.25">
      <c r="G328" s="122"/>
      <c r="H328" s="122"/>
    </row>
    <row r="329" spans="7:8" x14ac:dyDescent="0.25">
      <c r="G329" s="122"/>
      <c r="H329" s="122"/>
    </row>
    <row r="330" spans="7:8" x14ac:dyDescent="0.25">
      <c r="G330" s="122"/>
      <c r="H330" s="122"/>
    </row>
    <row r="331" spans="7:8" x14ac:dyDescent="0.25">
      <c r="G331" s="122"/>
      <c r="H331" s="122"/>
    </row>
    <row r="332" spans="7:8" x14ac:dyDescent="0.25">
      <c r="G332" s="122"/>
      <c r="H332" s="122"/>
    </row>
    <row r="333" spans="7:8" x14ac:dyDescent="0.25">
      <c r="G333" s="122"/>
      <c r="H333" s="122"/>
    </row>
    <row r="334" spans="7:8" x14ac:dyDescent="0.25">
      <c r="G334" s="122"/>
      <c r="H334" s="122"/>
    </row>
    <row r="335" spans="7:8" x14ac:dyDescent="0.25">
      <c r="G335" s="122"/>
      <c r="H335" s="122"/>
    </row>
    <row r="336" spans="7:8" x14ac:dyDescent="0.25">
      <c r="G336" s="122"/>
      <c r="H336" s="122"/>
    </row>
    <row r="337" spans="7:8" x14ac:dyDescent="0.25">
      <c r="G337" s="122"/>
      <c r="H337" s="122"/>
    </row>
    <row r="338" spans="7:8" x14ac:dyDescent="0.25">
      <c r="G338" s="122"/>
      <c r="H338" s="122"/>
    </row>
    <row r="339" spans="7:8" x14ac:dyDescent="0.25">
      <c r="G339" s="122"/>
      <c r="H339" s="122"/>
    </row>
    <row r="340" spans="7:8" x14ac:dyDescent="0.25">
      <c r="G340" s="122"/>
      <c r="H340" s="122"/>
    </row>
    <row r="341" spans="7:8" x14ac:dyDescent="0.25">
      <c r="G341" s="122"/>
      <c r="H341" s="122"/>
    </row>
    <row r="342" spans="7:8" x14ac:dyDescent="0.25">
      <c r="G342" s="122"/>
      <c r="H342" s="122"/>
    </row>
    <row r="343" spans="7:8" x14ac:dyDescent="0.25">
      <c r="G343" s="122"/>
      <c r="H343" s="122"/>
    </row>
    <row r="344" spans="7:8" x14ac:dyDescent="0.25">
      <c r="G344" s="122"/>
      <c r="H344" s="122"/>
    </row>
    <row r="345" spans="7:8" x14ac:dyDescent="0.25">
      <c r="G345" s="122"/>
      <c r="H345" s="122"/>
    </row>
    <row r="346" spans="7:8" x14ac:dyDescent="0.25">
      <c r="G346" s="122"/>
      <c r="H346" s="122"/>
    </row>
    <row r="347" spans="7:8" x14ac:dyDescent="0.25">
      <c r="G347" s="122"/>
      <c r="H347" s="122"/>
    </row>
    <row r="348" spans="7:8" x14ac:dyDescent="0.25">
      <c r="G348" s="122"/>
      <c r="H348" s="122"/>
    </row>
    <row r="349" spans="7:8" x14ac:dyDescent="0.25">
      <c r="G349" s="122"/>
      <c r="H349" s="122"/>
    </row>
    <row r="350" spans="7:8" x14ac:dyDescent="0.25">
      <c r="G350" s="122"/>
      <c r="H350" s="122"/>
    </row>
    <row r="351" spans="7:8" x14ac:dyDescent="0.25">
      <c r="G351" s="122"/>
      <c r="H351" s="122"/>
    </row>
    <row r="352" spans="7:8" x14ac:dyDescent="0.25">
      <c r="G352" s="122"/>
      <c r="H352" s="122"/>
    </row>
    <row r="353" spans="7:8" x14ac:dyDescent="0.25">
      <c r="G353" s="122"/>
      <c r="H353" s="122"/>
    </row>
    <row r="354" spans="7:8" x14ac:dyDescent="0.25">
      <c r="G354" s="122"/>
      <c r="H354" s="122"/>
    </row>
    <row r="355" spans="7:8" x14ac:dyDescent="0.25">
      <c r="G355" s="122"/>
      <c r="H355" s="122"/>
    </row>
    <row r="356" spans="7:8" x14ac:dyDescent="0.25">
      <c r="G356" s="122"/>
      <c r="H356" s="122"/>
    </row>
    <row r="357" spans="7:8" x14ac:dyDescent="0.25">
      <c r="G357" s="122"/>
      <c r="H357" s="122"/>
    </row>
    <row r="358" spans="7:8" x14ac:dyDescent="0.25">
      <c r="G358" s="122"/>
      <c r="H358" s="122"/>
    </row>
  </sheetData>
  <mergeCells count="1">
    <mergeCell ref="A3:B3"/>
  </mergeCells>
  <printOptions horizontalCentered="1"/>
  <pageMargins left="0.25" right="0.25" top="0.25" bottom="0.25" header="0.3" footer="0.3"/>
  <pageSetup paperSize="9" scale="90"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C332"/>
  <sheetViews>
    <sheetView showZeros="0" tabSelected="1" topLeftCell="A10" zoomScale="90" zoomScaleNormal="90" zoomScaleSheetLayoutView="100" workbookViewId="0">
      <selection activeCell="X26" sqref="X26"/>
    </sheetView>
  </sheetViews>
  <sheetFormatPr defaultColWidth="9.140625" defaultRowHeight="15" x14ac:dyDescent="0.25"/>
  <cols>
    <col min="1" max="1" width="1.85546875" style="122" customWidth="1"/>
    <col min="2" max="2" width="1.7109375" style="122" customWidth="1"/>
    <col min="3" max="3" width="25.85546875" style="32" customWidth="1"/>
    <col min="4" max="6" width="9.7109375" style="32" customWidth="1"/>
    <col min="7" max="7" width="0.85546875" style="105" customWidth="1"/>
    <col min="8" max="8" width="11.42578125" style="32" customWidth="1"/>
    <col min="9" max="9" width="7.7109375" style="32" customWidth="1"/>
    <col min="10" max="10" width="7.85546875" style="32" customWidth="1"/>
    <col min="11" max="13" width="7.7109375" style="32" customWidth="1"/>
    <col min="14" max="17" width="9.7109375" style="32" customWidth="1"/>
    <col min="18" max="18" width="9" style="32" customWidth="1"/>
    <col min="19" max="19" width="0.7109375" style="32" customWidth="1"/>
    <col min="20" max="21" width="7.140625" style="32" customWidth="1"/>
    <col min="22" max="22" width="2.85546875" style="32" customWidth="1"/>
    <col min="23" max="23" width="7.140625" style="32" customWidth="1"/>
    <col min="24" max="24" width="16.7109375" style="64" customWidth="1"/>
    <col min="25" max="27" width="7.140625" style="64" customWidth="1"/>
    <col min="28" max="28" width="13" style="64" customWidth="1"/>
    <col min="29" max="29" width="12" style="64" customWidth="1"/>
    <col min="30" max="30" width="14.140625" style="64" customWidth="1"/>
    <col min="31" max="35" width="7.140625" style="64" customWidth="1"/>
    <col min="36" max="36" width="0.7109375" style="64" customWidth="1"/>
    <col min="37" max="37" width="21.5703125" style="64" customWidth="1"/>
    <col min="38" max="47" width="9.140625" style="64"/>
    <col min="48" max="16384" width="9.140625" style="32"/>
  </cols>
  <sheetData>
    <row r="1" spans="2:55" s="122" customFormat="1" ht="15.75" thickBot="1" x14ac:dyDescent="0.3"/>
    <row r="2" spans="2:55" s="122" customFormat="1" ht="6" customHeight="1" x14ac:dyDescent="0.25">
      <c r="B2" s="240"/>
      <c r="C2" s="241"/>
      <c r="D2" s="241"/>
      <c r="E2" s="241"/>
      <c r="F2" s="241"/>
      <c r="G2" s="241"/>
      <c r="H2" s="241"/>
      <c r="I2" s="241"/>
      <c r="J2" s="241"/>
      <c r="K2" s="241"/>
      <c r="L2" s="241"/>
      <c r="M2" s="241"/>
      <c r="N2" s="241"/>
      <c r="O2" s="241"/>
      <c r="P2" s="241"/>
      <c r="Q2" s="241"/>
      <c r="R2" s="241"/>
      <c r="S2" s="241"/>
      <c r="T2" s="241"/>
      <c r="U2" s="242"/>
    </row>
    <row r="3" spans="2:55" s="1" customFormat="1" ht="36" x14ac:dyDescent="0.25">
      <c r="B3" s="243"/>
      <c r="C3" s="836"/>
      <c r="D3" s="836"/>
      <c r="E3" s="836"/>
      <c r="F3" s="836"/>
      <c r="G3" s="836"/>
      <c r="H3" s="836"/>
      <c r="I3" s="836"/>
      <c r="J3" s="836"/>
      <c r="K3" s="836"/>
      <c r="L3" s="836"/>
      <c r="M3" s="836"/>
      <c r="N3" s="836"/>
      <c r="O3" s="836"/>
      <c r="P3" s="836"/>
      <c r="Q3" s="836"/>
      <c r="R3" s="836"/>
      <c r="S3" s="205"/>
      <c r="T3" s="205"/>
      <c r="U3" s="244"/>
      <c r="BB3" s="55"/>
      <c r="BC3" s="55"/>
    </row>
    <row r="4" spans="2:55" s="1" customFormat="1" ht="25.9" customHeight="1" x14ac:dyDescent="0.25">
      <c r="B4" s="243"/>
      <c r="C4" s="834" t="s">
        <v>587</v>
      </c>
      <c r="D4" s="834"/>
      <c r="E4" s="834"/>
      <c r="F4" s="834"/>
      <c r="G4" s="834"/>
      <c r="H4" s="834"/>
      <c r="I4" s="834"/>
      <c r="J4" s="834"/>
      <c r="K4" s="834"/>
      <c r="L4" s="233"/>
      <c r="M4" s="233"/>
      <c r="N4" s="233"/>
      <c r="O4" s="233"/>
      <c r="P4" s="233"/>
      <c r="Q4" s="233"/>
      <c r="R4" s="233"/>
      <c r="S4" s="205"/>
      <c r="T4" s="205"/>
      <c r="U4" s="244"/>
      <c r="X4" s="64"/>
      <c r="Y4" s="64"/>
      <c r="Z4" s="64"/>
      <c r="AA4" s="64"/>
      <c r="AB4" s="64"/>
      <c r="AC4" s="64"/>
      <c r="AD4" s="64"/>
      <c r="AE4" s="64"/>
      <c r="AF4" s="64"/>
      <c r="AG4" s="64"/>
      <c r="AH4" s="64"/>
      <c r="AI4" s="64"/>
      <c r="AJ4" s="64"/>
      <c r="AK4" s="64"/>
      <c r="AL4" s="64"/>
      <c r="AM4" s="64"/>
      <c r="AN4" s="64"/>
      <c r="AO4" s="64"/>
      <c r="AP4" s="64"/>
      <c r="AQ4" s="64"/>
      <c r="AR4" s="64"/>
      <c r="BB4" s="55"/>
      <c r="BC4" s="55"/>
    </row>
    <row r="5" spans="2:55" s="17" customFormat="1" ht="13.9" customHeight="1" x14ac:dyDescent="0.25">
      <c r="B5" s="245"/>
      <c r="C5" s="835">
        <f>Definition!B23</f>
        <v>42571</v>
      </c>
      <c r="D5" s="835"/>
      <c r="E5" s="835"/>
      <c r="F5" s="835"/>
      <c r="G5" s="835"/>
      <c r="H5" s="835"/>
      <c r="I5" s="835"/>
      <c r="J5" s="835"/>
      <c r="K5" s="835"/>
      <c r="L5" s="237"/>
      <c r="M5" s="237"/>
      <c r="N5" s="237"/>
      <c r="O5" s="237"/>
      <c r="P5" s="237"/>
      <c r="Q5" s="237"/>
      <c r="R5" s="237"/>
      <c r="S5" s="238"/>
      <c r="T5" s="238"/>
      <c r="U5" s="246"/>
      <c r="Y5" s="64"/>
      <c r="Z5" s="64"/>
      <c r="AA5" s="64"/>
      <c r="AB5" s="64"/>
      <c r="AC5" s="64"/>
      <c r="AD5" s="64"/>
      <c r="AE5" s="64"/>
      <c r="AF5" s="64"/>
      <c r="AG5" s="64"/>
      <c r="AH5" s="64"/>
      <c r="AI5" s="64"/>
      <c r="AJ5" s="64"/>
      <c r="AK5" s="64"/>
      <c r="AL5" s="64"/>
      <c r="AM5" s="64"/>
      <c r="AN5" s="64"/>
      <c r="AO5" s="64"/>
      <c r="AP5" s="64"/>
      <c r="AQ5" s="64"/>
      <c r="AR5" s="64"/>
      <c r="BB5" s="56"/>
      <c r="BC5" s="56"/>
    </row>
    <row r="6" spans="2:55" ht="36" x14ac:dyDescent="0.25">
      <c r="B6" s="253"/>
      <c r="C6" s="232"/>
      <c r="D6" s="232"/>
      <c r="E6" s="232"/>
      <c r="F6" s="232"/>
      <c r="G6" s="232"/>
      <c r="H6" s="232"/>
      <c r="I6" s="232"/>
      <c r="J6" s="232"/>
      <c r="K6" s="232"/>
      <c r="L6" s="232"/>
      <c r="M6" s="232"/>
      <c r="N6" s="232"/>
      <c r="O6" s="38"/>
      <c r="P6" s="38"/>
      <c r="Q6" s="38"/>
      <c r="R6" s="38"/>
      <c r="S6" s="38"/>
      <c r="T6" s="38"/>
      <c r="U6" s="250"/>
      <c r="V6" s="80"/>
      <c r="W6" s="80"/>
      <c r="X6" s="80"/>
      <c r="Y6" s="80"/>
      <c r="Z6" s="80"/>
      <c r="AA6" s="80"/>
      <c r="AB6" s="80"/>
      <c r="AC6" s="80"/>
      <c r="AD6" s="80"/>
      <c r="AE6" s="80"/>
      <c r="AF6" s="80"/>
      <c r="AG6" s="80"/>
      <c r="AH6" s="80"/>
      <c r="AK6" s="19" t="s">
        <v>0</v>
      </c>
      <c r="AL6" s="25" t="s">
        <v>1010</v>
      </c>
      <c r="AM6" s="25" t="s">
        <v>1011</v>
      </c>
      <c r="AN6" s="25" t="s">
        <v>590</v>
      </c>
      <c r="AO6" s="25" t="s">
        <v>589</v>
      </c>
      <c r="AU6" s="32"/>
    </row>
    <row r="7" spans="2:55" ht="10.9" customHeight="1" x14ac:dyDescent="0.25">
      <c r="B7" s="253"/>
      <c r="C7" s="232"/>
      <c r="D7" s="232"/>
      <c r="E7" s="232"/>
      <c r="F7" s="232"/>
      <c r="G7" s="232"/>
      <c r="H7" s="232"/>
      <c r="I7" s="232"/>
      <c r="J7" s="232"/>
      <c r="K7" s="232"/>
      <c r="L7" s="232"/>
      <c r="M7" s="232"/>
      <c r="N7" s="232"/>
      <c r="O7" s="38"/>
      <c r="P7" s="38"/>
      <c r="Q7" s="38"/>
      <c r="R7" s="38"/>
      <c r="S7" s="38"/>
      <c r="T7" s="38"/>
      <c r="U7" s="251"/>
      <c r="AK7" s="19" t="s">
        <v>5</v>
      </c>
      <c r="AL7" s="33">
        <f>SUMIFS(CampList[Total],CampList[Township],$AK7,CampList[Status],"open",CampList[Total],"&lt;=100",CampList[Affected Population],"IDP")</f>
        <v>290</v>
      </c>
      <c r="AM7" s="33">
        <f>SUMIFS(CampList[Total],CampList[Township],$AK7,CampList[Status],"open",CampList[Total],"&gt;100",CampList[Total],"&lt;=1000",CampList[Affected Population],"IDP")</f>
        <v>2744</v>
      </c>
      <c r="AN7" s="33">
        <f>SUMIFS(CampList[Total],CampList[Township],$AK7,CampList[Status],"open",CampList[Total],"&gt;1000",CampList[Total],"&lt;=5000",CampList[Affected Population],"IDP")</f>
        <v>5150</v>
      </c>
      <c r="AO7" s="33">
        <f>SUMIFS(CampList[Total],CampList[Township],$AK7,CampList[Status],"open",CampList[Total],"&gt;5000",CampList[Total],"&lt;=100000",CampList[Affected Population],"IDP")</f>
        <v>0</v>
      </c>
      <c r="AU7" s="32"/>
    </row>
    <row r="8" spans="2:55" ht="9.75" customHeight="1" x14ac:dyDescent="0.25">
      <c r="B8" s="253"/>
      <c r="C8" s="232"/>
      <c r="D8" s="232"/>
      <c r="E8" s="232"/>
      <c r="F8" s="232"/>
      <c r="G8" s="232"/>
      <c r="H8" s="232"/>
      <c r="I8" s="232"/>
      <c r="J8" s="232"/>
      <c r="K8" s="232"/>
      <c r="L8" s="232"/>
      <c r="M8" s="232"/>
      <c r="N8" s="232"/>
      <c r="O8" s="38"/>
      <c r="P8" s="38"/>
      <c r="Q8" s="38"/>
      <c r="R8" s="38"/>
      <c r="S8" s="38"/>
      <c r="T8" s="38"/>
      <c r="U8" s="251"/>
      <c r="AK8" s="19" t="s">
        <v>27</v>
      </c>
      <c r="AL8" s="33">
        <f>SUMIFS(CampList[Total],CampList[Township],$AK8,CampList[Status],"open",CampList[Total],"&lt;=100",CampList[Affected Population],"IDP")</f>
        <v>0</v>
      </c>
      <c r="AM8" s="33">
        <f>SUMIFS(CampList[Total],CampList[Township],$AK8,CampList[Status],"open",CampList[Total],"&gt;100",CampList[Total],"&lt;=1000",CampList[Affected Population],"IDP")</f>
        <v>1594</v>
      </c>
      <c r="AN8" s="33">
        <f>SUMIFS(CampList[Total],CampList[Township],$AK8,CampList[Status],"open",CampList[Total],"&gt;1000",CampList[Total],"&lt;=5000",CampList[Affected Population],"IDP")</f>
        <v>1015</v>
      </c>
      <c r="AO8" s="33">
        <f>SUMIFS(CampList[Total],CampList[Township],$AK8,CampList[Status],"open",CampList[Total],"&gt;5000",CampList[Total],"&lt;=100000",CampList[Affected Population],"IDP")</f>
        <v>0</v>
      </c>
      <c r="AP8" s="17"/>
      <c r="AU8" s="32"/>
    </row>
    <row r="9" spans="2:55" ht="12.75" customHeight="1" x14ac:dyDescent="0.25">
      <c r="B9" s="253"/>
      <c r="C9" s="232"/>
      <c r="D9" s="232"/>
      <c r="E9" s="232"/>
      <c r="F9" s="232"/>
      <c r="G9" s="232"/>
      <c r="H9" s="232"/>
      <c r="I9" s="232"/>
      <c r="J9" s="232"/>
      <c r="K9" s="232"/>
      <c r="L9" s="232"/>
      <c r="M9" s="232"/>
      <c r="N9" s="232"/>
      <c r="O9" s="38"/>
      <c r="P9" s="38"/>
      <c r="Q9" s="38"/>
      <c r="R9" s="38"/>
      <c r="S9" s="38"/>
      <c r="T9" s="38"/>
      <c r="U9" s="251"/>
      <c r="AK9" s="19" t="s">
        <v>528</v>
      </c>
      <c r="AL9" s="33">
        <f>SUMIFS(CampList[Total],CampList[Township],$AK9,CampList[Status],"open",CampList[Total],"&lt;=100",CampList[Affected Population],"IDP")</f>
        <v>496</v>
      </c>
      <c r="AM9" s="33">
        <f>SUMIFS(CampList[Total],CampList[Township],$AK9,CampList[Status],"open",CampList[Total],"&gt;100",CampList[Total],"&lt;=1000",CampList[Affected Population],"IDP")</f>
        <v>2986</v>
      </c>
      <c r="AN9" s="33">
        <f>SUMIFS(CampList[Total],CampList[Township],$AK9,CampList[Status],"open",CampList[Total],"&gt;1000",CampList[Total],"&lt;=5000",CampList[Affected Population],"IDP")</f>
        <v>0</v>
      </c>
      <c r="AO9" s="33">
        <f>SUMIFS(CampList[Total],CampList[Township],$AK9,CampList[Status],"open",CampList[Total],"&gt;5000",CampList[Total],"&lt;=100000",CampList[Affected Population],"IDP")</f>
        <v>0</v>
      </c>
      <c r="AP9" s="17"/>
      <c r="AU9" s="32"/>
    </row>
    <row r="10" spans="2:55" x14ac:dyDescent="0.25">
      <c r="B10" s="253"/>
      <c r="C10" s="232"/>
      <c r="D10" s="232"/>
      <c r="E10" s="232"/>
      <c r="F10" s="232"/>
      <c r="G10" s="232"/>
      <c r="H10" s="232"/>
      <c r="I10" s="232"/>
      <c r="J10" s="232"/>
      <c r="K10" s="232"/>
      <c r="L10" s="232"/>
      <c r="M10" s="232"/>
      <c r="N10" s="232"/>
      <c r="O10" s="38"/>
      <c r="P10" s="38"/>
      <c r="Q10" s="38"/>
      <c r="R10" s="38"/>
      <c r="S10" s="38"/>
      <c r="T10" s="38"/>
      <c r="U10" s="251"/>
      <c r="AK10" s="19" t="s">
        <v>780</v>
      </c>
      <c r="AL10" s="33">
        <f>SUMIFS(CampList[Total],CampList[Township],$AK10,CampList[Status],"open",CampList[Total],"&lt;=100",CampList[Affected Population],"IDP")</f>
        <v>75</v>
      </c>
      <c r="AM10" s="33">
        <f>SUMIFS(CampList[Total],CampList[Township],$AK10,CampList[Status],"open",CampList[Total],"&gt;100",CampList[Total],"&lt;=1000",CampList[Affected Population],"IDP")</f>
        <v>594</v>
      </c>
      <c r="AN10" s="33">
        <f>SUMIFS(CampList[Total],CampList[Township],$AK10,CampList[Status],"open",CampList[Total],"&gt;1000",CampList[Total],"&lt;=5000",CampList[Affected Population],"IDP")</f>
        <v>0</v>
      </c>
      <c r="AO10" s="33">
        <f>SUMIFS(CampList[Total],CampList[Township],$AK10,CampList[Status],"open",CampList[Total],"&gt;5000",CampList[Total],"&lt;=100000",CampList[Affected Population],"IDP")</f>
        <v>0</v>
      </c>
      <c r="AP10" s="17"/>
      <c r="AU10" s="32"/>
    </row>
    <row r="11" spans="2:55" ht="18" customHeight="1" x14ac:dyDescent="0.25">
      <c r="B11" s="253"/>
      <c r="C11" s="114" t="s">
        <v>0</v>
      </c>
      <c r="D11" s="114" t="s">
        <v>572</v>
      </c>
      <c r="E11" s="114" t="s">
        <v>577</v>
      </c>
      <c r="F11" s="115" t="s">
        <v>1244</v>
      </c>
      <c r="G11" s="112"/>
      <c r="H11" s="38"/>
      <c r="I11" s="38"/>
      <c r="J11" s="38"/>
      <c r="K11" s="38"/>
      <c r="L11" s="38"/>
      <c r="M11" s="38"/>
      <c r="N11" s="38"/>
      <c r="O11" s="38"/>
      <c r="P11" s="38"/>
      <c r="Q11" s="38"/>
      <c r="R11" s="38"/>
      <c r="S11" s="229"/>
      <c r="T11" s="38"/>
      <c r="U11" s="251"/>
      <c r="AK11" s="116" t="s">
        <v>363</v>
      </c>
      <c r="AL11" s="33">
        <f>SUMIFS(CampList[Total],CampList[Township],$AK11,CampList[Status],"open",CampList[Total],"&lt;=100",CampList[Affected Population],"IDP")</f>
        <v>0</v>
      </c>
      <c r="AM11" s="33">
        <f>SUMIFS(CampList[Total],CampList[Township],$AK11,CampList[Status],"open",CampList[Total],"&gt;100",CampList[Total],"&lt;=1000",CampList[Affected Population],"IDP")</f>
        <v>0</v>
      </c>
      <c r="AN11" s="33">
        <f>SUMIFS(CampList[Total],CampList[Township],$AK11,CampList[Status],"open",CampList[Total],"&gt;1000",CampList[Total],"&lt;=5000",CampList[Affected Population],"IDP")</f>
        <v>0</v>
      </c>
      <c r="AO11" s="33">
        <f>SUMIFS(CampList[Total],CampList[Township],$AK11,CampList[Status],"open",CampList[Total],"&gt;5000",CampList[Total],"&lt;=100000",CampList[Affected Population],"IDP")</f>
        <v>0</v>
      </c>
      <c r="AP11" s="17"/>
      <c r="AU11" s="32"/>
    </row>
    <row r="12" spans="2:55" ht="18" customHeight="1" x14ac:dyDescent="0.25">
      <c r="B12" s="253"/>
      <c r="C12" s="116" t="s">
        <v>5</v>
      </c>
      <c r="D12" s="117">
        <f>SUMIFS(CampList[HH],CampList[Township],$C12,CampList[Status],"open",CampList[Affected Population],"IDP")</f>
        <v>1501</v>
      </c>
      <c r="E12" s="117">
        <f>SUMIFS(CampList[Total],CampList[Township],$C12,CampList[Status],"open",CampList[Affected Population],"IDP")</f>
        <v>8184</v>
      </c>
      <c r="F12" s="113">
        <f>COUNTIFS(CampList[Township],$C12,CampList[Status],"open",CampList[Affected Population],"IDP")</f>
        <v>11</v>
      </c>
      <c r="G12" s="107"/>
      <c r="H12" s="38"/>
      <c r="I12" s="230"/>
      <c r="J12" s="38"/>
      <c r="K12" s="38"/>
      <c r="L12" s="38"/>
      <c r="M12" s="38"/>
      <c r="N12" s="38"/>
      <c r="O12" s="38"/>
      <c r="P12" s="38"/>
      <c r="Q12" s="38"/>
      <c r="R12" s="38"/>
      <c r="S12" s="229"/>
      <c r="T12" s="38"/>
      <c r="U12" s="251"/>
      <c r="X12" s="76"/>
      <c r="AK12" s="19" t="s">
        <v>144</v>
      </c>
      <c r="AL12" s="33">
        <f>SUMIFS(CampList[Total],CampList[Township],$AK12,CampList[Status],"open",CampList[Total],"&lt;=100",CampList[Affected Population],"IDP")</f>
        <v>17</v>
      </c>
      <c r="AM12" s="33">
        <f>SUMIFS(CampList[Total],CampList[Township],$AK12,CampList[Status],"open",CampList[Total],"&gt;100",CampList[Total],"&lt;=1000",CampList[Affected Population],"IDP")</f>
        <v>0</v>
      </c>
      <c r="AN12" s="33">
        <f>SUMIFS(CampList[Total],CampList[Township],$AK12,CampList[Status],"open",CampList[Total],"&gt;1000",CampList[Total],"&lt;=5000",CampList[Affected Population],"IDP")</f>
        <v>0</v>
      </c>
      <c r="AO12" s="33">
        <f>SUMIFS(CampList[Total],CampList[Township],$AK12,CampList[Status],"open",CampList[Total],"&gt;5000",CampList[Total],"&lt;=100000",CampList[Affected Population],"IDP")</f>
        <v>0</v>
      </c>
      <c r="AP12" s="17"/>
      <c r="AU12" s="32"/>
    </row>
    <row r="13" spans="2:55" ht="18" customHeight="1" x14ac:dyDescent="0.25">
      <c r="B13" s="253"/>
      <c r="C13" s="116" t="s">
        <v>27</v>
      </c>
      <c r="D13" s="117">
        <f>SUMIFS(CampList[HH],CampList[Township],$C13,CampList[Status],"open",CampList[Affected Population],"IDP")</f>
        <v>494</v>
      </c>
      <c r="E13" s="117">
        <f>SUMIFS(CampList[Total],CampList[Township],$C13,CampList[Status],"open",CampList[Affected Population],"IDP")</f>
        <v>2609</v>
      </c>
      <c r="F13" s="113">
        <f>COUNTIFS(CampList[Township],$C13,CampList[Status],"open",CampList[Affected Population],"IDP")</f>
        <v>6</v>
      </c>
      <c r="G13" s="107"/>
      <c r="H13" s="231"/>
      <c r="I13" s="230"/>
      <c r="J13" s="38"/>
      <c r="K13" s="38"/>
      <c r="L13" s="38"/>
      <c r="M13" s="38"/>
      <c r="N13" s="38"/>
      <c r="O13" s="38"/>
      <c r="P13" s="38"/>
      <c r="Q13" s="38"/>
      <c r="R13" s="38"/>
      <c r="S13" s="38"/>
      <c r="T13" s="38"/>
      <c r="U13" s="251"/>
      <c r="X13" s="76"/>
      <c r="AK13" s="19" t="s">
        <v>146</v>
      </c>
      <c r="AL13" s="33">
        <f>SUMIFS(CampList[Total],CampList[Township],$AK13,CampList[Status],"open",CampList[Total],"&lt;=100",CampList[Affected Population],"IDP")</f>
        <v>0</v>
      </c>
      <c r="AM13" s="33">
        <f>SUMIFS(CampList[Total],CampList[Township],$AK13,CampList[Status],"open",CampList[Total],"&gt;100",CampList[Total],"&lt;=1000",CampList[Affected Population],"IDP")</f>
        <v>5060</v>
      </c>
      <c r="AN13" s="33">
        <f>SUMIFS(CampList[Total],CampList[Township],$AK13,CampList[Status],"open",CampList[Total],"&gt;1000",CampList[Total],"&lt;=5000",CampList[Affected Population],"IDP")</f>
        <v>0</v>
      </c>
      <c r="AO13" s="33">
        <f>SUMIFS(CampList[Total],CampList[Township],$AK13,CampList[Status],"open",CampList[Total],"&gt;5000",CampList[Total],"&lt;=100000",CampList[Affected Population],"IDP")</f>
        <v>0</v>
      </c>
      <c r="AP13" s="17"/>
      <c r="AU13" s="32"/>
    </row>
    <row r="14" spans="2:55" ht="18" customHeight="1" x14ac:dyDescent="0.25">
      <c r="B14" s="253"/>
      <c r="C14" s="116" t="s">
        <v>528</v>
      </c>
      <c r="D14" s="117">
        <f>SUMIFS(CampList[HH],CampList[Township],$C14,CampList[Status],"open",CampList[Affected Population],"IDP")</f>
        <v>694</v>
      </c>
      <c r="E14" s="117">
        <f>SUMIFS(CampList[Total],CampList[Township],$C14,CampList[Status],"open",CampList[Affected Population],"IDP")</f>
        <v>3482</v>
      </c>
      <c r="F14" s="113">
        <f>COUNTIFS(CampList[Township],$C14,CampList[Status],"open",CampList[Affected Population],"IDP")</f>
        <v>20</v>
      </c>
      <c r="G14" s="107"/>
      <c r="H14" s="231"/>
      <c r="I14" s="230"/>
      <c r="J14" s="38"/>
      <c r="K14" s="38"/>
      <c r="L14" s="38"/>
      <c r="M14" s="38"/>
      <c r="N14" s="38"/>
      <c r="O14" s="38"/>
      <c r="P14" s="38"/>
      <c r="Q14" s="38"/>
      <c r="R14" s="38"/>
      <c r="S14" s="38"/>
      <c r="T14" s="38"/>
      <c r="U14" s="251"/>
      <c r="X14" s="76"/>
      <c r="AK14" s="19" t="s">
        <v>894</v>
      </c>
      <c r="AL14" s="33">
        <f>SUMIFS(CampList[Total],CampList[Township],$AK14,CampList[Status],"open",CampList[Total],"&lt;=100",CampList[Affected Population],"IDP")</f>
        <v>0</v>
      </c>
      <c r="AM14" s="33">
        <f>SUMIFS(CampList[Total],CampList[Township],$AK14,CampList[Status],"open",CampList[Total],"&gt;100",CampList[Total],"&lt;=1000",CampList[Affected Population],"IDP")</f>
        <v>0</v>
      </c>
      <c r="AN14" s="33">
        <f>SUMIFS(CampList[Total],CampList[Township],$AK14,CampList[Status],"open",CampList[Total],"&gt;1000",CampList[Total],"&lt;=5000",CampList[Affected Population],"IDP")</f>
        <v>0</v>
      </c>
      <c r="AO14" s="33">
        <f>SUMIFS(CampList[Total],CampList[Township],$AK14,CampList[Status],"open",CampList[Total],"&gt;5000",CampList[Total],"&lt;=100000",CampList[Affected Population],"IDP")</f>
        <v>0</v>
      </c>
      <c r="AP14" s="17"/>
      <c r="AU14" s="32"/>
    </row>
    <row r="15" spans="2:55" ht="18" customHeight="1" x14ac:dyDescent="0.25">
      <c r="B15" s="253"/>
      <c r="C15" s="116" t="s">
        <v>780</v>
      </c>
      <c r="D15" s="117">
        <f>SUMIFS(CampList[HH],CampList[Township],$C15,CampList[Status],"open",CampList[Affected Population],"IDP")</f>
        <v>125</v>
      </c>
      <c r="E15" s="117">
        <f>SUMIFS(CampList[Total],CampList[Township],$C15,CampList[Status],"open",CampList[Affected Population],"IDP")</f>
        <v>669</v>
      </c>
      <c r="F15" s="113">
        <f>COUNTIFS(CampList[Township],$C15,CampList[Status],"open",CampList[Affected Population],"IDP")</f>
        <v>3</v>
      </c>
      <c r="G15" s="107"/>
      <c r="H15" s="231"/>
      <c r="I15" s="38"/>
      <c r="J15" s="38"/>
      <c r="K15" s="38"/>
      <c r="L15" s="38"/>
      <c r="M15" s="38"/>
      <c r="N15" s="38"/>
      <c r="O15" s="38"/>
      <c r="P15" s="38"/>
      <c r="Q15" s="38"/>
      <c r="R15" s="38"/>
      <c r="S15" s="38"/>
      <c r="T15" s="38"/>
      <c r="U15" s="251"/>
      <c r="X15" s="76"/>
      <c r="AK15" s="19" t="s">
        <v>151</v>
      </c>
      <c r="AL15" s="33">
        <f>SUMIFS(CampList[Total],CampList[Township],$AK15,CampList[Status],"open",CampList[Total],"&lt;=100",CampList[Affected Population],"IDP")</f>
        <v>0</v>
      </c>
      <c r="AM15" s="33">
        <f>SUMIFS(CampList[Total],CampList[Township],$AK15,CampList[Status],"open",CampList[Total],"&gt;100",CampList[Total],"&lt;=1000",CampList[Affected Population],"IDP")</f>
        <v>5027</v>
      </c>
      <c r="AN15" s="33">
        <f>SUMIFS(CampList[Total],CampList[Township],$AK15,CampList[Status],"open",CampList[Total],"&gt;1000",CampList[Total],"&lt;=5000",CampList[Affected Population],"IDP")</f>
        <v>7603</v>
      </c>
      <c r="AO15" s="33">
        <f>SUMIFS(CampList[Total],CampList[Township],$AK15,CampList[Status],"open",CampList[Total],"&gt;5000",CampList[Total],"&lt;=100000",CampList[Affected Population],"IDP")</f>
        <v>0</v>
      </c>
      <c r="AP15" s="17"/>
      <c r="AU15" s="32"/>
    </row>
    <row r="16" spans="2:55" ht="18" customHeight="1" x14ac:dyDescent="0.25">
      <c r="B16" s="253"/>
      <c r="C16" s="116" t="s">
        <v>363</v>
      </c>
      <c r="D16" s="117">
        <f>SUMIFS(CampList[HH],CampList[Township],$C16,CampList[Status],"open",CampList[Affected Population],"IDP")</f>
        <v>0</v>
      </c>
      <c r="E16" s="117">
        <f>SUMIFS(CampList[Total],CampList[Township],$C16,CampList[Status],"open",CampList[Affected Population],"IDP")</f>
        <v>0</v>
      </c>
      <c r="F16" s="113">
        <f>COUNTIFS(CampList[Township],$C16,CampList[Status],"open",CampList[Affected Population],"IDP")</f>
        <v>0</v>
      </c>
      <c r="G16" s="107"/>
      <c r="H16" s="231"/>
      <c r="I16" s="38"/>
      <c r="J16" s="38"/>
      <c r="K16" s="38"/>
      <c r="L16" s="38"/>
      <c r="M16" s="38"/>
      <c r="N16" s="38"/>
      <c r="O16" s="38"/>
      <c r="P16" s="38"/>
      <c r="Q16" s="38"/>
      <c r="R16" s="38"/>
      <c r="S16" s="38"/>
      <c r="T16" s="38"/>
      <c r="U16" s="251"/>
      <c r="V16" s="32">
        <f>X22</f>
        <v>0</v>
      </c>
      <c r="AK16" s="19" t="s">
        <v>166</v>
      </c>
      <c r="AL16" s="33">
        <f>SUMIFS(CampList[Total],CampList[Township],$AK16,CampList[Status],"open",CampList[Total],"&lt;=100",CampList[Affected Population],"IDP")</f>
        <v>0</v>
      </c>
      <c r="AM16" s="33">
        <f>SUMIFS(CampList[Total],CampList[Township],$AK16,CampList[Status],"open",CampList[Total],"&gt;100",CampList[Total],"&lt;=1000",CampList[Affected Population],"IDP")</f>
        <v>504</v>
      </c>
      <c r="AN16" s="33">
        <f>SUMIFS(CampList[Total],CampList[Township],$AK16,CampList[Status],"open",CampList[Total],"&gt;1000",CampList[Total],"&lt;=5000",CampList[Affected Population],"IDP")</f>
        <v>0</v>
      </c>
      <c r="AO16" s="33">
        <f>SUMIFS(CampList[Total],CampList[Township],$AK16,CampList[Status],"open",CampList[Total],"&gt;5000",CampList[Total],"&lt;=100000",CampList[Affected Population],"IDP")</f>
        <v>0</v>
      </c>
      <c r="AP16" s="17"/>
      <c r="AU16" s="32"/>
    </row>
    <row r="17" spans="2:47" ht="18" customHeight="1" x14ac:dyDescent="0.25">
      <c r="B17" s="253"/>
      <c r="C17" s="116" t="s">
        <v>144</v>
      </c>
      <c r="D17" s="117">
        <f>SUMIFS(CampList[HH],CampList[Township],$C17,CampList[Status],"open",CampList[Affected Population],"IDP")</f>
        <v>11</v>
      </c>
      <c r="E17" s="117">
        <f>SUMIFS(CampList[Total],CampList[Township],$C17,CampList[Status],"open",CampList[Affected Population],"IDP")</f>
        <v>17</v>
      </c>
      <c r="F17" s="113">
        <f>COUNTIFS(CampList[Township],$C17,CampList[Status],"open",CampList[Affected Population],"IDP")</f>
        <v>1</v>
      </c>
      <c r="G17" s="107"/>
      <c r="H17" s="231"/>
      <c r="I17" s="38"/>
      <c r="J17" s="38"/>
      <c r="K17" s="38"/>
      <c r="L17" s="38"/>
      <c r="M17" s="38"/>
      <c r="N17" s="38"/>
      <c r="O17" s="38"/>
      <c r="P17" s="38"/>
      <c r="Q17" s="38"/>
      <c r="R17" s="38"/>
      <c r="S17" s="38"/>
      <c r="T17" s="38"/>
      <c r="U17" s="251"/>
      <c r="W17" s="202"/>
      <c r="AB17"/>
      <c r="AK17" s="19" t="s">
        <v>173</v>
      </c>
      <c r="AL17" s="33">
        <f>SUMIFS(CampList[Total],CampList[Township],$AK17,CampList[Status],"open",CampList[Total],"&lt;=100",CampList[Affected Population],"IDP")</f>
        <v>296</v>
      </c>
      <c r="AM17" s="33">
        <f>SUMIFS(CampList[Total],CampList[Township],$AK17,CampList[Status],"open",CampList[Total],"&gt;100",CampList[Total],"&lt;=1000",CampList[Affected Population],"IDP")</f>
        <v>137</v>
      </c>
      <c r="AN17" s="33">
        <f>SUMIFS(CampList[Total],CampList[Township],$AK17,CampList[Status],"open",CampList[Total],"&gt;1000",CampList[Total],"&lt;=5000",CampList[Affected Population],"IDP")</f>
        <v>0</v>
      </c>
      <c r="AO17" s="33">
        <f>SUMIFS(CampList[Total],CampList[Township],$AK17,CampList[Status],"open",CampList[Total],"&gt;5000",CampList[Total],"&lt;=100000",CampList[Affected Population],"IDP")</f>
        <v>0</v>
      </c>
      <c r="AP17" s="17"/>
      <c r="AU17" s="32"/>
    </row>
    <row r="18" spans="2:47" ht="18" customHeight="1" x14ac:dyDescent="0.25">
      <c r="B18" s="253"/>
      <c r="C18" s="116" t="s">
        <v>146</v>
      </c>
      <c r="D18" s="117">
        <f>SUMIFS(CampList[HH],CampList[Township],$C18,CampList[Status],"open",CampList[Affected Population],"IDP")</f>
        <v>1051</v>
      </c>
      <c r="E18" s="117">
        <f>SUMIFS(CampList[Total],CampList[Township],$C18,CampList[Status],"open",CampList[Affected Population],"IDP")</f>
        <v>5060</v>
      </c>
      <c r="F18" s="113">
        <f>COUNTIFS(CampList[Township],$C18,CampList[Status],"open",CampList[Affected Population],"IDP")</f>
        <v>12</v>
      </c>
      <c r="G18" s="107"/>
      <c r="H18" s="231"/>
      <c r="I18" s="38"/>
      <c r="J18" s="38"/>
      <c r="K18" s="38"/>
      <c r="L18" s="38"/>
      <c r="M18" s="38"/>
      <c r="N18" s="38"/>
      <c r="O18" s="38"/>
      <c r="P18" s="38"/>
      <c r="Q18" s="38"/>
      <c r="R18" s="38"/>
      <c r="S18" s="38"/>
      <c r="T18" s="38"/>
      <c r="U18" s="251"/>
      <c r="AB18"/>
      <c r="AK18" s="19" t="s">
        <v>180</v>
      </c>
      <c r="AL18" s="33">
        <f>SUMIFS(CampList[Total],CampList[Township],$AK18,CampList[Status],"open",CampList[Total],"&lt;=100",CampList[Affected Population],"IDP")</f>
        <v>225</v>
      </c>
      <c r="AM18" s="33">
        <f>SUMIFS(CampList[Total],CampList[Township],$AK18,CampList[Status],"open",CampList[Total],"&gt;100",CampList[Total],"&lt;=1000",CampList[Affected Population],"IDP")</f>
        <v>153</v>
      </c>
      <c r="AN18" s="33">
        <f>SUMIFS(CampList[Total],CampList[Township],$AK18,CampList[Status],"open",CampList[Total],"&gt;1000",CampList[Total],"&lt;=5000",CampList[Affected Population],"IDP")</f>
        <v>0</v>
      </c>
      <c r="AO18" s="33">
        <f>SUMIFS(CampList[Total],CampList[Township],$AK18,CampList[Status],"open",CampList[Total],"&gt;5000",CampList[Total],"&lt;=100000",CampList[Affected Population],"IDP")</f>
        <v>0</v>
      </c>
      <c r="AP18" s="17"/>
      <c r="AU18" s="32"/>
    </row>
    <row r="19" spans="2:47" ht="18" customHeight="1" x14ac:dyDescent="0.25">
      <c r="B19" s="253"/>
      <c r="C19" s="116" t="s">
        <v>894</v>
      </c>
      <c r="D19" s="117">
        <f>SUMIFS(CampList[HH],CampList[Township],$C19,CampList[Status],"open",CampList[Affected Population],"IDP")</f>
        <v>0</v>
      </c>
      <c r="E19" s="117">
        <f>SUMIFS(CampList[Total],CampList[Township],$C19,CampList[Status],"open",CampList[Affected Population],"IDP")</f>
        <v>0</v>
      </c>
      <c r="F19" s="113">
        <f>COUNTIFS(CampList[Township],$C19,CampList[Status],"open",CampList[Affected Population],"IDP")</f>
        <v>0</v>
      </c>
      <c r="G19" s="107"/>
      <c r="H19" s="231"/>
      <c r="I19" s="38"/>
      <c r="J19" s="38"/>
      <c r="K19" s="38"/>
      <c r="L19" s="38"/>
      <c r="M19" s="38"/>
      <c r="N19" s="38"/>
      <c r="O19" s="38"/>
      <c r="P19" s="38"/>
      <c r="Q19" s="38"/>
      <c r="R19" s="38"/>
      <c r="S19" s="38"/>
      <c r="T19" s="38"/>
      <c r="U19" s="251"/>
      <c r="AB19"/>
      <c r="AK19" s="19" t="s">
        <v>185</v>
      </c>
      <c r="AL19" s="33">
        <f>SUMIFS(CampList[Total],CampList[Township],$AK19,CampList[Status],"open",CampList[Total],"&lt;=100",CampList[Affected Population],"IDP")</f>
        <v>175</v>
      </c>
      <c r="AM19" s="33">
        <f>SUMIFS(CampList[Total],CampList[Township],$AK19,CampList[Status],"open",CampList[Total],"&gt;100",CampList[Total],"&lt;=1000",CampList[Affected Population],"IDP")</f>
        <v>2230</v>
      </c>
      <c r="AN19" s="33">
        <f>SUMIFS(CampList[Total],CampList[Township],$AK19,CampList[Status],"open",CampList[Total],"&gt;1000",CampList[Total],"&lt;=5000",CampList[Affected Population],"IDP")</f>
        <v>13233</v>
      </c>
      <c r="AO19" s="33">
        <f>SUMIFS(CampList[Total],CampList[Township],$AK19,CampList[Status],"open",CampList[Total],"&gt;5000",CampList[Total],"&lt;=100000",CampList[Affected Population],"IDP")</f>
        <v>0</v>
      </c>
      <c r="AP19" s="17"/>
      <c r="AU19" s="32"/>
    </row>
    <row r="20" spans="2:47" ht="18" customHeight="1" x14ac:dyDescent="0.25">
      <c r="B20" s="253"/>
      <c r="C20" s="116" t="s">
        <v>151</v>
      </c>
      <c r="D20" s="117">
        <f>SUMIFS(CampList[HH],CampList[Township],$C20,CampList[Status],"open",CampList[Affected Population],"IDP")</f>
        <v>2770</v>
      </c>
      <c r="E20" s="117">
        <f>SUMIFS(CampList[Total],CampList[Township],$C20,CampList[Status],"open",CampList[Affected Population],"IDP")</f>
        <v>12630</v>
      </c>
      <c r="F20" s="113">
        <f>COUNTIFS(CampList[Township],$C20,CampList[Status],"open",CampList[Affected Population],"IDP")</f>
        <v>12</v>
      </c>
      <c r="G20" s="107"/>
      <c r="H20" s="231"/>
      <c r="I20" s="38"/>
      <c r="J20" s="38"/>
      <c r="K20" s="38"/>
      <c r="L20" s="38"/>
      <c r="M20" s="38"/>
      <c r="N20" s="38"/>
      <c r="O20" s="38"/>
      <c r="P20" s="38"/>
      <c r="Q20" s="38"/>
      <c r="R20" s="38"/>
      <c r="S20" s="38"/>
      <c r="T20" s="38"/>
      <c r="U20" s="251"/>
      <c r="AB20"/>
      <c r="AK20" s="19" t="s">
        <v>230</v>
      </c>
      <c r="AL20" s="33">
        <f>SUMIFS(CampList[Total],CampList[Township],$AK20,CampList[Status],"open",CampList[Total],"&lt;=100",CampList[Affected Population],"IDP")</f>
        <v>0</v>
      </c>
      <c r="AM20" s="33">
        <f>SUMIFS(CampList[Total],CampList[Township],$AK20,CampList[Status],"open",CampList[Total],"&gt;100",CampList[Total],"&lt;=1000",CampList[Affected Population],"IDP")</f>
        <v>1020</v>
      </c>
      <c r="AN20" s="33">
        <f>SUMIFS(CampList[Total],CampList[Township],$AK20,CampList[Status],"open",CampList[Total],"&gt;1000",CampList[Total],"&lt;=5000",CampList[Affected Population],"IDP")</f>
        <v>0</v>
      </c>
      <c r="AO20" s="33">
        <f>SUMIFS(CampList[Total],CampList[Township],$AK20,CampList[Status],"open",CampList[Total],"&gt;5000",CampList[Total],"&lt;=100000",CampList[Affected Population],"IDP")</f>
        <v>0</v>
      </c>
      <c r="AP20" s="17"/>
      <c r="AU20" s="32"/>
    </row>
    <row r="21" spans="2:47" ht="18" customHeight="1" x14ac:dyDescent="0.25">
      <c r="B21" s="253"/>
      <c r="C21" s="116" t="s">
        <v>166</v>
      </c>
      <c r="D21" s="117">
        <f>SUMIFS(CampList[HH],CampList[Township],$C21,CampList[Status],"open",CampList[Affected Population],"IDP")</f>
        <v>102</v>
      </c>
      <c r="E21" s="117">
        <f>SUMIFS(CampList[Total],CampList[Township],$C21,CampList[Status],"open",CampList[Affected Population],"IDP")</f>
        <v>504</v>
      </c>
      <c r="F21" s="113">
        <f>COUNTIFS(CampList[Township],$C21,CampList[Status],"open",CampList[Affected Population],"IDP")</f>
        <v>3</v>
      </c>
      <c r="G21" s="107"/>
      <c r="H21" s="38"/>
      <c r="I21" s="38"/>
      <c r="J21" s="38"/>
      <c r="K21" s="38"/>
      <c r="L21" s="38"/>
      <c r="M21" s="38"/>
      <c r="N21" s="38"/>
      <c r="O21" s="38"/>
      <c r="P21" s="38"/>
      <c r="Q21" s="38"/>
      <c r="R21" s="38"/>
      <c r="S21" s="38"/>
      <c r="T21" s="38"/>
      <c r="U21" s="251"/>
      <c r="AB21"/>
      <c r="AK21" s="19" t="s">
        <v>237</v>
      </c>
      <c r="AL21" s="33">
        <f>SUMIFS(CampList[Total],CampList[Township],$AK21,CampList[Status],"open",CampList[Total],"&lt;=100",CampList[Affected Population],"IDP")</f>
        <v>301</v>
      </c>
      <c r="AM21" s="33">
        <f>SUMIFS(CampList[Total],CampList[Township],$AK21,CampList[Status],"open",CampList[Total],"&gt;100",CampList[Total],"&lt;=1000",CampList[Affected Population],"IDP")</f>
        <v>5796</v>
      </c>
      <c r="AN21" s="33">
        <f>SUMIFS(CampList[Total],CampList[Township],$AK21,CampList[Status],"open",CampList[Total],"&gt;1000",CampList[Total],"&lt;=5000",CampList[Affected Population],"IDP")</f>
        <v>1084</v>
      </c>
      <c r="AO21" s="33">
        <f>SUMIFS(CampList[Total],CampList[Township],$AK21,CampList[Status],"open",CampList[Total],"&gt;5000",CampList[Total],"&lt;=100000",CampList[Affected Population],"IDP")</f>
        <v>0</v>
      </c>
      <c r="AP21" s="17"/>
      <c r="AU21" s="32"/>
    </row>
    <row r="22" spans="2:47" ht="18" customHeight="1" x14ac:dyDescent="0.25">
      <c r="B22" s="253"/>
      <c r="C22" s="116" t="s">
        <v>173</v>
      </c>
      <c r="D22" s="117">
        <f>SUMIFS(CampList[HH],CampList[Township],$C22,CampList[Status],"open",CampList[Affected Population],"IDP")</f>
        <v>102</v>
      </c>
      <c r="E22" s="117">
        <f>SUMIFS(CampList[Total],CampList[Township],$C22,CampList[Status],"open",CampList[Affected Population],"IDP")</f>
        <v>433</v>
      </c>
      <c r="F22" s="113">
        <f>COUNTIFS(CampList[Township],$C22,CampList[Status],"open",CampList[Affected Population],"IDP")</f>
        <v>6</v>
      </c>
      <c r="G22" s="107"/>
      <c r="H22" s="38"/>
      <c r="I22" s="38"/>
      <c r="J22" s="38"/>
      <c r="K22" s="38"/>
      <c r="L22" s="38"/>
      <c r="M22" s="38"/>
      <c r="N22" s="38"/>
      <c r="O22" s="38"/>
      <c r="P22" s="38"/>
      <c r="Q22" s="38"/>
      <c r="R22" s="38"/>
      <c r="S22" s="38"/>
      <c r="T22" s="38"/>
      <c r="U22" s="251"/>
      <c r="AB22"/>
      <c r="AK22" s="19" t="s">
        <v>289</v>
      </c>
      <c r="AL22" s="33">
        <f>SUMIFS(CampList[Total],CampList[Township],$AK22,CampList[Status],"open",CampList[Total],"&lt;=100",CampList[Affected Population],"IDP")</f>
        <v>0</v>
      </c>
      <c r="AM22" s="33">
        <f>SUMIFS(CampList[Total],CampList[Township],$AK22,CampList[Status],"open",CampList[Total],"&gt;100",CampList[Total],"&lt;=1000",CampList[Affected Population],"IDP")</f>
        <v>2805</v>
      </c>
      <c r="AN22" s="33">
        <f>SUMIFS(CampList[Total],CampList[Township],$AK22,CampList[Status],"open",CampList[Total],"&gt;1000",CampList[Total],"&lt;=5000",CampList[Affected Population],"IDP")</f>
        <v>0</v>
      </c>
      <c r="AO22" s="33">
        <f>SUMIFS(CampList[Total],CampList[Township],$AK22,CampList[Status],"open",CampList[Total],"&gt;5000",CampList[Total],"&lt;=100000",CampList[Affected Population],"IDP")</f>
        <v>0</v>
      </c>
      <c r="AP22" s="17"/>
      <c r="AU22" s="32"/>
    </row>
    <row r="23" spans="2:47" ht="18" customHeight="1" x14ac:dyDescent="0.25">
      <c r="B23" s="253"/>
      <c r="C23" s="116" t="s">
        <v>180</v>
      </c>
      <c r="D23" s="117">
        <f>SUMIFS(CampList[HH],CampList[Township],$C23,CampList[Status],"open",CampList[Affected Population],"IDP")</f>
        <v>82</v>
      </c>
      <c r="E23" s="117">
        <f>SUMIFS(CampList[Total],CampList[Township],$C23,CampList[Status],"open",CampList[Affected Population],"IDP")</f>
        <v>378</v>
      </c>
      <c r="F23" s="113">
        <f>COUNTIFS(CampList[Township],$C23,CampList[Status],"open",CampList[Affected Population],"IDP")</f>
        <v>4</v>
      </c>
      <c r="G23" s="107"/>
      <c r="H23" s="38"/>
      <c r="I23" s="38"/>
      <c r="J23" s="38"/>
      <c r="K23" s="38"/>
      <c r="L23" s="38"/>
      <c r="M23" s="38"/>
      <c r="N23" s="38"/>
      <c r="O23" s="38"/>
      <c r="P23" s="38"/>
      <c r="Q23" s="38"/>
      <c r="R23" s="38"/>
      <c r="S23" s="38"/>
      <c r="T23" s="38"/>
      <c r="U23" s="251"/>
      <c r="AB23"/>
      <c r="AK23" s="19" t="s">
        <v>298</v>
      </c>
      <c r="AL23" s="33">
        <f>SUMIFS(CampList[Total],CampList[Township],$AK23,CampList[Status],"open",CampList[Total],"&lt;=100",CampList[Affected Population],"IDP")</f>
        <v>119</v>
      </c>
      <c r="AM23" s="33">
        <f>SUMIFS(CampList[Total],CampList[Township],$AK23,CampList[Status],"open",CampList[Total],"&gt;100",CampList[Total],"&lt;=1000",CampList[Affected Population],"IDP")</f>
        <v>520</v>
      </c>
      <c r="AN23" s="33">
        <f>SUMIFS(CampList[Total],CampList[Township],$AK23,CampList[Status],"open",CampList[Total],"&gt;1000",CampList[Total],"&lt;=5000",CampList[Affected Population],"IDP")</f>
        <v>0</v>
      </c>
      <c r="AO23" s="33">
        <f>SUMIFS(CampList[Total],CampList[Township],$AK23,CampList[Status],"open",CampList[Total],"&gt;5000",CampList[Total],"&lt;=100000",CampList[Affected Population],"IDP")</f>
        <v>0</v>
      </c>
      <c r="AP23" s="17"/>
      <c r="AU23" s="32"/>
    </row>
    <row r="24" spans="2:47" ht="18" customHeight="1" x14ac:dyDescent="0.25">
      <c r="B24" s="253"/>
      <c r="C24" s="116" t="s">
        <v>185</v>
      </c>
      <c r="D24" s="117">
        <f>SUMIFS(CampList[HH],CampList[Township],$C24,CampList[Status],"open",CampList[Affected Population],"IDP")</f>
        <v>3114</v>
      </c>
      <c r="E24" s="117">
        <f>SUMIFS(CampList[Total],CampList[Township],$C24,CampList[Status],"open",CampList[Affected Population],"IDP")</f>
        <v>15638</v>
      </c>
      <c r="F24" s="113">
        <f>COUNTIFS(CampList[Township],$C24,CampList[Status],"open",CampList[Affected Population],"IDP")</f>
        <v>20</v>
      </c>
      <c r="G24" s="107"/>
      <c r="H24" s="38"/>
      <c r="I24" s="38"/>
      <c r="J24" s="38"/>
      <c r="K24" s="38"/>
      <c r="L24" s="38"/>
      <c r="M24" s="38"/>
      <c r="N24" s="38"/>
      <c r="O24" s="38"/>
      <c r="P24" s="38"/>
      <c r="Q24" s="38"/>
      <c r="R24" s="38"/>
      <c r="S24" s="38"/>
      <c r="T24" s="38"/>
      <c r="U24" s="251"/>
      <c r="AB24"/>
      <c r="AK24" s="19" t="s">
        <v>300</v>
      </c>
      <c r="AL24" s="33">
        <f>SUMIFS(CampList[Total],CampList[Township],$AK24,CampList[Status],"open",CampList[Total],"&lt;=100",CampList[Affected Population],"IDP")</f>
        <v>120</v>
      </c>
      <c r="AM24" s="33">
        <f>SUMIFS(CampList[Total],CampList[Township],$AK24,CampList[Status],"open",CampList[Total],"&gt;100",CampList[Total],"&lt;=1000",CampList[Affected Population],"IDP")</f>
        <v>370</v>
      </c>
      <c r="AN24" s="33">
        <f>SUMIFS(CampList[Total],CampList[Township],$AK24,CampList[Status],"open",CampList[Total],"&gt;1000",CampList[Total],"&lt;=5000",CampList[Affected Population],"IDP")</f>
        <v>0</v>
      </c>
      <c r="AO24" s="33">
        <f>SUMIFS(CampList[Total],CampList[Township],$AK24,CampList[Status],"open",CampList[Total],"&gt;5000",CampList[Total],"&lt;=100000",CampList[Affected Population],"IDP")</f>
        <v>0</v>
      </c>
      <c r="AP24" s="17"/>
      <c r="AQ24" s="76"/>
      <c r="AR24" s="76"/>
      <c r="AU24" s="32"/>
    </row>
    <row r="25" spans="2:47" ht="18" customHeight="1" x14ac:dyDescent="0.25">
      <c r="B25" s="253"/>
      <c r="C25" s="116" t="s">
        <v>230</v>
      </c>
      <c r="D25" s="117">
        <f>SUMIFS(CampList[HH],CampList[Township],$C25,CampList[Status],"open",CampList[Affected Population],"IDP")</f>
        <v>271</v>
      </c>
      <c r="E25" s="117">
        <f>SUMIFS(CampList[Total],CampList[Township],$C25,CampList[Status],"open",CampList[Affected Population],"IDP")</f>
        <v>1020</v>
      </c>
      <c r="F25" s="113">
        <f>COUNTIFS(CampList[Township],$C25,CampList[Status],"open",CampList[Affected Population],"IDP")</f>
        <v>6</v>
      </c>
      <c r="G25" s="107"/>
      <c r="H25" s="837"/>
      <c r="I25" s="838"/>
      <c r="J25" s="838"/>
      <c r="K25" s="838"/>
      <c r="L25" s="838"/>
      <c r="M25" s="839"/>
      <c r="N25" s="38"/>
      <c r="O25" s="38"/>
      <c r="P25" s="38"/>
      <c r="Q25" s="38"/>
      <c r="R25" s="38"/>
      <c r="S25" s="38"/>
      <c r="T25" s="38"/>
      <c r="U25" s="251"/>
      <c r="AB25"/>
      <c r="AK25" s="19" t="s">
        <v>302</v>
      </c>
      <c r="AL25" s="33">
        <f>SUMIFS(CampList[Total],CampList[Township],$AK25,CampList[Status],"open",CampList[Total],"&lt;=100",CampList[Affected Population],"IDP")</f>
        <v>30</v>
      </c>
      <c r="AM25" s="33">
        <f>SUMIFS(CampList[Total],CampList[Township],$AK25,CampList[Status],"open",CampList[Total],"&gt;100",CampList[Total],"&lt;=1000",CampList[Affected Population],"IDP")</f>
        <v>465</v>
      </c>
      <c r="AN25" s="33">
        <f>SUMIFS(CampList[Total],CampList[Township],$AK25,CampList[Status],"open",CampList[Total],"&gt;1000",CampList[Total],"&lt;=5000",CampList[Affected Population],"IDP")</f>
        <v>1691</v>
      </c>
      <c r="AO25" s="33">
        <f>SUMIFS(CampList[Total],CampList[Township],$AK25,CampList[Status],"open",CampList[Total],"&gt;5000",CampList[Total],"&lt;=100000",CampList[Affected Population],"IDP")</f>
        <v>0</v>
      </c>
      <c r="AP25" s="17"/>
      <c r="AQ25" s="76"/>
      <c r="AR25" s="76"/>
      <c r="AU25" s="32"/>
    </row>
    <row r="26" spans="2:47" ht="18" customHeight="1" x14ac:dyDescent="0.25">
      <c r="B26" s="253"/>
      <c r="C26" s="116" t="s">
        <v>237</v>
      </c>
      <c r="D26" s="117">
        <f>SUMIFS(CampList[HH],CampList[Township],$C26,CampList[Status],"open",CampList[Affected Population],"IDP")</f>
        <v>1409</v>
      </c>
      <c r="E26" s="117">
        <f>SUMIFS(CampList[Total],CampList[Township],$C26,CampList[Status],"open",CampList[Affected Population],"IDP")</f>
        <v>7181</v>
      </c>
      <c r="F26" s="113">
        <f>COUNTIFS(CampList[Township],$C26,CampList[Status],"open",CampList[Affected Population],"IDP")</f>
        <v>24</v>
      </c>
      <c r="G26" s="107"/>
      <c r="H26" s="77"/>
      <c r="I26" s="108" t="s">
        <v>1010</v>
      </c>
      <c r="J26" s="109" t="s">
        <v>1011</v>
      </c>
      <c r="K26" s="110" t="s">
        <v>590</v>
      </c>
      <c r="L26" s="111" t="s">
        <v>589</v>
      </c>
      <c r="M26" s="120" t="s">
        <v>598</v>
      </c>
      <c r="N26" s="38"/>
      <c r="O26" s="38"/>
      <c r="P26" s="38"/>
      <c r="Q26" s="38"/>
      <c r="R26" s="38"/>
      <c r="S26" s="38"/>
      <c r="T26" s="38"/>
      <c r="U26" s="251"/>
      <c r="Y26"/>
      <c r="Z26"/>
      <c r="AB26"/>
      <c r="AK26" s="19" t="s">
        <v>809</v>
      </c>
      <c r="AL26" s="33">
        <f>SUMIFS(CampList[Total],CampList[Township],$AK26,CampList[Status],"open",CampList[Total],"&lt;=100",CampList[Affected Population],"IDP")</f>
        <v>32</v>
      </c>
      <c r="AM26" s="33">
        <f>SUMIFS(CampList[Total],CampList[Township],$AK26,CampList[Status],"open",CampList[Total],"&gt;100",CampList[Total],"&lt;=1000",CampList[Affected Population],"IDP")</f>
        <v>1200</v>
      </c>
      <c r="AN26" s="33">
        <f>SUMIFS(CampList[Total],CampList[Township],$AK26,CampList[Status],"open",CampList[Total],"&gt;1000",CampList[Total],"&lt;=5000",CampList[Affected Population],"IDP")</f>
        <v>0</v>
      </c>
      <c r="AO26" s="33">
        <f>SUMIFS(CampList[Total],CampList[Township],$AK26,CampList[Status],"open",CampList[Total],"&gt;5000",CampList[Total],"&lt;=100000",CampList[Affected Population],"IDP")</f>
        <v>0</v>
      </c>
      <c r="AP26" s="20">
        <f>AO28+AL28+AM28+AN28</f>
        <v>97631</v>
      </c>
    </row>
    <row r="27" spans="2:47" ht="18" customHeight="1" x14ac:dyDescent="0.25">
      <c r="B27" s="253"/>
      <c r="C27" s="116" t="s">
        <v>289</v>
      </c>
      <c r="D27" s="117">
        <f>SUMIFS(CampList[HH],CampList[Township],$C27,CampList[Status],"open",CampList[Affected Population],"IDP")</f>
        <v>601</v>
      </c>
      <c r="E27" s="117">
        <f>SUMIFS(CampList[Total],CampList[Township],$C27,CampList[Status],"open",CampList[Affected Population],"IDP")</f>
        <v>2805</v>
      </c>
      <c r="F27" s="113">
        <f>COUNTIFS(CampList[Township],$C27,CampList[Status],"open",CampList[Affected Population],"IDP")</f>
        <v>7</v>
      </c>
      <c r="G27" s="107"/>
      <c r="H27" s="77" t="s">
        <v>1005</v>
      </c>
      <c r="I27" s="78">
        <f>AL58</f>
        <v>42</v>
      </c>
      <c r="J27" s="78">
        <f>AM58</f>
        <v>101</v>
      </c>
      <c r="K27" s="78">
        <f>AN58</f>
        <v>22</v>
      </c>
      <c r="L27" s="78">
        <f>AO58</f>
        <v>2</v>
      </c>
      <c r="M27" s="78">
        <f>AP58</f>
        <v>4</v>
      </c>
      <c r="N27" s="232"/>
      <c r="O27" s="1"/>
      <c r="P27" s="1"/>
      <c r="Q27" s="1"/>
      <c r="R27" s="1"/>
      <c r="S27" s="1"/>
      <c r="T27" s="1"/>
      <c r="U27" s="251"/>
      <c r="Y27"/>
      <c r="Z27"/>
      <c r="AB27"/>
      <c r="AK27" s="19" t="s">
        <v>310</v>
      </c>
      <c r="AL27" s="33">
        <f>SUMIFS(CampList[Total],CampList[Township],$AK27,CampList[Status],"open",CampList[Total],"&lt;=100",CampList[Affected Population],"IDP")</f>
        <v>82</v>
      </c>
      <c r="AM27" s="33">
        <f>SUMIFS(CampList[Total],CampList[Township],$AK27,CampList[Status],"open",CampList[Total],"&gt;100",CampList[Total],"&lt;=1000",CampList[Affected Population],"IDP")</f>
        <v>6356</v>
      </c>
      <c r="AN27" s="33">
        <f>SUMIFS(CampList[Total],CampList[Township],$AK27,CampList[Status],"open",CampList[Total],"&gt;1000",CampList[Total],"&lt;=5000",CampList[Affected Population],"IDP")</f>
        <v>10849</v>
      </c>
      <c r="AO27" s="33">
        <f>SUMIFS(CampList[Total],CampList[Township],$AK27,CampList[Status],"open",CampList[Total],"&gt;5000",CampList[Total],"&lt;=100000",CampList[Affected Population],"IDP")</f>
        <v>15187</v>
      </c>
      <c r="AP27" s="23"/>
    </row>
    <row r="28" spans="2:47" ht="18" customHeight="1" x14ac:dyDescent="0.25">
      <c r="B28" s="253"/>
      <c r="C28" s="116" t="s">
        <v>298</v>
      </c>
      <c r="D28" s="117">
        <f>SUMIFS(CampList[HH],CampList[Township],$C28,CampList[Status],"open",CampList[Affected Population],"IDP")</f>
        <v>146</v>
      </c>
      <c r="E28" s="117">
        <f>SUMIFS(CampList[Total],CampList[Township],$C28,CampList[Status],"open",CampList[Affected Population],"IDP")</f>
        <v>639</v>
      </c>
      <c r="F28" s="113">
        <f>COUNTIFS(CampList[Township],$C28,CampList[Status],"open",CampList[Affected Population],"IDP")</f>
        <v>3</v>
      </c>
      <c r="G28" s="107"/>
      <c r="H28" s="77" t="s">
        <v>442</v>
      </c>
      <c r="I28" s="78">
        <f>AL28</f>
        <v>2258</v>
      </c>
      <c r="J28" s="78">
        <f>AM28</f>
        <v>39561</v>
      </c>
      <c r="K28" s="78">
        <f>AN28</f>
        <v>40625</v>
      </c>
      <c r="L28" s="78">
        <f>AO28</f>
        <v>15187</v>
      </c>
      <c r="M28" s="78">
        <f>AP28</f>
        <v>0</v>
      </c>
      <c r="N28" s="232"/>
      <c r="O28" s="1"/>
      <c r="P28" s="1"/>
      <c r="Q28" s="1"/>
      <c r="R28" s="1"/>
      <c r="S28" s="1"/>
      <c r="T28" s="1"/>
      <c r="U28" s="251"/>
      <c r="X28"/>
      <c r="Y28"/>
      <c r="Z28"/>
      <c r="AB28"/>
      <c r="AK28" s="25" t="s">
        <v>3</v>
      </c>
      <c r="AL28" s="49">
        <f>SUM(AL7:AL27)</f>
        <v>2258</v>
      </c>
      <c r="AM28" s="49">
        <f>SUM(AM7:AM27)</f>
        <v>39561</v>
      </c>
      <c r="AN28" s="49">
        <f>SUM(AN7:AN27)</f>
        <v>40625</v>
      </c>
      <c r="AO28" s="49">
        <f>SUM(AO7:AO27)</f>
        <v>15187</v>
      </c>
      <c r="AP28" s="18"/>
      <c r="AQ28" s="23"/>
    </row>
    <row r="29" spans="2:47" ht="18" customHeight="1" x14ac:dyDescent="0.25">
      <c r="B29" s="253"/>
      <c r="C29" s="116" t="s">
        <v>300</v>
      </c>
      <c r="D29" s="117">
        <f>SUMIFS(CampList[HH],CampList[Township],$C29,CampList[Status],"open",CampList[Affected Population],"IDP")</f>
        <v>83</v>
      </c>
      <c r="E29" s="117">
        <f>SUMIFS(CampList[Total],CampList[Township],$C29,CampList[Status],"open",CampList[Affected Population],"IDP")</f>
        <v>490</v>
      </c>
      <c r="F29" s="113">
        <f>COUNTIFS(CampList[Township],$C29,CampList[Status],"open",CampList[Affected Population],"IDP")</f>
        <v>3</v>
      </c>
      <c r="G29" s="107"/>
      <c r="N29" s="232"/>
      <c r="O29" s="1"/>
      <c r="P29" s="1"/>
      <c r="Q29" s="1"/>
      <c r="R29" s="1"/>
      <c r="S29" s="1"/>
      <c r="T29" s="1"/>
      <c r="U29" s="251"/>
      <c r="X29"/>
      <c r="Y29"/>
      <c r="Z29"/>
      <c r="AB29"/>
      <c r="AK29" s="19" t="s">
        <v>444</v>
      </c>
      <c r="AL29" s="26">
        <f>AL28/$AP$26</f>
        <v>2.3127899949811022E-2</v>
      </c>
      <c r="AM29" s="26">
        <f>AM28/$AP$26</f>
        <v>0.405209410945294</v>
      </c>
      <c r="AN29" s="26">
        <f>AN28/$AP$26</f>
        <v>0.41610758877815446</v>
      </c>
      <c r="AO29" s="26">
        <f>AO28/$AP$26</f>
        <v>0.15555510032674047</v>
      </c>
      <c r="AP29" s="22"/>
      <c r="AQ29" s="23"/>
    </row>
    <row r="30" spans="2:47" ht="18" customHeight="1" thickBot="1" x14ac:dyDescent="0.3">
      <c r="B30" s="253"/>
      <c r="C30" s="116" t="s">
        <v>302</v>
      </c>
      <c r="D30" s="117">
        <f>SUMIFS(CampList[HH],CampList[Township],$C30,CampList[Status],"open",CampList[Affected Population],"IDP")</f>
        <v>511</v>
      </c>
      <c r="E30" s="117">
        <f>SUMIFS(CampList[Total],CampList[Township],$C30,CampList[Status],"open",CampList[Affected Population],"IDP")</f>
        <v>2186</v>
      </c>
      <c r="F30" s="113">
        <f>COUNTIFS(CampList[Township],$C30,CampList[Status],"open",CampList[Affected Population],"IDP")</f>
        <v>4</v>
      </c>
      <c r="G30" s="107"/>
      <c r="H30" s="219"/>
      <c r="I30" s="38"/>
      <c r="J30" s="38"/>
      <c r="K30" s="38"/>
      <c r="L30" s="38"/>
      <c r="M30" s="38"/>
      <c r="N30" s="232"/>
      <c r="O30" s="38"/>
      <c r="P30" s="38"/>
      <c r="Q30" s="38"/>
      <c r="R30" s="38"/>
      <c r="S30" s="38"/>
      <c r="T30" s="38"/>
      <c r="U30" s="251"/>
      <c r="X30"/>
      <c r="Y30"/>
      <c r="Z30"/>
      <c r="AB30"/>
      <c r="AO30" s="32"/>
      <c r="AP30" s="22"/>
      <c r="AQ30" s="23"/>
    </row>
    <row r="31" spans="2:47" ht="18" customHeight="1" x14ac:dyDescent="0.25">
      <c r="B31" s="253"/>
      <c r="C31" s="116" t="s">
        <v>809</v>
      </c>
      <c r="D31" s="117">
        <f>SUMIFS(CampList[HH],CampList[Township],$C31,CampList[Status],"open",CampList[Affected Population],"IDP")</f>
        <v>166</v>
      </c>
      <c r="E31" s="117">
        <f>SUMIFS(CampList[Total],CampList[Township],$C31,CampList[Status],"open",CampList[Affected Population],"IDP")</f>
        <v>1232</v>
      </c>
      <c r="F31" s="113">
        <f>COUNTIFS(CampList[Township],$C31,CampList[Status],"open",CampList[Affected Population],"IDP")</f>
        <v>3</v>
      </c>
      <c r="G31" s="107"/>
      <c r="H31" s="220"/>
      <c r="I31" s="221" t="s">
        <v>1180</v>
      </c>
      <c r="J31" s="222" t="s">
        <v>1220</v>
      </c>
      <c r="K31" s="38"/>
      <c r="L31" s="38"/>
      <c r="M31" s="38"/>
      <c r="N31" s="38"/>
      <c r="O31" s="38"/>
      <c r="P31" s="38"/>
      <c r="Q31" s="38"/>
      <c r="R31" s="38"/>
      <c r="S31" s="38"/>
      <c r="T31" s="38"/>
      <c r="U31" s="251"/>
      <c r="X31"/>
      <c r="Y31"/>
      <c r="Z31"/>
      <c r="AB31"/>
      <c r="AK31" s="32"/>
      <c r="AL31" s="32"/>
      <c r="AM31" s="32"/>
      <c r="AN31" s="32"/>
      <c r="AO31" s="32"/>
      <c r="AP31" s="22"/>
      <c r="AQ31" s="23"/>
    </row>
    <row r="32" spans="2:47" s="394" customFormat="1" ht="18" customHeight="1" x14ac:dyDescent="0.25">
      <c r="B32" s="253"/>
      <c r="C32" s="116" t="s">
        <v>1544</v>
      </c>
      <c r="D32" s="117">
        <f>SUMIFS(CampList[HH],CampList[Township],$C32,CampList[Status],"open",CampList[Affected Population],"IDP")</f>
        <v>6</v>
      </c>
      <c r="E32" s="117">
        <f>SUMIFS(CampList[Total],CampList[Township],$C32,CampList[Status],"open",CampList[Affected Population],"IDP")</f>
        <v>9</v>
      </c>
      <c r="F32" s="113">
        <f>COUNTIFS(CampList[Township],$C32,CampList[Status],"open",CampList[Affected Population],"IDP")</f>
        <v>1</v>
      </c>
      <c r="G32" s="107"/>
      <c r="H32" s="223" t="s">
        <v>1214</v>
      </c>
      <c r="I32" s="224">
        <f ca="1">SUMIFS(CampList[Total],CampList[Status],"open",CampList[Affected Population],"IDP",CampList[Distance_Cat],1)</f>
        <v>38557</v>
      </c>
      <c r="J32" s="225">
        <f ca="1">COUNTIFS(CampList[Status],"open",CampList[Affected Population],"IDP",CampList[Distance_Cat],1)</f>
        <v>89</v>
      </c>
      <c r="K32" s="38"/>
      <c r="L32" s="38"/>
      <c r="M32" s="38"/>
      <c r="N32" s="38"/>
      <c r="O32" s="38"/>
      <c r="P32" s="38"/>
      <c r="Q32" s="38"/>
      <c r="R32" s="38"/>
      <c r="S32" s="38"/>
      <c r="T32" s="38"/>
      <c r="U32" s="251"/>
      <c r="AP32" s="22"/>
      <c r="AQ32" s="23"/>
    </row>
    <row r="33" spans="1:47" s="76" customFormat="1" ht="18" customHeight="1" x14ac:dyDescent="0.25">
      <c r="A33" s="122"/>
      <c r="B33" s="253"/>
      <c r="C33" s="116" t="s">
        <v>310</v>
      </c>
      <c r="D33" s="117">
        <f>SUMIFS(CampList[HH],CampList[Township],$C33,CampList[Status],"open",CampList[Affected Population],"IDP")</f>
        <v>6298</v>
      </c>
      <c r="E33" s="117">
        <f>SUMIFS(CampList[Total],CampList[Township],$C33,CampList[Status],"open",CampList[Affected Population],"IDP")</f>
        <v>32474</v>
      </c>
      <c r="F33" s="113">
        <f>COUNTIFS(CampList[Township],$C33,CampList[Status],"open",CampList[Affected Population],"IDP")</f>
        <v>23</v>
      </c>
      <c r="G33" s="107"/>
      <c r="H33" s="223" t="s">
        <v>1215</v>
      </c>
      <c r="I33" s="224">
        <f ca="1">SUMIFS(CampList[Total],CampList[Status],"open",CampList[Affected Population],"IDP",CampList[Distance_Cat],2)</f>
        <v>22736</v>
      </c>
      <c r="J33" s="225">
        <f ca="1">COUNTIFS(CampList[Status],"open",CampList[Affected Population],"IDP",CampList[Distance_Cat],2)</f>
        <v>22</v>
      </c>
      <c r="K33" s="38"/>
      <c r="L33" s="38"/>
      <c r="M33" s="38"/>
      <c r="N33" s="38"/>
      <c r="O33" s="38"/>
      <c r="P33" s="38"/>
      <c r="Q33" s="38"/>
      <c r="R33" s="38"/>
      <c r="S33" s="38"/>
      <c r="T33" s="38"/>
      <c r="U33" s="251"/>
      <c r="X33"/>
      <c r="Y33"/>
      <c r="Z33"/>
      <c r="AB33"/>
      <c r="AK33" s="32"/>
      <c r="AL33" s="32"/>
      <c r="AM33" s="32"/>
      <c r="AN33" s="32"/>
      <c r="AO33" s="32"/>
      <c r="AP33" s="22"/>
      <c r="AQ33" s="23"/>
      <c r="AR33" s="122"/>
      <c r="AS33" s="122"/>
      <c r="AT33" s="122"/>
      <c r="AU33" s="122"/>
    </row>
    <row r="34" spans="1:47" ht="18" customHeight="1" x14ac:dyDescent="0.25">
      <c r="B34" s="253"/>
      <c r="C34" s="118" t="s">
        <v>3</v>
      </c>
      <c r="D34" s="119">
        <f>SUM(D11:D33)</f>
        <v>19537</v>
      </c>
      <c r="E34" s="119">
        <f>SUM(E11:E33)</f>
        <v>97640</v>
      </c>
      <c r="F34" s="75">
        <f>SUM(F11:F33)</f>
        <v>172</v>
      </c>
      <c r="G34" s="107"/>
      <c r="H34" s="223" t="s">
        <v>1216</v>
      </c>
      <c r="I34" s="224">
        <f ca="1">SUMIFS(CampList[Total],CampList[Status],"open",CampList[Affected Population],"IDP",CampList[Distance_Cat],3)</f>
        <v>8081</v>
      </c>
      <c r="J34" s="225">
        <f ca="1">COUNTIFS(CampList[Status],"open",CampList[Affected Population],"IDP",CampList[Distance_Cat],3)</f>
        <v>13</v>
      </c>
      <c r="K34" s="38"/>
      <c r="L34" s="38"/>
      <c r="M34" s="38"/>
      <c r="N34" s="38"/>
      <c r="O34" s="38"/>
      <c r="P34" s="38"/>
      <c r="Q34" s="38"/>
      <c r="R34" s="38"/>
      <c r="S34" s="38"/>
      <c r="T34" s="38"/>
      <c r="U34" s="251"/>
      <c r="Z34"/>
      <c r="AB34"/>
      <c r="AK34" s="32"/>
      <c r="AL34" s="32"/>
      <c r="AM34" s="32"/>
      <c r="AN34" s="32"/>
      <c r="AO34" s="32"/>
      <c r="AP34" s="25"/>
      <c r="AQ34" s="23"/>
      <c r="AR34" s="122"/>
      <c r="AS34" s="122"/>
      <c r="AT34" s="122"/>
      <c r="AU34" s="122"/>
    </row>
    <row r="35" spans="1:47" ht="19.5" customHeight="1" x14ac:dyDescent="0.25">
      <c r="B35" s="253"/>
      <c r="C35" s="232"/>
      <c r="D35" s="232"/>
      <c r="E35" s="232"/>
      <c r="F35" s="232"/>
      <c r="G35" s="1"/>
      <c r="H35" s="223" t="s">
        <v>1217</v>
      </c>
      <c r="I35" s="224">
        <f ca="1">SUMIFS(CampList[Total],CampList[Status],"open",CampList[Affected Population],"IDP",CampList[Distance_Cat],4)</f>
        <v>9472</v>
      </c>
      <c r="J35" s="225">
        <f ca="1">COUNTIFS(CampList[Status],"open",CampList[Affected Population],"IDP",CampList[Distance_Cat],4)</f>
        <v>13</v>
      </c>
      <c r="K35" s="38"/>
      <c r="L35" s="38"/>
      <c r="M35" s="38"/>
      <c r="N35" s="38"/>
      <c r="O35" s="38"/>
      <c r="P35" s="38"/>
      <c r="Q35" s="38"/>
      <c r="R35" s="38"/>
      <c r="S35" s="38"/>
      <c r="T35" s="38"/>
      <c r="U35" s="251"/>
      <c r="Z35"/>
      <c r="AB35"/>
      <c r="AJ35" s="32"/>
      <c r="AK35" s="32"/>
      <c r="AL35" s="11" t="s">
        <v>443</v>
      </c>
      <c r="AM35" s="11"/>
      <c r="AN35" s="11"/>
      <c r="AO35" s="32"/>
      <c r="AP35" s="25" t="s">
        <v>598</v>
      </c>
      <c r="AQ35" s="23">
        <f>SUM(AM35:AP35)</f>
        <v>0</v>
      </c>
      <c r="AR35" s="122"/>
      <c r="AS35" s="122"/>
      <c r="AT35" s="122"/>
      <c r="AU35" s="122"/>
    </row>
    <row r="36" spans="1:47" ht="18" customHeight="1" x14ac:dyDescent="0.25">
      <c r="B36" s="253"/>
      <c r="C36" s="77"/>
      <c r="D36" s="77" t="s">
        <v>512</v>
      </c>
      <c r="E36" s="77" t="s">
        <v>514</v>
      </c>
      <c r="F36" s="77" t="s">
        <v>3</v>
      </c>
      <c r="G36" s="1"/>
      <c r="H36" s="223" t="s">
        <v>1218</v>
      </c>
      <c r="I36" s="224">
        <f ca="1">SUMIFS(CampList[Total],CampList[Status],"open",CampList[Affected Population],"IDP",CampList[Distance_Cat],5)</f>
        <v>4381</v>
      </c>
      <c r="J36" s="225">
        <f ca="1">COUNTIFS(CampList[Status],"open",CampList[Affected Population],"IDP",CampList[Distance_Cat],5)</f>
        <v>7</v>
      </c>
      <c r="K36" s="38"/>
      <c r="L36" s="38"/>
      <c r="M36" s="38"/>
      <c r="N36" s="38"/>
      <c r="O36" s="38"/>
      <c r="P36" s="38"/>
      <c r="Q36" s="38"/>
      <c r="R36" s="38"/>
      <c r="S36" s="38"/>
      <c r="T36" s="38"/>
      <c r="U36" s="251"/>
      <c r="Z36"/>
      <c r="AB36"/>
      <c r="AJ36" s="32"/>
      <c r="AK36" s="19" t="s">
        <v>0</v>
      </c>
      <c r="AL36" s="64" t="s">
        <v>1010</v>
      </c>
      <c r="AM36" s="25" t="s">
        <v>1011</v>
      </c>
      <c r="AN36" s="25" t="s">
        <v>588</v>
      </c>
      <c r="AO36" s="25" t="s">
        <v>589</v>
      </c>
      <c r="AP36" s="25" t="s">
        <v>598</v>
      </c>
      <c r="AQ36" s="23">
        <f>SUM(AL36:AP36)</f>
        <v>0</v>
      </c>
      <c r="AR36" s="122"/>
      <c r="AS36" s="122"/>
      <c r="AT36" s="122"/>
      <c r="AU36" s="122"/>
    </row>
    <row r="37" spans="1:47" s="76" customFormat="1" ht="17.25" customHeight="1" x14ac:dyDescent="0.25">
      <c r="A37" s="122"/>
      <c r="B37" s="253"/>
      <c r="C37" s="77" t="s">
        <v>555</v>
      </c>
      <c r="D37" s="106">
        <f>GETPIVOTDATA("Total",Stat01,"Accessibility",D$36,"Type of Accomodation",$C37)</f>
        <v>51078</v>
      </c>
      <c r="E37" s="106">
        <f>GETPIVOTDATA("Total",Stat01,"Accessibility",E$36,"Type of Accomodation",$C37)</f>
        <v>38072</v>
      </c>
      <c r="F37" s="106">
        <f>SUM(D37:E37)</f>
        <v>89150</v>
      </c>
      <c r="G37" s="1"/>
      <c r="H37" s="223" t="s">
        <v>1219</v>
      </c>
      <c r="I37" s="224">
        <f ca="1">SUMIFS(CampList[Total],CampList[Status],"open",CampList[Affected Population],"IDP",CampList[Distance_Cat],6)</f>
        <v>2591</v>
      </c>
      <c r="J37" s="225">
        <f ca="1">COUNTIFS(CampList[Status],"open",CampList[Affected Population],"IDP",CampList[Distance_Cat],6)</f>
        <v>2</v>
      </c>
      <c r="K37" s="38"/>
      <c r="L37" s="38"/>
      <c r="M37" s="38"/>
      <c r="N37" s="38"/>
      <c r="O37" s="38"/>
      <c r="P37" s="38"/>
      <c r="Q37" s="38"/>
      <c r="R37" s="38"/>
      <c r="S37" s="38"/>
      <c r="T37" s="38"/>
      <c r="U37" s="251"/>
      <c r="Z37"/>
      <c r="AB37"/>
      <c r="AK37" s="19" t="s">
        <v>5</v>
      </c>
      <c r="AL37" s="33">
        <f>COUNTIFS(CampList[Township],$AK37,CampList[Status],"open",CampList[Total],"&lt;=100",CampList[Affected Population],"IDP")</f>
        <v>4</v>
      </c>
      <c r="AM37" s="33">
        <f>COUNTIFS(CampList[Township],$AK37,CampList[Status],"open",CampList[Total],"&gt;100",CampList[Total],"&lt;=1000",CampList[Affected Population],"IDP")</f>
        <v>5</v>
      </c>
      <c r="AN37" s="33">
        <f>COUNTIFS(CampList[Township],$AK37,CampList[Status],"open",CampList[Total],"&gt;1000",CampList[Total],"&lt;=5000",CampList[Affected Population],"IDP")</f>
        <v>2</v>
      </c>
      <c r="AO37" s="33">
        <f>COUNTIFS(CampList[Township],$AK37,CampList[Status],"open",CampList[Total],"&gt;5000",CampList[Total],"&lt;=100000",CampList[Affected Population],"IDP")</f>
        <v>0</v>
      </c>
      <c r="AP37" s="25">
        <f>COUNTIFS(CampList[Township],$AK38,CampList[Status],"open",CampList[Total],"",CampList[Affected Population],"IDP")</f>
        <v>1</v>
      </c>
      <c r="AQ37" s="204">
        <f>SUM(AL37:AP37)</f>
        <v>12</v>
      </c>
      <c r="AR37" s="122"/>
      <c r="AS37" s="122"/>
      <c r="AT37" s="122"/>
      <c r="AU37" s="122"/>
    </row>
    <row r="38" spans="1:47" ht="17.25" customHeight="1" x14ac:dyDescent="0.25">
      <c r="B38" s="253"/>
      <c r="C38" s="77" t="s">
        <v>12</v>
      </c>
      <c r="D38" s="106">
        <f>GETPIVOTDATA("Total",Stat01,"Accessibility",D$36,"Type of Accomodation",$C38)</f>
        <v>4612</v>
      </c>
      <c r="E38" s="106">
        <f>GETPIVOTDATA("Total",Stat01,"Accessibility",E$36,"Type of Accomodation",$C38)</f>
        <v>2773</v>
      </c>
      <c r="F38" s="106">
        <f>SUM(D38:E38)</f>
        <v>7385</v>
      </c>
      <c r="G38" s="1"/>
      <c r="H38" s="223" t="s">
        <v>1243</v>
      </c>
      <c r="I38" s="224">
        <f ca="1">SUMIFS(CampList[Total],CampList[Status],"open",CampList[Affected Population],"IDP",CampList[Distance_Cat],"&gt;6")</f>
        <v>3177</v>
      </c>
      <c r="J38" s="225">
        <f ca="1">COUNTIFS(CampList[Status],"open",CampList[Affected Population],"IDP",CampList[Distance_Cat],"&gt;6")</f>
        <v>2</v>
      </c>
      <c r="K38" s="38"/>
      <c r="L38" s="38"/>
      <c r="M38" s="38"/>
      <c r="N38" s="38"/>
      <c r="O38" s="38"/>
      <c r="P38" s="38"/>
      <c r="Q38" s="38"/>
      <c r="R38" s="38"/>
      <c r="S38" s="38"/>
      <c r="T38" s="38"/>
      <c r="U38" s="251"/>
      <c r="Z38"/>
      <c r="AB38"/>
      <c r="AJ38" s="32"/>
      <c r="AK38" s="19" t="s">
        <v>27</v>
      </c>
      <c r="AL38" s="33">
        <f>COUNTIFS(CampList[Township],$AK38,CampList[Status],"open",CampList[Total],"&lt;=100",CampList[Affected Population],"IDP")</f>
        <v>0</v>
      </c>
      <c r="AM38" s="33">
        <f>COUNTIFS(CampList[Township],$AK38,CampList[Status],"open",CampList[Total],"&gt;100",CampList[Total],"&lt;=1000",CampList[Affected Population],"IDP")</f>
        <v>4</v>
      </c>
      <c r="AN38" s="33">
        <f>COUNTIFS(CampList[Township],$AK38,CampList[Status],"open",CampList[Total],"&gt;1000",CampList[Total],"&lt;=5000",CampList[Affected Population],"IDP")</f>
        <v>1</v>
      </c>
      <c r="AO38" s="33">
        <f>COUNTIFS(CampList[Township],$AK38,CampList[Status],"open",CampList[Total],"&gt;5000",CampList[Total],"&lt;=100000",CampList[Affected Population],"IDP")</f>
        <v>0</v>
      </c>
      <c r="AP38" s="25">
        <f>COUNTIFS(CampList[Township],$AK39,CampList[Status],"open",CampList[Total],"",CampList[Affected Population],"IDP")</f>
        <v>0</v>
      </c>
      <c r="AQ38" s="204">
        <f t="shared" ref="AQ38:AQ42" si="0">SUM(AL38:AP38)</f>
        <v>5</v>
      </c>
      <c r="AR38" s="122"/>
      <c r="AS38" s="122"/>
      <c r="AT38" s="122"/>
      <c r="AU38" s="122"/>
    </row>
    <row r="39" spans="1:47" s="122" customFormat="1" ht="17.25" customHeight="1" x14ac:dyDescent="0.25">
      <c r="B39" s="253"/>
      <c r="C39" s="77" t="s">
        <v>988</v>
      </c>
      <c r="D39" s="106">
        <f>GETPIVOTDATA("Total",Stat01,"Accessibility",D$36,"Type of Accomodation",$C39)</f>
        <v>49</v>
      </c>
      <c r="E39" s="106">
        <f>GETPIVOTDATA("Total",Stat01,"Accessibility",E$36,"Type of Accomodation",$C39)</f>
        <v>1047</v>
      </c>
      <c r="F39" s="106">
        <f>SUM(D39:E39)</f>
        <v>1096</v>
      </c>
      <c r="G39" s="1"/>
      <c r="H39" s="603" t="s">
        <v>1389</v>
      </c>
      <c r="I39" s="224">
        <f ca="1">SUMIFS(CampList[Total],CampList[Status],"open",CampList[Affected Population],"IDP",CampList[Distance_Cat],"")</f>
        <v>8645</v>
      </c>
      <c r="J39" s="225">
        <f ca="1">COUNTIFS(CampList[Status],"open",CampList[Affected Population],"IDP",CampList[Distance_Cat],"")</f>
        <v>24</v>
      </c>
      <c r="K39" s="38"/>
      <c r="L39" s="38"/>
      <c r="M39" s="38"/>
      <c r="N39" s="38"/>
      <c r="O39" s="38"/>
      <c r="P39" s="38"/>
      <c r="Q39" s="38"/>
      <c r="R39" s="38"/>
      <c r="S39" s="38"/>
      <c r="T39" s="38"/>
      <c r="U39" s="251"/>
      <c r="Z39"/>
      <c r="AB39"/>
      <c r="AK39" s="19" t="s">
        <v>528</v>
      </c>
      <c r="AL39" s="33">
        <f>COUNTIFS(CampList[Township],$AK39,CampList[Status],"open",CampList[Total],"&lt;=100",CampList[Affected Population],"IDP")</f>
        <v>10</v>
      </c>
      <c r="AM39" s="33">
        <f>COUNTIFS(CampList[Township],$AK39,CampList[Status],"open",CampList[Total],"&gt;100",CampList[Total],"&lt;=1000",CampList[Affected Population],"IDP")</f>
        <v>10</v>
      </c>
      <c r="AN39" s="33">
        <f>COUNTIFS(CampList[Township],$AK39,CampList[Status],"open",CampList[Total],"&gt;1000",CampList[Total],"&lt;=5000",CampList[Affected Population],"IDP")</f>
        <v>0</v>
      </c>
      <c r="AO39" s="33">
        <f>COUNTIFS(CampList[Township],$AK39,CampList[Status],"open",CampList[Total],"&gt;5000",CampList[Total],"&lt;=100000",CampList[Affected Population],"IDP")</f>
        <v>0</v>
      </c>
      <c r="AP39" s="25">
        <f>COUNTIFS(CampList[Township],$AK40,CampList[Status],"open",CampList[Total],"",CampList[Affected Population],"IDP")</f>
        <v>0</v>
      </c>
      <c r="AQ39" s="204">
        <f t="shared" si="0"/>
        <v>20</v>
      </c>
    </row>
    <row r="40" spans="1:47" s="76" customFormat="1" ht="17.25" customHeight="1" thickBot="1" x14ac:dyDescent="0.3">
      <c r="A40" s="122"/>
      <c r="B40" s="253"/>
      <c r="C40" s="77" t="s">
        <v>3</v>
      </c>
      <c r="D40" s="106">
        <f t="shared" ref="D40:E40" si="1">SUM(D37:D39)</f>
        <v>55739</v>
      </c>
      <c r="E40" s="106">
        <f t="shared" si="1"/>
        <v>41892</v>
      </c>
      <c r="F40" s="106">
        <f>SUM(F37:F39)</f>
        <v>97631</v>
      </c>
      <c r="G40" s="1"/>
      <c r="H40" s="226" t="s">
        <v>3</v>
      </c>
      <c r="I40" s="227">
        <f ca="1">SUM(I32:I39)</f>
        <v>97640</v>
      </c>
      <c r="J40" s="228">
        <f ca="1">SUM(J32:J39)</f>
        <v>172</v>
      </c>
      <c r="K40" s="38"/>
      <c r="L40" s="38"/>
      <c r="M40" s="38"/>
      <c r="N40" s="38"/>
      <c r="O40" s="38"/>
      <c r="P40" s="38"/>
      <c r="Q40" s="38"/>
      <c r="R40" s="38"/>
      <c r="S40" s="38"/>
      <c r="T40" s="38"/>
      <c r="U40" s="251"/>
      <c r="Z40"/>
      <c r="AB40"/>
      <c r="AK40" s="19" t="s">
        <v>780</v>
      </c>
      <c r="AL40" s="33">
        <f>COUNTIFS(CampList[Township],$AK40,CampList[Status],"open",CampList[Total],"&lt;=100",CampList[Affected Population],"IDP")</f>
        <v>1</v>
      </c>
      <c r="AM40" s="33">
        <f>COUNTIFS(CampList[Township],$AK40,CampList[Status],"open",CampList[Total],"&gt;100",CampList[Total],"&lt;=1000",CampList[Affected Population],"IDP")</f>
        <v>2</v>
      </c>
      <c r="AN40" s="33">
        <f>COUNTIFS(CampList[Township],$AK40,CampList[Status],"open",CampList[Total],"&gt;1000",CampList[Total],"&lt;=5000",CampList[Affected Population],"IDP")</f>
        <v>0</v>
      </c>
      <c r="AO40" s="33">
        <f>COUNTIFS(CampList[Township],$AK40,CampList[Status],"open",CampList[Total],"&gt;5000",CampList[Total],"&lt;=100000",CampList[Affected Population],"IDP")</f>
        <v>0</v>
      </c>
      <c r="AP40" s="25">
        <f>COUNTIFS(CampList[Township],$AK41,CampList[Status],"open",CampList[Total],"",CampList[Affected Population],"IDP")</f>
        <v>0</v>
      </c>
      <c r="AQ40" s="204">
        <f t="shared" si="0"/>
        <v>3</v>
      </c>
      <c r="AR40" s="122"/>
      <c r="AS40" s="122"/>
      <c r="AT40" s="122"/>
      <c r="AU40" s="122"/>
    </row>
    <row r="41" spans="1:47" s="122" customFormat="1" ht="2.25" customHeight="1" x14ac:dyDescent="0.25">
      <c r="B41" s="253"/>
      <c r="G41" s="1"/>
      <c r="K41" s="38"/>
      <c r="L41" s="38"/>
      <c r="M41" s="38"/>
      <c r="N41" s="38"/>
      <c r="O41" s="38"/>
      <c r="P41" s="38"/>
      <c r="Q41" s="38"/>
      <c r="R41" s="38"/>
      <c r="S41" s="38"/>
      <c r="T41" s="38"/>
      <c r="U41" s="251"/>
      <c r="AK41" s="19" t="s">
        <v>363</v>
      </c>
      <c r="AL41" s="33">
        <f>COUNTIFS(CampList[Township],$AK41,CampList[Status],"open",CampList[Total],"&lt;=100",CampList[Affected Population],"IDP")</f>
        <v>0</v>
      </c>
      <c r="AM41" s="33">
        <f>COUNTIFS(CampList[Township],$AK41,CampList[Status],"open",CampList[Total],"&gt;100",CampList[Total],"&lt;=1000",CampList[Affected Population],"IDP")</f>
        <v>0</v>
      </c>
      <c r="AN41" s="33">
        <f>COUNTIFS(CampList[Township],$AK41,CampList[Status],"open",CampList[Total],"&gt;1000",CampList[Total],"&lt;=5000",CampList[Affected Population],"IDP")</f>
        <v>0</v>
      </c>
      <c r="AO41" s="33">
        <f>COUNTIFS(CampList[Township],$AK41,CampList[Status],"open",CampList[Total],"&gt;5000",CampList[Total],"&lt;=100000",CampList[Affected Population],"IDP")</f>
        <v>0</v>
      </c>
      <c r="AP41" s="25">
        <f>COUNTIFS(CampList[Township],$AK42,CampList[Status],"open",CampList[Total],"",CampList[Affected Population],"IDP")</f>
        <v>0</v>
      </c>
      <c r="AQ41" s="204">
        <f t="shared" si="0"/>
        <v>0</v>
      </c>
    </row>
    <row r="42" spans="1:47" ht="9" customHeight="1" x14ac:dyDescent="0.25">
      <c r="B42" s="253"/>
      <c r="C42" s="1"/>
      <c r="D42" s="1"/>
      <c r="E42" s="1"/>
      <c r="F42" s="1"/>
      <c r="G42" s="1"/>
      <c r="H42" s="38"/>
      <c r="I42" s="38"/>
      <c r="J42" s="38"/>
      <c r="K42" s="38"/>
      <c r="L42" s="38"/>
      <c r="M42" s="38"/>
      <c r="N42" s="38"/>
      <c r="O42" s="38"/>
      <c r="P42" s="38"/>
      <c r="Q42" s="38"/>
      <c r="R42" s="38"/>
      <c r="S42" s="38"/>
      <c r="T42" s="38"/>
      <c r="U42" s="251"/>
      <c r="Z42"/>
      <c r="AB42"/>
      <c r="AK42" s="19" t="s">
        <v>144</v>
      </c>
      <c r="AL42" s="33">
        <f>COUNTIFS(CampList[Township],$AK42,CampList[Status],"open",CampList[Total],"&lt;=100",CampList[Affected Population],"IDP")</f>
        <v>1</v>
      </c>
      <c r="AM42" s="33">
        <f>COUNTIFS(CampList[Township],$AK42,CampList[Status],"open",CampList[Total],"&gt;100",CampList[Total],"&lt;=1000",CampList[Affected Population],"IDP")</f>
        <v>0</v>
      </c>
      <c r="AN42" s="33">
        <f>COUNTIFS(CampList[Township],$AK42,CampList[Status],"open",CampList[Total],"&gt;1000",CampList[Total],"&lt;=5000",CampList[Affected Population],"IDP")</f>
        <v>0</v>
      </c>
      <c r="AO42" s="33">
        <f>COUNTIFS(CampList[Township],$AK42,CampList[Status],"open",CampList[Total],"&gt;5000",CampList[Total],"&lt;=100000",CampList[Affected Population],"IDP")</f>
        <v>0</v>
      </c>
      <c r="AP42" s="25">
        <f>COUNTIFS(CampList[Township],$AK43,CampList[Status],"open",CampList[Total],"",CampList[Affected Population],"IDP")</f>
        <v>0</v>
      </c>
      <c r="AQ42" s="204">
        <f t="shared" si="0"/>
        <v>1</v>
      </c>
      <c r="AR42" s="122"/>
      <c r="AS42" s="122"/>
      <c r="AT42" s="122"/>
      <c r="AU42" s="122"/>
    </row>
    <row r="43" spans="1:47" s="394" customFormat="1" ht="12" customHeight="1" x14ac:dyDescent="0.25">
      <c r="B43" s="253"/>
      <c r="C43" s="395"/>
      <c r="D43" s="395"/>
      <c r="E43" s="395"/>
      <c r="F43" s="395"/>
      <c r="G43" s="395"/>
      <c r="H43" s="38"/>
      <c r="I43" s="38"/>
      <c r="J43" s="38"/>
      <c r="K43" s="38"/>
      <c r="L43" s="38"/>
      <c r="M43" s="38"/>
      <c r="N43" s="38"/>
      <c r="O43" s="38"/>
      <c r="P43" s="38"/>
      <c r="Q43" s="38"/>
      <c r="R43" s="38"/>
      <c r="S43" s="38"/>
      <c r="T43" s="38"/>
      <c r="U43" s="251"/>
      <c r="AK43" s="19" t="s">
        <v>146</v>
      </c>
      <c r="AL43" s="33">
        <f>COUNTIFS(CampList[Township],$AK43,CampList[Status],"open",CampList[Total],"&lt;=100",CampList[Affected Population],"IDP")</f>
        <v>0</v>
      </c>
      <c r="AM43" s="33">
        <f>COUNTIFS(CampList[Township],$AK43,CampList[Status],"open",CampList[Total],"&gt;100",CampList[Total],"&lt;=1000",CampList[Affected Population],"IDP")</f>
        <v>12</v>
      </c>
      <c r="AN43" s="33">
        <f>COUNTIFS(CampList[Township],$AK43,CampList[Status],"open",CampList[Total],"&gt;1000",CampList[Total],"&lt;=5000",CampList[Affected Population],"IDP")</f>
        <v>0</v>
      </c>
      <c r="AO43" s="33">
        <f>COUNTIFS(CampList[Township],$AK43,CampList[Status],"open",CampList[Total],"&gt;5000",CampList[Total],"&lt;=100000",CampList[Affected Population],"IDP")</f>
        <v>0</v>
      </c>
      <c r="AP43" s="25">
        <f>COUNTIFS(CampList[Township],$AK44,CampList[Status],"open",CampList[Total],"",CampList[Affected Population],"IDP")</f>
        <v>0</v>
      </c>
      <c r="AQ43" s="204"/>
    </row>
    <row r="44" spans="1:47" ht="6.75" customHeight="1" x14ac:dyDescent="0.25">
      <c r="B44" s="253"/>
      <c r="C44" s="1"/>
      <c r="D44" s="1"/>
      <c r="E44" s="1"/>
      <c r="F44" s="1"/>
      <c r="G44" s="1"/>
      <c r="H44" s="38"/>
      <c r="I44" s="38"/>
      <c r="J44" s="38"/>
      <c r="K44" s="38"/>
      <c r="L44" s="38"/>
      <c r="M44" s="38"/>
      <c r="N44" s="38"/>
      <c r="O44" s="38"/>
      <c r="P44" s="38"/>
      <c r="Q44" s="38"/>
      <c r="R44" s="38"/>
      <c r="S44" s="38"/>
      <c r="T44" s="38"/>
      <c r="U44" s="251"/>
      <c r="X44"/>
      <c r="Y44"/>
      <c r="Z44"/>
      <c r="AB44"/>
      <c r="AK44" s="19" t="s">
        <v>894</v>
      </c>
      <c r="AL44" s="33">
        <f>COUNTIFS(CampList[Township],$AK44,CampList[Status],"open",CampList[Total],"&lt;=100",CampList[Affected Population],"IDP")</f>
        <v>0</v>
      </c>
      <c r="AM44" s="33">
        <f>COUNTIFS(CampList[Township],$AK44,CampList[Status],"open",CampList[Total],"&gt;100",CampList[Total],"&lt;=1000",CampList[Affected Population],"IDP")</f>
        <v>0</v>
      </c>
      <c r="AN44" s="33">
        <f>COUNTIFS(CampList[Township],$AK44,CampList[Status],"open",CampList[Total],"&gt;1000",CampList[Total],"&lt;=5000",CampList[Affected Population],"IDP")</f>
        <v>0</v>
      </c>
      <c r="AO44" s="33">
        <f>COUNTIFS(CampList[Township],$AK44,CampList[Status],"open",CampList[Total],"&gt;5000",CampList[Total],"&lt;=100000",CampList[Affected Population],"IDP")</f>
        <v>0</v>
      </c>
      <c r="AP44" s="25">
        <f>COUNTIFS(CampList[Township],$AK45,CampList[Status],"open",CampList[Total],"",CampList[Affected Population],"IDP")</f>
        <v>0</v>
      </c>
      <c r="AQ44" s="204">
        <f t="shared" ref="AQ44:AQ58" si="2">SUM(AL43:AP43)</f>
        <v>12</v>
      </c>
      <c r="AR44" s="122"/>
      <c r="AS44" s="122"/>
      <c r="AT44" s="122"/>
      <c r="AU44" s="122"/>
    </row>
    <row r="45" spans="1:47" ht="7.15" customHeight="1" thickBot="1" x14ac:dyDescent="0.3">
      <c r="B45" s="254"/>
      <c r="C45" s="255"/>
      <c r="D45" s="255"/>
      <c r="E45" s="255"/>
      <c r="F45" s="255"/>
      <c r="G45" s="255"/>
      <c r="H45" s="255"/>
      <c r="I45" s="255"/>
      <c r="J45" s="255"/>
      <c r="K45" s="255"/>
      <c r="L45" s="255"/>
      <c r="M45" s="255"/>
      <c r="N45" s="255"/>
      <c r="O45" s="255"/>
      <c r="P45" s="255"/>
      <c r="Q45" s="255"/>
      <c r="R45" s="255"/>
      <c r="S45" s="249"/>
      <c r="T45" s="249"/>
      <c r="U45" s="252"/>
      <c r="X45"/>
      <c r="Y45"/>
      <c r="Z45"/>
      <c r="AB45"/>
      <c r="AK45" s="19" t="s">
        <v>151</v>
      </c>
      <c r="AL45" s="33">
        <f>COUNTIFS(CampList[Township],$AK45,CampList[Status],"open",CampList[Total],"&lt;=100",CampList[Affected Population],"IDP")</f>
        <v>0</v>
      </c>
      <c r="AM45" s="33">
        <f>COUNTIFS(CampList[Township],$AK45,CampList[Status],"open",CampList[Total],"&gt;100",CampList[Total],"&lt;=1000",CampList[Affected Population],"IDP")</f>
        <v>8</v>
      </c>
      <c r="AN45" s="33">
        <f>COUNTIFS(CampList[Township],$AK45,CampList[Status],"open",CampList[Total],"&gt;1000",CampList[Total],"&lt;=5000",CampList[Affected Population],"IDP")</f>
        <v>4</v>
      </c>
      <c r="AO45" s="33">
        <f>COUNTIFS(CampList[Township],$AK45,CampList[Status],"open",CampList[Total],"&gt;5000",CampList[Total],"&lt;=100000",CampList[Affected Population],"IDP")</f>
        <v>0</v>
      </c>
      <c r="AP45" s="25">
        <f>COUNTIFS(CampList[Township],$AK46,CampList[Status],"open",CampList[Total],"",CampList[Affected Population],"IDP")</f>
        <v>0</v>
      </c>
      <c r="AQ45" s="204">
        <f t="shared" si="2"/>
        <v>0</v>
      </c>
      <c r="AR45" s="122"/>
      <c r="AS45" s="122"/>
      <c r="AT45" s="122"/>
      <c r="AU45" s="122"/>
    </row>
    <row r="46" spans="1:47" x14ac:dyDescent="0.25">
      <c r="X46"/>
      <c r="Y46"/>
      <c r="Z46"/>
      <c r="AB46"/>
      <c r="AK46" s="19" t="s">
        <v>166</v>
      </c>
      <c r="AL46" s="33">
        <f>COUNTIFS(CampList[Township],$AK46,CampList[Status],"open",CampList[Total],"&lt;=100",CampList[Affected Population],"IDP")</f>
        <v>0</v>
      </c>
      <c r="AM46" s="33">
        <f>COUNTIFS(CampList[Township],$AK46,CampList[Status],"open",CampList[Total],"&gt;100",CampList[Total],"&lt;=1000",CampList[Affected Population],"IDP")</f>
        <v>3</v>
      </c>
      <c r="AN46" s="33">
        <f>COUNTIFS(CampList[Township],$AK46,CampList[Status],"open",CampList[Total],"&gt;1000",CampList[Total],"&lt;=5000",CampList[Affected Population],"IDP")</f>
        <v>0</v>
      </c>
      <c r="AO46" s="33">
        <f>COUNTIFS(CampList[Township],$AK46,CampList[Status],"open",CampList[Total],"&gt;5000",CampList[Total],"&lt;=100000",CampList[Affected Population],"IDP")</f>
        <v>0</v>
      </c>
      <c r="AP46" s="25">
        <f>COUNTIFS(CampList[Township],$AK47,CampList[Status],"open",CampList[Total],"",CampList[Affected Population],"IDP")</f>
        <v>0</v>
      </c>
      <c r="AQ46" s="204">
        <f t="shared" si="2"/>
        <v>12</v>
      </c>
      <c r="AR46" s="122"/>
      <c r="AS46" s="122"/>
      <c r="AT46" s="122"/>
      <c r="AU46" s="122"/>
    </row>
    <row r="47" spans="1:47" x14ac:dyDescent="0.25">
      <c r="AB47"/>
      <c r="AK47" s="19" t="s">
        <v>173</v>
      </c>
      <c r="AL47" s="33">
        <f>COUNTIFS(CampList[Township],$AK47,CampList[Status],"open",CampList[Total],"&lt;=100",CampList[Affected Population],"IDP")</f>
        <v>5</v>
      </c>
      <c r="AM47" s="33">
        <f>COUNTIFS(CampList[Township],$AK47,CampList[Status],"open",CampList[Total],"&gt;100",CampList[Total],"&lt;=1000",CampList[Affected Population],"IDP")</f>
        <v>1</v>
      </c>
      <c r="AN47" s="33">
        <f>COUNTIFS(CampList[Township],$AK47,CampList[Status],"open",CampList[Total],"&gt;1000",CampList[Total],"&lt;=5000",CampList[Affected Population],"IDP")</f>
        <v>0</v>
      </c>
      <c r="AO47" s="33">
        <f>COUNTIFS(CampList[Township],$AK47,CampList[Status],"open",CampList[Total],"&gt;5000",CampList[Total],"&lt;=100000",CampList[Affected Population],"IDP")</f>
        <v>0</v>
      </c>
      <c r="AP47" s="25">
        <f>COUNTIFS(CampList[Township],$AK48,CampList[Status],"open",CampList[Total],"",CampList[Affected Population],"IDP")</f>
        <v>0</v>
      </c>
      <c r="AQ47" s="204">
        <f t="shared" si="2"/>
        <v>3</v>
      </c>
      <c r="AR47" s="122"/>
      <c r="AS47" s="122"/>
      <c r="AT47" s="122"/>
      <c r="AU47" s="122"/>
    </row>
    <row r="48" spans="1:47" x14ac:dyDescent="0.25">
      <c r="AB48"/>
      <c r="AK48" s="19" t="s">
        <v>180</v>
      </c>
      <c r="AL48" s="33">
        <f>COUNTIFS(CampList[Township],$AK48,CampList[Status],"open",CampList[Total],"&lt;=100",CampList[Affected Population],"IDP")</f>
        <v>3</v>
      </c>
      <c r="AM48" s="33">
        <f>COUNTIFS(CampList[Township],$AK48,CampList[Status],"open",CampList[Total],"&gt;100",CampList[Total],"&lt;=1000",CampList[Affected Population],"IDP")</f>
        <v>1</v>
      </c>
      <c r="AN48" s="33">
        <f>COUNTIFS(CampList[Township],$AK48,CampList[Status],"open",CampList[Total],"&gt;1000",CampList[Total],"&lt;=5000",CampList[Affected Population],"IDP")</f>
        <v>0</v>
      </c>
      <c r="AO48" s="33">
        <f>COUNTIFS(CampList[Township],$AK48,CampList[Status],"open",CampList[Total],"&gt;5000",CampList[Total],"&lt;=100000",CampList[Affected Population],"IDP")</f>
        <v>0</v>
      </c>
      <c r="AP48" s="25">
        <f>COUNTIFS(CampList[Township],$AK49,CampList[Status],"open",CampList[Total],"",CampList[Affected Population],"IDP")</f>
        <v>1</v>
      </c>
      <c r="AQ48" s="204">
        <f t="shared" si="2"/>
        <v>6</v>
      </c>
      <c r="AR48" s="122"/>
      <c r="AS48" s="122"/>
      <c r="AT48" s="122"/>
      <c r="AU48" s="122"/>
    </row>
    <row r="49" spans="9:47" x14ac:dyDescent="0.25">
      <c r="AB49"/>
      <c r="AK49" s="19" t="s">
        <v>185</v>
      </c>
      <c r="AL49" s="33">
        <f>COUNTIFS(CampList[Township],$AK49,CampList[Status],"open",CampList[Total],"&lt;=100",CampList[Affected Population],"IDP")</f>
        <v>5</v>
      </c>
      <c r="AM49" s="33">
        <f>COUNTIFS(CampList[Township],$AK49,CampList[Status],"open",CampList[Total],"&gt;100",CampList[Total],"&lt;=1000",CampList[Affected Population],"IDP")</f>
        <v>7</v>
      </c>
      <c r="AN49" s="33">
        <f>COUNTIFS(CampList[Township],$AK49,CampList[Status],"open",CampList[Total],"&gt;1000",CampList[Total],"&lt;=5000",CampList[Affected Population],"IDP")</f>
        <v>7</v>
      </c>
      <c r="AO49" s="33">
        <f>COUNTIFS(CampList[Township],$AK49,CampList[Status],"open",CampList[Total],"&gt;5000",CampList[Total],"&lt;=100000",CampList[Affected Population],"IDP")</f>
        <v>0</v>
      </c>
      <c r="AP49" s="25">
        <f>COUNTIFS(CampList[Township],$AK50,CampList[Status],"open",CampList[Total],"",CampList[Affected Population],"IDP")</f>
        <v>2</v>
      </c>
      <c r="AQ49" s="204">
        <f t="shared" si="2"/>
        <v>5</v>
      </c>
      <c r="AR49" s="122"/>
      <c r="AS49" s="122"/>
      <c r="AT49" s="122"/>
      <c r="AU49" s="122"/>
    </row>
    <row r="50" spans="9:47" x14ac:dyDescent="0.25">
      <c r="AB50"/>
      <c r="AK50" s="19" t="s">
        <v>230</v>
      </c>
      <c r="AL50" s="33">
        <f>COUNTIFS(CampList[Township],$AK50,CampList[Status],"open",CampList[Total],"&lt;=100",CampList[Affected Population],"IDP")</f>
        <v>0</v>
      </c>
      <c r="AM50" s="33">
        <f>COUNTIFS(CampList[Township],$AK50,CampList[Status],"open",CampList[Total],"&gt;100",CampList[Total],"&lt;=1000",CampList[Affected Population],"IDP")</f>
        <v>4</v>
      </c>
      <c r="AN50" s="33">
        <f>COUNTIFS(CampList[Township],$AK50,CampList[Status],"open",CampList[Total],"&gt;1000",CampList[Total],"&lt;=5000",CampList[Affected Population],"IDP")</f>
        <v>0</v>
      </c>
      <c r="AO50" s="33">
        <f>COUNTIFS(CampList[Township],$AK50,CampList[Status],"open",CampList[Total],"&gt;5000",CampList[Total],"&lt;=100000",CampList[Affected Population],"IDP")</f>
        <v>0</v>
      </c>
      <c r="AP50" s="25">
        <f>COUNTIFS(CampList[Township],$AK51,CampList[Status],"open",CampList[Total],"",CampList[Affected Population],"IDP")</f>
        <v>0</v>
      </c>
      <c r="AQ50" s="204">
        <f t="shared" si="2"/>
        <v>21</v>
      </c>
      <c r="AR50" s="122"/>
      <c r="AS50" s="122"/>
      <c r="AT50" s="122"/>
      <c r="AU50" s="122"/>
    </row>
    <row r="51" spans="9:47" x14ac:dyDescent="0.25">
      <c r="AB51"/>
      <c r="AK51" s="19" t="s">
        <v>237</v>
      </c>
      <c r="AL51" s="33">
        <f>COUNTIFS(CampList[Township],$AK51,CampList[Status],"open",CampList[Total],"&lt;=100",CampList[Affected Population],"IDP")</f>
        <v>6</v>
      </c>
      <c r="AM51" s="33">
        <f>COUNTIFS(CampList[Township],$AK51,CampList[Status],"open",CampList[Total],"&gt;100",CampList[Total],"&lt;=1000",CampList[Affected Population],"IDP")</f>
        <v>17</v>
      </c>
      <c r="AN51" s="33">
        <f>COUNTIFS(CampList[Township],$AK51,CampList[Status],"open",CampList[Total],"&gt;1000",CampList[Total],"&lt;=5000",CampList[Affected Population],"IDP")</f>
        <v>1</v>
      </c>
      <c r="AO51" s="33">
        <f>COUNTIFS(CampList[Township],$AK51,CampList[Status],"open",CampList[Total],"&gt;5000",CampList[Total],"&lt;=100000",CampList[Affected Population],"IDP")</f>
        <v>0</v>
      </c>
      <c r="AP51" s="25">
        <f>COUNTIFS(CampList[Township],$AK52,CampList[Status],"open",CampList[Total],"",CampList[Affected Population],"IDP")</f>
        <v>0</v>
      </c>
      <c r="AQ51" s="204">
        <f t="shared" si="2"/>
        <v>4</v>
      </c>
      <c r="AR51" s="122"/>
      <c r="AS51" s="122"/>
      <c r="AT51" s="122"/>
      <c r="AU51" s="122"/>
    </row>
    <row r="52" spans="9:47" x14ac:dyDescent="0.25">
      <c r="AB52"/>
      <c r="AK52" s="19" t="s">
        <v>289</v>
      </c>
      <c r="AL52" s="33">
        <f>COUNTIFS(CampList[Township],$AK52,CampList[Status],"open",CampList[Total],"&lt;=100",CampList[Affected Population],"IDP")</f>
        <v>0</v>
      </c>
      <c r="AM52" s="33">
        <f>COUNTIFS(CampList[Township],$AK52,CampList[Status],"open",CampList[Total],"&gt;100",CampList[Total],"&lt;=1000",CampList[Affected Population],"IDP")</f>
        <v>7</v>
      </c>
      <c r="AN52" s="33">
        <f>COUNTIFS(CampList[Township],$AK52,CampList[Status],"open",CampList[Total],"&gt;1000",CampList[Total],"&lt;=5000",CampList[Affected Population],"IDP")</f>
        <v>0</v>
      </c>
      <c r="AO52" s="33">
        <f>COUNTIFS(CampList[Township],$AK52,CampList[Status],"open",CampList[Total],"&gt;5000",CampList[Total],"&lt;=100000",CampList[Affected Population],"IDP")</f>
        <v>0</v>
      </c>
      <c r="AP52" s="25">
        <f>COUNTIFS(CampList[Township],$AK53,CampList[Status],"open",CampList[Total],"",CampList[Affected Population],"IDP")</f>
        <v>0</v>
      </c>
      <c r="AQ52" s="204">
        <f t="shared" si="2"/>
        <v>24</v>
      </c>
      <c r="AR52" s="122"/>
      <c r="AS52" s="122"/>
      <c r="AT52" s="122"/>
      <c r="AU52" s="122"/>
    </row>
    <row r="53" spans="9:47" x14ac:dyDescent="0.25">
      <c r="AB53"/>
      <c r="AK53" s="19" t="s">
        <v>298</v>
      </c>
      <c r="AL53" s="33">
        <f>COUNTIFS(CampList[Township],$AK53,CampList[Status],"open",CampList[Total],"&lt;=100",CampList[Affected Population],"IDP")</f>
        <v>2</v>
      </c>
      <c r="AM53" s="33">
        <f>COUNTIFS(CampList[Township],$AK53,CampList[Status],"open",CampList[Total],"&gt;100",CampList[Total],"&lt;=1000",CampList[Affected Population],"IDP")</f>
        <v>1</v>
      </c>
      <c r="AN53" s="33">
        <f>COUNTIFS(CampList[Township],$AK53,CampList[Status],"open",CampList[Total],"&gt;1000",CampList[Total],"&lt;=5000",CampList[Affected Population],"IDP")</f>
        <v>0</v>
      </c>
      <c r="AO53" s="33">
        <f>COUNTIFS(CampList[Township],$AK53,CampList[Status],"open",CampList[Total],"&gt;5000",CampList[Total],"&lt;=100000",CampList[Affected Population],"IDP")</f>
        <v>0</v>
      </c>
      <c r="AP53" s="25">
        <f>COUNTIFS(CampList[Township],$AK54,CampList[Status],"open",CampList[Total],"",CampList[Affected Population],"IDP")</f>
        <v>0</v>
      </c>
      <c r="AQ53" s="204">
        <f t="shared" si="2"/>
        <v>7</v>
      </c>
      <c r="AR53" s="122"/>
      <c r="AS53" s="122"/>
      <c r="AT53" s="122"/>
      <c r="AU53" s="122"/>
    </row>
    <row r="54" spans="9:47" x14ac:dyDescent="0.25">
      <c r="AB54"/>
      <c r="AK54" s="19" t="s">
        <v>300</v>
      </c>
      <c r="AL54" s="33">
        <f>COUNTIFS(CampList[Township],$AK54,CampList[Status],"open",CampList[Total],"&lt;=100",CampList[Affected Population],"IDP")</f>
        <v>2</v>
      </c>
      <c r="AM54" s="33">
        <f>COUNTIFS(CampList[Township],$AK54,CampList[Status],"open",CampList[Total],"&gt;100",CampList[Total],"&lt;=1000",CampList[Affected Population],"IDP")</f>
        <v>1</v>
      </c>
      <c r="AN54" s="33">
        <f>COUNTIFS(CampList[Township],$AK54,CampList[Status],"open",CampList[Total],"&gt;1000",CampList[Total],"&lt;=5000",CampList[Affected Population],"IDP")</f>
        <v>0</v>
      </c>
      <c r="AO54" s="33">
        <f>COUNTIFS(CampList[Township],$AK54,CampList[Status],"open",CampList[Total],"&gt;5000",CampList[Total],"&lt;=100000",CampList[Affected Population],"IDP")</f>
        <v>0</v>
      </c>
      <c r="AP54" s="25">
        <f>COUNTIFS(CampList[Township],$AK55,CampList[Status],"open",CampList[Total],"",CampList[Affected Population],"IDP")</f>
        <v>0</v>
      </c>
      <c r="AQ54" s="204">
        <f t="shared" si="2"/>
        <v>3</v>
      </c>
      <c r="AR54" s="122"/>
      <c r="AS54" s="122"/>
      <c r="AT54" s="122"/>
      <c r="AU54" s="122"/>
    </row>
    <row r="55" spans="9:47" x14ac:dyDescent="0.25">
      <c r="I55" s="122"/>
      <c r="J55" s="122"/>
      <c r="K55" s="122"/>
      <c r="AB55"/>
      <c r="AK55" s="19" t="s">
        <v>302</v>
      </c>
      <c r="AL55" s="33">
        <f>COUNTIFS(CampList[Township],$AK55,CampList[Status],"open",CampList[Total],"&lt;=100",CampList[Affected Population],"IDP")</f>
        <v>1</v>
      </c>
      <c r="AM55" s="33">
        <f>COUNTIFS(CampList[Township],$AK55,CampList[Status],"open",CampList[Total],"&gt;100",CampList[Total],"&lt;=1000",CampList[Affected Population],"IDP")</f>
        <v>2</v>
      </c>
      <c r="AN55" s="33">
        <f>COUNTIFS(CampList[Township],$AK55,CampList[Status],"open",CampList[Total],"&gt;1000",CampList[Total],"&lt;=5000",CampList[Affected Population],"IDP")</f>
        <v>1</v>
      </c>
      <c r="AO55" s="33">
        <f>COUNTIFS(CampList[Township],$AK55,CampList[Status],"open",CampList[Total],"&gt;5000",CampList[Total],"&lt;=100000",CampList[Affected Population],"IDP")</f>
        <v>0</v>
      </c>
      <c r="AP55" s="25">
        <f>COUNTIFS(CampList[Township],$AK56,CampList[Status],"open",CampList[Total],"",CampList[Affected Population],"IDP")</f>
        <v>0</v>
      </c>
      <c r="AQ55" s="204">
        <f t="shared" si="2"/>
        <v>3</v>
      </c>
      <c r="AR55" s="122"/>
      <c r="AS55" s="122"/>
      <c r="AT55" s="122"/>
      <c r="AU55" s="122"/>
    </row>
    <row r="56" spans="9:47" x14ac:dyDescent="0.25">
      <c r="I56" s="122"/>
      <c r="J56" s="122"/>
      <c r="K56" s="122"/>
      <c r="AB56"/>
      <c r="AK56" s="19" t="s">
        <v>809</v>
      </c>
      <c r="AL56" s="33">
        <f>COUNTIFS(CampList[Township],$AK56,CampList[Status],"open",CampList[Total],"&lt;=100",CampList[Affected Population],"IDP")</f>
        <v>1</v>
      </c>
      <c r="AM56" s="33">
        <f>COUNTIFS(CampList[Township],$AK56,CampList[Status],"open",CampList[Total],"&gt;100",CampList[Total],"&lt;=1000",CampList[Affected Population],"IDP")</f>
        <v>2</v>
      </c>
      <c r="AN56" s="33">
        <f>COUNTIFS(CampList[Township],$AK56,CampList[Status],"open",CampList[Total],"&gt;1000",CampList[Total],"&lt;=5000",CampList[Affected Population],"IDP")</f>
        <v>0</v>
      </c>
      <c r="AO56" s="33">
        <f>COUNTIFS(CampList[Township],$AK56,CampList[Status],"open",CampList[Total],"&gt;5000",CampList[Total],"&lt;=100000",CampList[Affected Population],"IDP")</f>
        <v>0</v>
      </c>
      <c r="AP56" s="25">
        <f>COUNTIFS(CampList[Township],$AK57,CampList[Status],"open",CampList[Total],"",CampList[Affected Population],"IDP")</f>
        <v>0</v>
      </c>
      <c r="AQ56" s="204">
        <f t="shared" si="2"/>
        <v>4</v>
      </c>
      <c r="AR56" s="122"/>
      <c r="AS56" s="122"/>
      <c r="AT56" s="122"/>
      <c r="AU56" s="122"/>
    </row>
    <row r="57" spans="9:47" x14ac:dyDescent="0.25">
      <c r="I57" s="122"/>
      <c r="J57" s="122"/>
      <c r="K57" s="122"/>
      <c r="AB57"/>
      <c r="AK57" s="19" t="s">
        <v>310</v>
      </c>
      <c r="AL57" s="33">
        <f>COUNTIFS(CampList[Township],$AK57,CampList[Status],"open",CampList[Total],"&lt;=100",CampList[Affected Population],"IDP")</f>
        <v>1</v>
      </c>
      <c r="AM57" s="33">
        <f>COUNTIFS(CampList[Township],$AK57,CampList[Status],"open",CampList[Total],"&gt;100",CampList[Total],"&lt;=1000",CampList[Affected Population],"IDP")</f>
        <v>14</v>
      </c>
      <c r="AN57" s="33">
        <f>COUNTIFS(CampList[Township],$AK57,CampList[Status],"open",CampList[Total],"&gt;1000",CampList[Total],"&lt;=5000",CampList[Affected Population],"IDP")</f>
        <v>6</v>
      </c>
      <c r="AO57" s="33">
        <f>COUNTIFS(CampList[Township],$AK57,CampList[Status],"open",CampList[Total],"&gt;5000",CampList[Total],"&lt;=100000",CampList[Affected Population],"IDP")</f>
        <v>2</v>
      </c>
      <c r="AP57" s="25">
        <f>COUNTIFS(CampList[Township],$AK58,CampList[Status],"open",CampList[Total],"",CampList[Affected Population],"IDP")</f>
        <v>0</v>
      </c>
      <c r="AQ57" s="204">
        <f t="shared" si="2"/>
        <v>3</v>
      </c>
      <c r="AR57" s="122"/>
      <c r="AS57" s="122"/>
      <c r="AT57" s="122"/>
      <c r="AU57" s="122"/>
    </row>
    <row r="58" spans="9:47" x14ac:dyDescent="0.25">
      <c r="I58" s="122"/>
      <c r="J58" s="122"/>
      <c r="K58" s="122"/>
      <c r="AB58"/>
      <c r="AK58" s="25" t="s">
        <v>3</v>
      </c>
      <c r="AL58" s="49">
        <f>SUM(AL37:AL57)</f>
        <v>42</v>
      </c>
      <c r="AM58" s="49">
        <f>SUM(AM37:AM57)</f>
        <v>101</v>
      </c>
      <c r="AN58" s="49">
        <f>SUM(AN37:AN57)</f>
        <v>22</v>
      </c>
      <c r="AO58" s="49">
        <f>SUM(AO37:AO57)</f>
        <v>2</v>
      </c>
      <c r="AP58" s="49">
        <f>SUM(AP37:AP57)</f>
        <v>4</v>
      </c>
      <c r="AQ58" s="204">
        <f t="shared" si="2"/>
        <v>23</v>
      </c>
      <c r="AR58" s="122"/>
      <c r="AS58" s="122"/>
      <c r="AT58" s="122"/>
      <c r="AU58" s="122"/>
    </row>
    <row r="59" spans="9:47" x14ac:dyDescent="0.25">
      <c r="I59" s="122"/>
      <c r="J59" s="122"/>
      <c r="K59" s="122"/>
      <c r="AB59"/>
      <c r="AK59" s="32"/>
      <c r="AL59" s="32"/>
      <c r="AM59" s="32"/>
      <c r="AN59" s="32"/>
      <c r="AO59" s="32"/>
      <c r="AQ59" s="49">
        <f t="shared" ref="AQ59" si="3">SUM(AQ37:AQ58)</f>
        <v>171</v>
      </c>
      <c r="AR59" s="122"/>
      <c r="AS59" s="122"/>
      <c r="AT59" s="122"/>
      <c r="AU59" s="122"/>
    </row>
    <row r="60" spans="9:47" x14ac:dyDescent="0.25">
      <c r="I60" s="122"/>
      <c r="J60" s="122"/>
      <c r="K60" s="122"/>
      <c r="AB60"/>
      <c r="AR60" s="122"/>
      <c r="AS60" s="122"/>
      <c r="AT60" s="122"/>
      <c r="AU60" s="122"/>
    </row>
    <row r="61" spans="9:47" x14ac:dyDescent="0.25">
      <c r="I61" s="122"/>
      <c r="J61" s="122"/>
      <c r="K61" s="122"/>
      <c r="AB61"/>
      <c r="AQ61" s="32"/>
      <c r="AR61" s="122"/>
      <c r="AS61" s="122"/>
      <c r="AT61" s="122"/>
      <c r="AU61" s="122"/>
    </row>
    <row r="62" spans="9:47" x14ac:dyDescent="0.25">
      <c r="I62" s="122"/>
      <c r="J62" s="122"/>
      <c r="K62" s="122"/>
      <c r="AB62"/>
      <c r="AQ62" s="32"/>
      <c r="AR62" s="122"/>
      <c r="AS62" s="122"/>
      <c r="AT62" s="122"/>
      <c r="AU62" s="122"/>
    </row>
    <row r="63" spans="9:47" x14ac:dyDescent="0.25">
      <c r="I63" s="122"/>
      <c r="J63" s="122"/>
      <c r="K63" s="122"/>
      <c r="AB63"/>
      <c r="AQ63" s="32"/>
      <c r="AR63" s="122"/>
      <c r="AS63" s="122"/>
      <c r="AT63" s="122"/>
      <c r="AU63" s="122"/>
    </row>
    <row r="64" spans="9:47" x14ac:dyDescent="0.25">
      <c r="I64" s="122"/>
      <c r="J64" s="122"/>
      <c r="K64" s="122"/>
      <c r="AB64"/>
      <c r="AQ64" s="32"/>
      <c r="AR64" s="122"/>
      <c r="AS64" s="122"/>
      <c r="AT64" s="122"/>
      <c r="AU64" s="122"/>
    </row>
    <row r="65" spans="9:47" x14ac:dyDescent="0.25">
      <c r="I65" s="122"/>
      <c r="J65" s="122"/>
      <c r="K65" s="122"/>
      <c r="AB65"/>
      <c r="AQ65" s="32"/>
      <c r="AR65" s="122"/>
      <c r="AS65" s="122"/>
      <c r="AT65" s="122"/>
      <c r="AU65" s="122"/>
    </row>
    <row r="66" spans="9:47" x14ac:dyDescent="0.25">
      <c r="I66" s="122"/>
      <c r="J66" s="122"/>
      <c r="K66" s="122"/>
      <c r="AB66"/>
      <c r="AQ66" s="32"/>
      <c r="AR66" s="122"/>
      <c r="AS66" s="122"/>
      <c r="AT66" s="122"/>
      <c r="AU66" s="122"/>
    </row>
    <row r="67" spans="9:47" x14ac:dyDescent="0.25">
      <c r="I67" s="122"/>
      <c r="J67" s="122"/>
      <c r="K67" s="122"/>
      <c r="AB67"/>
      <c r="AQ67" s="32"/>
      <c r="AR67" s="122"/>
      <c r="AS67" s="122"/>
      <c r="AT67" s="122"/>
      <c r="AU67" s="122"/>
    </row>
    <row r="68" spans="9:47" x14ac:dyDescent="0.25">
      <c r="I68" s="122"/>
      <c r="J68" s="122"/>
      <c r="K68" s="122"/>
      <c r="AB68"/>
      <c r="AQ68" s="32"/>
      <c r="AR68" s="122"/>
      <c r="AS68" s="122"/>
      <c r="AT68" s="122"/>
      <c r="AU68" s="122"/>
    </row>
    <row r="69" spans="9:47" x14ac:dyDescent="0.25">
      <c r="AB69"/>
    </row>
    <row r="70" spans="9:47" x14ac:dyDescent="0.25">
      <c r="AB70"/>
    </row>
    <row r="71" spans="9:47" x14ac:dyDescent="0.25">
      <c r="AB71"/>
    </row>
    <row r="72" spans="9:47" x14ac:dyDescent="0.25">
      <c r="AB72"/>
    </row>
    <row r="73" spans="9:47" x14ac:dyDescent="0.25">
      <c r="AB73"/>
    </row>
    <row r="74" spans="9:47" x14ac:dyDescent="0.25">
      <c r="AB74"/>
    </row>
    <row r="75" spans="9:47" x14ac:dyDescent="0.25">
      <c r="AB75"/>
    </row>
    <row r="76" spans="9:47" x14ac:dyDescent="0.25">
      <c r="AB76"/>
    </row>
    <row r="77" spans="9:47" x14ac:dyDescent="0.25">
      <c r="AB77"/>
    </row>
    <row r="78" spans="9:47" x14ac:dyDescent="0.25">
      <c r="AB78"/>
    </row>
    <row r="79" spans="9:47" x14ac:dyDescent="0.25">
      <c r="AB79"/>
    </row>
    <row r="80" spans="9:47" x14ac:dyDescent="0.25">
      <c r="AB80"/>
    </row>
    <row r="81" spans="27:29" x14ac:dyDescent="0.25">
      <c r="AB81"/>
    </row>
    <row r="82" spans="27:29" x14ac:dyDescent="0.25">
      <c r="AB82"/>
    </row>
    <row r="83" spans="27:29" x14ac:dyDescent="0.25">
      <c r="AB83"/>
    </row>
    <row r="84" spans="27:29" x14ac:dyDescent="0.25">
      <c r="AB84"/>
    </row>
    <row r="85" spans="27:29" x14ac:dyDescent="0.25">
      <c r="AB85"/>
    </row>
    <row r="86" spans="27:29" x14ac:dyDescent="0.25">
      <c r="AB86"/>
    </row>
    <row r="87" spans="27:29" x14ac:dyDescent="0.25">
      <c r="AB87"/>
    </row>
    <row r="88" spans="27:29" x14ac:dyDescent="0.25">
      <c r="AB88"/>
    </row>
    <row r="89" spans="27:29" x14ac:dyDescent="0.25">
      <c r="AA89" s="16"/>
      <c r="AB89"/>
      <c r="AC89" s="16"/>
    </row>
    <row r="90" spans="27:29" x14ac:dyDescent="0.25">
      <c r="AA90" s="16"/>
      <c r="AB90"/>
    </row>
    <row r="91" spans="27:29" x14ac:dyDescent="0.25">
      <c r="AA91" s="16"/>
      <c r="AB91"/>
    </row>
    <row r="92" spans="27:29" x14ac:dyDescent="0.25">
      <c r="AB92"/>
    </row>
    <row r="93" spans="27:29" x14ac:dyDescent="0.25">
      <c r="AB93"/>
    </row>
    <row r="94" spans="27:29" x14ac:dyDescent="0.25">
      <c r="AB94"/>
    </row>
    <row r="95" spans="27:29" x14ac:dyDescent="0.25">
      <c r="AB95"/>
    </row>
    <row r="96" spans="27:29" x14ac:dyDescent="0.25">
      <c r="AB96"/>
    </row>
    <row r="97" spans="28:28" x14ac:dyDescent="0.25">
      <c r="AB97"/>
    </row>
    <row r="98" spans="28:28" x14ac:dyDescent="0.25">
      <c r="AB98"/>
    </row>
    <row r="99" spans="28:28" x14ac:dyDescent="0.25">
      <c r="AB99"/>
    </row>
    <row r="100" spans="28:28" x14ac:dyDescent="0.25">
      <c r="AB100"/>
    </row>
    <row r="101" spans="28:28" x14ac:dyDescent="0.25">
      <c r="AB101"/>
    </row>
    <row r="102" spans="28:28" x14ac:dyDescent="0.25">
      <c r="AB102"/>
    </row>
    <row r="103" spans="28:28" x14ac:dyDescent="0.25">
      <c r="AB103"/>
    </row>
    <row r="104" spans="28:28" x14ac:dyDescent="0.25">
      <c r="AB104"/>
    </row>
    <row r="105" spans="28:28" x14ac:dyDescent="0.25">
      <c r="AB105"/>
    </row>
    <row r="106" spans="28:28" x14ac:dyDescent="0.25">
      <c r="AB106"/>
    </row>
    <row r="107" spans="28:28" x14ac:dyDescent="0.25">
      <c r="AB107"/>
    </row>
    <row r="108" spans="28:28" x14ac:dyDescent="0.25">
      <c r="AB108"/>
    </row>
    <row r="109" spans="28:28" x14ac:dyDescent="0.25">
      <c r="AB109"/>
    </row>
    <row r="110" spans="28:28" x14ac:dyDescent="0.25">
      <c r="AB110"/>
    </row>
    <row r="111" spans="28:28" x14ac:dyDescent="0.25">
      <c r="AB111"/>
    </row>
    <row r="112" spans="28:28" x14ac:dyDescent="0.25">
      <c r="AB112"/>
    </row>
    <row r="113" spans="28:28" x14ac:dyDescent="0.25">
      <c r="AB113"/>
    </row>
    <row r="114" spans="28:28" x14ac:dyDescent="0.25">
      <c r="AB114"/>
    </row>
    <row r="115" spans="28:28" x14ac:dyDescent="0.25">
      <c r="AB115"/>
    </row>
    <row r="116" spans="28:28" x14ac:dyDescent="0.25">
      <c r="AB116"/>
    </row>
    <row r="117" spans="28:28" x14ac:dyDescent="0.25">
      <c r="AB117"/>
    </row>
    <row r="118" spans="28:28" x14ac:dyDescent="0.25">
      <c r="AB118"/>
    </row>
    <row r="119" spans="28:28" x14ac:dyDescent="0.25">
      <c r="AB119"/>
    </row>
    <row r="120" spans="28:28" x14ac:dyDescent="0.25">
      <c r="AB120"/>
    </row>
    <row r="121" spans="28:28" x14ac:dyDescent="0.25">
      <c r="AB121"/>
    </row>
    <row r="122" spans="28:28" x14ac:dyDescent="0.25">
      <c r="AB122"/>
    </row>
    <row r="123" spans="28:28" x14ac:dyDescent="0.25">
      <c r="AB123"/>
    </row>
    <row r="124" spans="28:28" x14ac:dyDescent="0.25">
      <c r="AB124"/>
    </row>
    <row r="125" spans="28:28" x14ac:dyDescent="0.25">
      <c r="AB125"/>
    </row>
    <row r="126" spans="28:28" x14ac:dyDescent="0.25">
      <c r="AB126"/>
    </row>
    <row r="127" spans="28:28" x14ac:dyDescent="0.25">
      <c r="AB127"/>
    </row>
    <row r="128" spans="28:28" x14ac:dyDescent="0.25">
      <c r="AB128"/>
    </row>
    <row r="129" spans="28:28" x14ac:dyDescent="0.25">
      <c r="AB129"/>
    </row>
    <row r="130" spans="28:28" x14ac:dyDescent="0.25">
      <c r="AB130"/>
    </row>
    <row r="131" spans="28:28" x14ac:dyDescent="0.25">
      <c r="AB131"/>
    </row>
    <row r="132" spans="28:28" x14ac:dyDescent="0.25">
      <c r="AB132"/>
    </row>
    <row r="133" spans="28:28" x14ac:dyDescent="0.25">
      <c r="AB133"/>
    </row>
    <row r="134" spans="28:28" x14ac:dyDescent="0.25">
      <c r="AB134"/>
    </row>
    <row r="135" spans="28:28" x14ac:dyDescent="0.25">
      <c r="AB135"/>
    </row>
    <row r="136" spans="28:28" x14ac:dyDescent="0.25">
      <c r="AB136"/>
    </row>
    <row r="137" spans="28:28" x14ac:dyDescent="0.25">
      <c r="AB137"/>
    </row>
    <row r="138" spans="28:28" x14ac:dyDescent="0.25">
      <c r="AB138"/>
    </row>
    <row r="139" spans="28:28" x14ac:dyDescent="0.25">
      <c r="AB139"/>
    </row>
    <row r="140" spans="28:28" x14ac:dyDescent="0.25">
      <c r="AB140"/>
    </row>
    <row r="141" spans="28:28" x14ac:dyDescent="0.25">
      <c r="AB141"/>
    </row>
    <row r="142" spans="28:28" x14ac:dyDescent="0.25">
      <c r="AB142"/>
    </row>
    <row r="143" spans="28:28" x14ac:dyDescent="0.25">
      <c r="AB143"/>
    </row>
    <row r="144" spans="28:28" x14ac:dyDescent="0.25">
      <c r="AB144"/>
    </row>
    <row r="145" spans="28:28" x14ac:dyDescent="0.25">
      <c r="AB145"/>
    </row>
    <row r="146" spans="28:28" x14ac:dyDescent="0.25">
      <c r="AB146"/>
    </row>
    <row r="147" spans="28:28" x14ac:dyDescent="0.25">
      <c r="AB147"/>
    </row>
    <row r="148" spans="28:28" x14ac:dyDescent="0.25">
      <c r="AB148"/>
    </row>
    <row r="149" spans="28:28" x14ac:dyDescent="0.25">
      <c r="AB149"/>
    </row>
    <row r="150" spans="28:28" x14ac:dyDescent="0.25">
      <c r="AB150"/>
    </row>
    <row r="151" spans="28:28" x14ac:dyDescent="0.25">
      <c r="AB151"/>
    </row>
    <row r="152" spans="28:28" x14ac:dyDescent="0.25">
      <c r="AB152"/>
    </row>
    <row r="153" spans="28:28" x14ac:dyDescent="0.25">
      <c r="AB153"/>
    </row>
    <row r="154" spans="28:28" x14ac:dyDescent="0.25">
      <c r="AB154"/>
    </row>
    <row r="155" spans="28:28" x14ac:dyDescent="0.25">
      <c r="AB155"/>
    </row>
    <row r="156" spans="28:28" x14ac:dyDescent="0.25">
      <c r="AB156"/>
    </row>
    <row r="157" spans="28:28" x14ac:dyDescent="0.25">
      <c r="AB157"/>
    </row>
    <row r="158" spans="28:28" x14ac:dyDescent="0.25">
      <c r="AB158"/>
    </row>
    <row r="159" spans="28:28" x14ac:dyDescent="0.25">
      <c r="AB159"/>
    </row>
    <row r="160" spans="28:28" x14ac:dyDescent="0.25">
      <c r="AB160"/>
    </row>
    <row r="161" spans="28:28" x14ac:dyDescent="0.25">
      <c r="AB161"/>
    </row>
    <row r="162" spans="28:28" x14ac:dyDescent="0.25">
      <c r="AB162"/>
    </row>
    <row r="163" spans="28:28" x14ac:dyDescent="0.25">
      <c r="AB163"/>
    </row>
    <row r="164" spans="28:28" x14ac:dyDescent="0.25">
      <c r="AB164"/>
    </row>
    <row r="165" spans="28:28" x14ac:dyDescent="0.25">
      <c r="AB165"/>
    </row>
    <row r="166" spans="28:28" x14ac:dyDescent="0.25">
      <c r="AB166"/>
    </row>
    <row r="167" spans="28:28" x14ac:dyDescent="0.25">
      <c r="AB167"/>
    </row>
    <row r="168" spans="28:28" x14ac:dyDescent="0.25">
      <c r="AB168"/>
    </row>
    <row r="169" spans="28:28" x14ac:dyDescent="0.25">
      <c r="AB169"/>
    </row>
    <row r="170" spans="28:28" x14ac:dyDescent="0.25">
      <c r="AB170"/>
    </row>
    <row r="171" spans="28:28" x14ac:dyDescent="0.25">
      <c r="AB171"/>
    </row>
    <row r="172" spans="28:28" x14ac:dyDescent="0.25">
      <c r="AB172"/>
    </row>
    <row r="173" spans="28:28" x14ac:dyDescent="0.25">
      <c r="AB173"/>
    </row>
    <row r="174" spans="28:28" x14ac:dyDescent="0.25">
      <c r="AB174"/>
    </row>
    <row r="175" spans="28:28" x14ac:dyDescent="0.25">
      <c r="AB175"/>
    </row>
    <row r="176" spans="28:28" x14ac:dyDescent="0.25">
      <c r="AB176"/>
    </row>
    <row r="177" spans="28:28" x14ac:dyDescent="0.25">
      <c r="AB177"/>
    </row>
    <row r="178" spans="28:28" x14ac:dyDescent="0.25">
      <c r="AB178"/>
    </row>
    <row r="179" spans="28:28" x14ac:dyDescent="0.25">
      <c r="AB179"/>
    </row>
    <row r="180" spans="28:28" x14ac:dyDescent="0.25">
      <c r="AB180"/>
    </row>
    <row r="181" spans="28:28" x14ac:dyDescent="0.25">
      <c r="AB181"/>
    </row>
    <row r="182" spans="28:28" x14ac:dyDescent="0.25">
      <c r="AB182"/>
    </row>
    <row r="183" spans="28:28" x14ac:dyDescent="0.25">
      <c r="AB183"/>
    </row>
    <row r="184" spans="28:28" x14ac:dyDescent="0.25">
      <c r="AB184"/>
    </row>
    <row r="185" spans="28:28" x14ac:dyDescent="0.25">
      <c r="AB185"/>
    </row>
    <row r="186" spans="28:28" x14ac:dyDescent="0.25">
      <c r="AB186"/>
    </row>
    <row r="187" spans="28:28" x14ac:dyDescent="0.25">
      <c r="AB187"/>
    </row>
    <row r="188" spans="28:28" x14ac:dyDescent="0.25">
      <c r="AB188"/>
    </row>
    <row r="189" spans="28:28" x14ac:dyDescent="0.25">
      <c r="AB189"/>
    </row>
    <row r="190" spans="28:28" x14ac:dyDescent="0.25">
      <c r="AB190"/>
    </row>
    <row r="191" spans="28:28" x14ac:dyDescent="0.25">
      <c r="AB191"/>
    </row>
    <row r="192" spans="28:28" x14ac:dyDescent="0.25">
      <c r="AB192"/>
    </row>
    <row r="193" spans="28:28" x14ac:dyDescent="0.25">
      <c r="AB193"/>
    </row>
    <row r="194" spans="28:28" x14ac:dyDescent="0.25">
      <c r="AB194"/>
    </row>
    <row r="195" spans="28:28" x14ac:dyDescent="0.25">
      <c r="AB195"/>
    </row>
    <row r="196" spans="28:28" x14ac:dyDescent="0.25">
      <c r="AB196"/>
    </row>
    <row r="197" spans="28:28" x14ac:dyDescent="0.25">
      <c r="AB197"/>
    </row>
    <row r="198" spans="28:28" x14ac:dyDescent="0.25">
      <c r="AB198"/>
    </row>
    <row r="199" spans="28:28" x14ac:dyDescent="0.25">
      <c r="AB199"/>
    </row>
    <row r="200" spans="28:28" x14ac:dyDescent="0.25">
      <c r="AB200"/>
    </row>
    <row r="201" spans="28:28" x14ac:dyDescent="0.25">
      <c r="AB201"/>
    </row>
    <row r="202" spans="28:28" x14ac:dyDescent="0.25">
      <c r="AB202"/>
    </row>
    <row r="203" spans="28:28" x14ac:dyDescent="0.25">
      <c r="AB203"/>
    </row>
    <row r="204" spans="28:28" x14ac:dyDescent="0.25">
      <c r="AB204"/>
    </row>
    <row r="205" spans="28:28" x14ac:dyDescent="0.25">
      <c r="AB205"/>
    </row>
    <row r="206" spans="28:28" x14ac:dyDescent="0.25">
      <c r="AB206"/>
    </row>
    <row r="207" spans="28:28" x14ac:dyDescent="0.25">
      <c r="AB207"/>
    </row>
    <row r="208" spans="28:28" x14ac:dyDescent="0.25">
      <c r="AB208"/>
    </row>
    <row r="209" spans="28:28" x14ac:dyDescent="0.25">
      <c r="AB209"/>
    </row>
    <row r="210" spans="28:28" x14ac:dyDescent="0.25">
      <c r="AB210"/>
    </row>
    <row r="211" spans="28:28" x14ac:dyDescent="0.25">
      <c r="AB211"/>
    </row>
    <row r="212" spans="28:28" x14ac:dyDescent="0.25">
      <c r="AB212"/>
    </row>
    <row r="213" spans="28:28" x14ac:dyDescent="0.25">
      <c r="AB213"/>
    </row>
    <row r="214" spans="28:28" x14ac:dyDescent="0.25">
      <c r="AB214"/>
    </row>
    <row r="215" spans="28:28" x14ac:dyDescent="0.25">
      <c r="AB215"/>
    </row>
    <row r="216" spans="28:28" x14ac:dyDescent="0.25">
      <c r="AB216"/>
    </row>
    <row r="217" spans="28:28" x14ac:dyDescent="0.25">
      <c r="AB217"/>
    </row>
    <row r="218" spans="28:28" x14ac:dyDescent="0.25">
      <c r="AB218"/>
    </row>
    <row r="219" spans="28:28" x14ac:dyDescent="0.25">
      <c r="AB219"/>
    </row>
    <row r="220" spans="28:28" x14ac:dyDescent="0.25">
      <c r="AB220"/>
    </row>
    <row r="221" spans="28:28" x14ac:dyDescent="0.25">
      <c r="AB221"/>
    </row>
    <row r="222" spans="28:28" x14ac:dyDescent="0.25">
      <c r="AB222"/>
    </row>
    <row r="223" spans="28:28" x14ac:dyDescent="0.25">
      <c r="AB223"/>
    </row>
    <row r="224" spans="28:28" x14ac:dyDescent="0.25">
      <c r="AB224"/>
    </row>
    <row r="225" spans="28:28" x14ac:dyDescent="0.25">
      <c r="AB225"/>
    </row>
    <row r="226" spans="28:28" x14ac:dyDescent="0.25">
      <c r="AB226"/>
    </row>
    <row r="227" spans="28:28" x14ac:dyDescent="0.25">
      <c r="AB227"/>
    </row>
    <row r="228" spans="28:28" x14ac:dyDescent="0.25">
      <c r="AB228"/>
    </row>
    <row r="229" spans="28:28" x14ac:dyDescent="0.25">
      <c r="AB229"/>
    </row>
    <row r="230" spans="28:28" x14ac:dyDescent="0.25">
      <c r="AB230"/>
    </row>
    <row r="231" spans="28:28" x14ac:dyDescent="0.25">
      <c r="AB231"/>
    </row>
    <row r="232" spans="28:28" x14ac:dyDescent="0.25">
      <c r="AB232"/>
    </row>
    <row r="233" spans="28:28" x14ac:dyDescent="0.25">
      <c r="AB233"/>
    </row>
    <row r="234" spans="28:28" x14ac:dyDescent="0.25">
      <c r="AB234"/>
    </row>
    <row r="235" spans="28:28" x14ac:dyDescent="0.25">
      <c r="AB235"/>
    </row>
    <row r="236" spans="28:28" x14ac:dyDescent="0.25">
      <c r="AB236"/>
    </row>
    <row r="237" spans="28:28" x14ac:dyDescent="0.25">
      <c r="AB237"/>
    </row>
    <row r="238" spans="28:28" x14ac:dyDescent="0.25">
      <c r="AB238"/>
    </row>
    <row r="239" spans="28:28" x14ac:dyDescent="0.25">
      <c r="AB239"/>
    </row>
    <row r="240" spans="28:28" x14ac:dyDescent="0.25">
      <c r="AB240"/>
    </row>
    <row r="241" spans="28:28" x14ac:dyDescent="0.25">
      <c r="AB241"/>
    </row>
    <row r="242" spans="28:28" x14ac:dyDescent="0.25">
      <c r="AB242"/>
    </row>
    <row r="243" spans="28:28" x14ac:dyDescent="0.25">
      <c r="AB243"/>
    </row>
    <row r="244" spans="28:28" x14ac:dyDescent="0.25">
      <c r="AB244"/>
    </row>
    <row r="245" spans="28:28" x14ac:dyDescent="0.25">
      <c r="AB245"/>
    </row>
    <row r="246" spans="28:28" x14ac:dyDescent="0.25">
      <c r="AB246"/>
    </row>
    <row r="247" spans="28:28" x14ac:dyDescent="0.25">
      <c r="AB247"/>
    </row>
    <row r="248" spans="28:28" x14ac:dyDescent="0.25">
      <c r="AB248"/>
    </row>
    <row r="249" spans="28:28" x14ac:dyDescent="0.25">
      <c r="AB249"/>
    </row>
    <row r="250" spans="28:28" x14ac:dyDescent="0.25">
      <c r="AB250"/>
    </row>
    <row r="251" spans="28:28" x14ac:dyDescent="0.25">
      <c r="AB251"/>
    </row>
    <row r="252" spans="28:28" x14ac:dyDescent="0.25">
      <c r="AB252"/>
    </row>
    <row r="253" spans="28:28" x14ac:dyDescent="0.25">
      <c r="AB253"/>
    </row>
    <row r="254" spans="28:28" x14ac:dyDescent="0.25">
      <c r="AB254"/>
    </row>
    <row r="255" spans="28:28" x14ac:dyDescent="0.25">
      <c r="AB255"/>
    </row>
    <row r="256" spans="28:28" x14ac:dyDescent="0.25">
      <c r="AB256"/>
    </row>
    <row r="257" spans="28:28" x14ac:dyDescent="0.25">
      <c r="AB257"/>
    </row>
    <row r="258" spans="28:28" x14ac:dyDescent="0.25">
      <c r="AB258"/>
    </row>
    <row r="259" spans="28:28" x14ac:dyDescent="0.25">
      <c r="AB259"/>
    </row>
    <row r="260" spans="28:28" x14ac:dyDescent="0.25">
      <c r="AB260"/>
    </row>
    <row r="261" spans="28:28" x14ac:dyDescent="0.25">
      <c r="AB261"/>
    </row>
    <row r="262" spans="28:28" x14ac:dyDescent="0.25">
      <c r="AB262"/>
    </row>
    <row r="263" spans="28:28" x14ac:dyDescent="0.25">
      <c r="AB263"/>
    </row>
    <row r="264" spans="28:28" x14ac:dyDescent="0.25">
      <c r="AB264"/>
    </row>
    <row r="265" spans="28:28" x14ac:dyDescent="0.25">
      <c r="AB265"/>
    </row>
    <row r="266" spans="28:28" x14ac:dyDescent="0.25">
      <c r="AB266"/>
    </row>
    <row r="267" spans="28:28" x14ac:dyDescent="0.25">
      <c r="AB267"/>
    </row>
    <row r="268" spans="28:28" x14ac:dyDescent="0.25">
      <c r="AB268"/>
    </row>
    <row r="269" spans="28:28" x14ac:dyDescent="0.25">
      <c r="AB269"/>
    </row>
    <row r="270" spans="28:28" x14ac:dyDescent="0.25">
      <c r="AB270"/>
    </row>
    <row r="271" spans="28:28" x14ac:dyDescent="0.25">
      <c r="AB271"/>
    </row>
    <row r="272" spans="28:28" x14ac:dyDescent="0.25">
      <c r="AB272"/>
    </row>
    <row r="273" spans="28:28" x14ac:dyDescent="0.25">
      <c r="AB273"/>
    </row>
    <row r="274" spans="28:28" x14ac:dyDescent="0.25">
      <c r="AB274"/>
    </row>
    <row r="275" spans="28:28" x14ac:dyDescent="0.25">
      <c r="AB275"/>
    </row>
    <row r="276" spans="28:28" x14ac:dyDescent="0.25">
      <c r="AB276"/>
    </row>
    <row r="277" spans="28:28" x14ac:dyDescent="0.25">
      <c r="AB277"/>
    </row>
    <row r="278" spans="28:28" x14ac:dyDescent="0.25">
      <c r="AB278"/>
    </row>
    <row r="279" spans="28:28" x14ac:dyDescent="0.25">
      <c r="AB279"/>
    </row>
    <row r="280" spans="28:28" x14ac:dyDescent="0.25">
      <c r="AB280"/>
    </row>
    <row r="281" spans="28:28" x14ac:dyDescent="0.25">
      <c r="AB281"/>
    </row>
    <row r="282" spans="28:28" x14ac:dyDescent="0.25">
      <c r="AB282"/>
    </row>
    <row r="283" spans="28:28" x14ac:dyDescent="0.25">
      <c r="AB283"/>
    </row>
    <row r="284" spans="28:28" x14ac:dyDescent="0.25">
      <c r="AB284"/>
    </row>
    <row r="285" spans="28:28" x14ac:dyDescent="0.25">
      <c r="AB285"/>
    </row>
    <row r="286" spans="28:28" x14ac:dyDescent="0.25">
      <c r="AB286"/>
    </row>
    <row r="287" spans="28:28" x14ac:dyDescent="0.25">
      <c r="AB287"/>
    </row>
    <row r="288" spans="28:28" x14ac:dyDescent="0.25">
      <c r="AB288"/>
    </row>
    <row r="289" spans="28:28" x14ac:dyDescent="0.25">
      <c r="AB289"/>
    </row>
    <row r="290" spans="28:28" x14ac:dyDescent="0.25">
      <c r="AB290"/>
    </row>
    <row r="291" spans="28:28" x14ac:dyDescent="0.25">
      <c r="AB291"/>
    </row>
    <row r="292" spans="28:28" x14ac:dyDescent="0.25">
      <c r="AB292"/>
    </row>
    <row r="293" spans="28:28" x14ac:dyDescent="0.25">
      <c r="AB293"/>
    </row>
    <row r="294" spans="28:28" x14ac:dyDescent="0.25">
      <c r="AB294"/>
    </row>
    <row r="295" spans="28:28" x14ac:dyDescent="0.25">
      <c r="AB295"/>
    </row>
    <row r="296" spans="28:28" x14ac:dyDescent="0.25">
      <c r="AB296"/>
    </row>
    <row r="297" spans="28:28" x14ac:dyDescent="0.25">
      <c r="AB297"/>
    </row>
    <row r="298" spans="28:28" x14ac:dyDescent="0.25">
      <c r="AB298"/>
    </row>
    <row r="299" spans="28:28" x14ac:dyDescent="0.25">
      <c r="AB299"/>
    </row>
    <row r="300" spans="28:28" x14ac:dyDescent="0.25">
      <c r="AB300"/>
    </row>
    <row r="301" spans="28:28" x14ac:dyDescent="0.25">
      <c r="AB301"/>
    </row>
    <row r="302" spans="28:28" x14ac:dyDescent="0.25">
      <c r="AB302"/>
    </row>
    <row r="303" spans="28:28" x14ac:dyDescent="0.25">
      <c r="AB303"/>
    </row>
    <row r="304" spans="28:28" x14ac:dyDescent="0.25">
      <c r="AB304"/>
    </row>
    <row r="305" spans="28:28" x14ac:dyDescent="0.25">
      <c r="AB305"/>
    </row>
    <row r="306" spans="28:28" x14ac:dyDescent="0.25">
      <c r="AB306"/>
    </row>
    <row r="307" spans="28:28" x14ac:dyDescent="0.25">
      <c r="AB307"/>
    </row>
    <row r="308" spans="28:28" x14ac:dyDescent="0.25">
      <c r="AB308"/>
    </row>
    <row r="309" spans="28:28" x14ac:dyDescent="0.25">
      <c r="AB309"/>
    </row>
    <row r="310" spans="28:28" x14ac:dyDescent="0.25">
      <c r="AB310"/>
    </row>
    <row r="311" spans="28:28" x14ac:dyDescent="0.25">
      <c r="AB311"/>
    </row>
    <row r="312" spans="28:28" x14ac:dyDescent="0.25">
      <c r="AB312"/>
    </row>
    <row r="313" spans="28:28" x14ac:dyDescent="0.25">
      <c r="AB313"/>
    </row>
    <row r="314" spans="28:28" x14ac:dyDescent="0.25">
      <c r="AB314"/>
    </row>
    <row r="315" spans="28:28" x14ac:dyDescent="0.25">
      <c r="AB315"/>
    </row>
    <row r="316" spans="28:28" x14ac:dyDescent="0.25">
      <c r="AB316"/>
    </row>
    <row r="317" spans="28:28" x14ac:dyDescent="0.25">
      <c r="AB317"/>
    </row>
    <row r="318" spans="28:28" x14ac:dyDescent="0.25">
      <c r="AB318"/>
    </row>
    <row r="319" spans="28:28" x14ac:dyDescent="0.25">
      <c r="AB319"/>
    </row>
    <row r="320" spans="28:28" x14ac:dyDescent="0.25">
      <c r="AB320"/>
    </row>
    <row r="321" spans="28:28" x14ac:dyDescent="0.25">
      <c r="AB321"/>
    </row>
    <row r="322" spans="28:28" x14ac:dyDescent="0.25">
      <c r="AB322"/>
    </row>
    <row r="323" spans="28:28" x14ac:dyDescent="0.25">
      <c r="AB323"/>
    </row>
    <row r="324" spans="28:28" x14ac:dyDescent="0.25">
      <c r="AB324"/>
    </row>
    <row r="325" spans="28:28" x14ac:dyDescent="0.25">
      <c r="AB325"/>
    </row>
    <row r="326" spans="28:28" x14ac:dyDescent="0.25">
      <c r="AB326"/>
    </row>
    <row r="327" spans="28:28" x14ac:dyDescent="0.25">
      <c r="AB327"/>
    </row>
    <row r="328" spans="28:28" x14ac:dyDescent="0.25">
      <c r="AB328"/>
    </row>
    <row r="329" spans="28:28" x14ac:dyDescent="0.25">
      <c r="AB329"/>
    </row>
    <row r="330" spans="28:28" x14ac:dyDescent="0.25">
      <c r="AB330"/>
    </row>
    <row r="331" spans="28:28" x14ac:dyDescent="0.25">
      <c r="AB331"/>
    </row>
    <row r="332" spans="28:28" x14ac:dyDescent="0.25">
      <c r="AB332"/>
    </row>
  </sheetData>
  <sortState ref="AK34:AQ54">
    <sortCondition ref="AK34"/>
  </sortState>
  <mergeCells count="4">
    <mergeCell ref="C4:K4"/>
    <mergeCell ref="C5:K5"/>
    <mergeCell ref="C3:R3"/>
    <mergeCell ref="H25:M25"/>
  </mergeCells>
  <conditionalFormatting sqref="I28:M28">
    <cfRule type="dataBar" priority="9">
      <dataBar>
        <cfvo type="num" val="0"/>
        <cfvo type="num" val="$AP$26"/>
        <color rgb="FF638EC6"/>
      </dataBar>
      <extLst>
        <ext xmlns:x14="http://schemas.microsoft.com/office/spreadsheetml/2009/9/main" uri="{B025F937-C7B1-47D3-B67F-A62EFF666E3E}">
          <x14:id>{4729CA1C-9856-465B-A252-5D74BE4F6C00}</x14:id>
        </ext>
      </extLst>
    </cfRule>
    <cfRule type="dataBar" priority="10">
      <dataBar>
        <cfvo type="num" val="0"/>
        <cfvo type="num" val="$AP$26"/>
        <color rgb="FFFF555A"/>
      </dataBar>
      <extLst>
        <ext xmlns:x14="http://schemas.microsoft.com/office/spreadsheetml/2009/9/main" uri="{B025F937-C7B1-47D3-B67F-A62EFF666E3E}">
          <x14:id>{5DCED515-272B-4C05-BE24-8A126174C663}</x14:id>
        </ext>
      </extLst>
    </cfRule>
    <cfRule type="dataBar" priority="24">
      <dataBar>
        <cfvo type="min"/>
        <cfvo type="max"/>
        <color rgb="FFFF555A"/>
      </dataBar>
      <extLst>
        <ext xmlns:x14="http://schemas.microsoft.com/office/spreadsheetml/2009/9/main" uri="{B025F937-C7B1-47D3-B67F-A62EFF666E3E}">
          <x14:id>{83FF87DB-4AF0-4757-A50F-701789E158D8}</x14:id>
        </ext>
      </extLst>
    </cfRule>
  </conditionalFormatting>
  <conditionalFormatting sqref="I27:M27">
    <cfRule type="dataBar" priority="28">
      <dataBar>
        <cfvo type="min"/>
        <cfvo type="max"/>
        <color rgb="FF638EC6"/>
      </dataBar>
      <extLst>
        <ext xmlns:x14="http://schemas.microsoft.com/office/spreadsheetml/2009/9/main" uri="{B025F937-C7B1-47D3-B67F-A62EFF666E3E}">
          <x14:id>{74459D76-3CDD-4603-8F85-808736BAF087}</x14:id>
        </ext>
      </extLst>
    </cfRule>
  </conditionalFormatting>
  <conditionalFormatting sqref="I28:M28">
    <cfRule type="dataBar" priority="30">
      <dataBar>
        <cfvo type="min"/>
        <cfvo type="max"/>
        <color rgb="FF638EC6"/>
      </dataBar>
      <extLst>
        <ext xmlns:x14="http://schemas.microsoft.com/office/spreadsheetml/2009/9/main" uri="{B025F937-C7B1-47D3-B67F-A62EFF666E3E}">
          <x14:id>{077C6988-A8CC-4404-8A74-478FD55721B5}</x14:id>
        </ext>
      </extLst>
    </cfRule>
  </conditionalFormatting>
  <conditionalFormatting sqref="G12:G33">
    <cfRule type="dataBar" priority="36">
      <dataBar>
        <cfvo type="min"/>
        <cfvo type="max"/>
        <color rgb="FFFFB628"/>
      </dataBar>
      <extLst>
        <ext xmlns:x14="http://schemas.microsoft.com/office/spreadsheetml/2009/9/main" uri="{B025F937-C7B1-47D3-B67F-A62EFF666E3E}">
          <x14:id>{8F4E58BC-54BC-42B3-A2EF-4E04EA63C653}</x14:id>
        </ext>
      </extLst>
    </cfRule>
  </conditionalFormatting>
  <conditionalFormatting sqref="D37:F40">
    <cfRule type="dataBar" priority="8">
      <dataBar>
        <cfvo type="min"/>
        <cfvo type="max"/>
        <color rgb="FF63C384"/>
      </dataBar>
      <extLst>
        <ext xmlns:x14="http://schemas.microsoft.com/office/spreadsheetml/2009/9/main" uri="{B025F937-C7B1-47D3-B67F-A62EFF666E3E}">
          <x14:id>{898ED28B-BD84-48E1-B5FF-CD5004CB27E3}</x14:id>
        </ext>
      </extLst>
    </cfRule>
  </conditionalFormatting>
  <conditionalFormatting sqref="D37:F40">
    <cfRule type="dataBar" priority="7">
      <dataBar>
        <cfvo type="min"/>
        <cfvo type="max"/>
        <color rgb="FFD6007B"/>
      </dataBar>
      <extLst>
        <ext xmlns:x14="http://schemas.microsoft.com/office/spreadsheetml/2009/9/main" uri="{B025F937-C7B1-47D3-B67F-A62EFF666E3E}">
          <x14:id>{80C87FD2-BD07-4BB5-9C0D-A1D2BF363644}</x14:id>
        </ext>
      </extLst>
    </cfRule>
  </conditionalFormatting>
  <conditionalFormatting sqref="F12:F34">
    <cfRule type="dataBar" priority="1">
      <dataBar>
        <cfvo type="min"/>
        <cfvo type="max"/>
        <color rgb="FFFFB628"/>
      </dataBar>
      <extLst>
        <ext xmlns:x14="http://schemas.microsoft.com/office/spreadsheetml/2009/9/main" uri="{B025F937-C7B1-47D3-B67F-A62EFF666E3E}">
          <x14:id>{0054ED97-6B39-47EE-970F-3D7220F91D2F}</x14:id>
        </ext>
      </extLst>
    </cfRule>
  </conditionalFormatting>
  <conditionalFormatting sqref="E12:E34">
    <cfRule type="dataBar" priority="2">
      <dataBar>
        <cfvo type="min"/>
        <cfvo type="max"/>
        <color rgb="FF638EC6"/>
      </dataBar>
      <extLst>
        <ext xmlns:x14="http://schemas.microsoft.com/office/spreadsheetml/2009/9/main" uri="{B025F937-C7B1-47D3-B67F-A62EFF666E3E}">
          <x14:id>{3D310D00-BC55-40BE-9DF6-D90CF1C54F11}</x14:id>
        </ext>
      </extLst>
    </cfRule>
  </conditionalFormatting>
  <conditionalFormatting sqref="D12:D34">
    <cfRule type="dataBar" priority="3">
      <dataBar>
        <cfvo type="min"/>
        <cfvo type="max"/>
        <color rgb="FF63C384"/>
      </dataBar>
      <extLst>
        <ext xmlns:x14="http://schemas.microsoft.com/office/spreadsheetml/2009/9/main" uri="{B025F937-C7B1-47D3-B67F-A62EFF666E3E}">
          <x14:id>{3C54CAF3-E8DB-4E86-98B4-12A79F65AD85}</x14:id>
        </ext>
      </extLst>
    </cfRule>
  </conditionalFormatting>
  <conditionalFormatting sqref="I27:M27">
    <cfRule type="dataBar" priority="48">
      <dataBar>
        <cfvo type="num" val="0"/>
        <cfvo type="num" val="#REF!"/>
        <color rgb="FF638EC6"/>
      </dataBar>
      <extLst>
        <ext xmlns:x14="http://schemas.microsoft.com/office/spreadsheetml/2009/9/main" uri="{B025F937-C7B1-47D3-B67F-A62EFF666E3E}">
          <x14:id>{02A8E9F0-FDBA-452A-AB6A-F2E5CA3F88D3}</x14:id>
        </ext>
      </extLst>
    </cfRule>
    <cfRule type="dataBar" priority="49">
      <dataBar>
        <cfvo type="min"/>
        <cfvo type="max"/>
        <color rgb="FF008AEF"/>
      </dataBar>
      <extLst>
        <ext xmlns:x14="http://schemas.microsoft.com/office/spreadsheetml/2009/9/main" uri="{B025F937-C7B1-47D3-B67F-A62EFF666E3E}">
          <x14:id>{48264DF9-DDE3-4B92-9921-17F85D71C4D9}</x14:id>
        </ext>
      </extLst>
    </cfRule>
  </conditionalFormatting>
  <printOptions horizontalCentered="1"/>
  <pageMargins left="0.15" right="0.15" top="0.17" bottom="0.15" header="0.19" footer="0.19"/>
  <pageSetup paperSize="9" scale="81" orientation="landscape" r:id="rId1"/>
  <drawing r:id="rId2"/>
  <extLst>
    <ext xmlns:x14="http://schemas.microsoft.com/office/spreadsheetml/2009/9/main" uri="{78C0D931-6437-407d-A8EE-F0AAD7539E65}">
      <x14:conditionalFormattings>
        <x14:conditionalFormatting xmlns:xm="http://schemas.microsoft.com/office/excel/2006/main">
          <x14:cfRule type="dataBar" id="{4729CA1C-9856-465B-A252-5D74BE4F6C00}">
            <x14:dataBar minLength="0" maxLength="100" gradient="0">
              <x14:cfvo type="num">
                <xm:f>0</xm:f>
              </x14:cfvo>
              <x14:cfvo type="num">
                <xm:f>$AP$26</xm:f>
              </x14:cfvo>
              <x14:negativeFillColor rgb="FFFF0000"/>
              <x14:axisColor rgb="FF000000"/>
            </x14:dataBar>
          </x14:cfRule>
          <x14:cfRule type="dataBar" id="{5DCED515-272B-4C05-BE24-8A126174C663}">
            <x14:dataBar minLength="0" maxLength="100" border="1" negativeBarBorderColorSameAsPositive="0">
              <x14:cfvo type="num">
                <xm:f>0</xm:f>
              </x14:cfvo>
              <x14:cfvo type="num">
                <xm:f>$AP$26</xm:f>
              </x14:cfvo>
              <x14:borderColor rgb="FFFF555A"/>
              <x14:negativeFillColor rgb="FFFF0000"/>
              <x14:negativeBorderColor rgb="FFFF0000"/>
              <x14:axisColor rgb="FF000000"/>
            </x14:dataBar>
          </x14:cfRule>
          <x14:cfRule type="dataBar" id="{83FF87DB-4AF0-4757-A50F-701789E158D8}">
            <x14:dataBar minLength="0" maxLength="100" gradient="0">
              <x14:cfvo type="autoMin"/>
              <x14:cfvo type="autoMax"/>
              <x14:negativeFillColor rgb="FFFF0000"/>
              <x14:axisColor rgb="FF000000"/>
            </x14:dataBar>
          </x14:cfRule>
          <xm:sqref>I28:M28</xm:sqref>
        </x14:conditionalFormatting>
        <x14:conditionalFormatting xmlns:xm="http://schemas.microsoft.com/office/excel/2006/main">
          <x14:cfRule type="dataBar" id="{74459D76-3CDD-4603-8F85-808736BAF087}">
            <x14:dataBar minLength="0" maxLength="100" border="1" negativeBarBorderColorSameAsPositive="0">
              <x14:cfvo type="autoMin"/>
              <x14:cfvo type="autoMax"/>
              <x14:borderColor rgb="FF638EC6"/>
              <x14:negativeFillColor rgb="FFFF0000"/>
              <x14:negativeBorderColor rgb="FFFF0000"/>
              <x14:axisColor rgb="FF000000"/>
            </x14:dataBar>
          </x14:cfRule>
          <xm:sqref>I27:M27</xm:sqref>
        </x14:conditionalFormatting>
        <x14:conditionalFormatting xmlns:xm="http://schemas.microsoft.com/office/excel/2006/main">
          <x14:cfRule type="dataBar" id="{077C6988-A8CC-4404-8A74-478FD55721B5}">
            <x14:dataBar minLength="0" maxLength="100" border="1" negativeBarBorderColorSameAsPositive="0">
              <x14:cfvo type="autoMin"/>
              <x14:cfvo type="autoMax"/>
              <x14:borderColor rgb="FF638EC6"/>
              <x14:negativeFillColor rgb="FFFF0000"/>
              <x14:negativeBorderColor rgb="FFFF0000"/>
              <x14:axisColor rgb="FF000000"/>
            </x14:dataBar>
          </x14:cfRule>
          <xm:sqref>I28:M28</xm:sqref>
        </x14:conditionalFormatting>
        <x14:conditionalFormatting xmlns:xm="http://schemas.microsoft.com/office/excel/2006/main">
          <x14:cfRule type="dataBar" id="{8F4E58BC-54BC-42B3-A2EF-4E04EA63C653}">
            <x14:dataBar minLength="0" maxLength="100" border="1" negativeBarBorderColorSameAsPositive="0">
              <x14:cfvo type="autoMin"/>
              <x14:cfvo type="autoMax"/>
              <x14:borderColor rgb="FFFFB628"/>
              <x14:negativeFillColor rgb="FFFF0000"/>
              <x14:negativeBorderColor rgb="FFFF0000"/>
              <x14:axisColor rgb="FF000000"/>
            </x14:dataBar>
          </x14:cfRule>
          <xm:sqref>G12:G33</xm:sqref>
        </x14:conditionalFormatting>
        <x14:conditionalFormatting xmlns:xm="http://schemas.microsoft.com/office/excel/2006/main">
          <x14:cfRule type="dataBar" id="{898ED28B-BD84-48E1-B5FF-CD5004CB27E3}">
            <x14:dataBar minLength="0" maxLength="100" border="1" negativeBarBorderColorSameAsPositive="0">
              <x14:cfvo type="autoMin"/>
              <x14:cfvo type="autoMax"/>
              <x14:borderColor rgb="FF63C384"/>
              <x14:negativeFillColor rgb="FFFF0000"/>
              <x14:negativeBorderColor rgb="FFFF0000"/>
              <x14:axisColor rgb="FF000000"/>
            </x14:dataBar>
          </x14:cfRule>
          <xm:sqref>D37:F40</xm:sqref>
        </x14:conditionalFormatting>
        <x14:conditionalFormatting xmlns:xm="http://schemas.microsoft.com/office/excel/2006/main">
          <x14:cfRule type="dataBar" id="{80C87FD2-BD07-4BB5-9C0D-A1D2BF363644}">
            <x14:dataBar minLength="0" maxLength="100" border="1" negativeBarBorderColorSameAsPositive="0">
              <x14:cfvo type="autoMin"/>
              <x14:cfvo type="autoMax"/>
              <x14:borderColor rgb="FFD6007B"/>
              <x14:negativeFillColor rgb="FFFF0000"/>
              <x14:negativeBorderColor rgb="FFFF0000"/>
              <x14:axisColor rgb="FF000000"/>
            </x14:dataBar>
          </x14:cfRule>
          <xm:sqref>D37:F40</xm:sqref>
        </x14:conditionalFormatting>
        <x14:conditionalFormatting xmlns:xm="http://schemas.microsoft.com/office/excel/2006/main">
          <x14:cfRule type="dataBar" id="{0054ED97-6B39-47EE-970F-3D7220F91D2F}">
            <x14:dataBar minLength="0" maxLength="100" border="1" negativeBarBorderColorSameAsPositive="0">
              <x14:cfvo type="autoMin"/>
              <x14:cfvo type="autoMax"/>
              <x14:borderColor rgb="FFFFB628"/>
              <x14:negativeFillColor rgb="FFFF0000"/>
              <x14:negativeBorderColor rgb="FFFF0000"/>
              <x14:axisColor rgb="FF000000"/>
            </x14:dataBar>
          </x14:cfRule>
          <xm:sqref>F12:F34</xm:sqref>
        </x14:conditionalFormatting>
        <x14:conditionalFormatting xmlns:xm="http://schemas.microsoft.com/office/excel/2006/main">
          <x14:cfRule type="dataBar" id="{3D310D00-BC55-40BE-9DF6-D90CF1C54F11}">
            <x14:dataBar minLength="0" maxLength="100" border="1" negativeBarBorderColorSameAsPositive="0">
              <x14:cfvo type="autoMin"/>
              <x14:cfvo type="autoMax"/>
              <x14:borderColor rgb="FF638EC6"/>
              <x14:negativeFillColor rgb="FFFF0000"/>
              <x14:negativeBorderColor rgb="FFFF0000"/>
              <x14:axisColor rgb="FF000000"/>
            </x14:dataBar>
          </x14:cfRule>
          <xm:sqref>E12:E34</xm:sqref>
        </x14:conditionalFormatting>
        <x14:conditionalFormatting xmlns:xm="http://schemas.microsoft.com/office/excel/2006/main">
          <x14:cfRule type="dataBar" id="{3C54CAF3-E8DB-4E86-98B4-12A79F65AD85}">
            <x14:dataBar minLength="0" maxLength="100" border="1" negativeBarBorderColorSameAsPositive="0">
              <x14:cfvo type="autoMin"/>
              <x14:cfvo type="autoMax"/>
              <x14:borderColor rgb="FF63C384"/>
              <x14:negativeFillColor rgb="FFFF0000"/>
              <x14:negativeBorderColor rgb="FFFF0000"/>
              <x14:axisColor rgb="FF000000"/>
            </x14:dataBar>
          </x14:cfRule>
          <xm:sqref>D12:D34</xm:sqref>
        </x14:conditionalFormatting>
        <x14:conditionalFormatting xmlns:xm="http://schemas.microsoft.com/office/excel/2006/main">
          <x14:cfRule type="dataBar" id="{02A8E9F0-FDBA-452A-AB6A-F2E5CA3F88D3}">
            <x14:dataBar minLength="0" maxLength="100">
              <x14:cfvo type="num">
                <xm:f>0</xm:f>
              </x14:cfvo>
              <x14:cfvo type="num">
                <xm:f>#REF!</xm:f>
              </x14:cfvo>
              <x14:negativeFillColor rgb="FFFF0000"/>
              <x14:axisColor rgb="FF000000"/>
            </x14:dataBar>
          </x14:cfRule>
          <x14:cfRule type="dataBar" id="{48264DF9-DDE3-4B92-9921-17F85D71C4D9}">
            <x14:dataBar minLength="0" maxLength="100" gradient="0">
              <x14:cfvo type="autoMin"/>
              <x14:cfvo type="autoMax"/>
              <x14:negativeFillColor rgb="FFFF0000"/>
              <x14:axisColor rgb="FF000000"/>
            </x14:dataBar>
          </x14:cfRule>
          <xm:sqref>I27:M27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H150"/>
  <sheetViews>
    <sheetView workbookViewId="0">
      <selection activeCell="D3" sqref="D3"/>
    </sheetView>
  </sheetViews>
  <sheetFormatPr defaultRowHeight="15" x14ac:dyDescent="0.25"/>
  <cols>
    <col min="1" max="1" width="47.28515625" customWidth="1"/>
    <col min="2" max="2" width="16.140625" bestFit="1" customWidth="1"/>
    <col min="3" max="4" width="12" bestFit="1" customWidth="1"/>
    <col min="5" max="5" width="14.140625" bestFit="1" customWidth="1"/>
    <col min="6" max="6" width="20.85546875" bestFit="1" customWidth="1"/>
    <col min="7" max="7" width="10.7109375" bestFit="1" customWidth="1"/>
    <col min="8" max="8" width="9.85546875" bestFit="1" customWidth="1"/>
    <col min="9" max="9" width="9.28515625" bestFit="1" customWidth="1"/>
  </cols>
  <sheetData>
    <row r="1" spans="1:8" x14ac:dyDescent="0.25">
      <c r="A1" s="402" t="s">
        <v>499</v>
      </c>
      <c r="B1" s="394" t="s">
        <v>501</v>
      </c>
    </row>
    <row r="3" spans="1:8" x14ac:dyDescent="0.25">
      <c r="A3" s="402" t="s">
        <v>555</v>
      </c>
      <c r="B3" s="402" t="s">
        <v>1107</v>
      </c>
      <c r="C3" s="402" t="s">
        <v>1</v>
      </c>
      <c r="D3" s="402" t="s">
        <v>498</v>
      </c>
      <c r="E3" s="402" t="s">
        <v>1108</v>
      </c>
      <c r="F3" s="402" t="s">
        <v>1109</v>
      </c>
      <c r="G3" s="394" t="s">
        <v>1110</v>
      </c>
      <c r="H3" s="394" t="s">
        <v>862</v>
      </c>
    </row>
    <row r="4" spans="1:8" x14ac:dyDescent="0.25">
      <c r="A4" s="394" t="s">
        <v>62</v>
      </c>
      <c r="B4" s="394" t="s">
        <v>61</v>
      </c>
      <c r="C4" s="394">
        <v>96.355270000000004</v>
      </c>
      <c r="D4" s="394" t="s">
        <v>512</v>
      </c>
      <c r="E4" s="394" t="s">
        <v>555</v>
      </c>
      <c r="F4" s="394" t="s">
        <v>461</v>
      </c>
      <c r="G4" s="396">
        <v>73</v>
      </c>
      <c r="H4" s="396">
        <v>350</v>
      </c>
    </row>
    <row r="5" spans="1:8" x14ac:dyDescent="0.25">
      <c r="A5" s="394" t="s">
        <v>120</v>
      </c>
      <c r="B5" s="394" t="s">
        <v>119</v>
      </c>
      <c r="C5" s="394">
        <v>96.353070000000002</v>
      </c>
      <c r="D5" s="394" t="s">
        <v>512</v>
      </c>
      <c r="E5" s="394" t="s">
        <v>555</v>
      </c>
      <c r="F5" s="394" t="s">
        <v>1092</v>
      </c>
      <c r="G5" s="396">
        <v>77</v>
      </c>
      <c r="H5" s="396">
        <v>411</v>
      </c>
    </row>
    <row r="6" spans="1:8" x14ac:dyDescent="0.25">
      <c r="A6" s="394" t="s">
        <v>6</v>
      </c>
      <c r="B6" s="394" t="s">
        <v>4</v>
      </c>
      <c r="C6" s="394">
        <v>97.238829999999993</v>
      </c>
      <c r="D6" s="394" t="s">
        <v>512</v>
      </c>
      <c r="E6" s="394" t="s">
        <v>555</v>
      </c>
      <c r="F6" s="394" t="s">
        <v>1091</v>
      </c>
      <c r="G6" s="396">
        <v>274</v>
      </c>
      <c r="H6" s="396">
        <v>1349</v>
      </c>
    </row>
    <row r="7" spans="1:8" x14ac:dyDescent="0.25">
      <c r="A7" s="394" t="s">
        <v>41</v>
      </c>
      <c r="B7" s="394" t="s">
        <v>40</v>
      </c>
      <c r="C7" s="394">
        <v>96.345569999999995</v>
      </c>
      <c r="D7" s="394" t="s">
        <v>512</v>
      </c>
      <c r="E7" s="394" t="s">
        <v>555</v>
      </c>
      <c r="F7" s="394" t="s">
        <v>506</v>
      </c>
      <c r="G7" s="396">
        <v>67</v>
      </c>
      <c r="H7" s="396">
        <v>350</v>
      </c>
    </row>
    <row r="8" spans="1:8" x14ac:dyDescent="0.25">
      <c r="A8" s="394" t="s">
        <v>43</v>
      </c>
      <c r="B8" s="394" t="s">
        <v>42</v>
      </c>
      <c r="C8" s="394">
        <v>96.317350000000005</v>
      </c>
      <c r="D8" s="394" t="s">
        <v>512</v>
      </c>
      <c r="E8" s="394" t="s">
        <v>555</v>
      </c>
      <c r="F8" s="394" t="s">
        <v>506</v>
      </c>
      <c r="G8" s="396">
        <v>14</v>
      </c>
      <c r="H8" s="396">
        <v>83</v>
      </c>
    </row>
    <row r="9" spans="1:8" x14ac:dyDescent="0.25">
      <c r="A9" s="394" t="s">
        <v>513</v>
      </c>
      <c r="B9" s="394" t="s">
        <v>377</v>
      </c>
      <c r="C9" s="394">
        <v>97.252650000000003</v>
      </c>
      <c r="D9" s="394" t="s">
        <v>512</v>
      </c>
      <c r="E9" s="394" t="s">
        <v>555</v>
      </c>
      <c r="F9" s="394" t="s">
        <v>461</v>
      </c>
      <c r="G9" s="396">
        <v>12</v>
      </c>
      <c r="H9" s="396">
        <v>55</v>
      </c>
    </row>
    <row r="10" spans="1:8" x14ac:dyDescent="0.25">
      <c r="A10" s="394" t="s">
        <v>52</v>
      </c>
      <c r="B10" s="394" t="s">
        <v>51</v>
      </c>
      <c r="C10" s="394">
        <v>96.346469999999997</v>
      </c>
      <c r="D10" s="394" t="s">
        <v>512</v>
      </c>
      <c r="E10" s="394" t="s">
        <v>555</v>
      </c>
      <c r="F10" s="394" t="s">
        <v>461</v>
      </c>
      <c r="G10" s="396">
        <v>35</v>
      </c>
      <c r="H10" s="396">
        <v>226</v>
      </c>
    </row>
    <row r="11" spans="1:8" x14ac:dyDescent="0.25">
      <c r="A11" s="394" t="s">
        <v>334</v>
      </c>
      <c r="B11" s="394" t="s">
        <v>333</v>
      </c>
      <c r="C11" s="394">
        <v>97.915833000000006</v>
      </c>
      <c r="D11" s="394" t="s">
        <v>514</v>
      </c>
      <c r="E11" s="394" t="s">
        <v>555</v>
      </c>
      <c r="F11" s="394" t="s">
        <v>1092</v>
      </c>
      <c r="G11" s="396">
        <v>160</v>
      </c>
      <c r="H11" s="396">
        <v>648</v>
      </c>
    </row>
    <row r="12" spans="1:8" x14ac:dyDescent="0.25">
      <c r="A12" s="394" t="s">
        <v>188</v>
      </c>
      <c r="B12" s="394" t="s">
        <v>187</v>
      </c>
      <c r="C12" s="394">
        <v>97.609832999999995</v>
      </c>
      <c r="D12" s="394" t="s">
        <v>514</v>
      </c>
      <c r="E12" s="394" t="s">
        <v>555</v>
      </c>
      <c r="F12" s="394" t="s">
        <v>1091</v>
      </c>
      <c r="G12" s="396">
        <v>245</v>
      </c>
      <c r="H12" s="396">
        <v>1232</v>
      </c>
    </row>
    <row r="13" spans="1:8" x14ac:dyDescent="0.25">
      <c r="A13" s="394" t="s">
        <v>1036</v>
      </c>
      <c r="B13" s="394" t="s">
        <v>1037</v>
      </c>
      <c r="C13" s="394">
        <v>97.608249999999998</v>
      </c>
      <c r="D13" s="394" t="s">
        <v>514</v>
      </c>
      <c r="E13" s="394" t="s">
        <v>555</v>
      </c>
      <c r="F13" s="394" t="s">
        <v>1091</v>
      </c>
      <c r="G13" s="396">
        <v>219</v>
      </c>
      <c r="H13" s="396">
        <v>891</v>
      </c>
    </row>
    <row r="14" spans="1:8" x14ac:dyDescent="0.25">
      <c r="A14" s="394" t="s">
        <v>72</v>
      </c>
      <c r="B14" s="394" t="s">
        <v>71</v>
      </c>
      <c r="C14" s="394">
        <v>96.283377000000002</v>
      </c>
      <c r="D14" s="394" t="s">
        <v>512</v>
      </c>
      <c r="E14" s="394" t="s">
        <v>555</v>
      </c>
      <c r="F14" s="394" t="s">
        <v>506</v>
      </c>
      <c r="G14" s="396">
        <v>6</v>
      </c>
      <c r="H14" s="396">
        <v>30</v>
      </c>
    </row>
    <row r="15" spans="1:8" x14ac:dyDescent="0.25">
      <c r="A15" s="394" t="s">
        <v>28</v>
      </c>
      <c r="B15" s="394" t="s">
        <v>30</v>
      </c>
      <c r="C15" s="394">
        <v>98.131550000000004</v>
      </c>
      <c r="D15" s="394" t="s">
        <v>512</v>
      </c>
      <c r="E15" s="394" t="s">
        <v>555</v>
      </c>
      <c r="F15" s="394" t="s">
        <v>506</v>
      </c>
      <c r="G15" s="396">
        <v>109</v>
      </c>
      <c r="H15" s="396">
        <v>504</v>
      </c>
    </row>
    <row r="16" spans="1:8" x14ac:dyDescent="0.25">
      <c r="A16" s="394" t="s">
        <v>76</v>
      </c>
      <c r="B16" s="394" t="s">
        <v>75</v>
      </c>
      <c r="C16" s="394">
        <v>96.35257</v>
      </c>
      <c r="D16" s="394" t="s">
        <v>512</v>
      </c>
      <c r="E16" s="394" t="s">
        <v>555</v>
      </c>
      <c r="F16" s="394" t="s">
        <v>506</v>
      </c>
      <c r="G16" s="396">
        <v>66</v>
      </c>
      <c r="H16" s="396">
        <v>356</v>
      </c>
    </row>
    <row r="17" spans="1:8" x14ac:dyDescent="0.25">
      <c r="A17" s="394" t="s">
        <v>243</v>
      </c>
      <c r="B17" s="394" t="s">
        <v>242</v>
      </c>
      <c r="C17" s="394">
        <v>97.384729629629604</v>
      </c>
      <c r="D17" s="394" t="s">
        <v>512</v>
      </c>
      <c r="E17" s="394" t="s">
        <v>555</v>
      </c>
      <c r="F17" s="394" t="s">
        <v>461</v>
      </c>
      <c r="G17" s="396">
        <v>6</v>
      </c>
      <c r="H17" s="396">
        <v>28</v>
      </c>
    </row>
    <row r="18" spans="1:8" x14ac:dyDescent="0.25">
      <c r="A18" s="394" t="s">
        <v>245</v>
      </c>
      <c r="B18" s="394" t="s">
        <v>244</v>
      </c>
      <c r="C18" s="394">
        <v>97.382997575757599</v>
      </c>
      <c r="D18" s="394" t="s">
        <v>512</v>
      </c>
      <c r="E18" s="394" t="s">
        <v>555</v>
      </c>
      <c r="F18" s="394" t="s">
        <v>461</v>
      </c>
      <c r="G18" s="396">
        <v>6</v>
      </c>
      <c r="H18" s="396">
        <v>39</v>
      </c>
    </row>
    <row r="19" spans="1:8" x14ac:dyDescent="0.25">
      <c r="A19" s="394" t="s">
        <v>247</v>
      </c>
      <c r="B19" s="394" t="s">
        <v>246</v>
      </c>
      <c r="C19" s="394">
        <v>97.381325000000004</v>
      </c>
      <c r="D19" s="394" t="s">
        <v>512</v>
      </c>
      <c r="E19" s="394" t="s">
        <v>555</v>
      </c>
      <c r="F19" s="394" t="s">
        <v>461</v>
      </c>
      <c r="G19" s="396">
        <v>44</v>
      </c>
      <c r="H19" s="396">
        <v>212</v>
      </c>
    </row>
    <row r="20" spans="1:8" x14ac:dyDescent="0.25">
      <c r="A20" s="394" t="s">
        <v>192</v>
      </c>
      <c r="B20" s="394" t="s">
        <v>191</v>
      </c>
      <c r="C20" s="394">
        <v>97.537099999999995</v>
      </c>
      <c r="D20" s="394" t="s">
        <v>514</v>
      </c>
      <c r="E20" s="394" t="s">
        <v>555</v>
      </c>
      <c r="F20" s="394" t="s">
        <v>1092</v>
      </c>
      <c r="G20" s="396">
        <v>116</v>
      </c>
      <c r="H20" s="396">
        <v>602</v>
      </c>
    </row>
    <row r="21" spans="1:8" x14ac:dyDescent="0.25">
      <c r="A21" s="394" t="s">
        <v>313</v>
      </c>
      <c r="B21" s="394" t="s">
        <v>312</v>
      </c>
      <c r="C21" s="394">
        <v>97.404195925926004</v>
      </c>
      <c r="D21" s="394" t="s">
        <v>512</v>
      </c>
      <c r="E21" s="394" t="s">
        <v>555</v>
      </c>
      <c r="F21" s="394" t="s">
        <v>506</v>
      </c>
      <c r="G21" s="396">
        <v>99</v>
      </c>
      <c r="H21" s="396">
        <v>480</v>
      </c>
    </row>
    <row r="22" spans="1:8" x14ac:dyDescent="0.25">
      <c r="A22" s="394" t="s">
        <v>336</v>
      </c>
      <c r="B22" s="394" t="s">
        <v>335</v>
      </c>
      <c r="C22" s="394">
        <v>97.807182999999995</v>
      </c>
      <c r="D22" s="394" t="s">
        <v>514</v>
      </c>
      <c r="E22" s="394" t="s">
        <v>555</v>
      </c>
      <c r="F22" s="394" t="s">
        <v>461</v>
      </c>
      <c r="G22" s="396">
        <v>146</v>
      </c>
      <c r="H22" s="396">
        <v>1072</v>
      </c>
    </row>
    <row r="23" spans="1:8" x14ac:dyDescent="0.25">
      <c r="A23" s="394" t="s">
        <v>88</v>
      </c>
      <c r="B23" s="394" t="s">
        <v>87</v>
      </c>
      <c r="C23" s="394">
        <v>96.705960000000005</v>
      </c>
      <c r="D23" s="394" t="s">
        <v>512</v>
      </c>
      <c r="E23" s="394" t="s">
        <v>555</v>
      </c>
      <c r="F23" s="394" t="s">
        <v>461</v>
      </c>
      <c r="G23" s="396">
        <v>14</v>
      </c>
      <c r="H23" s="396">
        <v>46</v>
      </c>
    </row>
    <row r="24" spans="1:8" x14ac:dyDescent="0.25">
      <c r="A24" s="394" t="s">
        <v>44</v>
      </c>
      <c r="B24" s="394" t="s">
        <v>45</v>
      </c>
      <c r="C24" s="394">
        <v>96.316564</v>
      </c>
      <c r="D24" s="394" t="s">
        <v>512</v>
      </c>
      <c r="E24" s="394" t="s">
        <v>555</v>
      </c>
      <c r="F24" s="394" t="s">
        <v>506</v>
      </c>
      <c r="G24" s="396">
        <v>8</v>
      </c>
      <c r="H24" s="396">
        <v>46</v>
      </c>
    </row>
    <row r="25" spans="1:8" x14ac:dyDescent="0.25">
      <c r="A25" s="394" t="s">
        <v>1067</v>
      </c>
      <c r="B25" s="394" t="s">
        <v>1068</v>
      </c>
      <c r="C25" s="394">
        <v>96.312790000000007</v>
      </c>
      <c r="D25" s="394" t="s">
        <v>512</v>
      </c>
      <c r="E25" s="394" t="s">
        <v>555</v>
      </c>
      <c r="F25" s="394" t="s">
        <v>461</v>
      </c>
      <c r="G25" s="396">
        <v>105</v>
      </c>
      <c r="H25" s="396">
        <v>506</v>
      </c>
    </row>
    <row r="26" spans="1:8" x14ac:dyDescent="0.25">
      <c r="A26" s="394" t="s">
        <v>364</v>
      </c>
      <c r="B26" s="394" t="s">
        <v>29</v>
      </c>
      <c r="C26" s="394">
        <v>98.475719999999995</v>
      </c>
      <c r="D26" s="394" t="s">
        <v>514</v>
      </c>
      <c r="E26" s="394" t="s">
        <v>555</v>
      </c>
      <c r="F26" s="394" t="s">
        <v>461</v>
      </c>
      <c r="G26" s="396">
        <v>152</v>
      </c>
      <c r="H26" s="396">
        <v>1015</v>
      </c>
    </row>
    <row r="27" spans="1:8" x14ac:dyDescent="0.25">
      <c r="A27" s="394" t="s">
        <v>194</v>
      </c>
      <c r="B27" s="394" t="s">
        <v>193</v>
      </c>
      <c r="C27" s="394">
        <v>97.573126000000002</v>
      </c>
      <c r="D27" s="394" t="s">
        <v>514</v>
      </c>
      <c r="E27" s="394" t="s">
        <v>555</v>
      </c>
      <c r="F27" s="394" t="s">
        <v>1092</v>
      </c>
      <c r="G27" s="396">
        <v>604</v>
      </c>
      <c r="H27" s="396">
        <v>2888</v>
      </c>
    </row>
    <row r="28" spans="1:8" x14ac:dyDescent="0.25">
      <c r="A28" s="394" t="s">
        <v>14</v>
      </c>
      <c r="B28" s="394" t="s">
        <v>13</v>
      </c>
      <c r="C28" s="394">
        <v>97.236919999999998</v>
      </c>
      <c r="D28" s="394" t="s">
        <v>512</v>
      </c>
      <c r="E28" s="394" t="s">
        <v>555</v>
      </c>
      <c r="F28" s="394" t="s">
        <v>461</v>
      </c>
      <c r="G28" s="396">
        <v>39</v>
      </c>
      <c r="H28" s="396">
        <v>232</v>
      </c>
    </row>
    <row r="29" spans="1:8" x14ac:dyDescent="0.25">
      <c r="A29" s="394" t="s">
        <v>814</v>
      </c>
      <c r="B29" s="394" t="s">
        <v>815</v>
      </c>
      <c r="C29" s="394">
        <v>97.541793999999996</v>
      </c>
      <c r="D29" s="394" t="s">
        <v>514</v>
      </c>
      <c r="E29" s="394" t="s">
        <v>988</v>
      </c>
      <c r="F29" s="394" t="s">
        <v>860</v>
      </c>
      <c r="G29" s="396"/>
      <c r="H29" s="396">
        <v>1047</v>
      </c>
    </row>
    <row r="30" spans="1:8" x14ac:dyDescent="0.25">
      <c r="A30" s="394" t="s">
        <v>253</v>
      </c>
      <c r="B30" s="394" t="s">
        <v>252</v>
      </c>
      <c r="C30" s="394">
        <v>97.373361000000003</v>
      </c>
      <c r="D30" s="394" t="s">
        <v>512</v>
      </c>
      <c r="E30" s="394" t="s">
        <v>555</v>
      </c>
      <c r="F30" s="394" t="s">
        <v>461</v>
      </c>
      <c r="G30" s="396">
        <v>198</v>
      </c>
      <c r="H30" s="396">
        <v>1084</v>
      </c>
    </row>
    <row r="31" spans="1:8" x14ac:dyDescent="0.25">
      <c r="A31" s="394" t="s">
        <v>255</v>
      </c>
      <c r="B31" s="394" t="s">
        <v>254</v>
      </c>
      <c r="C31" s="394">
        <v>97.379594999999995</v>
      </c>
      <c r="D31" s="394" t="s">
        <v>512</v>
      </c>
      <c r="E31" s="394" t="s">
        <v>555</v>
      </c>
      <c r="F31" s="394" t="s">
        <v>1092</v>
      </c>
      <c r="G31" s="396">
        <v>101</v>
      </c>
      <c r="H31" s="396">
        <v>451</v>
      </c>
    </row>
    <row r="32" spans="1:8" x14ac:dyDescent="0.25">
      <c r="A32" s="394" t="s">
        <v>196</v>
      </c>
      <c r="B32" s="394" t="s">
        <v>195</v>
      </c>
      <c r="C32" s="394">
        <v>97.568331999999998</v>
      </c>
      <c r="D32" s="394" t="s">
        <v>514</v>
      </c>
      <c r="E32" s="394" t="s">
        <v>555</v>
      </c>
      <c r="F32" s="394" t="s">
        <v>1092</v>
      </c>
      <c r="G32" s="396">
        <v>1658</v>
      </c>
      <c r="H32" s="396">
        <v>8585</v>
      </c>
    </row>
    <row r="33" spans="1:8" x14ac:dyDescent="0.25">
      <c r="A33" s="394" t="s">
        <v>372</v>
      </c>
      <c r="B33" s="394" t="s">
        <v>382</v>
      </c>
      <c r="C33" s="394">
        <v>97.848529999999997</v>
      </c>
      <c r="D33" s="394" t="s">
        <v>512</v>
      </c>
      <c r="E33" s="394" t="s">
        <v>555</v>
      </c>
      <c r="F33" s="394" t="s">
        <v>461</v>
      </c>
      <c r="G33" s="396">
        <v>88</v>
      </c>
      <c r="H33" s="396">
        <v>505</v>
      </c>
    </row>
    <row r="34" spans="1:8" x14ac:dyDescent="0.25">
      <c r="A34" s="394" t="s">
        <v>369</v>
      </c>
      <c r="B34" s="394" t="s">
        <v>383</v>
      </c>
      <c r="C34" s="394">
        <v>97.926813999999993</v>
      </c>
      <c r="D34" s="394" t="s">
        <v>512</v>
      </c>
      <c r="E34" s="394" t="s">
        <v>555</v>
      </c>
      <c r="F34" s="394" t="s">
        <v>461</v>
      </c>
      <c r="G34" s="396">
        <v>63</v>
      </c>
      <c r="H34" s="396">
        <v>286</v>
      </c>
    </row>
    <row r="35" spans="1:8" x14ac:dyDescent="0.25">
      <c r="A35" s="394" t="s">
        <v>370</v>
      </c>
      <c r="B35" s="394" t="s">
        <v>384</v>
      </c>
      <c r="C35" s="394">
        <v>97.947360000000003</v>
      </c>
      <c r="D35" s="394" t="s">
        <v>512</v>
      </c>
      <c r="E35" s="394" t="s">
        <v>555</v>
      </c>
      <c r="F35" s="394" t="s">
        <v>1265</v>
      </c>
      <c r="G35" s="396">
        <v>30</v>
      </c>
      <c r="H35" s="396">
        <v>139</v>
      </c>
    </row>
    <row r="36" spans="1:8" x14ac:dyDescent="0.25">
      <c r="A36" s="394" t="s">
        <v>257</v>
      </c>
      <c r="B36" s="394" t="s">
        <v>256</v>
      </c>
      <c r="C36" s="394">
        <v>97.405202777777802</v>
      </c>
      <c r="D36" s="394" t="s">
        <v>512</v>
      </c>
      <c r="E36" s="394" t="s">
        <v>555</v>
      </c>
      <c r="F36" s="394" t="s">
        <v>461</v>
      </c>
      <c r="G36" s="396">
        <v>44</v>
      </c>
      <c r="H36" s="396">
        <v>194</v>
      </c>
    </row>
    <row r="37" spans="1:8" x14ac:dyDescent="0.25">
      <c r="A37" s="394" t="s">
        <v>174</v>
      </c>
      <c r="B37" s="394" t="s">
        <v>172</v>
      </c>
      <c r="C37" s="394">
        <v>96.922619999999995</v>
      </c>
      <c r="D37" s="394" t="s">
        <v>512</v>
      </c>
      <c r="E37" s="394" t="s">
        <v>555</v>
      </c>
      <c r="F37" s="394" t="s">
        <v>461</v>
      </c>
      <c r="G37" s="396">
        <v>13</v>
      </c>
      <c r="H37" s="396">
        <v>64</v>
      </c>
    </row>
    <row r="38" spans="1:8" x14ac:dyDescent="0.25">
      <c r="A38" s="394" t="s">
        <v>145</v>
      </c>
      <c r="B38" s="394" t="s">
        <v>143</v>
      </c>
      <c r="C38" s="394">
        <v>98.144502500000002</v>
      </c>
      <c r="D38" s="394" t="s">
        <v>512</v>
      </c>
      <c r="E38" s="394" t="s">
        <v>555</v>
      </c>
      <c r="F38" s="394" t="s">
        <v>860</v>
      </c>
      <c r="G38" s="396">
        <v>11</v>
      </c>
      <c r="H38" s="396">
        <v>17</v>
      </c>
    </row>
    <row r="39" spans="1:8" x14ac:dyDescent="0.25">
      <c r="A39" s="394" t="s">
        <v>198</v>
      </c>
      <c r="B39" s="394" t="s">
        <v>197</v>
      </c>
      <c r="C39" s="394">
        <v>97.625617000000005</v>
      </c>
      <c r="D39" s="394" t="s">
        <v>514</v>
      </c>
      <c r="E39" s="394" t="s">
        <v>555</v>
      </c>
      <c r="F39" s="394" t="s">
        <v>1091</v>
      </c>
      <c r="G39" s="396">
        <v>545</v>
      </c>
      <c r="H39" s="396">
        <v>2560</v>
      </c>
    </row>
    <row r="40" spans="1:8" x14ac:dyDescent="0.25">
      <c r="A40" s="394" t="s">
        <v>240</v>
      </c>
      <c r="B40" s="394" t="s">
        <v>239</v>
      </c>
      <c r="C40" s="394">
        <v>97.409035000000003</v>
      </c>
      <c r="D40" s="394" t="s">
        <v>512</v>
      </c>
      <c r="E40" s="394" t="s">
        <v>555</v>
      </c>
      <c r="F40" s="394" t="s">
        <v>461</v>
      </c>
      <c r="G40" s="396">
        <v>96</v>
      </c>
      <c r="H40" s="396">
        <v>544</v>
      </c>
    </row>
    <row r="41" spans="1:8" x14ac:dyDescent="0.25">
      <c r="A41" s="394" t="s">
        <v>285</v>
      </c>
      <c r="B41" s="394" t="s">
        <v>284</v>
      </c>
      <c r="C41" s="394">
        <v>97.403402307692303</v>
      </c>
      <c r="D41" s="394" t="s">
        <v>512</v>
      </c>
      <c r="E41" s="394" t="s">
        <v>555</v>
      </c>
      <c r="F41" s="394" t="s">
        <v>461</v>
      </c>
      <c r="G41" s="396">
        <v>138</v>
      </c>
      <c r="H41" s="396">
        <v>697</v>
      </c>
    </row>
    <row r="42" spans="1:8" x14ac:dyDescent="0.25">
      <c r="A42" s="394" t="s">
        <v>365</v>
      </c>
      <c r="B42" s="394" t="s">
        <v>378</v>
      </c>
      <c r="C42" s="394">
        <v>98.129990000000006</v>
      </c>
      <c r="D42" s="394" t="s">
        <v>512</v>
      </c>
      <c r="E42" s="394" t="s">
        <v>555</v>
      </c>
      <c r="F42" s="394" t="s">
        <v>506</v>
      </c>
      <c r="G42" s="396">
        <v>143</v>
      </c>
      <c r="H42" s="396">
        <v>638</v>
      </c>
    </row>
    <row r="43" spans="1:8" x14ac:dyDescent="0.25">
      <c r="A43" s="394" t="s">
        <v>90</v>
      </c>
      <c r="B43" s="394" t="s">
        <v>89</v>
      </c>
      <c r="C43" s="394">
        <v>96.269199999999998</v>
      </c>
      <c r="D43" s="394" t="s">
        <v>512</v>
      </c>
      <c r="E43" s="394" t="s">
        <v>555</v>
      </c>
      <c r="F43" s="394" t="s">
        <v>506</v>
      </c>
      <c r="G43" s="396">
        <v>25</v>
      </c>
      <c r="H43" s="396">
        <v>133</v>
      </c>
    </row>
    <row r="44" spans="1:8" x14ac:dyDescent="0.25">
      <c r="A44" s="394" t="s">
        <v>92</v>
      </c>
      <c r="B44" s="394" t="s">
        <v>91</v>
      </c>
      <c r="C44" s="394">
        <v>96.316400000000002</v>
      </c>
      <c r="D44" s="394" t="s">
        <v>512</v>
      </c>
      <c r="E44" s="394" t="s">
        <v>555</v>
      </c>
      <c r="F44" s="394" t="s">
        <v>506</v>
      </c>
      <c r="G44" s="396">
        <v>15</v>
      </c>
      <c r="H44" s="396">
        <v>74</v>
      </c>
    </row>
    <row r="45" spans="1:8" x14ac:dyDescent="0.25">
      <c r="A45" s="394" t="s">
        <v>18</v>
      </c>
      <c r="B45" s="394" t="s">
        <v>17</v>
      </c>
      <c r="C45" s="394">
        <v>97.240183461538507</v>
      </c>
      <c r="D45" s="394" t="s">
        <v>512</v>
      </c>
      <c r="E45" s="394" t="s">
        <v>555</v>
      </c>
      <c r="F45" s="394" t="s">
        <v>506</v>
      </c>
      <c r="G45" s="396">
        <v>116</v>
      </c>
      <c r="H45" s="396">
        <v>659</v>
      </c>
    </row>
    <row r="46" spans="1:8" x14ac:dyDescent="0.25">
      <c r="A46" s="394" t="s">
        <v>186</v>
      </c>
      <c r="B46" s="394" t="s">
        <v>184</v>
      </c>
      <c r="C46" s="394">
        <v>97.718582999999995</v>
      </c>
      <c r="D46" s="394" t="s">
        <v>512</v>
      </c>
      <c r="E46" s="394" t="s">
        <v>555</v>
      </c>
      <c r="F46" s="394" t="s">
        <v>461</v>
      </c>
      <c r="G46" s="396">
        <v>36</v>
      </c>
      <c r="H46" s="396">
        <v>215</v>
      </c>
    </row>
    <row r="47" spans="1:8" x14ac:dyDescent="0.25">
      <c r="A47" s="394" t="s">
        <v>223</v>
      </c>
      <c r="B47" s="394" t="s">
        <v>222</v>
      </c>
      <c r="C47" s="394">
        <v>97.724566999999993</v>
      </c>
      <c r="D47" s="394" t="s">
        <v>512</v>
      </c>
      <c r="E47" s="394" t="s">
        <v>555</v>
      </c>
      <c r="F47" s="394" t="s">
        <v>1091</v>
      </c>
      <c r="G47" s="396">
        <v>124</v>
      </c>
      <c r="H47" s="396">
        <v>544</v>
      </c>
    </row>
    <row r="48" spans="1:8" x14ac:dyDescent="0.25">
      <c r="A48" s="394" t="s">
        <v>190</v>
      </c>
      <c r="B48" s="394" t="s">
        <v>189</v>
      </c>
      <c r="C48" s="394">
        <v>97.717133000000004</v>
      </c>
      <c r="D48" s="394" t="s">
        <v>512</v>
      </c>
      <c r="E48" s="394" t="s">
        <v>555</v>
      </c>
      <c r="F48" s="394" t="s">
        <v>461</v>
      </c>
      <c r="G48" s="396">
        <v>190</v>
      </c>
      <c r="H48" s="396">
        <v>1021</v>
      </c>
    </row>
    <row r="49" spans="1:8" x14ac:dyDescent="0.25">
      <c r="A49" s="394" t="s">
        <v>320</v>
      </c>
      <c r="B49" s="394" t="s">
        <v>319</v>
      </c>
      <c r="C49" s="394">
        <v>97.451965000000001</v>
      </c>
      <c r="D49" s="394" t="s">
        <v>512</v>
      </c>
      <c r="E49" s="394" t="s">
        <v>555</v>
      </c>
      <c r="F49" s="394" t="s">
        <v>461</v>
      </c>
      <c r="G49" s="396">
        <v>22</v>
      </c>
      <c r="H49" s="396">
        <v>128</v>
      </c>
    </row>
    <row r="50" spans="1:8" x14ac:dyDescent="0.25">
      <c r="A50" s="394" t="s">
        <v>322</v>
      </c>
      <c r="B50" s="394" t="s">
        <v>321</v>
      </c>
      <c r="C50" s="394">
        <v>97.715230000000005</v>
      </c>
      <c r="D50" s="394" t="s">
        <v>514</v>
      </c>
      <c r="E50" s="394" t="s">
        <v>555</v>
      </c>
      <c r="F50" s="394" t="s">
        <v>1092</v>
      </c>
      <c r="G50" s="396">
        <v>586</v>
      </c>
      <c r="H50" s="396">
        <v>2574</v>
      </c>
    </row>
    <row r="51" spans="1:8" x14ac:dyDescent="0.25">
      <c r="A51" s="394" t="s">
        <v>328</v>
      </c>
      <c r="B51" s="394" t="s">
        <v>327</v>
      </c>
      <c r="C51" s="394">
        <v>97.433419259259296</v>
      </c>
      <c r="D51" s="394" t="s">
        <v>512</v>
      </c>
      <c r="E51" s="394" t="s">
        <v>555</v>
      </c>
      <c r="F51" s="394" t="s">
        <v>506</v>
      </c>
      <c r="G51" s="396">
        <v>143</v>
      </c>
      <c r="H51" s="396">
        <v>800</v>
      </c>
    </row>
    <row r="52" spans="1:8" x14ac:dyDescent="0.25">
      <c r="A52" s="394" t="s">
        <v>330</v>
      </c>
      <c r="B52" s="394" t="s">
        <v>329</v>
      </c>
      <c r="C52" s="394">
        <v>97.437782499999997</v>
      </c>
      <c r="D52" s="394" t="s">
        <v>512</v>
      </c>
      <c r="E52" s="394" t="s">
        <v>555</v>
      </c>
      <c r="F52" s="394" t="s">
        <v>1092</v>
      </c>
      <c r="G52" s="396">
        <v>222</v>
      </c>
      <c r="H52" s="396">
        <v>1251</v>
      </c>
    </row>
    <row r="53" spans="1:8" x14ac:dyDescent="0.25">
      <c r="A53" s="394" t="s">
        <v>324</v>
      </c>
      <c r="B53" s="394" t="s">
        <v>323</v>
      </c>
      <c r="C53" s="394">
        <v>97.434855869565197</v>
      </c>
      <c r="D53" s="394" t="s">
        <v>512</v>
      </c>
      <c r="E53" s="394" t="s">
        <v>555</v>
      </c>
      <c r="F53" s="394" t="s">
        <v>461</v>
      </c>
      <c r="G53" s="396">
        <v>396</v>
      </c>
      <c r="H53" s="396">
        <v>2120</v>
      </c>
    </row>
    <row r="54" spans="1:8" x14ac:dyDescent="0.25">
      <c r="A54" s="394" t="s">
        <v>326</v>
      </c>
      <c r="B54" s="394" t="s">
        <v>325</v>
      </c>
      <c r="C54" s="394">
        <v>97.426536944444507</v>
      </c>
      <c r="D54" s="394" t="s">
        <v>512</v>
      </c>
      <c r="E54" s="394" t="s">
        <v>555</v>
      </c>
      <c r="F54" s="394" t="s">
        <v>461</v>
      </c>
      <c r="G54" s="396">
        <v>46</v>
      </c>
      <c r="H54" s="396">
        <v>192</v>
      </c>
    </row>
    <row r="55" spans="1:8" x14ac:dyDescent="0.25">
      <c r="A55" s="394" t="s">
        <v>886</v>
      </c>
      <c r="B55" s="394" t="s">
        <v>887</v>
      </c>
      <c r="C55" s="394">
        <v>97.225881000000001</v>
      </c>
      <c r="D55" s="394" t="s">
        <v>512</v>
      </c>
      <c r="E55" s="394" t="s">
        <v>555</v>
      </c>
      <c r="F55" s="394" t="s">
        <v>461</v>
      </c>
      <c r="G55" s="396">
        <v>390</v>
      </c>
      <c r="H55" s="396">
        <v>1672</v>
      </c>
    </row>
    <row r="56" spans="1:8" x14ac:dyDescent="0.25">
      <c r="A56" s="394" t="s">
        <v>944</v>
      </c>
      <c r="B56" s="394" t="s">
        <v>943</v>
      </c>
      <c r="C56" s="394">
        <v>97.227057000000002</v>
      </c>
      <c r="D56" s="394" t="s">
        <v>512</v>
      </c>
      <c r="E56" s="394" t="s">
        <v>555</v>
      </c>
      <c r="F56" s="394" t="s">
        <v>1091</v>
      </c>
      <c r="G56" s="396">
        <v>123</v>
      </c>
      <c r="H56" s="396">
        <v>582</v>
      </c>
    </row>
    <row r="57" spans="1:8" x14ac:dyDescent="0.25">
      <c r="A57" s="394" t="s">
        <v>259</v>
      </c>
      <c r="B57" s="394" t="s">
        <v>258</v>
      </c>
      <c r="C57" s="394">
        <v>97.4113064583333</v>
      </c>
      <c r="D57" s="394" t="s">
        <v>512</v>
      </c>
      <c r="E57" s="394" t="s">
        <v>555</v>
      </c>
      <c r="F57" s="394" t="s">
        <v>461</v>
      </c>
      <c r="G57" s="396">
        <v>60</v>
      </c>
      <c r="H57" s="396">
        <v>293</v>
      </c>
    </row>
    <row r="58" spans="1:8" x14ac:dyDescent="0.25">
      <c r="A58" s="394" t="s">
        <v>202</v>
      </c>
      <c r="B58" s="394" t="s">
        <v>201</v>
      </c>
      <c r="C58" s="394">
        <v>97.325019999999995</v>
      </c>
      <c r="D58" s="394" t="s">
        <v>512</v>
      </c>
      <c r="E58" s="394" t="s">
        <v>555</v>
      </c>
      <c r="F58" s="394" t="s">
        <v>1091</v>
      </c>
      <c r="G58" s="396">
        <v>261</v>
      </c>
      <c r="H58" s="396">
        <v>1155</v>
      </c>
    </row>
    <row r="59" spans="1:8" x14ac:dyDescent="0.25">
      <c r="A59" s="394" t="s">
        <v>261</v>
      </c>
      <c r="B59" s="394" t="s">
        <v>260</v>
      </c>
      <c r="C59" s="394">
        <v>97.418694000000002</v>
      </c>
      <c r="D59" s="394" t="s">
        <v>512</v>
      </c>
      <c r="E59" s="394" t="s">
        <v>555</v>
      </c>
      <c r="F59" s="394" t="s">
        <v>461</v>
      </c>
      <c r="G59" s="396">
        <v>99</v>
      </c>
      <c r="H59" s="396">
        <v>537</v>
      </c>
    </row>
    <row r="60" spans="1:8" x14ac:dyDescent="0.25">
      <c r="A60" s="394" t="s">
        <v>160</v>
      </c>
      <c r="B60" s="394" t="s">
        <v>159</v>
      </c>
      <c r="C60" s="394">
        <v>97.589979999999997</v>
      </c>
      <c r="D60" s="394" t="s">
        <v>512</v>
      </c>
      <c r="E60" s="394" t="s">
        <v>555</v>
      </c>
      <c r="F60" s="394" t="s">
        <v>461</v>
      </c>
      <c r="G60" s="396">
        <v>107</v>
      </c>
      <c r="H60" s="396">
        <v>525</v>
      </c>
    </row>
    <row r="61" spans="1:8" x14ac:dyDescent="0.25">
      <c r="A61" s="394" t="s">
        <v>1097</v>
      </c>
      <c r="B61" s="394" t="s">
        <v>1098</v>
      </c>
      <c r="C61" s="394">
        <v>97.590767</v>
      </c>
      <c r="D61" s="394" t="s">
        <v>512</v>
      </c>
      <c r="E61" s="394" t="s">
        <v>555</v>
      </c>
      <c r="F61" s="394" t="s">
        <v>461</v>
      </c>
      <c r="G61" s="396">
        <v>113</v>
      </c>
      <c r="H61" s="396">
        <v>476</v>
      </c>
    </row>
    <row r="62" spans="1:8" x14ac:dyDescent="0.25">
      <c r="A62" s="394" t="s">
        <v>154</v>
      </c>
      <c r="B62" s="394" t="s">
        <v>153</v>
      </c>
      <c r="C62" s="394">
        <v>97.578490000000002</v>
      </c>
      <c r="D62" s="394" t="s">
        <v>512</v>
      </c>
      <c r="E62" s="394" t="s">
        <v>555</v>
      </c>
      <c r="F62" s="394" t="s">
        <v>1091</v>
      </c>
      <c r="G62" s="396">
        <v>458</v>
      </c>
      <c r="H62" s="396">
        <v>2139</v>
      </c>
    </row>
    <row r="63" spans="1:8" x14ac:dyDescent="0.25">
      <c r="A63" s="394" t="s">
        <v>1063</v>
      </c>
      <c r="B63" s="394" t="s">
        <v>1064</v>
      </c>
      <c r="C63" s="394">
        <v>97.578367</v>
      </c>
      <c r="D63" s="394" t="s">
        <v>512</v>
      </c>
      <c r="E63" s="394" t="s">
        <v>555</v>
      </c>
      <c r="F63" s="394" t="s">
        <v>1091</v>
      </c>
      <c r="G63" s="396">
        <v>123</v>
      </c>
      <c r="H63" s="396">
        <v>555</v>
      </c>
    </row>
    <row r="64" spans="1:8" x14ac:dyDescent="0.25">
      <c r="A64" s="394" t="s">
        <v>167</v>
      </c>
      <c r="B64" s="394" t="s">
        <v>165</v>
      </c>
      <c r="C64" s="394">
        <v>97.124403000000001</v>
      </c>
      <c r="D64" s="394" t="s">
        <v>512</v>
      </c>
      <c r="E64" s="394" t="s">
        <v>555</v>
      </c>
      <c r="F64" s="394" t="s">
        <v>461</v>
      </c>
      <c r="G64" s="396">
        <v>37</v>
      </c>
      <c r="H64" s="396">
        <v>159</v>
      </c>
    </row>
    <row r="65" spans="1:8" x14ac:dyDescent="0.25">
      <c r="A65" s="394" t="s">
        <v>823</v>
      </c>
      <c r="B65" s="394" t="s">
        <v>824</v>
      </c>
      <c r="C65" s="394">
        <v>97.116680000000002</v>
      </c>
      <c r="D65" s="394" t="s">
        <v>512</v>
      </c>
      <c r="E65" s="394" t="s">
        <v>555</v>
      </c>
      <c r="F65" s="394" t="s">
        <v>1265</v>
      </c>
      <c r="G65" s="396">
        <v>29</v>
      </c>
      <c r="H65" s="396">
        <v>157</v>
      </c>
    </row>
    <row r="66" spans="1:8" x14ac:dyDescent="0.25">
      <c r="A66" s="394" t="s">
        <v>176</v>
      </c>
      <c r="B66" s="394" t="s">
        <v>175</v>
      </c>
      <c r="C66" s="394">
        <v>96.942279999999997</v>
      </c>
      <c r="D66" s="394" t="s">
        <v>512</v>
      </c>
      <c r="E66" s="394" t="s">
        <v>555</v>
      </c>
      <c r="F66" s="394" t="s">
        <v>461</v>
      </c>
      <c r="G66" s="396">
        <v>16</v>
      </c>
      <c r="H66" s="396">
        <v>71</v>
      </c>
    </row>
    <row r="67" spans="1:8" x14ac:dyDescent="0.25">
      <c r="A67" s="394" t="s">
        <v>152</v>
      </c>
      <c r="B67" s="394" t="s">
        <v>150</v>
      </c>
      <c r="C67" s="394">
        <v>97.291820000000001</v>
      </c>
      <c r="D67" s="394" t="s">
        <v>512</v>
      </c>
      <c r="E67" s="394" t="s">
        <v>555</v>
      </c>
      <c r="F67" s="394" t="s">
        <v>461</v>
      </c>
      <c r="G67" s="396">
        <v>196</v>
      </c>
      <c r="H67" s="396">
        <v>908</v>
      </c>
    </row>
    <row r="68" spans="1:8" x14ac:dyDescent="0.25">
      <c r="A68" s="394" t="s">
        <v>263</v>
      </c>
      <c r="B68" s="394" t="s">
        <v>262</v>
      </c>
      <c r="C68" s="394">
        <v>97.2843958974359</v>
      </c>
      <c r="D68" s="394" t="s">
        <v>512</v>
      </c>
      <c r="E68" s="394" t="s">
        <v>555</v>
      </c>
      <c r="F68" s="394" t="s">
        <v>506</v>
      </c>
      <c r="G68" s="396">
        <v>21</v>
      </c>
      <c r="H68" s="396">
        <v>97</v>
      </c>
    </row>
    <row r="69" spans="1:8" x14ac:dyDescent="0.25">
      <c r="A69" s="394" t="s">
        <v>265</v>
      </c>
      <c r="B69" s="394" t="s">
        <v>264</v>
      </c>
      <c r="C69" s="394">
        <v>97.290952037037002</v>
      </c>
      <c r="D69" s="394" t="s">
        <v>512</v>
      </c>
      <c r="E69" s="394" t="s">
        <v>555</v>
      </c>
      <c r="F69" s="394" t="s">
        <v>506</v>
      </c>
      <c r="G69" s="396">
        <v>14</v>
      </c>
      <c r="H69" s="396">
        <v>71</v>
      </c>
    </row>
    <row r="70" spans="1:8" x14ac:dyDescent="0.25">
      <c r="A70" s="394" t="s">
        <v>100</v>
      </c>
      <c r="B70" s="394" t="s">
        <v>99</v>
      </c>
      <c r="C70" s="394">
        <v>96.319829999999996</v>
      </c>
      <c r="D70" s="394" t="s">
        <v>512</v>
      </c>
      <c r="E70" s="394" t="s">
        <v>555</v>
      </c>
      <c r="F70" s="394" t="s">
        <v>506</v>
      </c>
      <c r="G70" s="396">
        <v>5</v>
      </c>
      <c r="H70" s="396">
        <v>26</v>
      </c>
    </row>
    <row r="71" spans="1:8" x14ac:dyDescent="0.25">
      <c r="A71" s="394" t="s">
        <v>368</v>
      </c>
      <c r="B71" s="394" t="s">
        <v>385</v>
      </c>
      <c r="C71" s="394">
        <v>97.793019999999999</v>
      </c>
      <c r="D71" s="394" t="s">
        <v>512</v>
      </c>
      <c r="E71" s="394" t="s">
        <v>555</v>
      </c>
      <c r="F71" s="394" t="s">
        <v>461</v>
      </c>
      <c r="G71" s="396">
        <v>69</v>
      </c>
      <c r="H71" s="396">
        <v>305</v>
      </c>
    </row>
    <row r="72" spans="1:8" x14ac:dyDescent="0.25">
      <c r="A72" s="394" t="s">
        <v>209</v>
      </c>
      <c r="B72" s="394" t="s">
        <v>208</v>
      </c>
      <c r="C72" s="394">
        <v>97.344359999999995</v>
      </c>
      <c r="D72" s="394" t="s">
        <v>512</v>
      </c>
      <c r="E72" s="394" t="s">
        <v>555</v>
      </c>
      <c r="F72" s="394" t="s">
        <v>461</v>
      </c>
      <c r="G72" s="396">
        <v>226</v>
      </c>
      <c r="H72" s="396">
        <v>1824</v>
      </c>
    </row>
    <row r="73" spans="1:8" x14ac:dyDescent="0.25">
      <c r="A73" s="394" t="s">
        <v>371</v>
      </c>
      <c r="B73" s="394" t="s">
        <v>147</v>
      </c>
      <c r="C73" s="394">
        <v>98.220614999999995</v>
      </c>
      <c r="D73" s="394" t="s">
        <v>512</v>
      </c>
      <c r="E73" s="394" t="s">
        <v>555</v>
      </c>
      <c r="F73" s="394" t="s">
        <v>461</v>
      </c>
      <c r="G73" s="396">
        <v>62</v>
      </c>
      <c r="H73" s="396">
        <v>281</v>
      </c>
    </row>
    <row r="74" spans="1:8" x14ac:dyDescent="0.25">
      <c r="A74" s="394" t="s">
        <v>1104</v>
      </c>
      <c r="B74" s="394" t="s">
        <v>1103</v>
      </c>
      <c r="C74" s="394" t="s">
        <v>860</v>
      </c>
      <c r="D74" s="394" t="s">
        <v>512</v>
      </c>
      <c r="E74" s="394" t="s">
        <v>555</v>
      </c>
      <c r="F74" s="394" t="s">
        <v>1265</v>
      </c>
      <c r="G74" s="396">
        <v>22</v>
      </c>
      <c r="H74" s="396">
        <v>111</v>
      </c>
    </row>
    <row r="75" spans="1:8" x14ac:dyDescent="0.25">
      <c r="A75" s="394" t="s">
        <v>1055</v>
      </c>
      <c r="B75" s="394" t="s">
        <v>1056</v>
      </c>
      <c r="C75" s="394">
        <v>97.909400000000005</v>
      </c>
      <c r="D75" s="394" t="s">
        <v>512</v>
      </c>
      <c r="E75" s="394" t="s">
        <v>555</v>
      </c>
      <c r="F75" s="394" t="s">
        <v>461</v>
      </c>
      <c r="G75" s="396">
        <v>52</v>
      </c>
      <c r="H75" s="396">
        <v>212</v>
      </c>
    </row>
    <row r="76" spans="1:8" x14ac:dyDescent="0.25">
      <c r="A76" s="394" t="s">
        <v>1065</v>
      </c>
      <c r="B76" s="394" t="s">
        <v>1066</v>
      </c>
      <c r="C76" s="394">
        <v>97.911647000000002</v>
      </c>
      <c r="D76" s="394" t="s">
        <v>512</v>
      </c>
      <c r="E76" s="394" t="s">
        <v>555</v>
      </c>
      <c r="F76" s="394" t="s">
        <v>1265</v>
      </c>
      <c r="G76" s="396">
        <v>26</v>
      </c>
      <c r="H76" s="396">
        <v>118</v>
      </c>
    </row>
    <row r="77" spans="1:8" x14ac:dyDescent="0.25">
      <c r="A77" s="394" t="s">
        <v>8</v>
      </c>
      <c r="B77" s="394" t="s">
        <v>7</v>
      </c>
      <c r="C77" s="394">
        <v>97.234200000000001</v>
      </c>
      <c r="D77" s="394" t="s">
        <v>512</v>
      </c>
      <c r="E77" s="394" t="s">
        <v>555</v>
      </c>
      <c r="F77" s="394" t="s">
        <v>506</v>
      </c>
      <c r="G77" s="396">
        <v>14</v>
      </c>
      <c r="H77" s="396">
        <v>65</v>
      </c>
    </row>
    <row r="78" spans="1:8" x14ac:dyDescent="0.25">
      <c r="A78" s="394" t="s">
        <v>292</v>
      </c>
      <c r="B78" s="394" t="s">
        <v>291</v>
      </c>
      <c r="C78" s="394">
        <v>97.681970000000007</v>
      </c>
      <c r="D78" s="394" t="s">
        <v>512</v>
      </c>
      <c r="E78" s="394" t="s">
        <v>555</v>
      </c>
      <c r="F78" s="394" t="s">
        <v>461</v>
      </c>
      <c r="G78" s="396">
        <v>70</v>
      </c>
      <c r="H78" s="396">
        <v>363</v>
      </c>
    </row>
    <row r="79" spans="1:8" x14ac:dyDescent="0.25">
      <c r="A79" s="394" t="s">
        <v>290</v>
      </c>
      <c r="B79" s="394" t="s">
        <v>288</v>
      </c>
      <c r="C79" s="394">
        <v>97.669557999999995</v>
      </c>
      <c r="D79" s="394" t="s">
        <v>512</v>
      </c>
      <c r="E79" s="394" t="s">
        <v>555</v>
      </c>
      <c r="F79" s="394" t="s">
        <v>461</v>
      </c>
      <c r="G79" s="396">
        <v>68</v>
      </c>
      <c r="H79" s="396">
        <v>380</v>
      </c>
    </row>
    <row r="80" spans="1:8" x14ac:dyDescent="0.25">
      <c r="A80" s="394" t="s">
        <v>1057</v>
      </c>
      <c r="B80" s="394" t="s">
        <v>1058</v>
      </c>
      <c r="C80" s="394">
        <v>97.700940000000003</v>
      </c>
      <c r="D80" s="394" t="s">
        <v>512</v>
      </c>
      <c r="E80" s="394" t="s">
        <v>555</v>
      </c>
      <c r="F80" s="394" t="s">
        <v>461</v>
      </c>
      <c r="G80" s="396">
        <v>35</v>
      </c>
      <c r="H80" s="396">
        <v>198</v>
      </c>
    </row>
    <row r="81" spans="1:8" x14ac:dyDescent="0.25">
      <c r="A81" s="394" t="s">
        <v>374</v>
      </c>
      <c r="B81" s="394" t="s">
        <v>295</v>
      </c>
      <c r="C81" s="394">
        <v>97.670360000000002</v>
      </c>
      <c r="D81" s="394" t="s">
        <v>512</v>
      </c>
      <c r="E81" s="394" t="s">
        <v>555</v>
      </c>
      <c r="F81" s="394" t="s">
        <v>1265</v>
      </c>
      <c r="G81" s="396">
        <v>44</v>
      </c>
      <c r="H81" s="396">
        <v>215</v>
      </c>
    </row>
    <row r="82" spans="1:8" x14ac:dyDescent="0.25">
      <c r="A82" s="394" t="s">
        <v>149</v>
      </c>
      <c r="B82" s="394" t="s">
        <v>148</v>
      </c>
      <c r="C82" s="394">
        <v>97.818979999999996</v>
      </c>
      <c r="D82" s="394" t="s">
        <v>512</v>
      </c>
      <c r="E82" s="394" t="s">
        <v>555</v>
      </c>
      <c r="F82" s="394" t="s">
        <v>461</v>
      </c>
      <c r="G82" s="396">
        <v>62</v>
      </c>
      <c r="H82" s="396">
        <v>281</v>
      </c>
    </row>
    <row r="83" spans="1:8" x14ac:dyDescent="0.25">
      <c r="A83" s="394" t="s">
        <v>612</v>
      </c>
      <c r="B83" s="394" t="s">
        <v>46</v>
      </c>
      <c r="C83" s="394">
        <v>96.339590000000001</v>
      </c>
      <c r="D83" s="394" t="s">
        <v>512</v>
      </c>
      <c r="E83" s="394" t="s">
        <v>555</v>
      </c>
      <c r="F83" s="394" t="s">
        <v>506</v>
      </c>
      <c r="G83" s="396">
        <v>17</v>
      </c>
      <c r="H83" s="396">
        <v>64</v>
      </c>
    </row>
    <row r="84" spans="1:8" x14ac:dyDescent="0.25">
      <c r="A84" s="394" t="s">
        <v>822</v>
      </c>
      <c r="B84" s="394" t="s">
        <v>297</v>
      </c>
      <c r="C84" s="394">
        <v>97.404089999999997</v>
      </c>
      <c r="D84" s="394" t="s">
        <v>512</v>
      </c>
      <c r="E84" s="394" t="s">
        <v>555</v>
      </c>
      <c r="F84" s="394" t="s">
        <v>461</v>
      </c>
      <c r="G84" s="396">
        <v>9</v>
      </c>
      <c r="H84" s="396">
        <v>37</v>
      </c>
    </row>
    <row r="85" spans="1:8" x14ac:dyDescent="0.25">
      <c r="A85" s="394" t="s">
        <v>1069</v>
      </c>
      <c r="B85" s="394" t="s">
        <v>1062</v>
      </c>
      <c r="C85" s="394">
        <v>97.709879999999998</v>
      </c>
      <c r="D85" s="394" t="s">
        <v>512</v>
      </c>
      <c r="E85" s="394" t="s">
        <v>555</v>
      </c>
      <c r="F85" s="394" t="s">
        <v>461</v>
      </c>
      <c r="G85" s="396">
        <v>123</v>
      </c>
      <c r="H85" s="396">
        <v>575</v>
      </c>
    </row>
    <row r="86" spans="1:8" x14ac:dyDescent="0.25">
      <c r="A86" s="394" t="s">
        <v>271</v>
      </c>
      <c r="B86" s="394" t="s">
        <v>270</v>
      </c>
      <c r="C86" s="394">
        <v>97.359320179999997</v>
      </c>
      <c r="D86" s="394" t="s">
        <v>512</v>
      </c>
      <c r="E86" s="394" t="s">
        <v>555</v>
      </c>
      <c r="F86" s="394" t="s">
        <v>1092</v>
      </c>
      <c r="G86" s="396">
        <v>68</v>
      </c>
      <c r="H86" s="396">
        <v>333</v>
      </c>
    </row>
    <row r="87" spans="1:8" x14ac:dyDescent="0.25">
      <c r="A87" s="394" t="s">
        <v>20</v>
      </c>
      <c r="B87" s="394" t="s">
        <v>19</v>
      </c>
      <c r="C87" s="394">
        <v>97.315860000000001</v>
      </c>
      <c r="D87" s="394" t="s">
        <v>512</v>
      </c>
      <c r="E87" s="394" t="s">
        <v>555</v>
      </c>
      <c r="F87" s="394" t="s">
        <v>1091</v>
      </c>
      <c r="G87" s="396">
        <v>20</v>
      </c>
      <c r="H87" s="396">
        <v>103</v>
      </c>
    </row>
    <row r="88" spans="1:8" x14ac:dyDescent="0.25">
      <c r="A88" s="394" t="s">
        <v>108</v>
      </c>
      <c r="B88" s="394" t="s">
        <v>107</v>
      </c>
      <c r="C88" s="394">
        <v>96.341352999999998</v>
      </c>
      <c r="D88" s="394" t="s">
        <v>512</v>
      </c>
      <c r="E88" s="394" t="s">
        <v>555</v>
      </c>
      <c r="F88" s="394" t="s">
        <v>1092</v>
      </c>
      <c r="G88" s="396">
        <v>52</v>
      </c>
      <c r="H88" s="396">
        <v>240</v>
      </c>
    </row>
    <row r="89" spans="1:8" x14ac:dyDescent="0.25">
      <c r="A89" s="394" t="s">
        <v>178</v>
      </c>
      <c r="B89" s="394" t="s">
        <v>177</v>
      </c>
      <c r="C89" s="394">
        <v>96.948740000000001</v>
      </c>
      <c r="D89" s="394" t="s">
        <v>512</v>
      </c>
      <c r="E89" s="394" t="s">
        <v>555</v>
      </c>
      <c r="F89" s="394" t="s">
        <v>461</v>
      </c>
      <c r="G89" s="396">
        <v>12</v>
      </c>
      <c r="H89" s="396">
        <v>46</v>
      </c>
    </row>
    <row r="90" spans="1:8" x14ac:dyDescent="0.25">
      <c r="A90" s="394" t="s">
        <v>344</v>
      </c>
      <c r="B90" s="394" t="s">
        <v>343</v>
      </c>
      <c r="C90" s="394">
        <v>97.345039</v>
      </c>
      <c r="D90" s="394" t="s">
        <v>512</v>
      </c>
      <c r="E90" s="394" t="s">
        <v>555</v>
      </c>
      <c r="F90" s="394" t="s">
        <v>506</v>
      </c>
      <c r="G90" s="396">
        <v>18</v>
      </c>
      <c r="H90" s="396">
        <v>82</v>
      </c>
    </row>
    <row r="91" spans="1:8" x14ac:dyDescent="0.25">
      <c r="A91" s="394" t="s">
        <v>287</v>
      </c>
      <c r="B91" s="394" t="s">
        <v>286</v>
      </c>
      <c r="C91" s="394">
        <v>96.364949999999993</v>
      </c>
      <c r="D91" s="394" t="s">
        <v>512</v>
      </c>
      <c r="E91" s="394" t="s">
        <v>555</v>
      </c>
      <c r="F91" s="394" t="s">
        <v>461</v>
      </c>
      <c r="G91" s="396">
        <v>19</v>
      </c>
      <c r="H91" s="396">
        <v>100</v>
      </c>
    </row>
    <row r="92" spans="1:8" x14ac:dyDescent="0.25">
      <c r="A92" s="394" t="s">
        <v>215</v>
      </c>
      <c r="B92" s="394" t="s">
        <v>214</v>
      </c>
      <c r="C92" s="394">
        <v>97.669366999999994</v>
      </c>
      <c r="D92" s="394" t="s">
        <v>514</v>
      </c>
      <c r="E92" s="394" t="s">
        <v>555</v>
      </c>
      <c r="F92" s="394" t="s">
        <v>1091</v>
      </c>
      <c r="G92" s="396">
        <v>375</v>
      </c>
      <c r="H92" s="396">
        <v>1598</v>
      </c>
    </row>
    <row r="93" spans="1:8" x14ac:dyDescent="0.25">
      <c r="A93" s="394" t="s">
        <v>269</v>
      </c>
      <c r="B93" s="394" t="s">
        <v>268</v>
      </c>
      <c r="C93" s="394">
        <v>97.394547000000003</v>
      </c>
      <c r="D93" s="394" t="s">
        <v>512</v>
      </c>
      <c r="E93" s="394" t="s">
        <v>555</v>
      </c>
      <c r="F93" s="394" t="s">
        <v>461</v>
      </c>
      <c r="G93" s="396">
        <v>60</v>
      </c>
      <c r="H93" s="396">
        <v>256</v>
      </c>
    </row>
    <row r="94" spans="1:8" x14ac:dyDescent="0.25">
      <c r="A94" s="394" t="s">
        <v>229</v>
      </c>
      <c r="B94" s="394" t="s">
        <v>228</v>
      </c>
      <c r="C94" s="394">
        <v>97.724483000000006</v>
      </c>
      <c r="D94" s="394" t="s">
        <v>512</v>
      </c>
      <c r="E94" s="394" t="s">
        <v>555</v>
      </c>
      <c r="F94" s="394" t="s">
        <v>461</v>
      </c>
      <c r="G94" s="396">
        <v>50</v>
      </c>
      <c r="H94" s="396">
        <v>309</v>
      </c>
    </row>
    <row r="95" spans="1:8" x14ac:dyDescent="0.25">
      <c r="A95" s="394" t="s">
        <v>273</v>
      </c>
      <c r="B95" s="394" t="s">
        <v>272</v>
      </c>
      <c r="C95" s="394">
        <v>97.4345</v>
      </c>
      <c r="D95" s="394" t="s">
        <v>512</v>
      </c>
      <c r="E95" s="394" t="s">
        <v>555</v>
      </c>
      <c r="F95" s="394" t="s">
        <v>1092</v>
      </c>
      <c r="G95" s="396">
        <v>44</v>
      </c>
      <c r="H95" s="396">
        <v>274</v>
      </c>
    </row>
    <row r="96" spans="1:8" x14ac:dyDescent="0.25">
      <c r="A96" s="394" t="s">
        <v>219</v>
      </c>
      <c r="B96" s="394" t="s">
        <v>218</v>
      </c>
      <c r="C96" s="394">
        <v>97.752667000000002</v>
      </c>
      <c r="D96" s="394" t="s">
        <v>514</v>
      </c>
      <c r="E96" s="394" t="s">
        <v>555</v>
      </c>
      <c r="F96" s="394" t="s">
        <v>1091</v>
      </c>
      <c r="G96" s="396">
        <v>677</v>
      </c>
      <c r="H96" s="396">
        <v>3622</v>
      </c>
    </row>
    <row r="97" spans="1:8" x14ac:dyDescent="0.25">
      <c r="A97" s="394" t="s">
        <v>865</v>
      </c>
      <c r="B97" s="394" t="s">
        <v>864</v>
      </c>
      <c r="C97" s="394">
        <v>98.377780000000001</v>
      </c>
      <c r="D97" s="394" t="s">
        <v>512</v>
      </c>
      <c r="E97" s="394" t="s">
        <v>555</v>
      </c>
      <c r="F97" s="394" t="s">
        <v>1092</v>
      </c>
      <c r="G97" s="396">
        <v>60</v>
      </c>
      <c r="H97" s="396">
        <v>277</v>
      </c>
    </row>
    <row r="98" spans="1:8" x14ac:dyDescent="0.25">
      <c r="A98" s="394" t="s">
        <v>366</v>
      </c>
      <c r="B98" s="394" t="s">
        <v>376</v>
      </c>
      <c r="C98" s="394">
        <v>97.252650000000003</v>
      </c>
      <c r="D98" s="394" t="s">
        <v>512</v>
      </c>
      <c r="E98" s="394" t="s">
        <v>555</v>
      </c>
      <c r="F98" s="394" t="s">
        <v>461</v>
      </c>
      <c r="G98" s="396">
        <v>150</v>
      </c>
      <c r="H98" s="396">
        <v>761</v>
      </c>
    </row>
    <row r="99" spans="1:8" x14ac:dyDescent="0.25">
      <c r="A99" s="394" t="s">
        <v>355</v>
      </c>
      <c r="B99" s="394" t="s">
        <v>354</v>
      </c>
      <c r="C99" s="394">
        <v>97.990555999999998</v>
      </c>
      <c r="D99" s="394" t="s">
        <v>514</v>
      </c>
      <c r="E99" s="394" t="s">
        <v>555</v>
      </c>
      <c r="F99" s="394" t="s">
        <v>1092</v>
      </c>
      <c r="G99" s="396">
        <v>98</v>
      </c>
      <c r="H99" s="396">
        <v>554</v>
      </c>
    </row>
    <row r="100" spans="1:8" x14ac:dyDescent="0.25">
      <c r="A100" s="394" t="s">
        <v>318</v>
      </c>
      <c r="B100" s="394" t="s">
        <v>317</v>
      </c>
      <c r="C100" s="394">
        <v>97.441166388888902</v>
      </c>
      <c r="D100" s="394" t="s">
        <v>512</v>
      </c>
      <c r="E100" s="394" t="s">
        <v>555</v>
      </c>
      <c r="F100" s="394" t="s">
        <v>506</v>
      </c>
      <c r="G100" s="396">
        <v>91</v>
      </c>
      <c r="H100" s="396">
        <v>329</v>
      </c>
    </row>
    <row r="101" spans="1:8" x14ac:dyDescent="0.25">
      <c r="A101" s="394" t="s">
        <v>342</v>
      </c>
      <c r="B101" s="394" t="s">
        <v>341</v>
      </c>
      <c r="C101" s="394">
        <v>97.438432380952406</v>
      </c>
      <c r="D101" s="394" t="s">
        <v>512</v>
      </c>
      <c r="E101" s="394" t="s">
        <v>555</v>
      </c>
      <c r="F101" s="394" t="s">
        <v>461</v>
      </c>
      <c r="G101" s="396">
        <v>65</v>
      </c>
      <c r="H101" s="396">
        <v>328</v>
      </c>
    </row>
    <row r="102" spans="1:8" x14ac:dyDescent="0.25">
      <c r="A102" s="394" t="s">
        <v>338</v>
      </c>
      <c r="B102" s="394" t="s">
        <v>337</v>
      </c>
      <c r="C102" s="394">
        <v>97.437472666666693</v>
      </c>
      <c r="D102" s="394" t="s">
        <v>512</v>
      </c>
      <c r="E102" s="394" t="s">
        <v>555</v>
      </c>
      <c r="F102" s="394" t="s">
        <v>506</v>
      </c>
      <c r="G102" s="396">
        <v>31</v>
      </c>
      <c r="H102" s="396">
        <v>171</v>
      </c>
    </row>
    <row r="103" spans="1:8" x14ac:dyDescent="0.25">
      <c r="A103" s="394" t="s">
        <v>351</v>
      </c>
      <c r="B103" s="394" t="s">
        <v>350</v>
      </c>
      <c r="C103" s="394">
        <v>97.432495000000003</v>
      </c>
      <c r="D103" s="394" t="s">
        <v>512</v>
      </c>
      <c r="E103" s="394" t="s">
        <v>555</v>
      </c>
      <c r="F103" s="394" t="s">
        <v>506</v>
      </c>
      <c r="G103" s="396">
        <v>88</v>
      </c>
      <c r="H103" s="396">
        <v>482</v>
      </c>
    </row>
    <row r="104" spans="1:8" x14ac:dyDescent="0.25">
      <c r="A104" s="394" t="s">
        <v>118</v>
      </c>
      <c r="B104" s="394" t="s">
        <v>117</v>
      </c>
      <c r="C104" s="394">
        <v>96.279200000000003</v>
      </c>
      <c r="D104" s="394" t="s">
        <v>512</v>
      </c>
      <c r="E104" s="394" t="s">
        <v>555</v>
      </c>
      <c r="F104" s="394" t="s">
        <v>506</v>
      </c>
      <c r="G104" s="396">
        <v>10</v>
      </c>
      <c r="H104" s="396">
        <v>39</v>
      </c>
    </row>
    <row r="105" spans="1:8" x14ac:dyDescent="0.25">
      <c r="A105" s="394" t="s">
        <v>22</v>
      </c>
      <c r="B105" s="394" t="s">
        <v>21</v>
      </c>
      <c r="C105" s="394">
        <v>97.229116811594196</v>
      </c>
      <c r="D105" s="394" t="s">
        <v>512</v>
      </c>
      <c r="E105" s="394" t="s">
        <v>555</v>
      </c>
      <c r="F105" s="394" t="s">
        <v>461</v>
      </c>
      <c r="G105" s="396">
        <v>629</v>
      </c>
      <c r="H105" s="396">
        <v>3801</v>
      </c>
    </row>
    <row r="106" spans="1:8" x14ac:dyDescent="0.25">
      <c r="A106" s="394" t="s">
        <v>124</v>
      </c>
      <c r="B106" s="394" t="s">
        <v>123</v>
      </c>
      <c r="C106" s="394">
        <v>96.353030000000004</v>
      </c>
      <c r="D106" s="394" t="s">
        <v>512</v>
      </c>
      <c r="E106" s="394" t="s">
        <v>555</v>
      </c>
      <c r="F106" s="394" t="s">
        <v>461</v>
      </c>
      <c r="G106" s="396">
        <v>8</v>
      </c>
      <c r="H106" s="396">
        <v>40</v>
      </c>
    </row>
    <row r="107" spans="1:8" x14ac:dyDescent="0.25">
      <c r="A107" s="394" t="s">
        <v>1021</v>
      </c>
      <c r="B107" s="394" t="s">
        <v>1022</v>
      </c>
      <c r="C107" s="394">
        <v>98.356260000000006</v>
      </c>
      <c r="D107" s="394" t="s">
        <v>512</v>
      </c>
      <c r="E107" s="394" t="s">
        <v>555</v>
      </c>
      <c r="F107" s="394" t="s">
        <v>1092</v>
      </c>
      <c r="G107" s="396">
        <v>30</v>
      </c>
      <c r="H107" s="396">
        <v>175</v>
      </c>
    </row>
    <row r="108" spans="1:8" x14ac:dyDescent="0.25">
      <c r="A108" s="394" t="s">
        <v>225</v>
      </c>
      <c r="B108" s="394" t="s">
        <v>224</v>
      </c>
      <c r="C108" s="394">
        <v>97.710864000000001</v>
      </c>
      <c r="D108" s="394" t="s">
        <v>512</v>
      </c>
      <c r="E108" s="394" t="s">
        <v>555</v>
      </c>
      <c r="F108" s="394" t="s">
        <v>461</v>
      </c>
      <c r="G108" s="396">
        <v>39</v>
      </c>
      <c r="H108" s="396">
        <v>248</v>
      </c>
    </row>
    <row r="109" spans="1:8" x14ac:dyDescent="0.25">
      <c r="A109" s="394" t="s">
        <v>277</v>
      </c>
      <c r="B109" s="394" t="s">
        <v>276</v>
      </c>
      <c r="C109" s="394">
        <v>97.399628000000007</v>
      </c>
      <c r="D109" s="394" t="s">
        <v>512</v>
      </c>
      <c r="E109" s="394" t="s">
        <v>555</v>
      </c>
      <c r="F109" s="394" t="s">
        <v>461</v>
      </c>
      <c r="G109" s="396">
        <v>90</v>
      </c>
      <c r="H109" s="396">
        <v>394</v>
      </c>
    </row>
    <row r="110" spans="1:8" x14ac:dyDescent="0.25">
      <c r="A110" s="394" t="s">
        <v>279</v>
      </c>
      <c r="B110" s="394" t="s">
        <v>278</v>
      </c>
      <c r="C110" s="394">
        <v>97.418004999999994</v>
      </c>
      <c r="D110" s="394" t="s">
        <v>512</v>
      </c>
      <c r="E110" s="394" t="s">
        <v>555</v>
      </c>
      <c r="F110" s="394" t="s">
        <v>506</v>
      </c>
      <c r="G110" s="396">
        <v>22</v>
      </c>
      <c r="H110" s="396">
        <v>111</v>
      </c>
    </row>
    <row r="111" spans="1:8" x14ac:dyDescent="0.25">
      <c r="A111" s="394" t="s">
        <v>347</v>
      </c>
      <c r="B111" s="394" t="s">
        <v>346</v>
      </c>
      <c r="C111" s="394">
        <v>98.025662999999994</v>
      </c>
      <c r="D111" s="394" t="s">
        <v>512</v>
      </c>
      <c r="E111" s="394" t="s">
        <v>555</v>
      </c>
      <c r="F111" s="394" t="s">
        <v>461</v>
      </c>
      <c r="G111" s="396">
        <v>179</v>
      </c>
      <c r="H111" s="396">
        <v>940</v>
      </c>
    </row>
    <row r="112" spans="1:8" x14ac:dyDescent="0.25">
      <c r="A112" s="394" t="s">
        <v>306</v>
      </c>
      <c r="B112" s="394" t="s">
        <v>305</v>
      </c>
      <c r="C112" s="394">
        <v>96.807353000000006</v>
      </c>
      <c r="D112" s="394" t="s">
        <v>512</v>
      </c>
      <c r="E112" s="394" t="s">
        <v>555</v>
      </c>
      <c r="F112" s="394" t="s">
        <v>461</v>
      </c>
      <c r="G112" s="396">
        <v>86</v>
      </c>
      <c r="H112" s="396">
        <v>313</v>
      </c>
    </row>
    <row r="113" spans="1:8" x14ac:dyDescent="0.25">
      <c r="A113" s="394" t="s">
        <v>308</v>
      </c>
      <c r="B113" s="394" t="s">
        <v>307</v>
      </c>
      <c r="C113" s="394">
        <v>96.807353000000006</v>
      </c>
      <c r="D113" s="394" t="s">
        <v>512</v>
      </c>
      <c r="E113" s="394" t="s">
        <v>555</v>
      </c>
      <c r="F113" s="394" t="s">
        <v>1091</v>
      </c>
      <c r="G113" s="396">
        <v>41</v>
      </c>
      <c r="H113" s="396">
        <v>152</v>
      </c>
    </row>
    <row r="114" spans="1:8" x14ac:dyDescent="0.25">
      <c r="A114" s="394" t="s">
        <v>281</v>
      </c>
      <c r="B114" s="394" t="s">
        <v>280</v>
      </c>
      <c r="C114" s="394">
        <v>97.419403000000003</v>
      </c>
      <c r="D114" s="394" t="s">
        <v>512</v>
      </c>
      <c r="E114" s="394" t="s">
        <v>555</v>
      </c>
      <c r="F114" s="394" t="s">
        <v>461</v>
      </c>
      <c r="G114" s="396">
        <v>89</v>
      </c>
      <c r="H114" s="396">
        <v>492</v>
      </c>
    </row>
    <row r="115" spans="1:8" x14ac:dyDescent="0.25">
      <c r="A115" s="394" t="s">
        <v>181</v>
      </c>
      <c r="B115" s="394" t="s">
        <v>179</v>
      </c>
      <c r="C115" s="394">
        <v>96.367059999999995</v>
      </c>
      <c r="D115" s="394" t="s">
        <v>512</v>
      </c>
      <c r="E115" s="394" t="s">
        <v>555</v>
      </c>
      <c r="F115" s="394" t="s">
        <v>1092</v>
      </c>
      <c r="G115" s="396">
        <v>12</v>
      </c>
      <c r="H115" s="396">
        <v>61</v>
      </c>
    </row>
    <row r="116" spans="1:8" x14ac:dyDescent="0.25">
      <c r="A116" s="394" t="s">
        <v>809</v>
      </c>
      <c r="B116" s="394" t="s">
        <v>813</v>
      </c>
      <c r="C116" s="394">
        <v>97.568836000000005</v>
      </c>
      <c r="D116" s="394" t="s">
        <v>512</v>
      </c>
      <c r="E116" s="394" t="s">
        <v>555</v>
      </c>
      <c r="F116" s="394" t="s">
        <v>860</v>
      </c>
      <c r="G116" s="396">
        <v>5</v>
      </c>
      <c r="H116" s="396">
        <v>32</v>
      </c>
    </row>
    <row r="117" spans="1:8" x14ac:dyDescent="0.25">
      <c r="A117" s="394" t="s">
        <v>24</v>
      </c>
      <c r="B117" s="394" t="s">
        <v>23</v>
      </c>
      <c r="C117" s="394">
        <v>97.227789999999999</v>
      </c>
      <c r="D117" s="394" t="s">
        <v>512</v>
      </c>
      <c r="E117" s="394" t="s">
        <v>555</v>
      </c>
      <c r="F117" s="394" t="s">
        <v>506</v>
      </c>
      <c r="G117" s="396">
        <v>21</v>
      </c>
      <c r="H117" s="396">
        <v>97</v>
      </c>
    </row>
    <row r="118" spans="1:8" x14ac:dyDescent="0.25">
      <c r="A118" s="394" t="s">
        <v>238</v>
      </c>
      <c r="B118" s="394" t="s">
        <v>236</v>
      </c>
      <c r="C118" s="394">
        <v>97.386718999999999</v>
      </c>
      <c r="D118" s="394" t="s">
        <v>512</v>
      </c>
      <c r="E118" s="394" t="s">
        <v>555</v>
      </c>
      <c r="F118" s="394" t="s">
        <v>461</v>
      </c>
      <c r="G118" s="396">
        <v>67</v>
      </c>
      <c r="H118" s="396">
        <v>365</v>
      </c>
    </row>
    <row r="119" spans="1:8" x14ac:dyDescent="0.25">
      <c r="A119" s="394" t="s">
        <v>249</v>
      </c>
      <c r="B119" s="394" t="s">
        <v>248</v>
      </c>
      <c r="C119" s="394">
        <v>97.389778000000007</v>
      </c>
      <c r="D119" s="394" t="s">
        <v>512</v>
      </c>
      <c r="E119" s="394" t="s">
        <v>555</v>
      </c>
      <c r="F119" s="394" t="s">
        <v>506</v>
      </c>
      <c r="G119" s="396">
        <v>6</v>
      </c>
      <c r="H119" s="396">
        <v>29</v>
      </c>
    </row>
    <row r="120" spans="1:8" x14ac:dyDescent="0.25">
      <c r="A120" s="394" t="s">
        <v>251</v>
      </c>
      <c r="B120" s="394" t="s">
        <v>250</v>
      </c>
      <c r="C120" s="394">
        <v>97.377662999999998</v>
      </c>
      <c r="D120" s="394" t="s">
        <v>512</v>
      </c>
      <c r="E120" s="394" t="s">
        <v>555</v>
      </c>
      <c r="F120" s="394" t="s">
        <v>461</v>
      </c>
      <c r="G120" s="396">
        <v>32</v>
      </c>
      <c r="H120" s="396">
        <v>160</v>
      </c>
    </row>
    <row r="121" spans="1:8" x14ac:dyDescent="0.25">
      <c r="A121" s="394" t="s">
        <v>275</v>
      </c>
      <c r="B121" s="394" t="s">
        <v>274</v>
      </c>
      <c r="C121" s="394">
        <v>97.382192000000003</v>
      </c>
      <c r="D121" s="394" t="s">
        <v>512</v>
      </c>
      <c r="E121" s="394" t="s">
        <v>555</v>
      </c>
      <c r="F121" s="394" t="s">
        <v>461</v>
      </c>
      <c r="G121" s="396">
        <v>43</v>
      </c>
      <c r="H121" s="396">
        <v>225</v>
      </c>
    </row>
    <row r="122" spans="1:8" x14ac:dyDescent="0.25">
      <c r="A122" s="394" t="s">
        <v>349</v>
      </c>
      <c r="B122" s="394" t="s">
        <v>348</v>
      </c>
      <c r="C122" s="394">
        <v>97.428251153846105</v>
      </c>
      <c r="D122" s="394" t="s">
        <v>512</v>
      </c>
      <c r="E122" s="394" t="s">
        <v>555</v>
      </c>
      <c r="F122" s="394" t="s">
        <v>506</v>
      </c>
      <c r="G122" s="396">
        <v>44</v>
      </c>
      <c r="H122" s="396">
        <v>182</v>
      </c>
    </row>
    <row r="123" spans="1:8" x14ac:dyDescent="0.25">
      <c r="A123" s="394" t="s">
        <v>316</v>
      </c>
      <c r="B123" s="394" t="s">
        <v>315</v>
      </c>
      <c r="C123" s="394">
        <v>97.444283730158702</v>
      </c>
      <c r="D123" s="394" t="s">
        <v>512</v>
      </c>
      <c r="E123" s="394" t="s">
        <v>555</v>
      </c>
      <c r="F123" s="394" t="s">
        <v>506</v>
      </c>
      <c r="G123" s="396">
        <v>70</v>
      </c>
      <c r="H123" s="396">
        <v>278</v>
      </c>
    </row>
    <row r="124" spans="1:8" x14ac:dyDescent="0.25">
      <c r="A124" s="394" t="s">
        <v>126</v>
      </c>
      <c r="B124" s="394" t="s">
        <v>125</v>
      </c>
      <c r="C124" s="394">
        <v>96.286680000000004</v>
      </c>
      <c r="D124" s="394" t="s">
        <v>512</v>
      </c>
      <c r="E124" s="394" t="s">
        <v>555</v>
      </c>
      <c r="F124" s="394" t="s">
        <v>461</v>
      </c>
      <c r="G124" s="396">
        <v>35</v>
      </c>
      <c r="H124" s="396">
        <v>173</v>
      </c>
    </row>
    <row r="125" spans="1:8" x14ac:dyDescent="0.25">
      <c r="A125" s="394" t="s">
        <v>353</v>
      </c>
      <c r="B125" s="394" t="s">
        <v>352</v>
      </c>
      <c r="C125" s="394">
        <v>97.546893999999995</v>
      </c>
      <c r="D125" s="394" t="s">
        <v>514</v>
      </c>
      <c r="E125" s="394" t="s">
        <v>555</v>
      </c>
      <c r="F125" s="394" t="s">
        <v>1092</v>
      </c>
      <c r="G125" s="396">
        <v>1355</v>
      </c>
      <c r="H125" s="396">
        <v>6602</v>
      </c>
    </row>
    <row r="126" spans="1:8" x14ac:dyDescent="0.25">
      <c r="A126" s="394" t="s">
        <v>283</v>
      </c>
      <c r="B126" s="394" t="s">
        <v>282</v>
      </c>
      <c r="C126" s="394">
        <v>97.403878500000005</v>
      </c>
      <c r="D126" s="394" t="s">
        <v>512</v>
      </c>
      <c r="E126" s="394" t="s">
        <v>555</v>
      </c>
      <c r="F126" s="394" t="s">
        <v>506</v>
      </c>
      <c r="G126" s="396">
        <v>7</v>
      </c>
      <c r="H126" s="396">
        <v>37</v>
      </c>
    </row>
    <row r="127" spans="1:8" x14ac:dyDescent="0.25">
      <c r="A127" s="394" t="s">
        <v>26</v>
      </c>
      <c r="B127" s="394" t="s">
        <v>25</v>
      </c>
      <c r="C127" s="394">
        <v>97.240639999999999</v>
      </c>
      <c r="D127" s="394" t="s">
        <v>512</v>
      </c>
      <c r="E127" s="394" t="s">
        <v>555</v>
      </c>
      <c r="F127" s="394" t="s">
        <v>506</v>
      </c>
      <c r="G127" s="396">
        <v>15</v>
      </c>
      <c r="H127" s="396">
        <v>73</v>
      </c>
    </row>
    <row r="128" spans="1:8" x14ac:dyDescent="0.25">
      <c r="A128" s="394" t="s">
        <v>140</v>
      </c>
      <c r="B128" s="394" t="s">
        <v>139</v>
      </c>
      <c r="C128" s="394">
        <v>96.306910999999999</v>
      </c>
      <c r="D128" s="394" t="s">
        <v>512</v>
      </c>
      <c r="E128" s="394" t="s">
        <v>555</v>
      </c>
      <c r="F128" s="394" t="s">
        <v>461</v>
      </c>
      <c r="G128" s="396">
        <v>12</v>
      </c>
      <c r="H128" s="396">
        <v>48</v>
      </c>
    </row>
    <row r="129" spans="1:8" x14ac:dyDescent="0.25">
      <c r="A129" s="394" t="s">
        <v>373</v>
      </c>
      <c r="B129" s="394" t="s">
        <v>387</v>
      </c>
      <c r="C129" s="394">
        <v>97.837040000000002</v>
      </c>
      <c r="D129" s="394" t="s">
        <v>512</v>
      </c>
      <c r="E129" s="394" t="s">
        <v>555</v>
      </c>
      <c r="F129" s="394" t="s">
        <v>461</v>
      </c>
      <c r="G129" s="396">
        <v>202</v>
      </c>
      <c r="H129" s="396">
        <v>906</v>
      </c>
    </row>
    <row r="130" spans="1:8" x14ac:dyDescent="0.25">
      <c r="A130" s="394" t="s">
        <v>1122</v>
      </c>
      <c r="B130" s="394" t="s">
        <v>1123</v>
      </c>
      <c r="C130" s="394" t="s">
        <v>860</v>
      </c>
      <c r="D130" s="394" t="s">
        <v>512</v>
      </c>
      <c r="E130" s="394" t="s">
        <v>555</v>
      </c>
      <c r="F130" s="394" t="s">
        <v>461</v>
      </c>
      <c r="G130" s="396">
        <v>50</v>
      </c>
      <c r="H130" s="396">
        <v>241</v>
      </c>
    </row>
    <row r="131" spans="1:8" x14ac:dyDescent="0.25">
      <c r="A131" s="394" t="s">
        <v>1246</v>
      </c>
      <c r="B131" s="394" t="s">
        <v>345</v>
      </c>
      <c r="C131" s="394">
        <v>97.751389000000003</v>
      </c>
      <c r="D131" s="394" t="s">
        <v>514</v>
      </c>
      <c r="E131" s="394" t="s">
        <v>555</v>
      </c>
      <c r="F131" s="394" t="s">
        <v>461</v>
      </c>
      <c r="G131" s="396">
        <v>177</v>
      </c>
      <c r="H131" s="396">
        <v>844</v>
      </c>
    </row>
    <row r="132" spans="1:8" x14ac:dyDescent="0.25">
      <c r="A132" s="394" t="s">
        <v>1247</v>
      </c>
      <c r="B132" s="394" t="s">
        <v>241</v>
      </c>
      <c r="C132" s="394" t="s">
        <v>1448</v>
      </c>
      <c r="D132" s="394" t="s">
        <v>512</v>
      </c>
      <c r="E132" s="394" t="s">
        <v>555</v>
      </c>
      <c r="F132" s="394" t="s">
        <v>506</v>
      </c>
      <c r="G132" s="396">
        <v>54</v>
      </c>
      <c r="H132" s="396">
        <v>258</v>
      </c>
    </row>
    <row r="133" spans="1:8" x14ac:dyDescent="0.25">
      <c r="A133" s="394" t="s">
        <v>1248</v>
      </c>
      <c r="B133" s="394" t="s">
        <v>356</v>
      </c>
      <c r="C133" s="394">
        <v>97.756789999999995</v>
      </c>
      <c r="D133" s="394" t="s">
        <v>514</v>
      </c>
      <c r="E133" s="394" t="s">
        <v>555</v>
      </c>
      <c r="F133" s="394" t="s">
        <v>461</v>
      </c>
      <c r="G133" s="396">
        <v>604</v>
      </c>
      <c r="H133" s="396">
        <v>2785</v>
      </c>
    </row>
    <row r="134" spans="1:8" x14ac:dyDescent="0.25">
      <c r="A134" s="394" t="s">
        <v>1263</v>
      </c>
      <c r="B134" s="394" t="s">
        <v>1262</v>
      </c>
      <c r="C134" s="394">
        <v>97.416121000000004</v>
      </c>
      <c r="D134" s="394" t="s">
        <v>512</v>
      </c>
      <c r="E134" s="394" t="s">
        <v>555</v>
      </c>
      <c r="F134" s="394" t="s">
        <v>461</v>
      </c>
      <c r="G134" s="396">
        <v>59</v>
      </c>
      <c r="H134" s="396">
        <v>370</v>
      </c>
    </row>
    <row r="135" spans="1:8" x14ac:dyDescent="0.25">
      <c r="A135" s="394" t="s">
        <v>1278</v>
      </c>
      <c r="B135" s="394" t="s">
        <v>1261</v>
      </c>
      <c r="C135" s="394">
        <v>98.218626999999998</v>
      </c>
      <c r="D135" s="394" t="s">
        <v>512</v>
      </c>
      <c r="E135" s="394" t="s">
        <v>555</v>
      </c>
      <c r="F135" s="394" t="s">
        <v>461</v>
      </c>
      <c r="G135" s="396">
        <v>38</v>
      </c>
      <c r="H135" s="396">
        <v>202</v>
      </c>
    </row>
    <row r="136" spans="1:8" x14ac:dyDescent="0.25">
      <c r="A136" s="394" t="s">
        <v>1280</v>
      </c>
      <c r="B136" s="394" t="s">
        <v>1273</v>
      </c>
      <c r="C136" s="394" t="s">
        <v>860</v>
      </c>
      <c r="D136" s="394" t="s">
        <v>512</v>
      </c>
      <c r="E136" s="394" t="s">
        <v>555</v>
      </c>
      <c r="F136" s="394" t="s">
        <v>461</v>
      </c>
      <c r="G136" s="396">
        <v>30</v>
      </c>
      <c r="H136" s="396">
        <v>137</v>
      </c>
    </row>
    <row r="137" spans="1:8" x14ac:dyDescent="0.25">
      <c r="A137" s="394" t="s">
        <v>1271</v>
      </c>
      <c r="B137" s="394" t="s">
        <v>1274</v>
      </c>
      <c r="C137" s="394" t="s">
        <v>860</v>
      </c>
      <c r="D137" s="394" t="s">
        <v>512</v>
      </c>
      <c r="E137" s="394" t="s">
        <v>555</v>
      </c>
      <c r="F137" s="394" t="s">
        <v>1092</v>
      </c>
      <c r="G137" s="396">
        <v>7</v>
      </c>
      <c r="H137" s="396">
        <v>32</v>
      </c>
    </row>
    <row r="138" spans="1:8" x14ac:dyDescent="0.25">
      <c r="A138" s="394" t="s">
        <v>1301</v>
      </c>
      <c r="B138" s="394" t="s">
        <v>1302</v>
      </c>
      <c r="C138" s="394">
        <v>97.745480999999998</v>
      </c>
      <c r="D138" s="394" t="s">
        <v>512</v>
      </c>
      <c r="E138" s="394" t="s">
        <v>555</v>
      </c>
      <c r="F138" s="394" t="s">
        <v>860</v>
      </c>
      <c r="G138" s="396">
        <v>161</v>
      </c>
      <c r="H138" s="396">
        <v>711</v>
      </c>
    </row>
    <row r="139" spans="1:8" x14ac:dyDescent="0.25">
      <c r="A139" s="394" t="s">
        <v>1304</v>
      </c>
      <c r="B139" s="394" t="s">
        <v>1305</v>
      </c>
      <c r="C139" s="394">
        <v>97.75609</v>
      </c>
      <c r="D139" s="394" t="s">
        <v>512</v>
      </c>
      <c r="E139" s="394" t="s">
        <v>555</v>
      </c>
      <c r="F139" s="394" t="s">
        <v>860</v>
      </c>
      <c r="G139" s="396"/>
      <c r="H139" s="396">
        <v>489</v>
      </c>
    </row>
    <row r="140" spans="1:8" x14ac:dyDescent="0.25">
      <c r="A140" s="394" t="s">
        <v>1317</v>
      </c>
      <c r="B140" s="394" t="s">
        <v>1318</v>
      </c>
      <c r="C140" s="394">
        <v>97.461271999999994</v>
      </c>
      <c r="D140" s="394" t="s">
        <v>512</v>
      </c>
      <c r="E140" s="394" t="s">
        <v>988</v>
      </c>
      <c r="F140" s="394" t="s">
        <v>860</v>
      </c>
      <c r="G140" s="396"/>
      <c r="H140" s="396">
        <v>49</v>
      </c>
    </row>
    <row r="141" spans="1:8" x14ac:dyDescent="0.25">
      <c r="A141" s="394" t="s">
        <v>1319</v>
      </c>
      <c r="B141" s="394" t="s">
        <v>1320</v>
      </c>
      <c r="C141" s="394">
        <v>97.868876999999998</v>
      </c>
      <c r="D141" s="394" t="s">
        <v>512</v>
      </c>
      <c r="E141" s="394" t="s">
        <v>555</v>
      </c>
      <c r="F141" s="394" t="s">
        <v>860</v>
      </c>
      <c r="G141" s="396">
        <v>105</v>
      </c>
      <c r="H141" s="396">
        <v>568</v>
      </c>
    </row>
    <row r="142" spans="1:8" x14ac:dyDescent="0.25">
      <c r="A142" s="394" t="s">
        <v>1541</v>
      </c>
      <c r="B142" s="394" t="s">
        <v>1542</v>
      </c>
      <c r="C142" s="394" t="s">
        <v>860</v>
      </c>
      <c r="D142" s="394" t="s">
        <v>860</v>
      </c>
      <c r="E142" s="394" t="s">
        <v>555</v>
      </c>
      <c r="F142" s="394" t="s">
        <v>860</v>
      </c>
      <c r="G142" s="396">
        <v>6</v>
      </c>
      <c r="H142" s="396">
        <v>9</v>
      </c>
    </row>
    <row r="143" spans="1:8" x14ac:dyDescent="0.25">
      <c r="A143" s="394" t="s">
        <v>1535</v>
      </c>
      <c r="B143" s="394" t="s">
        <v>1527</v>
      </c>
      <c r="C143" s="394" t="s">
        <v>860</v>
      </c>
      <c r="D143" s="394" t="s">
        <v>512</v>
      </c>
      <c r="E143" s="394" t="s">
        <v>555</v>
      </c>
      <c r="F143" s="394" t="s">
        <v>860</v>
      </c>
      <c r="G143" s="396">
        <v>142</v>
      </c>
      <c r="H143" s="396">
        <v>710</v>
      </c>
    </row>
    <row r="144" spans="1:8" x14ac:dyDescent="0.25">
      <c r="A144" s="394" t="s">
        <v>1536</v>
      </c>
      <c r="B144" s="394" t="s">
        <v>1530</v>
      </c>
      <c r="C144" s="394" t="s">
        <v>860</v>
      </c>
      <c r="D144" s="394" t="s">
        <v>512</v>
      </c>
      <c r="E144" s="394" t="s">
        <v>555</v>
      </c>
      <c r="F144" s="394" t="s">
        <v>860</v>
      </c>
      <c r="G144" s="396">
        <v>200</v>
      </c>
      <c r="H144" s="396">
        <v>827</v>
      </c>
    </row>
    <row r="145" spans="1:8" x14ac:dyDescent="0.25">
      <c r="A145" s="394" t="s">
        <v>1537</v>
      </c>
      <c r="B145" s="394" t="s">
        <v>1531</v>
      </c>
      <c r="C145" s="394" t="s">
        <v>860</v>
      </c>
      <c r="D145" s="394" t="s">
        <v>512</v>
      </c>
      <c r="E145" s="394" t="s">
        <v>555</v>
      </c>
      <c r="F145" s="394" t="s">
        <v>860</v>
      </c>
      <c r="G145" s="396">
        <v>61</v>
      </c>
      <c r="H145" s="396">
        <v>247</v>
      </c>
    </row>
    <row r="146" spans="1:8" x14ac:dyDescent="0.25">
      <c r="A146" s="394" t="s">
        <v>1538</v>
      </c>
      <c r="B146" s="394" t="s">
        <v>1532</v>
      </c>
      <c r="C146" s="394" t="s">
        <v>860</v>
      </c>
      <c r="D146" s="394" t="s">
        <v>512</v>
      </c>
      <c r="E146" s="394" t="s">
        <v>555</v>
      </c>
      <c r="F146" s="394" t="s">
        <v>860</v>
      </c>
      <c r="G146" s="396">
        <v>176</v>
      </c>
      <c r="H146" s="396">
        <v>798</v>
      </c>
    </row>
    <row r="147" spans="1:8" x14ac:dyDescent="0.25">
      <c r="A147" s="394" t="s">
        <v>1546</v>
      </c>
      <c r="B147" s="394" t="s">
        <v>1528</v>
      </c>
      <c r="C147" s="394" t="s">
        <v>860</v>
      </c>
      <c r="D147" s="394" t="s">
        <v>512</v>
      </c>
      <c r="E147" s="394" t="s">
        <v>555</v>
      </c>
      <c r="F147" s="394" t="s">
        <v>860</v>
      </c>
      <c r="G147" s="396">
        <v>19</v>
      </c>
      <c r="H147" s="396">
        <v>82</v>
      </c>
    </row>
    <row r="148" spans="1:8" x14ac:dyDescent="0.25">
      <c r="A148" s="394" t="s">
        <v>1549</v>
      </c>
      <c r="B148" s="394" t="s">
        <v>1529</v>
      </c>
      <c r="C148" s="394" t="s">
        <v>860</v>
      </c>
      <c r="D148" s="394" t="s">
        <v>512</v>
      </c>
      <c r="E148" s="394" t="s">
        <v>555</v>
      </c>
      <c r="F148" s="394" t="s">
        <v>860</v>
      </c>
      <c r="G148" s="396">
        <v>36</v>
      </c>
      <c r="H148" s="396">
        <v>188</v>
      </c>
    </row>
    <row r="149" spans="1:8" x14ac:dyDescent="0.25">
      <c r="A149" s="394" t="s">
        <v>1552</v>
      </c>
      <c r="B149" s="394" t="s">
        <v>1533</v>
      </c>
      <c r="C149" s="394" t="s">
        <v>860</v>
      </c>
      <c r="D149" s="394" t="s">
        <v>512</v>
      </c>
      <c r="E149" s="394" t="s">
        <v>555</v>
      </c>
      <c r="F149" s="394" t="s">
        <v>860</v>
      </c>
      <c r="G149" s="396">
        <v>20</v>
      </c>
      <c r="H149" s="396">
        <v>75</v>
      </c>
    </row>
    <row r="150" spans="1:8" x14ac:dyDescent="0.25">
      <c r="A150" s="394" t="s">
        <v>1556</v>
      </c>
      <c r="B150" s="394" t="s">
        <v>1534</v>
      </c>
      <c r="C150" s="394" t="s">
        <v>860</v>
      </c>
      <c r="D150" s="394" t="s">
        <v>512</v>
      </c>
      <c r="E150" s="394" t="s">
        <v>555</v>
      </c>
      <c r="F150" s="394" t="s">
        <v>860</v>
      </c>
      <c r="G150" s="396">
        <v>30</v>
      </c>
      <c r="H150" s="396">
        <v>170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D22"/>
  <sheetViews>
    <sheetView topLeftCell="A3" workbookViewId="0">
      <selection activeCell="D14" sqref="D14"/>
    </sheetView>
  </sheetViews>
  <sheetFormatPr defaultRowHeight="15" x14ac:dyDescent="0.25"/>
  <cols>
    <col min="1" max="1" width="16.5703125" bestFit="1" customWidth="1"/>
    <col min="2" max="2" width="22.5703125" bestFit="1" customWidth="1"/>
    <col min="3" max="3" width="11.7109375" bestFit="1" customWidth="1"/>
    <col min="4" max="4" width="15.28515625" bestFit="1" customWidth="1"/>
    <col min="5" max="5" width="15.7109375" bestFit="1" customWidth="1"/>
    <col min="6" max="6" width="16.28515625" bestFit="1" customWidth="1"/>
    <col min="7" max="7" width="10.5703125" bestFit="1" customWidth="1"/>
  </cols>
  <sheetData>
    <row r="1" spans="1:4" hidden="1" x14ac:dyDescent="0.25">
      <c r="A1" s="402" t="s">
        <v>499</v>
      </c>
      <c r="B1" s="394" t="s">
        <v>501</v>
      </c>
    </row>
    <row r="2" spans="1:4" hidden="1" x14ac:dyDescent="0.25"/>
    <row r="3" spans="1:4" x14ac:dyDescent="0.25">
      <c r="A3" s="402" t="s">
        <v>402</v>
      </c>
      <c r="B3" s="402" t="s">
        <v>0</v>
      </c>
      <c r="C3" s="402" t="s">
        <v>511</v>
      </c>
      <c r="D3" s="402" t="s">
        <v>559</v>
      </c>
    </row>
    <row r="4" spans="1:4" x14ac:dyDescent="0.25">
      <c r="A4" s="394" t="s">
        <v>847</v>
      </c>
      <c r="B4" s="394" t="s">
        <v>5</v>
      </c>
      <c r="C4" s="394" t="s">
        <v>14</v>
      </c>
      <c r="D4" s="394" t="s">
        <v>13</v>
      </c>
    </row>
    <row r="5" spans="1:4" x14ac:dyDescent="0.25">
      <c r="C5" s="394" t="s">
        <v>18</v>
      </c>
      <c r="D5" s="394" t="s">
        <v>17</v>
      </c>
    </row>
    <row r="6" spans="1:4" x14ac:dyDescent="0.25">
      <c r="C6" s="394" t="s">
        <v>366</v>
      </c>
      <c r="D6" s="394" t="s">
        <v>376</v>
      </c>
    </row>
    <row r="7" spans="1:4" x14ac:dyDescent="0.25">
      <c r="C7" s="394" t="s">
        <v>22</v>
      </c>
      <c r="D7" s="394" t="s">
        <v>21</v>
      </c>
    </row>
    <row r="8" spans="1:4" x14ac:dyDescent="0.25">
      <c r="C8" s="394" t="s">
        <v>26</v>
      </c>
      <c r="D8" s="394" t="s">
        <v>25</v>
      </c>
    </row>
    <row r="9" spans="1:4" x14ac:dyDescent="0.25">
      <c r="B9" s="394" t="s">
        <v>146</v>
      </c>
      <c r="C9" s="394" t="s">
        <v>369</v>
      </c>
      <c r="D9" s="394" t="s">
        <v>383</v>
      </c>
    </row>
    <row r="10" spans="1:4" x14ac:dyDescent="0.25">
      <c r="C10" s="394" t="s">
        <v>370</v>
      </c>
      <c r="D10" s="394" t="s">
        <v>384</v>
      </c>
    </row>
    <row r="11" spans="1:4" x14ac:dyDescent="0.25">
      <c r="C11" s="394" t="s">
        <v>373</v>
      </c>
      <c r="D11" s="394" t="s">
        <v>387</v>
      </c>
    </row>
    <row r="12" spans="1:4" x14ac:dyDescent="0.25">
      <c r="B12" s="394" t="s">
        <v>151</v>
      </c>
      <c r="C12" s="394" t="s">
        <v>160</v>
      </c>
      <c r="D12" s="394" t="s">
        <v>159</v>
      </c>
    </row>
    <row r="13" spans="1:4" x14ac:dyDescent="0.25">
      <c r="C13" s="394" t="s">
        <v>152</v>
      </c>
      <c r="D13" s="394" t="s">
        <v>150</v>
      </c>
    </row>
    <row r="14" spans="1:4" x14ac:dyDescent="0.25">
      <c r="B14" s="394" t="s">
        <v>185</v>
      </c>
      <c r="C14" s="394" t="s">
        <v>202</v>
      </c>
      <c r="D14" s="394" t="s">
        <v>201</v>
      </c>
    </row>
    <row r="15" spans="1:4" x14ac:dyDescent="0.25">
      <c r="C15" s="394" t="s">
        <v>209</v>
      </c>
      <c r="D15" s="394" t="s">
        <v>208</v>
      </c>
    </row>
    <row r="16" spans="1:4" x14ac:dyDescent="0.25">
      <c r="B16" s="394" t="s">
        <v>230</v>
      </c>
      <c r="C16" s="394" t="s">
        <v>1055</v>
      </c>
      <c r="D16" s="394" t="s">
        <v>1056</v>
      </c>
    </row>
    <row r="17" spans="2:4" x14ac:dyDescent="0.25">
      <c r="C17" s="394" t="s">
        <v>1065</v>
      </c>
      <c r="D17" s="394" t="s">
        <v>1066</v>
      </c>
    </row>
    <row r="18" spans="2:4" x14ac:dyDescent="0.25">
      <c r="B18" s="394" t="s">
        <v>289</v>
      </c>
      <c r="C18" s="394" t="s">
        <v>1057</v>
      </c>
      <c r="D18" s="394" t="s">
        <v>1058</v>
      </c>
    </row>
    <row r="19" spans="2:4" x14ac:dyDescent="0.25">
      <c r="C19" s="394" t="s">
        <v>1069</v>
      </c>
      <c r="D19" s="394" t="s">
        <v>1062</v>
      </c>
    </row>
    <row r="20" spans="2:4" x14ac:dyDescent="0.25">
      <c r="B20" s="394" t="s">
        <v>302</v>
      </c>
      <c r="C20" s="394" t="s">
        <v>306</v>
      </c>
      <c r="D20" s="394" t="s">
        <v>305</v>
      </c>
    </row>
    <row r="21" spans="2:4" x14ac:dyDescent="0.25">
      <c r="B21" s="394" t="s">
        <v>310</v>
      </c>
      <c r="C21" s="394" t="s">
        <v>353</v>
      </c>
      <c r="D21" s="394" t="s">
        <v>352</v>
      </c>
    </row>
    <row r="22" spans="2:4" x14ac:dyDescent="0.25">
      <c r="B22" s="394" t="s">
        <v>780</v>
      </c>
      <c r="C22" s="394" t="s">
        <v>1278</v>
      </c>
      <c r="D22" s="394" t="s">
        <v>1261</v>
      </c>
    </row>
  </sheetData>
  <pageMargins left="0.25" right="0.25" top="0.75" bottom="0.75" header="0.3" footer="0.3"/>
  <pageSetup paperSize="9" orientation="landscap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800"/>
    <pageSetUpPr fitToPage="1"/>
  </sheetPr>
  <dimension ref="A1:DH52"/>
  <sheetViews>
    <sheetView zoomScale="50" zoomScaleNormal="50" zoomScalePageLayoutView="50" workbookViewId="0">
      <selection activeCell="T44" sqref="T44"/>
    </sheetView>
  </sheetViews>
  <sheetFormatPr defaultColWidth="9.140625" defaultRowHeight="12" customHeight="1" x14ac:dyDescent="0.35"/>
  <cols>
    <col min="1" max="1" width="12.7109375" style="4" customWidth="1"/>
    <col min="2" max="2" width="12.28515625" style="4" customWidth="1"/>
    <col min="3" max="4" width="8.5703125" style="4" customWidth="1"/>
    <col min="5" max="5" width="9.42578125" style="4" customWidth="1"/>
    <col min="6" max="6" width="9.85546875" style="4" customWidth="1"/>
    <col min="7" max="7" width="8.140625" style="4" customWidth="1"/>
    <col min="8" max="8" width="8.42578125" style="4" customWidth="1"/>
    <col min="9" max="10" width="7.140625" style="4" customWidth="1"/>
    <col min="11" max="11" width="10.42578125" style="4" bestFit="1" customWidth="1"/>
    <col min="12" max="12" width="5.5703125" style="4" bestFit="1" customWidth="1"/>
    <col min="13" max="18" width="4.28515625" style="4" customWidth="1"/>
    <col min="19" max="19" width="39.28515625" style="4" customWidth="1"/>
    <col min="20" max="20" width="27.5703125" style="147" customWidth="1"/>
    <col min="21" max="21" width="19.28515625" style="147" customWidth="1"/>
    <col min="22" max="23" width="9.28515625" style="147" customWidth="1"/>
    <col min="24" max="24" width="15" style="147" customWidth="1"/>
    <col min="25" max="25" width="15.5703125" style="147" customWidth="1"/>
    <col min="26" max="26" width="17.28515625" style="147" customWidth="1"/>
    <col min="27" max="27" width="24.7109375" style="147" customWidth="1"/>
    <col min="28" max="30" width="9.28515625" style="147" customWidth="1"/>
    <col min="31" max="31" width="11.28515625" style="147" customWidth="1"/>
    <col min="32" max="32" width="12.140625" style="147" customWidth="1"/>
    <col min="33" max="33" width="13" style="147" customWidth="1"/>
    <col min="34" max="97" width="14.42578125" style="4" customWidth="1"/>
    <col min="98" max="109" width="14.42578125" style="17" customWidth="1"/>
    <col min="110" max="110" width="12.7109375" style="17" customWidth="1"/>
    <col min="111" max="111" width="9.140625" style="17"/>
    <col min="112" max="112" width="11.42578125" style="17" customWidth="1"/>
    <col min="113" max="113" width="6.140625" style="4" customWidth="1"/>
    <col min="114" max="114" width="5.85546875" style="4" customWidth="1"/>
    <col min="115" max="16384" width="9.140625" style="4"/>
  </cols>
  <sheetData>
    <row r="1" spans="15:112" ht="18.75" customHeight="1" thickBot="1" x14ac:dyDescent="0.4">
      <c r="O1" s="17"/>
      <c r="P1" s="17"/>
      <c r="S1" s="17">
        <v>23.5</v>
      </c>
      <c r="T1" s="143" t="s">
        <v>555</v>
      </c>
      <c r="U1" s="144"/>
      <c r="V1" s="144"/>
      <c r="W1" s="144"/>
      <c r="X1" s="144"/>
      <c r="Y1" s="144"/>
      <c r="Z1" s="144"/>
      <c r="AA1" s="145" t="s">
        <v>448</v>
      </c>
      <c r="AB1" s="143" t="s">
        <v>449</v>
      </c>
      <c r="AC1" s="144"/>
      <c r="AD1" s="146"/>
      <c r="CT1" s="4"/>
      <c r="CU1" s="4"/>
      <c r="CV1" s="4"/>
      <c r="CW1" s="4"/>
      <c r="CX1" s="4"/>
      <c r="CY1" s="4"/>
      <c r="CZ1" s="4"/>
      <c r="DA1" s="4"/>
      <c r="DB1" s="4"/>
      <c r="DC1" s="4"/>
      <c r="DD1" s="4"/>
      <c r="DE1" s="4"/>
      <c r="DF1" s="4"/>
      <c r="DG1" s="4"/>
      <c r="DH1" s="4"/>
    </row>
    <row r="2" spans="15:112" ht="18.75" customHeight="1" x14ac:dyDescent="0.35">
      <c r="O2" s="17"/>
      <c r="P2" s="17"/>
      <c r="S2" s="17">
        <v>96.5</v>
      </c>
      <c r="T2" s="148" t="s">
        <v>559</v>
      </c>
      <c r="U2" s="149" t="s">
        <v>0</v>
      </c>
      <c r="V2" s="149" t="s">
        <v>561</v>
      </c>
      <c r="W2" s="150" t="s">
        <v>560</v>
      </c>
      <c r="X2" s="148" t="s">
        <v>564</v>
      </c>
      <c r="Y2" s="149" t="s">
        <v>565</v>
      </c>
      <c r="Z2" s="151" t="s">
        <v>576</v>
      </c>
      <c r="AA2" s="152" t="s">
        <v>441</v>
      </c>
      <c r="AB2" s="153" t="s">
        <v>556</v>
      </c>
      <c r="AC2" s="149" t="s">
        <v>557</v>
      </c>
      <c r="AD2" s="151" t="s">
        <v>558</v>
      </c>
      <c r="AE2" s="154" t="s">
        <v>562</v>
      </c>
      <c r="AF2" s="155" t="s">
        <v>563</v>
      </c>
      <c r="AG2" s="156" t="s">
        <v>566</v>
      </c>
      <c r="CT2" s="4"/>
      <c r="CU2" s="4"/>
      <c r="CV2" s="4"/>
      <c r="CW2" s="4"/>
      <c r="CX2" s="4"/>
      <c r="CY2" s="4"/>
      <c r="CZ2" s="4"/>
      <c r="DA2" s="4"/>
      <c r="DB2" s="4"/>
      <c r="DC2" s="4"/>
      <c r="DD2" s="4"/>
      <c r="DE2" s="4"/>
      <c r="DF2" s="4"/>
      <c r="DG2" s="4"/>
      <c r="DH2" s="4"/>
    </row>
    <row r="3" spans="15:112" ht="18.75" customHeight="1" x14ac:dyDescent="0.35">
      <c r="O3" s="17"/>
      <c r="P3" s="17"/>
      <c r="S3" s="17">
        <v>600</v>
      </c>
      <c r="T3" s="157" t="s">
        <v>531</v>
      </c>
      <c r="U3" s="158" t="s">
        <v>5</v>
      </c>
      <c r="V3" s="157">
        <v>97.12</v>
      </c>
      <c r="W3" s="158">
        <v>24.3</v>
      </c>
      <c r="X3" s="158">
        <f>'CCCM Dashboard'!D12</f>
        <v>1501</v>
      </c>
      <c r="Y3" s="159">
        <f>'CCCM Dashboard'!E12</f>
        <v>8184</v>
      </c>
      <c r="Z3" s="160" t="str">
        <f t="shared" ref="Z3:Z23" si="0">CONCATENATE(AG3, " cp",IF(AG3&gt;1,"s",""))</f>
        <v>11 cps</v>
      </c>
      <c r="AA3" s="654">
        <f>'Shelter Progress'!N7</f>
        <v>0.80852713178294577</v>
      </c>
      <c r="AB3" s="161">
        <v>0</v>
      </c>
      <c r="AC3" s="161">
        <v>0</v>
      </c>
      <c r="AD3" s="161">
        <v>0</v>
      </c>
      <c r="AE3" s="162">
        <f t="shared" ref="AE3:AE23" si="1">$S$3-ROUND((W3-$S$1)*$S$5,0)</f>
        <v>496</v>
      </c>
      <c r="AF3" s="163">
        <f t="shared" ref="AF3:AF23" si="2">ROUND((V3-$S$2)*$S$5,0)+$S$4</f>
        <v>181</v>
      </c>
      <c r="AG3" s="164">
        <f>'CCCM Dashboard'!F12</f>
        <v>11</v>
      </c>
      <c r="CT3" s="4"/>
      <c r="CU3" s="4"/>
      <c r="CV3" s="4"/>
      <c r="CW3" s="4"/>
      <c r="CX3" s="4"/>
      <c r="CY3" s="4"/>
      <c r="CZ3" s="4"/>
      <c r="DA3" s="4"/>
      <c r="DB3" s="4"/>
      <c r="DC3" s="4"/>
      <c r="DD3" s="4"/>
      <c r="DE3" s="4"/>
      <c r="DF3" s="4"/>
      <c r="DG3" s="4"/>
      <c r="DH3" s="4"/>
    </row>
    <row r="4" spans="15:112" ht="18.75" customHeight="1" x14ac:dyDescent="0.35">
      <c r="O4" s="17"/>
      <c r="P4" s="17"/>
      <c r="S4" s="17">
        <v>100</v>
      </c>
      <c r="T4" s="165" t="s">
        <v>535</v>
      </c>
      <c r="U4" s="158" t="s">
        <v>27</v>
      </c>
      <c r="V4" s="165">
        <v>98.322799999999987</v>
      </c>
      <c r="W4" s="158">
        <v>25.917999999999999</v>
      </c>
      <c r="X4" s="158">
        <f>'CCCM Dashboard'!D13</f>
        <v>494</v>
      </c>
      <c r="Y4" s="159">
        <f>'CCCM Dashboard'!E13</f>
        <v>2609</v>
      </c>
      <c r="Z4" s="160" t="str">
        <f t="shared" si="0"/>
        <v>6 cps</v>
      </c>
      <c r="AA4" s="654">
        <f>'Shelter Progress'!N8</f>
        <v>0.36437246963562753</v>
      </c>
      <c r="AB4" s="161">
        <v>1</v>
      </c>
      <c r="AC4" s="161">
        <v>0</v>
      </c>
      <c r="AD4" s="161">
        <v>0.95387840670859536</v>
      </c>
      <c r="AE4" s="162">
        <f t="shared" si="1"/>
        <v>286</v>
      </c>
      <c r="AF4" s="163">
        <f t="shared" si="2"/>
        <v>337</v>
      </c>
      <c r="AG4" s="164">
        <f>'CCCM Dashboard'!F13</f>
        <v>6</v>
      </c>
      <c r="CT4" s="4"/>
      <c r="CU4" s="4"/>
      <c r="CV4" s="4"/>
      <c r="CW4" s="4"/>
      <c r="CX4" s="4"/>
      <c r="CY4" s="4"/>
      <c r="CZ4" s="4"/>
      <c r="DA4" s="4"/>
      <c r="DB4" s="4"/>
      <c r="DC4" s="4"/>
      <c r="DD4" s="4"/>
      <c r="DE4" s="4"/>
      <c r="DF4" s="4"/>
      <c r="DG4" s="4"/>
      <c r="DH4" s="4"/>
    </row>
    <row r="5" spans="15:112" ht="18.75" customHeight="1" x14ac:dyDescent="0.35">
      <c r="O5" s="17"/>
      <c r="P5" s="17"/>
      <c r="S5" s="17">
        <v>130</v>
      </c>
      <c r="T5" s="157" t="s">
        <v>529</v>
      </c>
      <c r="U5" s="158" t="s">
        <v>528</v>
      </c>
      <c r="V5" s="157">
        <v>96.373750000000001</v>
      </c>
      <c r="W5" s="158">
        <v>25.9</v>
      </c>
      <c r="X5" s="158">
        <f>'CCCM Dashboard'!D14</f>
        <v>694</v>
      </c>
      <c r="Y5" s="159">
        <f>'CCCM Dashboard'!E14</f>
        <v>3482</v>
      </c>
      <c r="Z5" s="160" t="str">
        <f t="shared" si="0"/>
        <v>20 cps</v>
      </c>
      <c r="AA5" s="654">
        <f>'Shelter Progress'!N9</f>
        <v>0.61671469740634011</v>
      </c>
      <c r="AB5" s="161">
        <v>0.69172932330827064</v>
      </c>
      <c r="AC5" s="161">
        <v>0</v>
      </c>
      <c r="AD5" s="161">
        <v>1</v>
      </c>
      <c r="AE5" s="162">
        <f t="shared" si="1"/>
        <v>288</v>
      </c>
      <c r="AF5" s="163">
        <f t="shared" si="2"/>
        <v>84</v>
      </c>
      <c r="AG5" s="164">
        <f>'CCCM Dashboard'!F14</f>
        <v>20</v>
      </c>
      <c r="CT5" s="4"/>
      <c r="CU5" s="4"/>
      <c r="CV5" s="4"/>
      <c r="CW5" s="4"/>
      <c r="CX5" s="4"/>
      <c r="CY5" s="4"/>
      <c r="CZ5" s="4"/>
      <c r="DA5" s="4"/>
      <c r="DB5" s="4"/>
      <c r="DC5" s="4"/>
      <c r="DD5" s="4"/>
      <c r="DE5" s="4"/>
      <c r="DF5" s="4"/>
      <c r="DG5" s="4"/>
      <c r="DH5" s="4"/>
    </row>
    <row r="6" spans="15:112" ht="18.75" customHeight="1" x14ac:dyDescent="0.35">
      <c r="O6" s="17"/>
      <c r="P6" s="17"/>
      <c r="T6" s="165" t="s">
        <v>781</v>
      </c>
      <c r="U6" s="158" t="s">
        <v>780</v>
      </c>
      <c r="V6" s="166">
        <v>98.1</v>
      </c>
      <c r="W6" s="167">
        <v>23.28</v>
      </c>
      <c r="X6" s="158">
        <f>'CCCM Dashboard'!D15</f>
        <v>125</v>
      </c>
      <c r="Y6" s="159">
        <f>'CCCM Dashboard'!E15</f>
        <v>669</v>
      </c>
      <c r="Z6" s="160" t="str">
        <f>CONCATENATE(AG6, " cp",IF(AG6&gt;1,"s",""))</f>
        <v>3 cps</v>
      </c>
      <c r="AA6" s="654">
        <f>'Shelter Progress'!N10</f>
        <v>0.60344827586206895</v>
      </c>
      <c r="AB6" s="161"/>
      <c r="AC6" s="161"/>
      <c r="AD6" s="161"/>
      <c r="AE6" s="162">
        <f t="shared" si="1"/>
        <v>629</v>
      </c>
      <c r="AF6" s="163">
        <f t="shared" si="2"/>
        <v>308</v>
      </c>
      <c r="AG6" s="164">
        <f>'CCCM Dashboard'!F15</f>
        <v>3</v>
      </c>
      <c r="AI6" s="17"/>
      <c r="CT6" s="4"/>
      <c r="CU6" s="4"/>
      <c r="CV6" s="4"/>
      <c r="CW6" s="4"/>
      <c r="CX6" s="4"/>
      <c r="CY6" s="4"/>
      <c r="CZ6" s="4"/>
      <c r="DA6" s="4"/>
      <c r="DB6" s="4"/>
      <c r="DC6" s="4"/>
      <c r="DD6" s="4"/>
      <c r="DE6" s="4"/>
      <c r="DF6" s="4"/>
      <c r="DG6" s="4"/>
      <c r="DH6" s="4"/>
    </row>
    <row r="7" spans="15:112" ht="18.75" customHeight="1" x14ac:dyDescent="0.35">
      <c r="O7" s="17"/>
      <c r="P7" s="17"/>
      <c r="T7" s="165" t="s">
        <v>549</v>
      </c>
      <c r="U7" s="158" t="s">
        <v>363</v>
      </c>
      <c r="V7" s="165">
        <v>97.89587301587305</v>
      </c>
      <c r="W7" s="158">
        <v>26.232698412698419</v>
      </c>
      <c r="X7" s="158">
        <f>'CCCM Dashboard'!D16</f>
        <v>0</v>
      </c>
      <c r="Y7" s="159">
        <f>'CCCM Dashboard'!E16</f>
        <v>0</v>
      </c>
      <c r="Z7" s="160" t="str">
        <f t="shared" si="0"/>
        <v>0 cp</v>
      </c>
      <c r="AA7" s="654">
        <f>'Shelter Progress'!N11</f>
        <v>0</v>
      </c>
      <c r="AB7" s="161">
        <v>0</v>
      </c>
      <c r="AC7" s="161">
        <v>0</v>
      </c>
      <c r="AD7" s="161">
        <v>0</v>
      </c>
      <c r="AE7" s="162">
        <f t="shared" si="1"/>
        <v>245</v>
      </c>
      <c r="AF7" s="163">
        <f t="shared" si="2"/>
        <v>281</v>
      </c>
      <c r="AG7" s="164">
        <f>'CCCM Dashboard'!F16</f>
        <v>0</v>
      </c>
      <c r="CT7" s="4"/>
      <c r="CU7" s="4"/>
      <c r="CV7" s="4"/>
      <c r="CW7" s="4"/>
      <c r="CX7" s="4"/>
      <c r="CY7" s="4"/>
      <c r="CZ7" s="4"/>
      <c r="DA7" s="4"/>
      <c r="DB7" s="4"/>
      <c r="DC7" s="4"/>
      <c r="DD7" s="4"/>
      <c r="DE7" s="4"/>
      <c r="DF7" s="4"/>
      <c r="DG7" s="4"/>
      <c r="DH7" s="4"/>
    </row>
    <row r="8" spans="15:112" ht="18.75" customHeight="1" x14ac:dyDescent="0.35">
      <c r="O8" s="17"/>
      <c r="P8" s="17"/>
      <c r="T8" s="157" t="s">
        <v>548</v>
      </c>
      <c r="U8" s="158" t="s">
        <v>144</v>
      </c>
      <c r="V8" s="157">
        <v>98.438571428571422</v>
      </c>
      <c r="W8" s="158">
        <v>27.1</v>
      </c>
      <c r="X8" s="158">
        <f>'CCCM Dashboard'!D17</f>
        <v>11</v>
      </c>
      <c r="Y8" s="159">
        <f>'CCCM Dashboard'!E17</f>
        <v>17</v>
      </c>
      <c r="Z8" s="160" t="str">
        <f t="shared" si="0"/>
        <v>1 cp</v>
      </c>
      <c r="AA8" s="654">
        <f>'Shelter Progress'!N12</f>
        <v>0</v>
      </c>
      <c r="AB8" s="161">
        <v>0</v>
      </c>
      <c r="AC8" s="161">
        <v>0</v>
      </c>
      <c r="AD8" s="161">
        <v>0</v>
      </c>
      <c r="AE8" s="162">
        <f t="shared" si="1"/>
        <v>132</v>
      </c>
      <c r="AF8" s="163">
        <f t="shared" si="2"/>
        <v>352</v>
      </c>
      <c r="AG8" s="164">
        <f>'CCCM Dashboard'!F17</f>
        <v>1</v>
      </c>
      <c r="CT8" s="4"/>
      <c r="CU8" s="4"/>
      <c r="CV8" s="4"/>
      <c r="CW8" s="4"/>
      <c r="CX8" s="4"/>
      <c r="CY8" s="4"/>
      <c r="CZ8" s="4"/>
      <c r="DA8" s="4"/>
      <c r="DB8" s="4"/>
      <c r="DC8" s="4"/>
      <c r="DD8" s="4"/>
      <c r="DE8" s="4"/>
      <c r="DF8" s="4"/>
      <c r="DG8" s="4"/>
      <c r="DH8" s="4"/>
    </row>
    <row r="9" spans="15:112" ht="18.75" customHeight="1" x14ac:dyDescent="0.35">
      <c r="O9" s="17"/>
      <c r="P9" s="17"/>
      <c r="T9" s="165" t="s">
        <v>545</v>
      </c>
      <c r="U9" s="158" t="s">
        <v>146</v>
      </c>
      <c r="V9" s="165">
        <v>98.1</v>
      </c>
      <c r="W9" s="158">
        <v>23.553031914893619</v>
      </c>
      <c r="X9" s="158">
        <f>'CCCM Dashboard'!D18</f>
        <v>1051</v>
      </c>
      <c r="Y9" s="159">
        <f>'CCCM Dashboard'!E18</f>
        <v>5060</v>
      </c>
      <c r="Z9" s="160" t="str">
        <f t="shared" si="0"/>
        <v>12 cps</v>
      </c>
      <c r="AA9" s="654">
        <f>'Shelter Progress'!N13</f>
        <v>0.4224548049476689</v>
      </c>
      <c r="AB9" s="161">
        <v>0</v>
      </c>
      <c r="AC9" s="161">
        <v>0</v>
      </c>
      <c r="AD9" s="161">
        <v>1</v>
      </c>
      <c r="AE9" s="162">
        <f t="shared" si="1"/>
        <v>593</v>
      </c>
      <c r="AF9" s="163">
        <f t="shared" si="2"/>
        <v>308</v>
      </c>
      <c r="AG9" s="164">
        <f>'CCCM Dashboard'!F18</f>
        <v>12</v>
      </c>
      <c r="CT9" s="4"/>
      <c r="CU9" s="4"/>
      <c r="CV9" s="4"/>
      <c r="CW9" s="4"/>
      <c r="CX9" s="4"/>
      <c r="CY9" s="4"/>
      <c r="CZ9" s="4"/>
      <c r="DA9" s="4"/>
      <c r="DB9" s="4"/>
      <c r="DC9" s="4"/>
      <c r="DD9" s="4"/>
      <c r="DE9" s="4"/>
      <c r="DF9" s="4"/>
      <c r="DG9" s="4"/>
      <c r="DH9" s="4"/>
    </row>
    <row r="10" spans="15:112" ht="18.75" customHeight="1" x14ac:dyDescent="0.35">
      <c r="O10" s="17"/>
      <c r="P10" s="17"/>
      <c r="T10" s="165" t="s">
        <v>895</v>
      </c>
      <c r="U10" s="158" t="s">
        <v>894</v>
      </c>
      <c r="V10" s="166">
        <v>97.88</v>
      </c>
      <c r="W10" s="167">
        <v>27.2</v>
      </c>
      <c r="X10" s="158">
        <f>'CCCM Dashboard'!D19</f>
        <v>0</v>
      </c>
      <c r="Y10" s="159">
        <f>'CCCM Dashboard'!E19</f>
        <v>0</v>
      </c>
      <c r="Z10" s="160" t="str">
        <f>U3</f>
        <v>Bhamo</v>
      </c>
      <c r="AA10" s="654">
        <f>'Shelter Progress'!N14</f>
        <v>0</v>
      </c>
      <c r="AB10" s="161"/>
      <c r="AC10" s="161"/>
      <c r="AD10" s="161"/>
      <c r="AE10" s="162">
        <f t="shared" si="1"/>
        <v>119</v>
      </c>
      <c r="AF10" s="163">
        <f t="shared" si="2"/>
        <v>279</v>
      </c>
      <c r="AG10" s="164">
        <f>'CCCM Dashboard'!F19</f>
        <v>0</v>
      </c>
      <c r="CT10" s="4"/>
      <c r="CU10" s="4"/>
      <c r="CV10" s="4"/>
      <c r="CW10" s="4"/>
      <c r="CX10" s="4"/>
      <c r="CY10" s="4"/>
      <c r="CZ10" s="4"/>
      <c r="DA10" s="4"/>
      <c r="DB10" s="4"/>
      <c r="DC10" s="4"/>
      <c r="DD10" s="4"/>
      <c r="DE10" s="4"/>
      <c r="DF10" s="4"/>
      <c r="DG10" s="4"/>
      <c r="DH10" s="4"/>
    </row>
    <row r="11" spans="15:112" ht="18.75" customHeight="1" x14ac:dyDescent="0.35">
      <c r="O11" s="17"/>
      <c r="P11" s="17"/>
      <c r="T11" s="157" t="s">
        <v>540</v>
      </c>
      <c r="U11" s="158" t="s">
        <v>151</v>
      </c>
      <c r="V11" s="157">
        <v>97.372845528455244</v>
      </c>
      <c r="W11" s="158">
        <v>24</v>
      </c>
      <c r="X11" s="158">
        <f>'CCCM Dashboard'!D20</f>
        <v>2770</v>
      </c>
      <c r="Y11" s="159">
        <f>'CCCM Dashboard'!E20</f>
        <v>12630</v>
      </c>
      <c r="Z11" s="160" t="str">
        <f t="shared" si="0"/>
        <v>12 cps</v>
      </c>
      <c r="AA11" s="654">
        <f>'Shelter Progress'!N15</f>
        <v>0.61214767764986111</v>
      </c>
      <c r="AB11" s="161">
        <v>0</v>
      </c>
      <c r="AC11" s="161">
        <v>0</v>
      </c>
      <c r="AD11" s="161">
        <v>0</v>
      </c>
      <c r="AE11" s="162">
        <f t="shared" si="1"/>
        <v>535</v>
      </c>
      <c r="AF11" s="163">
        <f t="shared" si="2"/>
        <v>213</v>
      </c>
      <c r="AG11" s="164">
        <f>'CCCM Dashboard'!F20</f>
        <v>12</v>
      </c>
      <c r="CT11" s="4"/>
      <c r="CU11" s="4"/>
      <c r="CV11" s="4"/>
      <c r="CW11" s="4"/>
      <c r="CX11" s="4"/>
      <c r="CY11" s="4"/>
      <c r="CZ11" s="4"/>
      <c r="DA11" s="4"/>
      <c r="DB11" s="4"/>
      <c r="DC11" s="4"/>
      <c r="DD11" s="4"/>
      <c r="DE11" s="4"/>
      <c r="DF11" s="4"/>
      <c r="DG11" s="4"/>
      <c r="DH11" s="4"/>
    </row>
    <row r="12" spans="15:112" ht="18.75" customHeight="1" x14ac:dyDescent="0.35">
      <c r="O12" s="17"/>
      <c r="P12" s="17"/>
      <c r="T12" s="165" t="s">
        <v>544</v>
      </c>
      <c r="U12" s="158" t="s">
        <v>166</v>
      </c>
      <c r="V12" s="165">
        <v>97.266347826086943</v>
      </c>
      <c r="W12" s="158">
        <v>23.345826086956535</v>
      </c>
      <c r="X12" s="158">
        <f>'CCCM Dashboard'!D21</f>
        <v>102</v>
      </c>
      <c r="Y12" s="159">
        <f>'CCCM Dashboard'!E21</f>
        <v>504</v>
      </c>
      <c r="Z12" s="160" t="str">
        <f t="shared" si="0"/>
        <v>3 cps</v>
      </c>
      <c r="AA12" s="654">
        <f>'Shelter Progress'!N16</f>
        <v>0.78431372549019607</v>
      </c>
      <c r="AB12" s="161">
        <v>0</v>
      </c>
      <c r="AC12" s="161">
        <v>0</v>
      </c>
      <c r="AD12" s="161">
        <v>0</v>
      </c>
      <c r="AE12" s="162">
        <f t="shared" si="1"/>
        <v>620</v>
      </c>
      <c r="AF12" s="163">
        <f t="shared" si="2"/>
        <v>200</v>
      </c>
      <c r="AG12" s="164">
        <f>'CCCM Dashboard'!F21</f>
        <v>3</v>
      </c>
      <c r="CT12" s="4"/>
      <c r="CU12" s="4"/>
      <c r="CV12" s="4"/>
      <c r="CW12" s="4"/>
      <c r="CX12" s="4"/>
      <c r="CY12" s="4"/>
      <c r="CZ12" s="4"/>
      <c r="DA12" s="4"/>
      <c r="DB12" s="4"/>
      <c r="DC12" s="4"/>
      <c r="DD12" s="4"/>
      <c r="DE12" s="4"/>
      <c r="DF12" s="4"/>
      <c r="DG12" s="4"/>
      <c r="DH12" s="4"/>
    </row>
    <row r="13" spans="15:112" ht="18.75" customHeight="1" x14ac:dyDescent="0.35">
      <c r="O13" s="17"/>
      <c r="P13" s="17"/>
      <c r="T13" s="157" t="s">
        <v>546</v>
      </c>
      <c r="U13" s="158" t="s">
        <v>173</v>
      </c>
      <c r="V13" s="157">
        <v>96.9</v>
      </c>
      <c r="W13" s="158">
        <v>25.4</v>
      </c>
      <c r="X13" s="158">
        <f>'CCCM Dashboard'!D22</f>
        <v>102</v>
      </c>
      <c r="Y13" s="159">
        <f>'CCCM Dashboard'!E22</f>
        <v>433</v>
      </c>
      <c r="Z13" s="160" t="str">
        <f t="shared" si="0"/>
        <v>6 cps</v>
      </c>
      <c r="AA13" s="654">
        <f>'Shelter Progress'!N17</f>
        <v>1</v>
      </c>
      <c r="AB13" s="161">
        <v>0</v>
      </c>
      <c r="AC13" s="161">
        <v>0</v>
      </c>
      <c r="AD13" s="161">
        <v>0</v>
      </c>
      <c r="AE13" s="162">
        <f t="shared" si="1"/>
        <v>353</v>
      </c>
      <c r="AF13" s="163">
        <f t="shared" si="2"/>
        <v>152</v>
      </c>
      <c r="AG13" s="164">
        <f>'CCCM Dashboard'!F22</f>
        <v>6</v>
      </c>
      <c r="CT13" s="4"/>
      <c r="CU13" s="4"/>
      <c r="CV13" s="4"/>
      <c r="CW13" s="4"/>
      <c r="CX13" s="4"/>
      <c r="CY13" s="4"/>
      <c r="CZ13" s="4"/>
      <c r="DA13" s="4"/>
      <c r="DB13" s="4"/>
      <c r="DC13" s="4"/>
      <c r="DD13" s="4"/>
      <c r="DE13" s="4"/>
      <c r="DF13" s="4"/>
      <c r="DG13" s="4"/>
      <c r="DH13" s="4"/>
    </row>
    <row r="14" spans="15:112" ht="18.75" customHeight="1" x14ac:dyDescent="0.35">
      <c r="O14" s="17"/>
      <c r="P14" s="17"/>
      <c r="T14" s="165" t="s">
        <v>552</v>
      </c>
      <c r="U14" s="158" t="s">
        <v>180</v>
      </c>
      <c r="V14" s="165">
        <v>96.376558441558373</v>
      </c>
      <c r="W14" s="158">
        <v>24.957077922077939</v>
      </c>
      <c r="X14" s="158">
        <f>'CCCM Dashboard'!D23</f>
        <v>82</v>
      </c>
      <c r="Y14" s="159">
        <f>'CCCM Dashboard'!E23</f>
        <v>378</v>
      </c>
      <c r="Z14" s="160" t="str">
        <f t="shared" si="0"/>
        <v>4 cps</v>
      </c>
      <c r="AA14" s="654">
        <f>'Shelter Progress'!N18</f>
        <v>1</v>
      </c>
      <c r="AB14" s="161">
        <v>1</v>
      </c>
      <c r="AC14" s="161">
        <v>0</v>
      </c>
      <c r="AD14" s="161">
        <v>0</v>
      </c>
      <c r="AE14" s="162">
        <f t="shared" si="1"/>
        <v>411</v>
      </c>
      <c r="AF14" s="163">
        <f t="shared" si="2"/>
        <v>84</v>
      </c>
      <c r="AG14" s="164">
        <f>'CCCM Dashboard'!F23</f>
        <v>4</v>
      </c>
      <c r="CT14" s="4"/>
      <c r="CU14" s="4"/>
      <c r="CV14" s="4"/>
      <c r="CW14" s="4"/>
      <c r="CX14" s="4"/>
      <c r="CY14" s="4"/>
      <c r="CZ14" s="4"/>
      <c r="DA14" s="4"/>
      <c r="DB14" s="4"/>
      <c r="DC14" s="4"/>
      <c r="DD14" s="4"/>
      <c r="DE14" s="4"/>
      <c r="DF14" s="4"/>
      <c r="DG14" s="4"/>
      <c r="DH14" s="4"/>
    </row>
    <row r="15" spans="15:112" ht="18.75" customHeight="1" x14ac:dyDescent="0.35">
      <c r="O15" s="17"/>
      <c r="P15" s="17"/>
      <c r="T15" s="157" t="s">
        <v>534</v>
      </c>
      <c r="U15" s="158" t="s">
        <v>185</v>
      </c>
      <c r="V15" s="157">
        <v>97.449510489510473</v>
      </c>
      <c r="W15" s="158">
        <v>24.6</v>
      </c>
      <c r="X15" s="158">
        <f>'CCCM Dashboard'!D24</f>
        <v>3114</v>
      </c>
      <c r="Y15" s="159">
        <f>'CCCM Dashboard'!E24</f>
        <v>15638</v>
      </c>
      <c r="Z15" s="160" t="str">
        <f t="shared" si="0"/>
        <v>20 cps</v>
      </c>
      <c r="AA15" s="654">
        <f>'Shelter Progress'!N19</f>
        <v>1</v>
      </c>
      <c r="AB15" s="161">
        <v>0.12549019607843137</v>
      </c>
      <c r="AC15" s="161">
        <v>0</v>
      </c>
      <c r="AD15" s="161">
        <v>0.58263305322128844</v>
      </c>
      <c r="AE15" s="162">
        <f t="shared" si="1"/>
        <v>457</v>
      </c>
      <c r="AF15" s="163">
        <f t="shared" si="2"/>
        <v>223</v>
      </c>
      <c r="AG15" s="164">
        <f>'CCCM Dashboard'!F24</f>
        <v>20</v>
      </c>
      <c r="CT15" s="4"/>
      <c r="CU15" s="4"/>
      <c r="CV15" s="4"/>
      <c r="CW15" s="4"/>
      <c r="CX15" s="4"/>
      <c r="CY15" s="4"/>
      <c r="CZ15" s="4"/>
      <c r="DA15" s="4"/>
      <c r="DB15" s="4"/>
      <c r="DC15" s="4"/>
      <c r="DD15" s="4"/>
      <c r="DE15" s="4"/>
      <c r="DF15" s="4"/>
      <c r="DG15" s="4"/>
      <c r="DH15" s="4"/>
    </row>
    <row r="16" spans="15:112" ht="18.75" customHeight="1" x14ac:dyDescent="0.35">
      <c r="O16" s="17"/>
      <c r="P16" s="17"/>
      <c r="T16" s="165" t="s">
        <v>539</v>
      </c>
      <c r="U16" s="158" t="s">
        <v>230</v>
      </c>
      <c r="V16" s="165">
        <v>98.12</v>
      </c>
      <c r="W16" s="158">
        <v>23.972235294117642</v>
      </c>
      <c r="X16" s="158">
        <f>'CCCM Dashboard'!D25</f>
        <v>271</v>
      </c>
      <c r="Y16" s="159">
        <f>'CCCM Dashboard'!E25</f>
        <v>1020</v>
      </c>
      <c r="Z16" s="160" t="str">
        <f t="shared" si="0"/>
        <v>6 cps</v>
      </c>
      <c r="AA16" s="654">
        <f>'Shelter Progress'!N20</f>
        <v>1</v>
      </c>
      <c r="AB16" s="161">
        <v>0</v>
      </c>
      <c r="AC16" s="161">
        <v>0</v>
      </c>
      <c r="AD16" s="161">
        <v>0</v>
      </c>
      <c r="AE16" s="162">
        <f t="shared" si="1"/>
        <v>539</v>
      </c>
      <c r="AF16" s="163">
        <f t="shared" si="2"/>
        <v>311</v>
      </c>
      <c r="AG16" s="164">
        <f>'CCCM Dashboard'!F25</f>
        <v>6</v>
      </c>
      <c r="CT16" s="4"/>
      <c r="CU16" s="4"/>
      <c r="CV16" s="4"/>
      <c r="CW16" s="4"/>
      <c r="CX16" s="4"/>
      <c r="CY16" s="4"/>
      <c r="CZ16" s="4"/>
      <c r="DA16" s="4"/>
      <c r="DB16" s="4"/>
      <c r="DC16" s="4"/>
      <c r="DD16" s="4"/>
      <c r="DE16" s="4"/>
      <c r="DF16" s="4"/>
      <c r="DG16" s="4"/>
      <c r="DH16" s="4"/>
    </row>
    <row r="17" spans="1:112" ht="18.75" customHeight="1" x14ac:dyDescent="0.35">
      <c r="O17" s="17"/>
      <c r="P17" s="17"/>
      <c r="T17" s="157" t="s">
        <v>536</v>
      </c>
      <c r="U17" s="158" t="s">
        <v>237</v>
      </c>
      <c r="V17" s="157">
        <v>97.301176470588288</v>
      </c>
      <c r="W17" s="158">
        <v>25.24</v>
      </c>
      <c r="X17" s="158">
        <f>'CCCM Dashboard'!D26</f>
        <v>1409</v>
      </c>
      <c r="Y17" s="159">
        <f>'CCCM Dashboard'!E26</f>
        <v>7181</v>
      </c>
      <c r="Z17" s="160" t="str">
        <f t="shared" si="0"/>
        <v>24 cps</v>
      </c>
      <c r="AA17" s="654">
        <f>'Shelter Progress'!N21</f>
        <v>0.78921220723917673</v>
      </c>
      <c r="AB17" s="161">
        <v>0.65062761506276146</v>
      </c>
      <c r="AC17" s="161">
        <v>0</v>
      </c>
      <c r="AD17" s="161">
        <v>0.25732217573221761</v>
      </c>
      <c r="AE17" s="162">
        <f t="shared" si="1"/>
        <v>374</v>
      </c>
      <c r="AF17" s="163">
        <f t="shared" si="2"/>
        <v>204</v>
      </c>
      <c r="AG17" s="164">
        <f>'CCCM Dashboard'!F26</f>
        <v>24</v>
      </c>
      <c r="CT17" s="4"/>
      <c r="CU17" s="4"/>
      <c r="CV17" s="4"/>
      <c r="CW17" s="4"/>
      <c r="CX17" s="4"/>
      <c r="CY17" s="4"/>
      <c r="CZ17" s="4"/>
      <c r="DA17" s="4"/>
      <c r="DB17" s="4"/>
      <c r="DC17" s="4"/>
      <c r="DD17" s="4"/>
      <c r="DE17" s="4"/>
      <c r="DF17" s="4"/>
      <c r="DG17" s="4"/>
      <c r="DH17" s="4"/>
    </row>
    <row r="18" spans="1:112" ht="18.75" customHeight="1" x14ac:dyDescent="0.35">
      <c r="O18" s="17"/>
      <c r="P18" s="17"/>
      <c r="T18" s="165" t="s">
        <v>550</v>
      </c>
      <c r="U18" s="158" t="s">
        <v>289</v>
      </c>
      <c r="V18" s="165">
        <v>97.619855072463778</v>
      </c>
      <c r="W18" s="158">
        <v>23.7</v>
      </c>
      <c r="X18" s="158">
        <f>'CCCM Dashboard'!D27</f>
        <v>601</v>
      </c>
      <c r="Y18" s="159">
        <f>'CCCM Dashboard'!E27</f>
        <v>2805</v>
      </c>
      <c r="Z18" s="160" t="str">
        <f t="shared" si="0"/>
        <v>7 cps</v>
      </c>
      <c r="AA18" s="654">
        <f>'Shelter Progress'!N22</f>
        <v>0.39434276206322794</v>
      </c>
      <c r="AB18" s="161">
        <v>0</v>
      </c>
      <c r="AC18" s="161">
        <v>0</v>
      </c>
      <c r="AD18" s="161">
        <v>0</v>
      </c>
      <c r="AE18" s="162">
        <f t="shared" si="1"/>
        <v>574</v>
      </c>
      <c r="AF18" s="163">
        <f t="shared" si="2"/>
        <v>246</v>
      </c>
      <c r="AG18" s="164">
        <f>'CCCM Dashboard'!F27</f>
        <v>7</v>
      </c>
      <c r="CT18" s="4"/>
      <c r="CU18" s="4"/>
      <c r="CV18" s="4"/>
      <c r="CW18" s="4"/>
      <c r="CX18" s="4"/>
      <c r="CY18" s="4"/>
      <c r="CZ18" s="4"/>
      <c r="DA18" s="4"/>
      <c r="DB18" s="4"/>
      <c r="DC18" s="4"/>
      <c r="DD18" s="4"/>
      <c r="DE18" s="4"/>
      <c r="DF18" s="4"/>
      <c r="DG18" s="4"/>
      <c r="DH18" s="4"/>
    </row>
    <row r="19" spans="1:112" ht="18.75" customHeight="1" x14ac:dyDescent="0.35">
      <c r="O19" s="17"/>
      <c r="P19" s="17"/>
      <c r="T19" s="157" t="s">
        <v>551</v>
      </c>
      <c r="U19" s="158" t="s">
        <v>298</v>
      </c>
      <c r="V19" s="157">
        <v>97.48</v>
      </c>
      <c r="W19" s="158">
        <v>23.01813559322035</v>
      </c>
      <c r="X19" s="158">
        <f>'CCCM Dashboard'!D28</f>
        <v>146</v>
      </c>
      <c r="Y19" s="159">
        <f>'CCCM Dashboard'!E28</f>
        <v>639</v>
      </c>
      <c r="Z19" s="160" t="str">
        <f t="shared" si="0"/>
        <v>3 cps</v>
      </c>
      <c r="AA19" s="654">
        <f>'Shelter Progress'!N23</f>
        <v>0.35714285714285715</v>
      </c>
      <c r="AB19" s="161">
        <v>0</v>
      </c>
      <c r="AC19" s="161">
        <v>0</v>
      </c>
      <c r="AD19" s="161">
        <v>0</v>
      </c>
      <c r="AE19" s="162">
        <f t="shared" si="1"/>
        <v>663</v>
      </c>
      <c r="AF19" s="163">
        <f t="shared" si="2"/>
        <v>227</v>
      </c>
      <c r="AG19" s="164">
        <f>'CCCM Dashboard'!F28</f>
        <v>3</v>
      </c>
      <c r="CT19" s="4"/>
      <c r="CU19" s="4"/>
      <c r="CV19" s="4"/>
      <c r="CW19" s="4"/>
      <c r="CX19" s="4"/>
      <c r="CY19" s="4"/>
      <c r="CZ19" s="4"/>
      <c r="DA19" s="4"/>
      <c r="DB19" s="4"/>
      <c r="DC19" s="4"/>
      <c r="DD19" s="4"/>
      <c r="DE19" s="4"/>
      <c r="DF19" s="4"/>
      <c r="DG19" s="4"/>
      <c r="DH19" s="4"/>
    </row>
    <row r="20" spans="1:112" ht="18.75" customHeight="1" x14ac:dyDescent="0.35">
      <c r="O20" s="17"/>
      <c r="P20" s="17"/>
      <c r="T20" s="165" t="s">
        <v>553</v>
      </c>
      <c r="U20" s="158" t="s">
        <v>300</v>
      </c>
      <c r="V20" s="165">
        <v>97.435148514851463</v>
      </c>
      <c r="W20" s="158">
        <v>27.327029702970304</v>
      </c>
      <c r="X20" s="158">
        <f>'CCCM Dashboard'!D29</f>
        <v>83</v>
      </c>
      <c r="Y20" s="159">
        <f>'CCCM Dashboard'!E29</f>
        <v>490</v>
      </c>
      <c r="Z20" s="160" t="str">
        <f t="shared" si="0"/>
        <v>3 cps</v>
      </c>
      <c r="AA20" s="654">
        <f>'Shelter Progress'!N24</f>
        <v>1</v>
      </c>
      <c r="AB20" s="161">
        <v>0</v>
      </c>
      <c r="AC20" s="161">
        <v>0</v>
      </c>
      <c r="AD20" s="161">
        <v>0</v>
      </c>
      <c r="AE20" s="162">
        <f t="shared" si="1"/>
        <v>102</v>
      </c>
      <c r="AF20" s="163">
        <f t="shared" si="2"/>
        <v>222</v>
      </c>
      <c r="AG20" s="164">
        <f>'CCCM Dashboard'!F29</f>
        <v>3</v>
      </c>
      <c r="CT20" s="4"/>
      <c r="CU20" s="4"/>
      <c r="CV20" s="4"/>
      <c r="CW20" s="4"/>
      <c r="CX20" s="4"/>
      <c r="CY20" s="4"/>
      <c r="CZ20" s="4"/>
      <c r="DA20" s="4"/>
      <c r="DB20" s="4"/>
      <c r="DC20" s="4"/>
      <c r="DD20" s="4"/>
      <c r="DE20" s="4"/>
      <c r="DF20" s="4"/>
      <c r="DG20" s="4"/>
      <c r="DH20" s="4"/>
    </row>
    <row r="21" spans="1:112" ht="18.75" customHeight="1" x14ac:dyDescent="0.35">
      <c r="T21" s="157" t="s">
        <v>541</v>
      </c>
      <c r="U21" s="158" t="s">
        <v>302</v>
      </c>
      <c r="V21" s="157">
        <v>96.752179487179433</v>
      </c>
      <c r="W21" s="158">
        <v>24.4</v>
      </c>
      <c r="X21" s="158">
        <f>'CCCM Dashboard'!D30</f>
        <v>511</v>
      </c>
      <c r="Y21" s="159">
        <f>'CCCM Dashboard'!E30</f>
        <v>2186</v>
      </c>
      <c r="Z21" s="158" t="str">
        <f t="shared" si="0"/>
        <v>4 cps</v>
      </c>
      <c r="AA21" s="654">
        <f>'Shelter Progress'!N25</f>
        <v>0.69291338582677164</v>
      </c>
      <c r="AB21" s="161">
        <v>0</v>
      </c>
      <c r="AC21" s="161">
        <v>0</v>
      </c>
      <c r="AD21" s="161">
        <v>0</v>
      </c>
      <c r="AE21" s="162">
        <f t="shared" si="1"/>
        <v>483</v>
      </c>
      <c r="AF21" s="163">
        <f t="shared" si="2"/>
        <v>133</v>
      </c>
      <c r="AG21" s="164">
        <f>'CCCM Dashboard'!F30</f>
        <v>4</v>
      </c>
      <c r="DA21" s="62"/>
      <c r="DB21" s="63"/>
      <c r="DC21" s="63"/>
      <c r="DD21" s="63"/>
      <c r="DE21" s="63"/>
    </row>
    <row r="22" spans="1:112" ht="18.75" customHeight="1" x14ac:dyDescent="0.35">
      <c r="A22" s="74"/>
      <c r="B22" s="74"/>
      <c r="C22" s="74"/>
      <c r="D22" s="74"/>
      <c r="E22" s="74"/>
      <c r="F22" s="74"/>
      <c r="G22" s="74"/>
      <c r="H22" s="74"/>
      <c r="I22" s="74"/>
      <c r="J22" s="74"/>
      <c r="K22" s="74"/>
      <c r="L22" s="74"/>
      <c r="M22" s="74"/>
      <c r="N22" s="65"/>
      <c r="T22" s="165" t="s">
        <v>810</v>
      </c>
      <c r="U22" s="158" t="s">
        <v>809</v>
      </c>
      <c r="V22" s="157">
        <v>97.5</v>
      </c>
      <c r="W22" s="167">
        <v>26.5</v>
      </c>
      <c r="X22" s="158">
        <f>'CCCM Dashboard'!D31</f>
        <v>166</v>
      </c>
      <c r="Y22" s="159">
        <f>'CCCM Dashboard'!E31</f>
        <v>1232</v>
      </c>
      <c r="Z22" s="160" t="str">
        <f>CONCATENATE(AG22, " cp",IF(AG22&gt;1,"s",""))</f>
        <v>3 cps</v>
      </c>
      <c r="AA22" s="654">
        <f>'Shelter Progress'!N26</f>
        <v>0</v>
      </c>
      <c r="AB22" s="161"/>
      <c r="AC22" s="161"/>
      <c r="AD22" s="161"/>
      <c r="AE22" s="162">
        <f t="shared" si="1"/>
        <v>210</v>
      </c>
      <c r="AF22" s="163">
        <f t="shared" si="2"/>
        <v>230</v>
      </c>
      <c r="AG22" s="164">
        <f>'CCCM Dashboard'!F31</f>
        <v>3</v>
      </c>
      <c r="DA22" s="62"/>
      <c r="DB22" s="63"/>
      <c r="DC22" s="63"/>
      <c r="DD22" s="63"/>
      <c r="DE22" s="63"/>
    </row>
    <row r="23" spans="1:112" ht="18.75" customHeight="1" x14ac:dyDescent="0.35">
      <c r="A23" s="67"/>
      <c r="B23" s="67"/>
      <c r="C23" s="68"/>
      <c r="D23" s="68"/>
      <c r="E23" s="69"/>
      <c r="F23" s="69"/>
      <c r="G23" s="70"/>
      <c r="H23" s="71"/>
      <c r="I23" s="71"/>
      <c r="J23" s="71"/>
      <c r="K23" s="72"/>
      <c r="L23" s="73"/>
      <c r="M23" s="74"/>
      <c r="N23" s="65"/>
      <c r="T23" s="165" t="s">
        <v>533</v>
      </c>
      <c r="U23" s="158" t="s">
        <v>310</v>
      </c>
      <c r="V23" s="165">
        <v>97.8</v>
      </c>
      <c r="W23" s="158">
        <v>25.5</v>
      </c>
      <c r="X23" s="158">
        <f>'CCCM Dashboard'!D33</f>
        <v>6298</v>
      </c>
      <c r="Y23" s="159">
        <f>'CCCM Dashboard'!E33</f>
        <v>32474</v>
      </c>
      <c r="Z23" s="158" t="str">
        <f t="shared" si="0"/>
        <v>23 cps</v>
      </c>
      <c r="AA23" s="654">
        <f>'Shelter Progress'!N27</f>
        <v>0.54874563353445538</v>
      </c>
      <c r="AB23" s="161">
        <v>0.37372161553128791</v>
      </c>
      <c r="AC23" s="161">
        <v>0</v>
      </c>
      <c r="AD23" s="161">
        <v>4.6281851274050934E-2</v>
      </c>
      <c r="AE23" s="162">
        <f t="shared" si="1"/>
        <v>340</v>
      </c>
      <c r="AF23" s="163">
        <f t="shared" si="2"/>
        <v>269</v>
      </c>
      <c r="AG23" s="164">
        <f>'CCCM Dashboard'!F33</f>
        <v>23</v>
      </c>
      <c r="DA23" s="62"/>
      <c r="DB23" s="63"/>
      <c r="DC23" s="63"/>
      <c r="DD23" s="63"/>
      <c r="DE23" s="63"/>
    </row>
    <row r="24" spans="1:112" ht="18.75" customHeight="1" x14ac:dyDescent="0.35">
      <c r="T24" s="158"/>
      <c r="U24" s="158" t="s">
        <v>567</v>
      </c>
      <c r="V24" s="167" t="s">
        <v>569</v>
      </c>
      <c r="W24" s="167" t="s">
        <v>568</v>
      </c>
      <c r="X24" s="168">
        <f>SUBTOTAL(109,Table58[HS])</f>
        <v>19531</v>
      </c>
      <c r="Y24" s="168">
        <f>SUBTOTAL(109,Table58[Pop])</f>
        <v>97631</v>
      </c>
      <c r="Z24" s="160" t="str">
        <f>CONCATENATE(Table58[[#Totals],[Column1]]," camps")</f>
        <v>171 camps</v>
      </c>
      <c r="AA24" s="655">
        <f>SUMPRODUCT(Table58[Pop]*Table58[Coverage])/Table58[[#Totals],[Pop]]</f>
        <v>0.66247846329969962</v>
      </c>
      <c r="AB24" s="169">
        <f>SUMPRODUCT(Table58[Pop]*Table58[Hygiene])/Table58[[#Totals],[Pop]]</f>
        <v>0.24752803757579706</v>
      </c>
      <c r="AC24" s="169">
        <f>SUMPRODUCT(Table58[Pop]*Table58[Core])/Table58[[#Totals],[Pop]]</f>
        <v>0</v>
      </c>
      <c r="AD24" s="169">
        <f>SUMPRODUCT(Table58[Pop]*Table58[Sanitary])/Table58[[#Totals],[Pop]]</f>
        <v>0.24062717611807538</v>
      </c>
      <c r="AE24" s="170">
        <f>1000-ROUND((W24-23.5)*$S$5,0)</f>
        <v>545</v>
      </c>
      <c r="AF24" s="171">
        <f>ROUND((V24-96.5)*$S$5,0)+100</f>
        <v>35</v>
      </c>
      <c r="AG24" s="172">
        <f>SUBTOTAL(109,Table58[Column1])</f>
        <v>171</v>
      </c>
      <c r="DA24" s="62"/>
      <c r="DE24" s="1"/>
      <c r="DF24" s="43"/>
    </row>
    <row r="25" spans="1:112" ht="18.75" customHeight="1" x14ac:dyDescent="0.35">
      <c r="DA25" s="62"/>
      <c r="DE25" s="1"/>
      <c r="DF25" s="43"/>
    </row>
    <row r="26" spans="1:112" ht="18.75" customHeight="1" x14ac:dyDescent="0.35">
      <c r="P26" s="66"/>
      <c r="Q26" s="66"/>
      <c r="DA26" s="62"/>
      <c r="DE26" s="1"/>
      <c r="DF26" s="43"/>
    </row>
    <row r="27" spans="1:112" s="17" customFormat="1" ht="18.75" customHeight="1" x14ac:dyDescent="0.35">
      <c r="A27" s="4"/>
      <c r="B27" s="4"/>
      <c r="C27" s="4"/>
      <c r="D27" s="4"/>
      <c r="E27" s="4"/>
      <c r="F27" s="4"/>
      <c r="G27" s="4"/>
      <c r="H27" s="4"/>
      <c r="I27" s="4"/>
      <c r="J27" s="4"/>
      <c r="K27" s="4"/>
      <c r="L27" s="4"/>
      <c r="M27" s="4"/>
      <c r="N27" s="4"/>
      <c r="O27" s="4"/>
      <c r="P27" s="4"/>
      <c r="Q27" s="4"/>
      <c r="R27" s="4"/>
      <c r="S27" s="4"/>
      <c r="T27" s="147"/>
      <c r="U27" s="147"/>
      <c r="V27" s="147"/>
      <c r="W27" s="147"/>
      <c r="X27" s="147"/>
      <c r="Y27" s="147"/>
      <c r="Z27" s="147"/>
      <c r="AA27" s="147"/>
      <c r="AB27" s="147"/>
      <c r="AC27" s="147"/>
      <c r="AD27" s="147"/>
      <c r="AE27" s="147"/>
      <c r="AF27" s="147"/>
      <c r="AG27" s="147"/>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DA27" s="62"/>
      <c r="DE27" s="1"/>
      <c r="DF27" s="43"/>
    </row>
    <row r="28" spans="1:112" s="17" customFormat="1" ht="18.75" customHeight="1" x14ac:dyDescent="0.35">
      <c r="A28" s="4"/>
      <c r="B28" s="4"/>
      <c r="C28" s="4"/>
      <c r="D28" s="4"/>
      <c r="E28" s="4"/>
      <c r="F28" s="4"/>
      <c r="G28" s="4"/>
      <c r="H28" s="4"/>
      <c r="I28" s="4"/>
      <c r="J28" s="4"/>
      <c r="K28" s="4"/>
      <c r="L28" s="4"/>
      <c r="M28" s="4"/>
      <c r="N28" s="4"/>
      <c r="O28" s="4"/>
      <c r="P28" s="4"/>
      <c r="Q28" s="4"/>
      <c r="R28" s="4"/>
      <c r="S28" s="4"/>
      <c r="T28" s="147"/>
      <c r="U28" s="147"/>
      <c r="V28" s="147"/>
      <c r="W28" s="147"/>
      <c r="X28" s="147"/>
      <c r="Y28" s="147"/>
      <c r="Z28" s="147"/>
      <c r="AA28" s="147"/>
      <c r="AB28" s="147"/>
      <c r="AC28" s="147"/>
      <c r="AD28" s="147"/>
      <c r="AE28" s="147"/>
      <c r="AF28" s="147"/>
      <c r="AG28" s="147"/>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DA28" s="62"/>
      <c r="DE28" s="1"/>
      <c r="DF28" s="43"/>
    </row>
    <row r="29" spans="1:112" s="17" customFormat="1" ht="18.75" customHeight="1" x14ac:dyDescent="0.35">
      <c r="A29" s="4"/>
      <c r="B29" s="4"/>
      <c r="C29" s="4"/>
      <c r="D29" s="4"/>
      <c r="E29" s="4"/>
      <c r="F29" s="4"/>
      <c r="G29" s="4"/>
      <c r="H29" s="4"/>
      <c r="I29" s="4"/>
      <c r="J29" s="4"/>
      <c r="K29" s="4"/>
      <c r="L29" s="4"/>
      <c r="M29" s="4"/>
      <c r="N29" s="4"/>
      <c r="O29" s="4"/>
      <c r="P29" s="4"/>
      <c r="Q29" s="4"/>
      <c r="R29" s="4"/>
      <c r="S29" s="4"/>
      <c r="T29" s="147"/>
      <c r="U29" s="147"/>
      <c r="V29" s="147"/>
      <c r="W29" s="147"/>
      <c r="X29" s="147"/>
      <c r="Y29" s="147"/>
      <c r="Z29" s="147"/>
      <c r="AA29" s="147"/>
      <c r="AB29" s="147"/>
      <c r="AC29" s="147"/>
      <c r="AD29" s="147"/>
      <c r="AE29" s="147"/>
      <c r="AF29" s="147"/>
      <c r="AG29" s="147"/>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DA29" s="62"/>
      <c r="DE29" s="1"/>
      <c r="DF29" s="43"/>
    </row>
    <row r="30" spans="1:112" s="17" customFormat="1" ht="18.75" customHeight="1" x14ac:dyDescent="0.35">
      <c r="A30" s="4"/>
      <c r="B30" s="4"/>
      <c r="C30" s="4"/>
      <c r="D30" s="4"/>
      <c r="E30" s="4"/>
      <c r="F30" s="4"/>
      <c r="G30" s="4"/>
      <c r="H30" s="4"/>
      <c r="I30" s="4"/>
      <c r="J30" s="4"/>
      <c r="K30" s="4"/>
      <c r="L30" s="4"/>
      <c r="M30" s="4"/>
      <c r="N30" s="4"/>
      <c r="O30" s="4"/>
      <c r="P30" s="4"/>
      <c r="Q30" s="4"/>
      <c r="R30" s="4"/>
      <c r="S30" s="4"/>
      <c r="T30" s="147"/>
      <c r="U30" s="147"/>
      <c r="V30" s="147"/>
      <c r="W30" s="147"/>
      <c r="X30" s="147"/>
      <c r="Y30" s="147"/>
      <c r="Z30" s="147"/>
      <c r="AA30" s="147"/>
      <c r="AB30" s="147"/>
      <c r="AC30" s="147"/>
      <c r="AD30" s="147"/>
      <c r="AE30" s="147"/>
      <c r="AF30" s="147"/>
      <c r="AG30" s="147"/>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DA30" s="62"/>
      <c r="DE30" s="1"/>
      <c r="DF30" s="43"/>
    </row>
    <row r="31" spans="1:112" s="17" customFormat="1" ht="18.75" customHeight="1" x14ac:dyDescent="0.35">
      <c r="A31" s="4"/>
      <c r="B31" s="4"/>
      <c r="C31" s="4"/>
      <c r="D31" s="4"/>
      <c r="E31" s="4"/>
      <c r="F31" s="4"/>
      <c r="G31" s="4"/>
      <c r="H31" s="4"/>
      <c r="I31" s="4"/>
      <c r="J31" s="4"/>
      <c r="K31" s="4"/>
      <c r="L31" s="4"/>
      <c r="M31" s="4"/>
      <c r="N31" s="4"/>
      <c r="O31" s="4"/>
      <c r="P31" s="4"/>
      <c r="Q31" s="4"/>
      <c r="R31" s="4"/>
      <c r="S31" s="4"/>
      <c r="T31" s="147"/>
      <c r="U31" s="147"/>
      <c r="V31" s="147"/>
      <c r="W31" s="147"/>
      <c r="X31" s="147"/>
      <c r="Y31" s="147"/>
      <c r="Z31" s="147"/>
      <c r="AA31" s="147"/>
      <c r="AB31" s="147"/>
      <c r="AC31" s="147"/>
      <c r="AD31" s="147"/>
      <c r="AE31" s="147"/>
      <c r="AF31" s="147"/>
      <c r="AG31" s="147"/>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DA31" s="62"/>
      <c r="DE31" s="1"/>
      <c r="DF31" s="43"/>
    </row>
    <row r="32" spans="1:112" s="17" customFormat="1" ht="18.75" customHeight="1" x14ac:dyDescent="0.35">
      <c r="A32" s="4"/>
      <c r="B32" s="4"/>
      <c r="C32" s="4"/>
      <c r="D32" s="4"/>
      <c r="E32" s="4"/>
      <c r="F32" s="4"/>
      <c r="G32" s="4"/>
      <c r="H32" s="4"/>
      <c r="I32" s="4"/>
      <c r="J32" s="4"/>
      <c r="K32" s="4"/>
      <c r="L32" s="4"/>
      <c r="M32" s="4"/>
      <c r="N32" s="4"/>
      <c r="O32" s="4"/>
      <c r="P32" s="4"/>
      <c r="Q32" s="4"/>
      <c r="R32" s="4"/>
      <c r="S32" s="4"/>
      <c r="T32" s="147"/>
      <c r="U32" s="147"/>
      <c r="V32" s="147"/>
      <c r="W32" s="147"/>
      <c r="X32" s="147"/>
      <c r="Y32" s="147"/>
      <c r="Z32" s="147"/>
      <c r="AA32" s="147"/>
      <c r="AB32" s="147"/>
      <c r="AC32" s="147"/>
      <c r="AD32" s="147"/>
      <c r="AE32" s="147"/>
      <c r="AF32" s="147"/>
      <c r="AG32" s="147"/>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DE32" s="1"/>
      <c r="DF32" s="43"/>
    </row>
    <row r="33" spans="1:111" s="17" customFormat="1" ht="18.75" customHeight="1" x14ac:dyDescent="0.35">
      <c r="A33" s="4"/>
      <c r="B33" s="4"/>
      <c r="C33" s="4"/>
      <c r="D33" s="4"/>
      <c r="E33" s="4"/>
      <c r="F33" s="4"/>
      <c r="G33" s="4"/>
      <c r="H33" s="4"/>
      <c r="I33" s="4"/>
      <c r="J33" s="4"/>
      <c r="K33" s="4"/>
      <c r="L33" s="4"/>
      <c r="M33" s="4"/>
      <c r="N33" s="4"/>
      <c r="O33" s="4"/>
      <c r="P33" s="4"/>
      <c r="Q33" s="4"/>
      <c r="R33" s="4"/>
      <c r="S33" s="4"/>
      <c r="T33" s="147"/>
      <c r="U33" s="147"/>
      <c r="V33" s="147"/>
      <c r="W33" s="147"/>
      <c r="X33" s="147"/>
      <c r="Y33" s="147"/>
      <c r="Z33" s="147"/>
      <c r="AA33" s="147"/>
      <c r="AB33" s="147"/>
      <c r="AC33" s="147"/>
      <c r="AD33" s="147"/>
      <c r="AE33" s="147"/>
      <c r="AF33" s="147"/>
      <c r="AG33" s="147"/>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DE33" s="1"/>
      <c r="DF33" s="43"/>
    </row>
    <row r="34" spans="1:111" s="17" customFormat="1" ht="18.75" customHeight="1" x14ac:dyDescent="0.35">
      <c r="A34" s="4"/>
      <c r="B34" s="4"/>
      <c r="C34" s="4"/>
      <c r="D34" s="4"/>
      <c r="E34" s="4"/>
      <c r="F34" s="4"/>
      <c r="G34" s="4"/>
      <c r="H34" s="4"/>
      <c r="I34" s="4"/>
      <c r="J34" s="4"/>
      <c r="K34" s="4"/>
      <c r="L34" s="4"/>
      <c r="M34" s="4"/>
      <c r="N34" s="4"/>
      <c r="O34" s="4"/>
      <c r="P34" s="4"/>
      <c r="Q34" s="4"/>
      <c r="R34" s="4"/>
      <c r="S34" s="4"/>
      <c r="T34" s="147"/>
      <c r="U34" s="147"/>
      <c r="V34" s="147"/>
      <c r="W34" s="147"/>
      <c r="X34" s="147"/>
      <c r="Y34" s="147"/>
      <c r="Z34" s="147"/>
      <c r="AA34" s="147"/>
      <c r="AB34" s="147"/>
      <c r="AC34" s="147"/>
      <c r="AD34" s="147"/>
      <c r="AE34" s="147"/>
      <c r="AF34" s="147"/>
      <c r="AG34" s="147"/>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DE34" s="1"/>
      <c r="DF34" s="43"/>
    </row>
    <row r="35" spans="1:111" s="17" customFormat="1" ht="18.75" customHeight="1" x14ac:dyDescent="0.35">
      <c r="A35" s="4"/>
      <c r="B35" s="4"/>
      <c r="C35" s="4"/>
      <c r="D35" s="4"/>
      <c r="E35" s="4"/>
      <c r="F35" s="4"/>
      <c r="G35" s="4"/>
      <c r="H35" s="4"/>
      <c r="I35" s="4"/>
      <c r="J35" s="4"/>
      <c r="K35" s="4"/>
      <c r="L35" s="4"/>
      <c r="M35" s="4"/>
      <c r="N35" s="4"/>
      <c r="O35" s="4"/>
      <c r="P35" s="4"/>
      <c r="Q35" s="4"/>
      <c r="R35" s="4"/>
      <c r="S35" s="4"/>
      <c r="T35" s="147"/>
      <c r="U35" s="147"/>
      <c r="V35" s="147"/>
      <c r="W35" s="147"/>
      <c r="X35" s="147"/>
      <c r="Y35" s="147"/>
      <c r="Z35" s="147"/>
      <c r="AA35" s="147"/>
      <c r="AB35" s="147"/>
      <c r="AC35" s="147"/>
      <c r="AD35" s="147"/>
      <c r="AE35" s="147"/>
      <c r="AF35" s="147"/>
      <c r="AG35" s="147"/>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DE35" s="1"/>
      <c r="DF35" s="43"/>
    </row>
    <row r="36" spans="1:111" s="17" customFormat="1" ht="18.75" customHeight="1" x14ac:dyDescent="0.35">
      <c r="A36" s="4"/>
      <c r="B36" s="4"/>
      <c r="C36" s="4"/>
      <c r="D36" s="4"/>
      <c r="E36" s="4"/>
      <c r="F36" s="4"/>
      <c r="G36" s="4"/>
      <c r="H36" s="4"/>
      <c r="I36" s="4"/>
      <c r="J36" s="4"/>
      <c r="K36" s="4"/>
      <c r="L36" s="4"/>
      <c r="M36" s="4"/>
      <c r="N36" s="4"/>
      <c r="O36" s="4"/>
      <c r="P36" s="4"/>
      <c r="Q36" s="4"/>
      <c r="R36" s="4"/>
      <c r="S36" s="4"/>
      <c r="T36" s="147"/>
      <c r="U36" s="147"/>
      <c r="V36" s="147"/>
      <c r="W36" s="147"/>
      <c r="X36" s="147"/>
      <c r="Y36" s="147"/>
      <c r="Z36" s="147"/>
      <c r="AA36" s="147"/>
      <c r="AB36" s="147"/>
      <c r="AC36" s="147"/>
      <c r="AD36" s="147"/>
      <c r="AE36" s="147"/>
      <c r="AF36" s="147"/>
      <c r="AG36" s="147"/>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DE36" s="1"/>
      <c r="DF36" s="43"/>
    </row>
    <row r="37" spans="1:111" s="17" customFormat="1" ht="18.75" customHeight="1" x14ac:dyDescent="0.35">
      <c r="A37" s="4"/>
      <c r="B37" s="4"/>
      <c r="C37" s="4"/>
      <c r="D37" s="4"/>
      <c r="E37" s="4"/>
      <c r="F37" s="4"/>
      <c r="G37" s="4"/>
      <c r="H37" s="4"/>
      <c r="I37" s="4"/>
      <c r="J37" s="4"/>
      <c r="K37" s="4"/>
      <c r="L37" s="4"/>
      <c r="M37" s="4"/>
      <c r="N37" s="4"/>
      <c r="O37" s="4"/>
      <c r="P37" s="4"/>
      <c r="Q37" s="4"/>
      <c r="R37" s="4"/>
      <c r="S37" s="4"/>
      <c r="T37" s="147"/>
      <c r="U37" s="147"/>
      <c r="V37" s="147"/>
      <c r="W37" s="147"/>
      <c r="X37" s="147"/>
      <c r="Y37" s="147"/>
      <c r="Z37" s="147"/>
      <c r="AA37" s="147"/>
      <c r="AB37" s="147"/>
      <c r="AC37" s="147"/>
      <c r="AD37" s="147"/>
      <c r="AE37" s="147"/>
      <c r="AF37" s="147"/>
      <c r="AG37" s="147"/>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DE37" s="1"/>
      <c r="DF37" s="43"/>
    </row>
    <row r="38" spans="1:111" s="17" customFormat="1" ht="18.75" customHeight="1" x14ac:dyDescent="0.35">
      <c r="A38" s="4"/>
      <c r="B38" s="4"/>
      <c r="C38" s="4"/>
      <c r="D38" s="4"/>
      <c r="E38" s="4"/>
      <c r="F38" s="4"/>
      <c r="G38" s="4"/>
      <c r="H38" s="4"/>
      <c r="I38" s="4"/>
      <c r="J38" s="4"/>
      <c r="K38" s="4"/>
      <c r="L38" s="4"/>
      <c r="M38" s="4"/>
      <c r="N38" s="4"/>
      <c r="O38" s="4"/>
      <c r="P38" s="4"/>
      <c r="Q38" s="4"/>
      <c r="R38" s="4"/>
      <c r="S38" s="4"/>
      <c r="T38" s="147"/>
      <c r="U38" s="147"/>
      <c r="V38" s="147"/>
      <c r="W38" s="147"/>
      <c r="X38" s="147"/>
      <c r="Y38" s="147"/>
      <c r="Z38" s="147"/>
      <c r="AA38" s="147"/>
      <c r="AB38" s="147"/>
      <c r="AC38" s="147"/>
      <c r="AD38" s="147"/>
      <c r="AE38" s="147"/>
      <c r="AF38" s="147"/>
      <c r="AG38" s="147"/>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DE38" s="1"/>
      <c r="DF38" s="43"/>
    </row>
    <row r="39" spans="1:111" s="17" customFormat="1" ht="18.75" customHeight="1" x14ac:dyDescent="0.35">
      <c r="A39" s="4"/>
      <c r="B39" s="4"/>
      <c r="C39" s="4"/>
      <c r="D39" s="4"/>
      <c r="E39" s="4"/>
      <c r="F39" s="4"/>
      <c r="G39" s="4"/>
      <c r="H39" s="4"/>
      <c r="I39" s="4"/>
      <c r="J39" s="4"/>
      <c r="K39" s="4"/>
      <c r="L39" s="4"/>
      <c r="M39" s="4"/>
      <c r="N39" s="4"/>
      <c r="O39" s="4"/>
      <c r="P39" s="4"/>
      <c r="Q39" s="4"/>
      <c r="R39" s="4"/>
      <c r="S39" s="4"/>
      <c r="T39" s="147"/>
      <c r="U39" s="147"/>
      <c r="V39" s="147"/>
      <c r="W39" s="147"/>
      <c r="X39" s="147"/>
      <c r="Y39" s="147"/>
      <c r="Z39" s="147"/>
      <c r="AA39" s="147"/>
      <c r="AB39" s="147"/>
      <c r="AC39" s="147"/>
      <c r="AD39" s="147"/>
      <c r="AE39" s="147"/>
      <c r="AF39" s="147"/>
      <c r="AG39" s="147"/>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DE39" s="1"/>
      <c r="DF39" s="43"/>
    </row>
    <row r="40" spans="1:111" s="17" customFormat="1" ht="18.75" customHeight="1" x14ac:dyDescent="0.35">
      <c r="A40" s="4"/>
      <c r="B40" s="4"/>
      <c r="C40" s="4"/>
      <c r="D40" s="4"/>
      <c r="E40" s="4"/>
      <c r="F40" s="4"/>
      <c r="G40" s="4"/>
      <c r="H40" s="4"/>
      <c r="I40" s="4"/>
      <c r="J40" s="4"/>
      <c r="K40" s="4"/>
      <c r="L40" s="4"/>
      <c r="M40" s="4"/>
      <c r="N40" s="4"/>
      <c r="O40" s="4"/>
      <c r="P40" s="4"/>
      <c r="Q40" s="4"/>
      <c r="R40" s="4"/>
      <c r="S40" s="4"/>
      <c r="T40" s="147"/>
      <c r="U40" s="147"/>
      <c r="V40" s="147"/>
      <c r="W40" s="147"/>
      <c r="X40" s="147"/>
      <c r="Y40" s="147"/>
      <c r="Z40" s="147"/>
      <c r="AA40" s="147"/>
      <c r="AB40" s="147"/>
      <c r="AC40" s="147"/>
      <c r="AD40" s="147"/>
      <c r="AE40" s="147"/>
      <c r="AF40" s="147"/>
      <c r="AG40" s="147"/>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DE40" s="1"/>
      <c r="DF40" s="43"/>
    </row>
    <row r="41" spans="1:111" s="17" customFormat="1" ht="18.75" customHeight="1" x14ac:dyDescent="0.35">
      <c r="A41" s="4"/>
      <c r="B41" s="4"/>
      <c r="C41" s="4"/>
      <c r="D41" s="4"/>
      <c r="E41" s="4"/>
      <c r="F41" s="4"/>
      <c r="G41" s="4"/>
      <c r="H41" s="4"/>
      <c r="I41" s="4"/>
      <c r="J41" s="4"/>
      <c r="K41" s="4"/>
      <c r="L41" s="4"/>
      <c r="M41" s="4"/>
      <c r="N41" s="4"/>
      <c r="O41" s="4"/>
      <c r="P41" s="4"/>
      <c r="Q41" s="4"/>
      <c r="R41" s="4"/>
      <c r="S41" s="4"/>
      <c r="T41" s="147"/>
      <c r="U41" s="147"/>
      <c r="V41" s="147"/>
      <c r="W41" s="147"/>
      <c r="X41" s="147"/>
      <c r="Y41" s="147"/>
      <c r="Z41" s="147"/>
      <c r="AA41" s="147"/>
      <c r="AB41" s="147"/>
      <c r="AC41" s="147"/>
      <c r="AD41" s="147"/>
      <c r="AE41" s="147"/>
      <c r="AF41" s="147"/>
      <c r="AG41" s="147"/>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DE41" s="1"/>
      <c r="DF41" s="43"/>
    </row>
    <row r="42" spans="1:111" s="17" customFormat="1" ht="18.75" customHeight="1" x14ac:dyDescent="0.35">
      <c r="A42" s="4"/>
      <c r="B42" s="4"/>
      <c r="C42" s="4"/>
      <c r="D42" s="4"/>
      <c r="E42" s="4"/>
      <c r="F42" s="4"/>
      <c r="G42" s="4"/>
      <c r="H42" s="4"/>
      <c r="I42" s="4"/>
      <c r="J42" s="4"/>
      <c r="K42" s="4"/>
      <c r="L42" s="4"/>
      <c r="M42" s="4"/>
      <c r="N42" s="4"/>
      <c r="O42" s="4"/>
      <c r="P42" s="4"/>
      <c r="Q42" s="4"/>
      <c r="R42" s="4"/>
      <c r="S42" s="4"/>
      <c r="T42" s="147"/>
      <c r="U42" s="147"/>
      <c r="V42" s="147"/>
      <c r="W42" s="147"/>
      <c r="X42" s="147"/>
      <c r="Y42" s="147"/>
      <c r="Z42" s="147"/>
      <c r="AA42" s="147"/>
      <c r="AB42" s="147"/>
      <c r="AC42" s="147"/>
      <c r="AD42" s="147"/>
      <c r="AE42" s="147"/>
      <c r="AF42" s="147"/>
      <c r="AG42" s="147"/>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DE42" s="1"/>
      <c r="DF42" s="43"/>
    </row>
    <row r="43" spans="1:111" s="17" customFormat="1" ht="18.75" customHeight="1" x14ac:dyDescent="0.35">
      <c r="A43" s="4"/>
      <c r="B43" s="4"/>
      <c r="C43" s="4"/>
      <c r="D43" s="4"/>
      <c r="E43" s="4"/>
      <c r="F43" s="4"/>
      <c r="G43" s="4"/>
      <c r="H43" s="4"/>
      <c r="I43" s="4"/>
      <c r="J43" s="4"/>
      <c r="K43" s="4"/>
      <c r="L43" s="4"/>
      <c r="M43" s="4"/>
      <c r="N43" s="4"/>
      <c r="O43" s="4"/>
      <c r="P43" s="4"/>
      <c r="Q43" s="4"/>
      <c r="R43" s="4"/>
      <c r="S43" s="4"/>
      <c r="T43" s="147"/>
      <c r="U43" s="147"/>
      <c r="V43" s="147"/>
      <c r="W43" s="147"/>
      <c r="X43" s="147"/>
      <c r="Y43" s="147"/>
      <c r="Z43" s="147"/>
      <c r="AA43" s="147"/>
      <c r="AB43" s="147"/>
      <c r="AC43" s="147"/>
      <c r="AD43" s="147"/>
      <c r="AE43" s="147"/>
      <c r="AF43" s="147"/>
      <c r="AG43" s="147"/>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DE43" s="1"/>
      <c r="DF43" s="43"/>
    </row>
    <row r="44" spans="1:111" s="17" customFormat="1" ht="18.75" customHeight="1" x14ac:dyDescent="0.35">
      <c r="A44" s="4"/>
      <c r="B44" s="4"/>
      <c r="C44" s="4"/>
      <c r="D44" s="4"/>
      <c r="E44" s="4"/>
      <c r="F44" s="4"/>
      <c r="G44" s="4"/>
      <c r="H44" s="4"/>
      <c r="I44" s="4"/>
      <c r="J44" s="4"/>
      <c r="K44" s="4"/>
      <c r="L44" s="4"/>
      <c r="M44" s="4"/>
      <c r="N44" s="4"/>
      <c r="O44" s="4"/>
      <c r="P44" s="4"/>
      <c r="Q44" s="4"/>
      <c r="R44" s="4"/>
      <c r="S44" s="4"/>
      <c r="T44" s="147"/>
      <c r="U44" s="147"/>
      <c r="V44" s="147"/>
      <c r="W44" s="147"/>
      <c r="X44" s="147"/>
      <c r="Y44" s="147"/>
      <c r="Z44" s="147"/>
      <c r="AA44" s="147"/>
      <c r="AB44" s="147"/>
      <c r="AC44" s="147"/>
      <c r="AD44" s="147"/>
      <c r="AE44" s="147"/>
      <c r="AF44" s="147"/>
      <c r="AG44" s="147"/>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DE44" s="1"/>
      <c r="DF44" s="43"/>
    </row>
    <row r="45" spans="1:111" s="17" customFormat="1" ht="12" customHeight="1" x14ac:dyDescent="0.35">
      <c r="A45" s="4"/>
      <c r="B45" s="4"/>
      <c r="C45" s="4"/>
      <c r="D45" s="4"/>
      <c r="E45" s="4"/>
      <c r="F45" s="4"/>
      <c r="G45" s="4"/>
      <c r="H45" s="4"/>
      <c r="I45" s="4"/>
      <c r="J45" s="4"/>
      <c r="K45" s="4"/>
      <c r="L45" s="4"/>
      <c r="M45" s="4"/>
      <c r="N45" s="4"/>
      <c r="O45" s="4"/>
      <c r="P45" s="4"/>
      <c r="Q45" s="4"/>
      <c r="R45" s="4"/>
      <c r="S45" s="4"/>
      <c r="T45" s="147"/>
      <c r="U45" s="147"/>
      <c r="V45" s="147"/>
      <c r="W45" s="147"/>
      <c r="X45" s="147"/>
      <c r="Y45" s="147"/>
      <c r="Z45" s="147"/>
      <c r="AA45" s="147"/>
      <c r="AB45" s="147"/>
      <c r="AC45" s="147"/>
      <c r="AD45" s="147"/>
      <c r="AE45" s="147"/>
      <c r="AF45" s="147"/>
      <c r="AG45" s="147"/>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DE45" s="1"/>
      <c r="DF45" s="43"/>
    </row>
    <row r="46" spans="1:111" s="17" customFormat="1" ht="12" customHeight="1" x14ac:dyDescent="0.35">
      <c r="A46" s="4"/>
      <c r="B46" s="4"/>
      <c r="C46" s="4"/>
      <c r="D46" s="4"/>
      <c r="E46" s="4"/>
      <c r="F46" s="4"/>
      <c r="G46" s="4"/>
      <c r="H46" s="4"/>
      <c r="I46" s="4"/>
      <c r="J46" s="4"/>
      <c r="K46" s="4"/>
      <c r="L46" s="4"/>
      <c r="M46" s="4"/>
      <c r="N46" s="4"/>
      <c r="O46" s="4"/>
      <c r="P46" s="4"/>
      <c r="Q46" s="4"/>
      <c r="R46" s="4"/>
      <c r="S46" s="4"/>
      <c r="T46" s="147"/>
      <c r="U46" s="147"/>
      <c r="V46" s="147"/>
      <c r="W46" s="147"/>
      <c r="X46" s="147"/>
      <c r="Y46" s="147"/>
      <c r="Z46" s="147"/>
      <c r="AA46" s="147"/>
      <c r="AB46" s="147"/>
      <c r="AC46" s="147"/>
      <c r="AD46" s="147"/>
      <c r="AE46" s="147"/>
      <c r="AF46" s="147"/>
      <c r="AG46" s="147"/>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DE46" s="1"/>
      <c r="DF46" s="43"/>
      <c r="DG46" s="43"/>
    </row>
    <row r="47" spans="1:111" s="17" customFormat="1" ht="12" customHeight="1" x14ac:dyDescent="0.35">
      <c r="A47" s="4"/>
      <c r="B47" s="4"/>
      <c r="C47" s="4"/>
      <c r="D47" s="4"/>
      <c r="E47" s="4"/>
      <c r="F47" s="4"/>
      <c r="G47" s="4"/>
      <c r="H47" s="4"/>
      <c r="I47" s="4"/>
      <c r="J47" s="4"/>
      <c r="K47" s="4"/>
      <c r="L47" s="4"/>
      <c r="M47" s="4"/>
      <c r="N47" s="4"/>
      <c r="O47" s="4"/>
      <c r="P47" s="4"/>
      <c r="Q47" s="4"/>
      <c r="R47" s="4"/>
      <c r="S47" s="4"/>
      <c r="T47" s="147"/>
      <c r="U47" s="147"/>
      <c r="V47" s="147"/>
      <c r="W47" s="147"/>
      <c r="X47" s="147"/>
      <c r="Y47" s="147"/>
      <c r="Z47" s="147"/>
      <c r="AA47" s="147"/>
      <c r="AB47" s="147"/>
      <c r="AC47" s="147"/>
      <c r="AD47" s="147"/>
      <c r="AE47" s="147"/>
      <c r="AF47" s="147"/>
      <c r="AG47" s="147"/>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DE47" s="1"/>
      <c r="DF47" s="43"/>
      <c r="DG47" s="43"/>
    </row>
    <row r="48" spans="1:111" s="17" customFormat="1" ht="12" customHeight="1" x14ac:dyDescent="0.35">
      <c r="A48" s="4"/>
      <c r="B48" s="4"/>
      <c r="C48" s="4"/>
      <c r="D48" s="4"/>
      <c r="E48" s="4"/>
      <c r="F48" s="4"/>
      <c r="G48" s="4"/>
      <c r="H48" s="4"/>
      <c r="I48" s="4"/>
      <c r="J48" s="4"/>
      <c r="K48" s="4"/>
      <c r="L48" s="4"/>
      <c r="M48" s="4"/>
      <c r="N48" s="4"/>
      <c r="O48" s="4"/>
      <c r="P48" s="4"/>
      <c r="Q48" s="4"/>
      <c r="R48" s="4"/>
      <c r="S48" s="4"/>
      <c r="T48" s="147"/>
      <c r="U48" s="147"/>
      <c r="V48" s="147"/>
      <c r="W48" s="147"/>
      <c r="X48" s="147"/>
      <c r="Y48" s="147"/>
      <c r="Z48" s="147"/>
      <c r="AA48" s="147"/>
      <c r="AB48" s="147"/>
      <c r="AC48" s="147"/>
      <c r="AD48" s="147"/>
      <c r="AE48" s="147"/>
      <c r="AF48" s="147"/>
      <c r="AG48" s="147"/>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DE48" s="1"/>
      <c r="DF48" s="43"/>
      <c r="DG48" s="43"/>
    </row>
    <row r="49" spans="1:111" s="17" customFormat="1" ht="12" customHeight="1" x14ac:dyDescent="0.35">
      <c r="A49" s="4"/>
      <c r="B49" s="4"/>
      <c r="C49" s="4"/>
      <c r="D49" s="4"/>
      <c r="E49" s="4"/>
      <c r="F49" s="4"/>
      <c r="G49" s="4"/>
      <c r="H49" s="4"/>
      <c r="I49" s="4"/>
      <c r="J49" s="4"/>
      <c r="K49" s="4"/>
      <c r="L49" s="4"/>
      <c r="M49" s="4"/>
      <c r="N49" s="4"/>
      <c r="O49" s="4"/>
      <c r="P49" s="4"/>
      <c r="Q49" s="4"/>
      <c r="R49" s="4"/>
      <c r="S49" s="4"/>
      <c r="T49" s="147"/>
      <c r="U49" s="147"/>
      <c r="V49" s="147"/>
      <c r="W49" s="147"/>
      <c r="X49" s="147"/>
      <c r="Y49" s="147"/>
      <c r="Z49" s="147"/>
      <c r="AA49" s="147"/>
      <c r="AB49" s="147"/>
      <c r="AC49" s="147"/>
      <c r="AD49" s="147"/>
      <c r="AE49" s="147"/>
      <c r="AF49" s="147"/>
      <c r="AG49" s="147"/>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DE49" s="1"/>
      <c r="DF49" s="43"/>
      <c r="DG49" s="43"/>
    </row>
    <row r="50" spans="1:111" s="17" customFormat="1" ht="12" customHeight="1" x14ac:dyDescent="0.35">
      <c r="A50" s="4"/>
      <c r="B50" s="4"/>
      <c r="C50" s="4"/>
      <c r="D50" s="4"/>
      <c r="E50" s="4"/>
      <c r="F50" s="4"/>
      <c r="G50" s="4"/>
      <c r="H50" s="4"/>
      <c r="I50" s="4"/>
      <c r="J50" s="4"/>
      <c r="K50" s="4"/>
      <c r="L50" s="4"/>
      <c r="M50" s="4"/>
      <c r="N50" s="4"/>
      <c r="O50" s="4"/>
      <c r="P50" s="4"/>
      <c r="Q50" s="4"/>
      <c r="R50" s="4"/>
      <c r="S50" s="4"/>
      <c r="T50" s="147"/>
      <c r="U50" s="147"/>
      <c r="V50" s="147"/>
      <c r="W50" s="147"/>
      <c r="X50" s="147"/>
      <c r="Y50" s="147"/>
      <c r="Z50" s="147"/>
      <c r="AA50" s="147"/>
      <c r="AB50" s="147"/>
      <c r="AC50" s="147"/>
      <c r="AD50" s="147"/>
      <c r="AE50" s="147"/>
      <c r="AF50" s="147"/>
      <c r="AG50" s="147"/>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DE50" s="1"/>
      <c r="DF50" s="43"/>
      <c r="DG50" s="43"/>
    </row>
    <row r="51" spans="1:111" s="17" customFormat="1" ht="12" customHeight="1" x14ac:dyDescent="0.35">
      <c r="A51" s="4"/>
      <c r="B51" s="4"/>
      <c r="C51" s="4"/>
      <c r="D51" s="4"/>
      <c r="E51" s="4"/>
      <c r="F51" s="4"/>
      <c r="G51" s="4"/>
      <c r="H51" s="4"/>
      <c r="I51" s="4"/>
      <c r="J51" s="4"/>
      <c r="K51" s="4"/>
      <c r="L51" s="4"/>
      <c r="M51" s="4"/>
      <c r="N51" s="4"/>
      <c r="O51" s="4"/>
      <c r="P51" s="4"/>
      <c r="Q51" s="4"/>
      <c r="R51" s="4"/>
      <c r="S51" s="4"/>
      <c r="T51" s="147"/>
      <c r="U51" s="147"/>
      <c r="V51" s="147"/>
      <c r="W51" s="147"/>
      <c r="X51" s="147"/>
      <c r="Y51" s="147"/>
      <c r="Z51" s="147"/>
      <c r="AA51" s="147"/>
      <c r="AB51" s="147"/>
      <c r="AC51" s="147"/>
      <c r="AD51" s="147"/>
      <c r="AE51" s="147"/>
      <c r="AF51" s="147"/>
      <c r="AG51" s="147"/>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DE51" s="1"/>
      <c r="DF51" s="43"/>
      <c r="DG51" s="43"/>
    </row>
    <row r="52" spans="1:111" s="17" customFormat="1" ht="12" customHeight="1" x14ac:dyDescent="0.35">
      <c r="A52" s="4"/>
      <c r="B52" s="4"/>
      <c r="C52" s="4"/>
      <c r="D52" s="4"/>
      <c r="E52" s="4"/>
      <c r="F52" s="4"/>
      <c r="G52" s="4"/>
      <c r="H52" s="4"/>
      <c r="I52" s="4"/>
      <c r="J52" s="4"/>
      <c r="K52" s="4"/>
      <c r="L52" s="4"/>
      <c r="M52" s="4"/>
      <c r="N52" s="4"/>
      <c r="O52" s="4"/>
      <c r="P52" s="4"/>
      <c r="Q52" s="4"/>
      <c r="R52" s="4"/>
      <c r="S52" s="4"/>
      <c r="T52" s="147"/>
      <c r="U52" s="147"/>
      <c r="V52" s="147"/>
      <c r="W52" s="147"/>
      <c r="X52" s="147"/>
      <c r="Y52" s="147"/>
      <c r="Z52" s="147"/>
      <c r="AA52" s="147"/>
      <c r="AB52" s="147"/>
      <c r="AC52" s="147"/>
      <c r="AD52" s="147"/>
      <c r="AE52" s="147"/>
      <c r="AF52" s="147"/>
      <c r="AG52" s="147"/>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DE52" s="1"/>
      <c r="DF52" s="43"/>
      <c r="DG52" s="43"/>
    </row>
  </sheetData>
  <dataConsolidate/>
  <conditionalFormatting sqref="H23:K23 AA3:AD24">
    <cfRule type="cellIs" dxfId="86" priority="1" operator="between">
      <formula>0.4</formula>
      <formula>0.6</formula>
    </cfRule>
    <cfRule type="cellIs" dxfId="85" priority="2" operator="greaterThan">
      <formula>0.8</formula>
    </cfRule>
    <cfRule type="cellIs" dxfId="84" priority="3" operator="between">
      <formula>0.6</formula>
      <formula>0.8</formula>
    </cfRule>
    <cfRule type="cellIs" dxfId="83" priority="4" operator="between">
      <formula>0.2</formula>
      <formula>0.4</formula>
    </cfRule>
    <cfRule type="cellIs" dxfId="82" priority="5" operator="between">
      <formula>0</formula>
      <formula>0.2</formula>
    </cfRule>
  </conditionalFormatting>
  <pageMargins left="0.19685039370078741" right="0.19685039370078741" top="0.78740157480314965" bottom="0.74803149606299213" header="0.11811023622047245" footer="0.31496062992125984"/>
  <pageSetup paperSize="9" scale="93" fitToHeight="0" orientation="portrait" r:id="rId1"/>
  <headerFooter scaleWithDoc="0">
    <oddHeader>&amp;L&amp;18&amp;G&amp;C&amp;18Kachin  IDPs camps
Situation JUly 2013&amp;R&amp;G</oddHeader>
  </headerFooter>
  <rowBreaks count="1" manualBreakCount="1">
    <brk id="21" max="16383" man="1"/>
  </rowBreaks>
  <drawing r:id="rId2"/>
  <legacyDrawing r:id="rId3"/>
  <legacyDrawingHF r:id="rId4"/>
  <controls>
    <mc:AlternateContent xmlns:mc="http://schemas.openxmlformats.org/markup-compatibility/2006">
      <mc:Choice Requires="x14">
        <control shapeId="64513" r:id="rId5" name="CommandButton1">
          <controlPr defaultSize="0" autoLine="0" r:id="rId6">
            <anchor moveWithCells="1">
              <from>
                <xdr:col>15</xdr:col>
                <xdr:colOff>0</xdr:colOff>
                <xdr:row>0</xdr:row>
                <xdr:rowOff>133350</xdr:rowOff>
              </from>
              <to>
                <xdr:col>18</xdr:col>
                <xdr:colOff>1419225</xdr:colOff>
                <xdr:row>5</xdr:row>
                <xdr:rowOff>47625</xdr:rowOff>
              </to>
            </anchor>
          </controlPr>
        </control>
      </mc:Choice>
      <mc:Fallback>
        <control shapeId="64513" r:id="rId5" name="CommandButton1"/>
      </mc:Fallback>
    </mc:AlternateContent>
    <mc:AlternateContent xmlns:mc="http://schemas.openxmlformats.org/markup-compatibility/2006">
      <mc:Choice Requires="x14">
        <control shapeId="64514" r:id="rId7" name="Label 2">
          <controlPr defaultSize="0" autoFill="0" autoLine="0" autoPict="0">
            <anchor moveWithCells="1" sizeWithCells="1">
              <from>
                <xdr:col>0</xdr:col>
                <xdr:colOff>285750</xdr:colOff>
                <xdr:row>5</xdr:row>
                <xdr:rowOff>28575</xdr:rowOff>
              </from>
              <to>
                <xdr:col>0</xdr:col>
                <xdr:colOff>666750</xdr:colOff>
                <xdr:row>5</xdr:row>
                <xdr:rowOff>219075</xdr:rowOff>
              </to>
            </anchor>
          </controlPr>
        </control>
      </mc:Choice>
    </mc:AlternateContent>
    <mc:AlternateContent xmlns:mc="http://schemas.openxmlformats.org/markup-compatibility/2006">
      <mc:Choice Requires="x14">
        <control shapeId="64515" r:id="rId8" name="Label 3">
          <controlPr defaultSize="0" autoFill="0" autoLine="0" autoPict="0">
            <anchor moveWithCells="1" sizeWithCells="1">
              <from>
                <xdr:col>0</xdr:col>
                <xdr:colOff>819150</xdr:colOff>
                <xdr:row>5</xdr:row>
                <xdr:rowOff>19050</xdr:rowOff>
              </from>
              <to>
                <xdr:col>1</xdr:col>
                <xdr:colOff>323850</xdr:colOff>
                <xdr:row>5</xdr:row>
                <xdr:rowOff>209550</xdr:rowOff>
              </to>
            </anchor>
          </controlPr>
        </control>
      </mc:Choice>
    </mc:AlternateContent>
    <mc:AlternateContent xmlns:mc="http://schemas.openxmlformats.org/markup-compatibility/2006">
      <mc:Choice Requires="x14">
        <control shapeId="64516" r:id="rId9" name="Label 4">
          <controlPr defaultSize="0" autoFill="0" autoLine="0" autoPict="0">
            <anchor moveWithCells="1" sizeWithCells="1">
              <from>
                <xdr:col>1</xdr:col>
                <xdr:colOff>723900</xdr:colOff>
                <xdr:row>5</xdr:row>
                <xdr:rowOff>38100</xdr:rowOff>
              </from>
              <to>
                <xdr:col>2</xdr:col>
                <xdr:colOff>238125</xdr:colOff>
                <xdr:row>5</xdr:row>
                <xdr:rowOff>238125</xdr:rowOff>
              </to>
            </anchor>
          </controlPr>
        </control>
      </mc:Choice>
    </mc:AlternateContent>
    <mc:AlternateContent xmlns:mc="http://schemas.openxmlformats.org/markup-compatibility/2006">
      <mc:Choice Requires="x14">
        <control shapeId="64518" r:id="rId10" name="Label 6">
          <controlPr defaultSize="0" autoFill="0" autoLine="0" autoPict="0">
            <anchor moveWithCells="1" sizeWithCells="1">
              <from>
                <xdr:col>0</xdr:col>
                <xdr:colOff>704850</xdr:colOff>
                <xdr:row>0</xdr:row>
                <xdr:rowOff>247650</xdr:rowOff>
              </from>
              <to>
                <xdr:col>1</xdr:col>
                <xdr:colOff>800100</xdr:colOff>
                <xdr:row>1</xdr:row>
                <xdr:rowOff>190500</xdr:rowOff>
              </to>
            </anchor>
          </controlPr>
        </control>
      </mc:Choice>
    </mc:AlternateContent>
  </controls>
  <tableParts count="1">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N346"/>
  <sheetViews>
    <sheetView showZeros="0" zoomScale="85" zoomScaleNormal="85" workbookViewId="0">
      <pane xSplit="1" ySplit="4" topLeftCell="B5" activePane="bottomRight" state="frozen"/>
      <selection activeCell="AS915" sqref="AS915"/>
      <selection pane="topRight" activeCell="AS915" sqref="AS915"/>
      <selection pane="bottomLeft" activeCell="AS915" sqref="AS915"/>
      <selection pane="bottomRight" activeCell="J1" sqref="J1:J1048576"/>
    </sheetView>
  </sheetViews>
  <sheetFormatPr defaultColWidth="9.140625" defaultRowHeight="15" x14ac:dyDescent="0.25"/>
  <cols>
    <col min="1" max="1" width="21.7109375" customWidth="1"/>
    <col min="2" max="2" width="16" customWidth="1"/>
    <col min="3" max="3" width="14.85546875" customWidth="1"/>
    <col min="4" max="4" width="13.42578125" customWidth="1"/>
    <col min="5" max="5" width="17.140625" customWidth="1"/>
    <col min="6" max="6" width="42.140625" customWidth="1"/>
    <col min="7" max="7" width="17.7109375" customWidth="1"/>
    <col min="8" max="8" width="17.85546875" customWidth="1"/>
    <col min="9" max="9" width="14.28515625" customWidth="1"/>
    <col min="10" max="10" width="19.85546875" customWidth="1"/>
    <col min="11" max="11" width="15.85546875" customWidth="1"/>
    <col min="12" max="12" width="15.42578125" customWidth="1"/>
    <col min="13" max="13" width="18.5703125" customWidth="1"/>
    <col min="14" max="14" width="23.7109375" customWidth="1"/>
    <col min="15" max="15" width="19.5703125" customWidth="1"/>
    <col min="16" max="16" width="16.5703125" customWidth="1"/>
    <col min="17" max="17" width="20" style="4" customWidth="1"/>
    <col min="18" max="18" width="16.140625" style="4" customWidth="1"/>
    <col min="19" max="19" width="32.28515625" customWidth="1"/>
    <col min="20" max="20" width="12.5703125" customWidth="1"/>
    <col min="21" max="21" width="13.7109375" customWidth="1"/>
    <col min="22" max="22" width="20.42578125" style="394" customWidth="1"/>
    <col min="23" max="23" width="43.85546875" bestFit="1" customWidth="1"/>
    <col min="24" max="16384" width="9.140625" style="4"/>
  </cols>
  <sheetData>
    <row r="1" spans="1:118" s="17" customFormat="1" ht="36" x14ac:dyDescent="0.25">
      <c r="A1" s="311"/>
      <c r="B1" s="290"/>
      <c r="C1" s="290"/>
      <c r="D1" s="290"/>
      <c r="E1" s="290"/>
      <c r="F1" s="290"/>
      <c r="G1" s="290"/>
      <c r="H1" s="290"/>
      <c r="I1" s="290"/>
      <c r="J1" s="290"/>
      <c r="K1" s="290"/>
      <c r="L1" s="290"/>
      <c r="M1" s="290"/>
      <c r="N1" s="290"/>
      <c r="O1" s="290"/>
      <c r="P1" s="290"/>
      <c r="Q1" s="234"/>
      <c r="R1" s="234"/>
      <c r="S1" s="234"/>
      <c r="T1" s="234"/>
      <c r="U1" s="234"/>
      <c r="V1" s="407"/>
      <c r="W1" s="235"/>
      <c r="X1" s="401"/>
      <c r="Y1" s="401"/>
      <c r="Z1" s="401"/>
      <c r="AA1" s="401"/>
      <c r="AB1" s="401"/>
      <c r="AC1" s="401"/>
      <c r="AD1" s="401"/>
      <c r="AE1" s="401"/>
      <c r="AF1" s="401"/>
      <c r="AG1" s="401"/>
      <c r="AH1" s="401"/>
      <c r="AI1" s="401"/>
      <c r="AJ1" s="401"/>
      <c r="AK1" s="401"/>
      <c r="AL1" s="401"/>
      <c r="AM1" s="401"/>
      <c r="AN1" s="401"/>
      <c r="AO1" s="401"/>
      <c r="AP1" s="401"/>
      <c r="AQ1" s="401"/>
      <c r="AR1" s="401"/>
      <c r="AS1" s="56"/>
      <c r="AT1" s="56"/>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401"/>
      <c r="DK1" s="401"/>
      <c r="DL1" s="401"/>
      <c r="DM1" s="401"/>
      <c r="DN1" s="401"/>
    </row>
    <row r="2" spans="1:118" s="17" customFormat="1" ht="36" x14ac:dyDescent="0.25">
      <c r="A2" s="840" t="s">
        <v>1282</v>
      </c>
      <c r="B2" s="834"/>
      <c r="C2" s="834"/>
      <c r="D2" s="256"/>
      <c r="E2" s="256"/>
      <c r="F2" s="256"/>
      <c r="G2" s="256"/>
      <c r="H2" s="256"/>
      <c r="I2" s="256"/>
      <c r="J2" s="256"/>
      <c r="K2" s="256"/>
      <c r="L2" s="256"/>
      <c r="M2" s="256"/>
      <c r="N2" s="256"/>
      <c r="O2" s="256"/>
      <c r="P2" s="256"/>
      <c r="Q2" s="205"/>
      <c r="R2" s="205"/>
      <c r="S2" s="205"/>
      <c r="T2" s="205"/>
      <c r="U2" s="205"/>
      <c r="V2" s="405"/>
      <c r="W2" s="236"/>
      <c r="X2" s="401"/>
      <c r="Y2" s="401"/>
      <c r="Z2" s="401"/>
      <c r="AA2" s="401"/>
      <c r="AB2" s="401"/>
      <c r="AC2" s="401"/>
      <c r="AD2" s="401"/>
      <c r="AE2" s="401"/>
      <c r="AF2" s="401"/>
      <c r="AG2" s="401"/>
      <c r="AH2" s="401"/>
      <c r="AI2" s="401"/>
      <c r="AJ2" s="401"/>
      <c r="AK2" s="401"/>
      <c r="AL2" s="401"/>
      <c r="AM2" s="401"/>
      <c r="AN2" s="401"/>
      <c r="AO2" s="401"/>
      <c r="AP2" s="401"/>
      <c r="AQ2" s="401"/>
      <c r="AR2" s="401"/>
      <c r="AS2" s="56"/>
      <c r="AT2" s="56"/>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c r="BT2" s="401"/>
      <c r="BU2" s="401"/>
      <c r="BV2" s="401"/>
      <c r="BW2" s="401"/>
      <c r="BX2" s="401"/>
      <c r="BY2" s="401"/>
      <c r="BZ2" s="401"/>
      <c r="CA2" s="401"/>
      <c r="CB2" s="401"/>
      <c r="CC2" s="401"/>
      <c r="CD2" s="401"/>
      <c r="CE2" s="401"/>
      <c r="CF2" s="401"/>
      <c r="CG2" s="401"/>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401"/>
    </row>
    <row r="3" spans="1:118" s="17" customFormat="1" ht="18" customHeight="1" x14ac:dyDescent="0.25">
      <c r="A3" s="841">
        <f>Definition!B23</f>
        <v>42571</v>
      </c>
      <c r="B3" s="835"/>
      <c r="C3" s="835"/>
      <c r="D3" s="835"/>
      <c r="E3" s="835"/>
      <c r="F3" s="835"/>
      <c r="G3" s="835"/>
      <c r="H3" s="835"/>
      <c r="I3" s="835"/>
      <c r="J3" s="835"/>
      <c r="K3" s="835"/>
      <c r="L3" s="835"/>
      <c r="M3" s="835"/>
      <c r="N3" s="835"/>
      <c r="O3" s="835"/>
      <c r="P3" s="835"/>
      <c r="Q3" s="336"/>
      <c r="R3" s="238"/>
      <c r="S3" s="238"/>
      <c r="T3" s="238"/>
      <c r="U3" s="238"/>
      <c r="V3" s="238"/>
      <c r="W3" s="239"/>
      <c r="X3" s="401"/>
      <c r="Y3" s="401"/>
      <c r="Z3" s="401"/>
      <c r="AA3" s="401"/>
      <c r="AB3" s="401"/>
      <c r="AC3" s="401"/>
      <c r="AD3" s="401"/>
      <c r="AE3" s="401"/>
      <c r="AF3" s="401"/>
      <c r="AG3" s="401"/>
      <c r="AH3" s="401"/>
      <c r="AI3" s="401"/>
      <c r="AJ3" s="401"/>
      <c r="AK3" s="401"/>
      <c r="AL3" s="401"/>
      <c r="AM3" s="401"/>
      <c r="AN3" s="401"/>
      <c r="AO3" s="401"/>
      <c r="AP3" s="401"/>
      <c r="AQ3" s="401"/>
      <c r="AR3" s="401"/>
      <c r="AS3" s="56"/>
      <c r="AT3" s="56"/>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row>
    <row r="4" spans="1:118" s="537" customFormat="1" ht="57" customHeight="1" x14ac:dyDescent="0.25">
      <c r="A4" s="691" t="s">
        <v>502</v>
      </c>
      <c r="B4" s="692" t="s">
        <v>402</v>
      </c>
      <c r="C4" s="693" t="s">
        <v>1283</v>
      </c>
      <c r="D4" s="692" t="s">
        <v>395</v>
      </c>
      <c r="E4" s="692" t="s">
        <v>0</v>
      </c>
      <c r="F4" s="692" t="s">
        <v>511</v>
      </c>
      <c r="G4" s="692" t="s">
        <v>1284</v>
      </c>
      <c r="H4" s="694" t="s">
        <v>1293</v>
      </c>
      <c r="I4" s="694" t="s">
        <v>1285</v>
      </c>
      <c r="J4" s="695" t="s">
        <v>1286</v>
      </c>
      <c r="K4" s="695" t="s">
        <v>1287</v>
      </c>
      <c r="L4" s="695" t="s">
        <v>1288</v>
      </c>
      <c r="M4" s="696" t="s">
        <v>1289</v>
      </c>
      <c r="N4" s="696" t="s">
        <v>1290</v>
      </c>
      <c r="O4" s="696" t="s">
        <v>1291</v>
      </c>
      <c r="P4" s="697" t="s">
        <v>1292</v>
      </c>
      <c r="Q4" s="698" t="s">
        <v>1007</v>
      </c>
      <c r="R4" s="698" t="s">
        <v>1006</v>
      </c>
      <c r="S4" s="666" t="s">
        <v>559</v>
      </c>
      <c r="T4" s="699" t="s">
        <v>499</v>
      </c>
      <c r="U4" s="696" t="s">
        <v>441</v>
      </c>
      <c r="V4" s="700" t="s">
        <v>1307</v>
      </c>
      <c r="W4" s="701" t="s">
        <v>1047</v>
      </c>
    </row>
    <row r="5" spans="1:118" ht="16.149999999999999" customHeight="1" x14ac:dyDescent="0.25">
      <c r="A5" s="680">
        <v>41609</v>
      </c>
      <c r="B5" s="207" t="s">
        <v>453</v>
      </c>
      <c r="C5" s="207" t="s">
        <v>461</v>
      </c>
      <c r="D5" s="207" t="s">
        <v>380</v>
      </c>
      <c r="E5" s="211" t="s">
        <v>528</v>
      </c>
      <c r="F5" s="207" t="s">
        <v>62</v>
      </c>
      <c r="G5" s="179">
        <v>1</v>
      </c>
      <c r="H5" s="179"/>
      <c r="I5" s="179"/>
      <c r="J5" s="179">
        <v>20</v>
      </c>
      <c r="K5" s="179">
        <v>20</v>
      </c>
      <c r="L5" s="207"/>
      <c r="M5" s="207"/>
      <c r="N5" s="207"/>
      <c r="O5" s="207"/>
      <c r="P5" s="180">
        <f>IF(Table_Shelter[[#This Row],[Status]]="Open",IF(V5="NO",Table_Shelter[[#This Row],[HH per Shelter]]*(Table_Shelter[[#This Row],['# of Temporary Shelter Units Built]]+Table_Shelter[[#This Row],['# of Temporary Shelter Under  Construction]]+Table_Shelter[[#This Row],['# of Permanent House Under Construction]]),0),0)</f>
        <v>20</v>
      </c>
      <c r="Q5" s="180"/>
      <c r="R5" s="207"/>
      <c r="S5" s="207" t="str">
        <f>IFERROR(VLOOKUP(Table_Shelter[[#This Row],[CampName]],CL,2,0),"")</f>
        <v>MMR001CMP179</v>
      </c>
      <c r="T5" s="207" t="str">
        <f>IFERROR(VLOOKUP(Table_Shelter[[#This Row],[CampName]],CL,3,0),"")</f>
        <v>Open</v>
      </c>
      <c r="U5" s="323">
        <f>IFERROR(Table_Shelter[[#This Row],[HH Covered]]/VLOOKUP(Table_Shelter[[#This Row],[CampName]],CL,4,0),"")</f>
        <v>0.27397260273972601</v>
      </c>
      <c r="V5" s="323" t="s">
        <v>1309</v>
      </c>
      <c r="W5" s="208"/>
    </row>
    <row r="6" spans="1:118" ht="16.149999999999999" customHeight="1" x14ac:dyDescent="0.25">
      <c r="A6" s="680"/>
      <c r="B6" s="206" t="s">
        <v>863</v>
      </c>
      <c r="C6" s="206"/>
      <c r="D6" s="209" t="s">
        <v>380</v>
      </c>
      <c r="E6" s="406" t="s">
        <v>528</v>
      </c>
      <c r="F6" s="206" t="s">
        <v>62</v>
      </c>
      <c r="G6" s="138">
        <v>1</v>
      </c>
      <c r="H6" s="179">
        <v>25</v>
      </c>
      <c r="I6" s="179">
        <v>25</v>
      </c>
      <c r="J6" s="179"/>
      <c r="K6" s="179"/>
      <c r="L6" s="207"/>
      <c r="M6" s="207"/>
      <c r="N6" s="207"/>
      <c r="O6" s="207"/>
      <c r="P6" s="180">
        <f>IF(Table_Shelter[[#This Row],[Status]]="Open",IF(V6="NO",Table_Shelter[[#This Row],[HH per Shelter]]*(Table_Shelter[[#This Row],['# of Temporary Shelter Units Built]]+Table_Shelter[[#This Row],['# of Temporary Shelter Under  Construction]]+Table_Shelter[[#This Row],['# of Permanent House Under Construction]]),0),0)</f>
        <v>0</v>
      </c>
      <c r="Q6" s="180"/>
      <c r="R6" s="207"/>
      <c r="S6" s="207" t="str">
        <f>IFERROR(VLOOKUP(Table_Shelter[[#This Row],[CampName]],CL,2,0),"")</f>
        <v>MMR001CMP179</v>
      </c>
      <c r="T6" s="207" t="str">
        <f>IFERROR(VLOOKUP(Table_Shelter[[#This Row],[CampName]],CL,3,0),"")</f>
        <v>Open</v>
      </c>
      <c r="U6" s="323">
        <f>IFERROR(Table_Shelter[[#This Row],[HH Covered]]/VLOOKUP(Table_Shelter[[#This Row],[CampName]],CL,4,0),"")</f>
        <v>0</v>
      </c>
      <c r="V6" s="323" t="s">
        <v>1309</v>
      </c>
      <c r="W6" s="208"/>
    </row>
    <row r="7" spans="1:118" ht="16.149999999999999" customHeight="1" x14ac:dyDescent="0.25">
      <c r="A7" s="681"/>
      <c r="B7" s="206" t="s">
        <v>453</v>
      </c>
      <c r="C7" s="206" t="s">
        <v>507</v>
      </c>
      <c r="D7" s="206" t="s">
        <v>380</v>
      </c>
      <c r="E7" s="406" t="s">
        <v>528</v>
      </c>
      <c r="F7" s="206" t="s">
        <v>62</v>
      </c>
      <c r="G7" s="138">
        <v>1</v>
      </c>
      <c r="H7" s="138"/>
      <c r="I7" s="138"/>
      <c r="J7" s="138"/>
      <c r="K7" s="138"/>
      <c r="L7" s="206"/>
      <c r="M7" s="206"/>
      <c r="N7" s="206"/>
      <c r="O7" s="206"/>
      <c r="P7" s="180">
        <f>IF(Table_Shelter[[#This Row],[Status]]="Open",IF(V7="NO",Table_Shelter[[#This Row],[HH per Shelter]]*(Table_Shelter[[#This Row],['# of Temporary Shelter Units Built]]+Table_Shelter[[#This Row],['# of Temporary Shelter Under  Construction]]+Table_Shelter[[#This Row],['# of Permanent House Under Construction]]),0),0)</f>
        <v>0</v>
      </c>
      <c r="Q7" s="137">
        <v>44</v>
      </c>
      <c r="R7" s="206"/>
      <c r="S7" s="207" t="str">
        <f>IFERROR(VLOOKUP(Table_Shelter[[#This Row],[CampName]],CL,2,0),"")</f>
        <v>MMR001CMP179</v>
      </c>
      <c r="T7" s="207" t="str">
        <f>IFERROR(VLOOKUP(Table_Shelter[[#This Row],[CampName]],CL,3,0),"")</f>
        <v>Open</v>
      </c>
      <c r="U7" s="323">
        <f>IFERROR(Table_Shelter[[#This Row],[HH Covered]]/VLOOKUP(Table_Shelter[[#This Row],[CampName]],CL,4,0),"")</f>
        <v>0</v>
      </c>
      <c r="V7" s="323" t="s">
        <v>1309</v>
      </c>
      <c r="W7" s="208"/>
    </row>
    <row r="8" spans="1:118" ht="16.149999999999999" customHeight="1" x14ac:dyDescent="0.25">
      <c r="A8" s="681">
        <v>42416</v>
      </c>
      <c r="B8" s="206" t="s">
        <v>453</v>
      </c>
      <c r="C8" s="206" t="s">
        <v>507</v>
      </c>
      <c r="D8" s="206" t="s">
        <v>380</v>
      </c>
      <c r="E8" s="406" t="s">
        <v>528</v>
      </c>
      <c r="F8" s="206" t="s">
        <v>120</v>
      </c>
      <c r="G8" s="179">
        <v>1</v>
      </c>
      <c r="H8" s="179"/>
      <c r="I8" s="179"/>
      <c r="J8" s="179">
        <v>12</v>
      </c>
      <c r="K8" s="179">
        <v>12</v>
      </c>
      <c r="L8" s="207"/>
      <c r="M8" s="207"/>
      <c r="N8" s="207"/>
      <c r="O8" s="207"/>
      <c r="P8" s="180">
        <f>IF(Table_Shelter[[#This Row],[Status]]="Open",IF(V8="NO",Table_Shelter[[#This Row],[HH per Shelter]]*(Table_Shelter[[#This Row],['# of Temporary Shelter Units Built]]+Table_Shelter[[#This Row],['# of Temporary Shelter Under  Construction]]+Table_Shelter[[#This Row],['# of Permanent House Under Construction]]),0),0)</f>
        <v>12</v>
      </c>
      <c r="Q8" s="180"/>
      <c r="R8" s="207"/>
      <c r="S8" s="207" t="str">
        <f>IFERROR(VLOOKUP(Table_Shelter[[#This Row],[CampName]],CL,2,0),"")</f>
        <v>MMR001CMP168</v>
      </c>
      <c r="T8" s="207" t="str">
        <f>IFERROR(VLOOKUP(Table_Shelter[[#This Row],[CampName]],CL,3,0),"")</f>
        <v>Open</v>
      </c>
      <c r="U8" s="323">
        <f>IFERROR(Table_Shelter[[#This Row],[HH Covered]]/VLOOKUP(Table_Shelter[[#This Row],[CampName]],CL,4,0),"")</f>
        <v>0.15584415584415584</v>
      </c>
      <c r="V8" s="323" t="s">
        <v>1309</v>
      </c>
      <c r="W8" s="208"/>
    </row>
    <row r="9" spans="1:118" ht="16.149999999999999" customHeight="1" x14ac:dyDescent="0.25">
      <c r="A9" s="681"/>
      <c r="B9" s="206" t="s">
        <v>573</v>
      </c>
      <c r="C9" s="206" t="s">
        <v>460</v>
      </c>
      <c r="D9" s="206" t="s">
        <v>380</v>
      </c>
      <c r="E9" s="406" t="s">
        <v>5</v>
      </c>
      <c r="F9" s="206" t="s">
        <v>6</v>
      </c>
      <c r="G9" s="138">
        <v>1</v>
      </c>
      <c r="H9" s="138"/>
      <c r="I9" s="138"/>
      <c r="J9" s="138">
        <v>6</v>
      </c>
      <c r="K9" s="138">
        <v>6</v>
      </c>
      <c r="L9" s="206"/>
      <c r="M9" s="206"/>
      <c r="N9" s="206"/>
      <c r="O9" s="206"/>
      <c r="P9" s="180">
        <f>IF(Table_Shelter[[#This Row],[Status]]="Open",IF(V9="NO",Table_Shelter[[#This Row],[HH per Shelter]]*(Table_Shelter[[#This Row],['# of Temporary Shelter Units Built]]+Table_Shelter[[#This Row],['# of Temporary Shelter Under  Construction]]+Table_Shelter[[#This Row],['# of Permanent House Under Construction]]),0),0)</f>
        <v>6</v>
      </c>
      <c r="Q9" s="137"/>
      <c r="R9" s="206"/>
      <c r="S9" s="207" t="str">
        <f>IFERROR(VLOOKUP(Table_Shelter[[#This Row],[CampName]],CL,2,0),"")</f>
        <v>MMR001CMP050</v>
      </c>
      <c r="T9" s="207" t="str">
        <f>IFERROR(VLOOKUP(Table_Shelter[[#This Row],[CampName]],CL,3,0),"")</f>
        <v>Open</v>
      </c>
      <c r="U9" s="323">
        <f>IFERROR(Table_Shelter[[#This Row],[HH Covered]]/VLOOKUP(Table_Shelter[[#This Row],[CampName]],CL,4,0),"")</f>
        <v>2.1897810218978103E-2</v>
      </c>
      <c r="V9" s="323" t="s">
        <v>1309</v>
      </c>
      <c r="W9" s="208"/>
    </row>
    <row r="10" spans="1:118" ht="16.149999999999999" customHeight="1" x14ac:dyDescent="0.25">
      <c r="A10" s="682"/>
      <c r="B10" s="208" t="s">
        <v>453</v>
      </c>
      <c r="C10" s="208" t="s">
        <v>460</v>
      </c>
      <c r="D10" s="208" t="s">
        <v>380</v>
      </c>
      <c r="E10" s="212" t="s">
        <v>5</v>
      </c>
      <c r="F10" s="208" t="s">
        <v>6</v>
      </c>
      <c r="G10" s="140">
        <v>1</v>
      </c>
      <c r="H10" s="140"/>
      <c r="I10" s="140"/>
      <c r="J10" s="140">
        <v>144</v>
      </c>
      <c r="K10" s="140">
        <v>144</v>
      </c>
      <c r="L10" s="208"/>
      <c r="M10" s="208"/>
      <c r="N10" s="208"/>
      <c r="O10" s="208"/>
      <c r="P10" s="180">
        <f>IF(Table_Shelter[[#This Row],[Status]]="Open",IF(V10="NO",Table_Shelter[[#This Row],[HH per Shelter]]*(Table_Shelter[[#This Row],['# of Temporary Shelter Units Built]]+Table_Shelter[[#This Row],['# of Temporary Shelter Under  Construction]]+Table_Shelter[[#This Row],['# of Permanent House Under Construction]]),0),0)</f>
        <v>144</v>
      </c>
      <c r="Q10" s="139"/>
      <c r="R10" s="208"/>
      <c r="S10" s="207" t="str">
        <f>IFERROR(VLOOKUP(Table_Shelter[[#This Row],[CampName]],CL,2,0),"")</f>
        <v>MMR001CMP050</v>
      </c>
      <c r="T10" s="207" t="str">
        <f>IFERROR(VLOOKUP(Table_Shelter[[#This Row],[CampName]],CL,3,0),"")</f>
        <v>Open</v>
      </c>
      <c r="U10" s="323">
        <f>IFERROR(Table_Shelter[[#This Row],[HH Covered]]/VLOOKUP(Table_Shelter[[#This Row],[CampName]],CL,4,0),"")</f>
        <v>0.52554744525547448</v>
      </c>
      <c r="V10" s="323" t="s">
        <v>1309</v>
      </c>
      <c r="W10" s="208"/>
    </row>
    <row r="11" spans="1:118" ht="16.149999999999999" customHeight="1" x14ac:dyDescent="0.25">
      <c r="A11" s="681"/>
      <c r="B11" s="206" t="s">
        <v>453</v>
      </c>
      <c r="C11" s="206"/>
      <c r="D11" s="206" t="s">
        <v>380</v>
      </c>
      <c r="E11" s="406" t="s">
        <v>5</v>
      </c>
      <c r="F11" s="206" t="s">
        <v>6</v>
      </c>
      <c r="G11" s="138">
        <v>1</v>
      </c>
      <c r="H11" s="138"/>
      <c r="I11" s="138"/>
      <c r="J11" s="138">
        <v>20</v>
      </c>
      <c r="K11" s="138">
        <v>20</v>
      </c>
      <c r="L11" s="206"/>
      <c r="M11" s="206"/>
      <c r="N11" s="206"/>
      <c r="O11" s="206"/>
      <c r="P11" s="180">
        <f>IF(Table_Shelter[[#This Row],[Status]]="Open",IF(V11="NO",Table_Shelter[[#This Row],[HH per Shelter]]*(Table_Shelter[[#This Row],['# of Temporary Shelter Units Built]]+Table_Shelter[[#This Row],['# of Temporary Shelter Under  Construction]]+Table_Shelter[[#This Row],['# of Permanent House Under Construction]]),0),0)</f>
        <v>20</v>
      </c>
      <c r="Q11" s="137"/>
      <c r="R11" s="206"/>
      <c r="S11" s="207" t="str">
        <f>IFERROR(VLOOKUP(Table_Shelter[[#This Row],[CampName]],CL,2,0),"")</f>
        <v>MMR001CMP050</v>
      </c>
      <c r="T11" s="207" t="str">
        <f>IFERROR(VLOOKUP(Table_Shelter[[#This Row],[CampName]],CL,3,0),"")</f>
        <v>Open</v>
      </c>
      <c r="U11" s="323">
        <f>IFERROR(Table_Shelter[[#This Row],[HH Covered]]/VLOOKUP(Table_Shelter[[#This Row],[CampName]],CL,4,0),"")</f>
        <v>7.2992700729927001E-2</v>
      </c>
      <c r="V11" s="323" t="s">
        <v>1309</v>
      </c>
      <c r="W11" s="208"/>
    </row>
    <row r="12" spans="1:118" ht="16.149999999999999" customHeight="1" x14ac:dyDescent="0.25">
      <c r="A12" s="681">
        <v>42416</v>
      </c>
      <c r="B12" s="206" t="s">
        <v>453</v>
      </c>
      <c r="C12" s="206" t="s">
        <v>506</v>
      </c>
      <c r="D12" s="206" t="s">
        <v>380</v>
      </c>
      <c r="E12" s="406" t="s">
        <v>528</v>
      </c>
      <c r="F12" s="206" t="s">
        <v>41</v>
      </c>
      <c r="G12" s="138">
        <v>1</v>
      </c>
      <c r="H12" s="138"/>
      <c r="I12" s="138"/>
      <c r="J12" s="138">
        <v>15</v>
      </c>
      <c r="K12" s="138">
        <v>15</v>
      </c>
      <c r="L12" s="206"/>
      <c r="M12" s="206"/>
      <c r="N12" s="206"/>
      <c r="O12" s="206"/>
      <c r="P12" s="180">
        <f>IF(Table_Shelter[[#This Row],[Status]]="Open",IF(V12="NO",Table_Shelter[[#This Row],[HH per Shelter]]*(Table_Shelter[[#This Row],['# of Temporary Shelter Units Built]]+Table_Shelter[[#This Row],['# of Temporary Shelter Under  Construction]]+Table_Shelter[[#This Row],['# of Permanent House Under Construction]]),0),0)</f>
        <v>15</v>
      </c>
      <c r="Q12" s="137"/>
      <c r="R12" s="206"/>
      <c r="S12" s="207" t="str">
        <f>IFERROR(VLOOKUP(Table_Shelter[[#This Row],[CampName]],CL,2,0),"")</f>
        <v>MMR001CMP176</v>
      </c>
      <c r="T12" s="207" t="str">
        <f>IFERROR(VLOOKUP(Table_Shelter[[#This Row],[CampName]],CL,3,0),"")</f>
        <v>Open</v>
      </c>
      <c r="U12" s="323">
        <f>IFERROR(Table_Shelter[[#This Row],[HH Covered]]/VLOOKUP(Table_Shelter[[#This Row],[CampName]],CL,4,0),"")</f>
        <v>0.22388059701492538</v>
      </c>
      <c r="V12" s="323" t="s">
        <v>1309</v>
      </c>
      <c r="W12" s="208"/>
    </row>
    <row r="13" spans="1:118" ht="16.149999999999999" customHeight="1" x14ac:dyDescent="0.25">
      <c r="A13" s="681">
        <v>41974</v>
      </c>
      <c r="B13" s="206" t="s">
        <v>453</v>
      </c>
      <c r="C13" s="206" t="s">
        <v>506</v>
      </c>
      <c r="D13" s="213" t="s">
        <v>380</v>
      </c>
      <c r="E13" s="406" t="s">
        <v>528</v>
      </c>
      <c r="F13" s="206" t="s">
        <v>41</v>
      </c>
      <c r="G13" s="138">
        <v>1</v>
      </c>
      <c r="H13" s="138"/>
      <c r="I13" s="138"/>
      <c r="J13" s="138">
        <v>15</v>
      </c>
      <c r="K13" s="138">
        <v>15</v>
      </c>
      <c r="L13" s="206"/>
      <c r="M13" s="206"/>
      <c r="N13" s="206"/>
      <c r="O13" s="206"/>
      <c r="P13" s="139">
        <f>IF(Table_Shelter[[#This Row],[Status]]="Open",IF(V13="NO",Table_Shelter[[#This Row],[HH per Shelter]]*(Table_Shelter[[#This Row],['# of Temporary Shelter Units Built]]+Table_Shelter[[#This Row],['# of Temporary Shelter Under  Construction]]+Table_Shelter[[#This Row],['# of Permanent House Under Construction]]),0),0)</f>
        <v>15</v>
      </c>
      <c r="Q13" s="137"/>
      <c r="R13" s="137"/>
      <c r="S13" s="139" t="str">
        <f>IFERROR(VLOOKUP(Table_Shelter[[#This Row],[CampName]],CL,2,0),"")</f>
        <v>MMR001CMP176</v>
      </c>
      <c r="T13" s="139" t="str">
        <f>IFERROR(VLOOKUP(Table_Shelter[[#This Row],[CampName]],CL,3,0),"")</f>
        <v>Open</v>
      </c>
      <c r="U13" s="323">
        <f>IFERROR(Table_Shelter[[#This Row],[HH Covered]]/VLOOKUP(Table_Shelter[[#This Row],[CampName]],CL,4,0),"")</f>
        <v>0.22388059701492538</v>
      </c>
      <c r="V13" s="323" t="s">
        <v>1309</v>
      </c>
      <c r="W13" s="139"/>
    </row>
    <row r="14" spans="1:118" ht="16.149999999999999" customHeight="1" x14ac:dyDescent="0.25">
      <c r="A14" s="681">
        <v>41609</v>
      </c>
      <c r="B14" s="206" t="s">
        <v>453</v>
      </c>
      <c r="C14" s="206" t="s">
        <v>506</v>
      </c>
      <c r="D14" s="206" t="s">
        <v>380</v>
      </c>
      <c r="E14" s="406" t="s">
        <v>528</v>
      </c>
      <c r="F14" s="206" t="s">
        <v>41</v>
      </c>
      <c r="G14" s="138">
        <v>1</v>
      </c>
      <c r="H14" s="138"/>
      <c r="I14" s="138"/>
      <c r="J14" s="138">
        <v>25</v>
      </c>
      <c r="K14" s="138">
        <v>25</v>
      </c>
      <c r="L14" s="206"/>
      <c r="M14" s="206"/>
      <c r="N14" s="206"/>
      <c r="O14" s="206"/>
      <c r="P14" s="180">
        <f>IF(Table_Shelter[[#This Row],[Status]]="Open",IF(V14="NO",Table_Shelter[[#This Row],[HH per Shelter]]*(Table_Shelter[[#This Row],['# of Temporary Shelter Units Built]]+Table_Shelter[[#This Row],['# of Temporary Shelter Under  Construction]]+Table_Shelter[[#This Row],['# of Permanent House Under Construction]]),0),0)</f>
        <v>25</v>
      </c>
      <c r="Q14" s="137"/>
      <c r="R14" s="206"/>
      <c r="S14" s="207" t="str">
        <f>IFERROR(VLOOKUP(Table_Shelter[[#This Row],[CampName]],CL,2,0),"")</f>
        <v>MMR001CMP176</v>
      </c>
      <c r="T14" s="207" t="str">
        <f>IFERROR(VLOOKUP(Table_Shelter[[#This Row],[CampName]],CL,3,0),"")</f>
        <v>Open</v>
      </c>
      <c r="U14" s="323">
        <f>IFERROR(Table_Shelter[[#This Row],[HH Covered]]/VLOOKUP(Table_Shelter[[#This Row],[CampName]],CL,4,0),"")</f>
        <v>0.37313432835820898</v>
      </c>
      <c r="V14" s="323" t="s">
        <v>1309</v>
      </c>
      <c r="W14" s="208"/>
    </row>
    <row r="15" spans="1:118" ht="16.149999999999999" customHeight="1" x14ac:dyDescent="0.25">
      <c r="A15" s="681"/>
      <c r="B15" s="206" t="s">
        <v>863</v>
      </c>
      <c r="C15" s="206"/>
      <c r="D15" s="209" t="s">
        <v>380</v>
      </c>
      <c r="E15" s="406" t="s">
        <v>528</v>
      </c>
      <c r="F15" s="206" t="s">
        <v>41</v>
      </c>
      <c r="G15" s="138">
        <v>1</v>
      </c>
      <c r="H15" s="138">
        <v>10</v>
      </c>
      <c r="I15" s="138">
        <v>10</v>
      </c>
      <c r="J15" s="138"/>
      <c r="K15" s="138"/>
      <c r="L15" s="206"/>
      <c r="M15" s="206"/>
      <c r="N15" s="206"/>
      <c r="O15" s="206"/>
      <c r="P15" s="180">
        <f>IF(Table_Shelter[[#This Row],[Status]]="Open",IF(V15="NO",Table_Shelter[[#This Row],[HH per Shelter]]*(Table_Shelter[[#This Row],['# of Temporary Shelter Units Built]]+Table_Shelter[[#This Row],['# of Temporary Shelter Under  Construction]]+Table_Shelter[[#This Row],['# of Permanent House Under Construction]]),0),0)</f>
        <v>0</v>
      </c>
      <c r="Q15" s="137"/>
      <c r="R15" s="206"/>
      <c r="S15" s="207" t="str">
        <f>IFERROR(VLOOKUP(Table_Shelter[[#This Row],[CampName]],CL,2,0),"")</f>
        <v>MMR001CMP176</v>
      </c>
      <c r="T15" s="207" t="str">
        <f>IFERROR(VLOOKUP(Table_Shelter[[#This Row],[CampName]],CL,3,0),"")</f>
        <v>Open</v>
      </c>
      <c r="U15" s="323">
        <f>IFERROR(Table_Shelter[[#This Row],[HH Covered]]/VLOOKUP(Table_Shelter[[#This Row],[CampName]],CL,4,0),"")</f>
        <v>0</v>
      </c>
      <c r="V15" s="323" t="s">
        <v>1309</v>
      </c>
      <c r="W15" s="208"/>
    </row>
    <row r="16" spans="1:118" ht="16.149999999999999" customHeight="1" x14ac:dyDescent="0.25">
      <c r="A16" s="681"/>
      <c r="B16" s="206" t="s">
        <v>453</v>
      </c>
      <c r="C16" s="206" t="s">
        <v>506</v>
      </c>
      <c r="D16" s="213" t="s">
        <v>380</v>
      </c>
      <c r="E16" s="406" t="s">
        <v>528</v>
      </c>
      <c r="F16" s="206" t="s">
        <v>41</v>
      </c>
      <c r="G16" s="138">
        <v>1</v>
      </c>
      <c r="H16" s="138"/>
      <c r="I16" s="138"/>
      <c r="J16" s="138">
        <v>5</v>
      </c>
      <c r="K16" s="138">
        <v>5</v>
      </c>
      <c r="L16" s="206"/>
      <c r="M16" s="206"/>
      <c r="N16" s="206"/>
      <c r="O16" s="206"/>
      <c r="P16" s="139">
        <f>IF(Table_Shelter[[#This Row],[Status]]="Open",IF(V16="NO",Table_Shelter[[#This Row],[HH per Shelter]]*(Table_Shelter[[#This Row],['# of Temporary Shelter Units Built]]+Table_Shelter[[#This Row],['# of Temporary Shelter Under  Construction]]+Table_Shelter[[#This Row],['# of Permanent House Under Construction]]),0),0)</f>
        <v>5</v>
      </c>
      <c r="Q16" s="137"/>
      <c r="R16" s="137"/>
      <c r="S16" s="139" t="str">
        <f>IFERROR(VLOOKUP(Table_Shelter[[#This Row],[CampName]],CL,2,0),"")</f>
        <v>MMR001CMP176</v>
      </c>
      <c r="T16" s="139" t="str">
        <f>IFERROR(VLOOKUP(Table_Shelter[[#This Row],[CampName]],CL,3,0),"")</f>
        <v>Open</v>
      </c>
      <c r="U16" s="323">
        <f>IFERROR(Table_Shelter[[#This Row],[HH Covered]]/VLOOKUP(Table_Shelter[[#This Row],[CampName]],CL,4,0),"")</f>
        <v>7.4626865671641784E-2</v>
      </c>
      <c r="V16" s="323" t="s">
        <v>1309</v>
      </c>
      <c r="W16" s="139"/>
    </row>
    <row r="17" spans="1:23" ht="15" customHeight="1" x14ac:dyDescent="0.25">
      <c r="A17" s="681">
        <v>41974</v>
      </c>
      <c r="B17" s="206" t="s">
        <v>453</v>
      </c>
      <c r="C17" s="206" t="s">
        <v>506</v>
      </c>
      <c r="D17" s="206" t="s">
        <v>380</v>
      </c>
      <c r="E17" s="406" t="s">
        <v>528</v>
      </c>
      <c r="F17" s="206" t="s">
        <v>43</v>
      </c>
      <c r="G17" s="138">
        <v>1</v>
      </c>
      <c r="H17" s="138"/>
      <c r="I17" s="138"/>
      <c r="J17" s="138">
        <v>5</v>
      </c>
      <c r="K17" s="138">
        <v>5</v>
      </c>
      <c r="L17" s="206"/>
      <c r="M17" s="206"/>
      <c r="N17" s="206"/>
      <c r="O17" s="206"/>
      <c r="P17" s="139">
        <f>IF(Table_Shelter[[#This Row],[Status]]="Open",IF(V17="NO",Table_Shelter[[#This Row],[HH per Shelter]]*(Table_Shelter[[#This Row],['# of Temporary Shelter Units Built]]+Table_Shelter[[#This Row],['# of Temporary Shelter Under  Construction]]+Table_Shelter[[#This Row],['# of Permanent House Under Construction]]),0),0)</f>
        <v>5</v>
      </c>
      <c r="Q17" s="137"/>
      <c r="R17" s="137"/>
      <c r="S17" s="139" t="str">
        <f>IFERROR(VLOOKUP(Table_Shelter[[#This Row],[CampName]],CL,2,0),"")</f>
        <v>MMR001CMP190</v>
      </c>
      <c r="T17" s="139" t="str">
        <f>IFERROR(VLOOKUP(Table_Shelter[[#This Row],[CampName]],CL,3,0),"")</f>
        <v>Open</v>
      </c>
      <c r="U17" s="323">
        <f>IFERROR(Table_Shelter[[#This Row],[HH Covered]]/VLOOKUP(Table_Shelter[[#This Row],[CampName]],CL,4,0),"")</f>
        <v>0.35714285714285715</v>
      </c>
      <c r="V17" s="323" t="s">
        <v>1309</v>
      </c>
      <c r="W17" s="139"/>
    </row>
    <row r="18" spans="1:23" ht="13.9" customHeight="1" x14ac:dyDescent="0.25">
      <c r="A18" s="681">
        <v>41609</v>
      </c>
      <c r="B18" s="206" t="s">
        <v>453</v>
      </c>
      <c r="C18" s="206" t="s">
        <v>506</v>
      </c>
      <c r="D18" s="206" t="s">
        <v>380</v>
      </c>
      <c r="E18" s="406" t="s">
        <v>528</v>
      </c>
      <c r="F18" s="206" t="s">
        <v>43</v>
      </c>
      <c r="G18" s="138">
        <v>1</v>
      </c>
      <c r="H18" s="138"/>
      <c r="I18" s="138"/>
      <c r="J18" s="138">
        <v>5</v>
      </c>
      <c r="K18" s="138">
        <v>5</v>
      </c>
      <c r="L18" s="206"/>
      <c r="M18" s="206"/>
      <c r="N18" s="206"/>
      <c r="O18" s="206"/>
      <c r="P18" s="180">
        <f>IF(Table_Shelter[[#This Row],[Status]]="Open",IF(V18="NO",Table_Shelter[[#This Row],[HH per Shelter]]*(Table_Shelter[[#This Row],['# of Temporary Shelter Units Built]]+Table_Shelter[[#This Row],['# of Temporary Shelter Under  Construction]]+Table_Shelter[[#This Row],['# of Permanent House Under Construction]]),0),0)</f>
        <v>5</v>
      </c>
      <c r="Q18" s="137"/>
      <c r="R18" s="206"/>
      <c r="S18" s="207" t="str">
        <f>IFERROR(VLOOKUP(Table_Shelter[[#This Row],[CampName]],CL,2,0),"")</f>
        <v>MMR001CMP190</v>
      </c>
      <c r="T18" s="207" t="str">
        <f>IFERROR(VLOOKUP(Table_Shelter[[#This Row],[CampName]],CL,3,0),"")</f>
        <v>Open</v>
      </c>
      <c r="U18" s="323">
        <f>IFERROR(Table_Shelter[[#This Row],[HH Covered]]/VLOOKUP(Table_Shelter[[#This Row],[CampName]],CL,4,0),"")</f>
        <v>0.35714285714285715</v>
      </c>
      <c r="V18" s="323" t="s">
        <v>1309</v>
      </c>
      <c r="W18" s="208"/>
    </row>
    <row r="19" spans="1:23" ht="14.25" customHeight="1" x14ac:dyDescent="0.25">
      <c r="A19" s="681"/>
      <c r="B19" s="206" t="s">
        <v>453</v>
      </c>
      <c r="C19" s="206" t="s">
        <v>460</v>
      </c>
      <c r="D19" s="206" t="s">
        <v>380</v>
      </c>
      <c r="E19" s="406" t="s">
        <v>5</v>
      </c>
      <c r="F19" s="206" t="s">
        <v>513</v>
      </c>
      <c r="G19" s="138">
        <v>1</v>
      </c>
      <c r="H19" s="138"/>
      <c r="I19" s="138"/>
      <c r="J19" s="138">
        <v>32</v>
      </c>
      <c r="K19" s="138">
        <v>32</v>
      </c>
      <c r="L19" s="206"/>
      <c r="M19" s="206"/>
      <c r="N19" s="206"/>
      <c r="O19" s="206"/>
      <c r="P19" s="180">
        <f>IF(Table_Shelter[[#This Row],[Status]]="Open",IF(V19="NO",Table_Shelter[[#This Row],[HH per Shelter]]*(Table_Shelter[[#This Row],['# of Temporary Shelter Units Built]]+Table_Shelter[[#This Row],['# of Temporary Shelter Under  Construction]]+Table_Shelter[[#This Row],['# of Permanent House Under Construction]]),0),0)</f>
        <v>32</v>
      </c>
      <c r="Q19" s="137"/>
      <c r="R19" s="206"/>
      <c r="S19" s="207" t="str">
        <f>IFERROR(VLOOKUP(Table_Shelter[[#This Row],[CampName]],CL,2,0),"")</f>
        <v>MMR001CMP194</v>
      </c>
      <c r="T19" s="207" t="str">
        <f>IFERROR(VLOOKUP(Table_Shelter[[#This Row],[CampName]],CL,3,0),"")</f>
        <v>Open</v>
      </c>
      <c r="U19" s="323">
        <f>IFERROR(Table_Shelter[[#This Row],[HH Covered]]/VLOOKUP(Table_Shelter[[#This Row],[CampName]],CL,4,0),"")</f>
        <v>2.6666666666666665</v>
      </c>
      <c r="V19" s="323" t="s">
        <v>1309</v>
      </c>
      <c r="W19" s="208"/>
    </row>
    <row r="20" spans="1:23" ht="14.25" customHeight="1" x14ac:dyDescent="0.25">
      <c r="A20" s="681"/>
      <c r="B20" s="206" t="s">
        <v>453</v>
      </c>
      <c r="C20" s="206"/>
      <c r="D20" s="206" t="s">
        <v>380</v>
      </c>
      <c r="E20" s="406" t="s">
        <v>5</v>
      </c>
      <c r="F20" s="206" t="s">
        <v>513</v>
      </c>
      <c r="G20" s="138">
        <v>1</v>
      </c>
      <c r="H20" s="138"/>
      <c r="I20" s="138"/>
      <c r="J20" s="138">
        <v>10</v>
      </c>
      <c r="K20" s="138">
        <v>10</v>
      </c>
      <c r="L20" s="206"/>
      <c r="M20" s="206"/>
      <c r="N20" s="206"/>
      <c r="O20" s="206"/>
      <c r="P20" s="180">
        <f>IF(Table_Shelter[[#This Row],[Status]]="Open",IF(V20="NO",Table_Shelter[[#This Row],[HH per Shelter]]*(Table_Shelter[[#This Row],['# of Temporary Shelter Units Built]]+Table_Shelter[[#This Row],['# of Temporary Shelter Under  Construction]]+Table_Shelter[[#This Row],['# of Permanent House Under Construction]]),0),0)</f>
        <v>10</v>
      </c>
      <c r="Q20" s="137"/>
      <c r="R20" s="206"/>
      <c r="S20" s="207" t="str">
        <f>IFERROR(VLOOKUP(Table_Shelter[[#This Row],[CampName]],CL,2,0),"")</f>
        <v>MMR001CMP194</v>
      </c>
      <c r="T20" s="207" t="str">
        <f>IFERROR(VLOOKUP(Table_Shelter[[#This Row],[CampName]],CL,3,0),"")</f>
        <v>Open</v>
      </c>
      <c r="U20" s="323">
        <f>IFERROR(Table_Shelter[[#This Row],[HH Covered]]/VLOOKUP(Table_Shelter[[#This Row],[CampName]],CL,4,0),"")</f>
        <v>0.83333333333333337</v>
      </c>
      <c r="V20" s="323" t="s">
        <v>1309</v>
      </c>
      <c r="W20" s="208"/>
    </row>
    <row r="21" spans="1:23" ht="15" customHeight="1" x14ac:dyDescent="0.25">
      <c r="A21" s="681">
        <v>41609</v>
      </c>
      <c r="B21" s="206" t="s">
        <v>453</v>
      </c>
      <c r="C21" s="206" t="s">
        <v>461</v>
      </c>
      <c r="D21" s="206" t="s">
        <v>380</v>
      </c>
      <c r="E21" s="406" t="s">
        <v>528</v>
      </c>
      <c r="F21" s="206" t="s">
        <v>52</v>
      </c>
      <c r="G21" s="138">
        <v>1</v>
      </c>
      <c r="H21" s="138"/>
      <c r="I21" s="138"/>
      <c r="J21" s="138">
        <v>20</v>
      </c>
      <c r="K21" s="138">
        <v>20</v>
      </c>
      <c r="L21" s="206"/>
      <c r="M21" s="206"/>
      <c r="N21" s="206"/>
      <c r="O21" s="206"/>
      <c r="P21" s="180">
        <f>IF(Table_Shelter[[#This Row],[Status]]="Open",IF(V21="NO",Table_Shelter[[#This Row],[HH per Shelter]]*(Table_Shelter[[#This Row],['# of Temporary Shelter Units Built]]+Table_Shelter[[#This Row],['# of Temporary Shelter Under  Construction]]+Table_Shelter[[#This Row],['# of Permanent House Under Construction]]),0),0)</f>
        <v>20</v>
      </c>
      <c r="Q21" s="137"/>
      <c r="R21" s="206"/>
      <c r="S21" s="207" t="str">
        <f>IFERROR(VLOOKUP(Table_Shelter[[#This Row],[CampName]],CL,2,0),"")</f>
        <v>MMR001CMP169</v>
      </c>
      <c r="T21" s="207" t="str">
        <f>IFERROR(VLOOKUP(Table_Shelter[[#This Row],[CampName]],CL,3,0),"")</f>
        <v>Open</v>
      </c>
      <c r="U21" s="323">
        <f>IFERROR(Table_Shelter[[#This Row],[HH Covered]]/VLOOKUP(Table_Shelter[[#This Row],[CampName]],CL,4,0),"")</f>
        <v>0.5714285714285714</v>
      </c>
      <c r="V21" s="323" t="s">
        <v>1309</v>
      </c>
      <c r="W21" s="208"/>
    </row>
    <row r="22" spans="1:23" ht="15" customHeight="1" x14ac:dyDescent="0.25">
      <c r="A22" s="681"/>
      <c r="B22" s="206" t="s">
        <v>863</v>
      </c>
      <c r="C22" s="206"/>
      <c r="D22" s="206" t="s">
        <v>380</v>
      </c>
      <c r="E22" s="406" t="s">
        <v>528</v>
      </c>
      <c r="F22" s="206" t="s">
        <v>52</v>
      </c>
      <c r="G22" s="138">
        <v>1</v>
      </c>
      <c r="H22" s="138">
        <v>10</v>
      </c>
      <c r="I22" s="138">
        <v>10</v>
      </c>
      <c r="J22" s="138"/>
      <c r="K22" s="138"/>
      <c r="L22" s="206"/>
      <c r="M22" s="206"/>
      <c r="N22" s="206"/>
      <c r="O22" s="206"/>
      <c r="P22" s="180">
        <f>IF(Table_Shelter[[#This Row],[Status]]="Open",IF(V22="NO",Table_Shelter[[#This Row],[HH per Shelter]]*(Table_Shelter[[#This Row],['# of Temporary Shelter Units Built]]+Table_Shelter[[#This Row],['# of Temporary Shelter Under  Construction]]+Table_Shelter[[#This Row],['# of Permanent House Under Construction]]),0),0)</f>
        <v>0</v>
      </c>
      <c r="Q22" s="137"/>
      <c r="R22" s="206"/>
      <c r="S22" s="207" t="str">
        <f>IFERROR(VLOOKUP(Table_Shelter[[#This Row],[CampName]],CL,2,0),"")</f>
        <v>MMR001CMP169</v>
      </c>
      <c r="T22" s="207" t="str">
        <f>IFERROR(VLOOKUP(Table_Shelter[[#This Row],[CampName]],CL,3,0),"")</f>
        <v>Open</v>
      </c>
      <c r="U22" s="323">
        <f>IFERROR(Table_Shelter[[#This Row],[HH Covered]]/VLOOKUP(Table_Shelter[[#This Row],[CampName]],CL,4,0),"")</f>
        <v>0</v>
      </c>
      <c r="V22" s="323" t="s">
        <v>1309</v>
      </c>
      <c r="W22" s="208"/>
    </row>
    <row r="23" spans="1:23" ht="15" customHeight="1" x14ac:dyDescent="0.25">
      <c r="A23" s="681">
        <v>41974</v>
      </c>
      <c r="B23" s="206" t="s">
        <v>453</v>
      </c>
      <c r="C23" s="206" t="s">
        <v>506</v>
      </c>
      <c r="D23" s="209" t="s">
        <v>380</v>
      </c>
      <c r="E23" s="406" t="s">
        <v>528</v>
      </c>
      <c r="F23" s="206" t="s">
        <v>58</v>
      </c>
      <c r="G23" s="138">
        <v>1</v>
      </c>
      <c r="H23" s="138"/>
      <c r="I23" s="138"/>
      <c r="J23" s="138">
        <v>5</v>
      </c>
      <c r="K23" s="138">
        <v>5</v>
      </c>
      <c r="L23" s="206"/>
      <c r="M23" s="206"/>
      <c r="N23" s="206"/>
      <c r="O23" s="206"/>
      <c r="P23" s="139">
        <f>IF(Table_Shelter[[#This Row],[Status]]="Open",IF(V23="NO",Table_Shelter[[#This Row],[HH per Shelter]]*(Table_Shelter[[#This Row],['# of Temporary Shelter Units Built]]+Table_Shelter[[#This Row],['# of Temporary Shelter Under  Construction]]+Table_Shelter[[#This Row],['# of Permanent House Under Construction]]),0),0)</f>
        <v>0</v>
      </c>
      <c r="Q23" s="137"/>
      <c r="R23" s="137"/>
      <c r="S23" s="139" t="str">
        <f>IFERROR(VLOOKUP(Table_Shelter[[#This Row],[CampName]],CL,2,0),"")</f>
        <v>MMR001CMP188</v>
      </c>
      <c r="T23" s="139" t="str">
        <f>IFERROR(VLOOKUP(Table_Shelter[[#This Row],[CampName]],CL,3,0),"")</f>
        <v>Closed</v>
      </c>
      <c r="U23" s="323" t="str">
        <f>IFERROR(Table_Shelter[[#This Row],[HH Covered]]/VLOOKUP(Table_Shelter[[#This Row],[CampName]],CL,4,0),"")</f>
        <v/>
      </c>
      <c r="V23" s="323" t="s">
        <v>1309</v>
      </c>
      <c r="W23" s="139"/>
    </row>
    <row r="24" spans="1:23" ht="15" customHeight="1" x14ac:dyDescent="0.25">
      <c r="A24" s="681">
        <v>41609</v>
      </c>
      <c r="B24" s="206" t="s">
        <v>453</v>
      </c>
      <c r="C24" s="206" t="s">
        <v>506</v>
      </c>
      <c r="D24" s="206" t="s">
        <v>380</v>
      </c>
      <c r="E24" s="406" t="s">
        <v>528</v>
      </c>
      <c r="F24" s="206" t="s">
        <v>58</v>
      </c>
      <c r="G24" s="138">
        <v>1</v>
      </c>
      <c r="H24" s="138"/>
      <c r="I24" s="138"/>
      <c r="J24" s="138">
        <v>10</v>
      </c>
      <c r="K24" s="138">
        <v>10</v>
      </c>
      <c r="L24" s="206"/>
      <c r="M24" s="206"/>
      <c r="N24" s="206"/>
      <c r="O24" s="206"/>
      <c r="P24" s="180">
        <f>IF(Table_Shelter[[#This Row],[Status]]="Open",IF(V24="NO",Table_Shelter[[#This Row],[HH per Shelter]]*(Table_Shelter[[#This Row],['# of Temporary Shelter Units Built]]+Table_Shelter[[#This Row],['# of Temporary Shelter Under  Construction]]+Table_Shelter[[#This Row],['# of Permanent House Under Construction]]),0),0)</f>
        <v>0</v>
      </c>
      <c r="Q24" s="137"/>
      <c r="R24" s="206"/>
      <c r="S24" s="207" t="str">
        <f>IFERROR(VLOOKUP(Table_Shelter[[#This Row],[CampName]],CL,2,0),"")</f>
        <v>MMR001CMP188</v>
      </c>
      <c r="T24" s="207" t="str">
        <f>IFERROR(VLOOKUP(Table_Shelter[[#This Row],[CampName]],CL,3,0),"")</f>
        <v>Closed</v>
      </c>
      <c r="U24" s="323" t="str">
        <f>IFERROR(Table_Shelter[[#This Row],[HH Covered]]/VLOOKUP(Table_Shelter[[#This Row],[CampName]],CL,4,0),"")</f>
        <v/>
      </c>
      <c r="V24" s="323" t="s">
        <v>1309</v>
      </c>
      <c r="W24" s="208"/>
    </row>
    <row r="25" spans="1:23" ht="15" customHeight="1" x14ac:dyDescent="0.25">
      <c r="A25" s="681"/>
      <c r="B25" s="206"/>
      <c r="C25" s="206"/>
      <c r="D25" s="209" t="s">
        <v>380</v>
      </c>
      <c r="E25" s="406" t="s">
        <v>528</v>
      </c>
      <c r="F25" s="206" t="s">
        <v>58</v>
      </c>
      <c r="G25" s="138">
        <v>1</v>
      </c>
      <c r="H25" s="138"/>
      <c r="I25" s="138"/>
      <c r="J25" s="138">
        <v>10</v>
      </c>
      <c r="K25" s="138">
        <v>10</v>
      </c>
      <c r="L25" s="206"/>
      <c r="M25" s="206"/>
      <c r="N25" s="206"/>
      <c r="O25" s="206"/>
      <c r="P25" s="180">
        <f>IF(Table_Shelter[[#This Row],[Status]]="Open",IF(V25="NO",Table_Shelter[[#This Row],[HH per Shelter]]*(Table_Shelter[[#This Row],['# of Temporary Shelter Units Built]]+Table_Shelter[[#This Row],['# of Temporary Shelter Under  Construction]]+Table_Shelter[[#This Row],['# of Permanent House Under Construction]]),0),0)</f>
        <v>0</v>
      </c>
      <c r="Q25" s="137"/>
      <c r="R25" s="206"/>
      <c r="S25" s="207" t="str">
        <f>IFERROR(VLOOKUP(Table_Shelter[[#This Row],[CampName]],CL,2,0),"")</f>
        <v>MMR001CMP188</v>
      </c>
      <c r="T25" s="207" t="str">
        <f>IFERROR(VLOOKUP(Table_Shelter[[#This Row],[CampName]],CL,3,0),"")</f>
        <v>Closed</v>
      </c>
      <c r="U25" s="323" t="str">
        <f>IFERROR(Table_Shelter[[#This Row],[HH Covered]]/VLOOKUP(Table_Shelter[[#This Row],[CampName]],CL,4,0),"")</f>
        <v/>
      </c>
      <c r="V25" s="323" t="s">
        <v>1309</v>
      </c>
      <c r="W25" s="208"/>
    </row>
    <row r="26" spans="1:23" ht="15" customHeight="1" x14ac:dyDescent="0.25">
      <c r="A26" s="681">
        <v>41609</v>
      </c>
      <c r="B26" s="208" t="s">
        <v>453</v>
      </c>
      <c r="C26" s="208" t="s">
        <v>507</v>
      </c>
      <c r="D26" s="210" t="s">
        <v>380</v>
      </c>
      <c r="E26" s="212" t="s">
        <v>310</v>
      </c>
      <c r="F26" s="208" t="s">
        <v>334</v>
      </c>
      <c r="G26" s="140">
        <v>1</v>
      </c>
      <c r="H26" s="140"/>
      <c r="I26" s="140"/>
      <c r="J26" s="140">
        <v>35</v>
      </c>
      <c r="K26" s="140">
        <v>35</v>
      </c>
      <c r="L26" s="208"/>
      <c r="M26" s="208"/>
      <c r="N26" s="208"/>
      <c r="O26" s="208"/>
      <c r="P26" s="139">
        <f>IF(Table_Shelter[[#This Row],[Status]]="Open",IF(V26="NO",Table_Shelter[[#This Row],[HH per Shelter]]*(Table_Shelter[[#This Row],['# of Temporary Shelter Units Built]]+Table_Shelter[[#This Row],['# of Temporary Shelter Under  Construction]]+Table_Shelter[[#This Row],['# of Permanent House Under Construction]]),0),0)</f>
        <v>35</v>
      </c>
      <c r="Q26" s="139"/>
      <c r="R26" s="139"/>
      <c r="S26" s="139" t="str">
        <f>IFERROR(VLOOKUP(Table_Shelter[[#This Row],[CampName]],CL,2,0),"")</f>
        <v>MMR001CMP113</v>
      </c>
      <c r="T26" s="139" t="str">
        <f>IFERROR(VLOOKUP(Table_Shelter[[#This Row],[CampName]],CL,3,0),"")</f>
        <v>Open</v>
      </c>
      <c r="U26" s="323">
        <f>IFERROR(Table_Shelter[[#This Row],[HH Covered]]/VLOOKUP(Table_Shelter[[#This Row],[CampName]],CL,4,0),"")</f>
        <v>0.21875</v>
      </c>
      <c r="V26" s="323" t="s">
        <v>1309</v>
      </c>
      <c r="W26" s="139"/>
    </row>
    <row r="27" spans="1:23" ht="15" customHeight="1" x14ac:dyDescent="0.25">
      <c r="A27" s="681"/>
      <c r="B27" s="206" t="s">
        <v>863</v>
      </c>
      <c r="C27" s="206"/>
      <c r="D27" s="206" t="s">
        <v>380</v>
      </c>
      <c r="E27" s="406" t="s">
        <v>310</v>
      </c>
      <c r="F27" s="206" t="s">
        <v>334</v>
      </c>
      <c r="G27" s="138">
        <v>1</v>
      </c>
      <c r="H27" s="138">
        <v>41</v>
      </c>
      <c r="I27" s="138">
        <v>41</v>
      </c>
      <c r="J27" s="138"/>
      <c r="K27" s="138"/>
      <c r="L27" s="206"/>
      <c r="M27" s="206"/>
      <c r="N27" s="206"/>
      <c r="O27" s="206"/>
      <c r="P27" s="180">
        <f>IF(Table_Shelter[[#This Row],[Status]]="Open",IF(V27="NO",Table_Shelter[[#This Row],[HH per Shelter]]*(Table_Shelter[[#This Row],['# of Temporary Shelter Units Built]]+Table_Shelter[[#This Row],['# of Temporary Shelter Under  Construction]]+Table_Shelter[[#This Row],['# of Permanent House Under Construction]]),0),0)</f>
        <v>0</v>
      </c>
      <c r="Q27" s="137"/>
      <c r="R27" s="206"/>
      <c r="S27" s="207" t="str">
        <f>IFERROR(VLOOKUP(Table_Shelter[[#This Row],[CampName]],CL,2,0),"")</f>
        <v>MMR001CMP113</v>
      </c>
      <c r="T27" s="207" t="str">
        <f>IFERROR(VLOOKUP(Table_Shelter[[#This Row],[CampName]],CL,3,0),"")</f>
        <v>Open</v>
      </c>
      <c r="U27" s="323">
        <f>IFERROR(Table_Shelter[[#This Row],[HH Covered]]/VLOOKUP(Table_Shelter[[#This Row],[CampName]],CL,4,0),"")</f>
        <v>0</v>
      </c>
      <c r="V27" s="323" t="s">
        <v>1309</v>
      </c>
      <c r="W27" s="208"/>
    </row>
    <row r="28" spans="1:23" ht="15" customHeight="1" x14ac:dyDescent="0.25">
      <c r="A28" s="683">
        <v>42565</v>
      </c>
      <c r="B28" s="206" t="s">
        <v>453</v>
      </c>
      <c r="C28" s="206" t="s">
        <v>507</v>
      </c>
      <c r="D28" s="213" t="s">
        <v>380</v>
      </c>
      <c r="E28" s="406" t="s">
        <v>310</v>
      </c>
      <c r="F28" s="206" t="s">
        <v>334</v>
      </c>
      <c r="G28" s="138">
        <v>1</v>
      </c>
      <c r="H28" s="138"/>
      <c r="I28" s="138"/>
      <c r="J28" s="138">
        <v>130</v>
      </c>
      <c r="K28" s="138">
        <v>130</v>
      </c>
      <c r="L28" s="206"/>
      <c r="M28" s="206"/>
      <c r="N28" s="206"/>
      <c r="O28" s="206"/>
      <c r="P28" s="139">
        <f>IF(Table_Shelter[[#This Row],[Status]]="Open",IF(V28="NO",Table_Shelter[[#This Row],[HH per Shelter]]*(Table_Shelter[[#This Row],['# of Temporary Shelter Units Built]]+Table_Shelter[[#This Row],['# of Temporary Shelter Under  Construction]]+Table_Shelter[[#This Row],['# of Permanent House Under Construction]]),0),0)</f>
        <v>0</v>
      </c>
      <c r="Q28" s="137"/>
      <c r="R28" s="137"/>
      <c r="S28" s="139" t="str">
        <f>IFERROR(VLOOKUP(Table_Shelter[[#This Row],[CampName]],CL,2,0),"")</f>
        <v>MMR001CMP113</v>
      </c>
      <c r="T28" s="139" t="str">
        <f>IFERROR(VLOOKUP(Table_Shelter[[#This Row],[CampName]],CL,3,0),"")</f>
        <v>Open</v>
      </c>
      <c r="U28" s="323">
        <f>IFERROR(Table_Shelter[[#This Row],[HH Covered]]/VLOOKUP(Table_Shelter[[#This Row],[CampName]],CL,4,0),"")</f>
        <v>0</v>
      </c>
      <c r="V28" s="324" t="s">
        <v>1308</v>
      </c>
      <c r="W28" s="139"/>
    </row>
    <row r="29" spans="1:23" ht="15" customHeight="1" x14ac:dyDescent="0.25">
      <c r="A29" s="681"/>
      <c r="B29" s="208" t="s">
        <v>453</v>
      </c>
      <c r="C29" s="208" t="s">
        <v>507</v>
      </c>
      <c r="D29" s="210" t="s">
        <v>380</v>
      </c>
      <c r="E29" s="212" t="s">
        <v>310</v>
      </c>
      <c r="F29" s="208" t="s">
        <v>334</v>
      </c>
      <c r="G29" s="140">
        <v>1</v>
      </c>
      <c r="H29" s="140"/>
      <c r="I29" s="140"/>
      <c r="J29" s="140">
        <v>202</v>
      </c>
      <c r="K29" s="140">
        <v>202</v>
      </c>
      <c r="L29" s="208"/>
      <c r="M29" s="208"/>
      <c r="N29" s="208"/>
      <c r="O29" s="208"/>
      <c r="P29" s="180">
        <f>IF(Table_Shelter[[#This Row],[Status]]="Open",IF(V29="NO",Table_Shelter[[#This Row],[HH per Shelter]]*(Table_Shelter[[#This Row],['# of Temporary Shelter Units Built]]+Table_Shelter[[#This Row],['# of Temporary Shelter Under  Construction]]+Table_Shelter[[#This Row],['# of Permanent House Under Construction]]),0),0)</f>
        <v>202</v>
      </c>
      <c r="Q29" s="139"/>
      <c r="R29" s="208"/>
      <c r="S29" s="207" t="str">
        <f>IFERROR(VLOOKUP(Table_Shelter[[#This Row],[CampName]],CL,2,0),"")</f>
        <v>MMR001CMP113</v>
      </c>
      <c r="T29" s="207" t="str">
        <f>IFERROR(VLOOKUP(Table_Shelter[[#This Row],[CampName]],CL,3,0),"")</f>
        <v>Open</v>
      </c>
      <c r="U29" s="323">
        <f>IFERROR(Table_Shelter[[#This Row],[HH Covered]]/VLOOKUP(Table_Shelter[[#This Row],[CampName]],CL,4,0),"")</f>
        <v>1.2625</v>
      </c>
      <c r="V29" s="323" t="s">
        <v>1309</v>
      </c>
      <c r="W29" s="208"/>
    </row>
    <row r="30" spans="1:23" ht="15" customHeight="1" x14ac:dyDescent="0.25">
      <c r="A30" s="681">
        <v>41974</v>
      </c>
      <c r="B30" s="206" t="s">
        <v>453</v>
      </c>
      <c r="C30" s="206" t="s">
        <v>461</v>
      </c>
      <c r="D30" s="206" t="s">
        <v>380</v>
      </c>
      <c r="E30" s="406" t="s">
        <v>151</v>
      </c>
      <c r="F30" s="206" t="s">
        <v>188</v>
      </c>
      <c r="G30" s="138">
        <v>1</v>
      </c>
      <c r="H30" s="138"/>
      <c r="I30" s="138"/>
      <c r="J30" s="138">
        <v>90</v>
      </c>
      <c r="K30" s="138">
        <v>90</v>
      </c>
      <c r="L30" s="206"/>
      <c r="M30" s="206"/>
      <c r="N30" s="206"/>
      <c r="O30" s="206"/>
      <c r="P30" s="180">
        <f>IF(Table_Shelter[[#This Row],[Status]]="Open",IF(V30="NO",Table_Shelter[[#This Row],[HH per Shelter]]*(Table_Shelter[[#This Row],['# of Temporary Shelter Units Built]]+Table_Shelter[[#This Row],['# of Temporary Shelter Under  Construction]]+Table_Shelter[[#This Row],['# of Permanent House Under Construction]]),0),0)</f>
        <v>90</v>
      </c>
      <c r="Q30" s="137"/>
      <c r="R30" s="206"/>
      <c r="S30" s="207" t="str">
        <f>IFERROR(VLOOKUP(Table_Shelter[[#This Row],[CampName]],CL,2,0),"")</f>
        <v>MMR001CMP129</v>
      </c>
      <c r="T30" s="207" t="str">
        <f>IFERROR(VLOOKUP(Table_Shelter[[#This Row],[CampName]],CL,3,0),"")</f>
        <v>Open</v>
      </c>
      <c r="U30" s="323">
        <f>IFERROR(Table_Shelter[[#This Row],[HH Covered]]/VLOOKUP(Table_Shelter[[#This Row],[CampName]],CL,4,0),"")</f>
        <v>0.36734693877551022</v>
      </c>
      <c r="V30" s="323" t="s">
        <v>1309</v>
      </c>
      <c r="W30" s="208"/>
    </row>
    <row r="31" spans="1:23" ht="15" customHeight="1" x14ac:dyDescent="0.25">
      <c r="A31" s="682">
        <v>41791</v>
      </c>
      <c r="B31" s="208" t="s">
        <v>453</v>
      </c>
      <c r="C31" s="208" t="s">
        <v>507</v>
      </c>
      <c r="D31" s="208" t="s">
        <v>380</v>
      </c>
      <c r="E31" s="212" t="s">
        <v>151</v>
      </c>
      <c r="F31" s="208" t="s">
        <v>188</v>
      </c>
      <c r="G31" s="140">
        <v>1</v>
      </c>
      <c r="H31" s="140"/>
      <c r="I31" s="140"/>
      <c r="J31" s="140">
        <v>100</v>
      </c>
      <c r="K31" s="140">
        <v>100</v>
      </c>
      <c r="L31" s="208"/>
      <c r="M31" s="208"/>
      <c r="N31" s="208"/>
      <c r="O31" s="208"/>
      <c r="P31" s="180">
        <f>IF(Table_Shelter[[#This Row],[Status]]="Open",IF(V31="NO",Table_Shelter[[#This Row],[HH per Shelter]]*(Table_Shelter[[#This Row],['# of Temporary Shelter Units Built]]+Table_Shelter[[#This Row],['# of Temporary Shelter Under  Construction]]+Table_Shelter[[#This Row],['# of Permanent House Under Construction]]),0),0)</f>
        <v>100</v>
      </c>
      <c r="Q31" s="139"/>
      <c r="R31" s="208"/>
      <c r="S31" s="207" t="str">
        <f>IFERROR(VLOOKUP(Table_Shelter[[#This Row],[CampName]],CL,2,0),"")</f>
        <v>MMR001CMP129</v>
      </c>
      <c r="T31" s="207" t="str">
        <f>IFERROR(VLOOKUP(Table_Shelter[[#This Row],[CampName]],CL,3,0),"")</f>
        <v>Open</v>
      </c>
      <c r="U31" s="323">
        <f>IFERROR(Table_Shelter[[#This Row],[HH Covered]]/VLOOKUP(Table_Shelter[[#This Row],[CampName]],CL,4,0),"")</f>
        <v>0.40816326530612246</v>
      </c>
      <c r="V31" s="323" t="s">
        <v>1309</v>
      </c>
      <c r="W31" s="208"/>
    </row>
    <row r="32" spans="1:23" ht="15" customHeight="1" x14ac:dyDescent="0.25">
      <c r="A32" s="681"/>
      <c r="B32" s="206" t="s">
        <v>453</v>
      </c>
      <c r="C32" s="206"/>
      <c r="D32" s="206" t="s">
        <v>380</v>
      </c>
      <c r="E32" s="406" t="s">
        <v>151</v>
      </c>
      <c r="F32" s="206" t="s">
        <v>188</v>
      </c>
      <c r="G32" s="138">
        <v>1</v>
      </c>
      <c r="H32" s="138"/>
      <c r="I32" s="138"/>
      <c r="J32" s="140">
        <v>150</v>
      </c>
      <c r="K32" s="138"/>
      <c r="L32" s="206"/>
      <c r="M32" s="206"/>
      <c r="N32" s="206"/>
      <c r="O32" s="206"/>
      <c r="P32" s="180">
        <f>IF(Table_Shelter[[#This Row],[Status]]="Open",IF(V32="NO",Table_Shelter[[#This Row],[HH per Shelter]]*(Table_Shelter[[#This Row],['# of Temporary Shelter Units Built]]+Table_Shelter[[#This Row],['# of Temporary Shelter Under  Construction]]+Table_Shelter[[#This Row],['# of Permanent House Under Construction]]),0),0)</f>
        <v>0</v>
      </c>
      <c r="Q32" s="137"/>
      <c r="R32" s="206"/>
      <c r="S32" s="207" t="str">
        <f>IFERROR(VLOOKUP(Table_Shelter[[#This Row],[CampName]],CL,2,0),"")</f>
        <v>MMR001CMP129</v>
      </c>
      <c r="T32" s="207" t="str">
        <f>IFERROR(VLOOKUP(Table_Shelter[[#This Row],[CampName]],CL,3,0),"")</f>
        <v>Open</v>
      </c>
      <c r="U32" s="323">
        <f>IFERROR(Table_Shelter[[#This Row],[HH Covered]]/VLOOKUP(Table_Shelter[[#This Row],[CampName]],CL,4,0),"")</f>
        <v>0</v>
      </c>
      <c r="V32" s="323" t="s">
        <v>1309</v>
      </c>
      <c r="W32" s="208"/>
    </row>
    <row r="33" spans="1:118" ht="15" customHeight="1" x14ac:dyDescent="0.25">
      <c r="A33" s="681">
        <v>41974</v>
      </c>
      <c r="B33" s="206" t="s">
        <v>453</v>
      </c>
      <c r="C33" s="206" t="s">
        <v>461</v>
      </c>
      <c r="D33" s="206" t="s">
        <v>380</v>
      </c>
      <c r="E33" s="406" t="s">
        <v>151</v>
      </c>
      <c r="F33" s="206" t="s">
        <v>1036</v>
      </c>
      <c r="G33" s="138">
        <v>1</v>
      </c>
      <c r="H33" s="138"/>
      <c r="I33" s="138"/>
      <c r="J33" s="138">
        <v>120</v>
      </c>
      <c r="K33" s="138">
        <v>120</v>
      </c>
      <c r="L33" s="206"/>
      <c r="M33" s="206"/>
      <c r="N33" s="206"/>
      <c r="O33" s="206"/>
      <c r="P33" s="180">
        <f>IF(Table_Shelter[[#This Row],[Status]]="Open",IF(V33="NO",Table_Shelter[[#This Row],[HH per Shelter]]*(Table_Shelter[[#This Row],['# of Temporary Shelter Units Built]]+Table_Shelter[[#This Row],['# of Temporary Shelter Under  Construction]]+Table_Shelter[[#This Row],['# of Permanent House Under Construction]]),0),0)</f>
        <v>120</v>
      </c>
      <c r="Q33" s="137"/>
      <c r="R33" s="206"/>
      <c r="S33" s="207" t="str">
        <f>IFERROR(VLOOKUP(Table_Shelter[[#This Row],[CampName]],CL,2,0),"")</f>
        <v>MMR001CMP226</v>
      </c>
      <c r="T33" s="207" t="str">
        <f>IFERROR(VLOOKUP(Table_Shelter[[#This Row],[CampName]],CL,3,0),"")</f>
        <v>Open</v>
      </c>
      <c r="U33" s="323">
        <f>IFERROR(Table_Shelter[[#This Row],[HH Covered]]/VLOOKUP(Table_Shelter[[#This Row],[CampName]],CL,4,0),"")</f>
        <v>0.54794520547945202</v>
      </c>
      <c r="V33" s="323" t="s">
        <v>1309</v>
      </c>
      <c r="W33" s="208"/>
    </row>
    <row r="34" spans="1:118" ht="15" customHeight="1" x14ac:dyDescent="0.25">
      <c r="A34" s="682">
        <v>41974</v>
      </c>
      <c r="B34" s="208" t="s">
        <v>453</v>
      </c>
      <c r="C34" s="208" t="s">
        <v>506</v>
      </c>
      <c r="D34" s="208" t="s">
        <v>380</v>
      </c>
      <c r="E34" s="212" t="s">
        <v>528</v>
      </c>
      <c r="F34" s="208" t="s">
        <v>72</v>
      </c>
      <c r="G34" s="140">
        <v>1</v>
      </c>
      <c r="H34" s="140"/>
      <c r="I34" s="140"/>
      <c r="J34" s="140">
        <v>2</v>
      </c>
      <c r="K34" s="140">
        <v>2</v>
      </c>
      <c r="L34" s="208"/>
      <c r="M34" s="208"/>
      <c r="N34" s="208"/>
      <c r="O34" s="208"/>
      <c r="P34" s="139">
        <f>IF(Table_Shelter[[#This Row],[Status]]="Open",IF(V34="NO",Table_Shelter[[#This Row],[HH per Shelter]]*(Table_Shelter[[#This Row],['# of Temporary Shelter Units Built]]+Table_Shelter[[#This Row],['# of Temporary Shelter Under  Construction]]+Table_Shelter[[#This Row],['# of Permanent House Under Construction]]),0),0)</f>
        <v>2</v>
      </c>
      <c r="Q34" s="139"/>
      <c r="R34" s="139"/>
      <c r="S34" s="139" t="str">
        <f>IFERROR(VLOOKUP(Table_Shelter[[#This Row],[CampName]],CL,2,0),"")</f>
        <v>MMR001CMP109</v>
      </c>
      <c r="T34" s="139" t="str">
        <f>IFERROR(VLOOKUP(Table_Shelter[[#This Row],[CampName]],CL,3,0),"")</f>
        <v>Open</v>
      </c>
      <c r="U34" s="323">
        <f>IFERROR(Table_Shelter[[#This Row],[HH Covered]]/VLOOKUP(Table_Shelter[[#This Row],[CampName]],CL,4,0),"")</f>
        <v>0.33333333333333331</v>
      </c>
      <c r="V34" s="323" t="s">
        <v>1309</v>
      </c>
      <c r="W34" s="139"/>
    </row>
    <row r="35" spans="1:118" ht="15" customHeight="1" x14ac:dyDescent="0.25">
      <c r="A35" s="682">
        <v>41609</v>
      </c>
      <c r="B35" s="208" t="s">
        <v>453</v>
      </c>
      <c r="C35" s="208" t="s">
        <v>506</v>
      </c>
      <c r="D35" s="208" t="s">
        <v>380</v>
      </c>
      <c r="E35" s="212" t="s">
        <v>528</v>
      </c>
      <c r="F35" s="208" t="s">
        <v>72</v>
      </c>
      <c r="G35" s="140">
        <v>1</v>
      </c>
      <c r="H35" s="140"/>
      <c r="I35" s="140"/>
      <c r="J35" s="140">
        <v>4</v>
      </c>
      <c r="K35" s="140">
        <v>4</v>
      </c>
      <c r="L35" s="208"/>
      <c r="M35" s="208"/>
      <c r="N35" s="208"/>
      <c r="O35" s="208"/>
      <c r="P35" s="180">
        <f>IF(Table_Shelter[[#This Row],[Status]]="Open",IF(V35="NO",Table_Shelter[[#This Row],[HH per Shelter]]*(Table_Shelter[[#This Row],['# of Temporary Shelter Units Built]]+Table_Shelter[[#This Row],['# of Temporary Shelter Under  Construction]]+Table_Shelter[[#This Row],['# of Permanent House Under Construction]]),0),0)</f>
        <v>4</v>
      </c>
      <c r="Q35" s="139"/>
      <c r="R35" s="208"/>
      <c r="S35" s="207" t="str">
        <f>IFERROR(VLOOKUP(Table_Shelter[[#This Row],[CampName]],CL,2,0),"")</f>
        <v>MMR001CMP109</v>
      </c>
      <c r="T35" s="207" t="str">
        <f>IFERROR(VLOOKUP(Table_Shelter[[#This Row],[CampName]],CL,3,0),"")</f>
        <v>Open</v>
      </c>
      <c r="U35" s="323">
        <f>IFERROR(Table_Shelter[[#This Row],[HH Covered]]/VLOOKUP(Table_Shelter[[#This Row],[CampName]],CL,4,0),"")</f>
        <v>0.66666666666666663</v>
      </c>
      <c r="V35" s="323" t="s">
        <v>1309</v>
      </c>
      <c r="W35" s="208"/>
    </row>
    <row r="36" spans="1:118" ht="15" customHeight="1" x14ac:dyDescent="0.25">
      <c r="A36" s="681">
        <v>41974</v>
      </c>
      <c r="B36" s="206" t="s">
        <v>453</v>
      </c>
      <c r="C36" s="206" t="s">
        <v>506</v>
      </c>
      <c r="D36" s="206" t="s">
        <v>380</v>
      </c>
      <c r="E36" s="406" t="s">
        <v>27</v>
      </c>
      <c r="F36" s="206" t="s">
        <v>1105</v>
      </c>
      <c r="G36" s="138">
        <v>1</v>
      </c>
      <c r="H36" s="138"/>
      <c r="I36" s="138"/>
      <c r="J36" s="138">
        <v>5</v>
      </c>
      <c r="K36" s="138">
        <v>5</v>
      </c>
      <c r="L36" s="206"/>
      <c r="M36" s="206"/>
      <c r="N36" s="206"/>
      <c r="O36" s="206"/>
      <c r="P36" s="180">
        <f>IF(Table_Shelter[[#This Row],[Status]]="Open",IF(V36="NO",Table_Shelter[[#This Row],[HH per Shelter]]*(Table_Shelter[[#This Row],['# of Temporary Shelter Units Built]]+Table_Shelter[[#This Row],['# of Temporary Shelter Under  Construction]]+Table_Shelter[[#This Row],['# of Permanent House Under Construction]]),0),0)</f>
        <v>5</v>
      </c>
      <c r="Q36" s="137"/>
      <c r="R36" s="206"/>
      <c r="S36" s="207" t="str">
        <f>IFERROR(VLOOKUP(Table_Shelter[[#This Row],[CampName]],CL,2,0),"")</f>
        <v>MMR001CMP042</v>
      </c>
      <c r="T36" s="207" t="str">
        <f>IFERROR(VLOOKUP(Table_Shelter[[#This Row],[CampName]],CL,3,0),"")</f>
        <v>Open</v>
      </c>
      <c r="U36" s="323">
        <f>IFERROR(Table_Shelter[[#This Row],[HH Covered]]/VLOOKUP(Table_Shelter[[#This Row],[CampName]],CL,4,0),"")</f>
        <v>4.5871559633027525E-2</v>
      </c>
      <c r="V36" s="323" t="s">
        <v>1309</v>
      </c>
      <c r="W36" s="208"/>
    </row>
    <row r="37" spans="1:118" ht="15" customHeight="1" x14ac:dyDescent="0.25">
      <c r="A37" s="683">
        <v>42571</v>
      </c>
      <c r="B37" s="206" t="s">
        <v>453</v>
      </c>
      <c r="C37" s="206" t="s">
        <v>506</v>
      </c>
      <c r="D37" s="206" t="s">
        <v>380</v>
      </c>
      <c r="E37" s="406" t="s">
        <v>27</v>
      </c>
      <c r="F37" s="206" t="s">
        <v>1105</v>
      </c>
      <c r="G37" s="138"/>
      <c r="H37" s="138"/>
      <c r="I37" s="138"/>
      <c r="J37" s="138"/>
      <c r="K37" s="138"/>
      <c r="L37" s="206"/>
      <c r="M37" s="206"/>
      <c r="N37" s="206"/>
      <c r="O37" s="206"/>
      <c r="P37" s="139">
        <f>IF(Table_Shelter[[#This Row],[Status]]="Open",IF(V37="NO",Table_Shelter[[#This Row],[HH per Shelter]]*(Table_Shelter[[#This Row],['# of Temporary Shelter Units Built]]+Table_Shelter[[#This Row],['# of Temporary Shelter Under  Construction]]+Table_Shelter[[#This Row],['# of Permanent House Under Construction]]),0),0)</f>
        <v>0</v>
      </c>
      <c r="Q37" s="137">
        <v>10</v>
      </c>
      <c r="R37" s="137"/>
      <c r="S37" s="139" t="str">
        <f>IFERROR(VLOOKUP(Table_Shelter[[#This Row],[CampName]],CL,2,0),"")</f>
        <v>MMR001CMP042</v>
      </c>
      <c r="T37" s="139" t="str">
        <f>IFERROR(VLOOKUP(Table_Shelter[[#This Row],[CampName]],CL,3,0),"")</f>
        <v>Open</v>
      </c>
      <c r="U37" s="323">
        <f>IFERROR(Table_Shelter[[#This Row],[HH Covered]]/VLOOKUP(Table_Shelter[[#This Row],[CampName]],CL,4,0),"")</f>
        <v>0</v>
      </c>
      <c r="V37" s="324">
        <f>VLOOKUP(Table_Shelter[[#This Row],[CampName]],CL,4,0)</f>
        <v>109</v>
      </c>
      <c r="W37" s="139"/>
    </row>
    <row r="38" spans="1:118" ht="15" customHeight="1" x14ac:dyDescent="0.25">
      <c r="A38" s="681"/>
      <c r="B38" s="206" t="s">
        <v>454</v>
      </c>
      <c r="C38" s="206" t="s">
        <v>506</v>
      </c>
      <c r="D38" s="206" t="s">
        <v>380</v>
      </c>
      <c r="E38" s="406" t="s">
        <v>27</v>
      </c>
      <c r="F38" s="206" t="s">
        <v>28</v>
      </c>
      <c r="G38" s="138">
        <v>1</v>
      </c>
      <c r="H38" s="138"/>
      <c r="I38" s="138"/>
      <c r="J38" s="138">
        <v>82</v>
      </c>
      <c r="K38" s="138">
        <v>82</v>
      </c>
      <c r="L38" s="206"/>
      <c r="M38" s="206"/>
      <c r="N38" s="206"/>
      <c r="O38" s="206"/>
      <c r="P38" s="180">
        <f>IF(Table_Shelter[[#This Row],[Status]]="Open",IF(V38="NO",Table_Shelter[[#This Row],[HH per Shelter]]*(Table_Shelter[[#This Row],['# of Temporary Shelter Units Built]]+Table_Shelter[[#This Row],['# of Temporary Shelter Under  Construction]]+Table_Shelter[[#This Row],['# of Permanent House Under Construction]]),0),0)</f>
        <v>82</v>
      </c>
      <c r="Q38" s="137"/>
      <c r="R38" s="206"/>
      <c r="S38" s="207" t="str">
        <f>IFERROR(VLOOKUP(Table_Shelter[[#This Row],[CampName]],CL,2,0),"")</f>
        <v>MMR001CMP042</v>
      </c>
      <c r="T38" s="207" t="str">
        <f>IFERROR(VLOOKUP(Table_Shelter[[#This Row],[CampName]],CL,3,0),"")</f>
        <v>Open</v>
      </c>
      <c r="U38" s="323">
        <f>IFERROR(Table_Shelter[[#This Row],[HH Covered]]/VLOOKUP(Table_Shelter[[#This Row],[CampName]],CL,4,0),"")</f>
        <v>0.75229357798165142</v>
      </c>
      <c r="V38" s="323" t="s">
        <v>1309</v>
      </c>
      <c r="W38" s="208"/>
    </row>
    <row r="39" spans="1:118" ht="15" customHeight="1" x14ac:dyDescent="0.25">
      <c r="A39" s="681"/>
      <c r="B39" s="206" t="s">
        <v>453</v>
      </c>
      <c r="C39" s="206" t="s">
        <v>506</v>
      </c>
      <c r="D39" s="213" t="s">
        <v>380</v>
      </c>
      <c r="E39" s="406" t="s">
        <v>27</v>
      </c>
      <c r="F39" s="206" t="s">
        <v>1105</v>
      </c>
      <c r="G39" s="138">
        <v>1</v>
      </c>
      <c r="H39" s="138"/>
      <c r="I39" s="138"/>
      <c r="J39" s="138">
        <v>20</v>
      </c>
      <c r="K39" s="138">
        <v>20</v>
      </c>
      <c r="L39" s="206"/>
      <c r="M39" s="206"/>
      <c r="N39" s="206"/>
      <c r="O39" s="206"/>
      <c r="P39" s="139">
        <f>IF(Table_Shelter[[#This Row],[Status]]="Open",IF(V39="NO",Table_Shelter[[#This Row],[HH per Shelter]]*(Table_Shelter[[#This Row],['# of Temporary Shelter Units Built]]+Table_Shelter[[#This Row],['# of Temporary Shelter Under  Construction]]+Table_Shelter[[#This Row],['# of Permanent House Under Construction]]),0),0)</f>
        <v>20</v>
      </c>
      <c r="Q39" s="137"/>
      <c r="R39" s="137"/>
      <c r="S39" s="139" t="str">
        <f>IFERROR(VLOOKUP(Table_Shelter[[#This Row],[CampName]],CL,2,0),"")</f>
        <v>MMR001CMP042</v>
      </c>
      <c r="T39" s="139" t="str">
        <f>IFERROR(VLOOKUP(Table_Shelter[[#This Row],[CampName]],CL,3,0),"")</f>
        <v>Open</v>
      </c>
      <c r="U39" s="323">
        <f>IFERROR(Table_Shelter[[#This Row],[HH Covered]]/VLOOKUP(Table_Shelter[[#This Row],[CampName]],CL,4,0),"")</f>
        <v>0.1834862385321101</v>
      </c>
      <c r="V39" s="323" t="s">
        <v>1309</v>
      </c>
      <c r="W39" s="139"/>
    </row>
    <row r="40" spans="1:118" ht="15" customHeight="1" x14ac:dyDescent="0.25">
      <c r="A40" s="682">
        <v>41974</v>
      </c>
      <c r="B40" s="208" t="s">
        <v>453</v>
      </c>
      <c r="C40" s="208" t="s">
        <v>506</v>
      </c>
      <c r="D40" s="208" t="s">
        <v>380</v>
      </c>
      <c r="E40" s="212" t="s">
        <v>528</v>
      </c>
      <c r="F40" s="208" t="s">
        <v>76</v>
      </c>
      <c r="G40" s="140">
        <v>1</v>
      </c>
      <c r="H40" s="140"/>
      <c r="I40" s="140"/>
      <c r="J40" s="140">
        <v>45</v>
      </c>
      <c r="K40" s="140">
        <v>45</v>
      </c>
      <c r="L40" s="208"/>
      <c r="M40" s="208"/>
      <c r="N40" s="208"/>
      <c r="O40" s="208"/>
      <c r="P40" s="180">
        <f>IF(Table_Shelter[[#This Row],[Status]]="Open",IF(V40="NO",Table_Shelter[[#This Row],[HH per Shelter]]*(Table_Shelter[[#This Row],['# of Temporary Shelter Units Built]]+Table_Shelter[[#This Row],['# of Temporary Shelter Under  Construction]]+Table_Shelter[[#This Row],['# of Permanent House Under Construction]]),0),0)</f>
        <v>45</v>
      </c>
      <c r="Q40" s="139"/>
      <c r="R40" s="208"/>
      <c r="S40" s="207" t="str">
        <f>IFERROR(VLOOKUP(Table_Shelter[[#This Row],[CampName]],CL,2,0),"")</f>
        <v>MMR001CMP174</v>
      </c>
      <c r="T40" s="207" t="str">
        <f>IFERROR(VLOOKUP(Table_Shelter[[#This Row],[CampName]],CL,3,0),"")</f>
        <v>Open</v>
      </c>
      <c r="U40" s="323">
        <f>IFERROR(Table_Shelter[[#This Row],[HH Covered]]/VLOOKUP(Table_Shelter[[#This Row],[CampName]],CL,4,0),"")</f>
        <v>0.68181818181818177</v>
      </c>
      <c r="V40" s="323" t="s">
        <v>1309</v>
      </c>
      <c r="W40" s="208"/>
    </row>
    <row r="41" spans="1:118" ht="15" customHeight="1" x14ac:dyDescent="0.25">
      <c r="A41" s="682">
        <v>41791</v>
      </c>
      <c r="B41" s="138" t="s">
        <v>453</v>
      </c>
      <c r="C41" s="138" t="s">
        <v>506</v>
      </c>
      <c r="D41" s="213" t="s">
        <v>380</v>
      </c>
      <c r="E41" s="214" t="s">
        <v>528</v>
      </c>
      <c r="F41" s="138" t="s">
        <v>76</v>
      </c>
      <c r="G41" s="138">
        <v>1</v>
      </c>
      <c r="H41" s="140"/>
      <c r="I41" s="140"/>
      <c r="J41" s="140">
        <v>20</v>
      </c>
      <c r="K41" s="140">
        <v>20</v>
      </c>
      <c r="L41" s="140"/>
      <c r="M41" s="140"/>
      <c r="N41" s="140"/>
      <c r="O41" s="140"/>
      <c r="P41" s="139">
        <f>IF(Table_Shelter[[#This Row],[Status]]="Open",IF(V41="NO",Table_Shelter[[#This Row],[HH per Shelter]]*(Table_Shelter[[#This Row],['# of Temporary Shelter Units Built]]+Table_Shelter[[#This Row],['# of Temporary Shelter Under  Construction]]+Table_Shelter[[#This Row],['# of Permanent House Under Construction]]),0),0)</f>
        <v>20</v>
      </c>
      <c r="Q41" s="139"/>
      <c r="R41" s="139"/>
      <c r="S41" s="139" t="str">
        <f>IFERROR(VLOOKUP(Table_Shelter[[#This Row],[CampName]],CL,2,0),"")</f>
        <v>MMR001CMP174</v>
      </c>
      <c r="T41" s="139" t="str">
        <f>IFERROR(VLOOKUP(Table_Shelter[[#This Row],[CampName]],CL,3,0),"")</f>
        <v>Open</v>
      </c>
      <c r="U41" s="324">
        <f>IFERROR(Table_Shelter[[#This Row],[HH Covered]]/VLOOKUP(Table_Shelter[[#This Row],[CampName]],CL,4,0),"")</f>
        <v>0.30303030303030304</v>
      </c>
      <c r="V41" s="323" t="s">
        <v>1309</v>
      </c>
      <c r="W41" s="139"/>
    </row>
    <row r="42" spans="1:118" ht="15" customHeight="1" x14ac:dyDescent="0.25">
      <c r="A42" s="681"/>
      <c r="B42" s="206" t="s">
        <v>863</v>
      </c>
      <c r="C42" s="206"/>
      <c r="D42" s="206" t="s">
        <v>380</v>
      </c>
      <c r="E42" s="406" t="s">
        <v>528</v>
      </c>
      <c r="F42" s="206" t="s">
        <v>76</v>
      </c>
      <c r="G42" s="138">
        <v>1</v>
      </c>
      <c r="H42" s="138">
        <v>5</v>
      </c>
      <c r="I42" s="138">
        <v>5</v>
      </c>
      <c r="J42" s="138"/>
      <c r="K42" s="138"/>
      <c r="L42" s="206"/>
      <c r="M42" s="206"/>
      <c r="N42" s="206"/>
      <c r="O42" s="206"/>
      <c r="P42" s="180">
        <f>IF(Table_Shelter[[#This Row],[Status]]="Open",IF(V42="NO",Table_Shelter[[#This Row],[HH per Shelter]]*(Table_Shelter[[#This Row],['# of Temporary Shelter Units Built]]+Table_Shelter[[#This Row],['# of Temporary Shelter Under  Construction]]+Table_Shelter[[#This Row],['# of Permanent House Under Construction]]),0),0)</f>
        <v>0</v>
      </c>
      <c r="Q42" s="137"/>
      <c r="R42" s="206"/>
      <c r="S42" s="207" t="str">
        <f>IFERROR(VLOOKUP(Table_Shelter[[#This Row],[CampName]],CL,2,0),"")</f>
        <v>MMR001CMP174</v>
      </c>
      <c r="T42" s="207" t="str">
        <f>IFERROR(VLOOKUP(Table_Shelter[[#This Row],[CampName]],CL,3,0),"")</f>
        <v>Open</v>
      </c>
      <c r="U42" s="323">
        <f>IFERROR(Table_Shelter[[#This Row],[HH Covered]]/VLOOKUP(Table_Shelter[[#This Row],[CampName]],CL,4,0),"")</f>
        <v>0</v>
      </c>
      <c r="V42" s="323" t="s">
        <v>1309</v>
      </c>
      <c r="W42" s="208"/>
    </row>
    <row r="43" spans="1:118" ht="15" customHeight="1" x14ac:dyDescent="0.25">
      <c r="A43" s="682"/>
      <c r="B43" s="138" t="s">
        <v>453</v>
      </c>
      <c r="C43" s="138" t="s">
        <v>506</v>
      </c>
      <c r="D43" s="213" t="s">
        <v>380</v>
      </c>
      <c r="E43" s="214" t="s">
        <v>528</v>
      </c>
      <c r="F43" s="138" t="s">
        <v>76</v>
      </c>
      <c r="G43" s="138">
        <v>1</v>
      </c>
      <c r="H43" s="140"/>
      <c r="I43" s="140"/>
      <c r="J43" s="140">
        <v>10</v>
      </c>
      <c r="K43" s="140">
        <v>10</v>
      </c>
      <c r="L43" s="140"/>
      <c r="M43" s="140"/>
      <c r="N43" s="140"/>
      <c r="O43" s="140"/>
      <c r="P43" s="139">
        <f>IF(Table_Shelter[[#This Row],[Status]]="Open",IF(V43="NO",Table_Shelter[[#This Row],[HH per Shelter]]*(Table_Shelter[[#This Row],['# of Temporary Shelter Units Built]]+Table_Shelter[[#This Row],['# of Temporary Shelter Under  Construction]]+Table_Shelter[[#This Row],['# of Permanent House Under Construction]]),0),0)</f>
        <v>10</v>
      </c>
      <c r="Q43" s="139"/>
      <c r="R43" s="139"/>
      <c r="S43" s="139" t="str">
        <f>IFERROR(VLOOKUP(Table_Shelter[[#This Row],[CampName]],CL,2,0),"")</f>
        <v>MMR001CMP174</v>
      </c>
      <c r="T43" s="139" t="str">
        <f>IFERROR(VLOOKUP(Table_Shelter[[#This Row],[CampName]],CL,3,0),"")</f>
        <v>Open</v>
      </c>
      <c r="U43" s="324">
        <f>IFERROR(Table_Shelter[[#This Row],[HH Covered]]/VLOOKUP(Table_Shelter[[#This Row],[CampName]],CL,4,0),"")</f>
        <v>0.15151515151515152</v>
      </c>
      <c r="V43" s="323" t="s">
        <v>1309</v>
      </c>
      <c r="W43" s="139"/>
    </row>
    <row r="44" spans="1:118" ht="15" customHeight="1" x14ac:dyDescent="0.25">
      <c r="A44" s="682">
        <v>42416</v>
      </c>
      <c r="B44" s="206" t="s">
        <v>453</v>
      </c>
      <c r="C44" s="206" t="s">
        <v>461</v>
      </c>
      <c r="D44" s="206" t="s">
        <v>380</v>
      </c>
      <c r="E44" s="406" t="s">
        <v>237</v>
      </c>
      <c r="F44" s="206" t="s">
        <v>243</v>
      </c>
      <c r="G44" s="138">
        <v>1</v>
      </c>
      <c r="H44" s="138"/>
      <c r="I44" s="138"/>
      <c r="J44" s="138"/>
      <c r="K44" s="138"/>
      <c r="L44" s="206"/>
      <c r="M44" s="206"/>
      <c r="N44" s="206"/>
      <c r="O44" s="206"/>
      <c r="P44" s="180">
        <f>IF(Table_Shelter[[#This Row],[Status]]="Open",IF(V44="NO",Table_Shelter[[#This Row],[HH per Shelter]]*(Table_Shelter[[#This Row],['# of Temporary Shelter Units Built]]+Table_Shelter[[#This Row],['# of Temporary Shelter Under  Construction]]+Table_Shelter[[#This Row],['# of Permanent House Under Construction]]),0),0)</f>
        <v>0</v>
      </c>
      <c r="Q44" s="137">
        <v>13</v>
      </c>
      <c r="R44" s="137">
        <v>13</v>
      </c>
      <c r="S44" s="207" t="str">
        <f>IFERROR(VLOOKUP(Table_Shelter[[#This Row],[CampName]],CL,2,0),"")</f>
        <v>MMR001CMP012</v>
      </c>
      <c r="T44" s="207" t="str">
        <f>IFERROR(VLOOKUP(Table_Shelter[[#This Row],[CampName]],CL,3,0),"")</f>
        <v>Open</v>
      </c>
      <c r="U44" s="323">
        <f>IFERROR(Table_Shelter[[#This Row],[HH Covered]]/VLOOKUP(Table_Shelter[[#This Row],[CampName]],CL,4,0),"")</f>
        <v>0</v>
      </c>
      <c r="V44" s="323" t="s">
        <v>1309</v>
      </c>
      <c r="W44" s="208" t="s">
        <v>1340</v>
      </c>
    </row>
    <row r="45" spans="1:118" ht="15" customHeight="1" x14ac:dyDescent="0.25">
      <c r="A45" s="681"/>
      <c r="B45" s="206" t="s">
        <v>453</v>
      </c>
      <c r="C45" s="206"/>
      <c r="D45" s="206" t="s">
        <v>380</v>
      </c>
      <c r="E45" s="406" t="s">
        <v>237</v>
      </c>
      <c r="F45" s="206" t="s">
        <v>243</v>
      </c>
      <c r="G45" s="138">
        <v>1</v>
      </c>
      <c r="H45" s="138"/>
      <c r="I45" s="138"/>
      <c r="J45" s="138">
        <v>3</v>
      </c>
      <c r="K45" s="138">
        <v>3</v>
      </c>
      <c r="L45" s="206"/>
      <c r="M45" s="206"/>
      <c r="N45" s="206"/>
      <c r="O45" s="206"/>
      <c r="P45" s="180">
        <f>IF(Table_Shelter[[#This Row],[Status]]="Open",IF(V45="NO",Table_Shelter[[#This Row],[HH per Shelter]]*(Table_Shelter[[#This Row],['# of Temporary Shelter Units Built]]+Table_Shelter[[#This Row],['# of Temporary Shelter Under  Construction]]+Table_Shelter[[#This Row],['# of Permanent House Under Construction]]),0),0)</f>
        <v>3</v>
      </c>
      <c r="Q45" s="137"/>
      <c r="R45" s="206"/>
      <c r="S45" s="207" t="str">
        <f>IFERROR(VLOOKUP(Table_Shelter[[#This Row],[CampName]],CL,2,0),"")</f>
        <v>MMR001CMP012</v>
      </c>
      <c r="T45" s="207" t="str">
        <f>IFERROR(VLOOKUP(Table_Shelter[[#This Row],[CampName]],CL,3,0),"")</f>
        <v>Open</v>
      </c>
      <c r="U45" s="323">
        <f>IFERROR(Table_Shelter[[#This Row],[HH Covered]]/VLOOKUP(Table_Shelter[[#This Row],[CampName]],CL,4,0),"")</f>
        <v>0.5</v>
      </c>
      <c r="V45" s="323" t="s">
        <v>1309</v>
      </c>
      <c r="W45" s="208"/>
    </row>
    <row r="46" spans="1:118" ht="15" customHeight="1" x14ac:dyDescent="0.25">
      <c r="A46" s="681"/>
      <c r="B46" s="206" t="s">
        <v>453</v>
      </c>
      <c r="C46" s="206"/>
      <c r="D46" s="206" t="s">
        <v>380</v>
      </c>
      <c r="E46" s="406" t="s">
        <v>237</v>
      </c>
      <c r="F46" s="206" t="s">
        <v>245</v>
      </c>
      <c r="G46" s="138">
        <v>1</v>
      </c>
      <c r="H46" s="138"/>
      <c r="I46" s="138"/>
      <c r="J46" s="138">
        <v>6</v>
      </c>
      <c r="K46" s="138">
        <v>6</v>
      </c>
      <c r="L46" s="206"/>
      <c r="M46" s="206"/>
      <c r="N46" s="206"/>
      <c r="O46" s="206"/>
      <c r="P46" s="180">
        <f>IF(Table_Shelter[[#This Row],[Status]]="Open",IF(V46="NO",Table_Shelter[[#This Row],[HH per Shelter]]*(Table_Shelter[[#This Row],['# of Temporary Shelter Units Built]]+Table_Shelter[[#This Row],['# of Temporary Shelter Under  Construction]]+Table_Shelter[[#This Row],['# of Permanent House Under Construction]]),0),0)</f>
        <v>6</v>
      </c>
      <c r="Q46" s="137"/>
      <c r="R46" s="206"/>
      <c r="S46" s="207" t="str">
        <f>IFERROR(VLOOKUP(Table_Shelter[[#This Row],[CampName]],CL,2,0),"")</f>
        <v>MMR001CMP010</v>
      </c>
      <c r="T46" s="207" t="str">
        <f>IFERROR(VLOOKUP(Table_Shelter[[#This Row],[CampName]],CL,3,0),"")</f>
        <v>Open</v>
      </c>
      <c r="U46" s="323">
        <f>IFERROR(Table_Shelter[[#This Row],[HH Covered]]/VLOOKUP(Table_Shelter[[#This Row],[CampName]],CL,4,0),"")</f>
        <v>1</v>
      </c>
      <c r="V46" s="323" t="s">
        <v>1309</v>
      </c>
      <c r="W46" s="208"/>
    </row>
    <row r="47" spans="1:118" s="178" customFormat="1" ht="15" customHeight="1" x14ac:dyDescent="0.25">
      <c r="A47" s="681"/>
      <c r="B47" s="206" t="s">
        <v>453</v>
      </c>
      <c r="C47" s="206"/>
      <c r="D47" s="206" t="s">
        <v>380</v>
      </c>
      <c r="E47" s="406" t="s">
        <v>237</v>
      </c>
      <c r="F47" s="206" t="s">
        <v>247</v>
      </c>
      <c r="G47" s="138">
        <v>1</v>
      </c>
      <c r="H47" s="138"/>
      <c r="I47" s="138"/>
      <c r="J47" s="140">
        <v>3</v>
      </c>
      <c r="K47" s="138">
        <v>3</v>
      </c>
      <c r="L47" s="206"/>
      <c r="M47" s="206"/>
      <c r="N47" s="206"/>
      <c r="O47" s="206"/>
      <c r="P47" s="180">
        <f>IF(Table_Shelter[[#This Row],[Status]]="Open",IF(V47="NO",Table_Shelter[[#This Row],[HH per Shelter]]*(Table_Shelter[[#This Row],['# of Temporary Shelter Units Built]]+Table_Shelter[[#This Row],['# of Temporary Shelter Under  Construction]]+Table_Shelter[[#This Row],['# of Permanent House Under Construction]]),0),0)</f>
        <v>3</v>
      </c>
      <c r="Q47" s="137"/>
      <c r="R47" s="206"/>
      <c r="S47" s="207" t="str">
        <f>IFERROR(VLOOKUP(Table_Shelter[[#This Row],[CampName]],CL,2,0),"")</f>
        <v>MMR001CMP011</v>
      </c>
      <c r="T47" s="207" t="str">
        <f>IFERROR(VLOOKUP(Table_Shelter[[#This Row],[CampName]],CL,3,0),"")</f>
        <v>Open</v>
      </c>
      <c r="U47" s="323">
        <f>IFERROR(Table_Shelter[[#This Row],[HH Covered]]/VLOOKUP(Table_Shelter[[#This Row],[CampName]],CL,4,0),"")</f>
        <v>6.8181818181818177E-2</v>
      </c>
      <c r="V47" s="323" t="s">
        <v>1309</v>
      </c>
      <c r="W47" s="208"/>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row>
    <row r="48" spans="1:118" ht="15" customHeight="1" x14ac:dyDescent="0.25">
      <c r="A48" s="681">
        <v>42416</v>
      </c>
      <c r="B48" s="206" t="s">
        <v>453</v>
      </c>
      <c r="C48" s="206" t="s">
        <v>507</v>
      </c>
      <c r="D48" s="209" t="s">
        <v>380</v>
      </c>
      <c r="E48" s="406" t="s">
        <v>185</v>
      </c>
      <c r="F48" s="206" t="s">
        <v>192</v>
      </c>
      <c r="G48" s="138">
        <v>1</v>
      </c>
      <c r="H48" s="138"/>
      <c r="I48" s="138"/>
      <c r="J48" s="138">
        <v>82</v>
      </c>
      <c r="K48" s="138">
        <v>82</v>
      </c>
      <c r="L48" s="206"/>
      <c r="M48" s="206"/>
      <c r="N48" s="206"/>
      <c r="O48" s="206"/>
      <c r="P48" s="180">
        <f>IF(Table_Shelter[[#This Row],[Status]]="Open",IF(V48="NO",Table_Shelter[[#This Row],[HH per Shelter]]*(Table_Shelter[[#This Row],['# of Temporary Shelter Units Built]]+Table_Shelter[[#This Row],['# of Temporary Shelter Under  Construction]]+Table_Shelter[[#This Row],['# of Permanent House Under Construction]]),0),0)</f>
        <v>82</v>
      </c>
      <c r="Q48" s="137"/>
      <c r="R48" s="206"/>
      <c r="S48" s="207" t="str">
        <f>IFERROR(VLOOKUP(Table_Shelter[[#This Row],[CampName]],CL,2,0),"")</f>
        <v>MMR001CMP123</v>
      </c>
      <c r="T48" s="207" t="str">
        <f>IFERROR(VLOOKUP(Table_Shelter[[#This Row],[CampName]],CL,3,0),"")</f>
        <v>Open</v>
      </c>
      <c r="U48" s="323">
        <f>IFERROR(Table_Shelter[[#This Row],[HH Covered]]/VLOOKUP(Table_Shelter[[#This Row],[CampName]],CL,4,0),"")</f>
        <v>0.7068965517241379</v>
      </c>
      <c r="V48" s="323" t="s">
        <v>1309</v>
      </c>
      <c r="W48" s="208"/>
    </row>
    <row r="49" spans="1:23" ht="15" customHeight="1" x14ac:dyDescent="0.25">
      <c r="A49" s="683">
        <v>42565</v>
      </c>
      <c r="B49" s="206" t="s">
        <v>453</v>
      </c>
      <c r="C49" s="206" t="s">
        <v>507</v>
      </c>
      <c r="D49" s="213" t="s">
        <v>380</v>
      </c>
      <c r="E49" s="406" t="s">
        <v>185</v>
      </c>
      <c r="F49" s="206" t="s">
        <v>192</v>
      </c>
      <c r="G49" s="138">
        <v>1</v>
      </c>
      <c r="H49" s="138"/>
      <c r="I49" s="138"/>
      <c r="J49" s="138">
        <v>42</v>
      </c>
      <c r="K49" s="138">
        <v>42</v>
      </c>
      <c r="L49" s="206"/>
      <c r="M49" s="206"/>
      <c r="N49" s="206"/>
      <c r="O49" s="206"/>
      <c r="P49" s="180">
        <f>IF(Table_Shelter[[#This Row],[Status]]="Open",IF(V49="NO",Table_Shelter[[#This Row],[HH per Shelter]]*(Table_Shelter[[#This Row],['# of Temporary Shelter Units Built]]+Table_Shelter[[#This Row],['# of Temporary Shelter Under  Construction]]+Table_Shelter[[#This Row],['# of Permanent House Under Construction]]),0),0)</f>
        <v>0</v>
      </c>
      <c r="Q49" s="137"/>
      <c r="R49" s="137"/>
      <c r="S49" s="139" t="str">
        <f>IFERROR(VLOOKUP(Table_Shelter[[#This Row],[CampName]],CL,2,0),"")</f>
        <v>MMR001CMP123</v>
      </c>
      <c r="T49" s="139" t="str">
        <f>IFERROR(VLOOKUP(Table_Shelter[[#This Row],[CampName]],CL,3,0),"")</f>
        <v>Open</v>
      </c>
      <c r="U49" s="323">
        <f>IFERROR(Table_Shelter[[#This Row],[HH Covered]]/VLOOKUP(Table_Shelter[[#This Row],[CampName]],CL,4,0),"")</f>
        <v>0</v>
      </c>
      <c r="V49" s="324" t="s">
        <v>1308</v>
      </c>
      <c r="W49" s="139" t="s">
        <v>1442</v>
      </c>
    </row>
    <row r="50" spans="1:23" ht="15" customHeight="1" x14ac:dyDescent="0.25">
      <c r="A50" s="681"/>
      <c r="B50" s="206" t="s">
        <v>453</v>
      </c>
      <c r="C50" s="206" t="s">
        <v>507</v>
      </c>
      <c r="D50" s="209" t="s">
        <v>380</v>
      </c>
      <c r="E50" s="406" t="s">
        <v>185</v>
      </c>
      <c r="F50" s="206" t="s">
        <v>192</v>
      </c>
      <c r="G50" s="138">
        <v>1</v>
      </c>
      <c r="H50" s="138"/>
      <c r="I50" s="138"/>
      <c r="J50" s="138">
        <v>123</v>
      </c>
      <c r="K50" s="138">
        <v>123</v>
      </c>
      <c r="L50" s="206"/>
      <c r="M50" s="206"/>
      <c r="N50" s="206"/>
      <c r="O50" s="206"/>
      <c r="P50" s="180">
        <f>IF(Table_Shelter[[#This Row],[Status]]="Open",IF(V50="NO",Table_Shelter[[#This Row],[HH per Shelter]]*(Table_Shelter[[#This Row],['# of Temporary Shelter Units Built]]+Table_Shelter[[#This Row],['# of Temporary Shelter Under  Construction]]+Table_Shelter[[#This Row],['# of Permanent House Under Construction]]),0),0)</f>
        <v>123</v>
      </c>
      <c r="Q50" s="137"/>
      <c r="R50" s="206"/>
      <c r="S50" s="207" t="str">
        <f>IFERROR(VLOOKUP(Table_Shelter[[#This Row],[CampName]],CL,2,0),"")</f>
        <v>MMR001CMP123</v>
      </c>
      <c r="T50" s="207" t="str">
        <f>IFERROR(VLOOKUP(Table_Shelter[[#This Row],[CampName]],CL,3,0),"")</f>
        <v>Open</v>
      </c>
      <c r="U50" s="323">
        <f>IFERROR(Table_Shelter[[#This Row],[HH Covered]]/VLOOKUP(Table_Shelter[[#This Row],[CampName]],CL,4,0),"")</f>
        <v>1.0603448275862069</v>
      </c>
      <c r="V50" s="323" t="s">
        <v>1309</v>
      </c>
      <c r="W50" s="208"/>
    </row>
    <row r="51" spans="1:23" ht="15" customHeight="1" x14ac:dyDescent="0.25">
      <c r="A51" s="681">
        <v>41809</v>
      </c>
      <c r="B51" s="206" t="s">
        <v>454</v>
      </c>
      <c r="C51" s="206" t="s">
        <v>506</v>
      </c>
      <c r="D51" s="206" t="s">
        <v>380</v>
      </c>
      <c r="E51" s="406" t="s">
        <v>310</v>
      </c>
      <c r="F51" s="206" t="s">
        <v>313</v>
      </c>
      <c r="G51" s="138">
        <v>1</v>
      </c>
      <c r="H51" s="138"/>
      <c r="I51" s="138"/>
      <c r="J51" s="138">
        <v>50</v>
      </c>
      <c r="K51" s="138">
        <v>55</v>
      </c>
      <c r="L51" s="206"/>
      <c r="M51" s="206"/>
      <c r="N51" s="206"/>
      <c r="O51" s="206"/>
      <c r="P51" s="180">
        <f>IF(Table_Shelter[[#This Row],[Status]]="Open",IF(V51="NO",Table_Shelter[[#This Row],[HH per Shelter]]*(Table_Shelter[[#This Row],['# of Temporary Shelter Units Built]]+Table_Shelter[[#This Row],['# of Temporary Shelter Under  Construction]]+Table_Shelter[[#This Row],['# of Permanent House Under Construction]]),0),0)</f>
        <v>55</v>
      </c>
      <c r="Q51" s="137"/>
      <c r="R51" s="206"/>
      <c r="S51" s="207" t="str">
        <f>IFERROR(VLOOKUP(Table_Shelter[[#This Row],[CampName]],CL,2,0),"")</f>
        <v>MMR001CMP028</v>
      </c>
      <c r="T51" s="207" t="str">
        <f>IFERROR(VLOOKUP(Table_Shelter[[#This Row],[CampName]],CL,3,0),"")</f>
        <v>Open</v>
      </c>
      <c r="U51" s="323">
        <f>IFERROR(Table_Shelter[[#This Row],[HH Covered]]/VLOOKUP(Table_Shelter[[#This Row],[CampName]],CL,4,0),"")</f>
        <v>0.55555555555555558</v>
      </c>
      <c r="V51" s="323" t="s">
        <v>1309</v>
      </c>
      <c r="W51" s="208"/>
    </row>
    <row r="52" spans="1:23" ht="15" customHeight="1" x14ac:dyDescent="0.25">
      <c r="A52" s="681">
        <v>41609</v>
      </c>
      <c r="B52" s="206" t="s">
        <v>453</v>
      </c>
      <c r="C52" s="206" t="s">
        <v>506</v>
      </c>
      <c r="D52" s="206" t="s">
        <v>380</v>
      </c>
      <c r="E52" s="406" t="s">
        <v>310</v>
      </c>
      <c r="F52" s="206" t="s">
        <v>313</v>
      </c>
      <c r="G52" s="138">
        <v>1</v>
      </c>
      <c r="H52" s="138"/>
      <c r="I52" s="138"/>
      <c r="J52" s="138">
        <v>5</v>
      </c>
      <c r="K52" s="138">
        <v>5</v>
      </c>
      <c r="L52" s="206"/>
      <c r="M52" s="206"/>
      <c r="N52" s="206"/>
      <c r="O52" s="206"/>
      <c r="P52" s="139">
        <f>IF(Table_Shelter[[#This Row],[Status]]="Open",IF(V52="NO",Table_Shelter[[#This Row],[HH per Shelter]]*(Table_Shelter[[#This Row],['# of Temporary Shelter Units Built]]+Table_Shelter[[#This Row],['# of Temporary Shelter Under  Construction]]+Table_Shelter[[#This Row],['# of Permanent House Under Construction]]),0),0)</f>
        <v>5</v>
      </c>
      <c r="Q52" s="137"/>
      <c r="R52" s="137"/>
      <c r="S52" s="139" t="str">
        <f>IFERROR(VLOOKUP(Table_Shelter[[#This Row],[CampName]],CL,2,0),"")</f>
        <v>MMR001CMP028</v>
      </c>
      <c r="T52" s="139" t="str">
        <f>IFERROR(VLOOKUP(Table_Shelter[[#This Row],[CampName]],CL,3,0),"")</f>
        <v>Open</v>
      </c>
      <c r="U52" s="323">
        <f>IFERROR(Table_Shelter[[#This Row],[HH Covered]]/VLOOKUP(Table_Shelter[[#This Row],[CampName]],CL,4,0),"")</f>
        <v>5.0505050505050504E-2</v>
      </c>
      <c r="V52" s="323" t="s">
        <v>1309</v>
      </c>
      <c r="W52" s="139"/>
    </row>
    <row r="53" spans="1:23" ht="15" customHeight="1" x14ac:dyDescent="0.25">
      <c r="A53" s="681"/>
      <c r="B53" s="206" t="s">
        <v>453</v>
      </c>
      <c r="C53" s="206" t="s">
        <v>506</v>
      </c>
      <c r="D53" s="206" t="s">
        <v>380</v>
      </c>
      <c r="E53" s="406" t="s">
        <v>310</v>
      </c>
      <c r="F53" s="206" t="s">
        <v>313</v>
      </c>
      <c r="G53" s="138">
        <v>1</v>
      </c>
      <c r="H53" s="138"/>
      <c r="I53" s="138"/>
      <c r="J53" s="138">
        <v>45</v>
      </c>
      <c r="K53" s="138">
        <v>45</v>
      </c>
      <c r="L53" s="206"/>
      <c r="M53" s="206"/>
      <c r="N53" s="206"/>
      <c r="O53" s="206"/>
      <c r="P53" s="180">
        <f>IF(Table_Shelter[[#This Row],[Status]]="Open",IF(V53="NO",Table_Shelter[[#This Row],[HH per Shelter]]*(Table_Shelter[[#This Row],['# of Temporary Shelter Units Built]]+Table_Shelter[[#This Row],['# of Temporary Shelter Under  Construction]]+Table_Shelter[[#This Row],['# of Permanent House Under Construction]]),0),0)</f>
        <v>45</v>
      </c>
      <c r="Q53" s="137"/>
      <c r="R53" s="206"/>
      <c r="S53" s="207" t="str">
        <f>IFERROR(VLOOKUP(Table_Shelter[[#This Row],[CampName]],CL,2,0),"")</f>
        <v>MMR001CMP028</v>
      </c>
      <c r="T53" s="207" t="str">
        <f>IFERROR(VLOOKUP(Table_Shelter[[#This Row],[CampName]],CL,3,0),"")</f>
        <v>Open</v>
      </c>
      <c r="U53" s="323">
        <f>IFERROR(Table_Shelter[[#This Row],[HH Covered]]/VLOOKUP(Table_Shelter[[#This Row],[CampName]],CL,4,0),"")</f>
        <v>0.45454545454545453</v>
      </c>
      <c r="V53" s="323" t="s">
        <v>1309</v>
      </c>
      <c r="W53" s="208"/>
    </row>
    <row r="54" spans="1:23" ht="15" customHeight="1" x14ac:dyDescent="0.25">
      <c r="A54" s="684">
        <v>42569</v>
      </c>
      <c r="B54" s="676" t="s">
        <v>570</v>
      </c>
      <c r="C54" s="560" t="s">
        <v>461</v>
      </c>
      <c r="D54" s="561" t="s">
        <v>380</v>
      </c>
      <c r="E54" s="406" t="s">
        <v>310</v>
      </c>
      <c r="F54" s="559" t="s">
        <v>336</v>
      </c>
      <c r="G54" s="559">
        <v>1</v>
      </c>
      <c r="H54" s="560"/>
      <c r="I54" s="560"/>
      <c r="J54" s="560"/>
      <c r="K54" s="560"/>
      <c r="L54" s="560"/>
      <c r="M54" s="560"/>
      <c r="N54" s="560"/>
      <c r="O54" s="560"/>
      <c r="P54" s="562">
        <f>IF(Table_Shelter[[#This Row],[Status]]="Open",IF(V54="NO",Table_Shelter[[#This Row],[HH per Shelter]]*(Table_Shelter[[#This Row],['# of Temporary Shelter Units Built]]+Table_Shelter[[#This Row],['# of Temporary Shelter Under  Construction]]+Table_Shelter[[#This Row],['# of Permanent House Under Construction]]),0),0)</f>
        <v>0</v>
      </c>
      <c r="Q54" s="562">
        <v>18</v>
      </c>
      <c r="R54" s="562">
        <v>18</v>
      </c>
      <c r="S54" s="563" t="str">
        <f>IFERROR(VLOOKUP(Table_Shelter[[#This Row],[CampName]],CL,2,0),"")</f>
        <v>MMR001CMP115</v>
      </c>
      <c r="T54" s="564" t="str">
        <f>IFERROR(VLOOKUP(Table_Shelter[[#This Row],[CampName]],CL,3,0),"")</f>
        <v>Open</v>
      </c>
      <c r="U54" s="565">
        <f>IFERROR(Table_Shelter[[#This Row],[HH Covered]]/VLOOKUP(Table_Shelter[[#This Row],[CampName]],CL,4,0),"")</f>
        <v>0</v>
      </c>
      <c r="V54" s="324" t="s">
        <v>1309</v>
      </c>
      <c r="W54" s="562"/>
    </row>
    <row r="55" spans="1:23" ht="15" customHeight="1" x14ac:dyDescent="0.25">
      <c r="A55" s="681"/>
      <c r="B55" s="206" t="s">
        <v>454</v>
      </c>
      <c r="C55" s="206" t="s">
        <v>506</v>
      </c>
      <c r="D55" s="206" t="s">
        <v>380</v>
      </c>
      <c r="E55" s="406" t="s">
        <v>310</v>
      </c>
      <c r="F55" s="206" t="s">
        <v>336</v>
      </c>
      <c r="G55" s="138">
        <v>1</v>
      </c>
      <c r="H55" s="138"/>
      <c r="I55" s="138"/>
      <c r="J55" s="138">
        <v>100</v>
      </c>
      <c r="K55" s="138">
        <v>100</v>
      </c>
      <c r="L55" s="206"/>
      <c r="M55" s="206"/>
      <c r="N55" s="206"/>
      <c r="O55" s="206"/>
      <c r="P55" s="180">
        <f>IF(Table_Shelter[[#This Row],[Status]]="Open",IF(V55="NO",Table_Shelter[[#This Row],[HH per Shelter]]*(Table_Shelter[[#This Row],['# of Temporary Shelter Units Built]]+Table_Shelter[[#This Row],['# of Temporary Shelter Under  Construction]]+Table_Shelter[[#This Row],['# of Permanent House Under Construction]]),0),0)</f>
        <v>100</v>
      </c>
      <c r="Q55" s="137"/>
      <c r="R55" s="206"/>
      <c r="S55" s="207" t="str">
        <f>IFERROR(VLOOKUP(Table_Shelter[[#This Row],[CampName]],CL,2,0),"")</f>
        <v>MMR001CMP115</v>
      </c>
      <c r="T55" s="207" t="str">
        <f>IFERROR(VLOOKUP(Table_Shelter[[#This Row],[CampName]],CL,3,0),"")</f>
        <v>Open</v>
      </c>
      <c r="U55" s="323">
        <f>IFERROR(Table_Shelter[[#This Row],[HH Covered]]/VLOOKUP(Table_Shelter[[#This Row],[CampName]],CL,4,0),"")</f>
        <v>0.68493150684931503</v>
      </c>
      <c r="V55" s="323" t="s">
        <v>1309</v>
      </c>
      <c r="W55" s="208"/>
    </row>
    <row r="56" spans="1:23" ht="16.149999999999999" customHeight="1" x14ac:dyDescent="0.25">
      <c r="A56" s="682">
        <v>41609</v>
      </c>
      <c r="B56" s="138" t="s">
        <v>453</v>
      </c>
      <c r="C56" s="138" t="s">
        <v>506</v>
      </c>
      <c r="D56" s="213" t="s">
        <v>380</v>
      </c>
      <c r="E56" s="214" t="s">
        <v>528</v>
      </c>
      <c r="F56" s="138" t="s">
        <v>44</v>
      </c>
      <c r="G56" s="138">
        <v>1</v>
      </c>
      <c r="H56" s="140"/>
      <c r="I56" s="140"/>
      <c r="J56" s="140">
        <v>10</v>
      </c>
      <c r="K56" s="140">
        <v>10</v>
      </c>
      <c r="L56" s="140"/>
      <c r="M56" s="140"/>
      <c r="N56" s="140"/>
      <c r="O56" s="140"/>
      <c r="P56" s="139">
        <f>IF(Table_Shelter[[#This Row],[Status]]="Open",IF(V56="NO",Table_Shelter[[#This Row],[HH per Shelter]]*(Table_Shelter[[#This Row],['# of Temporary Shelter Units Built]]+Table_Shelter[[#This Row],['# of Temporary Shelter Under  Construction]]+Table_Shelter[[#This Row],['# of Permanent House Under Construction]]),0),0)</f>
        <v>10</v>
      </c>
      <c r="Q56" s="139"/>
      <c r="R56" s="139"/>
      <c r="S56" s="139" t="str">
        <f>IFERROR(VLOOKUP(Table_Shelter[[#This Row],[CampName]],CL,2,0),"")</f>
        <v>MMR001CMP191</v>
      </c>
      <c r="T56" s="139" t="str">
        <f>IFERROR(VLOOKUP(Table_Shelter[[#This Row],[CampName]],CL,3,0),"")</f>
        <v>Open</v>
      </c>
      <c r="U56" s="324">
        <f>IFERROR(Table_Shelter[[#This Row],[HH Covered]]/VLOOKUP(Table_Shelter[[#This Row],[CampName]],CL,4,0),"")</f>
        <v>1.25</v>
      </c>
      <c r="V56" s="323" t="s">
        <v>1309</v>
      </c>
      <c r="W56" s="139"/>
    </row>
    <row r="57" spans="1:23" ht="15" customHeight="1" x14ac:dyDescent="0.25">
      <c r="A57" s="681"/>
      <c r="B57" s="206" t="s">
        <v>863</v>
      </c>
      <c r="C57" s="206"/>
      <c r="D57" s="206" t="s">
        <v>380</v>
      </c>
      <c r="E57" s="406" t="s">
        <v>528</v>
      </c>
      <c r="F57" s="206" t="s">
        <v>44</v>
      </c>
      <c r="G57" s="138">
        <v>1</v>
      </c>
      <c r="H57" s="138">
        <v>20</v>
      </c>
      <c r="I57" s="138">
        <v>20</v>
      </c>
      <c r="J57" s="138"/>
      <c r="K57" s="138"/>
      <c r="L57" s="206"/>
      <c r="M57" s="206"/>
      <c r="N57" s="206"/>
      <c r="O57" s="206"/>
      <c r="P57" s="180">
        <f>IF(Table_Shelter[[#This Row],[Status]]="Open",IF(V57="NO",Table_Shelter[[#This Row],[HH per Shelter]]*(Table_Shelter[[#This Row],['# of Temporary Shelter Units Built]]+Table_Shelter[[#This Row],['# of Temporary Shelter Under  Construction]]+Table_Shelter[[#This Row],['# of Permanent House Under Construction]]),0),0)</f>
        <v>0</v>
      </c>
      <c r="Q57" s="137"/>
      <c r="R57" s="206"/>
      <c r="S57" s="207" t="str">
        <f>IFERROR(VLOOKUP(Table_Shelter[[#This Row],[CampName]],CL,2,0),"")</f>
        <v>MMR001CMP191</v>
      </c>
      <c r="T57" s="207" t="str">
        <f>IFERROR(VLOOKUP(Table_Shelter[[#This Row],[CampName]],CL,3,0),"")</f>
        <v>Open</v>
      </c>
      <c r="U57" s="323">
        <f>IFERROR(Table_Shelter[[#This Row],[HH Covered]]/VLOOKUP(Table_Shelter[[#This Row],[CampName]],CL,4,0),"")</f>
        <v>0</v>
      </c>
      <c r="V57" s="323" t="s">
        <v>1309</v>
      </c>
      <c r="W57" s="208"/>
    </row>
    <row r="58" spans="1:23" ht="15" customHeight="1" x14ac:dyDescent="0.25">
      <c r="A58" s="681"/>
      <c r="B58" s="206" t="s">
        <v>453</v>
      </c>
      <c r="C58" s="206" t="s">
        <v>506</v>
      </c>
      <c r="D58" s="209" t="s">
        <v>380</v>
      </c>
      <c r="E58" s="406" t="s">
        <v>528</v>
      </c>
      <c r="F58" s="206" t="s">
        <v>44</v>
      </c>
      <c r="G58" s="138">
        <v>1</v>
      </c>
      <c r="H58" s="138"/>
      <c r="I58" s="138"/>
      <c r="J58" s="138">
        <v>5</v>
      </c>
      <c r="K58" s="138">
        <v>5</v>
      </c>
      <c r="L58" s="206"/>
      <c r="M58" s="206"/>
      <c r="N58" s="206"/>
      <c r="O58" s="206"/>
      <c r="P58" s="180">
        <f>IF(Table_Shelter[[#This Row],[Status]]="Open",IF(V58="NO",Table_Shelter[[#This Row],[HH per Shelter]]*(Table_Shelter[[#This Row],['# of Temporary Shelter Units Built]]+Table_Shelter[[#This Row],['# of Temporary Shelter Under  Construction]]+Table_Shelter[[#This Row],['# of Permanent House Under Construction]]),0),0)</f>
        <v>5</v>
      </c>
      <c r="Q58" s="137"/>
      <c r="R58" s="206"/>
      <c r="S58" s="207" t="str">
        <f>IFERROR(VLOOKUP(Table_Shelter[[#This Row],[CampName]],CL,2,0),"")</f>
        <v>MMR001CMP191</v>
      </c>
      <c r="T58" s="207" t="str">
        <f>IFERROR(VLOOKUP(Table_Shelter[[#This Row],[CampName]],CL,3,0),"")</f>
        <v>Open</v>
      </c>
      <c r="U58" s="323">
        <f>IFERROR(Table_Shelter[[#This Row],[HH Covered]]/VLOOKUP(Table_Shelter[[#This Row],[CampName]],CL,4,0),"")</f>
        <v>0.625</v>
      </c>
      <c r="V58" s="323" t="s">
        <v>1309</v>
      </c>
      <c r="W58" s="208"/>
    </row>
    <row r="59" spans="1:23" ht="15" customHeight="1" x14ac:dyDescent="0.25">
      <c r="A59" s="682"/>
      <c r="B59" s="208" t="s">
        <v>453</v>
      </c>
      <c r="C59" s="208" t="s">
        <v>461</v>
      </c>
      <c r="D59" s="208" t="s">
        <v>554</v>
      </c>
      <c r="E59" s="212" t="s">
        <v>166</v>
      </c>
      <c r="F59" s="208" t="s">
        <v>169</v>
      </c>
      <c r="G59" s="140">
        <v>1</v>
      </c>
      <c r="H59" s="140"/>
      <c r="I59" s="140"/>
      <c r="J59" s="140">
        <v>10</v>
      </c>
      <c r="K59" s="140">
        <v>10</v>
      </c>
      <c r="L59" s="208"/>
      <c r="M59" s="208"/>
      <c r="N59" s="208"/>
      <c r="O59" s="208"/>
      <c r="P59" s="180">
        <f>IF(Table_Shelter[[#This Row],[Status]]="Open",IF(V59="NO",Table_Shelter[[#This Row],[HH per Shelter]]*(Table_Shelter[[#This Row],['# of Temporary Shelter Units Built]]+Table_Shelter[[#This Row],['# of Temporary Shelter Under  Construction]]+Table_Shelter[[#This Row],['# of Permanent House Under Construction]]),0),0)</f>
        <v>10</v>
      </c>
      <c r="Q59" s="139"/>
      <c r="R59" s="208"/>
      <c r="S59" s="207" t="str">
        <f>IFERROR(VLOOKUP(Table_Shelter[[#This Row],[CampName]],CL,2,0),"")</f>
        <v>MMR015CMP010</v>
      </c>
      <c r="T59" s="207" t="str">
        <f>IFERROR(VLOOKUP(Table_Shelter[[#This Row],[CampName]],CL,3,0),"")</f>
        <v>Open</v>
      </c>
      <c r="U59" s="323">
        <f>IFERROR(Table_Shelter[[#This Row],[HH Covered]]/VLOOKUP(Table_Shelter[[#This Row],[CampName]],CL,4,0),"")</f>
        <v>0.3125</v>
      </c>
      <c r="V59" s="323" t="s">
        <v>1309</v>
      </c>
      <c r="W59" s="208"/>
    </row>
    <row r="60" spans="1:23" ht="15" customHeight="1" x14ac:dyDescent="0.25">
      <c r="A60" s="685">
        <v>42569</v>
      </c>
      <c r="B60" s="676" t="s">
        <v>570</v>
      </c>
      <c r="C60" s="560" t="s">
        <v>461</v>
      </c>
      <c r="D60" s="561" t="s">
        <v>380</v>
      </c>
      <c r="E60" s="406" t="s">
        <v>27</v>
      </c>
      <c r="F60" s="559" t="s">
        <v>364</v>
      </c>
      <c r="G60" s="559">
        <v>1</v>
      </c>
      <c r="H60" s="560"/>
      <c r="I60" s="560"/>
      <c r="J60" s="560"/>
      <c r="K60" s="560"/>
      <c r="L60" s="560"/>
      <c r="M60" s="560"/>
      <c r="N60" s="560"/>
      <c r="O60" s="560"/>
      <c r="P60" s="562">
        <f>IF(Table_Shelter[[#This Row],[Status]]="Open",IF(V60="NO",Table_Shelter[[#This Row],[HH per Shelter]]*(Table_Shelter[[#This Row],['# of Temporary Shelter Units Built]]+Table_Shelter[[#This Row],['# of Temporary Shelter Under  Construction]]+Table_Shelter[[#This Row],['# of Permanent House Under Construction]]),0),0)</f>
        <v>0</v>
      </c>
      <c r="Q60" s="562">
        <v>51</v>
      </c>
      <c r="R60" s="562">
        <v>51</v>
      </c>
      <c r="S60" s="563" t="str">
        <f>IFERROR(VLOOKUP(Table_Shelter[[#This Row],[CampName]],CL,2,0),"")</f>
        <v>MMR001CMP043</v>
      </c>
      <c r="T60" s="564" t="str">
        <f>IFERROR(VLOOKUP(Table_Shelter[[#This Row],[CampName]],CL,3,0),"")</f>
        <v>Open</v>
      </c>
      <c r="U60" s="565">
        <f>IFERROR(Table_Shelter[[#This Row],[HH Covered]]/VLOOKUP(Table_Shelter[[#This Row],[CampName]],CL,4,0),"")</f>
        <v>0</v>
      </c>
      <c r="V60" s="324" t="s">
        <v>1309</v>
      </c>
      <c r="W60" s="562"/>
    </row>
    <row r="61" spans="1:23" ht="15" customHeight="1" x14ac:dyDescent="0.25">
      <c r="A61" s="682">
        <v>42416</v>
      </c>
      <c r="B61" s="207" t="s">
        <v>453</v>
      </c>
      <c r="C61" s="206" t="s">
        <v>507</v>
      </c>
      <c r="D61" s="206" t="s">
        <v>380</v>
      </c>
      <c r="E61" s="406" t="s">
        <v>185</v>
      </c>
      <c r="F61" s="206" t="s">
        <v>194</v>
      </c>
      <c r="G61" s="138">
        <v>1</v>
      </c>
      <c r="H61" s="138"/>
      <c r="I61" s="138"/>
      <c r="J61" s="138"/>
      <c r="K61" s="138"/>
      <c r="L61" s="206"/>
      <c r="M61" s="206"/>
      <c r="N61" s="206"/>
      <c r="O61" s="206"/>
      <c r="P61" s="180">
        <f>IF(Table_Shelter[[#This Row],[Status]]="Open",IF(V61="NO",Table_Shelter[[#This Row],[HH per Shelter]]*(Table_Shelter[[#This Row],['# of Temporary Shelter Units Built]]+Table_Shelter[[#This Row],['# of Temporary Shelter Under  Construction]]+Table_Shelter[[#This Row],['# of Permanent House Under Construction]]),0),0)</f>
        <v>0</v>
      </c>
      <c r="Q61" s="137">
        <v>338</v>
      </c>
      <c r="R61" s="137">
        <v>338</v>
      </c>
      <c r="S61" s="207" t="str">
        <f>IFERROR(VLOOKUP(Table_Shelter[[#This Row],[CampName]],CL,2,0),"")</f>
        <v>MMR001CMP122</v>
      </c>
      <c r="T61" s="207" t="str">
        <f>IFERROR(VLOOKUP(Table_Shelter[[#This Row],[CampName]],CL,3,0),"")</f>
        <v>Open</v>
      </c>
      <c r="U61" s="323">
        <f>IFERROR(Table_Shelter[[#This Row],[HH Covered]]/VLOOKUP(Table_Shelter[[#This Row],[CampName]],CL,4,0),"")</f>
        <v>0</v>
      </c>
      <c r="V61" s="323" t="s">
        <v>1309</v>
      </c>
      <c r="W61" s="208"/>
    </row>
    <row r="62" spans="1:23" ht="15" customHeight="1" x14ac:dyDescent="0.25">
      <c r="A62" s="682">
        <v>41974</v>
      </c>
      <c r="B62" s="208" t="s">
        <v>453</v>
      </c>
      <c r="C62" s="208" t="s">
        <v>507</v>
      </c>
      <c r="D62" s="208" t="s">
        <v>380</v>
      </c>
      <c r="E62" s="212" t="s">
        <v>185</v>
      </c>
      <c r="F62" s="208" t="s">
        <v>194</v>
      </c>
      <c r="G62" s="140">
        <v>1</v>
      </c>
      <c r="H62" s="140"/>
      <c r="I62" s="140"/>
      <c r="J62" s="140">
        <v>280</v>
      </c>
      <c r="K62" s="140">
        <v>280</v>
      </c>
      <c r="L62" s="208"/>
      <c r="M62" s="208"/>
      <c r="N62" s="208"/>
      <c r="O62" s="208"/>
      <c r="P62" s="180">
        <f>IF(Table_Shelter[[#This Row],[Status]]="Open",IF(V62="NO",Table_Shelter[[#This Row],[HH per Shelter]]*(Table_Shelter[[#This Row],['# of Temporary Shelter Units Built]]+Table_Shelter[[#This Row],['# of Temporary Shelter Under  Construction]]+Table_Shelter[[#This Row],['# of Permanent House Under Construction]]),0),0)</f>
        <v>280</v>
      </c>
      <c r="Q62" s="139"/>
      <c r="R62" s="208"/>
      <c r="S62" s="207" t="str">
        <f>IFERROR(VLOOKUP(Table_Shelter[[#This Row],[CampName]],CL,2,0),"")</f>
        <v>MMR001CMP122</v>
      </c>
      <c r="T62" s="207" t="str">
        <f>IFERROR(VLOOKUP(Table_Shelter[[#This Row],[CampName]],CL,3,0),"")</f>
        <v>Open</v>
      </c>
      <c r="U62" s="323">
        <f>IFERROR(Table_Shelter[[#This Row],[HH Covered]]/VLOOKUP(Table_Shelter[[#This Row],[CampName]],CL,4,0),"")</f>
        <v>0.46357615894039733</v>
      </c>
      <c r="V62" s="323" t="s">
        <v>1309</v>
      </c>
      <c r="W62" s="208"/>
    </row>
    <row r="63" spans="1:23" ht="15" customHeight="1" x14ac:dyDescent="0.25">
      <c r="A63" s="681"/>
      <c r="B63" s="206" t="s">
        <v>454</v>
      </c>
      <c r="C63" s="206" t="s">
        <v>507</v>
      </c>
      <c r="D63" s="209" t="s">
        <v>380</v>
      </c>
      <c r="E63" s="406" t="s">
        <v>185</v>
      </c>
      <c r="F63" s="206" t="s">
        <v>194</v>
      </c>
      <c r="G63" s="138">
        <v>1</v>
      </c>
      <c r="H63" s="138"/>
      <c r="I63" s="138"/>
      <c r="J63" s="138">
        <v>338</v>
      </c>
      <c r="K63" s="138">
        <v>338</v>
      </c>
      <c r="L63" s="206"/>
      <c r="M63" s="206"/>
      <c r="N63" s="206"/>
      <c r="O63" s="206"/>
      <c r="P63" s="180">
        <f>IF(Table_Shelter[[#This Row],[Status]]="Open",IF(V63="NO",Table_Shelter[[#This Row],[HH per Shelter]]*(Table_Shelter[[#This Row],['# of Temporary Shelter Units Built]]+Table_Shelter[[#This Row],['# of Temporary Shelter Under  Construction]]+Table_Shelter[[#This Row],['# of Permanent House Under Construction]]),0),0)</f>
        <v>338</v>
      </c>
      <c r="Q63" s="137"/>
      <c r="R63" s="206"/>
      <c r="S63" s="207" t="str">
        <f>IFERROR(VLOOKUP(Table_Shelter[[#This Row],[CampName]],CL,2,0),"")</f>
        <v>MMR001CMP122</v>
      </c>
      <c r="T63" s="207" t="str">
        <f>IFERROR(VLOOKUP(Table_Shelter[[#This Row],[CampName]],CL,3,0),"")</f>
        <v>Open</v>
      </c>
      <c r="U63" s="323">
        <f>IFERROR(Table_Shelter[[#This Row],[HH Covered]]/VLOOKUP(Table_Shelter[[#This Row],[CampName]],CL,4,0),"")</f>
        <v>0.55960264900662249</v>
      </c>
      <c r="V63" s="323" t="s">
        <v>1309</v>
      </c>
      <c r="W63" s="208"/>
    </row>
    <row r="64" spans="1:23" ht="15" customHeight="1" x14ac:dyDescent="0.25">
      <c r="A64" s="681"/>
      <c r="B64" s="206" t="s">
        <v>847</v>
      </c>
      <c r="C64" s="206"/>
      <c r="D64" s="206" t="s">
        <v>380</v>
      </c>
      <c r="E64" s="406" t="s">
        <v>5</v>
      </c>
      <c r="F64" s="206" t="s">
        <v>14</v>
      </c>
      <c r="G64" s="138">
        <v>1</v>
      </c>
      <c r="H64" s="138"/>
      <c r="I64" s="138"/>
      <c r="J64" s="138">
        <v>38</v>
      </c>
      <c r="K64" s="138">
        <v>38</v>
      </c>
      <c r="L64" s="206"/>
      <c r="M64" s="206"/>
      <c r="N64" s="206"/>
      <c r="O64" s="206"/>
      <c r="P64" s="180">
        <f>IF(Table_Shelter[[#This Row],[Status]]="Open",IF(V64="NO",Table_Shelter[[#This Row],[HH per Shelter]]*(Table_Shelter[[#This Row],['# of Temporary Shelter Units Built]]+Table_Shelter[[#This Row],['# of Temporary Shelter Under  Construction]]+Table_Shelter[[#This Row],['# of Permanent House Under Construction]]),0),0)</f>
        <v>38</v>
      </c>
      <c r="Q64" s="137"/>
      <c r="R64" s="206"/>
      <c r="S64" s="207" t="str">
        <f>IFERROR(VLOOKUP(Table_Shelter[[#This Row],[CampName]],CL,2,0),"")</f>
        <v>MMR001CMP052</v>
      </c>
      <c r="T64" s="207" t="str">
        <f>IFERROR(VLOOKUP(Table_Shelter[[#This Row],[CampName]],CL,3,0),"")</f>
        <v>Open</v>
      </c>
      <c r="U64" s="323">
        <f>IFERROR(Table_Shelter[[#This Row],[HH Covered]]/VLOOKUP(Table_Shelter[[#This Row],[CampName]],CL,4,0),"")</f>
        <v>0.97435897435897434</v>
      </c>
      <c r="V64" s="323" t="s">
        <v>1309</v>
      </c>
      <c r="W64" s="208"/>
    </row>
    <row r="65" spans="1:23" ht="15" customHeight="1" x14ac:dyDescent="0.25">
      <c r="A65" s="681"/>
      <c r="B65" s="206" t="s">
        <v>453</v>
      </c>
      <c r="C65" s="206"/>
      <c r="D65" s="206" t="s">
        <v>380</v>
      </c>
      <c r="E65" s="406" t="s">
        <v>5</v>
      </c>
      <c r="F65" s="206" t="s">
        <v>14</v>
      </c>
      <c r="G65" s="138">
        <v>1</v>
      </c>
      <c r="H65" s="138"/>
      <c r="I65" s="138"/>
      <c r="J65" s="138">
        <v>5</v>
      </c>
      <c r="K65" s="138"/>
      <c r="L65" s="206"/>
      <c r="M65" s="206"/>
      <c r="N65" s="206"/>
      <c r="O65" s="206"/>
      <c r="P65" s="180">
        <f>IF(Table_Shelter[[#This Row],[Status]]="Open",IF(V65="NO",Table_Shelter[[#This Row],[HH per Shelter]]*(Table_Shelter[[#This Row],['# of Temporary Shelter Units Built]]+Table_Shelter[[#This Row],['# of Temporary Shelter Under  Construction]]+Table_Shelter[[#This Row],['# of Permanent House Under Construction]]),0),0)</f>
        <v>0</v>
      </c>
      <c r="Q65" s="137"/>
      <c r="R65" s="206"/>
      <c r="S65" s="207" t="str">
        <f>IFERROR(VLOOKUP(Table_Shelter[[#This Row],[CampName]],CL,2,0),"")</f>
        <v>MMR001CMP052</v>
      </c>
      <c r="T65" s="207" t="str">
        <f>IFERROR(VLOOKUP(Table_Shelter[[#This Row],[CampName]],CL,3,0),"")</f>
        <v>Open</v>
      </c>
      <c r="U65" s="323">
        <f>IFERROR(Table_Shelter[[#This Row],[HH Covered]]/VLOOKUP(Table_Shelter[[#This Row],[CampName]],CL,4,0),"")</f>
        <v>0</v>
      </c>
      <c r="V65" s="323" t="s">
        <v>1309</v>
      </c>
      <c r="W65" s="208"/>
    </row>
    <row r="66" spans="1:23" ht="15" customHeight="1" x14ac:dyDescent="0.25">
      <c r="A66" s="685">
        <v>42502</v>
      </c>
      <c r="B66" s="559" t="s">
        <v>453</v>
      </c>
      <c r="C66" s="560" t="s">
        <v>461</v>
      </c>
      <c r="D66" s="561" t="s">
        <v>380</v>
      </c>
      <c r="E66" s="406" t="s">
        <v>237</v>
      </c>
      <c r="F66" s="559" t="s">
        <v>253</v>
      </c>
      <c r="G66" s="559">
        <v>1</v>
      </c>
      <c r="H66" s="560"/>
      <c r="I66" s="560"/>
      <c r="J66" s="560"/>
      <c r="K66" s="560"/>
      <c r="L66" s="560"/>
      <c r="M66" s="560"/>
      <c r="N66" s="560"/>
      <c r="O66" s="560"/>
      <c r="P66" s="562">
        <f>IF(Table_Shelter[[#This Row],[Status]]="Open",IF(V66="NO",Table_Shelter[[#This Row],[HH per Shelter]]*(Table_Shelter[[#This Row],['# of Temporary Shelter Units Built]]+Table_Shelter[[#This Row],['# of Temporary Shelter Under  Construction]]+Table_Shelter[[#This Row],['# of Permanent House Under Construction]]),0),0)</f>
        <v>0</v>
      </c>
      <c r="Q66" s="562">
        <v>10</v>
      </c>
      <c r="R66" s="562"/>
      <c r="S66" s="563" t="str">
        <f>IFERROR(VLOOKUP(Table_Shelter[[#This Row],[CampName]],CL,2,0),"")</f>
        <v>MMR001CMP018</v>
      </c>
      <c r="T66" s="564" t="str">
        <f>IFERROR(VLOOKUP(Table_Shelter[[#This Row],[CampName]],CL,3,0),"")</f>
        <v>Open</v>
      </c>
      <c r="U66" s="565">
        <f>IFERROR(Table_Shelter[[#This Row],[HH Covered]]/VLOOKUP(Table_Shelter[[#This Row],[CampName]],CL,4,0),"")</f>
        <v>0</v>
      </c>
      <c r="V66" s="324" t="s">
        <v>1309</v>
      </c>
      <c r="W66" s="562"/>
    </row>
    <row r="67" spans="1:23" ht="15" customHeight="1" x14ac:dyDescent="0.25">
      <c r="A67" s="681">
        <v>41609</v>
      </c>
      <c r="B67" s="206" t="s">
        <v>453</v>
      </c>
      <c r="C67" s="206" t="s">
        <v>461</v>
      </c>
      <c r="D67" s="206" t="s">
        <v>380</v>
      </c>
      <c r="E67" s="406" t="s">
        <v>237</v>
      </c>
      <c r="F67" s="206" t="s">
        <v>253</v>
      </c>
      <c r="G67" s="138">
        <v>1</v>
      </c>
      <c r="H67" s="138"/>
      <c r="I67" s="138"/>
      <c r="J67" s="138">
        <v>30</v>
      </c>
      <c r="K67" s="138">
        <v>30</v>
      </c>
      <c r="L67" s="206"/>
      <c r="M67" s="206"/>
      <c r="N67" s="206"/>
      <c r="O67" s="206"/>
      <c r="P67" s="180">
        <f>IF(Table_Shelter[[#This Row],[Status]]="Open",IF(V67="NO",Table_Shelter[[#This Row],[HH per Shelter]]*(Table_Shelter[[#This Row],['# of Temporary Shelter Units Built]]+Table_Shelter[[#This Row],['# of Temporary Shelter Under  Construction]]+Table_Shelter[[#This Row],['# of Permanent House Under Construction]]),0),0)</f>
        <v>30</v>
      </c>
      <c r="Q67" s="137"/>
      <c r="R67" s="206"/>
      <c r="S67" s="207" t="str">
        <f>IFERROR(VLOOKUP(Table_Shelter[[#This Row],[CampName]],CL,2,0),"")</f>
        <v>MMR001CMP018</v>
      </c>
      <c r="T67" s="207" t="str">
        <f>IFERROR(VLOOKUP(Table_Shelter[[#This Row],[CampName]],CL,3,0),"")</f>
        <v>Open</v>
      </c>
      <c r="U67" s="323">
        <f>IFERROR(Table_Shelter[[#This Row],[HH Covered]]/VLOOKUP(Table_Shelter[[#This Row],[CampName]],CL,4,0),"")</f>
        <v>0.15151515151515152</v>
      </c>
      <c r="V67" s="323" t="s">
        <v>1309</v>
      </c>
      <c r="W67" s="208"/>
    </row>
    <row r="68" spans="1:23" ht="15" customHeight="1" x14ac:dyDescent="0.25">
      <c r="A68" s="681"/>
      <c r="B68" s="206" t="s">
        <v>848</v>
      </c>
      <c r="C68" s="206" t="s">
        <v>507</v>
      </c>
      <c r="D68" s="206" t="s">
        <v>380</v>
      </c>
      <c r="E68" s="406" t="s">
        <v>237</v>
      </c>
      <c r="F68" s="206" t="s">
        <v>253</v>
      </c>
      <c r="G68" s="138">
        <v>1</v>
      </c>
      <c r="H68" s="138"/>
      <c r="I68" s="138"/>
      <c r="J68" s="138">
        <v>20</v>
      </c>
      <c r="K68" s="138">
        <v>20</v>
      </c>
      <c r="L68" s="206"/>
      <c r="M68" s="206"/>
      <c r="N68" s="206"/>
      <c r="O68" s="206"/>
      <c r="P68" s="180">
        <f>IF(Table_Shelter[[#This Row],[Status]]="Open",IF(V68="NO",Table_Shelter[[#This Row],[HH per Shelter]]*(Table_Shelter[[#This Row],['# of Temporary Shelter Units Built]]+Table_Shelter[[#This Row],['# of Temporary Shelter Under  Construction]]+Table_Shelter[[#This Row],['# of Permanent House Under Construction]]),0),0)</f>
        <v>20</v>
      </c>
      <c r="Q68" s="137"/>
      <c r="R68" s="206"/>
      <c r="S68" s="207" t="str">
        <f>IFERROR(VLOOKUP(Table_Shelter[[#This Row],[CampName]],CL,2,0),"")</f>
        <v>MMR001CMP018</v>
      </c>
      <c r="T68" s="207" t="str">
        <f>IFERROR(VLOOKUP(Table_Shelter[[#This Row],[CampName]],CL,3,0),"")</f>
        <v>Open</v>
      </c>
      <c r="U68" s="323">
        <f>IFERROR(Table_Shelter[[#This Row],[HH Covered]]/VLOOKUP(Table_Shelter[[#This Row],[CampName]],CL,4,0),"")</f>
        <v>0.10101010101010101</v>
      </c>
      <c r="V68" s="323" t="s">
        <v>1309</v>
      </c>
      <c r="W68" s="208"/>
    </row>
    <row r="69" spans="1:23" ht="15" customHeight="1" x14ac:dyDescent="0.25">
      <c r="A69" s="681"/>
      <c r="B69" s="206" t="s">
        <v>571</v>
      </c>
      <c r="C69" s="206" t="s">
        <v>461</v>
      </c>
      <c r="D69" s="209" t="s">
        <v>380</v>
      </c>
      <c r="E69" s="406" t="s">
        <v>237</v>
      </c>
      <c r="F69" s="206" t="s">
        <v>253</v>
      </c>
      <c r="G69" s="138">
        <v>1</v>
      </c>
      <c r="H69" s="138"/>
      <c r="I69" s="138"/>
      <c r="J69" s="138">
        <v>60</v>
      </c>
      <c r="K69" s="138">
        <v>60</v>
      </c>
      <c r="L69" s="206"/>
      <c r="M69" s="206"/>
      <c r="N69" s="206"/>
      <c r="O69" s="206"/>
      <c r="P69" s="180">
        <f>IF(Table_Shelter[[#This Row],[Status]]="Open",IF(V69="NO",Table_Shelter[[#This Row],[HH per Shelter]]*(Table_Shelter[[#This Row],['# of Temporary Shelter Units Built]]+Table_Shelter[[#This Row],['# of Temporary Shelter Under  Construction]]+Table_Shelter[[#This Row],['# of Permanent House Under Construction]]),0),0)</f>
        <v>60</v>
      </c>
      <c r="Q69" s="137"/>
      <c r="R69" s="206"/>
      <c r="S69" s="207" t="str">
        <f>IFERROR(VLOOKUP(Table_Shelter[[#This Row],[CampName]],CL,2,0),"")</f>
        <v>MMR001CMP018</v>
      </c>
      <c r="T69" s="207" t="str">
        <f>IFERROR(VLOOKUP(Table_Shelter[[#This Row],[CampName]],CL,3,0),"")</f>
        <v>Open</v>
      </c>
      <c r="U69" s="323">
        <f>IFERROR(Table_Shelter[[#This Row],[HH Covered]]/VLOOKUP(Table_Shelter[[#This Row],[CampName]],CL,4,0),"")</f>
        <v>0.30303030303030304</v>
      </c>
      <c r="V69" s="323" t="s">
        <v>1309</v>
      </c>
      <c r="W69" s="208"/>
    </row>
    <row r="70" spans="1:23" ht="15" customHeight="1" x14ac:dyDescent="0.25">
      <c r="A70" s="681"/>
      <c r="B70" s="206" t="s">
        <v>453</v>
      </c>
      <c r="C70" s="206"/>
      <c r="D70" s="206" t="s">
        <v>380</v>
      </c>
      <c r="E70" s="406" t="s">
        <v>237</v>
      </c>
      <c r="F70" s="206" t="s">
        <v>253</v>
      </c>
      <c r="G70" s="138">
        <v>1</v>
      </c>
      <c r="H70" s="138"/>
      <c r="I70" s="138"/>
      <c r="J70" s="138">
        <v>50</v>
      </c>
      <c r="K70" s="138">
        <v>50</v>
      </c>
      <c r="L70" s="206"/>
      <c r="M70" s="206"/>
      <c r="N70" s="206"/>
      <c r="O70" s="206"/>
      <c r="P70" s="180">
        <f>IF(Table_Shelter[[#This Row],[Status]]="Open",IF(V70="NO",Table_Shelter[[#This Row],[HH per Shelter]]*(Table_Shelter[[#This Row],['# of Temporary Shelter Units Built]]+Table_Shelter[[#This Row],['# of Temporary Shelter Under  Construction]]+Table_Shelter[[#This Row],['# of Permanent House Under Construction]]),0),0)</f>
        <v>50</v>
      </c>
      <c r="Q70" s="137"/>
      <c r="R70" s="206"/>
      <c r="S70" s="207" t="str">
        <f>IFERROR(VLOOKUP(Table_Shelter[[#This Row],[CampName]],CL,2,0),"")</f>
        <v>MMR001CMP018</v>
      </c>
      <c r="T70" s="207" t="str">
        <f>IFERROR(VLOOKUP(Table_Shelter[[#This Row],[CampName]],CL,3,0),"")</f>
        <v>Open</v>
      </c>
      <c r="U70" s="323">
        <f>IFERROR(Table_Shelter[[#This Row],[HH Covered]]/VLOOKUP(Table_Shelter[[#This Row],[CampName]],CL,4,0),"")</f>
        <v>0.25252525252525254</v>
      </c>
      <c r="V70" s="323" t="s">
        <v>1309</v>
      </c>
      <c r="W70" s="208"/>
    </row>
    <row r="71" spans="1:23" ht="15" customHeight="1" x14ac:dyDescent="0.25">
      <c r="A71" s="681"/>
      <c r="B71" s="206" t="s">
        <v>593</v>
      </c>
      <c r="C71" s="206" t="s">
        <v>507</v>
      </c>
      <c r="D71" s="206" t="s">
        <v>380</v>
      </c>
      <c r="E71" s="406" t="s">
        <v>237</v>
      </c>
      <c r="F71" s="206" t="s">
        <v>255</v>
      </c>
      <c r="G71" s="138">
        <v>1</v>
      </c>
      <c r="H71" s="138"/>
      <c r="I71" s="138"/>
      <c r="J71" s="138">
        <v>60</v>
      </c>
      <c r="K71" s="138">
        <v>60</v>
      </c>
      <c r="L71" s="206"/>
      <c r="M71" s="206"/>
      <c r="N71" s="206"/>
      <c r="O71" s="206"/>
      <c r="P71" s="180">
        <f>IF(Table_Shelter[[#This Row],[Status]]="Open",IF(V71="NO",Table_Shelter[[#This Row],[HH per Shelter]]*(Table_Shelter[[#This Row],['# of Temporary Shelter Units Built]]+Table_Shelter[[#This Row],['# of Temporary Shelter Under  Construction]]+Table_Shelter[[#This Row],['# of Permanent House Under Construction]]),0),0)</f>
        <v>60</v>
      </c>
      <c r="Q71" s="137"/>
      <c r="R71" s="206"/>
      <c r="S71" s="207" t="str">
        <f>IFERROR(VLOOKUP(Table_Shelter[[#This Row],[CampName]],CL,2,0),"")</f>
        <v>MMR001CMP019</v>
      </c>
      <c r="T71" s="207" t="str">
        <f>IFERROR(VLOOKUP(Table_Shelter[[#This Row],[CampName]],CL,3,0),"")</f>
        <v>Open</v>
      </c>
      <c r="U71" s="323">
        <f>IFERROR(Table_Shelter[[#This Row],[HH Covered]]/VLOOKUP(Table_Shelter[[#This Row],[CampName]],CL,4,0),"")</f>
        <v>0.59405940594059403</v>
      </c>
      <c r="V71" s="323" t="s">
        <v>1309</v>
      </c>
      <c r="W71" s="208"/>
    </row>
    <row r="72" spans="1:23" ht="15" customHeight="1" x14ac:dyDescent="0.25">
      <c r="A72" s="681"/>
      <c r="B72" s="206" t="s">
        <v>453</v>
      </c>
      <c r="C72" s="206" t="s">
        <v>507</v>
      </c>
      <c r="D72" s="206" t="s">
        <v>380</v>
      </c>
      <c r="E72" s="406" t="s">
        <v>237</v>
      </c>
      <c r="F72" s="206" t="s">
        <v>255</v>
      </c>
      <c r="G72" s="138">
        <v>1</v>
      </c>
      <c r="H72" s="138"/>
      <c r="I72" s="138"/>
      <c r="J72" s="138">
        <v>20</v>
      </c>
      <c r="K72" s="138">
        <v>20</v>
      </c>
      <c r="L72" s="206"/>
      <c r="M72" s="206"/>
      <c r="N72" s="206"/>
      <c r="O72" s="206"/>
      <c r="P72" s="180">
        <f>IF(Table_Shelter[[#This Row],[Status]]="Open",IF(V72="NO",Table_Shelter[[#This Row],[HH per Shelter]]*(Table_Shelter[[#This Row],['# of Temporary Shelter Units Built]]+Table_Shelter[[#This Row],['# of Temporary Shelter Under  Construction]]+Table_Shelter[[#This Row],['# of Permanent House Under Construction]]),0),0)</f>
        <v>20</v>
      </c>
      <c r="Q72" s="137"/>
      <c r="R72" s="206"/>
      <c r="S72" s="207" t="str">
        <f>IFERROR(VLOOKUP(Table_Shelter[[#This Row],[CampName]],CL,2,0),"")</f>
        <v>MMR001CMP019</v>
      </c>
      <c r="T72" s="207" t="str">
        <f>IFERROR(VLOOKUP(Table_Shelter[[#This Row],[CampName]],CL,3,0),"")</f>
        <v>Open</v>
      </c>
      <c r="U72" s="323">
        <f>IFERROR(Table_Shelter[[#This Row],[HH Covered]]/VLOOKUP(Table_Shelter[[#This Row],[CampName]],CL,4,0),"")</f>
        <v>0.19801980198019803</v>
      </c>
      <c r="V72" s="323" t="s">
        <v>1309</v>
      </c>
      <c r="W72" s="208"/>
    </row>
    <row r="73" spans="1:23" ht="15" customHeight="1" x14ac:dyDescent="0.25">
      <c r="A73" s="681">
        <v>42422</v>
      </c>
      <c r="B73" s="206" t="s">
        <v>454</v>
      </c>
      <c r="C73" s="206"/>
      <c r="D73" s="209" t="s">
        <v>380</v>
      </c>
      <c r="E73" s="406" t="s">
        <v>185</v>
      </c>
      <c r="F73" s="206" t="s">
        <v>196</v>
      </c>
      <c r="G73" s="138">
        <v>1</v>
      </c>
      <c r="H73" s="138"/>
      <c r="I73" s="138"/>
      <c r="J73" s="138">
        <v>118</v>
      </c>
      <c r="K73" s="138">
        <v>118</v>
      </c>
      <c r="L73" s="206"/>
      <c r="M73" s="206"/>
      <c r="N73" s="206"/>
      <c r="O73" s="206"/>
      <c r="P73" s="180">
        <f>IF(Table_Shelter[[#This Row],[Status]]="Open",IF(V73="NO",Table_Shelter[[#This Row],[HH per Shelter]]*(Table_Shelter[[#This Row],['# of Temporary Shelter Units Built]]+Table_Shelter[[#This Row],['# of Temporary Shelter Under  Construction]]+Table_Shelter[[#This Row],['# of Permanent House Under Construction]]),0),0)</f>
        <v>0</v>
      </c>
      <c r="Q73" s="137"/>
      <c r="R73" s="137"/>
      <c r="S73" s="207" t="str">
        <f>IFERROR(VLOOKUP(Table_Shelter[[#This Row],[CampName]],CL,2,0),"")</f>
        <v>MMR001CMP121</v>
      </c>
      <c r="T73" s="207" t="str">
        <f>IFERROR(VLOOKUP(Table_Shelter[[#This Row],[CampName]],CL,3,0),"")</f>
        <v>Open</v>
      </c>
      <c r="U73" s="323">
        <f>IFERROR(Table_Shelter[[#This Row],[HH Covered]]/VLOOKUP(Table_Shelter[[#This Row],[CampName]],CL,4,0),"")</f>
        <v>0</v>
      </c>
      <c r="V73" s="323" t="s">
        <v>1308</v>
      </c>
      <c r="W73" s="208"/>
    </row>
    <row r="74" spans="1:23" ht="15" customHeight="1" x14ac:dyDescent="0.25">
      <c r="A74" s="682">
        <v>42416</v>
      </c>
      <c r="B74" s="207" t="s">
        <v>453</v>
      </c>
      <c r="C74" s="206" t="s">
        <v>507</v>
      </c>
      <c r="D74" s="206" t="s">
        <v>380</v>
      </c>
      <c r="E74" s="406" t="s">
        <v>185</v>
      </c>
      <c r="F74" s="206" t="s">
        <v>196</v>
      </c>
      <c r="G74" s="138">
        <v>1</v>
      </c>
      <c r="H74" s="138"/>
      <c r="I74" s="138"/>
      <c r="J74" s="138"/>
      <c r="K74" s="138"/>
      <c r="L74" s="206"/>
      <c r="M74" s="206"/>
      <c r="N74" s="206"/>
      <c r="O74" s="206"/>
      <c r="P74" s="180">
        <f>IF(Table_Shelter[[#This Row],[Status]]="Open",IF(V74="NO",Table_Shelter[[#This Row],[HH per Shelter]]*(Table_Shelter[[#This Row],['# of Temporary Shelter Units Built]]+Table_Shelter[[#This Row],['# of Temporary Shelter Under  Construction]]+Table_Shelter[[#This Row],['# of Permanent House Under Construction]]),0),0)</f>
        <v>0</v>
      </c>
      <c r="Q74" s="137">
        <v>220</v>
      </c>
      <c r="R74" s="137">
        <v>220</v>
      </c>
      <c r="S74" s="207" t="str">
        <f>IFERROR(VLOOKUP(Table_Shelter[[#This Row],[CampName]],CL,2,0),"")</f>
        <v>MMR001CMP121</v>
      </c>
      <c r="T74" s="207" t="str">
        <f>IFERROR(VLOOKUP(Table_Shelter[[#This Row],[CampName]],CL,3,0),"")</f>
        <v>Open</v>
      </c>
      <c r="U74" s="323">
        <f>IFERROR(Table_Shelter[[#This Row],[HH Covered]]/VLOOKUP(Table_Shelter[[#This Row],[CampName]],CL,4,0),"")</f>
        <v>0</v>
      </c>
      <c r="V74" s="323" t="s">
        <v>1309</v>
      </c>
      <c r="W74" s="208"/>
    </row>
    <row r="75" spans="1:23" ht="15" customHeight="1" x14ac:dyDescent="0.25">
      <c r="A75" s="681">
        <v>41974</v>
      </c>
      <c r="B75" s="206" t="s">
        <v>453</v>
      </c>
      <c r="C75" s="206" t="s">
        <v>507</v>
      </c>
      <c r="D75" s="206" t="s">
        <v>380</v>
      </c>
      <c r="E75" s="406" t="s">
        <v>185</v>
      </c>
      <c r="F75" s="206" t="s">
        <v>196</v>
      </c>
      <c r="G75" s="138">
        <v>1</v>
      </c>
      <c r="H75" s="138"/>
      <c r="I75" s="138"/>
      <c r="J75" s="138">
        <v>278</v>
      </c>
      <c r="K75" s="138">
        <v>278</v>
      </c>
      <c r="L75" s="206"/>
      <c r="M75" s="206"/>
      <c r="N75" s="206"/>
      <c r="O75" s="206"/>
      <c r="P75" s="180">
        <f>IF(Table_Shelter[[#This Row],[Status]]="Open",IF(V75="NO",Table_Shelter[[#This Row],[HH per Shelter]]*(Table_Shelter[[#This Row],['# of Temporary Shelter Units Built]]+Table_Shelter[[#This Row],['# of Temporary Shelter Under  Construction]]+Table_Shelter[[#This Row],['# of Permanent House Under Construction]]),0),0)</f>
        <v>278</v>
      </c>
      <c r="Q75" s="137"/>
      <c r="R75" s="206"/>
      <c r="S75" s="207" t="str">
        <f>IFERROR(VLOOKUP(Table_Shelter[[#This Row],[CampName]],CL,2,0),"")</f>
        <v>MMR001CMP121</v>
      </c>
      <c r="T75" s="207" t="str">
        <f>IFERROR(VLOOKUP(Table_Shelter[[#This Row],[CampName]],CL,3,0),"")</f>
        <v>Open</v>
      </c>
      <c r="U75" s="323">
        <f>IFERROR(Table_Shelter[[#This Row],[HH Covered]]/VLOOKUP(Table_Shelter[[#This Row],[CampName]],CL,4,0),"")</f>
        <v>0.16767189384800965</v>
      </c>
      <c r="V75" s="323" t="s">
        <v>1309</v>
      </c>
      <c r="W75" s="208"/>
    </row>
    <row r="76" spans="1:23" ht="15" customHeight="1" x14ac:dyDescent="0.25">
      <c r="A76" s="681"/>
      <c r="B76" s="206" t="s">
        <v>454</v>
      </c>
      <c r="C76" s="206" t="s">
        <v>507</v>
      </c>
      <c r="D76" s="209" t="s">
        <v>380</v>
      </c>
      <c r="E76" s="406" t="s">
        <v>185</v>
      </c>
      <c r="F76" s="206" t="s">
        <v>196</v>
      </c>
      <c r="G76" s="138">
        <v>1</v>
      </c>
      <c r="H76" s="138"/>
      <c r="I76" s="138"/>
      <c r="J76" s="138">
        <v>700</v>
      </c>
      <c r="K76" s="138">
        <v>700</v>
      </c>
      <c r="L76" s="206"/>
      <c r="M76" s="206"/>
      <c r="N76" s="206"/>
      <c r="O76" s="206"/>
      <c r="P76" s="180">
        <f>IF(Table_Shelter[[#This Row],[Status]]="Open",IF(V76="NO",Table_Shelter[[#This Row],[HH per Shelter]]*(Table_Shelter[[#This Row],['# of Temporary Shelter Units Built]]+Table_Shelter[[#This Row],['# of Temporary Shelter Under  Construction]]+Table_Shelter[[#This Row],['# of Permanent House Under Construction]]),0),0)</f>
        <v>700</v>
      </c>
      <c r="Q76" s="137"/>
      <c r="R76" s="206"/>
      <c r="S76" s="207" t="str">
        <f>IFERROR(VLOOKUP(Table_Shelter[[#This Row],[CampName]],CL,2,0),"")</f>
        <v>MMR001CMP121</v>
      </c>
      <c r="T76" s="207" t="str">
        <f>IFERROR(VLOOKUP(Table_Shelter[[#This Row],[CampName]],CL,3,0),"")</f>
        <v>Open</v>
      </c>
      <c r="U76" s="323">
        <f>IFERROR(Table_Shelter[[#This Row],[HH Covered]]/VLOOKUP(Table_Shelter[[#This Row],[CampName]],CL,4,0),"")</f>
        <v>0.42219541616405309</v>
      </c>
      <c r="V76" s="323" t="s">
        <v>1309</v>
      </c>
      <c r="W76" s="208"/>
    </row>
    <row r="77" spans="1:23" ht="15" customHeight="1" x14ac:dyDescent="0.25">
      <c r="A77" s="681"/>
      <c r="B77" s="206" t="s">
        <v>453</v>
      </c>
      <c r="C77" s="206" t="s">
        <v>460</v>
      </c>
      <c r="D77" s="209" t="s">
        <v>380</v>
      </c>
      <c r="E77" s="406" t="s">
        <v>185</v>
      </c>
      <c r="F77" s="206" t="s">
        <v>196</v>
      </c>
      <c r="G77" s="138">
        <v>1</v>
      </c>
      <c r="H77" s="138"/>
      <c r="I77" s="138"/>
      <c r="J77" s="138">
        <v>217</v>
      </c>
      <c r="K77" s="138">
        <v>217</v>
      </c>
      <c r="L77" s="206"/>
      <c r="M77" s="206"/>
      <c r="N77" s="206"/>
      <c r="O77" s="206"/>
      <c r="P77" s="180">
        <f>IF(Table_Shelter[[#This Row],[Status]]="Open",IF(V77="NO",Table_Shelter[[#This Row],[HH per Shelter]]*(Table_Shelter[[#This Row],['# of Temporary Shelter Units Built]]+Table_Shelter[[#This Row],['# of Temporary Shelter Under  Construction]]+Table_Shelter[[#This Row],['# of Permanent House Under Construction]]),0),0)</f>
        <v>217</v>
      </c>
      <c r="Q77" s="137"/>
      <c r="R77" s="206"/>
      <c r="S77" s="207" t="str">
        <f>IFERROR(VLOOKUP(Table_Shelter[[#This Row],[CampName]],CL,2,0),"")</f>
        <v>MMR001CMP121</v>
      </c>
      <c r="T77" s="207" t="str">
        <f>IFERROR(VLOOKUP(Table_Shelter[[#This Row],[CampName]],CL,3,0),"")</f>
        <v>Open</v>
      </c>
      <c r="U77" s="323">
        <f>IFERROR(Table_Shelter[[#This Row],[HH Covered]]/VLOOKUP(Table_Shelter[[#This Row],[CampName]],CL,4,0),"")</f>
        <v>0.13088057901085645</v>
      </c>
      <c r="V77" s="323" t="s">
        <v>1309</v>
      </c>
      <c r="W77" s="208"/>
    </row>
    <row r="78" spans="1:23" ht="15" customHeight="1" x14ac:dyDescent="0.25">
      <c r="A78" s="681"/>
      <c r="B78" s="206" t="s">
        <v>1099</v>
      </c>
      <c r="C78" s="206" t="s">
        <v>946</v>
      </c>
      <c r="D78" s="209" t="s">
        <v>554</v>
      </c>
      <c r="E78" s="406" t="s">
        <v>146</v>
      </c>
      <c r="F78" s="206" t="s">
        <v>372</v>
      </c>
      <c r="G78" s="138">
        <v>1</v>
      </c>
      <c r="H78" s="138"/>
      <c r="I78" s="138"/>
      <c r="J78" s="138">
        <v>121</v>
      </c>
      <c r="K78" s="138">
        <v>121</v>
      </c>
      <c r="L78" s="206"/>
      <c r="M78" s="206"/>
      <c r="N78" s="206"/>
      <c r="O78" s="206"/>
      <c r="P78" s="180">
        <f>IF(Table_Shelter[[#This Row],[Status]]="Open",IF(V78="NO",Table_Shelter[[#This Row],[HH per Shelter]]*(Table_Shelter[[#This Row],['# of Temporary Shelter Units Built]]+Table_Shelter[[#This Row],['# of Temporary Shelter Under  Construction]]+Table_Shelter[[#This Row],['# of Permanent House Under Construction]]),0),0)</f>
        <v>121</v>
      </c>
      <c r="Q78" s="137"/>
      <c r="R78" s="206"/>
      <c r="S78" s="207" t="str">
        <f>IFERROR(VLOOKUP(Table_Shelter[[#This Row],[CampName]],CL,2,0),"")</f>
        <v>MMR015CMP015</v>
      </c>
      <c r="T78" s="207" t="str">
        <f>IFERROR(VLOOKUP(Table_Shelter[[#This Row],[CampName]],CL,3,0),"")</f>
        <v>Open</v>
      </c>
      <c r="U78" s="323">
        <f>IFERROR(Table_Shelter[[#This Row],[HH Covered]]/VLOOKUP(Table_Shelter[[#This Row],[CampName]],CL,4,0),"")</f>
        <v>1.375</v>
      </c>
      <c r="V78" s="323" t="s">
        <v>1309</v>
      </c>
      <c r="W78" s="208"/>
    </row>
    <row r="79" spans="1:23" ht="15" customHeight="1" x14ac:dyDescent="0.25">
      <c r="A79" s="682"/>
      <c r="B79" s="138" t="s">
        <v>453</v>
      </c>
      <c r="C79" s="138" t="s">
        <v>461</v>
      </c>
      <c r="D79" s="213" t="s">
        <v>380</v>
      </c>
      <c r="E79" s="214" t="s">
        <v>528</v>
      </c>
      <c r="F79" s="138" t="s">
        <v>1122</v>
      </c>
      <c r="G79" s="138">
        <v>1</v>
      </c>
      <c r="H79" s="140"/>
      <c r="I79" s="140"/>
      <c r="J79" s="140">
        <v>50</v>
      </c>
      <c r="K79" s="140">
        <v>50</v>
      </c>
      <c r="L79" s="140"/>
      <c r="M79" s="140"/>
      <c r="N79" s="140"/>
      <c r="O79" s="140"/>
      <c r="P79" s="139">
        <f>IF(Table_Shelter[[#This Row],[Status]]="Open",IF(V79="NO",Table_Shelter[[#This Row],[HH per Shelter]]*(Table_Shelter[[#This Row],['# of Temporary Shelter Units Built]]+Table_Shelter[[#This Row],['# of Temporary Shelter Under  Construction]]+Table_Shelter[[#This Row],['# of Permanent House Under Construction]]),0),0)</f>
        <v>50</v>
      </c>
      <c r="Q79" s="139"/>
      <c r="R79" s="139"/>
      <c r="S79" s="139" t="str">
        <f>IFERROR(VLOOKUP(Table_Shelter[[#This Row],[CampName]],CL,2,0),"")</f>
        <v>MMR001CMP231</v>
      </c>
      <c r="T79" s="139" t="str">
        <f>IFERROR(VLOOKUP(Table_Shelter[[#This Row],[CampName]],CL,3,0),"")</f>
        <v>Open</v>
      </c>
      <c r="U79" s="324">
        <f>IFERROR(Table_Shelter[[#This Row],[HH Covered]]/VLOOKUP(Table_Shelter[[#This Row],[CampName]],CL,4,0),"")</f>
        <v>1</v>
      </c>
      <c r="V79" s="323" t="s">
        <v>1309</v>
      </c>
      <c r="W79" s="139"/>
    </row>
    <row r="80" spans="1:23" ht="15" customHeight="1" x14ac:dyDescent="0.25">
      <c r="A80" s="681"/>
      <c r="B80" s="206" t="s">
        <v>847</v>
      </c>
      <c r="C80" s="206"/>
      <c r="D80" s="206" t="s">
        <v>554</v>
      </c>
      <c r="E80" s="406" t="s">
        <v>146</v>
      </c>
      <c r="F80" s="206" t="s">
        <v>369</v>
      </c>
      <c r="G80" s="138">
        <v>1</v>
      </c>
      <c r="H80" s="138"/>
      <c r="I80" s="138"/>
      <c r="J80" s="138">
        <v>80</v>
      </c>
      <c r="K80" s="138">
        <v>80</v>
      </c>
      <c r="L80" s="206"/>
      <c r="M80" s="206"/>
      <c r="N80" s="206"/>
      <c r="O80" s="206"/>
      <c r="P80" s="180">
        <f>IF(Table_Shelter[[#This Row],[Status]]="Open",IF(V80="NO",Table_Shelter[[#This Row],[HH per Shelter]]*(Table_Shelter[[#This Row],['# of Temporary Shelter Units Built]]+Table_Shelter[[#This Row],['# of Temporary Shelter Under  Construction]]+Table_Shelter[[#This Row],['# of Permanent House Under Construction]]),0),0)</f>
        <v>80</v>
      </c>
      <c r="Q80" s="137"/>
      <c r="R80" s="206"/>
      <c r="S80" s="207" t="str">
        <f>IFERROR(VLOOKUP(Table_Shelter[[#This Row],[CampName]],CL,2,0),"")</f>
        <v>MMR015CMP016</v>
      </c>
      <c r="T80" s="207" t="str">
        <f>IFERROR(VLOOKUP(Table_Shelter[[#This Row],[CampName]],CL,3,0),"")</f>
        <v>Open</v>
      </c>
      <c r="U80" s="323">
        <f>IFERROR(Table_Shelter[[#This Row],[HH Covered]]/VLOOKUP(Table_Shelter[[#This Row],[CampName]],CL,4,0),"")</f>
        <v>1.2698412698412698</v>
      </c>
      <c r="V80" s="323" t="s">
        <v>1309</v>
      </c>
      <c r="W80" s="208"/>
    </row>
    <row r="81" spans="1:23" ht="15" customHeight="1" x14ac:dyDescent="0.25">
      <c r="A81" s="682"/>
      <c r="B81" s="208" t="s">
        <v>847</v>
      </c>
      <c r="C81" s="208"/>
      <c r="D81" s="208" t="s">
        <v>554</v>
      </c>
      <c r="E81" s="212" t="s">
        <v>146</v>
      </c>
      <c r="F81" s="208" t="s">
        <v>370</v>
      </c>
      <c r="G81" s="140">
        <v>1</v>
      </c>
      <c r="H81" s="140"/>
      <c r="I81" s="140"/>
      <c r="J81" s="140">
        <v>48</v>
      </c>
      <c r="K81" s="140">
        <v>48</v>
      </c>
      <c r="L81" s="208"/>
      <c r="M81" s="208"/>
      <c r="N81" s="208"/>
      <c r="O81" s="208"/>
      <c r="P81" s="180">
        <f>IF(Table_Shelter[[#This Row],[Status]]="Open",IF(V81="NO",Table_Shelter[[#This Row],[HH per Shelter]]*(Table_Shelter[[#This Row],['# of Temporary Shelter Units Built]]+Table_Shelter[[#This Row],['# of Temporary Shelter Under  Construction]]+Table_Shelter[[#This Row],['# of Permanent House Under Construction]]),0),0)</f>
        <v>48</v>
      </c>
      <c r="Q81" s="139"/>
      <c r="R81" s="208"/>
      <c r="S81" s="207" t="str">
        <f>IFERROR(VLOOKUP(Table_Shelter[[#This Row],[CampName]],CL,2,0),"")</f>
        <v>MMR015CMP017</v>
      </c>
      <c r="T81" s="207" t="str">
        <f>IFERROR(VLOOKUP(Table_Shelter[[#This Row],[CampName]],CL,3,0),"")</f>
        <v>Open</v>
      </c>
      <c r="U81" s="323">
        <f>IFERROR(Table_Shelter[[#This Row],[HH Covered]]/VLOOKUP(Table_Shelter[[#This Row],[CampName]],CL,4,0),"")</f>
        <v>1.6</v>
      </c>
      <c r="V81" s="323" t="s">
        <v>1309</v>
      </c>
      <c r="W81" s="208"/>
    </row>
    <row r="82" spans="1:23" ht="15" customHeight="1" x14ac:dyDescent="0.25">
      <c r="A82" s="681"/>
      <c r="B82" s="206" t="s">
        <v>453</v>
      </c>
      <c r="C82" s="206" t="s">
        <v>461</v>
      </c>
      <c r="D82" s="206" t="s">
        <v>380</v>
      </c>
      <c r="E82" s="406" t="s">
        <v>237</v>
      </c>
      <c r="F82" s="206" t="s">
        <v>257</v>
      </c>
      <c r="G82" s="138">
        <v>1</v>
      </c>
      <c r="H82" s="138"/>
      <c r="I82" s="138"/>
      <c r="J82" s="138">
        <v>5</v>
      </c>
      <c r="K82" s="138">
        <v>5</v>
      </c>
      <c r="L82" s="206"/>
      <c r="M82" s="206"/>
      <c r="N82" s="206"/>
      <c r="O82" s="206"/>
      <c r="P82" s="180">
        <f>IF(Table_Shelter[[#This Row],[Status]]="Open",IF(V82="NO",Table_Shelter[[#This Row],[HH per Shelter]]*(Table_Shelter[[#This Row],['# of Temporary Shelter Units Built]]+Table_Shelter[[#This Row],['# of Temporary Shelter Under  Construction]]+Table_Shelter[[#This Row],['# of Permanent House Under Construction]]),0),0)</f>
        <v>5</v>
      </c>
      <c r="Q82" s="137"/>
      <c r="R82" s="206"/>
      <c r="S82" s="207" t="str">
        <f>IFERROR(VLOOKUP(Table_Shelter[[#This Row],[CampName]],CL,2,0),"")</f>
        <v>MMR001CMP013</v>
      </c>
      <c r="T82" s="207" t="str">
        <f>IFERROR(VLOOKUP(Table_Shelter[[#This Row],[CampName]],CL,3,0),"")</f>
        <v>Open</v>
      </c>
      <c r="U82" s="323">
        <f>IFERROR(Table_Shelter[[#This Row],[HH Covered]]/VLOOKUP(Table_Shelter[[#This Row],[CampName]],CL,4,0),"")</f>
        <v>0.11363636363636363</v>
      </c>
      <c r="V82" s="323" t="s">
        <v>1309</v>
      </c>
      <c r="W82" s="208"/>
    </row>
    <row r="83" spans="1:23" ht="15" customHeight="1" x14ac:dyDescent="0.25">
      <c r="A83" s="681"/>
      <c r="B83" s="206" t="s">
        <v>453</v>
      </c>
      <c r="C83" s="206" t="s">
        <v>461</v>
      </c>
      <c r="D83" s="206" t="s">
        <v>380</v>
      </c>
      <c r="E83" s="406" t="s">
        <v>173</v>
      </c>
      <c r="F83" s="206" t="s">
        <v>174</v>
      </c>
      <c r="G83" s="138">
        <v>1</v>
      </c>
      <c r="H83" s="138"/>
      <c r="I83" s="138"/>
      <c r="J83" s="138">
        <v>15</v>
      </c>
      <c r="K83" s="138">
        <v>15</v>
      </c>
      <c r="L83" s="206"/>
      <c r="M83" s="206"/>
      <c r="N83" s="206"/>
      <c r="O83" s="206"/>
      <c r="P83" s="180">
        <f>IF(Table_Shelter[[#This Row],[Status]]="Open",IF(V83="NO",Table_Shelter[[#This Row],[HH per Shelter]]*(Table_Shelter[[#This Row],['# of Temporary Shelter Units Built]]+Table_Shelter[[#This Row],['# of Temporary Shelter Under  Construction]]+Table_Shelter[[#This Row],['# of Permanent House Under Construction]]),0),0)</f>
        <v>15</v>
      </c>
      <c r="Q83" s="137"/>
      <c r="R83" s="206"/>
      <c r="S83" s="207" t="str">
        <f>IFERROR(VLOOKUP(Table_Shelter[[#This Row],[CampName]],CL,2,0),"")</f>
        <v>MMR001CMP078</v>
      </c>
      <c r="T83" s="207" t="str">
        <f>IFERROR(VLOOKUP(Table_Shelter[[#This Row],[CampName]],CL,3,0),"")</f>
        <v>Open</v>
      </c>
      <c r="U83" s="323">
        <f>IFERROR(Table_Shelter[[#This Row],[HH Covered]]/VLOOKUP(Table_Shelter[[#This Row],[CampName]],CL,4,0),"")</f>
        <v>1.1538461538461537</v>
      </c>
      <c r="V83" s="323" t="s">
        <v>1309</v>
      </c>
      <c r="W83" s="208"/>
    </row>
    <row r="84" spans="1:23" ht="15" customHeight="1" x14ac:dyDescent="0.25">
      <c r="A84" s="681">
        <v>41609</v>
      </c>
      <c r="B84" s="206" t="s">
        <v>453</v>
      </c>
      <c r="C84" s="206" t="s">
        <v>460</v>
      </c>
      <c r="D84" s="206" t="s">
        <v>380</v>
      </c>
      <c r="E84" s="406" t="s">
        <v>151</v>
      </c>
      <c r="F84" s="206" t="s">
        <v>517</v>
      </c>
      <c r="G84" s="138">
        <v>1</v>
      </c>
      <c r="H84" s="138"/>
      <c r="I84" s="138"/>
      <c r="J84" s="138">
        <v>60</v>
      </c>
      <c r="K84" s="138">
        <v>60</v>
      </c>
      <c r="L84" s="206"/>
      <c r="M84" s="206"/>
      <c r="N84" s="206"/>
      <c r="O84" s="206"/>
      <c r="P84" s="180">
        <f>IF(Table_Shelter[[#This Row],[Status]]="Open",IF(V84="NO",Table_Shelter[[#This Row],[HH per Shelter]]*(Table_Shelter[[#This Row],['# of Temporary Shelter Units Built]]+Table_Shelter[[#This Row],['# of Temporary Shelter Under  Construction]]+Table_Shelter[[#This Row],['# of Permanent House Under Construction]]),0),0)</f>
        <v>0</v>
      </c>
      <c r="Q84" s="137"/>
      <c r="R84" s="206"/>
      <c r="S84" s="207" t="str">
        <f>IFERROR(VLOOKUP(Table_Shelter[[#This Row],[CampName]],CL,2,0),"")</f>
        <v>MMR001CMP202</v>
      </c>
      <c r="T84" s="207" t="str">
        <f>IFERROR(VLOOKUP(Table_Shelter[[#This Row],[CampName]],CL,3,0),"")</f>
        <v>Closed</v>
      </c>
      <c r="U84" s="323" t="str">
        <f>IFERROR(Table_Shelter[[#This Row],[HH Covered]]/VLOOKUP(Table_Shelter[[#This Row],[CampName]],CL,4,0),"")</f>
        <v/>
      </c>
      <c r="V84" s="323" t="s">
        <v>1309</v>
      </c>
      <c r="W84" s="208"/>
    </row>
    <row r="85" spans="1:23" ht="15" customHeight="1" x14ac:dyDescent="0.25">
      <c r="A85" s="681"/>
      <c r="B85" s="206" t="s">
        <v>593</v>
      </c>
      <c r="C85" s="206" t="s">
        <v>460</v>
      </c>
      <c r="D85" s="206" t="s">
        <v>380</v>
      </c>
      <c r="E85" s="406" t="s">
        <v>151</v>
      </c>
      <c r="F85" s="206" t="s">
        <v>517</v>
      </c>
      <c r="G85" s="138">
        <v>1</v>
      </c>
      <c r="H85" s="138"/>
      <c r="I85" s="138"/>
      <c r="J85" s="138">
        <v>100</v>
      </c>
      <c r="K85" s="138">
        <v>100</v>
      </c>
      <c r="L85" s="206"/>
      <c r="M85" s="206"/>
      <c r="N85" s="206"/>
      <c r="O85" s="206"/>
      <c r="P85" s="180">
        <f>IF(Table_Shelter[[#This Row],[Status]]="Open",IF(V85="NO",Table_Shelter[[#This Row],[HH per Shelter]]*(Table_Shelter[[#This Row],['# of Temporary Shelter Units Built]]+Table_Shelter[[#This Row],['# of Temporary Shelter Under  Construction]]+Table_Shelter[[#This Row],['# of Permanent House Under Construction]]),0),0)</f>
        <v>0</v>
      </c>
      <c r="Q85" s="137"/>
      <c r="R85" s="206"/>
      <c r="S85" s="207" t="str">
        <f>IFERROR(VLOOKUP(Table_Shelter[[#This Row],[CampName]],CL,2,0),"")</f>
        <v>MMR001CMP202</v>
      </c>
      <c r="T85" s="207" t="str">
        <f>IFERROR(VLOOKUP(Table_Shelter[[#This Row],[CampName]],CL,3,0),"")</f>
        <v>Closed</v>
      </c>
      <c r="U85" s="323" t="str">
        <f>IFERROR(Table_Shelter[[#This Row],[HH Covered]]/VLOOKUP(Table_Shelter[[#This Row],[CampName]],CL,4,0),"")</f>
        <v/>
      </c>
      <c r="V85" s="323" t="s">
        <v>1309</v>
      </c>
      <c r="W85" s="208"/>
    </row>
    <row r="86" spans="1:23" ht="15" customHeight="1" x14ac:dyDescent="0.25">
      <c r="A86" s="681">
        <v>41974</v>
      </c>
      <c r="B86" s="206" t="s">
        <v>453</v>
      </c>
      <c r="C86" s="206" t="s">
        <v>461</v>
      </c>
      <c r="D86" s="206" t="s">
        <v>380</v>
      </c>
      <c r="E86" s="406" t="s">
        <v>151</v>
      </c>
      <c r="F86" s="206" t="s">
        <v>198</v>
      </c>
      <c r="G86" s="138">
        <v>1</v>
      </c>
      <c r="H86" s="138"/>
      <c r="I86" s="138"/>
      <c r="J86" s="138">
        <v>118</v>
      </c>
      <c r="K86" s="138">
        <v>118</v>
      </c>
      <c r="L86" s="206"/>
      <c r="M86" s="206"/>
      <c r="N86" s="206"/>
      <c r="O86" s="206"/>
      <c r="P86" s="180">
        <f>IF(Table_Shelter[[#This Row],[Status]]="Open",IF(V86="NO",Table_Shelter[[#This Row],[HH per Shelter]]*(Table_Shelter[[#This Row],['# of Temporary Shelter Units Built]]+Table_Shelter[[#This Row],['# of Temporary Shelter Under  Construction]]+Table_Shelter[[#This Row],['# of Permanent House Under Construction]]),0),0)</f>
        <v>118</v>
      </c>
      <c r="Q86" s="137"/>
      <c r="R86" s="206"/>
      <c r="S86" s="207" t="str">
        <f>IFERROR(VLOOKUP(Table_Shelter[[#This Row],[CampName]],CL,2,0),"")</f>
        <v>MMR001CMP128</v>
      </c>
      <c r="T86" s="207" t="str">
        <f>IFERROR(VLOOKUP(Table_Shelter[[#This Row],[CampName]],CL,3,0),"")</f>
        <v>Open</v>
      </c>
      <c r="U86" s="323">
        <f>IFERROR(Table_Shelter[[#This Row],[HH Covered]]/VLOOKUP(Table_Shelter[[#This Row],[CampName]],CL,4,0),"")</f>
        <v>0.21651376146788992</v>
      </c>
      <c r="V86" s="323" t="s">
        <v>1309</v>
      </c>
      <c r="W86" s="208"/>
    </row>
    <row r="87" spans="1:23" ht="15" customHeight="1" x14ac:dyDescent="0.25">
      <c r="A87" s="681"/>
      <c r="B87" s="206" t="s">
        <v>573</v>
      </c>
      <c r="C87" s="206"/>
      <c r="D87" s="206" t="s">
        <v>380</v>
      </c>
      <c r="E87" s="406" t="s">
        <v>151</v>
      </c>
      <c r="F87" s="206" t="s">
        <v>198</v>
      </c>
      <c r="G87" s="138">
        <v>1</v>
      </c>
      <c r="H87" s="138"/>
      <c r="I87" s="138"/>
      <c r="J87" s="138">
        <v>26</v>
      </c>
      <c r="K87" s="138">
        <v>26</v>
      </c>
      <c r="L87" s="206"/>
      <c r="M87" s="206"/>
      <c r="N87" s="206"/>
      <c r="O87" s="206"/>
      <c r="P87" s="180">
        <f>IF(Table_Shelter[[#This Row],[Status]]="Open",IF(V87="NO",Table_Shelter[[#This Row],[HH per Shelter]]*(Table_Shelter[[#This Row],['# of Temporary Shelter Units Built]]+Table_Shelter[[#This Row],['# of Temporary Shelter Under  Construction]]+Table_Shelter[[#This Row],['# of Permanent House Under Construction]]),0),0)</f>
        <v>26</v>
      </c>
      <c r="Q87" s="137"/>
      <c r="R87" s="206"/>
      <c r="S87" s="207" t="str">
        <f>IFERROR(VLOOKUP(Table_Shelter[[#This Row],[CampName]],CL,2,0),"")</f>
        <v>MMR001CMP128</v>
      </c>
      <c r="T87" s="207" t="str">
        <f>IFERROR(VLOOKUP(Table_Shelter[[#This Row],[CampName]],CL,3,0),"")</f>
        <v>Open</v>
      </c>
      <c r="U87" s="323">
        <f>IFERROR(Table_Shelter[[#This Row],[HH Covered]]/VLOOKUP(Table_Shelter[[#This Row],[CampName]],CL,4,0),"")</f>
        <v>4.7706422018348627E-2</v>
      </c>
      <c r="V87" s="323" t="s">
        <v>1309</v>
      </c>
      <c r="W87" s="208"/>
    </row>
    <row r="88" spans="1:23" ht="15" customHeight="1" x14ac:dyDescent="0.25">
      <c r="A88" s="681"/>
      <c r="B88" s="206" t="s">
        <v>453</v>
      </c>
      <c r="C88" s="206" t="s">
        <v>460</v>
      </c>
      <c r="D88" s="206" t="s">
        <v>380</v>
      </c>
      <c r="E88" s="406" t="s">
        <v>151</v>
      </c>
      <c r="F88" s="206" t="s">
        <v>198</v>
      </c>
      <c r="G88" s="138">
        <v>1</v>
      </c>
      <c r="H88" s="138"/>
      <c r="I88" s="138"/>
      <c r="J88" s="138">
        <v>350</v>
      </c>
      <c r="K88" s="138">
        <v>350</v>
      </c>
      <c r="L88" s="206"/>
      <c r="M88" s="206"/>
      <c r="N88" s="206"/>
      <c r="O88" s="206"/>
      <c r="P88" s="180">
        <f>IF(Table_Shelter[[#This Row],[Status]]="Open",IF(V88="NO",Table_Shelter[[#This Row],[HH per Shelter]]*(Table_Shelter[[#This Row],['# of Temporary Shelter Units Built]]+Table_Shelter[[#This Row],['# of Temporary Shelter Under  Construction]]+Table_Shelter[[#This Row],['# of Permanent House Under Construction]]),0),0)</f>
        <v>350</v>
      </c>
      <c r="Q88" s="137"/>
      <c r="R88" s="206"/>
      <c r="S88" s="207" t="str">
        <f>IFERROR(VLOOKUP(Table_Shelter[[#This Row],[CampName]],CL,2,0),"")</f>
        <v>MMR001CMP128</v>
      </c>
      <c r="T88" s="207" t="str">
        <f>IFERROR(VLOOKUP(Table_Shelter[[#This Row],[CampName]],CL,3,0),"")</f>
        <v>Open</v>
      </c>
      <c r="U88" s="323">
        <f>IFERROR(Table_Shelter[[#This Row],[HH Covered]]/VLOOKUP(Table_Shelter[[#This Row],[CampName]],CL,4,0),"")</f>
        <v>0.64220183486238536</v>
      </c>
      <c r="V88" s="323" t="s">
        <v>1309</v>
      </c>
      <c r="W88" s="208"/>
    </row>
    <row r="89" spans="1:23" ht="15" customHeight="1" x14ac:dyDescent="0.25">
      <c r="A89" s="681"/>
      <c r="B89" s="206" t="s">
        <v>453</v>
      </c>
      <c r="C89" s="206"/>
      <c r="D89" s="206" t="s">
        <v>380</v>
      </c>
      <c r="E89" s="406" t="s">
        <v>151</v>
      </c>
      <c r="F89" s="206" t="s">
        <v>198</v>
      </c>
      <c r="G89" s="138">
        <v>1</v>
      </c>
      <c r="H89" s="138"/>
      <c r="I89" s="138"/>
      <c r="J89" s="138">
        <v>150</v>
      </c>
      <c r="K89" s="138"/>
      <c r="L89" s="206"/>
      <c r="M89" s="206"/>
      <c r="N89" s="206"/>
      <c r="O89" s="206"/>
      <c r="P89" s="180">
        <f>IF(Table_Shelter[[#This Row],[Status]]="Open",IF(V89="NO",Table_Shelter[[#This Row],[HH per Shelter]]*(Table_Shelter[[#This Row],['# of Temporary Shelter Units Built]]+Table_Shelter[[#This Row],['# of Temporary Shelter Under  Construction]]+Table_Shelter[[#This Row],['# of Permanent House Under Construction]]),0),0)</f>
        <v>0</v>
      </c>
      <c r="Q89" s="137"/>
      <c r="R89" s="206"/>
      <c r="S89" s="207" t="str">
        <f>IFERROR(VLOOKUP(Table_Shelter[[#This Row],[CampName]],CL,2,0),"")</f>
        <v>MMR001CMP128</v>
      </c>
      <c r="T89" s="207" t="str">
        <f>IFERROR(VLOOKUP(Table_Shelter[[#This Row],[CampName]],CL,3,0),"")</f>
        <v>Open</v>
      </c>
      <c r="U89" s="323">
        <f>IFERROR(Table_Shelter[[#This Row],[HH Covered]]/VLOOKUP(Table_Shelter[[#This Row],[CampName]],CL,4,0),"")</f>
        <v>0</v>
      </c>
      <c r="V89" s="323" t="s">
        <v>1309</v>
      </c>
      <c r="W89" s="208"/>
    </row>
    <row r="90" spans="1:23" ht="15" customHeight="1" x14ac:dyDescent="0.25">
      <c r="A90" s="681"/>
      <c r="B90" s="206" t="s">
        <v>848</v>
      </c>
      <c r="C90" s="206" t="s">
        <v>461</v>
      </c>
      <c r="D90" s="209" t="s">
        <v>380</v>
      </c>
      <c r="E90" s="406" t="s">
        <v>237</v>
      </c>
      <c r="F90" s="206" t="s">
        <v>240</v>
      </c>
      <c r="G90" s="138">
        <v>1</v>
      </c>
      <c r="H90" s="138"/>
      <c r="I90" s="138"/>
      <c r="J90" s="138">
        <v>9</v>
      </c>
      <c r="K90" s="138">
        <v>9</v>
      </c>
      <c r="L90" s="206"/>
      <c r="M90" s="206"/>
      <c r="N90" s="206"/>
      <c r="O90" s="206"/>
      <c r="P90" s="180">
        <f>IF(Table_Shelter[[#This Row],[Status]]="Open",IF(V90="NO",Table_Shelter[[#This Row],[HH per Shelter]]*(Table_Shelter[[#This Row],['# of Temporary Shelter Units Built]]+Table_Shelter[[#This Row],['# of Temporary Shelter Under  Construction]]+Table_Shelter[[#This Row],['# of Permanent House Under Construction]]),0),0)</f>
        <v>9</v>
      </c>
      <c r="Q90" s="137"/>
      <c r="R90" s="206"/>
      <c r="S90" s="207" t="str">
        <f>IFERROR(VLOOKUP(Table_Shelter[[#This Row],[CampName]],CL,2,0),"")</f>
        <v>MMR001CMP015</v>
      </c>
      <c r="T90" s="207" t="str">
        <f>IFERROR(VLOOKUP(Table_Shelter[[#This Row],[CampName]],CL,3,0),"")</f>
        <v>Open</v>
      </c>
      <c r="U90" s="323">
        <f>IFERROR(Table_Shelter[[#This Row],[HH Covered]]/VLOOKUP(Table_Shelter[[#This Row],[CampName]],CL,4,0),"")</f>
        <v>9.375E-2</v>
      </c>
      <c r="V90" s="323" t="s">
        <v>1309</v>
      </c>
      <c r="W90" s="208"/>
    </row>
    <row r="91" spans="1:23" ht="15" customHeight="1" x14ac:dyDescent="0.25">
      <c r="A91" s="681"/>
      <c r="B91" s="206" t="s">
        <v>571</v>
      </c>
      <c r="C91" s="206" t="s">
        <v>461</v>
      </c>
      <c r="D91" s="206" t="s">
        <v>380</v>
      </c>
      <c r="E91" s="406" t="s">
        <v>237</v>
      </c>
      <c r="F91" s="206" t="s">
        <v>240</v>
      </c>
      <c r="G91" s="138">
        <v>1</v>
      </c>
      <c r="H91" s="138"/>
      <c r="I91" s="138"/>
      <c r="J91" s="138">
        <v>5</v>
      </c>
      <c r="K91" s="138">
        <v>5</v>
      </c>
      <c r="L91" s="206"/>
      <c r="M91" s="206"/>
      <c r="N91" s="206"/>
      <c r="O91" s="206"/>
      <c r="P91" s="180">
        <f>IF(Table_Shelter[[#This Row],[Status]]="Open",IF(V91="NO",Table_Shelter[[#This Row],[HH per Shelter]]*(Table_Shelter[[#This Row],['# of Temporary Shelter Units Built]]+Table_Shelter[[#This Row],['# of Temporary Shelter Under  Construction]]+Table_Shelter[[#This Row],['# of Permanent House Under Construction]]),0),0)</f>
        <v>5</v>
      </c>
      <c r="Q91" s="137"/>
      <c r="R91" s="206"/>
      <c r="S91" s="207" t="str">
        <f>IFERROR(VLOOKUP(Table_Shelter[[#This Row],[CampName]],CL,2,0),"")</f>
        <v>MMR001CMP015</v>
      </c>
      <c r="T91" s="207" t="str">
        <f>IFERROR(VLOOKUP(Table_Shelter[[#This Row],[CampName]],CL,3,0),"")</f>
        <v>Open</v>
      </c>
      <c r="U91" s="323">
        <f>IFERROR(Table_Shelter[[#This Row],[HH Covered]]/VLOOKUP(Table_Shelter[[#This Row],[CampName]],CL,4,0),"")</f>
        <v>5.2083333333333336E-2</v>
      </c>
      <c r="V91" s="323" t="s">
        <v>1309</v>
      </c>
      <c r="W91" s="208"/>
    </row>
    <row r="92" spans="1:23" ht="15" customHeight="1" x14ac:dyDescent="0.25">
      <c r="A92" s="681"/>
      <c r="B92" s="206" t="s">
        <v>453</v>
      </c>
      <c r="C92" s="206" t="s">
        <v>461</v>
      </c>
      <c r="D92" s="206" t="s">
        <v>380</v>
      </c>
      <c r="E92" s="406" t="s">
        <v>237</v>
      </c>
      <c r="F92" s="206" t="s">
        <v>240</v>
      </c>
      <c r="G92" s="138">
        <v>1</v>
      </c>
      <c r="H92" s="138"/>
      <c r="I92" s="138"/>
      <c r="J92" s="138">
        <v>10</v>
      </c>
      <c r="K92" s="138">
        <v>10</v>
      </c>
      <c r="L92" s="206"/>
      <c r="M92" s="206"/>
      <c r="N92" s="206"/>
      <c r="O92" s="206"/>
      <c r="P92" s="180">
        <f>IF(Table_Shelter[[#This Row],[Status]]="Open",IF(V92="NO",Table_Shelter[[#This Row],[HH per Shelter]]*(Table_Shelter[[#This Row],['# of Temporary Shelter Units Built]]+Table_Shelter[[#This Row],['# of Temporary Shelter Under  Construction]]+Table_Shelter[[#This Row],['# of Permanent House Under Construction]]),0),0)</f>
        <v>10</v>
      </c>
      <c r="Q92" s="137"/>
      <c r="R92" s="206"/>
      <c r="S92" s="207" t="str">
        <f>IFERROR(VLOOKUP(Table_Shelter[[#This Row],[CampName]],CL,2,0),"")</f>
        <v>MMR001CMP015</v>
      </c>
      <c r="T92" s="207" t="str">
        <f>IFERROR(VLOOKUP(Table_Shelter[[#This Row],[CampName]],CL,3,0),"")</f>
        <v>Open</v>
      </c>
      <c r="U92" s="323">
        <f>IFERROR(Table_Shelter[[#This Row],[HH Covered]]/VLOOKUP(Table_Shelter[[#This Row],[CampName]],CL,4,0),"")</f>
        <v>0.10416666666666667</v>
      </c>
      <c r="V92" s="323" t="s">
        <v>1309</v>
      </c>
      <c r="W92" s="208"/>
    </row>
    <row r="93" spans="1:23" ht="15" customHeight="1" x14ac:dyDescent="0.25">
      <c r="A93" s="682">
        <v>42416</v>
      </c>
      <c r="B93" s="206" t="s">
        <v>453</v>
      </c>
      <c r="C93" s="206" t="s">
        <v>461</v>
      </c>
      <c r="D93" s="206" t="s">
        <v>380</v>
      </c>
      <c r="E93" s="406" t="s">
        <v>237</v>
      </c>
      <c r="F93" s="556" t="s">
        <v>285</v>
      </c>
      <c r="G93" s="138">
        <v>1</v>
      </c>
      <c r="H93" s="138"/>
      <c r="I93" s="138"/>
      <c r="J93" s="138"/>
      <c r="K93" s="138"/>
      <c r="L93" s="206"/>
      <c r="M93" s="206"/>
      <c r="N93" s="206"/>
      <c r="O93" s="206"/>
      <c r="P93" s="180">
        <f>IF(Table_Shelter[[#This Row],[Status]]="Open",IF(V93="NO",Table_Shelter[[#This Row],[HH per Shelter]]*(Table_Shelter[[#This Row],['# of Temporary Shelter Units Built]]+Table_Shelter[[#This Row],['# of Temporary Shelter Under  Construction]]+Table_Shelter[[#This Row],['# of Permanent House Under Construction]]),0),0)</f>
        <v>0</v>
      </c>
      <c r="Q93" s="137">
        <v>5</v>
      </c>
      <c r="R93" s="137">
        <v>5</v>
      </c>
      <c r="S93" s="207" t="str">
        <f>IFERROR(VLOOKUP(Table_Shelter[[#This Row],[CampName]],CL,2,0),"")</f>
        <v>MMR001CMP014</v>
      </c>
      <c r="T93" s="207" t="str">
        <f>IFERROR(VLOOKUP(Table_Shelter[[#This Row],[CampName]],CL,3,0),"")</f>
        <v>Open</v>
      </c>
      <c r="U93" s="323">
        <f>IFERROR(Table_Shelter[[#This Row],[HH Covered]]/VLOOKUP(Table_Shelter[[#This Row],[CampName]],CL,4,0),"")</f>
        <v>0</v>
      </c>
      <c r="V93" s="208" t="s">
        <v>1309</v>
      </c>
      <c r="W93" s="19"/>
    </row>
    <row r="94" spans="1:23" ht="15" customHeight="1" x14ac:dyDescent="0.25">
      <c r="A94" s="681"/>
      <c r="B94" s="206" t="s">
        <v>571</v>
      </c>
      <c r="C94" s="206" t="s">
        <v>461</v>
      </c>
      <c r="D94" s="206" t="s">
        <v>380</v>
      </c>
      <c r="E94" s="406" t="s">
        <v>237</v>
      </c>
      <c r="F94" s="206" t="s">
        <v>285</v>
      </c>
      <c r="G94" s="138">
        <v>1</v>
      </c>
      <c r="H94" s="138"/>
      <c r="I94" s="138"/>
      <c r="J94" s="138">
        <v>60</v>
      </c>
      <c r="K94" s="138">
        <v>60</v>
      </c>
      <c r="L94" s="206"/>
      <c r="M94" s="206"/>
      <c r="N94" s="206"/>
      <c r="O94" s="206"/>
      <c r="P94" s="180">
        <f>IF(Table_Shelter[[#This Row],[Status]]="Open",IF(V94="NO",Table_Shelter[[#This Row],[HH per Shelter]]*(Table_Shelter[[#This Row],['# of Temporary Shelter Units Built]]+Table_Shelter[[#This Row],['# of Temporary Shelter Under  Construction]]+Table_Shelter[[#This Row],['# of Permanent House Under Construction]]),0),0)</f>
        <v>60</v>
      </c>
      <c r="Q94" s="137"/>
      <c r="R94" s="206"/>
      <c r="S94" s="207" t="str">
        <f>IFERROR(VLOOKUP(Table_Shelter[[#This Row],[CampName]],CL,2,0),"")</f>
        <v>MMR001CMP014</v>
      </c>
      <c r="T94" s="207" t="str">
        <f>IFERROR(VLOOKUP(Table_Shelter[[#This Row],[CampName]],CL,3,0),"")</f>
        <v>Open</v>
      </c>
      <c r="U94" s="323">
        <f>IFERROR(Table_Shelter[[#This Row],[HH Covered]]/VLOOKUP(Table_Shelter[[#This Row],[CampName]],CL,4,0),"")</f>
        <v>0.43478260869565216</v>
      </c>
      <c r="V94" s="323" t="s">
        <v>1309</v>
      </c>
      <c r="W94" s="208"/>
    </row>
    <row r="95" spans="1:23" ht="15" customHeight="1" x14ac:dyDescent="0.25">
      <c r="A95" s="681"/>
      <c r="B95" s="206" t="s">
        <v>453</v>
      </c>
      <c r="C95" s="206" t="s">
        <v>461</v>
      </c>
      <c r="D95" s="206" t="s">
        <v>380</v>
      </c>
      <c r="E95" s="406" t="s">
        <v>237</v>
      </c>
      <c r="F95" s="206" t="s">
        <v>285</v>
      </c>
      <c r="G95" s="138">
        <v>1</v>
      </c>
      <c r="H95" s="138"/>
      <c r="I95" s="138"/>
      <c r="J95" s="138">
        <v>60</v>
      </c>
      <c r="K95" s="138">
        <v>60</v>
      </c>
      <c r="L95" s="206"/>
      <c r="M95" s="206"/>
      <c r="N95" s="206"/>
      <c r="O95" s="206"/>
      <c r="P95" s="180">
        <f>IF(Table_Shelter[[#This Row],[Status]]="Open",IF(V95="NO",Table_Shelter[[#This Row],[HH per Shelter]]*(Table_Shelter[[#This Row],['# of Temporary Shelter Units Built]]+Table_Shelter[[#This Row],['# of Temporary Shelter Under  Construction]]+Table_Shelter[[#This Row],['# of Permanent House Under Construction]]),0),0)</f>
        <v>60</v>
      </c>
      <c r="Q95" s="137"/>
      <c r="R95" s="206"/>
      <c r="S95" s="207" t="str">
        <f>IFERROR(VLOOKUP(Table_Shelter[[#This Row],[CampName]],CL,2,0),"")</f>
        <v>MMR001CMP014</v>
      </c>
      <c r="T95" s="207" t="str">
        <f>IFERROR(VLOOKUP(Table_Shelter[[#This Row],[CampName]],CL,3,0),"")</f>
        <v>Open</v>
      </c>
      <c r="U95" s="323">
        <f>IFERROR(Table_Shelter[[#This Row],[HH Covered]]/VLOOKUP(Table_Shelter[[#This Row],[CampName]],CL,4,0),"")</f>
        <v>0.43478260869565216</v>
      </c>
      <c r="V95" s="323" t="s">
        <v>1309</v>
      </c>
      <c r="W95" s="208"/>
    </row>
    <row r="96" spans="1:23" ht="15" customHeight="1" x14ac:dyDescent="0.25">
      <c r="A96" s="681"/>
      <c r="B96" s="206" t="s">
        <v>453</v>
      </c>
      <c r="C96" s="206"/>
      <c r="D96" s="206" t="s">
        <v>380</v>
      </c>
      <c r="E96" s="406" t="s">
        <v>237</v>
      </c>
      <c r="F96" s="206" t="s">
        <v>285</v>
      </c>
      <c r="G96" s="138">
        <v>1</v>
      </c>
      <c r="H96" s="138"/>
      <c r="I96" s="138"/>
      <c r="J96" s="138">
        <v>5</v>
      </c>
      <c r="K96" s="138">
        <v>5</v>
      </c>
      <c r="L96" s="206"/>
      <c r="M96" s="206"/>
      <c r="N96" s="206"/>
      <c r="O96" s="206"/>
      <c r="P96" s="180">
        <f>IF(Table_Shelter[[#This Row],[Status]]="Open",IF(V96="NO",Table_Shelter[[#This Row],[HH per Shelter]]*(Table_Shelter[[#This Row],['# of Temporary Shelter Units Built]]+Table_Shelter[[#This Row],['# of Temporary Shelter Under  Construction]]+Table_Shelter[[#This Row],['# of Permanent House Under Construction]]),0),0)</f>
        <v>5</v>
      </c>
      <c r="Q96" s="137"/>
      <c r="R96" s="206"/>
      <c r="S96" s="207" t="str">
        <f>IFERROR(VLOOKUP(Table_Shelter[[#This Row],[CampName]],CL,2,0),"")</f>
        <v>MMR001CMP014</v>
      </c>
      <c r="T96" s="207" t="str">
        <f>IFERROR(VLOOKUP(Table_Shelter[[#This Row],[CampName]],CL,3,0),"")</f>
        <v>Open</v>
      </c>
      <c r="U96" s="323">
        <f>IFERROR(Table_Shelter[[#This Row],[HH Covered]]/VLOOKUP(Table_Shelter[[#This Row],[CampName]],CL,4,0),"")</f>
        <v>3.6231884057971016E-2</v>
      </c>
      <c r="V96" s="323" t="s">
        <v>1309</v>
      </c>
      <c r="W96" s="208"/>
    </row>
    <row r="97" spans="1:118" s="178" customFormat="1" ht="15" customHeight="1" x14ac:dyDescent="0.25">
      <c r="A97" s="682">
        <v>41974</v>
      </c>
      <c r="B97" s="208" t="s">
        <v>453</v>
      </c>
      <c r="C97" s="208" t="s">
        <v>506</v>
      </c>
      <c r="D97" s="208" t="s">
        <v>380</v>
      </c>
      <c r="E97" s="212" t="s">
        <v>27</v>
      </c>
      <c r="F97" s="208" t="s">
        <v>365</v>
      </c>
      <c r="G97" s="140">
        <v>1</v>
      </c>
      <c r="H97" s="140"/>
      <c r="I97" s="140"/>
      <c r="J97" s="140">
        <v>35</v>
      </c>
      <c r="K97" s="140">
        <v>35</v>
      </c>
      <c r="L97" s="208"/>
      <c r="M97" s="208"/>
      <c r="N97" s="208"/>
      <c r="O97" s="208"/>
      <c r="P97" s="139">
        <f>IF(Table_Shelter[[#This Row],[Status]]="Open",IF(V97="NO",Table_Shelter[[#This Row],[HH per Shelter]]*(Table_Shelter[[#This Row],['# of Temporary Shelter Units Built]]+Table_Shelter[[#This Row],['# of Temporary Shelter Under  Construction]]+Table_Shelter[[#This Row],['# of Permanent House Under Construction]]),0),0)</f>
        <v>35</v>
      </c>
      <c r="Q97" s="139"/>
      <c r="R97" s="139"/>
      <c r="S97" s="139" t="str">
        <f>IFERROR(VLOOKUP(Table_Shelter[[#This Row],[CampName]],CL,2,0),"")</f>
        <v>MMR001CMP195</v>
      </c>
      <c r="T97" s="139" t="str">
        <f>IFERROR(VLOOKUP(Table_Shelter[[#This Row],[CampName]],CL,3,0),"")</f>
        <v>Open</v>
      </c>
      <c r="U97" s="323">
        <f>IFERROR(Table_Shelter[[#This Row],[HH Covered]]/VLOOKUP(Table_Shelter[[#This Row],[CampName]],CL,4,0),"")</f>
        <v>0.24475524475524477</v>
      </c>
      <c r="V97" s="323" t="s">
        <v>1309</v>
      </c>
      <c r="W97" s="139"/>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row>
    <row r="98" spans="1:118" s="178" customFormat="1" ht="15" customHeight="1" x14ac:dyDescent="0.25">
      <c r="A98" s="686">
        <v>42571</v>
      </c>
      <c r="B98" s="208" t="s">
        <v>453</v>
      </c>
      <c r="C98" s="208" t="s">
        <v>506</v>
      </c>
      <c r="D98" s="208" t="s">
        <v>380</v>
      </c>
      <c r="E98" s="212" t="s">
        <v>27</v>
      </c>
      <c r="F98" s="208" t="s">
        <v>365</v>
      </c>
      <c r="G98" s="138"/>
      <c r="H98" s="140"/>
      <c r="I98" s="140"/>
      <c r="J98" s="140"/>
      <c r="K98" s="140"/>
      <c r="L98" s="208"/>
      <c r="M98" s="208"/>
      <c r="N98" s="208"/>
      <c r="O98" s="208"/>
      <c r="P98" s="139">
        <f>IF(Table_Shelter[[#This Row],[Status]]="Open",IF(V98="NO",Table_Shelter[[#This Row],[HH per Shelter]]*(Table_Shelter[[#This Row],['# of Temporary Shelter Units Built]]+Table_Shelter[[#This Row],['# of Temporary Shelter Under  Construction]]+Table_Shelter[[#This Row],['# of Permanent House Under Construction]]),0),0)</f>
        <v>0</v>
      </c>
      <c r="Q98" s="139">
        <v>30</v>
      </c>
      <c r="R98" s="139"/>
      <c r="S98" s="139" t="str">
        <f>IFERROR(VLOOKUP(Table_Shelter[[#This Row],[CampName]],CL,2,0),"")</f>
        <v>MMR001CMP195</v>
      </c>
      <c r="T98" s="139" t="str">
        <f>IFERROR(VLOOKUP(Table_Shelter[[#This Row],[CampName]],CL,3,0),"")</f>
        <v>Open</v>
      </c>
      <c r="U98" s="323">
        <f>IFERROR(Table_Shelter[[#This Row],[HH Covered]]/VLOOKUP(Table_Shelter[[#This Row],[CampName]],CL,4,0),"")</f>
        <v>0</v>
      </c>
      <c r="V98" s="324">
        <f>VLOOKUP(Table_Shelter[[#This Row],[CampName]],CL,4,0)</f>
        <v>143</v>
      </c>
      <c r="W98" s="139"/>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row>
    <row r="99" spans="1:118" s="178" customFormat="1" ht="15" customHeight="1" x14ac:dyDescent="0.25">
      <c r="A99" s="682">
        <v>41791</v>
      </c>
      <c r="B99" s="138" t="s">
        <v>453</v>
      </c>
      <c r="C99" s="138" t="s">
        <v>506</v>
      </c>
      <c r="D99" s="213" t="s">
        <v>380</v>
      </c>
      <c r="E99" s="214" t="s">
        <v>27</v>
      </c>
      <c r="F99" s="138" t="s">
        <v>365</v>
      </c>
      <c r="G99" s="138">
        <v>1</v>
      </c>
      <c r="H99" s="140"/>
      <c r="I99" s="140"/>
      <c r="J99" s="140">
        <v>5</v>
      </c>
      <c r="K99" s="140">
        <v>5</v>
      </c>
      <c r="L99" s="140"/>
      <c r="M99" s="140"/>
      <c r="N99" s="140"/>
      <c r="O99" s="140"/>
      <c r="P99" s="139">
        <f>IF(Table_Shelter[[#This Row],[Status]]="Open",IF(V99="NO",Table_Shelter[[#This Row],[HH per Shelter]]*(Table_Shelter[[#This Row],['# of Temporary Shelter Units Built]]+Table_Shelter[[#This Row],['# of Temporary Shelter Under  Construction]]+Table_Shelter[[#This Row],['# of Permanent House Under Construction]]),0),0)</f>
        <v>5</v>
      </c>
      <c r="Q99" s="139"/>
      <c r="R99" s="139"/>
      <c r="S99" s="139" t="str">
        <f>IFERROR(VLOOKUP(Table_Shelter[[#This Row],[CampName]],CL,2,0),"")</f>
        <v>MMR001CMP195</v>
      </c>
      <c r="T99" s="139" t="str">
        <f>IFERROR(VLOOKUP(Table_Shelter[[#This Row],[CampName]],CL,3,0),"")</f>
        <v>Open</v>
      </c>
      <c r="U99" s="324">
        <f>IFERROR(Table_Shelter[[#This Row],[HH Covered]]/VLOOKUP(Table_Shelter[[#This Row],[CampName]],CL,4,0),"")</f>
        <v>3.4965034965034968E-2</v>
      </c>
      <c r="V99" s="323" t="s">
        <v>1309</v>
      </c>
      <c r="W99" s="139"/>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row>
    <row r="100" spans="1:118" ht="15" customHeight="1" x14ac:dyDescent="0.25">
      <c r="A100" s="682"/>
      <c r="B100" s="208" t="s">
        <v>453</v>
      </c>
      <c r="C100" s="208" t="s">
        <v>506</v>
      </c>
      <c r="D100" s="208" t="s">
        <v>380</v>
      </c>
      <c r="E100" s="212" t="s">
        <v>27</v>
      </c>
      <c r="F100" s="208" t="s">
        <v>365</v>
      </c>
      <c r="G100" s="140">
        <v>1</v>
      </c>
      <c r="H100" s="140"/>
      <c r="I100" s="140"/>
      <c r="J100" s="140">
        <v>33</v>
      </c>
      <c r="K100" s="140">
        <v>33</v>
      </c>
      <c r="L100" s="208"/>
      <c r="M100" s="208"/>
      <c r="N100" s="208"/>
      <c r="O100" s="208"/>
      <c r="P100" s="180">
        <f>IF(Table_Shelter[[#This Row],[Status]]="Open",IF(V100="NO",Table_Shelter[[#This Row],[HH per Shelter]]*(Table_Shelter[[#This Row],['# of Temporary Shelter Units Built]]+Table_Shelter[[#This Row],['# of Temporary Shelter Under  Construction]]+Table_Shelter[[#This Row],['# of Permanent House Under Construction]]),0),0)</f>
        <v>33</v>
      </c>
      <c r="Q100" s="139"/>
      <c r="R100" s="208"/>
      <c r="S100" s="207" t="str">
        <f>IFERROR(VLOOKUP(Table_Shelter[[#This Row],[CampName]],CL,2,0),"")</f>
        <v>MMR001CMP195</v>
      </c>
      <c r="T100" s="207" t="str">
        <f>IFERROR(VLOOKUP(Table_Shelter[[#This Row],[CampName]],CL,3,0),"")</f>
        <v>Open</v>
      </c>
      <c r="U100" s="323">
        <f>IFERROR(Table_Shelter[[#This Row],[HH Covered]]/VLOOKUP(Table_Shelter[[#This Row],[CampName]],CL,4,0),"")</f>
        <v>0.23076923076923078</v>
      </c>
      <c r="V100" s="323" t="s">
        <v>1309</v>
      </c>
      <c r="W100" s="208"/>
    </row>
    <row r="101" spans="1:118" ht="15" customHeight="1" x14ac:dyDescent="0.25">
      <c r="A101" s="681">
        <v>41974</v>
      </c>
      <c r="B101" s="206" t="s">
        <v>453</v>
      </c>
      <c r="C101" s="206" t="s">
        <v>506</v>
      </c>
      <c r="D101" s="206" t="s">
        <v>380</v>
      </c>
      <c r="E101" s="406" t="s">
        <v>528</v>
      </c>
      <c r="F101" s="206" t="s">
        <v>90</v>
      </c>
      <c r="G101" s="138">
        <v>1</v>
      </c>
      <c r="H101" s="138"/>
      <c r="I101" s="138"/>
      <c r="J101" s="138">
        <v>5</v>
      </c>
      <c r="K101" s="138">
        <v>5</v>
      </c>
      <c r="L101" s="206"/>
      <c r="M101" s="206"/>
      <c r="N101" s="206"/>
      <c r="O101" s="206"/>
      <c r="P101" s="139">
        <f>IF(Table_Shelter[[#This Row],[Status]]="Open",IF(V101="NO",Table_Shelter[[#This Row],[HH per Shelter]]*(Table_Shelter[[#This Row],['# of Temporary Shelter Units Built]]+Table_Shelter[[#This Row],['# of Temporary Shelter Under  Construction]]+Table_Shelter[[#This Row],['# of Permanent House Under Construction]]),0),0)</f>
        <v>5</v>
      </c>
      <c r="Q101" s="137"/>
      <c r="R101" s="137"/>
      <c r="S101" s="139" t="str">
        <f>IFERROR(VLOOKUP(Table_Shelter[[#This Row],[CampName]],CL,2,0),"")</f>
        <v>MMR001CMP181</v>
      </c>
      <c r="T101" s="139" t="str">
        <f>IFERROR(VLOOKUP(Table_Shelter[[#This Row],[CampName]],CL,3,0),"")</f>
        <v>Open</v>
      </c>
      <c r="U101" s="323">
        <f>IFERROR(Table_Shelter[[#This Row],[HH Covered]]/VLOOKUP(Table_Shelter[[#This Row],[CampName]],CL,4,0),"")</f>
        <v>0.2</v>
      </c>
      <c r="V101" s="323" t="s">
        <v>1309</v>
      </c>
      <c r="W101" s="139"/>
    </row>
    <row r="102" spans="1:118" ht="15" customHeight="1" x14ac:dyDescent="0.25">
      <c r="A102" s="682">
        <v>41791</v>
      </c>
      <c r="B102" s="138" t="s">
        <v>453</v>
      </c>
      <c r="C102" s="138" t="s">
        <v>506</v>
      </c>
      <c r="D102" s="213" t="s">
        <v>380</v>
      </c>
      <c r="E102" s="214" t="s">
        <v>528</v>
      </c>
      <c r="F102" s="138" t="s">
        <v>90</v>
      </c>
      <c r="G102" s="138">
        <v>1</v>
      </c>
      <c r="H102" s="140"/>
      <c r="I102" s="140"/>
      <c r="J102" s="140">
        <v>2</v>
      </c>
      <c r="K102" s="140">
        <v>2</v>
      </c>
      <c r="L102" s="140"/>
      <c r="M102" s="140"/>
      <c r="N102" s="140"/>
      <c r="O102" s="140"/>
      <c r="P102" s="139">
        <f>IF(Table_Shelter[[#This Row],[Status]]="Open",IF(V102="NO",Table_Shelter[[#This Row],[HH per Shelter]]*(Table_Shelter[[#This Row],['# of Temporary Shelter Units Built]]+Table_Shelter[[#This Row],['# of Temporary Shelter Under  Construction]]+Table_Shelter[[#This Row],['# of Permanent House Under Construction]]),0),0)</f>
        <v>2</v>
      </c>
      <c r="Q102" s="139"/>
      <c r="R102" s="139"/>
      <c r="S102" s="139" t="str">
        <f>IFERROR(VLOOKUP(Table_Shelter[[#This Row],[CampName]],CL,2,0),"")</f>
        <v>MMR001CMP181</v>
      </c>
      <c r="T102" s="139" t="str">
        <f>IFERROR(VLOOKUP(Table_Shelter[[#This Row],[CampName]],CL,3,0),"")</f>
        <v>Open</v>
      </c>
      <c r="U102" s="324">
        <f>IFERROR(Table_Shelter[[#This Row],[HH Covered]]/VLOOKUP(Table_Shelter[[#This Row],[CampName]],CL,4,0),"")</f>
        <v>0.08</v>
      </c>
      <c r="V102" s="323" t="s">
        <v>1309</v>
      </c>
      <c r="W102" s="139"/>
    </row>
    <row r="103" spans="1:118" ht="15" customHeight="1" x14ac:dyDescent="0.25">
      <c r="A103" s="681">
        <v>41609</v>
      </c>
      <c r="B103" s="206" t="s">
        <v>453</v>
      </c>
      <c r="C103" s="206" t="s">
        <v>506</v>
      </c>
      <c r="D103" s="206" t="s">
        <v>380</v>
      </c>
      <c r="E103" s="406" t="s">
        <v>528</v>
      </c>
      <c r="F103" s="206" t="s">
        <v>90</v>
      </c>
      <c r="G103" s="138">
        <v>1</v>
      </c>
      <c r="H103" s="138"/>
      <c r="I103" s="138"/>
      <c r="J103" s="138">
        <v>18</v>
      </c>
      <c r="K103" s="138">
        <v>18</v>
      </c>
      <c r="L103" s="206"/>
      <c r="M103" s="206"/>
      <c r="N103" s="206"/>
      <c r="O103" s="206"/>
      <c r="P103" s="180">
        <f>IF(Table_Shelter[[#This Row],[Status]]="Open",IF(V103="NO",Table_Shelter[[#This Row],[HH per Shelter]]*(Table_Shelter[[#This Row],['# of Temporary Shelter Units Built]]+Table_Shelter[[#This Row],['# of Temporary Shelter Under  Construction]]+Table_Shelter[[#This Row],['# of Permanent House Under Construction]]),0),0)</f>
        <v>18</v>
      </c>
      <c r="Q103" s="137"/>
      <c r="R103" s="206"/>
      <c r="S103" s="207" t="str">
        <f>IFERROR(VLOOKUP(Table_Shelter[[#This Row],[CampName]],CL,2,0),"")</f>
        <v>MMR001CMP181</v>
      </c>
      <c r="T103" s="207" t="str">
        <f>IFERROR(VLOOKUP(Table_Shelter[[#This Row],[CampName]],CL,3,0),"")</f>
        <v>Open</v>
      </c>
      <c r="U103" s="323">
        <f>IFERROR(Table_Shelter[[#This Row],[HH Covered]]/VLOOKUP(Table_Shelter[[#This Row],[CampName]],CL,4,0),"")</f>
        <v>0.72</v>
      </c>
      <c r="V103" s="323" t="s">
        <v>1309</v>
      </c>
      <c r="W103" s="208"/>
    </row>
    <row r="104" spans="1:118" ht="15" customHeight="1" x14ac:dyDescent="0.25">
      <c r="A104" s="681">
        <v>41974</v>
      </c>
      <c r="B104" s="206" t="s">
        <v>453</v>
      </c>
      <c r="C104" s="206" t="s">
        <v>506</v>
      </c>
      <c r="D104" s="206" t="s">
        <v>380</v>
      </c>
      <c r="E104" s="406" t="s">
        <v>528</v>
      </c>
      <c r="F104" s="206" t="s">
        <v>92</v>
      </c>
      <c r="G104" s="138">
        <v>1</v>
      </c>
      <c r="H104" s="138"/>
      <c r="I104" s="138"/>
      <c r="J104" s="138">
        <v>15</v>
      </c>
      <c r="K104" s="138">
        <v>15</v>
      </c>
      <c r="L104" s="206"/>
      <c r="M104" s="206"/>
      <c r="N104" s="206"/>
      <c r="O104" s="206"/>
      <c r="P104" s="180">
        <f>IF(Table_Shelter[[#This Row],[Status]]="Open",IF(V104="NO",Table_Shelter[[#This Row],[HH per Shelter]]*(Table_Shelter[[#This Row],['# of Temporary Shelter Units Built]]+Table_Shelter[[#This Row],['# of Temporary Shelter Under  Construction]]+Table_Shelter[[#This Row],['# of Permanent House Under Construction]]),0),0)</f>
        <v>15</v>
      </c>
      <c r="Q104" s="137"/>
      <c r="R104" s="206"/>
      <c r="S104" s="207" t="str">
        <f>IFERROR(VLOOKUP(Table_Shelter[[#This Row],[CampName]],CL,2,0),"")</f>
        <v>MMR001CMP167</v>
      </c>
      <c r="T104" s="207" t="str">
        <f>IFERROR(VLOOKUP(Table_Shelter[[#This Row],[CampName]],CL,3,0),"")</f>
        <v>Open</v>
      </c>
      <c r="U104" s="323">
        <f>IFERROR(Table_Shelter[[#This Row],[HH Covered]]/VLOOKUP(Table_Shelter[[#This Row],[CampName]],CL,4,0),"")</f>
        <v>1</v>
      </c>
      <c r="V104" s="323" t="s">
        <v>1309</v>
      </c>
      <c r="W104" s="208"/>
    </row>
    <row r="105" spans="1:118" ht="15" customHeight="1" x14ac:dyDescent="0.25">
      <c r="A105" s="681">
        <v>42416</v>
      </c>
      <c r="B105" s="206" t="s">
        <v>453</v>
      </c>
      <c r="C105" s="206" t="s">
        <v>506</v>
      </c>
      <c r="D105" s="209" t="s">
        <v>380</v>
      </c>
      <c r="E105" s="406" t="s">
        <v>5</v>
      </c>
      <c r="F105" s="206" t="s">
        <v>18</v>
      </c>
      <c r="G105" s="138">
        <v>1</v>
      </c>
      <c r="H105" s="138"/>
      <c r="I105" s="138"/>
      <c r="J105" s="138">
        <v>15</v>
      </c>
      <c r="K105" s="138">
        <v>15</v>
      </c>
      <c r="L105" s="206"/>
      <c r="M105" s="206"/>
      <c r="N105" s="206"/>
      <c r="O105" s="206"/>
      <c r="P105" s="180">
        <f>IF(Table_Shelter[[#This Row],[Status]]="Open",IF(V105="NO",Table_Shelter[[#This Row],[HH per Shelter]]*(Table_Shelter[[#This Row],['# of Temporary Shelter Units Built]]+Table_Shelter[[#This Row],['# of Temporary Shelter Under  Construction]]+Table_Shelter[[#This Row],['# of Permanent House Under Construction]]),0),0)</f>
        <v>15</v>
      </c>
      <c r="Q105" s="137"/>
      <c r="R105" s="206"/>
      <c r="S105" s="207" t="str">
        <f>IFERROR(VLOOKUP(Table_Shelter[[#This Row],[CampName]],CL,2,0),"")</f>
        <v>MMR001CMP049</v>
      </c>
      <c r="T105" s="207" t="str">
        <f>IFERROR(VLOOKUP(Table_Shelter[[#This Row],[CampName]],CL,3,0),"")</f>
        <v>Open</v>
      </c>
      <c r="U105" s="323">
        <f>IFERROR(Table_Shelter[[#This Row],[HH Covered]]/VLOOKUP(Table_Shelter[[#This Row],[CampName]],CL,4,0),"")</f>
        <v>0.12931034482758622</v>
      </c>
      <c r="V105" s="323" t="s">
        <v>1309</v>
      </c>
      <c r="W105" s="208"/>
    </row>
    <row r="106" spans="1:118" ht="15" customHeight="1" x14ac:dyDescent="0.25">
      <c r="A106" s="682">
        <v>41974</v>
      </c>
      <c r="B106" s="208" t="s">
        <v>453</v>
      </c>
      <c r="C106" s="208" t="s">
        <v>506</v>
      </c>
      <c r="D106" s="208" t="s">
        <v>380</v>
      </c>
      <c r="E106" s="212" t="s">
        <v>5</v>
      </c>
      <c r="F106" s="208" t="s">
        <v>18</v>
      </c>
      <c r="G106" s="140">
        <v>1</v>
      </c>
      <c r="H106" s="140"/>
      <c r="I106" s="140"/>
      <c r="J106" s="140">
        <v>15</v>
      </c>
      <c r="K106" s="140">
        <v>15</v>
      </c>
      <c r="L106" s="208"/>
      <c r="M106" s="208"/>
      <c r="N106" s="208"/>
      <c r="O106" s="208"/>
      <c r="P106" s="180">
        <f>IF(Table_Shelter[[#This Row],[Status]]="Open",IF(V106="NO",Table_Shelter[[#This Row],[HH per Shelter]]*(Table_Shelter[[#This Row],['# of Temporary Shelter Units Built]]+Table_Shelter[[#This Row],['# of Temporary Shelter Under  Construction]]+Table_Shelter[[#This Row],['# of Permanent House Under Construction]]),0),0)</f>
        <v>15</v>
      </c>
      <c r="Q106" s="139">
        <v>8</v>
      </c>
      <c r="R106" s="208"/>
      <c r="S106" s="207" t="str">
        <f>IFERROR(VLOOKUP(Table_Shelter[[#This Row],[CampName]],CL,2,0),"")</f>
        <v>MMR001CMP049</v>
      </c>
      <c r="T106" s="207" t="str">
        <f>IFERROR(VLOOKUP(Table_Shelter[[#This Row],[CampName]],CL,3,0),"")</f>
        <v>Open</v>
      </c>
      <c r="U106" s="323">
        <f>IFERROR(Table_Shelter[[#This Row],[HH Covered]]/VLOOKUP(Table_Shelter[[#This Row],[CampName]],CL,4,0),"")</f>
        <v>0.12931034482758622</v>
      </c>
      <c r="V106" s="323" t="s">
        <v>1309</v>
      </c>
      <c r="W106" s="208"/>
    </row>
    <row r="107" spans="1:118" ht="15" customHeight="1" x14ac:dyDescent="0.25">
      <c r="A107" s="681">
        <v>41609</v>
      </c>
      <c r="B107" s="208" t="s">
        <v>453</v>
      </c>
      <c r="C107" s="208" t="s">
        <v>506</v>
      </c>
      <c r="D107" s="208" t="s">
        <v>380</v>
      </c>
      <c r="E107" s="212" t="s">
        <v>5</v>
      </c>
      <c r="F107" s="208" t="s">
        <v>18</v>
      </c>
      <c r="G107" s="140">
        <v>1</v>
      </c>
      <c r="H107" s="138"/>
      <c r="I107" s="138"/>
      <c r="J107" s="138">
        <v>10</v>
      </c>
      <c r="K107" s="138">
        <v>10</v>
      </c>
      <c r="L107" s="206"/>
      <c r="M107" s="206"/>
      <c r="N107" s="206"/>
      <c r="O107" s="206"/>
      <c r="P107" s="139">
        <f>IF(Table_Shelter[[#This Row],[Status]]="Open",IF(V107="NO",Table_Shelter[[#This Row],[HH per Shelter]]*(Table_Shelter[[#This Row],['# of Temporary Shelter Units Built]]+Table_Shelter[[#This Row],['# of Temporary Shelter Under  Construction]]+Table_Shelter[[#This Row],['# of Permanent House Under Construction]]),0),0)</f>
        <v>10</v>
      </c>
      <c r="Q107" s="137"/>
      <c r="R107" s="137"/>
      <c r="S107" s="139" t="str">
        <f>IFERROR(VLOOKUP(Table_Shelter[[#This Row],[CampName]],CL,2,0),"")</f>
        <v>MMR001CMP049</v>
      </c>
      <c r="T107" s="139" t="str">
        <f>IFERROR(VLOOKUP(Table_Shelter[[#This Row],[CampName]],CL,3,0),"")</f>
        <v>Open</v>
      </c>
      <c r="U107" s="323">
        <f>IFERROR(Table_Shelter[[#This Row],[HH Covered]]/VLOOKUP(Table_Shelter[[#This Row],[CampName]],CL,4,0),"")</f>
        <v>8.6206896551724144E-2</v>
      </c>
      <c r="V107" s="323" t="s">
        <v>1309</v>
      </c>
      <c r="W107" s="139"/>
    </row>
    <row r="108" spans="1:118" ht="15" customHeight="1" x14ac:dyDescent="0.25">
      <c r="A108" s="681"/>
      <c r="B108" s="206" t="s">
        <v>847</v>
      </c>
      <c r="C108" s="206"/>
      <c r="D108" s="209" t="s">
        <v>380</v>
      </c>
      <c r="E108" s="406" t="s">
        <v>5</v>
      </c>
      <c r="F108" s="206" t="s">
        <v>18</v>
      </c>
      <c r="G108" s="138">
        <v>1</v>
      </c>
      <c r="H108" s="138"/>
      <c r="I108" s="138"/>
      <c r="J108" s="138">
        <v>12</v>
      </c>
      <c r="K108" s="138">
        <v>12</v>
      </c>
      <c r="L108" s="206"/>
      <c r="M108" s="206"/>
      <c r="N108" s="206"/>
      <c r="O108" s="206"/>
      <c r="P108" s="180">
        <f>IF(Table_Shelter[[#This Row],[Status]]="Open",IF(V108="NO",Table_Shelter[[#This Row],[HH per Shelter]]*(Table_Shelter[[#This Row],['# of Temporary Shelter Units Built]]+Table_Shelter[[#This Row],['# of Temporary Shelter Under  Construction]]+Table_Shelter[[#This Row],['# of Permanent House Under Construction]]),0),0)</f>
        <v>12</v>
      </c>
      <c r="Q108" s="137"/>
      <c r="R108" s="206"/>
      <c r="S108" s="207" t="str">
        <f>IFERROR(VLOOKUP(Table_Shelter[[#This Row],[CampName]],CL,2,0),"")</f>
        <v>MMR001CMP049</v>
      </c>
      <c r="T108" s="207" t="str">
        <f>IFERROR(VLOOKUP(Table_Shelter[[#This Row],[CampName]],CL,3,0),"")</f>
        <v>Open</v>
      </c>
      <c r="U108" s="323">
        <f>IFERROR(Table_Shelter[[#This Row],[HH Covered]]/VLOOKUP(Table_Shelter[[#This Row],[CampName]],CL,4,0),"")</f>
        <v>0.10344827586206896</v>
      </c>
      <c r="V108" s="323" t="s">
        <v>1309</v>
      </c>
      <c r="W108" s="208"/>
    </row>
    <row r="109" spans="1:118" ht="15" customHeight="1" x14ac:dyDescent="0.25">
      <c r="A109" s="681"/>
      <c r="B109" s="206" t="s">
        <v>453</v>
      </c>
      <c r="C109" s="206" t="s">
        <v>847</v>
      </c>
      <c r="D109" s="209" t="s">
        <v>380</v>
      </c>
      <c r="E109" s="406" t="s">
        <v>5</v>
      </c>
      <c r="F109" s="206" t="s">
        <v>18</v>
      </c>
      <c r="G109" s="138">
        <v>1</v>
      </c>
      <c r="H109" s="138"/>
      <c r="I109" s="138"/>
      <c r="J109" s="138">
        <v>30</v>
      </c>
      <c r="K109" s="138">
        <v>30</v>
      </c>
      <c r="L109" s="206"/>
      <c r="M109" s="206"/>
      <c r="N109" s="206"/>
      <c r="O109" s="206"/>
      <c r="P109" s="180">
        <f>IF(Table_Shelter[[#This Row],[Status]]="Open",IF(V109="NO",Table_Shelter[[#This Row],[HH per Shelter]]*(Table_Shelter[[#This Row],['# of Temporary Shelter Units Built]]+Table_Shelter[[#This Row],['# of Temporary Shelter Under  Construction]]+Table_Shelter[[#This Row],['# of Permanent House Under Construction]]),0),0)</f>
        <v>30</v>
      </c>
      <c r="Q109" s="137"/>
      <c r="R109" s="206"/>
      <c r="S109" s="207" t="str">
        <f>IFERROR(VLOOKUP(Table_Shelter[[#This Row],[CampName]],CL,2,0),"")</f>
        <v>MMR001CMP049</v>
      </c>
      <c r="T109" s="207" t="str">
        <f>IFERROR(VLOOKUP(Table_Shelter[[#This Row],[CampName]],CL,3,0),"")</f>
        <v>Open</v>
      </c>
      <c r="U109" s="323">
        <f>IFERROR(Table_Shelter[[#This Row],[HH Covered]]/VLOOKUP(Table_Shelter[[#This Row],[CampName]],CL,4,0),"")</f>
        <v>0.25862068965517243</v>
      </c>
      <c r="V109" s="323" t="s">
        <v>1309</v>
      </c>
      <c r="W109" s="208"/>
    </row>
    <row r="110" spans="1:118" ht="15" customHeight="1" x14ac:dyDescent="0.25">
      <c r="A110" s="682"/>
      <c r="B110" s="208" t="s">
        <v>453</v>
      </c>
      <c r="C110" s="208"/>
      <c r="D110" s="208" t="s">
        <v>380</v>
      </c>
      <c r="E110" s="212" t="s">
        <v>5</v>
      </c>
      <c r="F110" s="208" t="s">
        <v>18</v>
      </c>
      <c r="G110" s="140">
        <v>1</v>
      </c>
      <c r="H110" s="140"/>
      <c r="I110" s="140"/>
      <c r="J110" s="140">
        <v>15</v>
      </c>
      <c r="K110" s="140">
        <v>15</v>
      </c>
      <c r="L110" s="208"/>
      <c r="M110" s="208"/>
      <c r="N110" s="208"/>
      <c r="O110" s="208"/>
      <c r="P110" s="180">
        <f>IF(Table_Shelter[[#This Row],[Status]]="Open",IF(V110="NO",Table_Shelter[[#This Row],[HH per Shelter]]*(Table_Shelter[[#This Row],['# of Temporary Shelter Units Built]]+Table_Shelter[[#This Row],['# of Temporary Shelter Under  Construction]]+Table_Shelter[[#This Row],['# of Permanent House Under Construction]]),0),0)</f>
        <v>15</v>
      </c>
      <c r="Q110" s="139"/>
      <c r="R110" s="208"/>
      <c r="S110" s="207" t="str">
        <f>IFERROR(VLOOKUP(Table_Shelter[[#This Row],[CampName]],CL,2,0),"")</f>
        <v>MMR001CMP049</v>
      </c>
      <c r="T110" s="207" t="str">
        <f>IFERROR(VLOOKUP(Table_Shelter[[#This Row],[CampName]],CL,3,0),"")</f>
        <v>Open</v>
      </c>
      <c r="U110" s="323">
        <f>IFERROR(Table_Shelter[[#This Row],[HH Covered]]/VLOOKUP(Table_Shelter[[#This Row],[CampName]],CL,4,0),"")</f>
        <v>0.12931034482758622</v>
      </c>
      <c r="V110" s="323" t="s">
        <v>1309</v>
      </c>
      <c r="W110" s="208"/>
    </row>
    <row r="111" spans="1:118" ht="15" customHeight="1" x14ac:dyDescent="0.25">
      <c r="A111" s="682"/>
      <c r="B111" s="206" t="s">
        <v>453</v>
      </c>
      <c r="C111" s="206" t="s">
        <v>506</v>
      </c>
      <c r="D111" s="213" t="s">
        <v>380</v>
      </c>
      <c r="E111" s="406" t="s">
        <v>5</v>
      </c>
      <c r="F111" s="206" t="s">
        <v>18</v>
      </c>
      <c r="G111" s="138">
        <v>1</v>
      </c>
      <c r="H111" s="140"/>
      <c r="I111" s="140"/>
      <c r="J111" s="140">
        <v>5</v>
      </c>
      <c r="K111" s="140">
        <v>5</v>
      </c>
      <c r="L111" s="208"/>
      <c r="M111" s="208"/>
      <c r="N111" s="208"/>
      <c r="O111" s="208"/>
      <c r="P111" s="139">
        <f>IF(Table_Shelter[[#This Row],[Status]]="Open",IF(V111="NO",Table_Shelter[[#This Row],[HH per Shelter]]*(Table_Shelter[[#This Row],['# of Temporary Shelter Units Built]]+Table_Shelter[[#This Row],['# of Temporary Shelter Under  Construction]]+Table_Shelter[[#This Row],['# of Permanent House Under Construction]]),0),0)</f>
        <v>5</v>
      </c>
      <c r="Q111" s="139"/>
      <c r="R111" s="139"/>
      <c r="S111" s="139" t="str">
        <f>IFERROR(VLOOKUP(Table_Shelter[[#This Row],[CampName]],CL,2,0),"")</f>
        <v>MMR001CMP049</v>
      </c>
      <c r="T111" s="139" t="str">
        <f>IFERROR(VLOOKUP(Table_Shelter[[#This Row],[CampName]],CL,3,0),"")</f>
        <v>Open</v>
      </c>
      <c r="U111" s="323">
        <f>IFERROR(Table_Shelter[[#This Row],[HH Covered]]/VLOOKUP(Table_Shelter[[#This Row],[CampName]],CL,4,0),"")</f>
        <v>4.3103448275862072E-2</v>
      </c>
      <c r="V111" s="323" t="s">
        <v>1309</v>
      </c>
      <c r="W111" s="139"/>
    </row>
    <row r="112" spans="1:118" ht="15" customHeight="1" x14ac:dyDescent="0.25">
      <c r="A112" s="682"/>
      <c r="B112" s="208" t="s">
        <v>453</v>
      </c>
      <c r="C112" s="208"/>
      <c r="D112" s="208" t="s">
        <v>380</v>
      </c>
      <c r="E112" s="212" t="s">
        <v>185</v>
      </c>
      <c r="F112" s="208" t="s">
        <v>186</v>
      </c>
      <c r="G112" s="140">
        <v>1</v>
      </c>
      <c r="H112" s="140"/>
      <c r="I112" s="140"/>
      <c r="J112" s="140">
        <v>12</v>
      </c>
      <c r="K112" s="140">
        <v>12</v>
      </c>
      <c r="L112" s="208"/>
      <c r="M112" s="208"/>
      <c r="N112" s="208"/>
      <c r="O112" s="208"/>
      <c r="P112" s="180">
        <f>IF(Table_Shelter[[#This Row],[Status]]="Open",IF(V112="NO",Table_Shelter[[#This Row],[HH per Shelter]]*(Table_Shelter[[#This Row],['# of Temporary Shelter Units Built]]+Table_Shelter[[#This Row],['# of Temporary Shelter Under  Construction]]+Table_Shelter[[#This Row],['# of Permanent House Under Construction]]),0),0)</f>
        <v>12</v>
      </c>
      <c r="Q112" s="139"/>
      <c r="R112" s="208"/>
      <c r="S112" s="207" t="str">
        <f>IFERROR(VLOOKUP(Table_Shelter[[#This Row],[CampName]],CL,2,0),"")</f>
        <v>MMR001CMP071</v>
      </c>
      <c r="T112" s="207" t="str">
        <f>IFERROR(VLOOKUP(Table_Shelter[[#This Row],[CampName]],CL,3,0),"")</f>
        <v>Open</v>
      </c>
      <c r="U112" s="323">
        <f>IFERROR(Table_Shelter[[#This Row],[HH Covered]]/VLOOKUP(Table_Shelter[[#This Row],[CampName]],CL,4,0),"")</f>
        <v>0.33333333333333331</v>
      </c>
      <c r="V112" s="323" t="s">
        <v>1309</v>
      </c>
      <c r="W112" s="208"/>
    </row>
    <row r="113" spans="1:118" ht="15" customHeight="1" x14ac:dyDescent="0.25">
      <c r="A113" s="682"/>
      <c r="B113" s="206" t="s">
        <v>453</v>
      </c>
      <c r="C113" s="206" t="s">
        <v>461</v>
      </c>
      <c r="D113" s="213" t="s">
        <v>380</v>
      </c>
      <c r="E113" s="406" t="s">
        <v>185</v>
      </c>
      <c r="F113" s="206" t="s">
        <v>186</v>
      </c>
      <c r="G113" s="138">
        <v>1</v>
      </c>
      <c r="H113" s="140"/>
      <c r="I113" s="140"/>
      <c r="J113" s="140">
        <v>27</v>
      </c>
      <c r="K113" s="140">
        <v>27</v>
      </c>
      <c r="L113" s="208"/>
      <c r="M113" s="208"/>
      <c r="N113" s="208"/>
      <c r="O113" s="208"/>
      <c r="P113" s="139">
        <f>IF(Table_Shelter[[#This Row],[Status]]="Open",IF(V113="NO",Table_Shelter[[#This Row],[HH per Shelter]]*(Table_Shelter[[#This Row],['# of Temporary Shelter Units Built]]+Table_Shelter[[#This Row],['# of Temporary Shelter Under  Construction]]+Table_Shelter[[#This Row],['# of Permanent House Under Construction]]),0),0)</f>
        <v>27</v>
      </c>
      <c r="Q113" s="139"/>
      <c r="R113" s="139"/>
      <c r="S113" s="139" t="str">
        <f>IFERROR(VLOOKUP(Table_Shelter[[#This Row],[CampName]],CL,2,0),"")</f>
        <v>MMR001CMP071</v>
      </c>
      <c r="T113" s="139" t="str">
        <f>IFERROR(VLOOKUP(Table_Shelter[[#This Row],[CampName]],CL,3,0),"")</f>
        <v>Open</v>
      </c>
      <c r="U113" s="323">
        <f>IFERROR(Table_Shelter[[#This Row],[HH Covered]]/VLOOKUP(Table_Shelter[[#This Row],[CampName]],CL,4,0),"")</f>
        <v>0.75</v>
      </c>
      <c r="V113" s="323" t="s">
        <v>1309</v>
      </c>
      <c r="W113" s="139"/>
    </row>
    <row r="114" spans="1:118" ht="15" customHeight="1" x14ac:dyDescent="0.25">
      <c r="A114" s="681">
        <v>41974</v>
      </c>
      <c r="B114" s="206" t="s">
        <v>453</v>
      </c>
      <c r="C114" s="206" t="s">
        <v>461</v>
      </c>
      <c r="D114" s="206" t="s">
        <v>380</v>
      </c>
      <c r="E114" s="406" t="s">
        <v>185</v>
      </c>
      <c r="F114" s="206" t="s">
        <v>223</v>
      </c>
      <c r="G114" s="138">
        <v>1</v>
      </c>
      <c r="H114" s="138"/>
      <c r="I114" s="138"/>
      <c r="J114" s="138">
        <v>21</v>
      </c>
      <c r="K114" s="138">
        <v>21</v>
      </c>
      <c r="L114" s="206"/>
      <c r="M114" s="206"/>
      <c r="N114" s="206"/>
      <c r="O114" s="206"/>
      <c r="P114" s="180">
        <f>IF(Table_Shelter[[#This Row],[Status]]="Open",IF(V114="NO",Table_Shelter[[#This Row],[HH per Shelter]]*(Table_Shelter[[#This Row],['# of Temporary Shelter Units Built]]+Table_Shelter[[#This Row],['# of Temporary Shelter Under  Construction]]+Table_Shelter[[#This Row],['# of Permanent House Under Construction]]),0),0)</f>
        <v>21</v>
      </c>
      <c r="Q114" s="137"/>
      <c r="R114" s="206"/>
      <c r="S114" s="207" t="str">
        <f>IFERROR(VLOOKUP(Table_Shelter[[#This Row],[CampName]],CL,2,0),"")</f>
        <v>MMR001CMP069</v>
      </c>
      <c r="T114" s="207" t="str">
        <f>IFERROR(VLOOKUP(Table_Shelter[[#This Row],[CampName]],CL,3,0),"")</f>
        <v>Open</v>
      </c>
      <c r="U114" s="323">
        <f>IFERROR(Table_Shelter[[#This Row],[HH Covered]]/VLOOKUP(Table_Shelter[[#This Row],[CampName]],CL,4,0),"")</f>
        <v>0.16935483870967741</v>
      </c>
      <c r="V114" s="323" t="s">
        <v>1309</v>
      </c>
      <c r="W114" s="208"/>
    </row>
    <row r="115" spans="1:118" ht="15" customHeight="1" x14ac:dyDescent="0.25">
      <c r="A115" s="681"/>
      <c r="B115" s="206" t="s">
        <v>593</v>
      </c>
      <c r="C115" s="206"/>
      <c r="D115" s="209" t="s">
        <v>380</v>
      </c>
      <c r="E115" s="406" t="s">
        <v>185</v>
      </c>
      <c r="F115" s="206" t="s">
        <v>223</v>
      </c>
      <c r="G115" s="138">
        <v>1</v>
      </c>
      <c r="H115" s="138"/>
      <c r="I115" s="138"/>
      <c r="J115" s="138">
        <v>40</v>
      </c>
      <c r="K115" s="138">
        <v>40</v>
      </c>
      <c r="L115" s="206"/>
      <c r="M115" s="206"/>
      <c r="N115" s="206"/>
      <c r="O115" s="206"/>
      <c r="P115" s="180">
        <f>IF(Table_Shelter[[#This Row],[Status]]="Open",IF(V115="NO",Table_Shelter[[#This Row],[HH per Shelter]]*(Table_Shelter[[#This Row],['# of Temporary Shelter Units Built]]+Table_Shelter[[#This Row],['# of Temporary Shelter Under  Construction]]+Table_Shelter[[#This Row],['# of Permanent House Under Construction]]),0),0)</f>
        <v>40</v>
      </c>
      <c r="Q115" s="137"/>
      <c r="R115" s="206"/>
      <c r="S115" s="207" t="str">
        <f>IFERROR(VLOOKUP(Table_Shelter[[#This Row],[CampName]],CL,2,0),"")</f>
        <v>MMR001CMP069</v>
      </c>
      <c r="T115" s="207" t="str">
        <f>IFERROR(VLOOKUP(Table_Shelter[[#This Row],[CampName]],CL,3,0),"")</f>
        <v>Open</v>
      </c>
      <c r="U115" s="323">
        <f>IFERROR(Table_Shelter[[#This Row],[HH Covered]]/VLOOKUP(Table_Shelter[[#This Row],[CampName]],CL,4,0),"")</f>
        <v>0.32258064516129031</v>
      </c>
      <c r="V115" s="323" t="s">
        <v>1309</v>
      </c>
      <c r="W115" s="208"/>
    </row>
    <row r="116" spans="1:118" ht="15" customHeight="1" x14ac:dyDescent="0.25">
      <c r="A116" s="681"/>
      <c r="B116" s="206" t="s">
        <v>453</v>
      </c>
      <c r="C116" s="206"/>
      <c r="D116" s="206" t="s">
        <v>380</v>
      </c>
      <c r="E116" s="406" t="s">
        <v>185</v>
      </c>
      <c r="F116" s="206" t="s">
        <v>223</v>
      </c>
      <c r="G116" s="138">
        <v>1</v>
      </c>
      <c r="H116" s="138"/>
      <c r="I116" s="138"/>
      <c r="J116" s="138">
        <v>6</v>
      </c>
      <c r="K116" s="138">
        <v>6</v>
      </c>
      <c r="L116" s="206"/>
      <c r="M116" s="206"/>
      <c r="N116" s="206"/>
      <c r="O116" s="206"/>
      <c r="P116" s="180">
        <f>IF(Table_Shelter[[#This Row],[Status]]="Open",IF(V116="NO",Table_Shelter[[#This Row],[HH per Shelter]]*(Table_Shelter[[#This Row],['# of Temporary Shelter Units Built]]+Table_Shelter[[#This Row],['# of Temporary Shelter Under  Construction]]+Table_Shelter[[#This Row],['# of Permanent House Under Construction]]),0),0)</f>
        <v>6</v>
      </c>
      <c r="Q116" s="137"/>
      <c r="R116" s="206"/>
      <c r="S116" s="207" t="str">
        <f>IFERROR(VLOOKUP(Table_Shelter[[#This Row],[CampName]],CL,2,0),"")</f>
        <v>MMR001CMP069</v>
      </c>
      <c r="T116" s="207" t="str">
        <f>IFERROR(VLOOKUP(Table_Shelter[[#This Row],[CampName]],CL,3,0),"")</f>
        <v>Open</v>
      </c>
      <c r="U116" s="323">
        <f>IFERROR(Table_Shelter[[#This Row],[HH Covered]]/VLOOKUP(Table_Shelter[[#This Row],[CampName]],CL,4,0),"")</f>
        <v>4.8387096774193547E-2</v>
      </c>
      <c r="V116" s="323" t="s">
        <v>1309</v>
      </c>
      <c r="W116" s="208"/>
    </row>
    <row r="117" spans="1:118" ht="15" customHeight="1" x14ac:dyDescent="0.25">
      <c r="A117" s="681">
        <v>41791</v>
      </c>
      <c r="B117" s="206" t="s">
        <v>453</v>
      </c>
      <c r="C117" s="206" t="s">
        <v>461</v>
      </c>
      <c r="D117" s="209" t="s">
        <v>380</v>
      </c>
      <c r="E117" s="406" t="s">
        <v>185</v>
      </c>
      <c r="F117" s="206" t="s">
        <v>190</v>
      </c>
      <c r="G117" s="138">
        <v>1</v>
      </c>
      <c r="H117" s="138"/>
      <c r="I117" s="138"/>
      <c r="J117" s="138">
        <v>25</v>
      </c>
      <c r="K117" s="138">
        <v>25</v>
      </c>
      <c r="L117" s="206"/>
      <c r="M117" s="206"/>
      <c r="N117" s="206"/>
      <c r="O117" s="206"/>
      <c r="P117" s="180">
        <f>IF(Table_Shelter[[#This Row],[Status]]="Open",IF(V117="NO",Table_Shelter[[#This Row],[HH per Shelter]]*(Table_Shelter[[#This Row],['# of Temporary Shelter Units Built]]+Table_Shelter[[#This Row],['# of Temporary Shelter Under  Construction]]+Table_Shelter[[#This Row],['# of Permanent House Under Construction]]),0),0)</f>
        <v>25</v>
      </c>
      <c r="Q117" s="137"/>
      <c r="R117" s="206"/>
      <c r="S117" s="207" t="str">
        <f>IFERROR(VLOOKUP(Table_Shelter[[#This Row],[CampName]],CL,2,0),"")</f>
        <v>MMR001CMP070</v>
      </c>
      <c r="T117" s="207" t="str">
        <f>IFERROR(VLOOKUP(Table_Shelter[[#This Row],[CampName]],CL,3,0),"")</f>
        <v>Open</v>
      </c>
      <c r="U117" s="323">
        <f>IFERROR(Table_Shelter[[#This Row],[HH Covered]]/VLOOKUP(Table_Shelter[[#This Row],[CampName]],CL,4,0),"")</f>
        <v>0.13157894736842105</v>
      </c>
      <c r="V117" s="323" t="s">
        <v>1309</v>
      </c>
      <c r="W117" s="208"/>
    </row>
    <row r="118" spans="1:118" ht="15" customHeight="1" x14ac:dyDescent="0.25">
      <c r="A118" s="681"/>
      <c r="B118" s="206" t="s">
        <v>453</v>
      </c>
      <c r="C118" s="206"/>
      <c r="D118" s="206" t="s">
        <v>380</v>
      </c>
      <c r="E118" s="406" t="s">
        <v>185</v>
      </c>
      <c r="F118" s="206" t="s">
        <v>190</v>
      </c>
      <c r="G118" s="138">
        <v>1</v>
      </c>
      <c r="H118" s="138"/>
      <c r="I118" s="138"/>
      <c r="J118" s="138">
        <v>5</v>
      </c>
      <c r="K118" s="138">
        <v>57</v>
      </c>
      <c r="L118" s="206"/>
      <c r="M118" s="206"/>
      <c r="N118" s="206"/>
      <c r="O118" s="206"/>
      <c r="P118" s="180">
        <f>IF(Table_Shelter[[#This Row],[Status]]="Open",IF(V118="NO",Table_Shelter[[#This Row],[HH per Shelter]]*(Table_Shelter[[#This Row],['# of Temporary Shelter Units Built]]+Table_Shelter[[#This Row],['# of Temporary Shelter Under  Construction]]+Table_Shelter[[#This Row],['# of Permanent House Under Construction]]),0),0)</f>
        <v>57</v>
      </c>
      <c r="Q118" s="137"/>
      <c r="R118" s="206"/>
      <c r="S118" s="207" t="str">
        <f>IFERROR(VLOOKUP(Table_Shelter[[#This Row],[CampName]],CL,2,0),"")</f>
        <v>MMR001CMP070</v>
      </c>
      <c r="T118" s="207" t="str">
        <f>IFERROR(VLOOKUP(Table_Shelter[[#This Row],[CampName]],CL,3,0),"")</f>
        <v>Open</v>
      </c>
      <c r="U118" s="323">
        <f>IFERROR(Table_Shelter[[#This Row],[HH Covered]]/VLOOKUP(Table_Shelter[[#This Row],[CampName]],CL,4,0),"")</f>
        <v>0.3</v>
      </c>
      <c r="V118" s="323" t="s">
        <v>1309</v>
      </c>
      <c r="W118" s="208"/>
    </row>
    <row r="119" spans="1:118" ht="15" customHeight="1" x14ac:dyDescent="0.25">
      <c r="A119" s="682"/>
      <c r="B119" s="208" t="s">
        <v>593</v>
      </c>
      <c r="C119" s="208" t="s">
        <v>460</v>
      </c>
      <c r="D119" s="208" t="s">
        <v>380</v>
      </c>
      <c r="E119" s="212" t="s">
        <v>151</v>
      </c>
      <c r="F119" s="208" t="s">
        <v>158</v>
      </c>
      <c r="G119" s="140">
        <v>1</v>
      </c>
      <c r="H119" s="140"/>
      <c r="I119" s="140"/>
      <c r="J119" s="140">
        <v>100</v>
      </c>
      <c r="K119" s="140">
        <v>100</v>
      </c>
      <c r="L119" s="208"/>
      <c r="M119" s="208"/>
      <c r="N119" s="208"/>
      <c r="O119" s="208"/>
      <c r="P119" s="180">
        <f>IF(Table_Shelter[[#This Row],[Status]]="Open",IF(V119="NO",Table_Shelter[[#This Row],[HH per Shelter]]*(Table_Shelter[[#This Row],['# of Temporary Shelter Units Built]]+Table_Shelter[[#This Row],['# of Temporary Shelter Under  Construction]]+Table_Shelter[[#This Row],['# of Permanent House Under Construction]]),0),0)</f>
        <v>0</v>
      </c>
      <c r="Q119" s="139"/>
      <c r="R119" s="208"/>
      <c r="S119" s="207" t="str">
        <f>IFERROR(VLOOKUP(Table_Shelter[[#This Row],[CampName]],CL,2,0),"")</f>
        <v>MMR001CMP135</v>
      </c>
      <c r="T119" s="207" t="str">
        <f>IFERROR(VLOOKUP(Table_Shelter[[#This Row],[CampName]],CL,3,0),"")</f>
        <v>Closed</v>
      </c>
      <c r="U119" s="323" t="str">
        <f>IFERROR(Table_Shelter[[#This Row],[HH Covered]]/VLOOKUP(Table_Shelter[[#This Row],[CampName]],CL,4,0),"")</f>
        <v/>
      </c>
      <c r="V119" s="323" t="s">
        <v>1309</v>
      </c>
      <c r="W119" s="208"/>
    </row>
    <row r="120" spans="1:118" ht="15" customHeight="1" x14ac:dyDescent="0.25">
      <c r="A120" s="685">
        <v>42502</v>
      </c>
      <c r="B120" s="559" t="s">
        <v>453</v>
      </c>
      <c r="C120" s="560" t="s">
        <v>461</v>
      </c>
      <c r="D120" s="561" t="s">
        <v>380</v>
      </c>
      <c r="E120" s="406" t="s">
        <v>300</v>
      </c>
      <c r="F120" s="559" t="s">
        <v>1263</v>
      </c>
      <c r="G120" s="559">
        <v>1</v>
      </c>
      <c r="H120" s="560"/>
      <c r="I120" s="560"/>
      <c r="J120" s="560"/>
      <c r="K120" s="560"/>
      <c r="L120" s="560"/>
      <c r="M120" s="560"/>
      <c r="N120" s="560"/>
      <c r="O120" s="560"/>
      <c r="P120" s="562">
        <f>IF(Table_Shelter[[#This Row],[Status]]="Open",IF(V120="NO",Table_Shelter[[#This Row],[HH per Shelter]]*(Table_Shelter[[#This Row],['# of Temporary Shelter Units Built]]+Table_Shelter[[#This Row],['# of Temporary Shelter Under  Construction]]+Table_Shelter[[#This Row],['# of Permanent House Under Construction]]),0),0)</f>
        <v>0</v>
      </c>
      <c r="Q120" s="562">
        <v>2</v>
      </c>
      <c r="R120" s="562"/>
      <c r="S120" s="563" t="str">
        <f>IFERROR(VLOOKUP(Table_Shelter[[#This Row],[CampName]],CL,2,0),"")</f>
        <v>MMR001CMP234</v>
      </c>
      <c r="T120" s="564" t="str">
        <f>IFERROR(VLOOKUP(Table_Shelter[[#This Row],[CampName]],CL,3,0),"")</f>
        <v>Open</v>
      </c>
      <c r="U120" s="565">
        <f>IFERROR(Table_Shelter[[#This Row],[HH Covered]]/VLOOKUP(Table_Shelter[[#This Row],[CampName]],CL,4,0),"")</f>
        <v>0</v>
      </c>
      <c r="V120" s="324" t="s">
        <v>1309</v>
      </c>
      <c r="W120" s="562"/>
    </row>
    <row r="121" spans="1:118" ht="15" customHeight="1" x14ac:dyDescent="0.25">
      <c r="A121" s="681">
        <v>42416</v>
      </c>
      <c r="B121" s="206" t="s">
        <v>849</v>
      </c>
      <c r="C121" s="206"/>
      <c r="D121" s="209" t="s">
        <v>380</v>
      </c>
      <c r="E121" s="406" t="s">
        <v>300</v>
      </c>
      <c r="F121" s="206" t="s">
        <v>1263</v>
      </c>
      <c r="G121" s="138">
        <v>1</v>
      </c>
      <c r="H121" s="140"/>
      <c r="I121" s="140"/>
      <c r="J121" s="140">
        <v>60</v>
      </c>
      <c r="K121" s="140">
        <v>60</v>
      </c>
      <c r="L121" s="208"/>
      <c r="M121" s="208"/>
      <c r="N121" s="208"/>
      <c r="O121" s="208"/>
      <c r="P121" s="139">
        <f>IF(Table_Shelter[[#This Row],[Status]]="Open",IF(V121="NO",Table_Shelter[[#This Row],[HH per Shelter]]*(Table_Shelter[[#This Row],['# of Temporary Shelter Units Built]]+Table_Shelter[[#This Row],['# of Temporary Shelter Under  Construction]]+Table_Shelter[[#This Row],['# of Permanent House Under Construction]]),0),0)</f>
        <v>60</v>
      </c>
      <c r="Q121" s="139"/>
      <c r="R121" s="208"/>
      <c r="S121" s="208" t="str">
        <f>IFERROR(VLOOKUP(Table_Shelter[[#This Row],[CampName]],CL,2,0),"")</f>
        <v>MMR001CMP234</v>
      </c>
      <c r="T121" s="208" t="str">
        <f>IFERROR(VLOOKUP(Table_Shelter[[#This Row],[CampName]],CL,3,0),"")</f>
        <v>Open</v>
      </c>
      <c r="U121" s="323">
        <f>IFERROR(Table_Shelter[[#This Row],[HH Covered]]/VLOOKUP(Table_Shelter[[#This Row],[CampName]],CL,4,0),"")</f>
        <v>1.0169491525423728</v>
      </c>
      <c r="V121" s="323" t="s">
        <v>1309</v>
      </c>
      <c r="W121" s="208"/>
    </row>
    <row r="122" spans="1:118" ht="15" customHeight="1" x14ac:dyDescent="0.25">
      <c r="A122" s="681"/>
      <c r="B122" s="206" t="s">
        <v>453</v>
      </c>
      <c r="C122" s="206" t="s">
        <v>506</v>
      </c>
      <c r="D122" s="206" t="s">
        <v>380</v>
      </c>
      <c r="E122" s="406" t="s">
        <v>310</v>
      </c>
      <c r="F122" s="206" t="s">
        <v>320</v>
      </c>
      <c r="G122" s="138">
        <v>1</v>
      </c>
      <c r="H122" s="138"/>
      <c r="I122" s="138"/>
      <c r="J122" s="138">
        <v>25</v>
      </c>
      <c r="K122" s="138">
        <v>25</v>
      </c>
      <c r="L122" s="206"/>
      <c r="M122" s="206"/>
      <c r="N122" s="206"/>
      <c r="O122" s="206"/>
      <c r="P122" s="180">
        <f>IF(Table_Shelter[[#This Row],[Status]]="Open",IF(V122="NO",Table_Shelter[[#This Row],[HH per Shelter]]*(Table_Shelter[[#This Row],['# of Temporary Shelter Units Built]]+Table_Shelter[[#This Row],['# of Temporary Shelter Under  Construction]]+Table_Shelter[[#This Row],['# of Permanent House Under Construction]]),0),0)</f>
        <v>25</v>
      </c>
      <c r="Q122" s="137"/>
      <c r="R122" s="206"/>
      <c r="S122" s="207" t="str">
        <f>IFERROR(VLOOKUP(Table_Shelter[[#This Row],[CampName]],CL,2,0),"")</f>
        <v>MMR001CMP027</v>
      </c>
      <c r="T122" s="207" t="str">
        <f>IFERROR(VLOOKUP(Table_Shelter[[#This Row],[CampName]],CL,3,0),"")</f>
        <v>Open</v>
      </c>
      <c r="U122" s="323">
        <f>IFERROR(Table_Shelter[[#This Row],[HH Covered]]/VLOOKUP(Table_Shelter[[#This Row],[CampName]],CL,4,0),"")</f>
        <v>1.1363636363636365</v>
      </c>
      <c r="V122" s="323" t="s">
        <v>1309</v>
      </c>
      <c r="W122" s="208"/>
    </row>
    <row r="123" spans="1:118" ht="15" customHeight="1" x14ac:dyDescent="0.25">
      <c r="A123" s="681"/>
      <c r="B123" s="206" t="s">
        <v>454</v>
      </c>
      <c r="C123" s="206" t="s">
        <v>507</v>
      </c>
      <c r="D123" s="209" t="s">
        <v>380</v>
      </c>
      <c r="E123" s="406" t="s">
        <v>310</v>
      </c>
      <c r="F123" s="206" t="s">
        <v>322</v>
      </c>
      <c r="G123" s="138">
        <v>1</v>
      </c>
      <c r="H123" s="138"/>
      <c r="I123" s="138"/>
      <c r="J123" s="140">
        <v>604</v>
      </c>
      <c r="K123" s="138">
        <v>604</v>
      </c>
      <c r="L123" s="206"/>
      <c r="M123" s="206"/>
      <c r="N123" s="206"/>
      <c r="O123" s="206"/>
      <c r="P123" s="180">
        <f>IF(Table_Shelter[[#This Row],[Status]]="Open",IF(V123="NO",Table_Shelter[[#This Row],[HH per Shelter]]*(Table_Shelter[[#This Row],['# of Temporary Shelter Units Built]]+Table_Shelter[[#This Row],['# of Temporary Shelter Under  Construction]]+Table_Shelter[[#This Row],['# of Permanent House Under Construction]]),0),0)</f>
        <v>604</v>
      </c>
      <c r="Q123" s="137"/>
      <c r="R123" s="206"/>
      <c r="S123" s="207" t="str">
        <f>IFERROR(VLOOKUP(Table_Shelter[[#This Row],[CampName]],CL,2,0),"")</f>
        <v>MMR001CMP119</v>
      </c>
      <c r="T123" s="207" t="str">
        <f>IFERROR(VLOOKUP(Table_Shelter[[#This Row],[CampName]],CL,3,0),"")</f>
        <v>Open</v>
      </c>
      <c r="U123" s="323">
        <f>IFERROR(Table_Shelter[[#This Row],[HH Covered]]/VLOOKUP(Table_Shelter[[#This Row],[CampName]],CL,4,0),"")</f>
        <v>1.0307167235494881</v>
      </c>
      <c r="V123" s="323" t="s">
        <v>1309</v>
      </c>
      <c r="W123" s="208"/>
    </row>
    <row r="124" spans="1:118" s="178" customFormat="1" ht="15" customHeight="1" x14ac:dyDescent="0.25">
      <c r="A124" s="681"/>
      <c r="B124" s="206"/>
      <c r="C124" s="206"/>
      <c r="D124" s="206" t="s">
        <v>380</v>
      </c>
      <c r="E124" s="406" t="s">
        <v>185</v>
      </c>
      <c r="F124" s="206" t="s">
        <v>200</v>
      </c>
      <c r="G124" s="138">
        <v>1</v>
      </c>
      <c r="H124" s="138"/>
      <c r="I124" s="138"/>
      <c r="J124" s="138">
        <v>92</v>
      </c>
      <c r="K124" s="138">
        <v>92</v>
      </c>
      <c r="L124" s="206"/>
      <c r="M124" s="206"/>
      <c r="N124" s="206"/>
      <c r="O124" s="206"/>
      <c r="P124" s="180">
        <f>IF(Table_Shelter[[#This Row],[Status]]="Open",IF(V124="NO",Table_Shelter[[#This Row],[HH per Shelter]]*(Table_Shelter[[#This Row],['# of Temporary Shelter Units Built]]+Table_Shelter[[#This Row],['# of Temporary Shelter Under  Construction]]+Table_Shelter[[#This Row],['# of Permanent House Under Construction]]),0),0)</f>
        <v>92</v>
      </c>
      <c r="Q124" s="137"/>
      <c r="R124" s="206"/>
      <c r="S124" s="207" t="str">
        <f>IFERROR(VLOOKUP(Table_Shelter[[#This Row],[CampName]],CL,2,0),"")</f>
        <v>MMR001CMP064</v>
      </c>
      <c r="T124" s="207" t="str">
        <f>IFERROR(VLOOKUP(Table_Shelter[[#This Row],[CampName]],CL,3,0),"")</f>
        <v>Open</v>
      </c>
      <c r="U124" s="323">
        <f>IFERROR(Table_Shelter[[#This Row],[HH Covered]]/VLOOKUP(Table_Shelter[[#This Row],[CampName]],CL,4,0),"")</f>
        <v>46</v>
      </c>
      <c r="V124" s="323" t="s">
        <v>1309</v>
      </c>
      <c r="W124" s="208"/>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row>
    <row r="125" spans="1:118" ht="15" customHeight="1" x14ac:dyDescent="0.25">
      <c r="A125" s="681">
        <v>41609</v>
      </c>
      <c r="B125" s="206" t="s">
        <v>453</v>
      </c>
      <c r="C125" s="206" t="s">
        <v>506</v>
      </c>
      <c r="D125" s="206" t="s">
        <v>380</v>
      </c>
      <c r="E125" s="406" t="s">
        <v>310</v>
      </c>
      <c r="F125" s="206" t="s">
        <v>328</v>
      </c>
      <c r="G125" s="138">
        <v>1</v>
      </c>
      <c r="H125" s="138"/>
      <c r="I125" s="138"/>
      <c r="J125" s="138">
        <v>35</v>
      </c>
      <c r="K125" s="138">
        <v>35</v>
      </c>
      <c r="L125" s="206"/>
      <c r="M125" s="206"/>
      <c r="N125" s="206"/>
      <c r="O125" s="206"/>
      <c r="P125" s="139">
        <f>IF(Table_Shelter[[#This Row],[Status]]="Open",IF(V125="NO",Table_Shelter[[#This Row],[HH per Shelter]]*(Table_Shelter[[#This Row],['# of Temporary Shelter Units Built]]+Table_Shelter[[#This Row],['# of Temporary Shelter Under  Construction]]+Table_Shelter[[#This Row],['# of Permanent House Under Construction]]),0),0)</f>
        <v>35</v>
      </c>
      <c r="Q125" s="137"/>
      <c r="R125" s="137"/>
      <c r="S125" s="139" t="str">
        <f>IFERROR(VLOOKUP(Table_Shelter[[#This Row],[CampName]],CL,2,0),"")</f>
        <v>MMR001CMP031</v>
      </c>
      <c r="T125" s="139" t="str">
        <f>IFERROR(VLOOKUP(Table_Shelter[[#This Row],[CampName]],CL,3,0),"")</f>
        <v>Open</v>
      </c>
      <c r="U125" s="323">
        <f>IFERROR(Table_Shelter[[#This Row],[HH Covered]]/VLOOKUP(Table_Shelter[[#This Row],[CampName]],CL,4,0),"")</f>
        <v>0.24475524475524477</v>
      </c>
      <c r="V125" s="323" t="s">
        <v>1309</v>
      </c>
      <c r="W125" s="139"/>
    </row>
    <row r="126" spans="1:118" ht="15" customHeight="1" x14ac:dyDescent="0.25">
      <c r="A126" s="681"/>
      <c r="B126" s="206" t="s">
        <v>453</v>
      </c>
      <c r="C126" s="206" t="s">
        <v>506</v>
      </c>
      <c r="D126" s="206" t="s">
        <v>380</v>
      </c>
      <c r="E126" s="406" t="s">
        <v>310</v>
      </c>
      <c r="F126" s="206" t="s">
        <v>328</v>
      </c>
      <c r="G126" s="138">
        <v>1</v>
      </c>
      <c r="H126" s="138"/>
      <c r="I126" s="138"/>
      <c r="J126" s="138">
        <v>54</v>
      </c>
      <c r="K126" s="138">
        <v>54</v>
      </c>
      <c r="L126" s="206"/>
      <c r="M126" s="206"/>
      <c r="N126" s="206"/>
      <c r="O126" s="206"/>
      <c r="P126" s="180">
        <f>IF(Table_Shelter[[#This Row],[Status]]="Open",IF(V126="NO",Table_Shelter[[#This Row],[HH per Shelter]]*(Table_Shelter[[#This Row],['# of Temporary Shelter Units Built]]+Table_Shelter[[#This Row],['# of Temporary Shelter Under  Construction]]+Table_Shelter[[#This Row],['# of Permanent House Under Construction]]),0),0)</f>
        <v>54</v>
      </c>
      <c r="Q126" s="137"/>
      <c r="R126" s="206"/>
      <c r="S126" s="207" t="str">
        <f>IFERROR(VLOOKUP(Table_Shelter[[#This Row],[CampName]],CL,2,0),"")</f>
        <v>MMR001CMP031</v>
      </c>
      <c r="T126" s="207" t="str">
        <f>IFERROR(VLOOKUP(Table_Shelter[[#This Row],[CampName]],CL,3,0),"")</f>
        <v>Open</v>
      </c>
      <c r="U126" s="323">
        <f>IFERROR(Table_Shelter[[#This Row],[HH Covered]]/VLOOKUP(Table_Shelter[[#This Row],[CampName]],CL,4,0),"")</f>
        <v>0.3776223776223776</v>
      </c>
      <c r="V126" s="323" t="s">
        <v>1309</v>
      </c>
      <c r="W126" s="208"/>
    </row>
    <row r="127" spans="1:118" ht="15" customHeight="1" x14ac:dyDescent="0.25">
      <c r="A127" s="681"/>
      <c r="B127" s="206" t="s">
        <v>570</v>
      </c>
      <c r="C127" s="206"/>
      <c r="D127" s="206" t="s">
        <v>380</v>
      </c>
      <c r="E127" s="406" t="s">
        <v>310</v>
      </c>
      <c r="F127" s="206" t="s">
        <v>328</v>
      </c>
      <c r="G127" s="138">
        <v>1</v>
      </c>
      <c r="H127" s="138"/>
      <c r="I127" s="138"/>
      <c r="J127" s="138">
        <v>18</v>
      </c>
      <c r="K127" s="138">
        <v>18</v>
      </c>
      <c r="L127" s="206"/>
      <c r="M127" s="206"/>
      <c r="N127" s="206"/>
      <c r="O127" s="206"/>
      <c r="P127" s="180">
        <f>IF(Table_Shelter[[#This Row],[Status]]="Open",IF(V127="NO",Table_Shelter[[#This Row],[HH per Shelter]]*(Table_Shelter[[#This Row],['# of Temporary Shelter Units Built]]+Table_Shelter[[#This Row],['# of Temporary Shelter Under  Construction]]+Table_Shelter[[#This Row],['# of Permanent House Under Construction]]),0),0)</f>
        <v>18</v>
      </c>
      <c r="Q127" s="137"/>
      <c r="R127" s="206"/>
      <c r="S127" s="207" t="str">
        <f>IFERROR(VLOOKUP(Table_Shelter[[#This Row],[CampName]],CL,2,0),"")</f>
        <v>MMR001CMP031</v>
      </c>
      <c r="T127" s="207" t="str">
        <f>IFERROR(VLOOKUP(Table_Shelter[[#This Row],[CampName]],CL,3,0),"")</f>
        <v>Open</v>
      </c>
      <c r="U127" s="323">
        <f>IFERROR(Table_Shelter[[#This Row],[HH Covered]]/VLOOKUP(Table_Shelter[[#This Row],[CampName]],CL,4,0),"")</f>
        <v>0.12587412587412589</v>
      </c>
      <c r="V127" s="323" t="s">
        <v>1309</v>
      </c>
      <c r="W127" s="208"/>
    </row>
    <row r="128" spans="1:118" ht="15" customHeight="1" x14ac:dyDescent="0.25">
      <c r="A128" s="682"/>
      <c r="B128" s="208" t="s">
        <v>454</v>
      </c>
      <c r="C128" s="208" t="s">
        <v>507</v>
      </c>
      <c r="D128" s="210" t="s">
        <v>380</v>
      </c>
      <c r="E128" s="212" t="s">
        <v>310</v>
      </c>
      <c r="F128" s="208" t="s">
        <v>330</v>
      </c>
      <c r="G128" s="140">
        <v>1</v>
      </c>
      <c r="H128" s="140"/>
      <c r="I128" s="140"/>
      <c r="J128" s="140">
        <v>12</v>
      </c>
      <c r="K128" s="138">
        <v>12</v>
      </c>
      <c r="L128" s="208"/>
      <c r="M128" s="208"/>
      <c r="N128" s="208"/>
      <c r="O128" s="208"/>
      <c r="P128" s="180">
        <f>IF(Table_Shelter[[#This Row],[Status]]="Open",IF(V128="NO",Table_Shelter[[#This Row],[HH per Shelter]]*(Table_Shelter[[#This Row],['# of Temporary Shelter Units Built]]+Table_Shelter[[#This Row],['# of Temporary Shelter Under  Construction]]+Table_Shelter[[#This Row],['# of Permanent House Under Construction]]),0),0)</f>
        <v>12</v>
      </c>
      <c r="Q128" s="139"/>
      <c r="R128" s="208"/>
      <c r="S128" s="207" t="str">
        <f>IFERROR(VLOOKUP(Table_Shelter[[#This Row],[CampName]],CL,2,0),"")</f>
        <v>MMR001CMP029</v>
      </c>
      <c r="T128" s="207" t="str">
        <f>IFERROR(VLOOKUP(Table_Shelter[[#This Row],[CampName]],CL,3,0),"")</f>
        <v>Open</v>
      </c>
      <c r="U128" s="323">
        <f>IFERROR(Table_Shelter[[#This Row],[HH Covered]]/VLOOKUP(Table_Shelter[[#This Row],[CampName]],CL,4,0),"")</f>
        <v>5.4054054054054057E-2</v>
      </c>
      <c r="V128" s="323" t="s">
        <v>1309</v>
      </c>
      <c r="W128" s="208"/>
    </row>
    <row r="129" spans="1:23" ht="15" customHeight="1" x14ac:dyDescent="0.25">
      <c r="A129" s="682"/>
      <c r="B129" s="208" t="s">
        <v>453</v>
      </c>
      <c r="C129" s="208" t="s">
        <v>507</v>
      </c>
      <c r="D129" s="208" t="s">
        <v>380</v>
      </c>
      <c r="E129" s="212" t="s">
        <v>310</v>
      </c>
      <c r="F129" s="208" t="s">
        <v>330</v>
      </c>
      <c r="G129" s="140">
        <v>1</v>
      </c>
      <c r="H129" s="140"/>
      <c r="I129" s="140"/>
      <c r="J129" s="140">
        <v>78</v>
      </c>
      <c r="K129" s="140">
        <v>78</v>
      </c>
      <c r="L129" s="208"/>
      <c r="M129" s="208"/>
      <c r="N129" s="208"/>
      <c r="O129" s="208"/>
      <c r="P129" s="180">
        <f>IF(Table_Shelter[[#This Row],[Status]]="Open",IF(V129="NO",Table_Shelter[[#This Row],[HH per Shelter]]*(Table_Shelter[[#This Row],['# of Temporary Shelter Units Built]]+Table_Shelter[[#This Row],['# of Temporary Shelter Under  Construction]]+Table_Shelter[[#This Row],['# of Permanent House Under Construction]]),0),0)</f>
        <v>78</v>
      </c>
      <c r="Q129" s="139">
        <v>138</v>
      </c>
      <c r="R129" s="208"/>
      <c r="S129" s="207" t="str">
        <f>IFERROR(VLOOKUP(Table_Shelter[[#This Row],[CampName]],CL,2,0),"")</f>
        <v>MMR001CMP029</v>
      </c>
      <c r="T129" s="207" t="str">
        <f>IFERROR(VLOOKUP(Table_Shelter[[#This Row],[CampName]],CL,3,0),"")</f>
        <v>Open</v>
      </c>
      <c r="U129" s="323">
        <f>IFERROR(Table_Shelter[[#This Row],[HH Covered]]/VLOOKUP(Table_Shelter[[#This Row],[CampName]],CL,4,0),"")</f>
        <v>0.35135135135135137</v>
      </c>
      <c r="V129" s="323" t="s">
        <v>1309</v>
      </c>
      <c r="W129" s="208"/>
    </row>
    <row r="130" spans="1:23" ht="15" customHeight="1" x14ac:dyDescent="0.25">
      <c r="A130" s="681"/>
      <c r="B130" s="206" t="s">
        <v>453</v>
      </c>
      <c r="C130" s="206"/>
      <c r="D130" s="206" t="s">
        <v>380</v>
      </c>
      <c r="E130" s="406" t="s">
        <v>310</v>
      </c>
      <c r="F130" s="206" t="s">
        <v>330</v>
      </c>
      <c r="G130" s="138">
        <v>1</v>
      </c>
      <c r="H130" s="138"/>
      <c r="I130" s="138"/>
      <c r="J130" s="138">
        <v>120</v>
      </c>
      <c r="K130" s="138">
        <v>120</v>
      </c>
      <c r="L130" s="206"/>
      <c r="M130" s="206"/>
      <c r="N130" s="206"/>
      <c r="O130" s="206"/>
      <c r="P130" s="180">
        <f>IF(Table_Shelter[[#This Row],[Status]]="Open",IF(V130="NO",Table_Shelter[[#This Row],[HH per Shelter]]*(Table_Shelter[[#This Row],['# of Temporary Shelter Units Built]]+Table_Shelter[[#This Row],['# of Temporary Shelter Under  Construction]]+Table_Shelter[[#This Row],['# of Permanent House Under Construction]]),0),0)</f>
        <v>120</v>
      </c>
      <c r="Q130" s="137"/>
      <c r="R130" s="206"/>
      <c r="S130" s="207" t="str">
        <f>IFERROR(VLOOKUP(Table_Shelter[[#This Row],[CampName]],CL,2,0),"")</f>
        <v>MMR001CMP029</v>
      </c>
      <c r="T130" s="207" t="str">
        <f>IFERROR(VLOOKUP(Table_Shelter[[#This Row],[CampName]],CL,3,0),"")</f>
        <v>Open</v>
      </c>
      <c r="U130" s="323">
        <f>IFERROR(Table_Shelter[[#This Row],[HH Covered]]/VLOOKUP(Table_Shelter[[#This Row],[CampName]],CL,4,0),"")</f>
        <v>0.54054054054054057</v>
      </c>
      <c r="V130" s="323" t="s">
        <v>1309</v>
      </c>
      <c r="W130" s="208"/>
    </row>
    <row r="131" spans="1:23" ht="15" customHeight="1" x14ac:dyDescent="0.25">
      <c r="A131" s="680"/>
      <c r="B131" s="207" t="s">
        <v>571</v>
      </c>
      <c r="C131" s="207" t="s">
        <v>461</v>
      </c>
      <c r="D131" s="207" t="s">
        <v>380</v>
      </c>
      <c r="E131" s="211" t="s">
        <v>310</v>
      </c>
      <c r="F131" s="207" t="s">
        <v>324</v>
      </c>
      <c r="G131" s="179">
        <v>1</v>
      </c>
      <c r="H131" s="179"/>
      <c r="I131" s="179"/>
      <c r="J131" s="179">
        <v>50</v>
      </c>
      <c r="K131" s="179">
        <v>50</v>
      </c>
      <c r="L131" s="207"/>
      <c r="M131" s="207"/>
      <c r="N131" s="207"/>
      <c r="O131" s="207"/>
      <c r="P131" s="180">
        <f>IF(Table_Shelter[[#This Row],[Status]]="Open",IF(V131="NO",Table_Shelter[[#This Row],[HH per Shelter]]*(Table_Shelter[[#This Row],['# of Temporary Shelter Units Built]]+Table_Shelter[[#This Row],['# of Temporary Shelter Under  Construction]]+Table_Shelter[[#This Row],['# of Permanent House Under Construction]]),0),0)</f>
        <v>50</v>
      </c>
      <c r="Q131" s="180"/>
      <c r="R131" s="207"/>
      <c r="S131" s="207" t="str">
        <f>IFERROR(VLOOKUP(Table_Shelter[[#This Row],[CampName]],CL,2,0),"")</f>
        <v>MMR001CMP040</v>
      </c>
      <c r="T131" s="207" t="str">
        <f>IFERROR(VLOOKUP(Table_Shelter[[#This Row],[CampName]],CL,3,0),"")</f>
        <v>Open</v>
      </c>
      <c r="U131" s="323">
        <f>IFERROR(Table_Shelter[[#This Row],[HH Covered]]/VLOOKUP(Table_Shelter[[#This Row],[CampName]],CL,4,0),"")</f>
        <v>0.12626262626262627</v>
      </c>
      <c r="V131" s="323" t="s">
        <v>1309</v>
      </c>
      <c r="W131" s="208"/>
    </row>
    <row r="132" spans="1:23" ht="15" customHeight="1" x14ac:dyDescent="0.25">
      <c r="A132" s="680"/>
      <c r="B132" s="207" t="s">
        <v>453</v>
      </c>
      <c r="C132" s="207" t="s">
        <v>461</v>
      </c>
      <c r="D132" s="207" t="s">
        <v>380</v>
      </c>
      <c r="E132" s="211" t="s">
        <v>310</v>
      </c>
      <c r="F132" s="207" t="s">
        <v>324</v>
      </c>
      <c r="G132" s="179">
        <v>1</v>
      </c>
      <c r="H132" s="179"/>
      <c r="I132" s="179"/>
      <c r="J132" s="179">
        <v>400</v>
      </c>
      <c r="K132" s="179">
        <v>400</v>
      </c>
      <c r="L132" s="207"/>
      <c r="M132" s="207"/>
      <c r="N132" s="207"/>
      <c r="O132" s="207"/>
      <c r="P132" s="180">
        <f>IF(Table_Shelter[[#This Row],[Status]]="Open",IF(V132="NO",Table_Shelter[[#This Row],[HH per Shelter]]*(Table_Shelter[[#This Row],['# of Temporary Shelter Units Built]]+Table_Shelter[[#This Row],['# of Temporary Shelter Under  Construction]]+Table_Shelter[[#This Row],['# of Permanent House Under Construction]]),0),0)</f>
        <v>400</v>
      </c>
      <c r="Q132" s="180"/>
      <c r="R132" s="207"/>
      <c r="S132" s="207" t="str">
        <f>IFERROR(VLOOKUP(Table_Shelter[[#This Row],[CampName]],CL,2,0),"")</f>
        <v>MMR001CMP040</v>
      </c>
      <c r="T132" s="207" t="str">
        <f>IFERROR(VLOOKUP(Table_Shelter[[#This Row],[CampName]],CL,3,0),"")</f>
        <v>Open</v>
      </c>
      <c r="U132" s="323">
        <f>IFERROR(Table_Shelter[[#This Row],[HH Covered]]/VLOOKUP(Table_Shelter[[#This Row],[CampName]],CL,4,0),"")</f>
        <v>1.0101010101010102</v>
      </c>
      <c r="V132" s="323" t="s">
        <v>1309</v>
      </c>
      <c r="W132" s="208"/>
    </row>
    <row r="133" spans="1:23" ht="15" customHeight="1" x14ac:dyDescent="0.25">
      <c r="A133" s="680"/>
      <c r="B133" s="207" t="s">
        <v>851</v>
      </c>
      <c r="C133" s="207" t="s">
        <v>461</v>
      </c>
      <c r="D133" s="207" t="s">
        <v>380</v>
      </c>
      <c r="E133" s="211" t="s">
        <v>310</v>
      </c>
      <c r="F133" s="207" t="s">
        <v>324</v>
      </c>
      <c r="G133" s="179">
        <v>1</v>
      </c>
      <c r="H133" s="179"/>
      <c r="I133" s="179"/>
      <c r="J133" s="179">
        <v>10</v>
      </c>
      <c r="K133" s="179">
        <v>10</v>
      </c>
      <c r="L133" s="207"/>
      <c r="M133" s="207"/>
      <c r="N133" s="207"/>
      <c r="O133" s="207"/>
      <c r="P133" s="180">
        <f>IF(Table_Shelter[[#This Row],[Status]]="Open",IF(V133="NO",Table_Shelter[[#This Row],[HH per Shelter]]*(Table_Shelter[[#This Row],['# of Temporary Shelter Units Built]]+Table_Shelter[[#This Row],['# of Temporary Shelter Under  Construction]]+Table_Shelter[[#This Row],['# of Permanent House Under Construction]]),0),0)</f>
        <v>10</v>
      </c>
      <c r="Q133" s="180"/>
      <c r="R133" s="207"/>
      <c r="S133" s="207" t="str">
        <f>IFERROR(VLOOKUP(Table_Shelter[[#This Row],[CampName]],CL,2,0),"")</f>
        <v>MMR001CMP040</v>
      </c>
      <c r="T133" s="207" t="str">
        <f>IFERROR(VLOOKUP(Table_Shelter[[#This Row],[CampName]],CL,3,0),"")</f>
        <v>Open</v>
      </c>
      <c r="U133" s="323">
        <f>IFERROR(Table_Shelter[[#This Row],[HH Covered]]/VLOOKUP(Table_Shelter[[#This Row],[CampName]],CL,4,0),"")</f>
        <v>2.5252525252525252E-2</v>
      </c>
      <c r="V133" s="323" t="s">
        <v>1309</v>
      </c>
      <c r="W133" s="208"/>
    </row>
    <row r="134" spans="1:23" ht="15" customHeight="1" x14ac:dyDescent="0.25">
      <c r="A134" s="685">
        <v>42502</v>
      </c>
      <c r="B134" s="559" t="s">
        <v>453</v>
      </c>
      <c r="C134" s="560" t="s">
        <v>461</v>
      </c>
      <c r="D134" s="561" t="s">
        <v>380</v>
      </c>
      <c r="E134" s="406" t="s">
        <v>310</v>
      </c>
      <c r="F134" s="559" t="s">
        <v>326</v>
      </c>
      <c r="G134" s="559">
        <v>1</v>
      </c>
      <c r="H134" s="560"/>
      <c r="I134" s="560"/>
      <c r="J134" s="560"/>
      <c r="K134" s="560"/>
      <c r="L134" s="560"/>
      <c r="M134" s="560"/>
      <c r="N134" s="560"/>
      <c r="O134" s="560"/>
      <c r="P134" s="562">
        <f>IF(Table_Shelter[[#This Row],[Status]]="Open",IF(V134="NO",Table_Shelter[[#This Row],[HH per Shelter]]*(Table_Shelter[[#This Row],['# of Temporary Shelter Units Built]]+Table_Shelter[[#This Row],['# of Temporary Shelter Under  Construction]]+Table_Shelter[[#This Row],['# of Permanent House Under Construction]]),0),0)</f>
        <v>0</v>
      </c>
      <c r="Q134" s="562">
        <v>30</v>
      </c>
      <c r="R134" s="562"/>
      <c r="S134" s="563" t="str">
        <f>IFERROR(VLOOKUP(Table_Shelter[[#This Row],[CampName]],CL,2,0),"")</f>
        <v>MMR001CMP039</v>
      </c>
      <c r="T134" s="564" t="str">
        <f>IFERROR(VLOOKUP(Table_Shelter[[#This Row],[CampName]],CL,3,0),"")</f>
        <v>Open</v>
      </c>
      <c r="U134" s="565">
        <f>IFERROR(Table_Shelter[[#This Row],[HH Covered]]/VLOOKUP(Table_Shelter[[#This Row],[CampName]],CL,4,0),"")</f>
        <v>0</v>
      </c>
      <c r="V134" s="324" t="s">
        <v>1309</v>
      </c>
      <c r="W134" s="562"/>
    </row>
    <row r="135" spans="1:23" ht="15" customHeight="1" x14ac:dyDescent="0.25">
      <c r="A135" s="682"/>
      <c r="B135" s="208" t="s">
        <v>453</v>
      </c>
      <c r="C135" s="208" t="s">
        <v>461</v>
      </c>
      <c r="D135" s="208" t="s">
        <v>380</v>
      </c>
      <c r="E135" s="212" t="s">
        <v>310</v>
      </c>
      <c r="F135" s="208" t="s">
        <v>326</v>
      </c>
      <c r="G135" s="140">
        <v>1</v>
      </c>
      <c r="H135" s="140"/>
      <c r="I135" s="140"/>
      <c r="J135" s="140">
        <v>30</v>
      </c>
      <c r="K135" s="140">
        <v>30</v>
      </c>
      <c r="L135" s="208"/>
      <c r="M135" s="208"/>
      <c r="N135" s="208"/>
      <c r="O135" s="208"/>
      <c r="P135" s="180">
        <f>IF(Table_Shelter[[#This Row],[Status]]="Open",IF(V135="NO",Table_Shelter[[#This Row],[HH per Shelter]]*(Table_Shelter[[#This Row],['# of Temporary Shelter Units Built]]+Table_Shelter[[#This Row],['# of Temporary Shelter Under  Construction]]+Table_Shelter[[#This Row],['# of Permanent House Under Construction]]),0),0)</f>
        <v>30</v>
      </c>
      <c r="Q135" s="139"/>
      <c r="R135" s="208"/>
      <c r="S135" s="207" t="str">
        <f>IFERROR(VLOOKUP(Table_Shelter[[#This Row],[CampName]],CL,2,0),"")</f>
        <v>MMR001CMP039</v>
      </c>
      <c r="T135" s="207" t="str">
        <f>IFERROR(VLOOKUP(Table_Shelter[[#This Row],[CampName]],CL,3,0),"")</f>
        <v>Open</v>
      </c>
      <c r="U135" s="323">
        <f>IFERROR(Table_Shelter[[#This Row],[HH Covered]]/VLOOKUP(Table_Shelter[[#This Row],[CampName]],CL,4,0),"")</f>
        <v>0.65217391304347827</v>
      </c>
      <c r="V135" s="323" t="s">
        <v>1309</v>
      </c>
      <c r="W135" s="208"/>
    </row>
    <row r="136" spans="1:23" ht="15" customHeight="1" x14ac:dyDescent="0.25">
      <c r="A136" s="682"/>
      <c r="B136" s="208" t="s">
        <v>570</v>
      </c>
      <c r="C136" s="208"/>
      <c r="D136" s="208" t="s">
        <v>380</v>
      </c>
      <c r="E136" s="212" t="s">
        <v>310</v>
      </c>
      <c r="F136" s="208" t="s">
        <v>326</v>
      </c>
      <c r="G136" s="140">
        <v>1</v>
      </c>
      <c r="H136" s="140"/>
      <c r="I136" s="140"/>
      <c r="J136" s="140">
        <v>10</v>
      </c>
      <c r="K136" s="140">
        <v>10</v>
      </c>
      <c r="L136" s="208"/>
      <c r="M136" s="208"/>
      <c r="N136" s="208"/>
      <c r="O136" s="208"/>
      <c r="P136" s="180">
        <f>IF(Table_Shelter[[#This Row],[Status]]="Open",IF(V136="NO",Table_Shelter[[#This Row],[HH per Shelter]]*(Table_Shelter[[#This Row],['# of Temporary Shelter Units Built]]+Table_Shelter[[#This Row],['# of Temporary Shelter Under  Construction]]+Table_Shelter[[#This Row],['# of Permanent House Under Construction]]),0),0)</f>
        <v>10</v>
      </c>
      <c r="Q136" s="139"/>
      <c r="R136" s="208"/>
      <c r="S136" s="207" t="str">
        <f>IFERROR(VLOOKUP(Table_Shelter[[#This Row],[CampName]],CL,2,0),"")</f>
        <v>MMR001CMP039</v>
      </c>
      <c r="T136" s="207" t="str">
        <f>IFERROR(VLOOKUP(Table_Shelter[[#This Row],[CampName]],CL,3,0),"")</f>
        <v>Open</v>
      </c>
      <c r="U136" s="323">
        <f>IFERROR(Table_Shelter[[#This Row],[HH Covered]]/VLOOKUP(Table_Shelter[[#This Row],[CampName]],CL,4,0),"")</f>
        <v>0.21739130434782608</v>
      </c>
      <c r="V136" s="323" t="s">
        <v>1309</v>
      </c>
      <c r="W136" s="208"/>
    </row>
    <row r="137" spans="1:23" ht="15" customHeight="1" x14ac:dyDescent="0.25">
      <c r="A137" s="685">
        <v>42502</v>
      </c>
      <c r="B137" s="559" t="s">
        <v>453</v>
      </c>
      <c r="C137" s="560" t="s">
        <v>461</v>
      </c>
      <c r="D137" s="561" t="s">
        <v>380</v>
      </c>
      <c r="E137" s="566" t="s">
        <v>151</v>
      </c>
      <c r="F137" s="559" t="s">
        <v>886</v>
      </c>
      <c r="G137" s="559">
        <v>1</v>
      </c>
      <c r="H137" s="560"/>
      <c r="I137" s="560"/>
      <c r="J137" s="560">
        <v>85</v>
      </c>
      <c r="K137" s="560">
        <v>85</v>
      </c>
      <c r="L137" s="560"/>
      <c r="M137" s="560"/>
      <c r="N137" s="560"/>
      <c r="O137" s="560"/>
      <c r="P137" s="562">
        <f>IF(Table_Shelter[[#This Row],[Status]]="Open",IF(V137="NO",Table_Shelter[[#This Row],[HH per Shelter]]*(Table_Shelter[[#This Row],['# of Temporary Shelter Units Built]]+Table_Shelter[[#This Row],['# of Temporary Shelter Under  Construction]]+Table_Shelter[[#This Row],['# of Permanent House Under Construction]]),0),0)</f>
        <v>85</v>
      </c>
      <c r="Q137" s="562"/>
      <c r="R137" s="562"/>
      <c r="S137" s="563" t="str">
        <f>IFERROR(VLOOKUP(Table_Shelter[[#This Row],[CampName]],CL,2,0),"")</f>
        <v>MMR001CMP218</v>
      </c>
      <c r="T137" s="564" t="str">
        <f>IFERROR(VLOOKUP(Table_Shelter[[#This Row],[CampName]],CL,3,0),"")</f>
        <v>Open</v>
      </c>
      <c r="U137" s="565">
        <f>IFERROR(Table_Shelter[[#This Row],[HH Covered]]/VLOOKUP(Table_Shelter[[#This Row],[CampName]],CL,4,0),"")</f>
        <v>0.21794871794871795</v>
      </c>
      <c r="V137" s="687" t="s">
        <v>1309</v>
      </c>
      <c r="W137" s="562"/>
    </row>
    <row r="138" spans="1:23" ht="15" customHeight="1" x14ac:dyDescent="0.25">
      <c r="A138" s="682">
        <v>41791</v>
      </c>
      <c r="B138" s="208" t="s">
        <v>453</v>
      </c>
      <c r="C138" s="208" t="s">
        <v>461</v>
      </c>
      <c r="D138" s="208" t="s">
        <v>380</v>
      </c>
      <c r="E138" s="212" t="s">
        <v>151</v>
      </c>
      <c r="F138" s="208" t="s">
        <v>886</v>
      </c>
      <c r="G138" s="140">
        <v>1</v>
      </c>
      <c r="H138" s="140"/>
      <c r="I138" s="140"/>
      <c r="J138" s="140">
        <v>60</v>
      </c>
      <c r="K138" s="140">
        <v>60</v>
      </c>
      <c r="L138" s="208"/>
      <c r="M138" s="208"/>
      <c r="N138" s="208"/>
      <c r="O138" s="208"/>
      <c r="P138" s="180">
        <f>IF(Table_Shelter[[#This Row],[Status]]="Open",IF(V138="NO",Table_Shelter[[#This Row],[HH per Shelter]]*(Table_Shelter[[#This Row],['# of Temporary Shelter Units Built]]+Table_Shelter[[#This Row],['# of Temporary Shelter Under  Construction]]+Table_Shelter[[#This Row],['# of Permanent House Under Construction]]),0),0)</f>
        <v>60</v>
      </c>
      <c r="Q138" s="139"/>
      <c r="R138" s="208"/>
      <c r="S138" s="207" t="str">
        <f>IFERROR(VLOOKUP(Table_Shelter[[#This Row],[CampName]],CL,2,0),"")</f>
        <v>MMR001CMP218</v>
      </c>
      <c r="T138" s="207" t="str">
        <f>IFERROR(VLOOKUP(Table_Shelter[[#This Row],[CampName]],CL,3,0),"")</f>
        <v>Open</v>
      </c>
      <c r="U138" s="323">
        <f>IFERROR(Table_Shelter[[#This Row],[HH Covered]]/VLOOKUP(Table_Shelter[[#This Row],[CampName]],CL,4,0),"")</f>
        <v>0.15384615384615385</v>
      </c>
      <c r="V138" s="323" t="s">
        <v>1309</v>
      </c>
      <c r="W138" s="208"/>
    </row>
    <row r="139" spans="1:23" ht="15" customHeight="1" x14ac:dyDescent="0.25">
      <c r="A139" s="682"/>
      <c r="B139" s="208" t="s">
        <v>848</v>
      </c>
      <c r="C139" s="208" t="s">
        <v>461</v>
      </c>
      <c r="D139" s="208" t="s">
        <v>380</v>
      </c>
      <c r="E139" s="212" t="s">
        <v>151</v>
      </c>
      <c r="F139" s="208" t="s">
        <v>886</v>
      </c>
      <c r="G139" s="140">
        <v>1</v>
      </c>
      <c r="H139" s="140"/>
      <c r="I139" s="140"/>
      <c r="J139" s="140">
        <v>20</v>
      </c>
      <c r="K139" s="140">
        <v>20</v>
      </c>
      <c r="L139" s="208"/>
      <c r="M139" s="208"/>
      <c r="N139" s="208"/>
      <c r="O139" s="208"/>
      <c r="P139" s="180">
        <f>IF(Table_Shelter[[#This Row],[Status]]="Open",IF(V139="NO",Table_Shelter[[#This Row],[HH per Shelter]]*(Table_Shelter[[#This Row],['# of Temporary Shelter Units Built]]+Table_Shelter[[#This Row],['# of Temporary Shelter Under  Construction]]+Table_Shelter[[#This Row],['# of Permanent House Under Construction]]),0),0)</f>
        <v>20</v>
      </c>
      <c r="Q139" s="139"/>
      <c r="R139" s="208"/>
      <c r="S139" s="207" t="str">
        <f>IFERROR(VLOOKUP(Table_Shelter[[#This Row],[CampName]],CL,2,0),"")</f>
        <v>MMR001CMP218</v>
      </c>
      <c r="T139" s="207" t="str">
        <f>IFERROR(VLOOKUP(Table_Shelter[[#This Row],[CampName]],CL,3,0),"")</f>
        <v>Open</v>
      </c>
      <c r="U139" s="323">
        <f>IFERROR(Table_Shelter[[#This Row],[HH Covered]]/VLOOKUP(Table_Shelter[[#This Row],[CampName]],CL,4,0),"")</f>
        <v>5.128205128205128E-2</v>
      </c>
      <c r="V139" s="323" t="s">
        <v>1309</v>
      </c>
      <c r="W139" s="208"/>
    </row>
    <row r="140" spans="1:23" ht="15" customHeight="1" x14ac:dyDescent="0.25">
      <c r="A140" s="682"/>
      <c r="B140" s="208" t="s">
        <v>454</v>
      </c>
      <c r="C140" s="208"/>
      <c r="D140" s="208" t="s">
        <v>380</v>
      </c>
      <c r="E140" s="212" t="s">
        <v>151</v>
      </c>
      <c r="F140" s="208" t="s">
        <v>886</v>
      </c>
      <c r="G140" s="140">
        <v>1</v>
      </c>
      <c r="H140" s="140"/>
      <c r="I140" s="140"/>
      <c r="J140" s="140">
        <v>144</v>
      </c>
      <c r="K140" s="140">
        <v>144</v>
      </c>
      <c r="L140" s="208"/>
      <c r="M140" s="208"/>
      <c r="N140" s="208"/>
      <c r="O140" s="208"/>
      <c r="P140" s="180">
        <f>IF(Table_Shelter[[#This Row],[Status]]="Open",IF(V140="NO",Table_Shelter[[#This Row],[HH per Shelter]]*(Table_Shelter[[#This Row],['# of Temporary Shelter Units Built]]+Table_Shelter[[#This Row],['# of Temporary Shelter Under  Construction]]+Table_Shelter[[#This Row],['# of Permanent House Under Construction]]),0),0)</f>
        <v>144</v>
      </c>
      <c r="Q140" s="139"/>
      <c r="R140" s="208"/>
      <c r="S140" s="207" t="str">
        <f>IFERROR(VLOOKUP(Table_Shelter[[#This Row],[CampName]],CL,2,0),"")</f>
        <v>MMR001CMP218</v>
      </c>
      <c r="T140" s="207" t="str">
        <f>IFERROR(VLOOKUP(Table_Shelter[[#This Row],[CampName]],CL,3,0),"")</f>
        <v>Open</v>
      </c>
      <c r="U140" s="323">
        <f>IFERROR(Table_Shelter[[#This Row],[HH Covered]]/VLOOKUP(Table_Shelter[[#This Row],[CampName]],CL,4,0),"")</f>
        <v>0.36923076923076925</v>
      </c>
      <c r="V140" s="323" t="s">
        <v>1309</v>
      </c>
      <c r="W140" s="208"/>
    </row>
    <row r="141" spans="1:23" ht="15" customHeight="1" x14ac:dyDescent="0.25">
      <c r="A141" s="682"/>
      <c r="B141" s="208" t="s">
        <v>1101</v>
      </c>
      <c r="C141" s="208"/>
      <c r="D141" s="208" t="s">
        <v>380</v>
      </c>
      <c r="E141" s="212" t="s">
        <v>151</v>
      </c>
      <c r="F141" s="208" t="s">
        <v>944</v>
      </c>
      <c r="G141" s="140">
        <v>1</v>
      </c>
      <c r="H141" s="140"/>
      <c r="I141" s="140"/>
      <c r="J141" s="140">
        <v>20</v>
      </c>
      <c r="K141" s="140">
        <v>20</v>
      </c>
      <c r="L141" s="208"/>
      <c r="M141" s="208"/>
      <c r="N141" s="208"/>
      <c r="O141" s="208"/>
      <c r="P141" s="180">
        <f>IF(Table_Shelter[[#This Row],[Status]]="Open",IF(V141="NO",Table_Shelter[[#This Row],[HH per Shelter]]*(Table_Shelter[[#This Row],['# of Temporary Shelter Units Built]]+Table_Shelter[[#This Row],['# of Temporary Shelter Under  Construction]]+Table_Shelter[[#This Row],['# of Permanent House Under Construction]]),0),0)</f>
        <v>20</v>
      </c>
      <c r="Q141" s="139"/>
      <c r="R141" s="208"/>
      <c r="S141" s="207" t="str">
        <f>IFERROR(VLOOKUP(Table_Shelter[[#This Row],[CampName]],CL,2,0),"")</f>
        <v>MMR001CMP223</v>
      </c>
      <c r="T141" s="207" t="str">
        <f>IFERROR(VLOOKUP(Table_Shelter[[#This Row],[CampName]],CL,3,0),"")</f>
        <v>Open</v>
      </c>
      <c r="U141" s="323">
        <f>IFERROR(Table_Shelter[[#This Row],[HH Covered]]/VLOOKUP(Table_Shelter[[#This Row],[CampName]],CL,4,0),"")</f>
        <v>0.16260162601626016</v>
      </c>
      <c r="V141" s="323" t="s">
        <v>1309</v>
      </c>
      <c r="W141" s="208"/>
    </row>
    <row r="142" spans="1:23" ht="15" customHeight="1" x14ac:dyDescent="0.25">
      <c r="A142" s="682"/>
      <c r="B142" s="208"/>
      <c r="C142" s="208"/>
      <c r="D142" s="208" t="s">
        <v>380</v>
      </c>
      <c r="E142" s="212" t="s">
        <v>151</v>
      </c>
      <c r="F142" s="208" t="s">
        <v>944</v>
      </c>
      <c r="G142" s="140">
        <v>1</v>
      </c>
      <c r="H142" s="140"/>
      <c r="I142" s="140"/>
      <c r="J142" s="140">
        <v>30</v>
      </c>
      <c r="K142" s="140">
        <v>30</v>
      </c>
      <c r="L142" s="208"/>
      <c r="M142" s="208"/>
      <c r="N142" s="208"/>
      <c r="O142" s="208"/>
      <c r="P142" s="180">
        <f>IF(Table_Shelter[[#This Row],[Status]]="Open",IF(V142="NO",Table_Shelter[[#This Row],[HH per Shelter]]*(Table_Shelter[[#This Row],['# of Temporary Shelter Units Built]]+Table_Shelter[[#This Row],['# of Temporary Shelter Under  Construction]]+Table_Shelter[[#This Row],['# of Permanent House Under Construction]]),0),0)</f>
        <v>30</v>
      </c>
      <c r="Q142" s="139"/>
      <c r="R142" s="208"/>
      <c r="S142" s="207" t="str">
        <f>IFERROR(VLOOKUP(Table_Shelter[[#This Row],[CampName]],CL,2,0),"")</f>
        <v>MMR001CMP223</v>
      </c>
      <c r="T142" s="207" t="str">
        <f>IFERROR(VLOOKUP(Table_Shelter[[#This Row],[CampName]],CL,3,0),"")</f>
        <v>Open</v>
      </c>
      <c r="U142" s="323">
        <f>IFERROR(Table_Shelter[[#This Row],[HH Covered]]/VLOOKUP(Table_Shelter[[#This Row],[CampName]],CL,4,0),"")</f>
        <v>0.24390243902439024</v>
      </c>
      <c r="V142" s="323" t="s">
        <v>1309</v>
      </c>
      <c r="W142" s="208"/>
    </row>
    <row r="143" spans="1:23" ht="15" customHeight="1" x14ac:dyDescent="0.25">
      <c r="A143" s="682"/>
      <c r="B143" s="208" t="s">
        <v>453</v>
      </c>
      <c r="C143" s="208" t="s">
        <v>461</v>
      </c>
      <c r="D143" s="208" t="s">
        <v>380</v>
      </c>
      <c r="E143" s="212" t="s">
        <v>237</v>
      </c>
      <c r="F143" s="208" t="s">
        <v>259</v>
      </c>
      <c r="G143" s="140">
        <v>1</v>
      </c>
      <c r="H143" s="140"/>
      <c r="I143" s="140"/>
      <c r="J143" s="140">
        <v>20</v>
      </c>
      <c r="K143" s="140">
        <v>20</v>
      </c>
      <c r="L143" s="208"/>
      <c r="M143" s="208"/>
      <c r="N143" s="208"/>
      <c r="O143" s="208"/>
      <c r="P143" s="180">
        <f>IF(Table_Shelter[[#This Row],[Status]]="Open",IF(V143="NO",Table_Shelter[[#This Row],[HH per Shelter]]*(Table_Shelter[[#This Row],['# of Temporary Shelter Units Built]]+Table_Shelter[[#This Row],['# of Temporary Shelter Under  Construction]]+Table_Shelter[[#This Row],['# of Permanent House Under Construction]]),0),0)</f>
        <v>20</v>
      </c>
      <c r="Q143" s="139"/>
      <c r="R143" s="208"/>
      <c r="S143" s="207" t="str">
        <f>IFERROR(VLOOKUP(Table_Shelter[[#This Row],[CampName]],CL,2,0),"")</f>
        <v>MMR001CMP016</v>
      </c>
      <c r="T143" s="207" t="str">
        <f>IFERROR(VLOOKUP(Table_Shelter[[#This Row],[CampName]],CL,3,0),"")</f>
        <v>Open</v>
      </c>
      <c r="U143" s="323">
        <f>IFERROR(Table_Shelter[[#This Row],[HH Covered]]/VLOOKUP(Table_Shelter[[#This Row],[CampName]],CL,4,0),"")</f>
        <v>0.33333333333333331</v>
      </c>
      <c r="V143" s="323" t="s">
        <v>1309</v>
      </c>
      <c r="W143" s="208"/>
    </row>
    <row r="144" spans="1:23" ht="15" customHeight="1" x14ac:dyDescent="0.25">
      <c r="A144" s="681">
        <v>41809</v>
      </c>
      <c r="B144" s="206" t="s">
        <v>453</v>
      </c>
      <c r="C144" s="206" t="s">
        <v>460</v>
      </c>
      <c r="D144" s="206" t="s">
        <v>380</v>
      </c>
      <c r="E144" s="406" t="s">
        <v>185</v>
      </c>
      <c r="F144" s="206" t="s">
        <v>202</v>
      </c>
      <c r="G144" s="138">
        <v>1</v>
      </c>
      <c r="H144" s="138"/>
      <c r="I144" s="138"/>
      <c r="J144" s="138">
        <v>80</v>
      </c>
      <c r="K144" s="138">
        <v>80</v>
      </c>
      <c r="L144" s="206"/>
      <c r="M144" s="206"/>
      <c r="N144" s="206"/>
      <c r="O144" s="206"/>
      <c r="P144" s="180">
        <f>IF(Table_Shelter[[#This Row],[Status]]="Open",IF(V144="NO",Table_Shelter[[#This Row],[HH per Shelter]]*(Table_Shelter[[#This Row],['# of Temporary Shelter Units Built]]+Table_Shelter[[#This Row],['# of Temporary Shelter Under  Construction]]+Table_Shelter[[#This Row],['# of Permanent House Under Construction]]),0),0)</f>
        <v>80</v>
      </c>
      <c r="Q144" s="137"/>
      <c r="R144" s="206"/>
      <c r="S144" s="207" t="str">
        <f>IFERROR(VLOOKUP(Table_Shelter[[#This Row],[CampName]],CL,2,0),"")</f>
        <v>MMR001CMP062</v>
      </c>
      <c r="T144" s="207" t="str">
        <f>IFERROR(VLOOKUP(Table_Shelter[[#This Row],[CampName]],CL,3,0),"")</f>
        <v>Open</v>
      </c>
      <c r="U144" s="323">
        <f>IFERROR(Table_Shelter[[#This Row],[HH Covered]]/VLOOKUP(Table_Shelter[[#This Row],[CampName]],CL,4,0),"")</f>
        <v>0.3065134099616858</v>
      </c>
      <c r="V144" s="323" t="s">
        <v>1309</v>
      </c>
      <c r="W144" s="208"/>
    </row>
    <row r="145" spans="1:23" ht="15" customHeight="1" x14ac:dyDescent="0.25">
      <c r="A145" s="681"/>
      <c r="B145" s="206" t="s">
        <v>847</v>
      </c>
      <c r="C145" s="206"/>
      <c r="D145" s="206" t="s">
        <v>380</v>
      </c>
      <c r="E145" s="406" t="s">
        <v>185</v>
      </c>
      <c r="F145" s="206" t="s">
        <v>202</v>
      </c>
      <c r="G145" s="138">
        <v>1</v>
      </c>
      <c r="H145" s="138"/>
      <c r="I145" s="138"/>
      <c r="J145" s="138">
        <v>18</v>
      </c>
      <c r="K145" s="138">
        <v>18</v>
      </c>
      <c r="L145" s="206"/>
      <c r="M145" s="206"/>
      <c r="N145" s="206"/>
      <c r="O145" s="206"/>
      <c r="P145" s="180">
        <f>IF(Table_Shelter[[#This Row],[Status]]="Open",IF(V145="NO",Table_Shelter[[#This Row],[HH per Shelter]]*(Table_Shelter[[#This Row],['# of Temporary Shelter Units Built]]+Table_Shelter[[#This Row],['# of Temporary Shelter Under  Construction]]+Table_Shelter[[#This Row],['# of Permanent House Under Construction]]),0),0)</f>
        <v>18</v>
      </c>
      <c r="Q145" s="137"/>
      <c r="R145" s="206"/>
      <c r="S145" s="207" t="str">
        <f>IFERROR(VLOOKUP(Table_Shelter[[#This Row],[CampName]],CL,2,0),"")</f>
        <v>MMR001CMP062</v>
      </c>
      <c r="T145" s="207" t="str">
        <f>IFERROR(VLOOKUP(Table_Shelter[[#This Row],[CampName]],CL,3,0),"")</f>
        <v>Open</v>
      </c>
      <c r="U145" s="323">
        <f>IFERROR(Table_Shelter[[#This Row],[HH Covered]]/VLOOKUP(Table_Shelter[[#This Row],[CampName]],CL,4,0),"")</f>
        <v>6.8965517241379309E-2</v>
      </c>
      <c r="V145" s="323" t="s">
        <v>1309</v>
      </c>
      <c r="W145" s="208"/>
    </row>
    <row r="146" spans="1:23" ht="15" customHeight="1" x14ac:dyDescent="0.25">
      <c r="A146" s="681"/>
      <c r="B146" s="206" t="s">
        <v>453</v>
      </c>
      <c r="C146" s="206"/>
      <c r="D146" s="206" t="s">
        <v>380</v>
      </c>
      <c r="E146" s="406" t="s">
        <v>185</v>
      </c>
      <c r="F146" s="206" t="s">
        <v>202</v>
      </c>
      <c r="G146" s="138">
        <v>1</v>
      </c>
      <c r="H146" s="138"/>
      <c r="I146" s="138"/>
      <c r="J146" s="138">
        <v>55</v>
      </c>
      <c r="K146" s="138">
        <v>55</v>
      </c>
      <c r="L146" s="206"/>
      <c r="M146" s="206"/>
      <c r="N146" s="206"/>
      <c r="O146" s="206"/>
      <c r="P146" s="180">
        <f>IF(Table_Shelter[[#This Row],[Status]]="Open",IF(V146="NO",Table_Shelter[[#This Row],[HH per Shelter]]*(Table_Shelter[[#This Row],['# of Temporary Shelter Units Built]]+Table_Shelter[[#This Row],['# of Temporary Shelter Under  Construction]]+Table_Shelter[[#This Row],['# of Permanent House Under Construction]]),0),0)</f>
        <v>55</v>
      </c>
      <c r="Q146" s="137"/>
      <c r="R146" s="206"/>
      <c r="S146" s="207" t="str">
        <f>IFERROR(VLOOKUP(Table_Shelter[[#This Row],[CampName]],CL,2,0),"")</f>
        <v>MMR001CMP062</v>
      </c>
      <c r="T146" s="207" t="str">
        <f>IFERROR(VLOOKUP(Table_Shelter[[#This Row],[CampName]],CL,3,0),"")</f>
        <v>Open</v>
      </c>
      <c r="U146" s="323">
        <f>IFERROR(Table_Shelter[[#This Row],[HH Covered]]/VLOOKUP(Table_Shelter[[#This Row],[CampName]],CL,4,0),"")</f>
        <v>0.21072796934865901</v>
      </c>
      <c r="V146" s="323" t="s">
        <v>1309</v>
      </c>
      <c r="W146" s="208"/>
    </row>
    <row r="147" spans="1:23" ht="15" customHeight="1" x14ac:dyDescent="0.25">
      <c r="A147" s="681"/>
      <c r="B147" s="206" t="s">
        <v>453</v>
      </c>
      <c r="C147" s="206" t="s">
        <v>461</v>
      </c>
      <c r="D147" s="206" t="s">
        <v>380</v>
      </c>
      <c r="E147" s="406" t="s">
        <v>237</v>
      </c>
      <c r="F147" s="206" t="s">
        <v>261</v>
      </c>
      <c r="G147" s="138">
        <v>1</v>
      </c>
      <c r="H147" s="138"/>
      <c r="I147" s="138"/>
      <c r="J147" s="138">
        <v>60</v>
      </c>
      <c r="K147" s="138">
        <v>60</v>
      </c>
      <c r="L147" s="206"/>
      <c r="M147" s="206"/>
      <c r="N147" s="206"/>
      <c r="O147" s="206"/>
      <c r="P147" s="180">
        <f>IF(Table_Shelter[[#This Row],[Status]]="Open",IF(V147="NO",Table_Shelter[[#This Row],[HH per Shelter]]*(Table_Shelter[[#This Row],['# of Temporary Shelter Units Built]]+Table_Shelter[[#This Row],['# of Temporary Shelter Under  Construction]]+Table_Shelter[[#This Row],['# of Permanent House Under Construction]]),0),0)</f>
        <v>60</v>
      </c>
      <c r="Q147" s="137"/>
      <c r="R147" s="206"/>
      <c r="S147" s="207" t="str">
        <f>IFERROR(VLOOKUP(Table_Shelter[[#This Row],[CampName]],CL,2,0),"")</f>
        <v>MMR001CMP008</v>
      </c>
      <c r="T147" s="207" t="str">
        <f>IFERROR(VLOOKUP(Table_Shelter[[#This Row],[CampName]],CL,3,0),"")</f>
        <v>Open</v>
      </c>
      <c r="U147" s="323">
        <f>IFERROR(Table_Shelter[[#This Row],[HH Covered]]/VLOOKUP(Table_Shelter[[#This Row],[CampName]],CL,4,0),"")</f>
        <v>0.60606060606060608</v>
      </c>
      <c r="V147" s="323" t="s">
        <v>1309</v>
      </c>
      <c r="W147" s="208"/>
    </row>
    <row r="148" spans="1:23" ht="15" customHeight="1" x14ac:dyDescent="0.25">
      <c r="A148" s="681"/>
      <c r="B148" s="206" t="s">
        <v>453</v>
      </c>
      <c r="C148" s="206"/>
      <c r="D148" s="206" t="s">
        <v>380</v>
      </c>
      <c r="E148" s="406" t="s">
        <v>237</v>
      </c>
      <c r="F148" s="206" t="s">
        <v>261</v>
      </c>
      <c r="G148" s="138">
        <v>1</v>
      </c>
      <c r="H148" s="138"/>
      <c r="I148" s="138"/>
      <c r="J148" s="138">
        <v>20</v>
      </c>
      <c r="K148" s="138">
        <v>20</v>
      </c>
      <c r="L148" s="206"/>
      <c r="M148" s="206"/>
      <c r="N148" s="206"/>
      <c r="O148" s="206"/>
      <c r="P148" s="180">
        <f>IF(Table_Shelter[[#This Row],[Status]]="Open",IF(V148="NO",Table_Shelter[[#This Row],[HH per Shelter]]*(Table_Shelter[[#This Row],['# of Temporary Shelter Units Built]]+Table_Shelter[[#This Row],['# of Temporary Shelter Under  Construction]]+Table_Shelter[[#This Row],['# of Permanent House Under Construction]]),0),0)</f>
        <v>20</v>
      </c>
      <c r="Q148" s="137"/>
      <c r="R148" s="206"/>
      <c r="S148" s="207" t="str">
        <f>IFERROR(VLOOKUP(Table_Shelter[[#This Row],[CampName]],CL,2,0),"")</f>
        <v>MMR001CMP008</v>
      </c>
      <c r="T148" s="207" t="str">
        <f>IFERROR(VLOOKUP(Table_Shelter[[#This Row],[CampName]],CL,3,0),"")</f>
        <v>Open</v>
      </c>
      <c r="U148" s="323">
        <f>IFERROR(Table_Shelter[[#This Row],[HH Covered]]/VLOOKUP(Table_Shelter[[#This Row],[CampName]],CL,4,0),"")</f>
        <v>0.20202020202020202</v>
      </c>
      <c r="V148" s="323" t="s">
        <v>1309</v>
      </c>
      <c r="W148" s="208"/>
    </row>
    <row r="149" spans="1:23" ht="15" customHeight="1" x14ac:dyDescent="0.25">
      <c r="A149" s="681">
        <v>41749</v>
      </c>
      <c r="B149" s="206" t="s">
        <v>453</v>
      </c>
      <c r="C149" s="206"/>
      <c r="D149" s="206" t="s">
        <v>380</v>
      </c>
      <c r="E149" s="406" t="s">
        <v>151</v>
      </c>
      <c r="F149" s="206" t="s">
        <v>877</v>
      </c>
      <c r="G149" s="138">
        <v>1</v>
      </c>
      <c r="H149" s="138">
        <v>200</v>
      </c>
      <c r="I149" s="138">
        <v>200</v>
      </c>
      <c r="J149" s="138"/>
      <c r="K149" s="138"/>
      <c r="L149" s="206"/>
      <c r="M149" s="206"/>
      <c r="N149" s="206"/>
      <c r="O149" s="206"/>
      <c r="P149" s="180">
        <f>IF(Table_Shelter[[#This Row],[Status]]="Open",IF(V149="NO",Table_Shelter[[#This Row],[HH per Shelter]]*(Table_Shelter[[#This Row],['# of Temporary Shelter Units Built]]+Table_Shelter[[#This Row],['# of Temporary Shelter Under  Construction]]+Table_Shelter[[#This Row],['# of Permanent House Under Construction]]),0),0)</f>
        <v>0</v>
      </c>
      <c r="Q149" s="137"/>
      <c r="R149" s="206"/>
      <c r="S149" s="207" t="str">
        <f>IFERROR(VLOOKUP(Table_Shelter[[#This Row],[CampName]],CL,2,0),"")</f>
        <v>MMR001CMP212</v>
      </c>
      <c r="T149" s="207" t="str">
        <f>IFERROR(VLOOKUP(Table_Shelter[[#This Row],[CampName]],CL,3,0),"")</f>
        <v>Closed</v>
      </c>
      <c r="U149" s="323" t="str">
        <f>IFERROR(Table_Shelter[[#This Row],[HH Covered]]/VLOOKUP(Table_Shelter[[#This Row],[CampName]],CL,4,0),"")</f>
        <v/>
      </c>
      <c r="V149" s="323" t="s">
        <v>1309</v>
      </c>
      <c r="W149" s="208"/>
    </row>
    <row r="150" spans="1:23" ht="15" customHeight="1" x14ac:dyDescent="0.25">
      <c r="A150" s="681"/>
      <c r="B150" s="206" t="s">
        <v>454</v>
      </c>
      <c r="C150" s="206" t="s">
        <v>461</v>
      </c>
      <c r="D150" s="206" t="s">
        <v>380</v>
      </c>
      <c r="E150" s="406" t="s">
        <v>151</v>
      </c>
      <c r="F150" s="206" t="s">
        <v>160</v>
      </c>
      <c r="G150" s="138">
        <v>1</v>
      </c>
      <c r="H150" s="138"/>
      <c r="I150" s="138"/>
      <c r="J150" s="138">
        <v>39</v>
      </c>
      <c r="K150" s="138">
        <v>39</v>
      </c>
      <c r="L150" s="206"/>
      <c r="M150" s="206"/>
      <c r="N150" s="206"/>
      <c r="O150" s="206"/>
      <c r="P150" s="180">
        <f>IF(Table_Shelter[[#This Row],[Status]]="Open",IF(V150="NO",Table_Shelter[[#This Row],[HH per Shelter]]*(Table_Shelter[[#This Row],['# of Temporary Shelter Units Built]]+Table_Shelter[[#This Row],['# of Temporary Shelter Under  Construction]]+Table_Shelter[[#This Row],['# of Permanent House Under Construction]]),0),0)</f>
        <v>39</v>
      </c>
      <c r="Q150" s="137"/>
      <c r="R150" s="206"/>
      <c r="S150" s="207" t="str">
        <f>IFERROR(VLOOKUP(Table_Shelter[[#This Row],[CampName]],CL,2,0),"")</f>
        <v>MMR001CMP133</v>
      </c>
      <c r="T150" s="207" t="str">
        <f>IFERROR(VLOOKUP(Table_Shelter[[#This Row],[CampName]],CL,3,0),"")</f>
        <v>Open</v>
      </c>
      <c r="U150" s="323">
        <f>IFERROR(Table_Shelter[[#This Row],[HH Covered]]/VLOOKUP(Table_Shelter[[#This Row],[CampName]],CL,4,0),"")</f>
        <v>0.3644859813084112</v>
      </c>
      <c r="V150" s="323" t="s">
        <v>1309</v>
      </c>
      <c r="W150" s="208"/>
    </row>
    <row r="151" spans="1:23" ht="15" customHeight="1" x14ac:dyDescent="0.25">
      <c r="A151" s="681"/>
      <c r="B151" s="206" t="s">
        <v>847</v>
      </c>
      <c r="C151" s="206"/>
      <c r="D151" s="206" t="s">
        <v>380</v>
      </c>
      <c r="E151" s="406" t="s">
        <v>151</v>
      </c>
      <c r="F151" s="206" t="s">
        <v>160</v>
      </c>
      <c r="G151" s="138">
        <v>1</v>
      </c>
      <c r="H151" s="138"/>
      <c r="I151" s="138"/>
      <c r="J151" s="138">
        <v>15</v>
      </c>
      <c r="K151" s="138">
        <v>15</v>
      </c>
      <c r="L151" s="206"/>
      <c r="M151" s="206"/>
      <c r="N151" s="206"/>
      <c r="O151" s="206"/>
      <c r="P151" s="180">
        <f>IF(Table_Shelter[[#This Row],[Status]]="Open",IF(V151="NO",Table_Shelter[[#This Row],[HH per Shelter]]*(Table_Shelter[[#This Row],['# of Temporary Shelter Units Built]]+Table_Shelter[[#This Row],['# of Temporary Shelter Under  Construction]]+Table_Shelter[[#This Row],['# of Permanent House Under Construction]]),0),0)</f>
        <v>15</v>
      </c>
      <c r="Q151" s="137"/>
      <c r="R151" s="206"/>
      <c r="S151" s="207" t="str">
        <f>IFERROR(VLOOKUP(Table_Shelter[[#This Row],[CampName]],CL,2,0),"")</f>
        <v>MMR001CMP133</v>
      </c>
      <c r="T151" s="207" t="str">
        <f>IFERROR(VLOOKUP(Table_Shelter[[#This Row],[CampName]],CL,3,0),"")</f>
        <v>Open</v>
      </c>
      <c r="U151" s="323">
        <f>IFERROR(Table_Shelter[[#This Row],[HH Covered]]/VLOOKUP(Table_Shelter[[#This Row],[CampName]],CL,4,0),"")</f>
        <v>0.14018691588785046</v>
      </c>
      <c r="V151" s="323" t="s">
        <v>1309</v>
      </c>
      <c r="W151" s="208"/>
    </row>
    <row r="152" spans="1:23" ht="15" customHeight="1" x14ac:dyDescent="0.25">
      <c r="A152" s="681"/>
      <c r="B152" s="206" t="s">
        <v>453</v>
      </c>
      <c r="C152" s="206" t="s">
        <v>461</v>
      </c>
      <c r="D152" s="213" t="s">
        <v>380</v>
      </c>
      <c r="E152" s="406" t="s">
        <v>151</v>
      </c>
      <c r="F152" s="206" t="s">
        <v>160</v>
      </c>
      <c r="G152" s="138">
        <v>1</v>
      </c>
      <c r="H152" s="138"/>
      <c r="I152" s="138"/>
      <c r="J152" s="138">
        <v>20</v>
      </c>
      <c r="K152" s="138">
        <v>20</v>
      </c>
      <c r="L152" s="206"/>
      <c r="M152" s="206"/>
      <c r="N152" s="206"/>
      <c r="O152" s="206"/>
      <c r="P152" s="139">
        <f>IF(Table_Shelter[[#This Row],[Status]]="Open",IF(V152="NO",Table_Shelter[[#This Row],[HH per Shelter]]*(Table_Shelter[[#This Row],['# of Temporary Shelter Units Built]]+Table_Shelter[[#This Row],['# of Temporary Shelter Under  Construction]]+Table_Shelter[[#This Row],['# of Permanent House Under Construction]]),0),0)</f>
        <v>20</v>
      </c>
      <c r="Q152" s="137"/>
      <c r="R152" s="137"/>
      <c r="S152" s="139" t="str">
        <f>IFERROR(VLOOKUP(Table_Shelter[[#This Row],[CampName]],CL,2,0),"")</f>
        <v>MMR001CMP133</v>
      </c>
      <c r="T152" s="139" t="str">
        <f>IFERROR(VLOOKUP(Table_Shelter[[#This Row],[CampName]],CL,3,0),"")</f>
        <v>Open</v>
      </c>
      <c r="U152" s="323">
        <f>IFERROR(Table_Shelter[[#This Row],[HH Covered]]/VLOOKUP(Table_Shelter[[#This Row],[CampName]],CL,4,0),"")</f>
        <v>0.18691588785046728</v>
      </c>
      <c r="V152" s="323" t="s">
        <v>1309</v>
      </c>
      <c r="W152" s="139"/>
    </row>
    <row r="153" spans="1:23" ht="15" customHeight="1" x14ac:dyDescent="0.25">
      <c r="A153" s="682">
        <v>41748</v>
      </c>
      <c r="B153" s="208" t="s">
        <v>453</v>
      </c>
      <c r="C153" s="208"/>
      <c r="D153" s="208" t="s">
        <v>380</v>
      </c>
      <c r="E153" s="212" t="s">
        <v>151</v>
      </c>
      <c r="F153" s="208" t="s">
        <v>154</v>
      </c>
      <c r="G153" s="140">
        <v>1</v>
      </c>
      <c r="H153" s="140">
        <v>200</v>
      </c>
      <c r="I153" s="140">
        <v>200</v>
      </c>
      <c r="J153" s="140"/>
      <c r="K153" s="140"/>
      <c r="L153" s="208"/>
      <c r="M153" s="208"/>
      <c r="N153" s="208"/>
      <c r="O153" s="208"/>
      <c r="P153" s="180">
        <f>IF(Table_Shelter[[#This Row],[Status]]="Open",IF(V153="NO",Table_Shelter[[#This Row],[HH per Shelter]]*(Table_Shelter[[#This Row],['# of Temporary Shelter Units Built]]+Table_Shelter[[#This Row],['# of Temporary Shelter Under  Construction]]+Table_Shelter[[#This Row],['# of Permanent House Under Construction]]),0),0)</f>
        <v>0</v>
      </c>
      <c r="Q153" s="139"/>
      <c r="R153" s="208"/>
      <c r="S153" s="207" t="str">
        <f>IFERROR(VLOOKUP(Table_Shelter[[#This Row],[CampName]],CL,2,0),"")</f>
        <v>MMR001CMP132</v>
      </c>
      <c r="T153" s="207" t="str">
        <f>IFERROR(VLOOKUP(Table_Shelter[[#This Row],[CampName]],CL,3,0),"")</f>
        <v>Open</v>
      </c>
      <c r="U153" s="323">
        <f>IFERROR(Table_Shelter[[#This Row],[HH Covered]]/VLOOKUP(Table_Shelter[[#This Row],[CampName]],CL,4,0),"")</f>
        <v>0</v>
      </c>
      <c r="V153" s="323" t="s">
        <v>1309</v>
      </c>
      <c r="W153" s="208"/>
    </row>
    <row r="154" spans="1:23" ht="15" customHeight="1" x14ac:dyDescent="0.25">
      <c r="A154" s="681"/>
      <c r="B154" s="206" t="s">
        <v>453</v>
      </c>
      <c r="C154" s="206" t="s">
        <v>460</v>
      </c>
      <c r="D154" s="206" t="s">
        <v>380</v>
      </c>
      <c r="E154" s="406" t="s">
        <v>151</v>
      </c>
      <c r="F154" s="206" t="s">
        <v>154</v>
      </c>
      <c r="G154" s="138">
        <v>1</v>
      </c>
      <c r="H154" s="138"/>
      <c r="I154" s="138"/>
      <c r="J154" s="138">
        <v>200</v>
      </c>
      <c r="K154" s="138">
        <v>200</v>
      </c>
      <c r="L154" s="206"/>
      <c r="M154" s="206"/>
      <c r="N154" s="206"/>
      <c r="O154" s="206"/>
      <c r="P154" s="180">
        <f>IF(Table_Shelter[[#This Row],[Status]]="Open",IF(V154="NO",Table_Shelter[[#This Row],[HH per Shelter]]*(Table_Shelter[[#This Row],['# of Temporary Shelter Units Built]]+Table_Shelter[[#This Row],['# of Temporary Shelter Under  Construction]]+Table_Shelter[[#This Row],['# of Permanent House Under Construction]]),0),0)</f>
        <v>200</v>
      </c>
      <c r="Q154" s="137"/>
      <c r="R154" s="206"/>
      <c r="S154" s="207" t="str">
        <f>IFERROR(VLOOKUP(Table_Shelter[[#This Row],[CampName]],CL,2,0),"")</f>
        <v>MMR001CMP132</v>
      </c>
      <c r="T154" s="207" t="str">
        <f>IFERROR(VLOOKUP(Table_Shelter[[#This Row],[CampName]],CL,3,0),"")</f>
        <v>Open</v>
      </c>
      <c r="U154" s="323">
        <f>IFERROR(Table_Shelter[[#This Row],[HH Covered]]/VLOOKUP(Table_Shelter[[#This Row],[CampName]],CL,4,0),"")</f>
        <v>0.4366812227074236</v>
      </c>
      <c r="V154" s="323" t="s">
        <v>1309</v>
      </c>
      <c r="W154" s="208"/>
    </row>
    <row r="155" spans="1:23" ht="15" customHeight="1" x14ac:dyDescent="0.25">
      <c r="A155" s="681"/>
      <c r="B155" s="206" t="s">
        <v>847</v>
      </c>
      <c r="C155" s="206"/>
      <c r="D155" s="206" t="s">
        <v>380</v>
      </c>
      <c r="E155" s="406" t="s">
        <v>185</v>
      </c>
      <c r="F155" s="206" t="s">
        <v>207</v>
      </c>
      <c r="G155" s="138">
        <v>1</v>
      </c>
      <c r="H155" s="138"/>
      <c r="I155" s="138"/>
      <c r="J155" s="138">
        <v>6</v>
      </c>
      <c r="K155" s="138">
        <v>6</v>
      </c>
      <c r="L155" s="206"/>
      <c r="M155" s="206"/>
      <c r="N155" s="206"/>
      <c r="O155" s="206"/>
      <c r="P155" s="180">
        <f>IF(Table_Shelter[[#This Row],[Status]]="Open",IF(V155="NO",Table_Shelter[[#This Row],[HH per Shelter]]*(Table_Shelter[[#This Row],['# of Temporary Shelter Units Built]]+Table_Shelter[[#This Row],['# of Temporary Shelter Under  Construction]]+Table_Shelter[[#This Row],['# of Permanent House Under Construction]]),0),0)</f>
        <v>0</v>
      </c>
      <c r="Q155" s="137"/>
      <c r="R155" s="206"/>
      <c r="S155" s="207" t="str">
        <f>IFERROR(VLOOKUP(Table_Shelter[[#This Row],[CampName]],CL,2,0),"")</f>
        <v>MMR001CMP058</v>
      </c>
      <c r="T155" s="207" t="str">
        <f>IFERROR(VLOOKUP(Table_Shelter[[#This Row],[CampName]],CL,3,0),"")</f>
        <v>Closed</v>
      </c>
      <c r="U155" s="323" t="str">
        <f>IFERROR(Table_Shelter[[#This Row],[HH Covered]]/VLOOKUP(Table_Shelter[[#This Row],[CampName]],CL,4,0),"")</f>
        <v/>
      </c>
      <c r="V155" s="323" t="s">
        <v>1309</v>
      </c>
      <c r="W155" s="208"/>
    </row>
    <row r="156" spans="1:23" ht="15" customHeight="1" x14ac:dyDescent="0.25">
      <c r="A156" s="681"/>
      <c r="B156" s="206" t="s">
        <v>453</v>
      </c>
      <c r="C156" s="206" t="s">
        <v>506</v>
      </c>
      <c r="D156" s="206" t="s">
        <v>380</v>
      </c>
      <c r="E156" s="406" t="s">
        <v>185</v>
      </c>
      <c r="F156" s="206" t="s">
        <v>207</v>
      </c>
      <c r="G156" s="138">
        <v>1</v>
      </c>
      <c r="H156" s="138"/>
      <c r="I156" s="138"/>
      <c r="J156" s="138"/>
      <c r="K156" s="138"/>
      <c r="L156" s="206"/>
      <c r="M156" s="206"/>
      <c r="N156" s="206"/>
      <c r="O156" s="206"/>
      <c r="P156" s="180">
        <f>IF(Table_Shelter[[#This Row],[Status]]="Open",IF(V156="NO",Table_Shelter[[#This Row],[HH per Shelter]]*(Table_Shelter[[#This Row],['# of Temporary Shelter Units Built]]+Table_Shelter[[#This Row],['# of Temporary Shelter Under  Construction]]+Table_Shelter[[#This Row],['# of Permanent House Under Construction]]),0),0)</f>
        <v>0</v>
      </c>
      <c r="Q156" s="137">
        <v>5</v>
      </c>
      <c r="R156" s="206"/>
      <c r="S156" s="207" t="str">
        <f>IFERROR(VLOOKUP(Table_Shelter[[#This Row],[CampName]],CL,2,0),"")</f>
        <v>MMR001CMP058</v>
      </c>
      <c r="T156" s="207" t="str">
        <f>IFERROR(VLOOKUP(Table_Shelter[[#This Row],[CampName]],CL,3,0),"")</f>
        <v>Closed</v>
      </c>
      <c r="U156" s="323" t="str">
        <f>IFERROR(Table_Shelter[[#This Row],[HH Covered]]/VLOOKUP(Table_Shelter[[#This Row],[CampName]],CL,4,0),"")</f>
        <v/>
      </c>
      <c r="V156" s="323" t="s">
        <v>1309</v>
      </c>
      <c r="W156" s="208"/>
    </row>
    <row r="157" spans="1:23" ht="15" customHeight="1" x14ac:dyDescent="0.25">
      <c r="A157" s="681">
        <v>41609</v>
      </c>
      <c r="B157" s="206" t="s">
        <v>453</v>
      </c>
      <c r="C157" s="206" t="s">
        <v>461</v>
      </c>
      <c r="D157" s="206" t="s">
        <v>554</v>
      </c>
      <c r="E157" s="406" t="s">
        <v>166</v>
      </c>
      <c r="F157" s="206" t="s">
        <v>167</v>
      </c>
      <c r="G157" s="138">
        <v>1</v>
      </c>
      <c r="H157" s="138"/>
      <c r="I157" s="138"/>
      <c r="J157" s="138">
        <v>10</v>
      </c>
      <c r="K157" s="138">
        <v>10</v>
      </c>
      <c r="L157" s="206"/>
      <c r="M157" s="206"/>
      <c r="N157" s="206"/>
      <c r="O157" s="206"/>
      <c r="P157" s="139">
        <f>IF(Table_Shelter[[#This Row],[Status]]="Open",IF(V157="NO",Table_Shelter[[#This Row],[HH per Shelter]]*(Table_Shelter[[#This Row],['# of Temporary Shelter Units Built]]+Table_Shelter[[#This Row],['# of Temporary Shelter Under  Construction]]+Table_Shelter[[#This Row],['# of Permanent House Under Construction]]),0),0)</f>
        <v>10</v>
      </c>
      <c r="Q157" s="137"/>
      <c r="R157" s="137"/>
      <c r="S157" s="139" t="str">
        <f>IFERROR(VLOOKUP(Table_Shelter[[#This Row],[CampName]],CL,2,0),"")</f>
        <v>MMR015CMP009</v>
      </c>
      <c r="T157" s="139" t="str">
        <f>IFERROR(VLOOKUP(Table_Shelter[[#This Row],[CampName]],CL,3,0),"")</f>
        <v>Open</v>
      </c>
      <c r="U157" s="323">
        <f>IFERROR(Table_Shelter[[#This Row],[HH Covered]]/VLOOKUP(Table_Shelter[[#This Row],[CampName]],CL,4,0),"")</f>
        <v>0.27027027027027029</v>
      </c>
      <c r="V157" s="323" t="s">
        <v>1309</v>
      </c>
      <c r="W157" s="139"/>
    </row>
    <row r="158" spans="1:23" ht="15" customHeight="1" x14ac:dyDescent="0.25">
      <c r="A158" s="681"/>
      <c r="B158" s="206" t="s">
        <v>453</v>
      </c>
      <c r="C158" s="206" t="s">
        <v>461</v>
      </c>
      <c r="D158" s="206" t="s">
        <v>554</v>
      </c>
      <c r="E158" s="406" t="s">
        <v>166</v>
      </c>
      <c r="F158" s="206" t="s">
        <v>167</v>
      </c>
      <c r="G158" s="138">
        <v>1</v>
      </c>
      <c r="H158" s="138"/>
      <c r="I158" s="138"/>
      <c r="J158" s="138">
        <v>30</v>
      </c>
      <c r="K158" s="138">
        <v>30</v>
      </c>
      <c r="L158" s="206"/>
      <c r="M158" s="206"/>
      <c r="N158" s="206"/>
      <c r="O158" s="206"/>
      <c r="P158" s="180">
        <f>IF(Table_Shelter[[#This Row],[Status]]="Open",IF(V158="NO",Table_Shelter[[#This Row],[HH per Shelter]]*(Table_Shelter[[#This Row],['# of Temporary Shelter Units Built]]+Table_Shelter[[#This Row],['# of Temporary Shelter Under  Construction]]+Table_Shelter[[#This Row],['# of Permanent House Under Construction]]),0),0)</f>
        <v>30</v>
      </c>
      <c r="Q158" s="137"/>
      <c r="R158" s="206"/>
      <c r="S158" s="207" t="str">
        <f>IFERROR(VLOOKUP(Table_Shelter[[#This Row],[CampName]],CL,2,0),"")</f>
        <v>MMR015CMP009</v>
      </c>
      <c r="T158" s="207" t="str">
        <f>IFERROR(VLOOKUP(Table_Shelter[[#This Row],[CampName]],CL,3,0),"")</f>
        <v>Open</v>
      </c>
      <c r="U158" s="323">
        <f>IFERROR(Table_Shelter[[#This Row],[HH Covered]]/VLOOKUP(Table_Shelter[[#This Row],[CampName]],CL,4,0),"")</f>
        <v>0.81081081081081086</v>
      </c>
      <c r="V158" s="323" t="s">
        <v>1309</v>
      </c>
      <c r="W158" s="208"/>
    </row>
    <row r="159" spans="1:23" ht="15" customHeight="1" x14ac:dyDescent="0.25">
      <c r="A159" s="682">
        <v>41609</v>
      </c>
      <c r="B159" s="138" t="s">
        <v>453</v>
      </c>
      <c r="C159" s="138" t="s">
        <v>507</v>
      </c>
      <c r="D159" s="213" t="s">
        <v>554</v>
      </c>
      <c r="E159" s="214" t="s">
        <v>166</v>
      </c>
      <c r="F159" s="138" t="s">
        <v>823</v>
      </c>
      <c r="G159" s="138">
        <v>1</v>
      </c>
      <c r="H159" s="140"/>
      <c r="I159" s="140"/>
      <c r="J159" s="140">
        <v>30</v>
      </c>
      <c r="K159" s="140">
        <v>30</v>
      </c>
      <c r="L159" s="140"/>
      <c r="M159" s="140"/>
      <c r="N159" s="140"/>
      <c r="O159" s="140"/>
      <c r="P159" s="139">
        <f>IF(Table_Shelter[[#This Row],[Status]]="Open",IF(V159="NO",Table_Shelter[[#This Row],[HH per Shelter]]*(Table_Shelter[[#This Row],['# of Temporary Shelter Units Built]]+Table_Shelter[[#This Row],['# of Temporary Shelter Under  Construction]]+Table_Shelter[[#This Row],['# of Permanent House Under Construction]]),0),0)</f>
        <v>30</v>
      </c>
      <c r="Q159" s="139"/>
      <c r="R159" s="139"/>
      <c r="S159" s="139" t="str">
        <f>IFERROR(VLOOKUP(Table_Shelter[[#This Row],[CampName]],CL,2,0),"")</f>
        <v>MMR015CMP209</v>
      </c>
      <c r="T159" s="139" t="str">
        <f>IFERROR(VLOOKUP(Table_Shelter[[#This Row],[CampName]],CL,3,0),"")</f>
        <v>Open</v>
      </c>
      <c r="U159" s="324">
        <f>IFERROR(Table_Shelter[[#This Row],[HH Covered]]/VLOOKUP(Table_Shelter[[#This Row],[CampName]],CL,4,0),"")</f>
        <v>1.0344827586206897</v>
      </c>
      <c r="V159" s="323" t="s">
        <v>1309</v>
      </c>
      <c r="W159" s="139"/>
    </row>
    <row r="160" spans="1:23" ht="15" customHeight="1" x14ac:dyDescent="0.25">
      <c r="A160" s="681"/>
      <c r="B160" s="206" t="s">
        <v>453</v>
      </c>
      <c r="C160" s="206" t="s">
        <v>461</v>
      </c>
      <c r="D160" s="206" t="s">
        <v>380</v>
      </c>
      <c r="E160" s="406" t="s">
        <v>173</v>
      </c>
      <c r="F160" s="206" t="s">
        <v>176</v>
      </c>
      <c r="G160" s="138">
        <v>1</v>
      </c>
      <c r="H160" s="138"/>
      <c r="I160" s="138"/>
      <c r="J160" s="138">
        <v>10</v>
      </c>
      <c r="K160" s="138">
        <v>10</v>
      </c>
      <c r="L160" s="206"/>
      <c r="M160" s="206"/>
      <c r="N160" s="206"/>
      <c r="O160" s="206"/>
      <c r="P160" s="180">
        <f>IF(Table_Shelter[[#This Row],[Status]]="Open",IF(V160="NO",Table_Shelter[[#This Row],[HH per Shelter]]*(Table_Shelter[[#This Row],['# of Temporary Shelter Units Built]]+Table_Shelter[[#This Row],['# of Temporary Shelter Under  Construction]]+Table_Shelter[[#This Row],['# of Permanent House Under Construction]]),0),0)</f>
        <v>10</v>
      </c>
      <c r="Q160" s="137"/>
      <c r="R160" s="206"/>
      <c r="S160" s="207" t="str">
        <f>IFERROR(VLOOKUP(Table_Shelter[[#This Row],[CampName]],CL,2,0),"")</f>
        <v>MMR001CMP077</v>
      </c>
      <c r="T160" s="207" t="str">
        <f>IFERROR(VLOOKUP(Table_Shelter[[#This Row],[CampName]],CL,3,0),"")</f>
        <v>Open</v>
      </c>
      <c r="U160" s="323">
        <f>IFERROR(Table_Shelter[[#This Row],[HH Covered]]/VLOOKUP(Table_Shelter[[#This Row],[CampName]],CL,4,0),"")</f>
        <v>0.625</v>
      </c>
      <c r="V160" s="323" t="s">
        <v>1309</v>
      </c>
      <c r="W160" s="208"/>
    </row>
    <row r="161" spans="1:23" ht="15" customHeight="1" x14ac:dyDescent="0.25">
      <c r="A161" s="682">
        <v>41809</v>
      </c>
      <c r="B161" s="208" t="s">
        <v>847</v>
      </c>
      <c r="C161" s="208"/>
      <c r="D161" s="208" t="s">
        <v>380</v>
      </c>
      <c r="E161" s="212" t="s">
        <v>151</v>
      </c>
      <c r="F161" s="208" t="s">
        <v>152</v>
      </c>
      <c r="G161" s="140">
        <v>1</v>
      </c>
      <c r="H161" s="140"/>
      <c r="I161" s="140"/>
      <c r="J161" s="140">
        <v>56</v>
      </c>
      <c r="K161" s="140">
        <v>60</v>
      </c>
      <c r="L161" s="208"/>
      <c r="M161" s="208"/>
      <c r="N161" s="208"/>
      <c r="O161" s="208"/>
      <c r="P161" s="180">
        <f>IF(Table_Shelter[[#This Row],[Status]]="Open",IF(V161="NO",Table_Shelter[[#This Row],[HH per Shelter]]*(Table_Shelter[[#This Row],['# of Temporary Shelter Units Built]]+Table_Shelter[[#This Row],['# of Temporary Shelter Under  Construction]]+Table_Shelter[[#This Row],['# of Permanent House Under Construction]]),0),0)</f>
        <v>60</v>
      </c>
      <c r="Q161" s="139"/>
      <c r="R161" s="208"/>
      <c r="S161" s="207" t="str">
        <f>IFERROR(VLOOKUP(Table_Shelter[[#This Row],[CampName]],CL,2,0),"")</f>
        <v>MMR001CMP066</v>
      </c>
      <c r="T161" s="207" t="str">
        <f>IFERROR(VLOOKUP(Table_Shelter[[#This Row],[CampName]],CL,3,0),"")</f>
        <v>Open</v>
      </c>
      <c r="U161" s="323">
        <f>IFERROR(Table_Shelter[[#This Row],[HH Covered]]/VLOOKUP(Table_Shelter[[#This Row],[CampName]],CL,4,0),"")</f>
        <v>0.30612244897959184</v>
      </c>
      <c r="V161" s="323" t="s">
        <v>1309</v>
      </c>
      <c r="W161" s="208"/>
    </row>
    <row r="162" spans="1:23" ht="15" customHeight="1" x14ac:dyDescent="0.25">
      <c r="A162" s="681">
        <v>41791</v>
      </c>
      <c r="B162" s="206" t="s">
        <v>453</v>
      </c>
      <c r="C162" s="206" t="s">
        <v>461</v>
      </c>
      <c r="D162" s="206" t="s">
        <v>380</v>
      </c>
      <c r="E162" s="406" t="s">
        <v>151</v>
      </c>
      <c r="F162" s="206" t="s">
        <v>152</v>
      </c>
      <c r="G162" s="138">
        <v>1</v>
      </c>
      <c r="H162" s="138"/>
      <c r="I162" s="138"/>
      <c r="J162" s="138">
        <v>15</v>
      </c>
      <c r="K162" s="138">
        <v>15</v>
      </c>
      <c r="L162" s="206"/>
      <c r="M162" s="206"/>
      <c r="N162" s="206"/>
      <c r="O162" s="206"/>
      <c r="P162" s="139">
        <f>IF(Table_Shelter[[#This Row],[Status]]="Open",IF(V162="NO",Table_Shelter[[#This Row],[HH per Shelter]]*(Table_Shelter[[#This Row],['# of Temporary Shelter Units Built]]+Table_Shelter[[#This Row],['# of Temporary Shelter Under  Construction]]+Table_Shelter[[#This Row],['# of Permanent House Under Construction]]),0),0)</f>
        <v>15</v>
      </c>
      <c r="Q162" s="137"/>
      <c r="R162" s="137"/>
      <c r="S162" s="139" t="str">
        <f>IFERROR(VLOOKUP(Table_Shelter[[#This Row],[CampName]],CL,2,0),"")</f>
        <v>MMR001CMP066</v>
      </c>
      <c r="T162" s="139" t="str">
        <f>IFERROR(VLOOKUP(Table_Shelter[[#This Row],[CampName]],CL,3,0),"")</f>
        <v>Open</v>
      </c>
      <c r="U162" s="323">
        <f>IFERROR(Table_Shelter[[#This Row],[HH Covered]]/VLOOKUP(Table_Shelter[[#This Row],[CampName]],CL,4,0),"")</f>
        <v>7.6530612244897961E-2</v>
      </c>
      <c r="V162" s="323" t="s">
        <v>1309</v>
      </c>
      <c r="W162" s="139"/>
    </row>
    <row r="163" spans="1:23" ht="15" customHeight="1" x14ac:dyDescent="0.25">
      <c r="A163" s="681">
        <v>41609</v>
      </c>
      <c r="B163" s="206" t="s">
        <v>453</v>
      </c>
      <c r="C163" s="206" t="s">
        <v>461</v>
      </c>
      <c r="D163" s="206" t="s">
        <v>380</v>
      </c>
      <c r="E163" s="406" t="s">
        <v>151</v>
      </c>
      <c r="F163" s="206" t="s">
        <v>152</v>
      </c>
      <c r="G163" s="138">
        <v>1</v>
      </c>
      <c r="H163" s="138"/>
      <c r="I163" s="138"/>
      <c r="J163" s="138">
        <v>20</v>
      </c>
      <c r="K163" s="138">
        <v>20</v>
      </c>
      <c r="L163" s="206"/>
      <c r="M163" s="206"/>
      <c r="N163" s="206"/>
      <c r="O163" s="206"/>
      <c r="P163" s="180">
        <f>IF(Table_Shelter[[#This Row],[Status]]="Open",IF(V163="NO",Table_Shelter[[#This Row],[HH per Shelter]]*(Table_Shelter[[#This Row],['# of Temporary Shelter Units Built]]+Table_Shelter[[#This Row],['# of Temporary Shelter Under  Construction]]+Table_Shelter[[#This Row],['# of Permanent House Under Construction]]),0),0)</f>
        <v>20</v>
      </c>
      <c r="Q163" s="137"/>
      <c r="R163" s="206"/>
      <c r="S163" s="207" t="str">
        <f>IFERROR(VLOOKUP(Table_Shelter[[#This Row],[CampName]],CL,2,0),"")</f>
        <v>MMR001CMP066</v>
      </c>
      <c r="T163" s="207" t="str">
        <f>IFERROR(VLOOKUP(Table_Shelter[[#This Row],[CampName]],CL,3,0),"")</f>
        <v>Open</v>
      </c>
      <c r="U163" s="323">
        <f>IFERROR(Table_Shelter[[#This Row],[HH Covered]]/VLOOKUP(Table_Shelter[[#This Row],[CampName]],CL,4,0),"")</f>
        <v>0.10204081632653061</v>
      </c>
      <c r="V163" s="323" t="s">
        <v>1309</v>
      </c>
      <c r="W163" s="208"/>
    </row>
    <row r="164" spans="1:23" ht="15" customHeight="1" x14ac:dyDescent="0.25">
      <c r="A164" s="681"/>
      <c r="B164" s="206" t="s">
        <v>453</v>
      </c>
      <c r="C164" s="206"/>
      <c r="D164" s="206" t="s">
        <v>380</v>
      </c>
      <c r="E164" s="406" t="s">
        <v>151</v>
      </c>
      <c r="F164" s="206" t="s">
        <v>152</v>
      </c>
      <c r="G164" s="138">
        <v>1</v>
      </c>
      <c r="H164" s="138"/>
      <c r="I164" s="138"/>
      <c r="J164" s="138">
        <v>41</v>
      </c>
      <c r="K164" s="138">
        <v>10</v>
      </c>
      <c r="L164" s="206"/>
      <c r="M164" s="206"/>
      <c r="N164" s="206"/>
      <c r="O164" s="206"/>
      <c r="P164" s="180">
        <f>IF(Table_Shelter[[#This Row],[Status]]="Open",IF(V164="NO",Table_Shelter[[#This Row],[HH per Shelter]]*(Table_Shelter[[#This Row],['# of Temporary Shelter Units Built]]+Table_Shelter[[#This Row],['# of Temporary Shelter Under  Construction]]+Table_Shelter[[#This Row],['# of Permanent House Under Construction]]),0),0)</f>
        <v>10</v>
      </c>
      <c r="Q164" s="137"/>
      <c r="R164" s="206"/>
      <c r="S164" s="207" t="str">
        <f>IFERROR(VLOOKUP(Table_Shelter[[#This Row],[CampName]],CL,2,0),"")</f>
        <v>MMR001CMP066</v>
      </c>
      <c r="T164" s="207" t="str">
        <f>IFERROR(VLOOKUP(Table_Shelter[[#This Row],[CampName]],CL,3,0),"")</f>
        <v>Open</v>
      </c>
      <c r="U164" s="323">
        <f>IFERROR(Table_Shelter[[#This Row],[HH Covered]]/VLOOKUP(Table_Shelter[[#This Row],[CampName]],CL,4,0),"")</f>
        <v>5.1020408163265307E-2</v>
      </c>
      <c r="V164" s="323" t="s">
        <v>1309</v>
      </c>
      <c r="W164" s="208"/>
    </row>
    <row r="165" spans="1:23" ht="15" customHeight="1" x14ac:dyDescent="0.25">
      <c r="A165" s="681"/>
      <c r="B165" s="206" t="s">
        <v>848</v>
      </c>
      <c r="C165" s="206" t="s">
        <v>848</v>
      </c>
      <c r="D165" s="206" t="s">
        <v>380</v>
      </c>
      <c r="E165" s="406" t="s">
        <v>528</v>
      </c>
      <c r="F165" s="206" t="s">
        <v>54</v>
      </c>
      <c r="G165" s="138">
        <v>1</v>
      </c>
      <c r="H165" s="138"/>
      <c r="I165" s="138"/>
      <c r="J165" s="138">
        <v>10</v>
      </c>
      <c r="K165" s="138">
        <v>10</v>
      </c>
      <c r="L165" s="206"/>
      <c r="M165" s="206"/>
      <c r="N165" s="206"/>
      <c r="O165" s="206"/>
      <c r="P165" s="180">
        <f>IF(Table_Shelter[[#This Row],[Status]]="Open",IF(V165="NO",Table_Shelter[[#This Row],[HH per Shelter]]*(Table_Shelter[[#This Row],['# of Temporary Shelter Units Built]]+Table_Shelter[[#This Row],['# of Temporary Shelter Under  Construction]]+Table_Shelter[[#This Row],['# of Permanent House Under Construction]]),0),0)</f>
        <v>0</v>
      </c>
      <c r="Q165" s="137"/>
      <c r="R165" s="206"/>
      <c r="S165" s="207" t="str">
        <f>IFERROR(VLOOKUP(Table_Shelter[[#This Row],[CampName]],CL,2,0),"")</f>
        <v>MMR001CMP094</v>
      </c>
      <c r="T165" s="207" t="str">
        <f>IFERROR(VLOOKUP(Table_Shelter[[#This Row],[CampName]],CL,3,0),"")</f>
        <v>Closed</v>
      </c>
      <c r="U165" s="323" t="str">
        <f>IFERROR(Table_Shelter[[#This Row],[HH Covered]]/VLOOKUP(Table_Shelter[[#This Row],[CampName]],CL,4,0),"")</f>
        <v/>
      </c>
      <c r="V165" s="323" t="s">
        <v>1309</v>
      </c>
      <c r="W165" s="208"/>
    </row>
    <row r="166" spans="1:23" ht="15" customHeight="1" x14ac:dyDescent="0.25">
      <c r="A166" s="681"/>
      <c r="B166" s="206" t="s">
        <v>453</v>
      </c>
      <c r="C166" s="206" t="s">
        <v>506</v>
      </c>
      <c r="D166" s="206" t="s">
        <v>380</v>
      </c>
      <c r="E166" s="406" t="s">
        <v>528</v>
      </c>
      <c r="F166" s="206" t="s">
        <v>54</v>
      </c>
      <c r="G166" s="138">
        <v>1</v>
      </c>
      <c r="H166" s="138"/>
      <c r="I166" s="138"/>
      <c r="J166" s="138">
        <v>10</v>
      </c>
      <c r="K166" s="138">
        <v>10</v>
      </c>
      <c r="L166" s="206"/>
      <c r="M166" s="206"/>
      <c r="N166" s="206"/>
      <c r="O166" s="206"/>
      <c r="P166" s="180">
        <f>IF(Table_Shelter[[#This Row],[Status]]="Open",IF(V166="NO",Table_Shelter[[#This Row],[HH per Shelter]]*(Table_Shelter[[#This Row],['# of Temporary Shelter Units Built]]+Table_Shelter[[#This Row],['# of Temporary Shelter Under  Construction]]+Table_Shelter[[#This Row],['# of Permanent House Under Construction]]),0),0)</f>
        <v>0</v>
      </c>
      <c r="Q166" s="137"/>
      <c r="R166" s="206"/>
      <c r="S166" s="207" t="str">
        <f>IFERROR(VLOOKUP(Table_Shelter[[#This Row],[CampName]],CL,2,0),"")</f>
        <v>MMR001CMP094</v>
      </c>
      <c r="T166" s="207" t="str">
        <f>IFERROR(VLOOKUP(Table_Shelter[[#This Row],[CampName]],CL,3,0),"")</f>
        <v>Closed</v>
      </c>
      <c r="U166" s="323" t="str">
        <f>IFERROR(Table_Shelter[[#This Row],[HH Covered]]/VLOOKUP(Table_Shelter[[#This Row],[CampName]],CL,4,0),"")</f>
        <v/>
      </c>
      <c r="V166" s="323" t="s">
        <v>1309</v>
      </c>
      <c r="W166" s="208"/>
    </row>
    <row r="167" spans="1:23" ht="15" customHeight="1" x14ac:dyDescent="0.25">
      <c r="A167" s="682">
        <v>41791</v>
      </c>
      <c r="B167" s="138" t="s">
        <v>453</v>
      </c>
      <c r="C167" s="138" t="s">
        <v>506</v>
      </c>
      <c r="D167" s="213" t="s">
        <v>380</v>
      </c>
      <c r="E167" s="214" t="s">
        <v>237</v>
      </c>
      <c r="F167" s="138" t="s">
        <v>263</v>
      </c>
      <c r="G167" s="138">
        <v>1</v>
      </c>
      <c r="H167" s="140"/>
      <c r="I167" s="140"/>
      <c r="J167" s="140">
        <v>5</v>
      </c>
      <c r="K167" s="140">
        <v>5</v>
      </c>
      <c r="L167" s="140"/>
      <c r="M167" s="140"/>
      <c r="N167" s="140"/>
      <c r="O167" s="140"/>
      <c r="P167" s="139">
        <f>IF(Table_Shelter[[#This Row],[Status]]="Open",IF(V167="NO",Table_Shelter[[#This Row],[HH per Shelter]]*(Table_Shelter[[#This Row],['# of Temporary Shelter Units Built]]+Table_Shelter[[#This Row],['# of Temporary Shelter Under  Construction]]+Table_Shelter[[#This Row],['# of Permanent House Under Construction]]),0),0)</f>
        <v>5</v>
      </c>
      <c r="Q167" s="139"/>
      <c r="R167" s="139"/>
      <c r="S167" s="139" t="str">
        <f>IFERROR(VLOOKUP(Table_Shelter[[#This Row],[CampName]],CL,2,0),"")</f>
        <v>MMR001CMP020</v>
      </c>
      <c r="T167" s="139" t="str">
        <f>IFERROR(VLOOKUP(Table_Shelter[[#This Row],[CampName]],CL,3,0),"")</f>
        <v>Open</v>
      </c>
      <c r="U167" s="324">
        <f>IFERROR(Table_Shelter[[#This Row],[HH Covered]]/VLOOKUP(Table_Shelter[[#This Row],[CampName]],CL,4,0),"")</f>
        <v>0.23809523809523808</v>
      </c>
      <c r="V167" s="323" t="s">
        <v>1309</v>
      </c>
      <c r="W167" s="139"/>
    </row>
    <row r="168" spans="1:23" ht="15" customHeight="1" x14ac:dyDescent="0.25">
      <c r="A168" s="686">
        <v>42571</v>
      </c>
      <c r="B168" s="138" t="s">
        <v>453</v>
      </c>
      <c r="C168" s="138" t="s">
        <v>506</v>
      </c>
      <c r="D168" s="213" t="s">
        <v>380</v>
      </c>
      <c r="E168" s="214" t="s">
        <v>237</v>
      </c>
      <c r="F168" s="138" t="s">
        <v>263</v>
      </c>
      <c r="G168" s="138"/>
      <c r="H168" s="140"/>
      <c r="I168" s="140"/>
      <c r="J168" s="140"/>
      <c r="K168" s="140"/>
      <c r="L168" s="140"/>
      <c r="M168" s="140"/>
      <c r="N168" s="140"/>
      <c r="O168" s="140"/>
      <c r="P168" s="139">
        <f>IF(Table_Shelter[[#This Row],[Status]]="Open",IF(V168="NO",Table_Shelter[[#This Row],[HH per Shelter]]*(Table_Shelter[[#This Row],['# of Temporary Shelter Units Built]]+Table_Shelter[[#This Row],['# of Temporary Shelter Under  Construction]]+Table_Shelter[[#This Row],['# of Permanent House Under Construction]]),0),0)</f>
        <v>0</v>
      </c>
      <c r="Q168" s="139">
        <v>10</v>
      </c>
      <c r="R168" s="139"/>
      <c r="S168" s="139" t="str">
        <f>IFERROR(VLOOKUP(Table_Shelter[[#This Row],[CampName]],CL,2,0),"")</f>
        <v>MMR001CMP020</v>
      </c>
      <c r="T168" s="139" t="str">
        <f>IFERROR(VLOOKUP(Table_Shelter[[#This Row],[CampName]],CL,3,0),"")</f>
        <v>Open</v>
      </c>
      <c r="U168" s="324">
        <f>IFERROR(Table_Shelter[[#This Row],[HH Covered]]/VLOOKUP(Table_Shelter[[#This Row],[CampName]],CL,4,0),"")</f>
        <v>0</v>
      </c>
      <c r="V168" s="324">
        <f>VLOOKUP(Table_Shelter[[#This Row],[CampName]],CL,4,0)</f>
        <v>21</v>
      </c>
      <c r="W168" s="139"/>
    </row>
    <row r="169" spans="1:23" ht="15" customHeight="1" x14ac:dyDescent="0.25">
      <c r="A169" s="682"/>
      <c r="B169" s="208" t="s">
        <v>453</v>
      </c>
      <c r="C169" s="208" t="s">
        <v>506</v>
      </c>
      <c r="D169" s="208" t="s">
        <v>380</v>
      </c>
      <c r="E169" s="212" t="s">
        <v>237</v>
      </c>
      <c r="F169" s="208" t="s">
        <v>263</v>
      </c>
      <c r="G169" s="140">
        <v>1</v>
      </c>
      <c r="H169" s="140"/>
      <c r="I169" s="140"/>
      <c r="J169" s="140">
        <v>27</v>
      </c>
      <c r="K169" s="140">
        <v>27</v>
      </c>
      <c r="L169" s="208"/>
      <c r="M169" s="208"/>
      <c r="N169" s="208"/>
      <c r="O169" s="208"/>
      <c r="P169" s="180">
        <f>IF(Table_Shelter[[#This Row],[Status]]="Open",IF(V169="NO",Table_Shelter[[#This Row],[HH per Shelter]]*(Table_Shelter[[#This Row],['# of Temporary Shelter Units Built]]+Table_Shelter[[#This Row],['# of Temporary Shelter Under  Construction]]+Table_Shelter[[#This Row],['# of Permanent House Under Construction]]),0),0)</f>
        <v>27</v>
      </c>
      <c r="Q169" s="139"/>
      <c r="R169" s="208"/>
      <c r="S169" s="207" t="str">
        <f>IFERROR(VLOOKUP(Table_Shelter[[#This Row],[CampName]],CL,2,0),"")</f>
        <v>MMR001CMP020</v>
      </c>
      <c r="T169" s="207" t="str">
        <f>IFERROR(VLOOKUP(Table_Shelter[[#This Row],[CampName]],CL,3,0),"")</f>
        <v>Open</v>
      </c>
      <c r="U169" s="323">
        <f>IFERROR(Table_Shelter[[#This Row],[HH Covered]]/VLOOKUP(Table_Shelter[[#This Row],[CampName]],CL,4,0),"")</f>
        <v>1.2857142857142858</v>
      </c>
      <c r="V169" s="323" t="s">
        <v>1309</v>
      </c>
      <c r="W169" s="208"/>
    </row>
    <row r="170" spans="1:23" ht="15" customHeight="1" x14ac:dyDescent="0.25">
      <c r="A170" s="681">
        <v>41609</v>
      </c>
      <c r="B170" s="206" t="s">
        <v>453</v>
      </c>
      <c r="C170" s="206" t="s">
        <v>506</v>
      </c>
      <c r="D170" s="206" t="s">
        <v>380</v>
      </c>
      <c r="E170" s="406" t="s">
        <v>237</v>
      </c>
      <c r="F170" s="206" t="s">
        <v>265</v>
      </c>
      <c r="G170" s="138">
        <v>1</v>
      </c>
      <c r="H170" s="138"/>
      <c r="I170" s="138"/>
      <c r="J170" s="138">
        <v>15</v>
      </c>
      <c r="K170" s="138">
        <v>15</v>
      </c>
      <c r="L170" s="206"/>
      <c r="M170" s="206"/>
      <c r="N170" s="206"/>
      <c r="O170" s="206"/>
      <c r="P170" s="139">
        <f>IF(Table_Shelter[[#This Row],[Status]]="Open",IF(V170="NO",Table_Shelter[[#This Row],[HH per Shelter]]*(Table_Shelter[[#This Row],['# of Temporary Shelter Units Built]]+Table_Shelter[[#This Row],['# of Temporary Shelter Under  Construction]]+Table_Shelter[[#This Row],['# of Permanent House Under Construction]]),0),0)</f>
        <v>15</v>
      </c>
      <c r="Q170" s="137"/>
      <c r="R170" s="137"/>
      <c r="S170" s="139" t="str">
        <f>IFERROR(VLOOKUP(Table_Shelter[[#This Row],[CampName]],CL,2,0),"")</f>
        <v>MMR001CMP021</v>
      </c>
      <c r="T170" s="139" t="str">
        <f>IFERROR(VLOOKUP(Table_Shelter[[#This Row],[CampName]],CL,3,0),"")</f>
        <v>Open</v>
      </c>
      <c r="U170" s="323">
        <f>IFERROR(Table_Shelter[[#This Row],[HH Covered]]/VLOOKUP(Table_Shelter[[#This Row],[CampName]],CL,4,0),"")</f>
        <v>1.0714285714285714</v>
      </c>
      <c r="V170" s="323" t="s">
        <v>1309</v>
      </c>
      <c r="W170" s="139"/>
    </row>
    <row r="171" spans="1:23" ht="15" customHeight="1" x14ac:dyDescent="0.25">
      <c r="A171" s="681"/>
      <c r="B171" s="206" t="s">
        <v>453</v>
      </c>
      <c r="C171" s="206" t="s">
        <v>506</v>
      </c>
      <c r="D171" s="206" t="s">
        <v>380</v>
      </c>
      <c r="E171" s="406" t="s">
        <v>237</v>
      </c>
      <c r="F171" s="206" t="s">
        <v>265</v>
      </c>
      <c r="G171" s="138">
        <v>1</v>
      </c>
      <c r="H171" s="138"/>
      <c r="I171" s="138"/>
      <c r="J171" s="138">
        <v>4</v>
      </c>
      <c r="K171" s="138">
        <v>4</v>
      </c>
      <c r="L171" s="206"/>
      <c r="M171" s="206"/>
      <c r="N171" s="206"/>
      <c r="O171" s="206"/>
      <c r="P171" s="180">
        <f>IF(Table_Shelter[[#This Row],[Status]]="Open",IF(V171="NO",Table_Shelter[[#This Row],[HH per Shelter]]*(Table_Shelter[[#This Row],['# of Temporary Shelter Units Built]]+Table_Shelter[[#This Row],['# of Temporary Shelter Under  Construction]]+Table_Shelter[[#This Row],['# of Permanent House Under Construction]]),0),0)</f>
        <v>4</v>
      </c>
      <c r="Q171" s="137"/>
      <c r="R171" s="206"/>
      <c r="S171" s="207" t="str">
        <f>IFERROR(VLOOKUP(Table_Shelter[[#This Row],[CampName]],CL,2,0),"")</f>
        <v>MMR001CMP021</v>
      </c>
      <c r="T171" s="207" t="str">
        <f>IFERROR(VLOOKUP(Table_Shelter[[#This Row],[CampName]],CL,3,0),"")</f>
        <v>Open</v>
      </c>
      <c r="U171" s="323">
        <f>IFERROR(Table_Shelter[[#This Row],[HH Covered]]/VLOOKUP(Table_Shelter[[#This Row],[CampName]],CL,4,0),"")</f>
        <v>0.2857142857142857</v>
      </c>
      <c r="V171" s="323" t="s">
        <v>1309</v>
      </c>
      <c r="W171" s="208"/>
    </row>
    <row r="172" spans="1:23" ht="15" customHeight="1" x14ac:dyDescent="0.25">
      <c r="A172" s="682">
        <v>41609</v>
      </c>
      <c r="B172" s="207" t="s">
        <v>453</v>
      </c>
      <c r="C172" s="207" t="s">
        <v>506</v>
      </c>
      <c r="D172" s="207" t="s">
        <v>380</v>
      </c>
      <c r="E172" s="211" t="s">
        <v>528</v>
      </c>
      <c r="F172" s="207" t="s">
        <v>100</v>
      </c>
      <c r="G172" s="179">
        <v>1</v>
      </c>
      <c r="H172" s="140"/>
      <c r="I172" s="140"/>
      <c r="J172" s="140">
        <v>5</v>
      </c>
      <c r="K172" s="140">
        <v>5</v>
      </c>
      <c r="L172" s="208"/>
      <c r="M172" s="208"/>
      <c r="N172" s="208"/>
      <c r="O172" s="208"/>
      <c r="P172" s="139">
        <f>IF(Table_Shelter[[#This Row],[Status]]="Open",IF(V172="NO",Table_Shelter[[#This Row],[HH per Shelter]]*(Table_Shelter[[#This Row],['# of Temporary Shelter Units Built]]+Table_Shelter[[#This Row],['# of Temporary Shelter Under  Construction]]+Table_Shelter[[#This Row],['# of Permanent House Under Construction]]),0),0)</f>
        <v>5</v>
      </c>
      <c r="Q172" s="139"/>
      <c r="R172" s="139"/>
      <c r="S172" s="139" t="str">
        <f>IFERROR(VLOOKUP(Table_Shelter[[#This Row],[CampName]],CL,2,0),"")</f>
        <v>MMR001CMP091</v>
      </c>
      <c r="T172" s="139" t="str">
        <f>IFERROR(VLOOKUP(Table_Shelter[[#This Row],[CampName]],CL,3,0),"")</f>
        <v>Open</v>
      </c>
      <c r="U172" s="323">
        <f>IFERROR(Table_Shelter[[#This Row],[HH Covered]]/VLOOKUP(Table_Shelter[[#This Row],[CampName]],CL,4,0),"")</f>
        <v>1</v>
      </c>
      <c r="V172" s="323" t="s">
        <v>1309</v>
      </c>
      <c r="W172" s="139"/>
    </row>
    <row r="173" spans="1:23" ht="15" customHeight="1" x14ac:dyDescent="0.25">
      <c r="A173" s="680"/>
      <c r="B173" s="207" t="s">
        <v>453</v>
      </c>
      <c r="C173" s="207" t="s">
        <v>506</v>
      </c>
      <c r="D173" s="207" t="s">
        <v>380</v>
      </c>
      <c r="E173" s="211" t="s">
        <v>528</v>
      </c>
      <c r="F173" s="207" t="s">
        <v>100</v>
      </c>
      <c r="G173" s="179">
        <v>1</v>
      </c>
      <c r="H173" s="179"/>
      <c r="I173" s="179"/>
      <c r="J173" s="179">
        <v>5</v>
      </c>
      <c r="K173" s="179">
        <v>5</v>
      </c>
      <c r="L173" s="207"/>
      <c r="M173" s="207"/>
      <c r="N173" s="207"/>
      <c r="O173" s="207"/>
      <c r="P173" s="180">
        <f>IF(Table_Shelter[[#This Row],[Status]]="Open",IF(V173="NO",Table_Shelter[[#This Row],[HH per Shelter]]*(Table_Shelter[[#This Row],['# of Temporary Shelter Units Built]]+Table_Shelter[[#This Row],['# of Temporary Shelter Under  Construction]]+Table_Shelter[[#This Row],['# of Permanent House Under Construction]]),0),0)</f>
        <v>5</v>
      </c>
      <c r="Q173" s="180"/>
      <c r="R173" s="207"/>
      <c r="S173" s="207" t="str">
        <f>IFERROR(VLOOKUP(Table_Shelter[[#This Row],[CampName]],CL,2,0),"")</f>
        <v>MMR001CMP091</v>
      </c>
      <c r="T173" s="207" t="str">
        <f>IFERROR(VLOOKUP(Table_Shelter[[#This Row],[CampName]],CL,3,0),"")</f>
        <v>Open</v>
      </c>
      <c r="U173" s="323">
        <f>IFERROR(Table_Shelter[[#This Row],[HH Covered]]/VLOOKUP(Table_Shelter[[#This Row],[CampName]],CL,4,0),"")</f>
        <v>1</v>
      </c>
      <c r="V173" s="323" t="s">
        <v>1309</v>
      </c>
      <c r="W173" s="208"/>
    </row>
    <row r="174" spans="1:23" ht="15" customHeight="1" x14ac:dyDescent="0.25">
      <c r="A174" s="680"/>
      <c r="B174" s="207" t="s">
        <v>1099</v>
      </c>
      <c r="C174" s="207" t="s">
        <v>946</v>
      </c>
      <c r="D174" s="207" t="s">
        <v>554</v>
      </c>
      <c r="E174" s="211" t="s">
        <v>146</v>
      </c>
      <c r="F174" s="207" t="s">
        <v>368</v>
      </c>
      <c r="G174" s="179">
        <v>1</v>
      </c>
      <c r="H174" s="179"/>
      <c r="I174" s="179"/>
      <c r="J174" s="179">
        <v>63</v>
      </c>
      <c r="K174" s="179">
        <v>63</v>
      </c>
      <c r="L174" s="207"/>
      <c r="M174" s="207"/>
      <c r="N174" s="207"/>
      <c r="O174" s="207"/>
      <c r="P174" s="180">
        <f>IF(Table_Shelter[[#This Row],[Status]]="Open",IF(V174="NO",Table_Shelter[[#This Row],[HH per Shelter]]*(Table_Shelter[[#This Row],['# of Temporary Shelter Units Built]]+Table_Shelter[[#This Row],['# of Temporary Shelter Under  Construction]]+Table_Shelter[[#This Row],['# of Permanent House Under Construction]]),0),0)</f>
        <v>63</v>
      </c>
      <c r="Q174" s="180"/>
      <c r="R174" s="207"/>
      <c r="S174" s="207" t="str">
        <f>IFERROR(VLOOKUP(Table_Shelter[[#This Row],[CampName]],CL,2,0),"")</f>
        <v>MMR015CMP018</v>
      </c>
      <c r="T174" s="207" t="str">
        <f>IFERROR(VLOOKUP(Table_Shelter[[#This Row],[CampName]],CL,3,0),"")</f>
        <v>Open</v>
      </c>
      <c r="U174" s="323">
        <f>IFERROR(Table_Shelter[[#This Row],[HH Covered]]/VLOOKUP(Table_Shelter[[#This Row],[CampName]],CL,4,0),"")</f>
        <v>0.91304347826086951</v>
      </c>
      <c r="V174" s="323" t="s">
        <v>1309</v>
      </c>
      <c r="W174" s="208"/>
    </row>
    <row r="175" spans="1:23" ht="15" customHeight="1" x14ac:dyDescent="0.25">
      <c r="A175" s="682">
        <v>41791</v>
      </c>
      <c r="B175" s="206" t="s">
        <v>453</v>
      </c>
      <c r="C175" s="206" t="s">
        <v>461</v>
      </c>
      <c r="D175" s="209" t="s">
        <v>380</v>
      </c>
      <c r="E175" s="406" t="s">
        <v>185</v>
      </c>
      <c r="F175" s="206" t="s">
        <v>209</v>
      </c>
      <c r="G175" s="138">
        <v>1</v>
      </c>
      <c r="H175" s="140"/>
      <c r="I175" s="140"/>
      <c r="J175" s="140">
        <v>10</v>
      </c>
      <c r="K175" s="140">
        <v>10</v>
      </c>
      <c r="L175" s="208"/>
      <c r="M175" s="208"/>
      <c r="N175" s="208"/>
      <c r="O175" s="208"/>
      <c r="P175" s="139">
        <f>IF(Table_Shelter[[#This Row],[Status]]="Open",IF(V175="NO",Table_Shelter[[#This Row],[HH per Shelter]]*(Table_Shelter[[#This Row],['# of Temporary Shelter Units Built]]+Table_Shelter[[#This Row],['# of Temporary Shelter Under  Construction]]+Table_Shelter[[#This Row],['# of Permanent House Under Construction]]),0),0)</f>
        <v>10</v>
      </c>
      <c r="Q175" s="139"/>
      <c r="R175" s="139"/>
      <c r="S175" s="139" t="str">
        <f>IFERROR(VLOOKUP(Table_Shelter[[#This Row],[CampName]],CL,2,0),"")</f>
        <v>MMR001CMP056</v>
      </c>
      <c r="T175" s="139" t="str">
        <f>IFERROR(VLOOKUP(Table_Shelter[[#This Row],[CampName]],CL,3,0),"")</f>
        <v>Open</v>
      </c>
      <c r="U175" s="323">
        <f>IFERROR(Table_Shelter[[#This Row],[HH Covered]]/VLOOKUP(Table_Shelter[[#This Row],[CampName]],CL,4,0),"")</f>
        <v>4.4247787610619468E-2</v>
      </c>
      <c r="V175" s="323" t="s">
        <v>1309</v>
      </c>
      <c r="W175" s="139"/>
    </row>
    <row r="176" spans="1:23" ht="15" customHeight="1" x14ac:dyDescent="0.25">
      <c r="A176" s="682">
        <v>41609</v>
      </c>
      <c r="B176" s="206" t="s">
        <v>453</v>
      </c>
      <c r="C176" s="206"/>
      <c r="D176" s="209" t="s">
        <v>380</v>
      </c>
      <c r="E176" s="406" t="s">
        <v>185</v>
      </c>
      <c r="F176" s="206" t="s">
        <v>209</v>
      </c>
      <c r="G176" s="138">
        <v>1</v>
      </c>
      <c r="H176" s="140"/>
      <c r="I176" s="140"/>
      <c r="J176" s="140">
        <v>50</v>
      </c>
      <c r="K176" s="140">
        <v>50</v>
      </c>
      <c r="L176" s="208"/>
      <c r="M176" s="208"/>
      <c r="N176" s="208"/>
      <c r="O176" s="208"/>
      <c r="P176" s="139">
        <f>IF(Table_Shelter[[#This Row],[Status]]="Open",IF(V176="NO",Table_Shelter[[#This Row],[HH per Shelter]]*(Table_Shelter[[#This Row],['# of Temporary Shelter Units Built]]+Table_Shelter[[#This Row],['# of Temporary Shelter Under  Construction]]+Table_Shelter[[#This Row],['# of Permanent House Under Construction]]),0),0)</f>
        <v>50</v>
      </c>
      <c r="Q176" s="139"/>
      <c r="R176" s="208"/>
      <c r="S176" s="208" t="str">
        <f>IFERROR(VLOOKUP(Table_Shelter[[#This Row],[CampName]],CL,2,0),"")</f>
        <v>MMR001CMP056</v>
      </c>
      <c r="T176" s="208" t="str">
        <f>IFERROR(VLOOKUP(Table_Shelter[[#This Row],[CampName]],CL,3,0),"")</f>
        <v>Open</v>
      </c>
      <c r="U176" s="323">
        <f>IFERROR(Table_Shelter[[#This Row],[HH Covered]]/VLOOKUP(Table_Shelter[[#This Row],[CampName]],CL,4,0),"")</f>
        <v>0.22123893805309736</v>
      </c>
      <c r="V176" s="323" t="s">
        <v>1309</v>
      </c>
      <c r="W176" s="208"/>
    </row>
    <row r="177" spans="1:23" ht="15" customHeight="1" x14ac:dyDescent="0.25">
      <c r="A177" s="682"/>
      <c r="B177" s="206" t="s">
        <v>848</v>
      </c>
      <c r="C177" s="206" t="s">
        <v>847</v>
      </c>
      <c r="D177" s="209" t="s">
        <v>380</v>
      </c>
      <c r="E177" s="406" t="s">
        <v>185</v>
      </c>
      <c r="F177" s="206" t="s">
        <v>209</v>
      </c>
      <c r="G177" s="138">
        <v>1</v>
      </c>
      <c r="H177" s="140"/>
      <c r="I177" s="140"/>
      <c r="J177" s="140">
        <v>32</v>
      </c>
      <c r="K177" s="140">
        <v>32</v>
      </c>
      <c r="L177" s="208"/>
      <c r="M177" s="208"/>
      <c r="N177" s="208"/>
      <c r="O177" s="208"/>
      <c r="P177" s="139">
        <f>IF(Table_Shelter[[#This Row],[Status]]="Open",IF(V177="NO",Table_Shelter[[#This Row],[HH per Shelter]]*(Table_Shelter[[#This Row],['# of Temporary Shelter Units Built]]+Table_Shelter[[#This Row],['# of Temporary Shelter Under  Construction]]+Table_Shelter[[#This Row],['# of Permanent House Under Construction]]),0),0)</f>
        <v>32</v>
      </c>
      <c r="Q177" s="139"/>
      <c r="R177" s="208"/>
      <c r="S177" s="208" t="str">
        <f>IFERROR(VLOOKUP(Table_Shelter[[#This Row],[CampName]],CL,2,0),"")</f>
        <v>MMR001CMP056</v>
      </c>
      <c r="T177" s="208" t="str">
        <f>IFERROR(VLOOKUP(Table_Shelter[[#This Row],[CampName]],CL,3,0),"")</f>
        <v>Open</v>
      </c>
      <c r="U177" s="323">
        <f>IFERROR(Table_Shelter[[#This Row],[HH Covered]]/VLOOKUP(Table_Shelter[[#This Row],[CampName]],CL,4,0),"")</f>
        <v>0.1415929203539823</v>
      </c>
      <c r="V177" s="323" t="s">
        <v>1309</v>
      </c>
      <c r="W177" s="208"/>
    </row>
    <row r="178" spans="1:23" ht="15" customHeight="1" x14ac:dyDescent="0.25">
      <c r="A178" s="682"/>
      <c r="B178" s="206" t="s">
        <v>847</v>
      </c>
      <c r="C178" s="206"/>
      <c r="D178" s="209" t="s">
        <v>380</v>
      </c>
      <c r="E178" s="406" t="s">
        <v>185</v>
      </c>
      <c r="F178" s="206" t="s">
        <v>209</v>
      </c>
      <c r="G178" s="138">
        <v>1</v>
      </c>
      <c r="H178" s="140"/>
      <c r="I178" s="140"/>
      <c r="J178" s="140">
        <v>144</v>
      </c>
      <c r="K178" s="140">
        <v>144</v>
      </c>
      <c r="L178" s="208"/>
      <c r="M178" s="208"/>
      <c r="N178" s="208"/>
      <c r="O178" s="208"/>
      <c r="P178" s="139">
        <f>IF(Table_Shelter[[#This Row],[Status]]="Open",IF(V178="NO",Table_Shelter[[#This Row],[HH per Shelter]]*(Table_Shelter[[#This Row],['# of Temporary Shelter Units Built]]+Table_Shelter[[#This Row],['# of Temporary Shelter Under  Construction]]+Table_Shelter[[#This Row],['# of Permanent House Under Construction]]),0),0)</f>
        <v>144</v>
      </c>
      <c r="Q178" s="139"/>
      <c r="R178" s="208"/>
      <c r="S178" s="208" t="str">
        <f>IFERROR(VLOOKUP(Table_Shelter[[#This Row],[CampName]],CL,2,0),"")</f>
        <v>MMR001CMP056</v>
      </c>
      <c r="T178" s="208" t="str">
        <f>IFERROR(VLOOKUP(Table_Shelter[[#This Row],[CampName]],CL,3,0),"")</f>
        <v>Open</v>
      </c>
      <c r="U178" s="323">
        <f>IFERROR(Table_Shelter[[#This Row],[HH Covered]]/VLOOKUP(Table_Shelter[[#This Row],[CampName]],CL,4,0),"")</f>
        <v>0.63716814159292035</v>
      </c>
      <c r="V178" s="323" t="s">
        <v>1309</v>
      </c>
      <c r="W178" s="208"/>
    </row>
    <row r="179" spans="1:23" ht="15" customHeight="1" x14ac:dyDescent="0.25">
      <c r="A179" s="682"/>
      <c r="B179" s="206" t="s">
        <v>453</v>
      </c>
      <c r="C179" s="206" t="s">
        <v>461</v>
      </c>
      <c r="D179" s="209" t="s">
        <v>380</v>
      </c>
      <c r="E179" s="406" t="s">
        <v>185</v>
      </c>
      <c r="F179" s="206" t="s">
        <v>209</v>
      </c>
      <c r="G179" s="138">
        <v>1</v>
      </c>
      <c r="H179" s="140"/>
      <c r="I179" s="140"/>
      <c r="J179" s="140">
        <v>40</v>
      </c>
      <c r="K179" s="140">
        <v>40</v>
      </c>
      <c r="L179" s="208"/>
      <c r="M179" s="208"/>
      <c r="N179" s="208"/>
      <c r="O179" s="208"/>
      <c r="P179" s="139">
        <f>IF(Table_Shelter[[#This Row],[Status]]="Open",IF(V179="NO",Table_Shelter[[#This Row],[HH per Shelter]]*(Table_Shelter[[#This Row],['# of Temporary Shelter Units Built]]+Table_Shelter[[#This Row],['# of Temporary Shelter Under  Construction]]+Table_Shelter[[#This Row],['# of Permanent House Under Construction]]),0),0)</f>
        <v>40</v>
      </c>
      <c r="Q179" s="139"/>
      <c r="R179" s="208"/>
      <c r="S179" s="208" t="str">
        <f>IFERROR(VLOOKUP(Table_Shelter[[#This Row],[CampName]],CL,2,0),"")</f>
        <v>MMR001CMP056</v>
      </c>
      <c r="T179" s="208" t="str">
        <f>IFERROR(VLOOKUP(Table_Shelter[[#This Row],[CampName]],CL,3,0),"")</f>
        <v>Open</v>
      </c>
      <c r="U179" s="323">
        <f>IFERROR(Table_Shelter[[#This Row],[HH Covered]]/VLOOKUP(Table_Shelter[[#This Row],[CampName]],CL,4,0),"")</f>
        <v>0.17699115044247787</v>
      </c>
      <c r="V179" s="323" t="s">
        <v>1309</v>
      </c>
      <c r="W179" s="208"/>
    </row>
    <row r="180" spans="1:23" ht="15" customHeight="1" x14ac:dyDescent="0.25">
      <c r="A180" s="682"/>
      <c r="B180" s="206" t="s">
        <v>593</v>
      </c>
      <c r="C180" s="206" t="s">
        <v>460</v>
      </c>
      <c r="D180" s="209" t="s">
        <v>380</v>
      </c>
      <c r="E180" s="406" t="s">
        <v>185</v>
      </c>
      <c r="F180" s="206" t="s">
        <v>211</v>
      </c>
      <c r="G180" s="138">
        <v>1</v>
      </c>
      <c r="H180" s="140"/>
      <c r="I180" s="140"/>
      <c r="J180" s="140">
        <v>92</v>
      </c>
      <c r="K180" s="140">
        <v>92</v>
      </c>
      <c r="L180" s="208"/>
      <c r="M180" s="208"/>
      <c r="N180" s="208"/>
      <c r="O180" s="208"/>
      <c r="P180" s="139">
        <f>IF(Table_Shelter[[#This Row],[Status]]="Open",IF(V180="NO",Table_Shelter[[#This Row],[HH per Shelter]]*(Table_Shelter[[#This Row],['# of Temporary Shelter Units Built]]+Table_Shelter[[#This Row],['# of Temporary Shelter Under  Construction]]+Table_Shelter[[#This Row],['# of Permanent House Under Construction]]),0),0)</f>
        <v>0</v>
      </c>
      <c r="Q180" s="139"/>
      <c r="R180" s="208"/>
      <c r="S180" s="208" t="str">
        <f>IFERROR(VLOOKUP(Table_Shelter[[#This Row],[CampName]],CL,2,0),"")</f>
        <v>MMR001CMP057</v>
      </c>
      <c r="T180" s="208" t="str">
        <f>IFERROR(VLOOKUP(Table_Shelter[[#This Row],[CampName]],CL,3,0),"")</f>
        <v>Closed</v>
      </c>
      <c r="U180" s="323" t="str">
        <f>IFERROR(Table_Shelter[[#This Row],[HH Covered]]/VLOOKUP(Table_Shelter[[#This Row],[CampName]],CL,4,0),"")</f>
        <v/>
      </c>
      <c r="V180" s="323" t="s">
        <v>1309</v>
      </c>
      <c r="W180" s="208"/>
    </row>
    <row r="181" spans="1:23" ht="15" customHeight="1" x14ac:dyDescent="0.25">
      <c r="A181" s="682"/>
      <c r="B181" s="206" t="s">
        <v>453</v>
      </c>
      <c r="C181" s="206" t="s">
        <v>461</v>
      </c>
      <c r="D181" s="209" t="s">
        <v>554</v>
      </c>
      <c r="E181" s="406" t="s">
        <v>230</v>
      </c>
      <c r="F181" s="206" t="s">
        <v>235</v>
      </c>
      <c r="G181" s="138">
        <v>1</v>
      </c>
      <c r="H181" s="140"/>
      <c r="I181" s="140"/>
      <c r="J181" s="140">
        <v>10</v>
      </c>
      <c r="K181" s="140">
        <v>10</v>
      </c>
      <c r="L181" s="208"/>
      <c r="M181" s="208"/>
      <c r="N181" s="208"/>
      <c r="O181" s="208"/>
      <c r="P181" s="139">
        <f>IF(Table_Shelter[[#This Row],[Status]]="Open",IF(V181="NO",Table_Shelter[[#This Row],[HH per Shelter]]*(Table_Shelter[[#This Row],['# of Temporary Shelter Units Built]]+Table_Shelter[[#This Row],['# of Temporary Shelter Under  Construction]]+Table_Shelter[[#This Row],['# of Permanent House Under Construction]]),0),0)</f>
        <v>10</v>
      </c>
      <c r="Q181" s="139"/>
      <c r="R181" s="208"/>
      <c r="S181" s="208" t="str">
        <f>IFERROR(VLOOKUP(Table_Shelter[[#This Row],[CampName]],CL,2,0),"")</f>
        <v>MMR015CMP005</v>
      </c>
      <c r="T181" s="208" t="str">
        <f>IFERROR(VLOOKUP(Table_Shelter[[#This Row],[CampName]],CL,3,0),"")</f>
        <v>Open</v>
      </c>
      <c r="U181" s="323">
        <f>IFERROR(Table_Shelter[[#This Row],[HH Covered]]/VLOOKUP(Table_Shelter[[#This Row],[CampName]],CL,4,0),"")</f>
        <v>8.1300813008130079E-2</v>
      </c>
      <c r="V181" s="323" t="s">
        <v>1309</v>
      </c>
      <c r="W181" s="208"/>
    </row>
    <row r="182" spans="1:23" ht="15" customHeight="1" x14ac:dyDescent="0.25">
      <c r="A182" s="682"/>
      <c r="B182" s="206" t="s">
        <v>593</v>
      </c>
      <c r="C182" s="206" t="s">
        <v>460</v>
      </c>
      <c r="D182" s="209" t="s">
        <v>380</v>
      </c>
      <c r="E182" s="406" t="s">
        <v>151</v>
      </c>
      <c r="F182" s="206" t="s">
        <v>519</v>
      </c>
      <c r="G182" s="138">
        <v>1</v>
      </c>
      <c r="H182" s="140"/>
      <c r="I182" s="140"/>
      <c r="J182" s="140">
        <v>24</v>
      </c>
      <c r="K182" s="140">
        <v>24</v>
      </c>
      <c r="L182" s="208"/>
      <c r="M182" s="208"/>
      <c r="N182" s="208"/>
      <c r="O182" s="208"/>
      <c r="P182" s="139">
        <f>IF(Table_Shelter[[#This Row],[Status]]="Open",IF(V182="NO",Table_Shelter[[#This Row],[HH per Shelter]]*(Table_Shelter[[#This Row],['# of Temporary Shelter Units Built]]+Table_Shelter[[#This Row],['# of Temporary Shelter Under  Construction]]+Table_Shelter[[#This Row],['# of Permanent House Under Construction]]),0),0)</f>
        <v>0</v>
      </c>
      <c r="Q182" s="139"/>
      <c r="R182" s="208"/>
      <c r="S182" s="208" t="str">
        <f>IFERROR(VLOOKUP(Table_Shelter[[#This Row],[CampName]],CL,2,0),"")</f>
        <v>MMR001CMP203</v>
      </c>
      <c r="T182" s="208" t="str">
        <f>IFERROR(VLOOKUP(Table_Shelter[[#This Row],[CampName]],CL,3,0),"")</f>
        <v>Closed</v>
      </c>
      <c r="U182" s="323" t="str">
        <f>IFERROR(Table_Shelter[[#This Row],[HH Covered]]/VLOOKUP(Table_Shelter[[#This Row],[CampName]],CL,4,0),"")</f>
        <v/>
      </c>
      <c r="V182" s="323" t="s">
        <v>1309</v>
      </c>
      <c r="W182" s="208"/>
    </row>
    <row r="183" spans="1:23" ht="15" customHeight="1" x14ac:dyDescent="0.25">
      <c r="A183" s="682">
        <v>41609</v>
      </c>
      <c r="B183" s="138" t="s">
        <v>453</v>
      </c>
      <c r="C183" s="138" t="s">
        <v>461</v>
      </c>
      <c r="D183" s="213" t="s">
        <v>554</v>
      </c>
      <c r="E183" s="214" t="s">
        <v>146</v>
      </c>
      <c r="F183" s="138" t="s">
        <v>371</v>
      </c>
      <c r="G183" s="138">
        <v>1</v>
      </c>
      <c r="H183" s="140"/>
      <c r="I183" s="140"/>
      <c r="J183" s="140">
        <v>5</v>
      </c>
      <c r="K183" s="140">
        <v>5</v>
      </c>
      <c r="L183" s="140"/>
      <c r="M183" s="140"/>
      <c r="N183" s="140"/>
      <c r="O183" s="140"/>
      <c r="P183" s="139">
        <f>IF(Table_Shelter[[#This Row],[Status]]="Open",IF(V183="NO",Table_Shelter[[#This Row],[HH per Shelter]]*(Table_Shelter[[#This Row],['# of Temporary Shelter Units Built]]+Table_Shelter[[#This Row],['# of Temporary Shelter Under  Construction]]+Table_Shelter[[#This Row],['# of Permanent House Under Construction]]),0),0)</f>
        <v>5</v>
      </c>
      <c r="Q183" s="139"/>
      <c r="R183" s="139"/>
      <c r="S183" s="139" t="str">
        <f>IFERROR(VLOOKUP(Table_Shelter[[#This Row],[CampName]],CL,2,0),"")</f>
        <v>MMR015CMP006</v>
      </c>
      <c r="T183" s="139" t="str">
        <f>IFERROR(VLOOKUP(Table_Shelter[[#This Row],[CampName]],CL,3,0),"")</f>
        <v>Open</v>
      </c>
      <c r="U183" s="324">
        <f>IFERROR(Table_Shelter[[#This Row],[HH Covered]]/VLOOKUP(Table_Shelter[[#This Row],[CampName]],CL,4,0),"")</f>
        <v>8.0645161290322578E-2</v>
      </c>
      <c r="V183" s="323" t="s">
        <v>1309</v>
      </c>
      <c r="W183" s="139"/>
    </row>
    <row r="184" spans="1:23" ht="15" customHeight="1" x14ac:dyDescent="0.25">
      <c r="A184" s="682">
        <v>41974</v>
      </c>
      <c r="B184" s="206" t="s">
        <v>847</v>
      </c>
      <c r="C184" s="206"/>
      <c r="D184" s="209" t="s">
        <v>554</v>
      </c>
      <c r="E184" s="406" t="s">
        <v>230</v>
      </c>
      <c r="F184" s="206" t="s">
        <v>1055</v>
      </c>
      <c r="G184" s="138">
        <v>1</v>
      </c>
      <c r="H184" s="140"/>
      <c r="I184" s="140"/>
      <c r="J184" s="140">
        <v>44</v>
      </c>
      <c r="K184" s="140">
        <v>44</v>
      </c>
      <c r="L184" s="208"/>
      <c r="M184" s="208"/>
      <c r="N184" s="208"/>
      <c r="O184" s="208"/>
      <c r="P184" s="139">
        <f>IF(Table_Shelter[[#This Row],[Status]]="Open",IF(V184="NO",Table_Shelter[[#This Row],[HH per Shelter]]*(Table_Shelter[[#This Row],['# of Temporary Shelter Units Built]]+Table_Shelter[[#This Row],['# of Temporary Shelter Under  Construction]]+Table_Shelter[[#This Row],['# of Permanent House Under Construction]]),0),0)</f>
        <v>44</v>
      </c>
      <c r="Q184" s="139"/>
      <c r="R184" s="208"/>
      <c r="S184" s="208" t="str">
        <f>IFERROR(VLOOKUP(Table_Shelter[[#This Row],[CampName]],CL,2,0),"")</f>
        <v>MMR015CMP213</v>
      </c>
      <c r="T184" s="208" t="str">
        <f>IFERROR(VLOOKUP(Table_Shelter[[#This Row],[CampName]],CL,3,0),"")</f>
        <v>Open</v>
      </c>
      <c r="U184" s="323">
        <f>IFERROR(Table_Shelter[[#This Row],[HH Covered]]/VLOOKUP(Table_Shelter[[#This Row],[CampName]],CL,4,0),"")</f>
        <v>0.84615384615384615</v>
      </c>
      <c r="V184" s="323" t="s">
        <v>1309</v>
      </c>
      <c r="W184" s="208"/>
    </row>
    <row r="185" spans="1:23" ht="15" customHeight="1" x14ac:dyDescent="0.25">
      <c r="A185" s="682">
        <v>41770</v>
      </c>
      <c r="B185" s="206" t="s">
        <v>453</v>
      </c>
      <c r="C185" s="206"/>
      <c r="D185" s="209" t="s">
        <v>554</v>
      </c>
      <c r="E185" s="406" t="s">
        <v>230</v>
      </c>
      <c r="F185" s="206" t="s">
        <v>1055</v>
      </c>
      <c r="G185" s="138">
        <v>1</v>
      </c>
      <c r="H185" s="140">
        <v>110</v>
      </c>
      <c r="I185" s="140">
        <v>110</v>
      </c>
      <c r="J185" s="140"/>
      <c r="K185" s="140"/>
      <c r="L185" s="208"/>
      <c r="M185" s="208"/>
      <c r="N185" s="208"/>
      <c r="O185" s="208"/>
      <c r="P185" s="139">
        <f>IF(Table_Shelter[[#This Row],[Status]]="Open",IF(V185="NO",Table_Shelter[[#This Row],[HH per Shelter]]*(Table_Shelter[[#This Row],['# of Temporary Shelter Units Built]]+Table_Shelter[[#This Row],['# of Temporary Shelter Under  Construction]]+Table_Shelter[[#This Row],['# of Permanent House Under Construction]]),0),0)</f>
        <v>0</v>
      </c>
      <c r="Q185" s="139"/>
      <c r="R185" s="208"/>
      <c r="S185" s="208" t="str">
        <f>IFERROR(VLOOKUP(Table_Shelter[[#This Row],[CampName]],CL,2,0),"")</f>
        <v>MMR015CMP213</v>
      </c>
      <c r="T185" s="208" t="str">
        <f>IFERROR(VLOOKUP(Table_Shelter[[#This Row],[CampName]],CL,3,0),"")</f>
        <v>Open</v>
      </c>
      <c r="U185" s="323">
        <f>IFERROR(Table_Shelter[[#This Row],[HH Covered]]/VLOOKUP(Table_Shelter[[#This Row],[CampName]],CL,4,0),"")</f>
        <v>0</v>
      </c>
      <c r="V185" s="323" t="s">
        <v>1309</v>
      </c>
      <c r="W185" s="208"/>
    </row>
    <row r="186" spans="1:23" ht="15" customHeight="1" x14ac:dyDescent="0.25">
      <c r="A186" s="682"/>
      <c r="B186" s="206" t="s">
        <v>847</v>
      </c>
      <c r="C186" s="206"/>
      <c r="D186" s="209" t="s">
        <v>554</v>
      </c>
      <c r="E186" s="406" t="s">
        <v>230</v>
      </c>
      <c r="F186" s="206" t="s">
        <v>1065</v>
      </c>
      <c r="G186" s="138">
        <v>1</v>
      </c>
      <c r="H186" s="140"/>
      <c r="I186" s="140"/>
      <c r="J186" s="140">
        <v>20</v>
      </c>
      <c r="K186" s="140">
        <v>20</v>
      </c>
      <c r="L186" s="208"/>
      <c r="M186" s="208"/>
      <c r="N186" s="208"/>
      <c r="O186" s="208"/>
      <c r="P186" s="139">
        <f>IF(Table_Shelter[[#This Row],[Status]]="Open",IF(V186="NO",Table_Shelter[[#This Row],[HH per Shelter]]*(Table_Shelter[[#This Row],['# of Temporary Shelter Units Built]]+Table_Shelter[[#This Row],['# of Temporary Shelter Under  Construction]]+Table_Shelter[[#This Row],['# of Permanent House Under Construction]]),0),0)</f>
        <v>20</v>
      </c>
      <c r="Q186" s="139"/>
      <c r="R186" s="208"/>
      <c r="S186" s="208" t="str">
        <f>IFERROR(VLOOKUP(Table_Shelter[[#This Row],[CampName]],CL,2,0),"")</f>
        <v>MMR015CMP216</v>
      </c>
      <c r="T186" s="208" t="str">
        <f>IFERROR(VLOOKUP(Table_Shelter[[#This Row],[CampName]],CL,3,0),"")</f>
        <v>Open</v>
      </c>
      <c r="U186" s="323">
        <f>IFERROR(Table_Shelter[[#This Row],[HH Covered]]/VLOOKUP(Table_Shelter[[#This Row],[CampName]],CL,4,0),"")</f>
        <v>0.76923076923076927</v>
      </c>
      <c r="V186" s="323" t="s">
        <v>1309</v>
      </c>
      <c r="W186" s="208"/>
    </row>
    <row r="187" spans="1:23" ht="15" customHeight="1" x14ac:dyDescent="0.25">
      <c r="A187" s="682"/>
      <c r="B187" s="206" t="s">
        <v>453</v>
      </c>
      <c r="C187" s="206" t="s">
        <v>1265</v>
      </c>
      <c r="D187" s="213" t="s">
        <v>554</v>
      </c>
      <c r="E187" s="406" t="s">
        <v>230</v>
      </c>
      <c r="F187" s="206" t="s">
        <v>1065</v>
      </c>
      <c r="G187" s="138">
        <v>1</v>
      </c>
      <c r="H187" s="140"/>
      <c r="I187" s="140"/>
      <c r="J187" s="140">
        <v>10</v>
      </c>
      <c r="K187" s="140">
        <v>10</v>
      </c>
      <c r="L187" s="208"/>
      <c r="M187" s="208"/>
      <c r="N187" s="208"/>
      <c r="O187" s="208"/>
      <c r="P187" s="139">
        <f>IF(Table_Shelter[[#This Row],[Status]]="Open",IF(V187="NO",Table_Shelter[[#This Row],[HH per Shelter]]*(Table_Shelter[[#This Row],['# of Temporary Shelter Units Built]]+Table_Shelter[[#This Row],['# of Temporary Shelter Under  Construction]]+Table_Shelter[[#This Row],['# of Permanent House Under Construction]]),0),0)</f>
        <v>10</v>
      </c>
      <c r="Q187" s="139"/>
      <c r="R187" s="139"/>
      <c r="S187" s="139" t="str">
        <f>IFERROR(VLOOKUP(Table_Shelter[[#This Row],[CampName]],CL,2,0),"")</f>
        <v>MMR015CMP216</v>
      </c>
      <c r="T187" s="139" t="str">
        <f>IFERROR(VLOOKUP(Table_Shelter[[#This Row],[CampName]],CL,3,0),"")</f>
        <v>Open</v>
      </c>
      <c r="U187" s="323">
        <f>IFERROR(Table_Shelter[[#This Row],[HH Covered]]/VLOOKUP(Table_Shelter[[#This Row],[CampName]],CL,4,0),"")</f>
        <v>0.38461538461538464</v>
      </c>
      <c r="V187" s="323" t="s">
        <v>1309</v>
      </c>
      <c r="W187" s="139"/>
    </row>
    <row r="188" spans="1:23" ht="15" customHeight="1" x14ac:dyDescent="0.25">
      <c r="A188" s="682">
        <v>41791</v>
      </c>
      <c r="B188" s="138" t="s">
        <v>453</v>
      </c>
      <c r="C188" s="138" t="s">
        <v>506</v>
      </c>
      <c r="D188" s="213" t="s">
        <v>380</v>
      </c>
      <c r="E188" s="214" t="s">
        <v>5</v>
      </c>
      <c r="F188" s="138" t="s">
        <v>8</v>
      </c>
      <c r="G188" s="138">
        <v>1</v>
      </c>
      <c r="H188" s="140"/>
      <c r="I188" s="140"/>
      <c r="J188" s="140">
        <v>5</v>
      </c>
      <c r="K188" s="140">
        <v>5</v>
      </c>
      <c r="L188" s="140"/>
      <c r="M188" s="140"/>
      <c r="N188" s="140"/>
      <c r="O188" s="140"/>
      <c r="P188" s="139">
        <f>IF(Table_Shelter[[#This Row],[Status]]="Open",IF(V188="NO",Table_Shelter[[#This Row],[HH per Shelter]]*(Table_Shelter[[#This Row],['# of Temporary Shelter Units Built]]+Table_Shelter[[#This Row],['# of Temporary Shelter Under  Construction]]+Table_Shelter[[#This Row],['# of Permanent House Under Construction]]),0),0)</f>
        <v>5</v>
      </c>
      <c r="Q188" s="139"/>
      <c r="R188" s="139"/>
      <c r="S188" s="139" t="str">
        <f>IFERROR(VLOOKUP(Table_Shelter[[#This Row],[CampName]],CL,2,0),"")</f>
        <v>MMR001CMP051</v>
      </c>
      <c r="T188" s="139" t="str">
        <f>IFERROR(VLOOKUP(Table_Shelter[[#This Row],[CampName]],CL,3,0),"")</f>
        <v>Open</v>
      </c>
      <c r="U188" s="324">
        <f>IFERROR(Table_Shelter[[#This Row],[HH Covered]]/VLOOKUP(Table_Shelter[[#This Row],[CampName]],CL,4,0),"")</f>
        <v>0.35714285714285715</v>
      </c>
      <c r="V188" s="323" t="s">
        <v>1309</v>
      </c>
      <c r="W188" s="139"/>
    </row>
    <row r="189" spans="1:23" ht="15" customHeight="1" x14ac:dyDescent="0.25">
      <c r="A189" s="682">
        <v>41609</v>
      </c>
      <c r="B189" s="206" t="s">
        <v>453</v>
      </c>
      <c r="C189" s="206" t="s">
        <v>506</v>
      </c>
      <c r="D189" s="209" t="s">
        <v>380</v>
      </c>
      <c r="E189" s="406" t="s">
        <v>5</v>
      </c>
      <c r="F189" s="206" t="s">
        <v>8</v>
      </c>
      <c r="G189" s="138">
        <v>1</v>
      </c>
      <c r="H189" s="140"/>
      <c r="I189" s="140"/>
      <c r="J189" s="140">
        <v>13</v>
      </c>
      <c r="K189" s="140">
        <v>13</v>
      </c>
      <c r="L189" s="208"/>
      <c r="M189" s="208"/>
      <c r="N189" s="208"/>
      <c r="O189" s="208"/>
      <c r="P189" s="139">
        <f>IF(Table_Shelter[[#This Row],[Status]]="Open",IF(V189="NO",Table_Shelter[[#This Row],[HH per Shelter]]*(Table_Shelter[[#This Row],['# of Temporary Shelter Units Built]]+Table_Shelter[[#This Row],['# of Temporary Shelter Under  Construction]]+Table_Shelter[[#This Row],['# of Permanent House Under Construction]]),0),0)</f>
        <v>13</v>
      </c>
      <c r="Q189" s="139"/>
      <c r="R189" s="208"/>
      <c r="S189" s="208" t="str">
        <f>IFERROR(VLOOKUP(Table_Shelter[[#This Row],[CampName]],CL,2,0),"")</f>
        <v>MMR001CMP051</v>
      </c>
      <c r="T189" s="208" t="str">
        <f>IFERROR(VLOOKUP(Table_Shelter[[#This Row],[CampName]],CL,3,0),"")</f>
        <v>Open</v>
      </c>
      <c r="U189" s="323">
        <f>IFERROR(Table_Shelter[[#This Row],[HH Covered]]/VLOOKUP(Table_Shelter[[#This Row],[CampName]],CL,4,0),"")</f>
        <v>0.9285714285714286</v>
      </c>
      <c r="V189" s="323" t="s">
        <v>1309</v>
      </c>
      <c r="W189" s="208"/>
    </row>
    <row r="190" spans="1:23" ht="15" customHeight="1" x14ac:dyDescent="0.25">
      <c r="A190" s="682"/>
      <c r="B190" s="206" t="s">
        <v>454</v>
      </c>
      <c r="C190" s="206" t="s">
        <v>461</v>
      </c>
      <c r="D190" s="209" t="s">
        <v>554</v>
      </c>
      <c r="E190" s="406" t="s">
        <v>289</v>
      </c>
      <c r="F190" s="206" t="s">
        <v>292</v>
      </c>
      <c r="G190" s="138">
        <v>1</v>
      </c>
      <c r="H190" s="140"/>
      <c r="I190" s="140"/>
      <c r="J190" s="140">
        <v>78</v>
      </c>
      <c r="K190" s="140">
        <v>78</v>
      </c>
      <c r="L190" s="208"/>
      <c r="M190" s="208"/>
      <c r="N190" s="208"/>
      <c r="O190" s="208"/>
      <c r="P190" s="139">
        <f>IF(Table_Shelter[[#This Row],[Status]]="Open",IF(V190="NO",Table_Shelter[[#This Row],[HH per Shelter]]*(Table_Shelter[[#This Row],['# of Temporary Shelter Units Built]]+Table_Shelter[[#This Row],['# of Temporary Shelter Under  Construction]]+Table_Shelter[[#This Row],['# of Permanent House Under Construction]]),0),0)</f>
        <v>78</v>
      </c>
      <c r="Q190" s="139"/>
      <c r="R190" s="208"/>
      <c r="S190" s="208" t="str">
        <f>IFERROR(VLOOKUP(Table_Shelter[[#This Row],[CampName]],CL,2,0),"")</f>
        <v>MMR015CMP004</v>
      </c>
      <c r="T190" s="208" t="str">
        <f>IFERROR(VLOOKUP(Table_Shelter[[#This Row],[CampName]],CL,3,0),"")</f>
        <v>Open</v>
      </c>
      <c r="U190" s="323">
        <f>IFERROR(Table_Shelter[[#This Row],[HH Covered]]/VLOOKUP(Table_Shelter[[#This Row],[CampName]],CL,4,0),"")</f>
        <v>1.1142857142857143</v>
      </c>
      <c r="V190" s="323" t="s">
        <v>1309</v>
      </c>
      <c r="W190" s="208"/>
    </row>
    <row r="191" spans="1:23" ht="15" customHeight="1" x14ac:dyDescent="0.25">
      <c r="A191" s="682"/>
      <c r="B191" s="206" t="s">
        <v>453</v>
      </c>
      <c r="C191" s="206" t="s">
        <v>461</v>
      </c>
      <c r="D191" s="209" t="s">
        <v>554</v>
      </c>
      <c r="E191" s="406" t="s">
        <v>289</v>
      </c>
      <c r="F191" s="206" t="s">
        <v>292</v>
      </c>
      <c r="G191" s="138">
        <v>1</v>
      </c>
      <c r="H191" s="140"/>
      <c r="I191" s="140"/>
      <c r="J191" s="140">
        <v>20</v>
      </c>
      <c r="K191" s="140">
        <v>20</v>
      </c>
      <c r="L191" s="208"/>
      <c r="M191" s="208"/>
      <c r="N191" s="208"/>
      <c r="O191" s="208"/>
      <c r="P191" s="139">
        <f>IF(Table_Shelter[[#This Row],[Status]]="Open",IF(V191="NO",Table_Shelter[[#This Row],[HH per Shelter]]*(Table_Shelter[[#This Row],['# of Temporary Shelter Units Built]]+Table_Shelter[[#This Row],['# of Temporary Shelter Under  Construction]]+Table_Shelter[[#This Row],['# of Permanent House Under Construction]]),0),0)</f>
        <v>20</v>
      </c>
      <c r="Q191" s="139"/>
      <c r="R191" s="208"/>
      <c r="S191" s="208" t="str">
        <f>IFERROR(VLOOKUP(Table_Shelter[[#This Row],[CampName]],CL,2,0),"")</f>
        <v>MMR015CMP004</v>
      </c>
      <c r="T191" s="208" t="str">
        <f>IFERROR(VLOOKUP(Table_Shelter[[#This Row],[CampName]],CL,3,0),"")</f>
        <v>Open</v>
      </c>
      <c r="U191" s="323">
        <f>IFERROR(Table_Shelter[[#This Row],[HH Covered]]/VLOOKUP(Table_Shelter[[#This Row],[CampName]],CL,4,0),"")</f>
        <v>0.2857142857142857</v>
      </c>
      <c r="V191" s="323" t="s">
        <v>1309</v>
      </c>
      <c r="W191" s="208"/>
    </row>
    <row r="192" spans="1:23" ht="15" customHeight="1" x14ac:dyDescent="0.25">
      <c r="A192" s="682"/>
      <c r="B192" s="206" t="s">
        <v>454</v>
      </c>
      <c r="C192" s="206" t="s">
        <v>461</v>
      </c>
      <c r="D192" s="209" t="s">
        <v>554</v>
      </c>
      <c r="E192" s="406" t="s">
        <v>289</v>
      </c>
      <c r="F192" s="206" t="s">
        <v>290</v>
      </c>
      <c r="G192" s="138">
        <v>1</v>
      </c>
      <c r="H192" s="140"/>
      <c r="I192" s="140"/>
      <c r="J192" s="140">
        <v>30</v>
      </c>
      <c r="K192" s="140">
        <v>30</v>
      </c>
      <c r="L192" s="208"/>
      <c r="M192" s="208"/>
      <c r="N192" s="208"/>
      <c r="O192" s="208"/>
      <c r="P192" s="139">
        <f>IF(Table_Shelter[[#This Row],[Status]]="Open",IF(V192="NO",Table_Shelter[[#This Row],[HH per Shelter]]*(Table_Shelter[[#This Row],['# of Temporary Shelter Units Built]]+Table_Shelter[[#This Row],['# of Temporary Shelter Under  Construction]]+Table_Shelter[[#This Row],['# of Permanent House Under Construction]]),0),0)</f>
        <v>30</v>
      </c>
      <c r="Q192" s="139"/>
      <c r="R192" s="208"/>
      <c r="S192" s="208" t="str">
        <f>IFERROR(VLOOKUP(Table_Shelter[[#This Row],[CampName]],CL,2,0),"")</f>
        <v>MMR015CMP001</v>
      </c>
      <c r="T192" s="208" t="str">
        <f>IFERROR(VLOOKUP(Table_Shelter[[#This Row],[CampName]],CL,3,0),"")</f>
        <v>Open</v>
      </c>
      <c r="U192" s="323">
        <f>IFERROR(Table_Shelter[[#This Row],[HH Covered]]/VLOOKUP(Table_Shelter[[#This Row],[CampName]],CL,4,0),"")</f>
        <v>0.44117647058823528</v>
      </c>
      <c r="V192" s="323" t="s">
        <v>1309</v>
      </c>
      <c r="W192" s="208"/>
    </row>
    <row r="193" spans="1:23" ht="15" customHeight="1" x14ac:dyDescent="0.25">
      <c r="A193" s="681">
        <v>42416</v>
      </c>
      <c r="B193" s="206" t="s">
        <v>847</v>
      </c>
      <c r="C193" s="206"/>
      <c r="D193" s="209" t="s">
        <v>554</v>
      </c>
      <c r="E193" s="406" t="s">
        <v>289</v>
      </c>
      <c r="F193" s="206" t="s">
        <v>1057</v>
      </c>
      <c r="G193" s="138">
        <v>1</v>
      </c>
      <c r="H193" s="140"/>
      <c r="I193" s="140"/>
      <c r="J193" s="140">
        <v>25</v>
      </c>
      <c r="K193" s="140">
        <v>25</v>
      </c>
      <c r="L193" s="208"/>
      <c r="M193" s="208"/>
      <c r="N193" s="208"/>
      <c r="O193" s="208"/>
      <c r="P193" s="139">
        <f>IF(Table_Shelter[[#This Row],[Status]]="Open",IF(V193="NO",Table_Shelter[[#This Row],[HH per Shelter]]*(Table_Shelter[[#This Row],['# of Temporary Shelter Units Built]]+Table_Shelter[[#This Row],['# of Temporary Shelter Under  Construction]]+Table_Shelter[[#This Row],['# of Permanent House Under Construction]]),0),0)</f>
        <v>25</v>
      </c>
      <c r="Q193" s="139"/>
      <c r="R193" s="208"/>
      <c r="S193" s="208" t="str">
        <f>IFERROR(VLOOKUP(Table_Shelter[[#This Row],[CampName]],CL,2,0),"")</f>
        <v>MMR015CMP214</v>
      </c>
      <c r="T193" s="208" t="str">
        <f>IFERROR(VLOOKUP(Table_Shelter[[#This Row],[CampName]],CL,3,0),"")</f>
        <v>Open</v>
      </c>
      <c r="U193" s="323">
        <f>IFERROR(Table_Shelter[[#This Row],[HH Covered]]/VLOOKUP(Table_Shelter[[#This Row],[CampName]],CL,4,0),"")</f>
        <v>0.7142857142857143</v>
      </c>
      <c r="V193" s="208" t="s">
        <v>1309</v>
      </c>
      <c r="W193" s="19"/>
    </row>
    <row r="194" spans="1:23" ht="15" customHeight="1" x14ac:dyDescent="0.25">
      <c r="A194" s="682"/>
      <c r="B194" s="206" t="s">
        <v>847</v>
      </c>
      <c r="C194" s="206"/>
      <c r="D194" s="209" t="s">
        <v>554</v>
      </c>
      <c r="E194" s="406" t="s">
        <v>289</v>
      </c>
      <c r="F194" s="206" t="s">
        <v>1057</v>
      </c>
      <c r="G194" s="138">
        <v>1</v>
      </c>
      <c r="H194" s="140"/>
      <c r="I194" s="140"/>
      <c r="J194" s="140">
        <v>24</v>
      </c>
      <c r="K194" s="140">
        <v>12</v>
      </c>
      <c r="L194" s="208"/>
      <c r="M194" s="208"/>
      <c r="N194" s="208"/>
      <c r="O194" s="208"/>
      <c r="P194" s="139">
        <f>IF(Table_Shelter[[#This Row],[Status]]="Open",IF(V194="NO",Table_Shelter[[#This Row],[HH per Shelter]]*(Table_Shelter[[#This Row],['# of Temporary Shelter Units Built]]+Table_Shelter[[#This Row],['# of Temporary Shelter Under  Construction]]+Table_Shelter[[#This Row],['# of Permanent House Under Construction]]),0),0)</f>
        <v>12</v>
      </c>
      <c r="Q194" s="139"/>
      <c r="R194" s="208"/>
      <c r="S194" s="208" t="str">
        <f>IFERROR(VLOOKUP(Table_Shelter[[#This Row],[CampName]],CL,2,0),"")</f>
        <v>MMR015CMP214</v>
      </c>
      <c r="T194" s="208" t="str">
        <f>IFERROR(VLOOKUP(Table_Shelter[[#This Row],[CampName]],CL,3,0),"")</f>
        <v>Open</v>
      </c>
      <c r="U194" s="323">
        <f>IFERROR(Table_Shelter[[#This Row],[HH Covered]]/VLOOKUP(Table_Shelter[[#This Row],[CampName]],CL,4,0),"")</f>
        <v>0.34285714285714286</v>
      </c>
      <c r="V194" s="323" t="s">
        <v>1309</v>
      </c>
      <c r="W194" s="208"/>
    </row>
    <row r="195" spans="1:23" ht="15" customHeight="1" x14ac:dyDescent="0.25">
      <c r="A195" s="681">
        <v>42416</v>
      </c>
      <c r="B195" s="206" t="s">
        <v>847</v>
      </c>
      <c r="C195" s="206"/>
      <c r="D195" s="209" t="s">
        <v>554</v>
      </c>
      <c r="E195" s="406" t="s">
        <v>230</v>
      </c>
      <c r="F195" s="206" t="s">
        <v>361</v>
      </c>
      <c r="G195" s="138">
        <v>1</v>
      </c>
      <c r="H195" s="140"/>
      <c r="I195" s="140"/>
      <c r="J195" s="140">
        <v>9</v>
      </c>
      <c r="K195" s="140">
        <v>9</v>
      </c>
      <c r="L195" s="208"/>
      <c r="M195" s="208"/>
      <c r="N195" s="208"/>
      <c r="O195" s="208"/>
      <c r="P195" s="139">
        <f>IF(Table_Shelter[[#This Row],[Status]]="Open",IF(V195="NO",Table_Shelter[[#This Row],[HH per Shelter]]*(Table_Shelter[[#This Row],['# of Temporary Shelter Units Built]]+Table_Shelter[[#This Row],['# of Temporary Shelter Under  Construction]]+Table_Shelter[[#This Row],['# of Permanent House Under Construction]]),0),0)</f>
        <v>0</v>
      </c>
      <c r="Q195" s="139"/>
      <c r="R195" s="208"/>
      <c r="S195" s="208" t="str">
        <f>IFERROR(VLOOKUP(Table_Shelter[[#This Row],[CampName]],CL,2,0),"")</f>
        <v>MMR015CMP139</v>
      </c>
      <c r="T195" s="208" t="str">
        <f>IFERROR(VLOOKUP(Table_Shelter[[#This Row],[CampName]],CL,3,0),"")</f>
        <v>Closed</v>
      </c>
      <c r="U195" s="323" t="str">
        <f>IFERROR(Table_Shelter[[#This Row],[HH Covered]]/VLOOKUP(Table_Shelter[[#This Row],[CampName]],CL,4,0),"")</f>
        <v/>
      </c>
      <c r="V195" s="208" t="s">
        <v>1309</v>
      </c>
      <c r="W195" s="19"/>
    </row>
    <row r="196" spans="1:23" ht="15" customHeight="1" x14ac:dyDescent="0.25">
      <c r="A196" s="682"/>
      <c r="B196" s="206" t="s">
        <v>453</v>
      </c>
      <c r="C196" s="206" t="s">
        <v>461</v>
      </c>
      <c r="D196" s="209" t="s">
        <v>554</v>
      </c>
      <c r="E196" s="406" t="s">
        <v>146</v>
      </c>
      <c r="F196" s="206" t="s">
        <v>149</v>
      </c>
      <c r="G196" s="138">
        <v>1</v>
      </c>
      <c r="H196" s="140"/>
      <c r="I196" s="140"/>
      <c r="J196" s="140">
        <v>20</v>
      </c>
      <c r="K196" s="140">
        <v>20</v>
      </c>
      <c r="L196" s="208"/>
      <c r="M196" s="208"/>
      <c r="N196" s="208"/>
      <c r="O196" s="208"/>
      <c r="P196" s="139">
        <f>IF(Table_Shelter[[#This Row],[Status]]="Open",IF(V196="NO",Table_Shelter[[#This Row],[HH per Shelter]]*(Table_Shelter[[#This Row],['# of Temporary Shelter Units Built]]+Table_Shelter[[#This Row],['# of Temporary Shelter Under  Construction]]+Table_Shelter[[#This Row],['# of Permanent House Under Construction]]),0),0)</f>
        <v>20</v>
      </c>
      <c r="Q196" s="139"/>
      <c r="R196" s="208"/>
      <c r="S196" s="208" t="str">
        <f>IFERROR(VLOOKUP(Table_Shelter[[#This Row],[CampName]],CL,2,0),"")</f>
        <v>MMR015CMP007</v>
      </c>
      <c r="T196" s="208" t="str">
        <f>IFERROR(VLOOKUP(Table_Shelter[[#This Row],[CampName]],CL,3,0),"")</f>
        <v>Open</v>
      </c>
      <c r="U196" s="323">
        <f>IFERROR(Table_Shelter[[#This Row],[HH Covered]]/VLOOKUP(Table_Shelter[[#This Row],[CampName]],CL,4,0),"")</f>
        <v>0.32258064516129031</v>
      </c>
      <c r="V196" s="323" t="s">
        <v>1309</v>
      </c>
      <c r="W196" s="208"/>
    </row>
    <row r="197" spans="1:23" ht="15" customHeight="1" x14ac:dyDescent="0.25">
      <c r="A197" s="682"/>
      <c r="B197" s="206" t="s">
        <v>453</v>
      </c>
      <c r="C197" s="206" t="s">
        <v>847</v>
      </c>
      <c r="D197" s="209" t="s">
        <v>554</v>
      </c>
      <c r="E197" s="406" t="s">
        <v>146</v>
      </c>
      <c r="F197" s="206" t="s">
        <v>149</v>
      </c>
      <c r="G197" s="138">
        <v>1</v>
      </c>
      <c r="H197" s="140"/>
      <c r="I197" s="140"/>
      <c r="J197" s="140">
        <v>6</v>
      </c>
      <c r="K197" s="140">
        <v>6</v>
      </c>
      <c r="L197" s="208"/>
      <c r="M197" s="208"/>
      <c r="N197" s="208"/>
      <c r="O197" s="208"/>
      <c r="P197" s="139">
        <f>IF(Table_Shelter[[#This Row],[Status]]="Open",IF(V197="NO",Table_Shelter[[#This Row],[HH per Shelter]]*(Table_Shelter[[#This Row],['# of Temporary Shelter Units Built]]+Table_Shelter[[#This Row],['# of Temporary Shelter Under  Construction]]+Table_Shelter[[#This Row],['# of Permanent House Under Construction]]),0),0)</f>
        <v>6</v>
      </c>
      <c r="Q197" s="139"/>
      <c r="R197" s="208"/>
      <c r="S197" s="208" t="str">
        <f>IFERROR(VLOOKUP(Table_Shelter[[#This Row],[CampName]],CL,2,0),"")</f>
        <v>MMR015CMP007</v>
      </c>
      <c r="T197" s="208" t="str">
        <f>IFERROR(VLOOKUP(Table_Shelter[[#This Row],[CampName]],CL,3,0),"")</f>
        <v>Open</v>
      </c>
      <c r="U197" s="323">
        <f>IFERROR(Table_Shelter[[#This Row],[HH Covered]]/VLOOKUP(Table_Shelter[[#This Row],[CampName]],CL,4,0),"")</f>
        <v>9.6774193548387094E-2</v>
      </c>
      <c r="V197" s="323" t="s">
        <v>1309</v>
      </c>
      <c r="W197" s="208"/>
    </row>
    <row r="198" spans="1:23" ht="15" customHeight="1" x14ac:dyDescent="0.25">
      <c r="A198" s="682"/>
      <c r="B198" s="206" t="s">
        <v>453</v>
      </c>
      <c r="C198" s="206" t="s">
        <v>460</v>
      </c>
      <c r="D198" s="209" t="s">
        <v>380</v>
      </c>
      <c r="E198" s="406" t="s">
        <v>151</v>
      </c>
      <c r="F198" s="206" t="s">
        <v>866</v>
      </c>
      <c r="G198" s="138">
        <v>1</v>
      </c>
      <c r="H198" s="140"/>
      <c r="I198" s="140"/>
      <c r="J198" s="140">
        <v>36</v>
      </c>
      <c r="K198" s="140">
        <v>36</v>
      </c>
      <c r="L198" s="208"/>
      <c r="M198" s="208"/>
      <c r="N198" s="208"/>
      <c r="O198" s="208"/>
      <c r="P198" s="139">
        <f>IF(Table_Shelter[[#This Row],[Status]]="Open",IF(V198="NO",Table_Shelter[[#This Row],[HH per Shelter]]*(Table_Shelter[[#This Row],['# of Temporary Shelter Units Built]]+Table_Shelter[[#This Row],['# of Temporary Shelter Under  Construction]]+Table_Shelter[[#This Row],['# of Permanent House Under Construction]]),0),0)</f>
        <v>0</v>
      </c>
      <c r="Q198" s="139"/>
      <c r="R198" s="208"/>
      <c r="S198" s="208" t="str">
        <f>IFERROR(VLOOKUP(Table_Shelter[[#This Row],[CampName]],CL,2,0),"")</f>
        <v>MMR001CMP204</v>
      </c>
      <c r="T198" s="208" t="str">
        <f>IFERROR(VLOOKUP(Table_Shelter[[#This Row],[CampName]],CL,3,0),"")</f>
        <v>Closed</v>
      </c>
      <c r="U198" s="323" t="str">
        <f>IFERROR(Table_Shelter[[#This Row],[HH Covered]]/VLOOKUP(Table_Shelter[[#This Row],[CampName]],CL,4,0),"")</f>
        <v/>
      </c>
      <c r="V198" s="323" t="s">
        <v>1309</v>
      </c>
      <c r="W198" s="208"/>
    </row>
    <row r="199" spans="1:23" ht="15" customHeight="1" x14ac:dyDescent="0.25">
      <c r="A199" s="682">
        <v>41974</v>
      </c>
      <c r="B199" s="206" t="s">
        <v>453</v>
      </c>
      <c r="C199" s="206" t="s">
        <v>506</v>
      </c>
      <c r="D199" s="209" t="s">
        <v>380</v>
      </c>
      <c r="E199" s="406" t="s">
        <v>528</v>
      </c>
      <c r="F199" s="206" t="s">
        <v>612</v>
      </c>
      <c r="G199" s="138">
        <v>1</v>
      </c>
      <c r="H199" s="140"/>
      <c r="I199" s="140"/>
      <c r="J199" s="140">
        <v>5</v>
      </c>
      <c r="K199" s="140">
        <v>5</v>
      </c>
      <c r="L199" s="208"/>
      <c r="M199" s="208"/>
      <c r="N199" s="208"/>
      <c r="O199" s="208"/>
      <c r="P199" s="139">
        <f>IF(Table_Shelter[[#This Row],[Status]]="Open",IF(V199="NO",Table_Shelter[[#This Row],[HH per Shelter]]*(Table_Shelter[[#This Row],['# of Temporary Shelter Units Built]]+Table_Shelter[[#This Row],['# of Temporary Shelter Under  Construction]]+Table_Shelter[[#This Row],['# of Permanent House Under Construction]]),0),0)</f>
        <v>5</v>
      </c>
      <c r="Q199" s="139"/>
      <c r="R199" s="139"/>
      <c r="S199" s="139" t="str">
        <f>IFERROR(VLOOKUP(Table_Shelter[[#This Row],[CampName]],CL,2,0),"")</f>
        <v>MMR001CMP192</v>
      </c>
      <c r="T199" s="139" t="str">
        <f>IFERROR(VLOOKUP(Table_Shelter[[#This Row],[CampName]],CL,3,0),"")</f>
        <v>Open</v>
      </c>
      <c r="U199" s="323">
        <f>IFERROR(Table_Shelter[[#This Row],[HH Covered]]/VLOOKUP(Table_Shelter[[#This Row],[CampName]],CL,4,0),"")</f>
        <v>0.29411764705882354</v>
      </c>
      <c r="V199" s="323" t="s">
        <v>1309</v>
      </c>
      <c r="W199" s="139"/>
    </row>
    <row r="200" spans="1:23" ht="15" customHeight="1" x14ac:dyDescent="0.25">
      <c r="A200" s="682">
        <v>41609</v>
      </c>
      <c r="B200" s="206" t="s">
        <v>453</v>
      </c>
      <c r="C200" s="206" t="s">
        <v>506</v>
      </c>
      <c r="D200" s="209" t="s">
        <v>380</v>
      </c>
      <c r="E200" s="406" t="s">
        <v>528</v>
      </c>
      <c r="F200" s="206" t="s">
        <v>612</v>
      </c>
      <c r="G200" s="138">
        <v>1</v>
      </c>
      <c r="H200" s="140"/>
      <c r="I200" s="140"/>
      <c r="J200" s="140">
        <v>10</v>
      </c>
      <c r="K200" s="140">
        <v>10</v>
      </c>
      <c r="L200" s="208"/>
      <c r="M200" s="208"/>
      <c r="N200" s="208"/>
      <c r="O200" s="208"/>
      <c r="P200" s="139">
        <f>IF(Table_Shelter[[#This Row],[Status]]="Open",IF(V200="NO",Table_Shelter[[#This Row],[HH per Shelter]]*(Table_Shelter[[#This Row],['# of Temporary Shelter Units Built]]+Table_Shelter[[#This Row],['# of Temporary Shelter Under  Construction]]+Table_Shelter[[#This Row],['# of Permanent House Under Construction]]),0),0)</f>
        <v>10</v>
      </c>
      <c r="Q200" s="139"/>
      <c r="R200" s="208"/>
      <c r="S200" s="208" t="str">
        <f>IFERROR(VLOOKUP(Table_Shelter[[#This Row],[CampName]],CL,2,0),"")</f>
        <v>MMR001CMP192</v>
      </c>
      <c r="T200" s="208" t="str">
        <f>IFERROR(VLOOKUP(Table_Shelter[[#This Row],[CampName]],CL,3,0),"")</f>
        <v>Open</v>
      </c>
      <c r="U200" s="323">
        <f>IFERROR(Table_Shelter[[#This Row],[HH Covered]]/VLOOKUP(Table_Shelter[[#This Row],[CampName]],CL,4,0),"")</f>
        <v>0.58823529411764708</v>
      </c>
      <c r="V200" s="323" t="s">
        <v>1309</v>
      </c>
      <c r="W200" s="208"/>
    </row>
    <row r="201" spans="1:23" ht="15" customHeight="1" x14ac:dyDescent="0.25">
      <c r="A201" s="682"/>
      <c r="B201" s="206" t="s">
        <v>863</v>
      </c>
      <c r="C201" s="206"/>
      <c r="D201" s="209" t="s">
        <v>380</v>
      </c>
      <c r="E201" s="406" t="s">
        <v>528</v>
      </c>
      <c r="F201" s="206" t="s">
        <v>612</v>
      </c>
      <c r="G201" s="138">
        <v>1</v>
      </c>
      <c r="H201" s="140">
        <v>8</v>
      </c>
      <c r="I201" s="140">
        <v>8</v>
      </c>
      <c r="J201" s="140"/>
      <c r="K201" s="140"/>
      <c r="L201" s="208"/>
      <c r="M201" s="208"/>
      <c r="N201" s="208"/>
      <c r="O201" s="208"/>
      <c r="P201" s="139">
        <f>IF(Table_Shelter[[#This Row],[Status]]="Open",IF(V201="NO",Table_Shelter[[#This Row],[HH per Shelter]]*(Table_Shelter[[#This Row],['# of Temporary Shelter Units Built]]+Table_Shelter[[#This Row],['# of Temporary Shelter Under  Construction]]+Table_Shelter[[#This Row],['# of Permanent House Under Construction]]),0),0)</f>
        <v>0</v>
      </c>
      <c r="Q201" s="139"/>
      <c r="R201" s="208"/>
      <c r="S201" s="208" t="str">
        <f>IFERROR(VLOOKUP(Table_Shelter[[#This Row],[CampName]],CL,2,0),"")</f>
        <v>MMR001CMP192</v>
      </c>
      <c r="T201" s="208" t="str">
        <f>IFERROR(VLOOKUP(Table_Shelter[[#This Row],[CampName]],CL,3,0),"")</f>
        <v>Open</v>
      </c>
      <c r="U201" s="323">
        <f>IFERROR(Table_Shelter[[#This Row],[HH Covered]]/VLOOKUP(Table_Shelter[[#This Row],[CampName]],CL,4,0),"")</f>
        <v>0</v>
      </c>
      <c r="V201" s="323" t="s">
        <v>1309</v>
      </c>
      <c r="W201" s="208"/>
    </row>
    <row r="202" spans="1:23" ht="15" customHeight="1" x14ac:dyDescent="0.25">
      <c r="A202" s="681">
        <v>42416</v>
      </c>
      <c r="B202" s="206" t="s">
        <v>847</v>
      </c>
      <c r="C202" s="206"/>
      <c r="D202" s="213" t="s">
        <v>554</v>
      </c>
      <c r="E202" s="214" t="s">
        <v>780</v>
      </c>
      <c r="F202" s="138" t="s">
        <v>1278</v>
      </c>
      <c r="G202" s="138">
        <v>1</v>
      </c>
      <c r="H202" s="140"/>
      <c r="I202" s="140"/>
      <c r="J202" s="140">
        <v>25</v>
      </c>
      <c r="K202" s="140">
        <v>25</v>
      </c>
      <c r="L202" s="140"/>
      <c r="M202" s="140"/>
      <c r="N202" s="140"/>
      <c r="O202" s="140"/>
      <c r="P202" s="139">
        <f>IF(Table_Shelter[[#This Row],[Status]]="Open",IF(V202="NO",Table_Shelter[[#This Row],[HH per Shelter]]*(Table_Shelter[[#This Row],['# of Temporary Shelter Units Built]]+Table_Shelter[[#This Row],['# of Temporary Shelter Under  Construction]]+Table_Shelter[[#This Row],['# of Permanent House Under Construction]]),0),0)</f>
        <v>25</v>
      </c>
      <c r="Q202" s="139"/>
      <c r="R202" s="139"/>
      <c r="S202" s="139" t="str">
        <f>IFERROR(VLOOKUP(Table_Shelter[[#This Row],[CampName]],CL,2,0),"")</f>
        <v>MMR015CMP218</v>
      </c>
      <c r="T202" s="139" t="str">
        <f>IFERROR(VLOOKUP(Table_Shelter[[#This Row],[CampName]],CL,3,0),"")</f>
        <v>Open</v>
      </c>
      <c r="U202" s="324">
        <f>IFERROR(Table_Shelter[[#This Row],[HH Covered]]/VLOOKUP(Table_Shelter[[#This Row],[CampName]],CL,4,0),"")</f>
        <v>0.65789473684210531</v>
      </c>
      <c r="V202" s="688" t="s">
        <v>1309</v>
      </c>
      <c r="W202" s="19"/>
    </row>
    <row r="203" spans="1:23" ht="15" customHeight="1" x14ac:dyDescent="0.25">
      <c r="A203" s="682"/>
      <c r="B203" s="138" t="s">
        <v>453</v>
      </c>
      <c r="C203" s="138" t="s">
        <v>461</v>
      </c>
      <c r="D203" s="213" t="s">
        <v>554</v>
      </c>
      <c r="E203" s="214" t="s">
        <v>780</v>
      </c>
      <c r="F203" s="138" t="s">
        <v>1278</v>
      </c>
      <c r="G203" s="138">
        <v>1</v>
      </c>
      <c r="H203" s="140"/>
      <c r="I203" s="140"/>
      <c r="J203" s="140">
        <v>10</v>
      </c>
      <c r="K203" s="140">
        <v>10</v>
      </c>
      <c r="L203" s="140"/>
      <c r="M203" s="140"/>
      <c r="N203" s="140"/>
      <c r="O203" s="140"/>
      <c r="P203" s="139">
        <f>IF(Table_Shelter[[#This Row],[Status]]="Open",IF(V203="NO",Table_Shelter[[#This Row],[HH per Shelter]]*(Table_Shelter[[#This Row],['# of Temporary Shelter Units Built]]+Table_Shelter[[#This Row],['# of Temporary Shelter Under  Construction]]+Table_Shelter[[#This Row],['# of Permanent House Under Construction]]),0),0)</f>
        <v>10</v>
      </c>
      <c r="Q203" s="139"/>
      <c r="R203" s="139"/>
      <c r="S203" s="139" t="str">
        <f>IFERROR(VLOOKUP(Table_Shelter[[#This Row],[CampName]],CL,2,0),"")</f>
        <v>MMR015CMP218</v>
      </c>
      <c r="T203" s="139" t="str">
        <f>IFERROR(VLOOKUP(Table_Shelter[[#This Row],[CampName]],CL,3,0),"")</f>
        <v>Open</v>
      </c>
      <c r="U203" s="324">
        <f>IFERROR(Table_Shelter[[#This Row],[HH Covered]]/VLOOKUP(Table_Shelter[[#This Row],[CampName]],CL,4,0),"")</f>
        <v>0.26315789473684209</v>
      </c>
      <c r="V203" s="323" t="s">
        <v>1309</v>
      </c>
      <c r="W203" s="139"/>
    </row>
    <row r="204" spans="1:23" ht="15" customHeight="1" x14ac:dyDescent="0.25">
      <c r="A204" s="682"/>
      <c r="B204" s="206" t="s">
        <v>453</v>
      </c>
      <c r="C204" s="206" t="s">
        <v>461</v>
      </c>
      <c r="D204" s="209" t="s">
        <v>554</v>
      </c>
      <c r="E204" s="406" t="s">
        <v>298</v>
      </c>
      <c r="F204" s="206" t="s">
        <v>822</v>
      </c>
      <c r="G204" s="138">
        <v>1</v>
      </c>
      <c r="H204" s="140"/>
      <c r="I204" s="140"/>
      <c r="J204" s="140">
        <v>10</v>
      </c>
      <c r="K204" s="140">
        <v>10</v>
      </c>
      <c r="L204" s="208"/>
      <c r="M204" s="208"/>
      <c r="N204" s="208"/>
      <c r="O204" s="208"/>
      <c r="P204" s="139">
        <f>IF(Table_Shelter[[#This Row],[Status]]="Open",IF(V204="NO",Table_Shelter[[#This Row],[HH per Shelter]]*(Table_Shelter[[#This Row],['# of Temporary Shelter Units Built]]+Table_Shelter[[#This Row],['# of Temporary Shelter Under  Construction]]+Table_Shelter[[#This Row],['# of Permanent House Under Construction]]),0),0)</f>
        <v>10</v>
      </c>
      <c r="Q204" s="139"/>
      <c r="R204" s="208"/>
      <c r="S204" s="208" t="str">
        <f>IFERROR(VLOOKUP(Table_Shelter[[#This Row],[CampName]],CL,2,0),"")</f>
        <v>MMR015CMP014</v>
      </c>
      <c r="T204" s="208" t="str">
        <f>IFERROR(VLOOKUP(Table_Shelter[[#This Row],[CampName]],CL,3,0),"")</f>
        <v>Open</v>
      </c>
      <c r="U204" s="323">
        <f>IFERROR(Table_Shelter[[#This Row],[HH Covered]]/VLOOKUP(Table_Shelter[[#This Row],[CampName]],CL,4,0),"")</f>
        <v>1.1111111111111112</v>
      </c>
      <c r="V204" s="323" t="s">
        <v>1309</v>
      </c>
      <c r="W204" s="208"/>
    </row>
    <row r="205" spans="1:23" ht="15" customHeight="1" x14ac:dyDescent="0.25">
      <c r="A205" s="681">
        <v>42416</v>
      </c>
      <c r="B205" s="206" t="s">
        <v>847</v>
      </c>
      <c r="C205" s="206"/>
      <c r="D205" s="209" t="s">
        <v>554</v>
      </c>
      <c r="E205" s="406" t="s">
        <v>289</v>
      </c>
      <c r="F205" s="206" t="s">
        <v>1069</v>
      </c>
      <c r="G205" s="138">
        <v>1</v>
      </c>
      <c r="H205" s="140"/>
      <c r="I205" s="140"/>
      <c r="J205" s="140">
        <v>36</v>
      </c>
      <c r="K205" s="140">
        <v>36</v>
      </c>
      <c r="L205" s="208"/>
      <c r="M205" s="208"/>
      <c r="N205" s="208"/>
      <c r="O205" s="208"/>
      <c r="P205" s="139">
        <f>IF(Table_Shelter[[#This Row],[Status]]="Open",IF(V205="NO",Table_Shelter[[#This Row],[HH per Shelter]]*(Table_Shelter[[#This Row],['# of Temporary Shelter Units Built]]+Table_Shelter[[#This Row],['# of Temporary Shelter Under  Construction]]+Table_Shelter[[#This Row],['# of Permanent House Under Construction]]),0),0)</f>
        <v>36</v>
      </c>
      <c r="Q205" s="139"/>
      <c r="R205" s="208"/>
      <c r="S205" s="208" t="str">
        <f>IFERROR(VLOOKUP(Table_Shelter[[#This Row],[CampName]],CL,2,0),"")</f>
        <v>MMR015CMP215</v>
      </c>
      <c r="T205" s="208" t="str">
        <f>IFERROR(VLOOKUP(Table_Shelter[[#This Row],[CampName]],CL,3,0),"")</f>
        <v>Open</v>
      </c>
      <c r="U205" s="323">
        <f>IFERROR(Table_Shelter[[#This Row],[HH Covered]]/VLOOKUP(Table_Shelter[[#This Row],[CampName]],CL,4,0),"")</f>
        <v>0.29268292682926828</v>
      </c>
      <c r="V205" s="323" t="s">
        <v>1309</v>
      </c>
      <c r="W205" s="208"/>
    </row>
    <row r="206" spans="1:23" ht="15" customHeight="1" x14ac:dyDescent="0.25">
      <c r="A206" s="682"/>
      <c r="B206" s="206" t="s">
        <v>847</v>
      </c>
      <c r="C206" s="206"/>
      <c r="D206" s="209" t="s">
        <v>554</v>
      </c>
      <c r="E206" s="406" t="s">
        <v>289</v>
      </c>
      <c r="F206" s="206" t="s">
        <v>1069</v>
      </c>
      <c r="G206" s="138">
        <v>1</v>
      </c>
      <c r="H206" s="140"/>
      <c r="I206" s="140"/>
      <c r="J206" s="140">
        <v>50</v>
      </c>
      <c r="K206" s="140">
        <v>36</v>
      </c>
      <c r="L206" s="208"/>
      <c r="M206" s="208"/>
      <c r="N206" s="208"/>
      <c r="O206" s="208"/>
      <c r="P206" s="139">
        <f>IF(Table_Shelter[[#This Row],[Status]]="Open",IF(V206="NO",Table_Shelter[[#This Row],[HH per Shelter]]*(Table_Shelter[[#This Row],['# of Temporary Shelter Units Built]]+Table_Shelter[[#This Row],['# of Temporary Shelter Under  Construction]]+Table_Shelter[[#This Row],['# of Permanent House Under Construction]]),0),0)</f>
        <v>36</v>
      </c>
      <c r="Q206" s="139"/>
      <c r="R206" s="208"/>
      <c r="S206" s="208" t="str">
        <f>IFERROR(VLOOKUP(Table_Shelter[[#This Row],[CampName]],CL,2,0),"")</f>
        <v>MMR015CMP215</v>
      </c>
      <c r="T206" s="208" t="str">
        <f>IFERROR(VLOOKUP(Table_Shelter[[#This Row],[CampName]],CL,3,0),"")</f>
        <v>Open</v>
      </c>
      <c r="U206" s="323">
        <f>IFERROR(Table_Shelter[[#This Row],[HH Covered]]/VLOOKUP(Table_Shelter[[#This Row],[CampName]],CL,4,0),"")</f>
        <v>0.29268292682926828</v>
      </c>
      <c r="V206" s="323" t="s">
        <v>1309</v>
      </c>
      <c r="W206" s="208"/>
    </row>
    <row r="207" spans="1:23" ht="15" customHeight="1" x14ac:dyDescent="0.25">
      <c r="A207" s="682"/>
      <c r="B207" s="206" t="s">
        <v>863</v>
      </c>
      <c r="C207" s="206"/>
      <c r="D207" s="209" t="s">
        <v>380</v>
      </c>
      <c r="E207" s="406" t="s">
        <v>237</v>
      </c>
      <c r="F207" s="206" t="s">
        <v>271</v>
      </c>
      <c r="G207" s="138">
        <v>1</v>
      </c>
      <c r="H207" s="140">
        <v>1</v>
      </c>
      <c r="I207" s="140">
        <v>1</v>
      </c>
      <c r="J207" s="140"/>
      <c r="K207" s="140"/>
      <c r="L207" s="208"/>
      <c r="M207" s="208"/>
      <c r="N207" s="208"/>
      <c r="O207" s="208"/>
      <c r="P207" s="139">
        <f>IF(Table_Shelter[[#This Row],[Status]]="Open",IF(V207="NO",Table_Shelter[[#This Row],[HH per Shelter]]*(Table_Shelter[[#This Row],['# of Temporary Shelter Units Built]]+Table_Shelter[[#This Row],['# of Temporary Shelter Under  Construction]]+Table_Shelter[[#This Row],['# of Permanent House Under Construction]]),0),0)</f>
        <v>0</v>
      </c>
      <c r="Q207" s="139"/>
      <c r="R207" s="208"/>
      <c r="S207" s="208" t="str">
        <f>IFERROR(VLOOKUP(Table_Shelter[[#This Row],[CampName]],CL,2,0),"")</f>
        <v>MMR001CMP024</v>
      </c>
      <c r="T207" s="208" t="str">
        <f>IFERROR(VLOOKUP(Table_Shelter[[#This Row],[CampName]],CL,3,0),"")</f>
        <v>Open</v>
      </c>
      <c r="U207" s="323">
        <f>IFERROR(Table_Shelter[[#This Row],[HH Covered]]/VLOOKUP(Table_Shelter[[#This Row],[CampName]],CL,4,0),"")</f>
        <v>0</v>
      </c>
      <c r="V207" s="323" t="s">
        <v>1309</v>
      </c>
      <c r="W207" s="208"/>
    </row>
    <row r="208" spans="1:23" ht="15" customHeight="1" x14ac:dyDescent="0.25">
      <c r="A208" s="682"/>
      <c r="B208" s="206" t="s">
        <v>454</v>
      </c>
      <c r="C208" s="206" t="s">
        <v>507</v>
      </c>
      <c r="D208" s="209" t="s">
        <v>380</v>
      </c>
      <c r="E208" s="406" t="s">
        <v>237</v>
      </c>
      <c r="F208" s="206" t="s">
        <v>271</v>
      </c>
      <c r="G208" s="138">
        <v>1</v>
      </c>
      <c r="H208" s="140"/>
      <c r="I208" s="140"/>
      <c r="J208" s="140">
        <v>46</v>
      </c>
      <c r="K208" s="140">
        <v>46</v>
      </c>
      <c r="L208" s="208"/>
      <c r="M208" s="208"/>
      <c r="N208" s="208"/>
      <c r="O208" s="208"/>
      <c r="P208" s="139">
        <f>IF(Table_Shelter[[#This Row],[Status]]="Open",IF(V208="NO",Table_Shelter[[#This Row],[HH per Shelter]]*(Table_Shelter[[#This Row],['# of Temporary Shelter Units Built]]+Table_Shelter[[#This Row],['# of Temporary Shelter Under  Construction]]+Table_Shelter[[#This Row],['# of Permanent House Under Construction]]),0),0)</f>
        <v>46</v>
      </c>
      <c r="Q208" s="139"/>
      <c r="R208" s="208"/>
      <c r="S208" s="208" t="str">
        <f>IFERROR(VLOOKUP(Table_Shelter[[#This Row],[CampName]],CL,2,0),"")</f>
        <v>MMR001CMP024</v>
      </c>
      <c r="T208" s="208" t="str">
        <f>IFERROR(VLOOKUP(Table_Shelter[[#This Row],[CampName]],CL,3,0),"")</f>
        <v>Open</v>
      </c>
      <c r="U208" s="323">
        <f>IFERROR(Table_Shelter[[#This Row],[HH Covered]]/VLOOKUP(Table_Shelter[[#This Row],[CampName]],CL,4,0),"")</f>
        <v>0.67647058823529416</v>
      </c>
      <c r="V208" s="323" t="s">
        <v>1309</v>
      </c>
      <c r="W208" s="208"/>
    </row>
    <row r="209" spans="1:23" ht="15" customHeight="1" x14ac:dyDescent="0.25">
      <c r="A209" s="682"/>
      <c r="B209" s="206" t="s">
        <v>453</v>
      </c>
      <c r="C209" s="206" t="s">
        <v>507</v>
      </c>
      <c r="D209" s="209" t="s">
        <v>380</v>
      </c>
      <c r="E209" s="406" t="s">
        <v>237</v>
      </c>
      <c r="F209" s="206" t="s">
        <v>271</v>
      </c>
      <c r="G209" s="138">
        <v>1</v>
      </c>
      <c r="H209" s="140"/>
      <c r="I209" s="140"/>
      <c r="J209" s="140">
        <v>21</v>
      </c>
      <c r="K209" s="140">
        <v>21</v>
      </c>
      <c r="L209" s="208"/>
      <c r="M209" s="208"/>
      <c r="N209" s="208"/>
      <c r="O209" s="208"/>
      <c r="P209" s="139">
        <f>IF(Table_Shelter[[#This Row],[Status]]="Open",IF(V209="NO",Table_Shelter[[#This Row],[HH per Shelter]]*(Table_Shelter[[#This Row],['# of Temporary Shelter Units Built]]+Table_Shelter[[#This Row],['# of Temporary Shelter Under  Construction]]+Table_Shelter[[#This Row],['# of Permanent House Under Construction]]),0),0)</f>
        <v>21</v>
      </c>
      <c r="Q209" s="139">
        <v>21</v>
      </c>
      <c r="R209" s="208"/>
      <c r="S209" s="208" t="str">
        <f>IFERROR(VLOOKUP(Table_Shelter[[#This Row],[CampName]],CL,2,0),"")</f>
        <v>MMR001CMP024</v>
      </c>
      <c r="T209" s="208" t="str">
        <f>IFERROR(VLOOKUP(Table_Shelter[[#This Row],[CampName]],CL,3,0),"")</f>
        <v>Open</v>
      </c>
      <c r="U209" s="323">
        <f>IFERROR(Table_Shelter[[#This Row],[HH Covered]]/VLOOKUP(Table_Shelter[[#This Row],[CampName]],CL,4,0),"")</f>
        <v>0.30882352941176472</v>
      </c>
      <c r="V209" s="323" t="s">
        <v>1309</v>
      </c>
      <c r="W209" s="208"/>
    </row>
    <row r="210" spans="1:23" ht="15" customHeight="1" x14ac:dyDescent="0.25">
      <c r="A210" s="682"/>
      <c r="B210" s="206" t="s">
        <v>453</v>
      </c>
      <c r="C210" s="206"/>
      <c r="D210" s="209" t="s">
        <v>380</v>
      </c>
      <c r="E210" s="406" t="s">
        <v>5</v>
      </c>
      <c r="F210" s="206" t="s">
        <v>20</v>
      </c>
      <c r="G210" s="138">
        <v>1</v>
      </c>
      <c r="H210" s="140"/>
      <c r="I210" s="140"/>
      <c r="J210" s="140">
        <v>10</v>
      </c>
      <c r="K210" s="140">
        <v>10</v>
      </c>
      <c r="L210" s="208"/>
      <c r="M210" s="208"/>
      <c r="N210" s="208"/>
      <c r="O210" s="208"/>
      <c r="P210" s="139">
        <f>IF(Table_Shelter[[#This Row],[Status]]="Open",IF(V210="NO",Table_Shelter[[#This Row],[HH per Shelter]]*(Table_Shelter[[#This Row],['# of Temporary Shelter Units Built]]+Table_Shelter[[#This Row],['# of Temporary Shelter Under  Construction]]+Table_Shelter[[#This Row],['# of Permanent House Under Construction]]),0),0)</f>
        <v>10</v>
      </c>
      <c r="Q210" s="139"/>
      <c r="R210" s="208"/>
      <c r="S210" s="208" t="str">
        <f>IFERROR(VLOOKUP(Table_Shelter[[#This Row],[CampName]],CL,2,0),"")</f>
        <v>MMR001CMP054</v>
      </c>
      <c r="T210" s="208" t="str">
        <f>IFERROR(VLOOKUP(Table_Shelter[[#This Row],[CampName]],CL,3,0),"")</f>
        <v>Open</v>
      </c>
      <c r="U210" s="323">
        <f>IFERROR(Table_Shelter[[#This Row],[HH Covered]]/VLOOKUP(Table_Shelter[[#This Row],[CampName]],CL,4,0),"")</f>
        <v>0.5</v>
      </c>
      <c r="V210" s="323" t="s">
        <v>1309</v>
      </c>
      <c r="W210" s="208"/>
    </row>
    <row r="211" spans="1:23" ht="15" customHeight="1" x14ac:dyDescent="0.25">
      <c r="A211" s="682"/>
      <c r="B211" s="206" t="s">
        <v>453</v>
      </c>
      <c r="C211" s="206" t="s">
        <v>461</v>
      </c>
      <c r="D211" s="209" t="s">
        <v>380</v>
      </c>
      <c r="E211" s="406" t="s">
        <v>528</v>
      </c>
      <c r="F211" s="206" t="s">
        <v>108</v>
      </c>
      <c r="G211" s="138">
        <v>1</v>
      </c>
      <c r="H211" s="140"/>
      <c r="I211" s="140"/>
      <c r="J211" s="140">
        <v>40</v>
      </c>
      <c r="K211" s="140">
        <v>40</v>
      </c>
      <c r="L211" s="208"/>
      <c r="M211" s="208"/>
      <c r="N211" s="208"/>
      <c r="O211" s="208"/>
      <c r="P211" s="139">
        <f>IF(Table_Shelter[[#This Row],[Status]]="Open",IF(V211="NO",Table_Shelter[[#This Row],[HH per Shelter]]*(Table_Shelter[[#This Row],['# of Temporary Shelter Units Built]]+Table_Shelter[[#This Row],['# of Temporary Shelter Under  Construction]]+Table_Shelter[[#This Row],['# of Permanent House Under Construction]]),0),0)</f>
        <v>40</v>
      </c>
      <c r="Q211" s="139"/>
      <c r="R211" s="208"/>
      <c r="S211" s="208" t="str">
        <f>IFERROR(VLOOKUP(Table_Shelter[[#This Row],[CampName]],CL,2,0),"")</f>
        <v>MMR001CMP103</v>
      </c>
      <c r="T211" s="208" t="str">
        <f>IFERROR(VLOOKUP(Table_Shelter[[#This Row],[CampName]],CL,3,0),"")</f>
        <v>Open</v>
      </c>
      <c r="U211" s="323">
        <f>IFERROR(Table_Shelter[[#This Row],[HH Covered]]/VLOOKUP(Table_Shelter[[#This Row],[CampName]],CL,4,0),"")</f>
        <v>0.76923076923076927</v>
      </c>
      <c r="V211" s="323" t="s">
        <v>1309</v>
      </c>
      <c r="W211" s="208"/>
    </row>
    <row r="212" spans="1:23" ht="15" customHeight="1" x14ac:dyDescent="0.25">
      <c r="A212" s="682"/>
      <c r="B212" s="206" t="s">
        <v>453</v>
      </c>
      <c r="C212" s="206" t="s">
        <v>506</v>
      </c>
      <c r="D212" s="213" t="s">
        <v>380</v>
      </c>
      <c r="E212" s="406" t="s">
        <v>528</v>
      </c>
      <c r="F212" s="206" t="s">
        <v>108</v>
      </c>
      <c r="G212" s="138">
        <v>1</v>
      </c>
      <c r="H212" s="140"/>
      <c r="I212" s="140"/>
      <c r="J212" s="140">
        <v>15</v>
      </c>
      <c r="K212" s="140">
        <v>15</v>
      </c>
      <c r="L212" s="208"/>
      <c r="M212" s="208"/>
      <c r="N212" s="208"/>
      <c r="O212" s="208"/>
      <c r="P212" s="139">
        <f>IF(Table_Shelter[[#This Row],[Status]]="Open",IF(V212="NO",Table_Shelter[[#This Row],[HH per Shelter]]*(Table_Shelter[[#This Row],['# of Temporary Shelter Units Built]]+Table_Shelter[[#This Row],['# of Temporary Shelter Under  Construction]]+Table_Shelter[[#This Row],['# of Permanent House Under Construction]]),0),0)</f>
        <v>15</v>
      </c>
      <c r="Q212" s="139"/>
      <c r="R212" s="139"/>
      <c r="S212" s="139" t="str">
        <f>IFERROR(VLOOKUP(Table_Shelter[[#This Row],[CampName]],CL,2,0),"")</f>
        <v>MMR001CMP103</v>
      </c>
      <c r="T212" s="139" t="str">
        <f>IFERROR(VLOOKUP(Table_Shelter[[#This Row],[CampName]],CL,3,0),"")</f>
        <v>Open</v>
      </c>
      <c r="U212" s="323">
        <f>IFERROR(Table_Shelter[[#This Row],[HH Covered]]/VLOOKUP(Table_Shelter[[#This Row],[CampName]],CL,4,0),"")</f>
        <v>0.28846153846153844</v>
      </c>
      <c r="V212" s="323" t="s">
        <v>1309</v>
      </c>
      <c r="W212" s="139"/>
    </row>
    <row r="213" spans="1:23" ht="15" customHeight="1" x14ac:dyDescent="0.25">
      <c r="A213" s="682"/>
      <c r="B213" s="206" t="s">
        <v>453</v>
      </c>
      <c r="C213" s="206" t="s">
        <v>461</v>
      </c>
      <c r="D213" s="209" t="s">
        <v>380</v>
      </c>
      <c r="E213" s="406" t="s">
        <v>173</v>
      </c>
      <c r="F213" s="206" t="s">
        <v>178</v>
      </c>
      <c r="G213" s="138">
        <v>1</v>
      </c>
      <c r="H213" s="140"/>
      <c r="I213" s="140"/>
      <c r="J213" s="140">
        <v>15</v>
      </c>
      <c r="K213" s="140">
        <v>15</v>
      </c>
      <c r="L213" s="208"/>
      <c r="M213" s="208"/>
      <c r="N213" s="208"/>
      <c r="O213" s="208"/>
      <c r="P213" s="139">
        <f>IF(Table_Shelter[[#This Row],[Status]]="Open",IF(V213="NO",Table_Shelter[[#This Row],[HH per Shelter]]*(Table_Shelter[[#This Row],['# of Temporary Shelter Units Built]]+Table_Shelter[[#This Row],['# of Temporary Shelter Under  Construction]]+Table_Shelter[[#This Row],['# of Permanent House Under Construction]]),0),0)</f>
        <v>15</v>
      </c>
      <c r="Q213" s="139"/>
      <c r="R213" s="208"/>
      <c r="S213" s="208" t="str">
        <f>IFERROR(VLOOKUP(Table_Shelter[[#This Row],[CampName]],CL,2,0),"")</f>
        <v>MMR001CMP079</v>
      </c>
      <c r="T213" s="208" t="str">
        <f>IFERROR(VLOOKUP(Table_Shelter[[#This Row],[CampName]],CL,3,0),"")</f>
        <v>Open</v>
      </c>
      <c r="U213" s="323">
        <f>IFERROR(Table_Shelter[[#This Row],[HH Covered]]/VLOOKUP(Table_Shelter[[#This Row],[CampName]],CL,4,0),"")</f>
        <v>1.25</v>
      </c>
      <c r="V213" s="323" t="s">
        <v>1309</v>
      </c>
      <c r="W213" s="208"/>
    </row>
    <row r="214" spans="1:23" ht="15" customHeight="1" x14ac:dyDescent="0.25">
      <c r="A214" s="682">
        <v>41974</v>
      </c>
      <c r="B214" s="206" t="s">
        <v>453</v>
      </c>
      <c r="C214" s="206" t="s">
        <v>506</v>
      </c>
      <c r="D214" s="209" t="s">
        <v>380</v>
      </c>
      <c r="E214" s="406" t="s">
        <v>310</v>
      </c>
      <c r="F214" s="206" t="s">
        <v>344</v>
      </c>
      <c r="G214" s="138">
        <v>1</v>
      </c>
      <c r="H214" s="140"/>
      <c r="I214" s="140"/>
      <c r="J214" s="140">
        <v>9</v>
      </c>
      <c r="K214" s="140">
        <v>9</v>
      </c>
      <c r="L214" s="208"/>
      <c r="M214" s="208"/>
      <c r="N214" s="208"/>
      <c r="O214" s="208"/>
      <c r="P214" s="139">
        <f>IF(Table_Shelter[[#This Row],[Status]]="Open",IF(V214="NO",Table_Shelter[[#This Row],[HH per Shelter]]*(Table_Shelter[[#This Row],['# of Temporary Shelter Units Built]]+Table_Shelter[[#This Row],['# of Temporary Shelter Under  Construction]]+Table_Shelter[[#This Row],['# of Permanent House Under Construction]]),0),0)</f>
        <v>9</v>
      </c>
      <c r="Q214" s="139"/>
      <c r="R214" s="139"/>
      <c r="S214" s="139" t="str">
        <f>IFERROR(VLOOKUP(Table_Shelter[[#This Row],[CampName]],CL,2,0),"")</f>
        <v>MMR001CMP033</v>
      </c>
      <c r="T214" s="139" t="str">
        <f>IFERROR(VLOOKUP(Table_Shelter[[#This Row],[CampName]],CL,3,0),"")</f>
        <v>Open</v>
      </c>
      <c r="U214" s="323">
        <f>IFERROR(Table_Shelter[[#This Row],[HH Covered]]/VLOOKUP(Table_Shelter[[#This Row],[CampName]],CL,4,0),"")</f>
        <v>0.5</v>
      </c>
      <c r="V214" s="323" t="s">
        <v>1309</v>
      </c>
      <c r="W214" s="139"/>
    </row>
    <row r="215" spans="1:23" ht="15" customHeight="1" x14ac:dyDescent="0.25">
      <c r="A215" s="682">
        <v>41609</v>
      </c>
      <c r="B215" s="206" t="s">
        <v>453</v>
      </c>
      <c r="C215" s="206" t="s">
        <v>506</v>
      </c>
      <c r="D215" s="209" t="s">
        <v>380</v>
      </c>
      <c r="E215" s="406" t="s">
        <v>310</v>
      </c>
      <c r="F215" s="206" t="s">
        <v>344</v>
      </c>
      <c r="G215" s="138">
        <v>1</v>
      </c>
      <c r="H215" s="140"/>
      <c r="I215" s="140"/>
      <c r="J215" s="140">
        <v>10</v>
      </c>
      <c r="K215" s="140">
        <v>10</v>
      </c>
      <c r="L215" s="208"/>
      <c r="M215" s="208"/>
      <c r="N215" s="208"/>
      <c r="O215" s="208"/>
      <c r="P215" s="139">
        <f>IF(Table_Shelter[[#This Row],[Status]]="Open",IF(V215="NO",Table_Shelter[[#This Row],[HH per Shelter]]*(Table_Shelter[[#This Row],['# of Temporary Shelter Units Built]]+Table_Shelter[[#This Row],['# of Temporary Shelter Under  Construction]]+Table_Shelter[[#This Row],['# of Permanent House Under Construction]]),0),0)</f>
        <v>10</v>
      </c>
      <c r="Q215" s="139"/>
      <c r="R215" s="208"/>
      <c r="S215" s="208" t="str">
        <f>IFERROR(VLOOKUP(Table_Shelter[[#This Row],[CampName]],CL,2,0),"")</f>
        <v>MMR001CMP033</v>
      </c>
      <c r="T215" s="208" t="str">
        <f>IFERROR(VLOOKUP(Table_Shelter[[#This Row],[CampName]],CL,3,0),"")</f>
        <v>Open</v>
      </c>
      <c r="U215" s="323">
        <f>IFERROR(Table_Shelter[[#This Row],[HH Covered]]/VLOOKUP(Table_Shelter[[#This Row],[CampName]],CL,4,0),"")</f>
        <v>0.55555555555555558</v>
      </c>
      <c r="V215" s="323" t="s">
        <v>1309</v>
      </c>
      <c r="W215" s="208"/>
    </row>
    <row r="216" spans="1:23" ht="15" customHeight="1" x14ac:dyDescent="0.25">
      <c r="A216" s="682"/>
      <c r="B216" s="206" t="s">
        <v>571</v>
      </c>
      <c r="C216" s="206" t="s">
        <v>461</v>
      </c>
      <c r="D216" s="209" t="s">
        <v>380</v>
      </c>
      <c r="E216" s="406" t="s">
        <v>180</v>
      </c>
      <c r="F216" s="206" t="s">
        <v>287</v>
      </c>
      <c r="G216" s="138">
        <v>1</v>
      </c>
      <c r="H216" s="140"/>
      <c r="I216" s="140"/>
      <c r="J216" s="140">
        <v>10</v>
      </c>
      <c r="K216" s="140">
        <v>10</v>
      </c>
      <c r="L216" s="208"/>
      <c r="M216" s="208"/>
      <c r="N216" s="208"/>
      <c r="O216" s="208"/>
      <c r="P216" s="139">
        <f>IF(Table_Shelter[[#This Row],[Status]]="Open",IF(V216="NO",Table_Shelter[[#This Row],[HH per Shelter]]*(Table_Shelter[[#This Row],['# of Temporary Shelter Units Built]]+Table_Shelter[[#This Row],['# of Temporary Shelter Under  Construction]]+Table_Shelter[[#This Row],['# of Permanent House Under Construction]]),0),0)</f>
        <v>10</v>
      </c>
      <c r="Q216" s="139"/>
      <c r="R216" s="208"/>
      <c r="S216" s="208" t="str">
        <f>IFERROR(VLOOKUP(Table_Shelter[[#This Row],[CampName]],CL,2,0),"")</f>
        <v>MMR001CMP152</v>
      </c>
      <c r="T216" s="208" t="str">
        <f>IFERROR(VLOOKUP(Table_Shelter[[#This Row],[CampName]],CL,3,0),"")</f>
        <v>Open</v>
      </c>
      <c r="U216" s="323">
        <f>IFERROR(Table_Shelter[[#This Row],[HH Covered]]/VLOOKUP(Table_Shelter[[#This Row],[CampName]],CL,4,0),"")</f>
        <v>0.52631578947368418</v>
      </c>
      <c r="V216" s="323" t="s">
        <v>1309</v>
      </c>
      <c r="W216" s="208"/>
    </row>
    <row r="217" spans="1:23" ht="15" customHeight="1" x14ac:dyDescent="0.25">
      <c r="A217" s="682"/>
      <c r="B217" s="206" t="s">
        <v>453</v>
      </c>
      <c r="C217" s="206" t="s">
        <v>461</v>
      </c>
      <c r="D217" s="209" t="s">
        <v>380</v>
      </c>
      <c r="E217" s="406" t="s">
        <v>180</v>
      </c>
      <c r="F217" s="206" t="s">
        <v>287</v>
      </c>
      <c r="G217" s="138">
        <v>1</v>
      </c>
      <c r="H217" s="140"/>
      <c r="I217" s="140"/>
      <c r="J217" s="140">
        <v>20</v>
      </c>
      <c r="K217" s="140">
        <v>20</v>
      </c>
      <c r="L217" s="208"/>
      <c r="M217" s="208"/>
      <c r="N217" s="208"/>
      <c r="O217" s="208"/>
      <c r="P217" s="139">
        <f>IF(Table_Shelter[[#This Row],[Status]]="Open",IF(V217="NO",Table_Shelter[[#This Row],[HH per Shelter]]*(Table_Shelter[[#This Row],['# of Temporary Shelter Units Built]]+Table_Shelter[[#This Row],['# of Temporary Shelter Under  Construction]]+Table_Shelter[[#This Row],['# of Permanent House Under Construction]]),0),0)</f>
        <v>20</v>
      </c>
      <c r="Q217" s="139"/>
      <c r="R217" s="208"/>
      <c r="S217" s="208" t="str">
        <f>IFERROR(VLOOKUP(Table_Shelter[[#This Row],[CampName]],CL,2,0),"")</f>
        <v>MMR001CMP152</v>
      </c>
      <c r="T217" s="208" t="str">
        <f>IFERROR(VLOOKUP(Table_Shelter[[#This Row],[CampName]],CL,3,0),"")</f>
        <v>Open</v>
      </c>
      <c r="U217" s="323">
        <f>IFERROR(Table_Shelter[[#This Row],[HH Covered]]/VLOOKUP(Table_Shelter[[#This Row],[CampName]],CL,4,0),"")</f>
        <v>1.0526315789473684</v>
      </c>
      <c r="V217" s="323" t="s">
        <v>1309</v>
      </c>
      <c r="W217" s="208"/>
    </row>
    <row r="218" spans="1:23" ht="15" customHeight="1" x14ac:dyDescent="0.25">
      <c r="A218" s="682">
        <v>41609</v>
      </c>
      <c r="B218" s="206" t="s">
        <v>453</v>
      </c>
      <c r="C218" s="206" t="s">
        <v>506</v>
      </c>
      <c r="D218" s="209" t="s">
        <v>380</v>
      </c>
      <c r="E218" s="406" t="s">
        <v>528</v>
      </c>
      <c r="F218" s="206" t="s">
        <v>110</v>
      </c>
      <c r="G218" s="138">
        <v>1</v>
      </c>
      <c r="H218" s="140"/>
      <c r="I218" s="140"/>
      <c r="J218" s="140">
        <v>40</v>
      </c>
      <c r="K218" s="140">
        <v>40</v>
      </c>
      <c r="L218" s="208"/>
      <c r="M218" s="208"/>
      <c r="N218" s="208"/>
      <c r="O218" s="208"/>
      <c r="P218" s="139">
        <f>IF(Table_Shelter[[#This Row],[Status]]="Open",IF(V218="NO",Table_Shelter[[#This Row],[HH per Shelter]]*(Table_Shelter[[#This Row],['# of Temporary Shelter Units Built]]+Table_Shelter[[#This Row],['# of Temporary Shelter Under  Construction]]+Table_Shelter[[#This Row],['# of Permanent House Under Construction]]),0),0)</f>
        <v>0</v>
      </c>
      <c r="Q218" s="139"/>
      <c r="R218" s="139"/>
      <c r="S218" s="139" t="str">
        <f>IFERROR(VLOOKUP(Table_Shelter[[#This Row],[CampName]],CL,2,0),"")</f>
        <v>MMR001CMP082</v>
      </c>
      <c r="T218" s="139" t="str">
        <f>IFERROR(VLOOKUP(Table_Shelter[[#This Row],[CampName]],CL,3,0),"")</f>
        <v>Closed</v>
      </c>
      <c r="U218" s="323" t="str">
        <f>IFERROR(Table_Shelter[[#This Row],[HH Covered]]/VLOOKUP(Table_Shelter[[#This Row],[CampName]],CL,4,0),"")</f>
        <v/>
      </c>
      <c r="V218" s="323" t="s">
        <v>1309</v>
      </c>
      <c r="W218" s="139"/>
    </row>
    <row r="219" spans="1:23" ht="15" customHeight="1" x14ac:dyDescent="0.25">
      <c r="A219" s="682"/>
      <c r="B219" s="206" t="s">
        <v>863</v>
      </c>
      <c r="C219" s="206"/>
      <c r="D219" s="209" t="s">
        <v>380</v>
      </c>
      <c r="E219" s="406" t="s">
        <v>528</v>
      </c>
      <c r="F219" s="206" t="s">
        <v>110</v>
      </c>
      <c r="G219" s="138">
        <v>1</v>
      </c>
      <c r="H219" s="140">
        <v>50</v>
      </c>
      <c r="I219" s="140">
        <v>50</v>
      </c>
      <c r="J219" s="140"/>
      <c r="K219" s="140"/>
      <c r="L219" s="208"/>
      <c r="M219" s="208"/>
      <c r="N219" s="208"/>
      <c r="O219" s="208"/>
      <c r="P219" s="139">
        <f>IF(Table_Shelter[[#This Row],[Status]]="Open",IF(V219="NO",Table_Shelter[[#This Row],[HH per Shelter]]*(Table_Shelter[[#This Row],['# of Temporary Shelter Units Built]]+Table_Shelter[[#This Row],['# of Temporary Shelter Under  Construction]]+Table_Shelter[[#This Row],['# of Permanent House Under Construction]]),0),0)</f>
        <v>0</v>
      </c>
      <c r="Q219" s="139"/>
      <c r="R219" s="208"/>
      <c r="S219" s="208" t="str">
        <f>IFERROR(VLOOKUP(Table_Shelter[[#This Row],[CampName]],CL,2,0),"")</f>
        <v>MMR001CMP082</v>
      </c>
      <c r="T219" s="208" t="str">
        <f>IFERROR(VLOOKUP(Table_Shelter[[#This Row],[CampName]],CL,3,0),"")</f>
        <v>Closed</v>
      </c>
      <c r="U219" s="323" t="str">
        <f>IFERROR(Table_Shelter[[#This Row],[HH Covered]]/VLOOKUP(Table_Shelter[[#This Row],[CampName]],CL,4,0),"")</f>
        <v/>
      </c>
      <c r="V219" s="323" t="s">
        <v>1309</v>
      </c>
      <c r="W219" s="208"/>
    </row>
    <row r="220" spans="1:23" ht="15" customHeight="1" x14ac:dyDescent="0.25">
      <c r="A220" s="682"/>
      <c r="B220" s="206" t="s">
        <v>453</v>
      </c>
      <c r="C220" s="206" t="s">
        <v>506</v>
      </c>
      <c r="D220" s="209" t="s">
        <v>380</v>
      </c>
      <c r="E220" s="406" t="s">
        <v>528</v>
      </c>
      <c r="F220" s="206" t="s">
        <v>110</v>
      </c>
      <c r="G220" s="138">
        <v>1</v>
      </c>
      <c r="H220" s="140"/>
      <c r="I220" s="140"/>
      <c r="J220" s="140">
        <v>20</v>
      </c>
      <c r="K220" s="140">
        <v>20</v>
      </c>
      <c r="L220" s="208"/>
      <c r="M220" s="208"/>
      <c r="N220" s="208"/>
      <c r="O220" s="208"/>
      <c r="P220" s="139">
        <f>IF(Table_Shelter[[#This Row],[Status]]="Open",IF(V220="NO",Table_Shelter[[#This Row],[HH per Shelter]]*(Table_Shelter[[#This Row],['# of Temporary Shelter Units Built]]+Table_Shelter[[#This Row],['# of Temporary Shelter Under  Construction]]+Table_Shelter[[#This Row],['# of Permanent House Under Construction]]),0),0)</f>
        <v>0</v>
      </c>
      <c r="Q220" s="139"/>
      <c r="R220" s="208"/>
      <c r="S220" s="208" t="str">
        <f>IFERROR(VLOOKUP(Table_Shelter[[#This Row],[CampName]],CL,2,0),"")</f>
        <v>MMR001CMP082</v>
      </c>
      <c r="T220" s="208" t="str">
        <f>IFERROR(VLOOKUP(Table_Shelter[[#This Row],[CampName]],CL,3,0),"")</f>
        <v>Closed</v>
      </c>
      <c r="U220" s="323" t="str">
        <f>IFERROR(Table_Shelter[[#This Row],[HH Covered]]/VLOOKUP(Table_Shelter[[#This Row],[CampName]],CL,4,0),"")</f>
        <v/>
      </c>
      <c r="V220" s="323" t="s">
        <v>1309</v>
      </c>
      <c r="W220" s="208"/>
    </row>
    <row r="221" spans="1:23" ht="15" customHeight="1" x14ac:dyDescent="0.25">
      <c r="A221" s="682"/>
      <c r="B221" s="206" t="s">
        <v>453</v>
      </c>
      <c r="C221" s="206" t="s">
        <v>461</v>
      </c>
      <c r="D221" s="213" t="s">
        <v>380</v>
      </c>
      <c r="E221" s="406" t="s">
        <v>528</v>
      </c>
      <c r="F221" s="206" t="s">
        <v>110</v>
      </c>
      <c r="G221" s="138">
        <v>1</v>
      </c>
      <c r="H221" s="140"/>
      <c r="I221" s="140"/>
      <c r="J221" s="140">
        <v>15</v>
      </c>
      <c r="K221" s="140">
        <v>15</v>
      </c>
      <c r="L221" s="208"/>
      <c r="M221" s="208"/>
      <c r="N221" s="208"/>
      <c r="O221" s="208"/>
      <c r="P221" s="139">
        <f>IF(Table_Shelter[[#This Row],[Status]]="Open",IF(V221="NO",Table_Shelter[[#This Row],[HH per Shelter]]*(Table_Shelter[[#This Row],['# of Temporary Shelter Units Built]]+Table_Shelter[[#This Row],['# of Temporary Shelter Under  Construction]]+Table_Shelter[[#This Row],['# of Permanent House Under Construction]]),0),0)</f>
        <v>0</v>
      </c>
      <c r="Q221" s="139"/>
      <c r="R221" s="139"/>
      <c r="S221" s="139" t="str">
        <f>IFERROR(VLOOKUP(Table_Shelter[[#This Row],[CampName]],CL,2,0),"")</f>
        <v>MMR001CMP082</v>
      </c>
      <c r="T221" s="139" t="str">
        <f>IFERROR(VLOOKUP(Table_Shelter[[#This Row],[CampName]],CL,3,0),"")</f>
        <v>Closed</v>
      </c>
      <c r="U221" s="323" t="str">
        <f>IFERROR(Table_Shelter[[#This Row],[HH Covered]]/VLOOKUP(Table_Shelter[[#This Row],[CampName]],CL,4,0),"")</f>
        <v/>
      </c>
      <c r="V221" s="323" t="s">
        <v>1309</v>
      </c>
      <c r="W221" s="139"/>
    </row>
    <row r="222" spans="1:23" ht="15" customHeight="1" x14ac:dyDescent="0.25">
      <c r="A222" s="682">
        <v>42500</v>
      </c>
      <c r="B222" s="206" t="s">
        <v>454</v>
      </c>
      <c r="C222" s="206" t="s">
        <v>454</v>
      </c>
      <c r="D222" s="213" t="s">
        <v>380</v>
      </c>
      <c r="E222" s="406" t="s">
        <v>185</v>
      </c>
      <c r="F222" s="206" t="s">
        <v>215</v>
      </c>
      <c r="G222" s="138">
        <v>1</v>
      </c>
      <c r="H222" s="140"/>
      <c r="I222" s="140"/>
      <c r="J222" s="140">
        <v>170</v>
      </c>
      <c r="K222" s="140">
        <v>170</v>
      </c>
      <c r="L222" s="208"/>
      <c r="M222" s="208"/>
      <c r="N222" s="208"/>
      <c r="O222" s="208"/>
      <c r="P222" s="139">
        <f>IF(Table_Shelter[[#This Row],[Status]]="Open",IF(V222="NO",Table_Shelter[[#This Row],[HH per Shelter]]*(Table_Shelter[[#This Row],['# of Temporary Shelter Units Built]]+Table_Shelter[[#This Row],['# of Temporary Shelter Under  Construction]]+Table_Shelter[[#This Row],['# of Permanent House Under Construction]]),0),0)</f>
        <v>170</v>
      </c>
      <c r="Q222" s="139"/>
      <c r="R222" s="139"/>
      <c r="S222" s="139" t="str">
        <f>IFERROR(VLOOKUP(Table_Shelter[[#This Row],[CampName]],CL,2,0),"")</f>
        <v>MMR001CMP131</v>
      </c>
      <c r="T222" s="139" t="str">
        <f>IFERROR(VLOOKUP(Table_Shelter[[#This Row],[CampName]],CL,3,0),"")</f>
        <v>Open</v>
      </c>
      <c r="U222" s="323">
        <f>IFERROR(Table_Shelter[[#This Row],[HH Covered]]/VLOOKUP(Table_Shelter[[#This Row],[CampName]],CL,4,0),"")</f>
        <v>0.45333333333333331</v>
      </c>
      <c r="V222" s="324" t="s">
        <v>1309</v>
      </c>
      <c r="W222" s="139"/>
    </row>
    <row r="223" spans="1:23" ht="15" customHeight="1" x14ac:dyDescent="0.25">
      <c r="A223" s="681">
        <v>42422</v>
      </c>
      <c r="B223" s="206" t="s">
        <v>454</v>
      </c>
      <c r="C223" s="206"/>
      <c r="D223" s="209" t="s">
        <v>380</v>
      </c>
      <c r="E223" s="406" t="s">
        <v>185</v>
      </c>
      <c r="F223" s="206" t="s">
        <v>215</v>
      </c>
      <c r="G223" s="138">
        <v>1</v>
      </c>
      <c r="H223" s="140"/>
      <c r="I223" s="140"/>
      <c r="J223" s="140">
        <v>170</v>
      </c>
      <c r="K223" s="140">
        <v>170</v>
      </c>
      <c r="L223" s="208"/>
      <c r="M223" s="208"/>
      <c r="N223" s="208"/>
      <c r="O223" s="208"/>
      <c r="P223" s="139">
        <f>IF(Table_Shelter[[#This Row],[Status]]="Open",IF(V223="NO",Table_Shelter[[#This Row],[HH per Shelter]]*(Table_Shelter[[#This Row],['# of Temporary Shelter Units Built]]+Table_Shelter[[#This Row],['# of Temporary Shelter Under  Construction]]+Table_Shelter[[#This Row],['# of Permanent House Under Construction]]),0),0)</f>
        <v>0</v>
      </c>
      <c r="Q223" s="139"/>
      <c r="R223" s="208"/>
      <c r="S223" s="208" t="str">
        <f>IFERROR(VLOOKUP(Table_Shelter[[#This Row],[CampName]],CL,2,0),"")</f>
        <v>MMR001CMP131</v>
      </c>
      <c r="T223" s="208" t="str">
        <f>IFERROR(VLOOKUP(Table_Shelter[[#This Row],[CampName]],CL,3,0),"")</f>
        <v>Open</v>
      </c>
      <c r="U223" s="323">
        <f>IFERROR(Table_Shelter[[#This Row],[HH Covered]]/VLOOKUP(Table_Shelter[[#This Row],[CampName]],CL,4,0),"")</f>
        <v>0</v>
      </c>
      <c r="V223" s="323" t="s">
        <v>1308</v>
      </c>
      <c r="W223" s="208"/>
    </row>
    <row r="224" spans="1:23" ht="15" customHeight="1" x14ac:dyDescent="0.25">
      <c r="A224" s="682"/>
      <c r="B224" s="206" t="s">
        <v>593</v>
      </c>
      <c r="C224" s="206" t="s">
        <v>460</v>
      </c>
      <c r="D224" s="209" t="s">
        <v>380</v>
      </c>
      <c r="E224" s="406" t="s">
        <v>185</v>
      </c>
      <c r="F224" s="206" t="s">
        <v>215</v>
      </c>
      <c r="G224" s="138">
        <v>1</v>
      </c>
      <c r="H224" s="140"/>
      <c r="I224" s="140"/>
      <c r="J224" s="140">
        <v>100</v>
      </c>
      <c r="K224" s="140">
        <v>100</v>
      </c>
      <c r="L224" s="208"/>
      <c r="M224" s="208"/>
      <c r="N224" s="208"/>
      <c r="O224" s="208"/>
      <c r="P224" s="139">
        <f>IF(Table_Shelter[[#This Row],[Status]]="Open",IF(V224="NO",Table_Shelter[[#This Row],[HH per Shelter]]*(Table_Shelter[[#This Row],['# of Temporary Shelter Units Built]]+Table_Shelter[[#This Row],['# of Temporary Shelter Under  Construction]]+Table_Shelter[[#This Row],['# of Permanent House Under Construction]]),0),0)</f>
        <v>100</v>
      </c>
      <c r="Q224" s="139"/>
      <c r="R224" s="208"/>
      <c r="S224" s="208" t="str">
        <f>IFERROR(VLOOKUP(Table_Shelter[[#This Row],[CampName]],CL,2,0),"")</f>
        <v>MMR001CMP131</v>
      </c>
      <c r="T224" s="208" t="str">
        <f>IFERROR(VLOOKUP(Table_Shelter[[#This Row],[CampName]],CL,3,0),"")</f>
        <v>Open</v>
      </c>
      <c r="U224" s="323">
        <f>IFERROR(Table_Shelter[[#This Row],[HH Covered]]/VLOOKUP(Table_Shelter[[#This Row],[CampName]],CL,4,0),"")</f>
        <v>0.26666666666666666</v>
      </c>
      <c r="V224" s="323" t="s">
        <v>1309</v>
      </c>
      <c r="W224" s="208"/>
    </row>
    <row r="225" spans="1:23" ht="15" customHeight="1" x14ac:dyDescent="0.25">
      <c r="A225" s="682"/>
      <c r="B225" s="206" t="s">
        <v>903</v>
      </c>
      <c r="C225" s="206" t="s">
        <v>460</v>
      </c>
      <c r="D225" s="209" t="s">
        <v>380</v>
      </c>
      <c r="E225" s="406" t="s">
        <v>185</v>
      </c>
      <c r="F225" s="206" t="s">
        <v>215</v>
      </c>
      <c r="G225" s="138">
        <v>1</v>
      </c>
      <c r="H225" s="140"/>
      <c r="I225" s="140"/>
      <c r="J225" s="140">
        <v>350</v>
      </c>
      <c r="K225" s="140">
        <v>350</v>
      </c>
      <c r="L225" s="208"/>
      <c r="M225" s="208"/>
      <c r="N225" s="208"/>
      <c r="O225" s="208"/>
      <c r="P225" s="139">
        <f>IF(Table_Shelter[[#This Row],[Status]]="Open",IF(V225="NO",Table_Shelter[[#This Row],[HH per Shelter]]*(Table_Shelter[[#This Row],['# of Temporary Shelter Units Built]]+Table_Shelter[[#This Row],['# of Temporary Shelter Under  Construction]]+Table_Shelter[[#This Row],['# of Permanent House Under Construction]]),0),0)</f>
        <v>350</v>
      </c>
      <c r="Q225" s="139"/>
      <c r="R225" s="208"/>
      <c r="S225" s="208" t="str">
        <f>IFERROR(VLOOKUP(Table_Shelter[[#This Row],[CampName]],CL,2,0),"")</f>
        <v>MMR001CMP131</v>
      </c>
      <c r="T225" s="208" t="str">
        <f>IFERROR(VLOOKUP(Table_Shelter[[#This Row],[CampName]],CL,3,0),"")</f>
        <v>Open</v>
      </c>
      <c r="U225" s="323">
        <f>IFERROR(Table_Shelter[[#This Row],[HH Covered]]/VLOOKUP(Table_Shelter[[#This Row],[CampName]],CL,4,0),"")</f>
        <v>0.93333333333333335</v>
      </c>
      <c r="V225" s="323" t="s">
        <v>1309</v>
      </c>
      <c r="W225" s="208"/>
    </row>
    <row r="226" spans="1:23" ht="15" customHeight="1" x14ac:dyDescent="0.25">
      <c r="A226" s="682">
        <v>41609</v>
      </c>
      <c r="B226" s="206" t="s">
        <v>453</v>
      </c>
      <c r="C226" s="206" t="s">
        <v>506</v>
      </c>
      <c r="D226" s="209" t="s">
        <v>380</v>
      </c>
      <c r="E226" s="406" t="s">
        <v>185</v>
      </c>
      <c r="F226" s="206" t="s">
        <v>217</v>
      </c>
      <c r="G226" s="138">
        <v>1</v>
      </c>
      <c r="H226" s="140"/>
      <c r="I226" s="140"/>
      <c r="J226" s="140">
        <v>4</v>
      </c>
      <c r="K226" s="140">
        <v>4</v>
      </c>
      <c r="L226" s="208"/>
      <c r="M226" s="208"/>
      <c r="N226" s="208"/>
      <c r="O226" s="208"/>
      <c r="P226" s="139">
        <f>IF(Table_Shelter[[#This Row],[Status]]="Open",IF(V226="NO",Table_Shelter[[#This Row],[HH per Shelter]]*(Table_Shelter[[#This Row],['# of Temporary Shelter Units Built]]+Table_Shelter[[#This Row],['# of Temporary Shelter Under  Construction]]+Table_Shelter[[#This Row],['# of Permanent House Under Construction]]),0),0)</f>
        <v>0</v>
      </c>
      <c r="Q226" s="139">
        <v>5</v>
      </c>
      <c r="R226" s="208"/>
      <c r="S226" s="208" t="str">
        <f>IFERROR(VLOOKUP(Table_Shelter[[#This Row],[CampName]],CL,2,0),"")</f>
        <v>MMR001CMP059</v>
      </c>
      <c r="T226" s="208" t="str">
        <f>IFERROR(VLOOKUP(Table_Shelter[[#This Row],[CampName]],CL,3,0),"")</f>
        <v>Closed</v>
      </c>
      <c r="U226" s="323" t="str">
        <f>IFERROR(Table_Shelter[[#This Row],[HH Covered]]/VLOOKUP(Table_Shelter[[#This Row],[CampName]],CL,4,0),"")</f>
        <v/>
      </c>
      <c r="V226" s="323" t="s">
        <v>1309</v>
      </c>
      <c r="W226" s="208"/>
    </row>
    <row r="227" spans="1:23" ht="15" customHeight="1" x14ac:dyDescent="0.25">
      <c r="A227" s="682"/>
      <c r="B227" s="206" t="s">
        <v>847</v>
      </c>
      <c r="C227" s="206"/>
      <c r="D227" s="209" t="s">
        <v>380</v>
      </c>
      <c r="E227" s="406" t="s">
        <v>185</v>
      </c>
      <c r="F227" s="206" t="s">
        <v>217</v>
      </c>
      <c r="G227" s="138">
        <v>1</v>
      </c>
      <c r="H227" s="140"/>
      <c r="I227" s="140"/>
      <c r="J227" s="140">
        <v>18</v>
      </c>
      <c r="K227" s="140">
        <v>18</v>
      </c>
      <c r="L227" s="208"/>
      <c r="M227" s="208"/>
      <c r="N227" s="208"/>
      <c r="O227" s="208"/>
      <c r="P227" s="139">
        <f>IF(Table_Shelter[[#This Row],[Status]]="Open",IF(V227="NO",Table_Shelter[[#This Row],[HH per Shelter]]*(Table_Shelter[[#This Row],['# of Temporary Shelter Units Built]]+Table_Shelter[[#This Row],['# of Temporary Shelter Under  Construction]]+Table_Shelter[[#This Row],['# of Permanent House Under Construction]]),0),0)</f>
        <v>0</v>
      </c>
      <c r="Q227" s="139"/>
      <c r="R227" s="208"/>
      <c r="S227" s="208" t="str">
        <f>IFERROR(VLOOKUP(Table_Shelter[[#This Row],[CampName]],CL,2,0),"")</f>
        <v>MMR001CMP059</v>
      </c>
      <c r="T227" s="208" t="str">
        <f>IFERROR(VLOOKUP(Table_Shelter[[#This Row],[CampName]],CL,3,0),"")</f>
        <v>Closed</v>
      </c>
      <c r="U227" s="323" t="str">
        <f>IFERROR(Table_Shelter[[#This Row],[HH Covered]]/VLOOKUP(Table_Shelter[[#This Row],[CampName]],CL,4,0),"")</f>
        <v/>
      </c>
      <c r="V227" s="323" t="s">
        <v>1309</v>
      </c>
      <c r="W227" s="208"/>
    </row>
    <row r="228" spans="1:23" ht="15" customHeight="1" x14ac:dyDescent="0.25">
      <c r="A228" s="682"/>
      <c r="B228" s="206" t="s">
        <v>453</v>
      </c>
      <c r="C228" s="206"/>
      <c r="D228" s="209" t="s">
        <v>380</v>
      </c>
      <c r="E228" s="406" t="s">
        <v>185</v>
      </c>
      <c r="F228" s="206" t="s">
        <v>217</v>
      </c>
      <c r="G228" s="138">
        <v>1</v>
      </c>
      <c r="H228" s="140"/>
      <c r="I228" s="140"/>
      <c r="J228" s="140">
        <v>9</v>
      </c>
      <c r="K228" s="140">
        <v>9</v>
      </c>
      <c r="L228" s="208"/>
      <c r="M228" s="208"/>
      <c r="N228" s="208"/>
      <c r="O228" s="208"/>
      <c r="P228" s="139">
        <f>IF(Table_Shelter[[#This Row],[Status]]="Open",IF(V228="NO",Table_Shelter[[#This Row],[HH per Shelter]]*(Table_Shelter[[#This Row],['# of Temporary Shelter Units Built]]+Table_Shelter[[#This Row],['# of Temporary Shelter Under  Construction]]+Table_Shelter[[#This Row],['# of Permanent House Under Construction]]),0),0)</f>
        <v>0</v>
      </c>
      <c r="Q228" s="139"/>
      <c r="R228" s="208"/>
      <c r="S228" s="208" t="str">
        <f>IFERROR(VLOOKUP(Table_Shelter[[#This Row],[CampName]],CL,2,0),"")</f>
        <v>MMR001CMP059</v>
      </c>
      <c r="T228" s="208" t="str">
        <f>IFERROR(VLOOKUP(Table_Shelter[[#This Row],[CampName]],CL,3,0),"")</f>
        <v>Closed</v>
      </c>
      <c r="U228" s="323" t="str">
        <f>IFERROR(Table_Shelter[[#This Row],[HH Covered]]/VLOOKUP(Table_Shelter[[#This Row],[CampName]],CL,4,0),"")</f>
        <v/>
      </c>
      <c r="V228" s="323" t="s">
        <v>1309</v>
      </c>
      <c r="W228" s="208"/>
    </row>
    <row r="229" spans="1:23" ht="15" customHeight="1" x14ac:dyDescent="0.25">
      <c r="A229" s="682"/>
      <c r="B229" s="206" t="s">
        <v>849</v>
      </c>
      <c r="C229" s="206" t="s">
        <v>461</v>
      </c>
      <c r="D229" s="209" t="s">
        <v>380</v>
      </c>
      <c r="E229" s="406" t="s">
        <v>237</v>
      </c>
      <c r="F229" s="206" t="s">
        <v>269</v>
      </c>
      <c r="G229" s="138">
        <v>1</v>
      </c>
      <c r="H229" s="140"/>
      <c r="I229" s="140"/>
      <c r="J229" s="140">
        <v>32</v>
      </c>
      <c r="K229" s="140">
        <v>32</v>
      </c>
      <c r="L229" s="208"/>
      <c r="M229" s="208"/>
      <c r="N229" s="208"/>
      <c r="O229" s="208"/>
      <c r="P229" s="139">
        <f>IF(Table_Shelter[[#This Row],[Status]]="Open",IF(V229="NO",Table_Shelter[[#This Row],[HH per Shelter]]*(Table_Shelter[[#This Row],['# of Temporary Shelter Units Built]]+Table_Shelter[[#This Row],['# of Temporary Shelter Under  Construction]]+Table_Shelter[[#This Row],['# of Permanent House Under Construction]]),0),0)</f>
        <v>32</v>
      </c>
      <c r="Q229" s="139"/>
      <c r="R229" s="208"/>
      <c r="S229" s="208" t="str">
        <f>IFERROR(VLOOKUP(Table_Shelter[[#This Row],[CampName]],CL,2,0),"")</f>
        <v>MMR001CMP002</v>
      </c>
      <c r="T229" s="208" t="str">
        <f>IFERROR(VLOOKUP(Table_Shelter[[#This Row],[CampName]],CL,3,0),"")</f>
        <v>Open</v>
      </c>
      <c r="U229" s="323">
        <f>IFERROR(Table_Shelter[[#This Row],[HH Covered]]/VLOOKUP(Table_Shelter[[#This Row],[CampName]],CL,4,0),"")</f>
        <v>0.53333333333333333</v>
      </c>
      <c r="V229" s="323" t="s">
        <v>1309</v>
      </c>
      <c r="W229" s="208"/>
    </row>
    <row r="230" spans="1:23" ht="15" customHeight="1" x14ac:dyDescent="0.25">
      <c r="A230" s="682"/>
      <c r="B230" s="206" t="s">
        <v>453</v>
      </c>
      <c r="C230" s="206" t="s">
        <v>461</v>
      </c>
      <c r="D230" s="209" t="s">
        <v>380</v>
      </c>
      <c r="E230" s="406" t="s">
        <v>237</v>
      </c>
      <c r="F230" s="206" t="s">
        <v>269</v>
      </c>
      <c r="G230" s="138">
        <v>1</v>
      </c>
      <c r="H230" s="140"/>
      <c r="I230" s="140"/>
      <c r="J230" s="140">
        <v>20</v>
      </c>
      <c r="K230" s="140">
        <v>20</v>
      </c>
      <c r="L230" s="208"/>
      <c r="M230" s="208"/>
      <c r="N230" s="208"/>
      <c r="O230" s="208"/>
      <c r="P230" s="139">
        <f>IF(Table_Shelter[[#This Row],[Status]]="Open",IF(V230="NO",Table_Shelter[[#This Row],[HH per Shelter]]*(Table_Shelter[[#This Row],['# of Temporary Shelter Units Built]]+Table_Shelter[[#This Row],['# of Temporary Shelter Under  Construction]]+Table_Shelter[[#This Row],['# of Permanent House Under Construction]]),0),0)</f>
        <v>20</v>
      </c>
      <c r="Q230" s="139"/>
      <c r="R230" s="208"/>
      <c r="S230" s="208" t="str">
        <f>IFERROR(VLOOKUP(Table_Shelter[[#This Row],[CampName]],CL,2,0),"")</f>
        <v>MMR001CMP002</v>
      </c>
      <c r="T230" s="208" t="str">
        <f>IFERROR(VLOOKUP(Table_Shelter[[#This Row],[CampName]],CL,3,0),"")</f>
        <v>Open</v>
      </c>
      <c r="U230" s="323">
        <f>IFERROR(Table_Shelter[[#This Row],[HH Covered]]/VLOOKUP(Table_Shelter[[#This Row],[CampName]],CL,4,0),"")</f>
        <v>0.33333333333333331</v>
      </c>
      <c r="V230" s="323" t="s">
        <v>1309</v>
      </c>
      <c r="W230" s="208"/>
    </row>
    <row r="231" spans="1:23" ht="15" customHeight="1" x14ac:dyDescent="0.25">
      <c r="A231" s="682"/>
      <c r="B231" s="206" t="s">
        <v>453</v>
      </c>
      <c r="C231" s="206"/>
      <c r="D231" s="209" t="s">
        <v>380</v>
      </c>
      <c r="E231" s="406" t="s">
        <v>185</v>
      </c>
      <c r="F231" s="206" t="s">
        <v>229</v>
      </c>
      <c r="G231" s="138">
        <v>1</v>
      </c>
      <c r="H231" s="140"/>
      <c r="I231" s="140"/>
      <c r="J231" s="140">
        <v>45</v>
      </c>
      <c r="K231" s="140">
        <v>45</v>
      </c>
      <c r="L231" s="208"/>
      <c r="M231" s="208"/>
      <c r="N231" s="208"/>
      <c r="O231" s="208"/>
      <c r="P231" s="139">
        <f>IF(Table_Shelter[[#This Row],[Status]]="Open",IF(V231="NO",Table_Shelter[[#This Row],[HH per Shelter]]*(Table_Shelter[[#This Row],['# of Temporary Shelter Units Built]]+Table_Shelter[[#This Row],['# of Temporary Shelter Under  Construction]]+Table_Shelter[[#This Row],['# of Permanent House Under Construction]]),0),0)</f>
        <v>45</v>
      </c>
      <c r="Q231" s="139"/>
      <c r="R231" s="208"/>
      <c r="S231" s="208" t="str">
        <f>IFERROR(VLOOKUP(Table_Shelter[[#This Row],[CampName]],CL,2,0),"")</f>
        <v>MMR001CMP072</v>
      </c>
      <c r="T231" s="208" t="str">
        <f>IFERROR(VLOOKUP(Table_Shelter[[#This Row],[CampName]],CL,3,0),"")</f>
        <v>Open</v>
      </c>
      <c r="U231" s="323">
        <f>IFERROR(Table_Shelter[[#This Row],[HH Covered]]/VLOOKUP(Table_Shelter[[#This Row],[CampName]],CL,4,0),"")</f>
        <v>0.9</v>
      </c>
      <c r="V231" s="323" t="s">
        <v>1309</v>
      </c>
      <c r="W231" s="208"/>
    </row>
    <row r="232" spans="1:23" ht="15" customHeight="1" x14ac:dyDescent="0.25">
      <c r="A232" s="681">
        <v>42416</v>
      </c>
      <c r="B232" s="206" t="s">
        <v>453</v>
      </c>
      <c r="C232" s="206" t="s">
        <v>507</v>
      </c>
      <c r="D232" s="209" t="s">
        <v>380</v>
      </c>
      <c r="E232" s="406" t="s">
        <v>237</v>
      </c>
      <c r="F232" s="206" t="s">
        <v>273</v>
      </c>
      <c r="G232" s="138">
        <v>1</v>
      </c>
      <c r="H232" s="140"/>
      <c r="I232" s="140"/>
      <c r="J232" s="140">
        <v>14</v>
      </c>
      <c r="K232" s="140">
        <v>14</v>
      </c>
      <c r="L232" s="208"/>
      <c r="M232" s="208"/>
      <c r="N232" s="208"/>
      <c r="O232" s="208"/>
      <c r="P232" s="139">
        <f>IF(Table_Shelter[[#This Row],[Status]]="Open",IF(V232="NO",Table_Shelter[[#This Row],[HH per Shelter]]*(Table_Shelter[[#This Row],['# of Temporary Shelter Units Built]]+Table_Shelter[[#This Row],['# of Temporary Shelter Under  Construction]]+Table_Shelter[[#This Row],['# of Permanent House Under Construction]]),0),0)</f>
        <v>14</v>
      </c>
      <c r="Q232" s="139"/>
      <c r="R232" s="208"/>
      <c r="S232" s="208" t="str">
        <f>IFERROR(VLOOKUP(Table_Shelter[[#This Row],[CampName]],CL,2,0),"")</f>
        <v>MMR001CMP162</v>
      </c>
      <c r="T232" s="208" t="str">
        <f>IFERROR(VLOOKUP(Table_Shelter[[#This Row],[CampName]],CL,3,0),"")</f>
        <v>Open</v>
      </c>
      <c r="U232" s="323">
        <f>IFERROR(Table_Shelter[[#This Row],[HH Covered]]/VLOOKUP(Table_Shelter[[#This Row],[CampName]],CL,4,0),"")</f>
        <v>0.31818181818181818</v>
      </c>
      <c r="V232" s="323" t="s">
        <v>1309</v>
      </c>
      <c r="W232" s="208"/>
    </row>
    <row r="233" spans="1:23" ht="15" customHeight="1" x14ac:dyDescent="0.25">
      <c r="A233" s="682"/>
      <c r="B233" s="206" t="s">
        <v>593</v>
      </c>
      <c r="C233" s="206" t="s">
        <v>507</v>
      </c>
      <c r="D233" s="209" t="s">
        <v>380</v>
      </c>
      <c r="E233" s="406" t="s">
        <v>237</v>
      </c>
      <c r="F233" s="206" t="s">
        <v>273</v>
      </c>
      <c r="G233" s="138">
        <v>1</v>
      </c>
      <c r="H233" s="140"/>
      <c r="I233" s="140"/>
      <c r="J233" s="140">
        <v>30</v>
      </c>
      <c r="K233" s="140">
        <v>30</v>
      </c>
      <c r="L233" s="208"/>
      <c r="M233" s="208"/>
      <c r="N233" s="208"/>
      <c r="O233" s="208"/>
      <c r="P233" s="139">
        <f>IF(Table_Shelter[[#This Row],[Status]]="Open",IF(V233="NO",Table_Shelter[[#This Row],[HH per Shelter]]*(Table_Shelter[[#This Row],['# of Temporary Shelter Units Built]]+Table_Shelter[[#This Row],['# of Temporary Shelter Under  Construction]]+Table_Shelter[[#This Row],['# of Permanent House Under Construction]]),0),0)</f>
        <v>30</v>
      </c>
      <c r="Q233" s="139"/>
      <c r="R233" s="208"/>
      <c r="S233" s="208" t="str">
        <f>IFERROR(VLOOKUP(Table_Shelter[[#This Row],[CampName]],CL,2,0),"")</f>
        <v>MMR001CMP162</v>
      </c>
      <c r="T233" s="208" t="str">
        <f>IFERROR(VLOOKUP(Table_Shelter[[#This Row],[CampName]],CL,3,0),"")</f>
        <v>Open</v>
      </c>
      <c r="U233" s="323">
        <f>IFERROR(Table_Shelter[[#This Row],[HH Covered]]/VLOOKUP(Table_Shelter[[#This Row],[CampName]],CL,4,0),"")</f>
        <v>0.68181818181818177</v>
      </c>
      <c r="V233" s="323" t="s">
        <v>1309</v>
      </c>
      <c r="W233" s="208"/>
    </row>
    <row r="234" spans="1:23" ht="15" customHeight="1" x14ac:dyDescent="0.25">
      <c r="A234" s="681">
        <v>42422</v>
      </c>
      <c r="B234" s="206" t="s">
        <v>454</v>
      </c>
      <c r="C234" s="206"/>
      <c r="D234" s="209" t="s">
        <v>380</v>
      </c>
      <c r="E234" s="406" t="s">
        <v>185</v>
      </c>
      <c r="F234" s="206" t="s">
        <v>219</v>
      </c>
      <c r="G234" s="138">
        <v>1</v>
      </c>
      <c r="H234" s="140"/>
      <c r="I234" s="140"/>
      <c r="J234" s="140">
        <v>254</v>
      </c>
      <c r="K234" s="140">
        <v>254</v>
      </c>
      <c r="L234" s="208"/>
      <c r="M234" s="208"/>
      <c r="N234" s="208"/>
      <c r="O234" s="208"/>
      <c r="P234" s="139">
        <f>IF(Table_Shelter[[#This Row],[Status]]="Open",IF(V234="NO",Table_Shelter[[#This Row],[HH per Shelter]]*(Table_Shelter[[#This Row],['# of Temporary Shelter Units Built]]+Table_Shelter[[#This Row],['# of Temporary Shelter Under  Construction]]+Table_Shelter[[#This Row],['# of Permanent House Under Construction]]),0),0)</f>
        <v>0</v>
      </c>
      <c r="Q234" s="139"/>
      <c r="R234" s="208"/>
      <c r="S234" s="208" t="str">
        <f>IFERROR(VLOOKUP(Table_Shelter[[#This Row],[CampName]],CL,2,0),"")</f>
        <v>MMR001CMP126</v>
      </c>
      <c r="T234" s="208" t="str">
        <f>IFERROR(VLOOKUP(Table_Shelter[[#This Row],[CampName]],CL,3,0),"")</f>
        <v>Open</v>
      </c>
      <c r="U234" s="323">
        <f>IFERROR(Table_Shelter[[#This Row],[HH Covered]]/VLOOKUP(Table_Shelter[[#This Row],[CampName]],CL,4,0),"")</f>
        <v>0</v>
      </c>
      <c r="V234" s="323" t="s">
        <v>1308</v>
      </c>
      <c r="W234" s="208"/>
    </row>
    <row r="235" spans="1:23" ht="15" customHeight="1" x14ac:dyDescent="0.25">
      <c r="A235" s="682">
        <v>41974</v>
      </c>
      <c r="B235" s="206" t="s">
        <v>454</v>
      </c>
      <c r="C235" s="206"/>
      <c r="D235" s="209" t="s">
        <v>380</v>
      </c>
      <c r="E235" s="406" t="s">
        <v>185</v>
      </c>
      <c r="F235" s="206" t="s">
        <v>219</v>
      </c>
      <c r="G235" s="138">
        <v>1</v>
      </c>
      <c r="H235" s="140"/>
      <c r="I235" s="140"/>
      <c r="J235" s="140">
        <v>394</v>
      </c>
      <c r="K235" s="140">
        <v>140</v>
      </c>
      <c r="L235" s="208"/>
      <c r="M235" s="208"/>
      <c r="N235" s="208"/>
      <c r="O235" s="208"/>
      <c r="P235" s="139">
        <f>IF(Table_Shelter[[#This Row],[Status]]="Open",IF(V235="NO",Table_Shelter[[#This Row],[HH per Shelter]]*(Table_Shelter[[#This Row],['# of Temporary Shelter Units Built]]+Table_Shelter[[#This Row],['# of Temporary Shelter Under  Construction]]+Table_Shelter[[#This Row],['# of Permanent House Under Construction]]),0),0)</f>
        <v>140</v>
      </c>
      <c r="Q235" s="139"/>
      <c r="R235" s="208"/>
      <c r="S235" s="208" t="str">
        <f>IFERROR(VLOOKUP(Table_Shelter[[#This Row],[CampName]],CL,2,0),"")</f>
        <v>MMR001CMP126</v>
      </c>
      <c r="T235" s="208" t="str">
        <f>IFERROR(VLOOKUP(Table_Shelter[[#This Row],[CampName]],CL,3,0),"")</f>
        <v>Open</v>
      </c>
      <c r="U235" s="323">
        <f>IFERROR(Table_Shelter[[#This Row],[HH Covered]]/VLOOKUP(Table_Shelter[[#This Row],[CampName]],CL,4,0),"")</f>
        <v>0.206794682422452</v>
      </c>
      <c r="V235" s="323" t="s">
        <v>1309</v>
      </c>
      <c r="W235" s="208"/>
    </row>
    <row r="236" spans="1:23" ht="15" customHeight="1" x14ac:dyDescent="0.25">
      <c r="A236" s="682"/>
      <c r="B236" s="206" t="s">
        <v>593</v>
      </c>
      <c r="C236" s="206" t="s">
        <v>573</v>
      </c>
      <c r="D236" s="209" t="s">
        <v>380</v>
      </c>
      <c r="E236" s="406" t="s">
        <v>185</v>
      </c>
      <c r="F236" s="206" t="s">
        <v>219</v>
      </c>
      <c r="G236" s="138">
        <v>1</v>
      </c>
      <c r="H236" s="140"/>
      <c r="I236" s="140"/>
      <c r="J236" s="140">
        <v>447</v>
      </c>
      <c r="K236" s="140">
        <v>447</v>
      </c>
      <c r="L236" s="208"/>
      <c r="M236" s="208"/>
      <c r="N236" s="208"/>
      <c r="O236" s="208"/>
      <c r="P236" s="139">
        <f>IF(Table_Shelter[[#This Row],[Status]]="Open",IF(V236="NO",Table_Shelter[[#This Row],[HH per Shelter]]*(Table_Shelter[[#This Row],['# of Temporary Shelter Units Built]]+Table_Shelter[[#This Row],['# of Temporary Shelter Under  Construction]]+Table_Shelter[[#This Row],['# of Permanent House Under Construction]]),0),0)</f>
        <v>447</v>
      </c>
      <c r="Q236" s="139"/>
      <c r="R236" s="208"/>
      <c r="S236" s="208" t="str">
        <f>IFERROR(VLOOKUP(Table_Shelter[[#This Row],[CampName]],CL,2,0),"")</f>
        <v>MMR001CMP126</v>
      </c>
      <c r="T236" s="208" t="str">
        <f>IFERROR(VLOOKUP(Table_Shelter[[#This Row],[CampName]],CL,3,0),"")</f>
        <v>Open</v>
      </c>
      <c r="U236" s="323">
        <f>IFERROR(Table_Shelter[[#This Row],[HH Covered]]/VLOOKUP(Table_Shelter[[#This Row],[CampName]],CL,4,0),"")</f>
        <v>0.66026587887740029</v>
      </c>
      <c r="V236" s="323" t="s">
        <v>1309</v>
      </c>
      <c r="W236" s="208"/>
    </row>
    <row r="237" spans="1:23" ht="15" customHeight="1" x14ac:dyDescent="0.25">
      <c r="A237" s="682"/>
      <c r="B237" s="206" t="s">
        <v>453</v>
      </c>
      <c r="C237" s="206" t="s">
        <v>460</v>
      </c>
      <c r="D237" s="209" t="s">
        <v>380</v>
      </c>
      <c r="E237" s="406" t="s">
        <v>185</v>
      </c>
      <c r="F237" s="206" t="s">
        <v>219</v>
      </c>
      <c r="G237" s="138">
        <v>1</v>
      </c>
      <c r="H237" s="140"/>
      <c r="I237" s="140"/>
      <c r="J237" s="140">
        <v>130</v>
      </c>
      <c r="K237" s="140">
        <v>130</v>
      </c>
      <c r="L237" s="208"/>
      <c r="M237" s="208"/>
      <c r="N237" s="208"/>
      <c r="O237" s="208"/>
      <c r="P237" s="139">
        <f>IF(Table_Shelter[[#This Row],[Status]]="Open",IF(V237="NO",Table_Shelter[[#This Row],[HH per Shelter]]*(Table_Shelter[[#This Row],['# of Temporary Shelter Units Built]]+Table_Shelter[[#This Row],['# of Temporary Shelter Under  Construction]]+Table_Shelter[[#This Row],['# of Permanent House Under Construction]]),0),0)</f>
        <v>130</v>
      </c>
      <c r="Q237" s="139"/>
      <c r="R237" s="208"/>
      <c r="S237" s="208" t="str">
        <f>IFERROR(VLOOKUP(Table_Shelter[[#This Row],[CampName]],CL,2,0),"")</f>
        <v>MMR001CMP126</v>
      </c>
      <c r="T237" s="208" t="str">
        <f>IFERROR(VLOOKUP(Table_Shelter[[#This Row],[CampName]],CL,3,0),"")</f>
        <v>Open</v>
      </c>
      <c r="U237" s="323">
        <f>IFERROR(Table_Shelter[[#This Row],[HH Covered]]/VLOOKUP(Table_Shelter[[#This Row],[CampName]],CL,4,0),"")</f>
        <v>0.19202363367799113</v>
      </c>
      <c r="V237" s="323" t="s">
        <v>1309</v>
      </c>
      <c r="W237" s="208"/>
    </row>
    <row r="238" spans="1:23" ht="15" customHeight="1" x14ac:dyDescent="0.25">
      <c r="A238" s="682">
        <v>41609</v>
      </c>
      <c r="B238" s="206" t="s">
        <v>453</v>
      </c>
      <c r="C238" s="206" t="s">
        <v>461</v>
      </c>
      <c r="D238" s="209" t="s">
        <v>380</v>
      </c>
      <c r="E238" s="406" t="s">
        <v>310</v>
      </c>
      <c r="F238" s="206" t="s">
        <v>1246</v>
      </c>
      <c r="G238" s="138">
        <v>1</v>
      </c>
      <c r="H238" s="140"/>
      <c r="I238" s="140"/>
      <c r="J238" s="140">
        <v>11</v>
      </c>
      <c r="K238" s="140">
        <v>11</v>
      </c>
      <c r="L238" s="208"/>
      <c r="M238" s="208"/>
      <c r="N238" s="208"/>
      <c r="O238" s="208"/>
      <c r="P238" s="139">
        <f>IF(Table_Shelter[[#This Row],[Status]]="Open",IF(V238="NO",Table_Shelter[[#This Row],[HH per Shelter]]*(Table_Shelter[[#This Row],['# of Temporary Shelter Units Built]]+Table_Shelter[[#This Row],['# of Temporary Shelter Under  Construction]]+Table_Shelter[[#This Row],['# of Permanent House Under Construction]]),0),0)</f>
        <v>11</v>
      </c>
      <c r="Q238" s="139"/>
      <c r="R238" s="139"/>
      <c r="S238" s="139" t="str">
        <f>IFERROR(VLOOKUP(Table_Shelter[[#This Row],[CampName]],CL,2,0),"")</f>
        <v>MMR001CMP120</v>
      </c>
      <c r="T238" s="139" t="str">
        <f>IFERROR(VLOOKUP(Table_Shelter[[#This Row],[CampName]],CL,3,0),"")</f>
        <v>Open</v>
      </c>
      <c r="U238" s="323">
        <f>IFERROR(Table_Shelter[[#This Row],[HH Covered]]/VLOOKUP(Table_Shelter[[#This Row],[CampName]],CL,4,0),"")</f>
        <v>6.2146892655367235E-2</v>
      </c>
      <c r="V238" s="323" t="s">
        <v>1309</v>
      </c>
      <c r="W238" s="139"/>
    </row>
    <row r="239" spans="1:23" ht="15" customHeight="1" x14ac:dyDescent="0.25">
      <c r="A239" s="689">
        <v>42569</v>
      </c>
      <c r="B239" s="668" t="s">
        <v>570</v>
      </c>
      <c r="C239" s="668" t="s">
        <v>461</v>
      </c>
      <c r="D239" s="669" t="s">
        <v>380</v>
      </c>
      <c r="E239" s="670" t="s">
        <v>310</v>
      </c>
      <c r="F239" s="668" t="s">
        <v>1246</v>
      </c>
      <c r="G239" s="671">
        <v>1</v>
      </c>
      <c r="H239" s="672"/>
      <c r="I239" s="672"/>
      <c r="J239" s="672"/>
      <c r="K239" s="672"/>
      <c r="L239" s="673"/>
      <c r="M239" s="673"/>
      <c r="N239" s="673"/>
      <c r="O239" s="673"/>
      <c r="P239" s="674">
        <f>IF(Table_Shelter[[#This Row],[Status]]="Open",IF(V239="NO",Table_Shelter[[#This Row],[HH per Shelter]]*(Table_Shelter[[#This Row],['# of Temporary Shelter Units Built]]+Table_Shelter[[#This Row],['# of Temporary Shelter Under  Construction]]+Table_Shelter[[#This Row],['# of Permanent House Under Construction]]),0),0)</f>
        <v>0</v>
      </c>
      <c r="Q239" s="674">
        <v>32</v>
      </c>
      <c r="R239" s="674">
        <v>32</v>
      </c>
      <c r="S239" s="674" t="str">
        <f>IFERROR(VLOOKUP(Table_Shelter[[#This Row],[CampName]],CL,2,0),"")</f>
        <v>MMR001CMP120</v>
      </c>
      <c r="T239" s="674" t="str">
        <f>IFERROR(VLOOKUP(Table_Shelter[[#This Row],[CampName]],CL,3,0),"")</f>
        <v>Open</v>
      </c>
      <c r="U239" s="675">
        <f>IFERROR(Table_Shelter[[#This Row],[HH Covered]]/VLOOKUP(Table_Shelter[[#This Row],[CampName]],CL,4,0),"")</f>
        <v>0</v>
      </c>
      <c r="V239" s="323" t="s">
        <v>1309</v>
      </c>
      <c r="W239" s="674"/>
    </row>
    <row r="240" spans="1:23" ht="15" customHeight="1" x14ac:dyDescent="0.25">
      <c r="A240" s="682"/>
      <c r="B240" s="206" t="s">
        <v>453</v>
      </c>
      <c r="C240" s="206" t="s">
        <v>461</v>
      </c>
      <c r="D240" s="209" t="s">
        <v>380</v>
      </c>
      <c r="E240" s="406" t="s">
        <v>310</v>
      </c>
      <c r="F240" s="206" t="s">
        <v>1246</v>
      </c>
      <c r="G240" s="138">
        <v>1</v>
      </c>
      <c r="H240" s="140"/>
      <c r="I240" s="140"/>
      <c r="J240" s="140">
        <v>24</v>
      </c>
      <c r="K240" s="140">
        <v>24</v>
      </c>
      <c r="L240" s="208"/>
      <c r="M240" s="208"/>
      <c r="N240" s="208"/>
      <c r="O240" s="208"/>
      <c r="P240" s="139">
        <f>IF(Table_Shelter[[#This Row],[Status]]="Open",IF(V240="NO",Table_Shelter[[#This Row],[HH per Shelter]]*(Table_Shelter[[#This Row],['# of Temporary Shelter Units Built]]+Table_Shelter[[#This Row],['# of Temporary Shelter Under  Construction]]+Table_Shelter[[#This Row],['# of Permanent House Under Construction]]),0),0)</f>
        <v>24</v>
      </c>
      <c r="Q240" s="139"/>
      <c r="R240" s="208"/>
      <c r="S240" s="208" t="str">
        <f>IFERROR(VLOOKUP(Table_Shelter[[#This Row],[CampName]],CL,2,0),"")</f>
        <v>MMR001CMP120</v>
      </c>
      <c r="T240" s="208" t="str">
        <f>IFERROR(VLOOKUP(Table_Shelter[[#This Row],[CampName]],CL,3,0),"")</f>
        <v>Open</v>
      </c>
      <c r="U240" s="323">
        <f>IFERROR(Table_Shelter[[#This Row],[HH Covered]]/VLOOKUP(Table_Shelter[[#This Row],[CampName]],CL,4,0),"")</f>
        <v>0.13559322033898305</v>
      </c>
      <c r="V240" s="323" t="s">
        <v>1309</v>
      </c>
      <c r="W240" s="208"/>
    </row>
    <row r="241" spans="1:23" ht="15" customHeight="1" x14ac:dyDescent="0.25">
      <c r="A241" s="682"/>
      <c r="B241" s="206" t="s">
        <v>453</v>
      </c>
      <c r="C241" s="206" t="s">
        <v>507</v>
      </c>
      <c r="D241" s="209" t="s">
        <v>380</v>
      </c>
      <c r="E241" s="406" t="s">
        <v>27</v>
      </c>
      <c r="F241" s="206" t="s">
        <v>865</v>
      </c>
      <c r="G241" s="138">
        <v>1</v>
      </c>
      <c r="H241" s="140"/>
      <c r="I241" s="140"/>
      <c r="J241" s="140"/>
      <c r="K241" s="140"/>
      <c r="L241" s="208"/>
      <c r="M241" s="208"/>
      <c r="N241" s="208"/>
      <c r="O241" s="208"/>
      <c r="P241" s="139">
        <f>IF(Table_Shelter[[#This Row],[Status]]="Open",IF(V241="NO",Table_Shelter[[#This Row],[HH per Shelter]]*(Table_Shelter[[#This Row],['# of Temporary Shelter Units Built]]+Table_Shelter[[#This Row],['# of Temporary Shelter Under  Construction]]+Table_Shelter[[#This Row],['# of Permanent House Under Construction]]),0),0)</f>
        <v>0</v>
      </c>
      <c r="Q241" s="139">
        <v>40</v>
      </c>
      <c r="R241" s="208"/>
      <c r="S241" s="208" t="str">
        <f>IFERROR(VLOOKUP(Table_Shelter[[#This Row],[CampName]],CL,2,0),"")</f>
        <v>MMR001CMP210</v>
      </c>
      <c r="T241" s="208" t="str">
        <f>IFERROR(VLOOKUP(Table_Shelter[[#This Row],[CampName]],CL,3,0),"")</f>
        <v>Open</v>
      </c>
      <c r="U241" s="323">
        <f>IFERROR(Table_Shelter[[#This Row],[HH Covered]]/VLOOKUP(Table_Shelter[[#This Row],[CampName]],CL,4,0),"")</f>
        <v>0</v>
      </c>
      <c r="V241" s="323" t="s">
        <v>1309</v>
      </c>
      <c r="W241" s="208"/>
    </row>
    <row r="242" spans="1:23" ht="15" customHeight="1" x14ac:dyDescent="0.25">
      <c r="A242" s="682">
        <v>41791</v>
      </c>
      <c r="B242" s="206" t="s">
        <v>453</v>
      </c>
      <c r="C242" s="206" t="s">
        <v>461</v>
      </c>
      <c r="D242" s="209" t="s">
        <v>380</v>
      </c>
      <c r="E242" s="406" t="s">
        <v>5</v>
      </c>
      <c r="F242" s="206" t="s">
        <v>366</v>
      </c>
      <c r="G242" s="138">
        <v>1</v>
      </c>
      <c r="H242" s="140"/>
      <c r="I242" s="140"/>
      <c r="J242" s="140">
        <v>10</v>
      </c>
      <c r="K242" s="140">
        <v>10</v>
      </c>
      <c r="L242" s="208"/>
      <c r="M242" s="208"/>
      <c r="N242" s="208"/>
      <c r="O242" s="208"/>
      <c r="P242" s="139">
        <f>IF(Table_Shelter[[#This Row],[Status]]="Open",IF(V242="NO",Table_Shelter[[#This Row],[HH per Shelter]]*(Table_Shelter[[#This Row],['# of Temporary Shelter Units Built]]+Table_Shelter[[#This Row],['# of Temporary Shelter Under  Construction]]+Table_Shelter[[#This Row],['# of Permanent House Under Construction]]),0),0)</f>
        <v>10</v>
      </c>
      <c r="Q242" s="139"/>
      <c r="R242" s="139"/>
      <c r="S242" s="139" t="str">
        <f>IFERROR(VLOOKUP(Table_Shelter[[#This Row],[CampName]],CL,2,0),"")</f>
        <v>MMR001CMP193</v>
      </c>
      <c r="T242" s="139" t="str">
        <f>IFERROR(VLOOKUP(Table_Shelter[[#This Row],[CampName]],CL,3,0),"")</f>
        <v>Open</v>
      </c>
      <c r="U242" s="323">
        <f>IFERROR(Table_Shelter[[#This Row],[HH Covered]]/VLOOKUP(Table_Shelter[[#This Row],[CampName]],CL,4,0),"")</f>
        <v>6.6666666666666666E-2</v>
      </c>
      <c r="V242" s="323" t="s">
        <v>1309</v>
      </c>
      <c r="W242" s="139"/>
    </row>
    <row r="243" spans="1:23" ht="15" customHeight="1" x14ac:dyDescent="0.25">
      <c r="A243" s="682">
        <v>41609</v>
      </c>
      <c r="B243" s="206" t="s">
        <v>453</v>
      </c>
      <c r="C243" s="206" t="s">
        <v>461</v>
      </c>
      <c r="D243" s="209" t="s">
        <v>380</v>
      </c>
      <c r="E243" s="406" t="s">
        <v>5</v>
      </c>
      <c r="F243" s="206" t="s">
        <v>366</v>
      </c>
      <c r="G243" s="138">
        <v>1</v>
      </c>
      <c r="H243" s="140"/>
      <c r="I243" s="140"/>
      <c r="J243" s="140">
        <v>50</v>
      </c>
      <c r="K243" s="140">
        <v>50</v>
      </c>
      <c r="L243" s="208"/>
      <c r="M243" s="208"/>
      <c r="N243" s="208"/>
      <c r="O243" s="208"/>
      <c r="P243" s="139">
        <f>IF(Table_Shelter[[#This Row],[Status]]="Open",IF(V243="NO",Table_Shelter[[#This Row],[HH per Shelter]]*(Table_Shelter[[#This Row],['# of Temporary Shelter Units Built]]+Table_Shelter[[#This Row],['# of Temporary Shelter Under  Construction]]+Table_Shelter[[#This Row],['# of Permanent House Under Construction]]),0),0)</f>
        <v>50</v>
      </c>
      <c r="Q243" s="139"/>
      <c r="R243" s="208"/>
      <c r="S243" s="208" t="str">
        <f>IFERROR(VLOOKUP(Table_Shelter[[#This Row],[CampName]],CL,2,0),"")</f>
        <v>MMR001CMP193</v>
      </c>
      <c r="T243" s="208" t="str">
        <f>IFERROR(VLOOKUP(Table_Shelter[[#This Row],[CampName]],CL,3,0),"")</f>
        <v>Open</v>
      </c>
      <c r="U243" s="323">
        <f>IFERROR(Table_Shelter[[#This Row],[HH Covered]]/VLOOKUP(Table_Shelter[[#This Row],[CampName]],CL,4,0),"")</f>
        <v>0.33333333333333331</v>
      </c>
      <c r="V243" s="323" t="s">
        <v>1309</v>
      </c>
      <c r="W243" s="208"/>
    </row>
    <row r="244" spans="1:23" ht="15" customHeight="1" x14ac:dyDescent="0.25">
      <c r="A244" s="682"/>
      <c r="B244" s="206" t="s">
        <v>847</v>
      </c>
      <c r="C244" s="206"/>
      <c r="D244" s="209" t="s">
        <v>380</v>
      </c>
      <c r="E244" s="406" t="s">
        <v>5</v>
      </c>
      <c r="F244" s="206" t="s">
        <v>366</v>
      </c>
      <c r="G244" s="138">
        <v>1</v>
      </c>
      <c r="H244" s="140"/>
      <c r="I244" s="140"/>
      <c r="J244" s="140">
        <v>36</v>
      </c>
      <c r="K244" s="140">
        <v>36</v>
      </c>
      <c r="L244" s="208"/>
      <c r="M244" s="208"/>
      <c r="N244" s="208"/>
      <c r="O244" s="208"/>
      <c r="P244" s="139">
        <f>IF(Table_Shelter[[#This Row],[Status]]="Open",IF(V244="NO",Table_Shelter[[#This Row],[HH per Shelter]]*(Table_Shelter[[#This Row],['# of Temporary Shelter Units Built]]+Table_Shelter[[#This Row],['# of Temporary Shelter Under  Construction]]+Table_Shelter[[#This Row],['# of Permanent House Under Construction]]),0),0)</f>
        <v>36</v>
      </c>
      <c r="Q244" s="139"/>
      <c r="R244" s="208"/>
      <c r="S244" s="208" t="str">
        <f>IFERROR(VLOOKUP(Table_Shelter[[#This Row],[CampName]],CL,2,0),"")</f>
        <v>MMR001CMP193</v>
      </c>
      <c r="T244" s="208" t="str">
        <f>IFERROR(VLOOKUP(Table_Shelter[[#This Row],[CampName]],CL,3,0),"")</f>
        <v>Open</v>
      </c>
      <c r="U244" s="323">
        <f>IFERROR(Table_Shelter[[#This Row],[HH Covered]]/VLOOKUP(Table_Shelter[[#This Row],[CampName]],CL,4,0),"")</f>
        <v>0.24</v>
      </c>
      <c r="V244" s="323" t="s">
        <v>1309</v>
      </c>
      <c r="W244" s="208"/>
    </row>
    <row r="245" spans="1:23" ht="15" customHeight="1" x14ac:dyDescent="0.25">
      <c r="A245" s="682"/>
      <c r="B245" s="206" t="s">
        <v>453</v>
      </c>
      <c r="C245" s="206"/>
      <c r="D245" s="209" t="s">
        <v>380</v>
      </c>
      <c r="E245" s="406" t="s">
        <v>5</v>
      </c>
      <c r="F245" s="206" t="s">
        <v>366</v>
      </c>
      <c r="G245" s="138">
        <v>1</v>
      </c>
      <c r="H245" s="140"/>
      <c r="I245" s="140"/>
      <c r="J245" s="140">
        <v>30</v>
      </c>
      <c r="K245" s="140">
        <v>30</v>
      </c>
      <c r="L245" s="208"/>
      <c r="M245" s="208"/>
      <c r="N245" s="208"/>
      <c r="O245" s="208"/>
      <c r="P245" s="139">
        <f>IF(Table_Shelter[[#This Row],[Status]]="Open",IF(V245="NO",Table_Shelter[[#This Row],[HH per Shelter]]*(Table_Shelter[[#This Row],['# of Temporary Shelter Units Built]]+Table_Shelter[[#This Row],['# of Temporary Shelter Under  Construction]]+Table_Shelter[[#This Row],['# of Permanent House Under Construction]]),0),0)</f>
        <v>30</v>
      </c>
      <c r="Q245" s="139"/>
      <c r="R245" s="208"/>
      <c r="S245" s="208" t="str">
        <f>IFERROR(VLOOKUP(Table_Shelter[[#This Row],[CampName]],CL,2,0),"")</f>
        <v>MMR001CMP193</v>
      </c>
      <c r="T245" s="208" t="str">
        <f>IFERROR(VLOOKUP(Table_Shelter[[#This Row],[CampName]],CL,3,0),"")</f>
        <v>Open</v>
      </c>
      <c r="U245" s="323">
        <f>IFERROR(Table_Shelter[[#This Row],[HH Covered]]/VLOOKUP(Table_Shelter[[#This Row],[CampName]],CL,4,0),"")</f>
        <v>0.2</v>
      </c>
      <c r="V245" s="323" t="s">
        <v>1309</v>
      </c>
      <c r="W245" s="208"/>
    </row>
    <row r="246" spans="1:23" ht="15" customHeight="1" x14ac:dyDescent="0.25">
      <c r="A246" s="682">
        <v>42500</v>
      </c>
      <c r="B246" s="206" t="s">
        <v>454</v>
      </c>
      <c r="C246" s="206" t="s">
        <v>507</v>
      </c>
      <c r="D246" s="213" t="s">
        <v>380</v>
      </c>
      <c r="E246" s="406" t="s">
        <v>310</v>
      </c>
      <c r="F246" s="206" t="s">
        <v>355</v>
      </c>
      <c r="G246" s="138">
        <v>1</v>
      </c>
      <c r="H246" s="140"/>
      <c r="I246" s="140"/>
      <c r="J246" s="140">
        <v>60</v>
      </c>
      <c r="K246" s="140">
        <v>65</v>
      </c>
      <c r="L246" s="208"/>
      <c r="M246" s="208"/>
      <c r="N246" s="208"/>
      <c r="O246" s="208"/>
      <c r="P246" s="139">
        <f>IF(Table_Shelter[[#This Row],[Status]]="Open",IF(V246="NO",Table_Shelter[[#This Row],[HH per Shelter]]*(Table_Shelter[[#This Row],['# of Temporary Shelter Units Built]]+Table_Shelter[[#This Row],['# of Temporary Shelter Under  Construction]]+Table_Shelter[[#This Row],['# of Permanent House Under Construction]]),0),0)</f>
        <v>65</v>
      </c>
      <c r="Q246" s="139"/>
      <c r="R246" s="139"/>
      <c r="S246" s="139" t="str">
        <f>IFERROR(VLOOKUP(Table_Shelter[[#This Row],[CampName]],CL,2,0),"")</f>
        <v>MMR001CMP160</v>
      </c>
      <c r="T246" s="139" t="str">
        <f>IFERROR(VLOOKUP(Table_Shelter[[#This Row],[CampName]],CL,3,0),"")</f>
        <v>Open</v>
      </c>
      <c r="U246" s="323">
        <f>IFERROR(Table_Shelter[[#This Row],[HH Covered]]/VLOOKUP(Table_Shelter[[#This Row],[CampName]],CL,4,0),"")</f>
        <v>0.66326530612244894</v>
      </c>
      <c r="V246" s="324" t="s">
        <v>1309</v>
      </c>
      <c r="W246" s="139"/>
    </row>
    <row r="247" spans="1:23" ht="15" customHeight="1" x14ac:dyDescent="0.25">
      <c r="A247" s="681">
        <v>42422</v>
      </c>
      <c r="B247" s="206" t="s">
        <v>454</v>
      </c>
      <c r="C247" s="206"/>
      <c r="D247" s="209" t="s">
        <v>380</v>
      </c>
      <c r="E247" s="406" t="s">
        <v>310</v>
      </c>
      <c r="F247" s="206" t="s">
        <v>355</v>
      </c>
      <c r="G247" s="138">
        <v>1</v>
      </c>
      <c r="H247" s="140"/>
      <c r="I247" s="140"/>
      <c r="J247" s="140">
        <v>66</v>
      </c>
      <c r="K247" s="140">
        <v>66</v>
      </c>
      <c r="L247" s="208"/>
      <c r="M247" s="208"/>
      <c r="N247" s="208"/>
      <c r="O247" s="208"/>
      <c r="P247" s="139">
        <f>IF(Table_Shelter[[#This Row],[Status]]="Open",IF(V247="NO",Table_Shelter[[#This Row],[HH per Shelter]]*(Table_Shelter[[#This Row],['# of Temporary Shelter Units Built]]+Table_Shelter[[#This Row],['# of Temporary Shelter Under  Construction]]+Table_Shelter[[#This Row],['# of Permanent House Under Construction]]),0),0)</f>
        <v>0</v>
      </c>
      <c r="Q247" s="139"/>
      <c r="R247" s="208"/>
      <c r="S247" s="208" t="str">
        <f>IFERROR(VLOOKUP(Table_Shelter[[#This Row],[CampName]],CL,2,0),"")</f>
        <v>MMR001CMP160</v>
      </c>
      <c r="T247" s="208" t="str">
        <f>IFERROR(VLOOKUP(Table_Shelter[[#This Row],[CampName]],CL,3,0),"")</f>
        <v>Open</v>
      </c>
      <c r="U247" s="323">
        <f>IFERROR(Table_Shelter[[#This Row],[HH Covered]]/VLOOKUP(Table_Shelter[[#This Row],[CampName]],CL,4,0),"")</f>
        <v>0</v>
      </c>
      <c r="V247" s="323" t="s">
        <v>1308</v>
      </c>
      <c r="W247" s="208"/>
    </row>
    <row r="248" spans="1:23" ht="15" customHeight="1" x14ac:dyDescent="0.25">
      <c r="A248" s="682"/>
      <c r="B248" s="206" t="s">
        <v>863</v>
      </c>
      <c r="C248" s="206"/>
      <c r="D248" s="209" t="s">
        <v>380</v>
      </c>
      <c r="E248" s="406" t="s">
        <v>310</v>
      </c>
      <c r="F248" s="206" t="s">
        <v>355</v>
      </c>
      <c r="G248" s="138">
        <v>1</v>
      </c>
      <c r="H248" s="140">
        <v>207</v>
      </c>
      <c r="I248" s="140">
        <v>207</v>
      </c>
      <c r="J248" s="140"/>
      <c r="K248" s="140"/>
      <c r="L248" s="208"/>
      <c r="M248" s="208"/>
      <c r="N248" s="208"/>
      <c r="O248" s="208"/>
      <c r="P248" s="139">
        <f>IF(Table_Shelter[[#This Row],[Status]]="Open",IF(V248="NO",Table_Shelter[[#This Row],[HH per Shelter]]*(Table_Shelter[[#This Row],['# of Temporary Shelter Units Built]]+Table_Shelter[[#This Row],['# of Temporary Shelter Under  Construction]]+Table_Shelter[[#This Row],['# of Permanent House Under Construction]]),0),0)</f>
        <v>0</v>
      </c>
      <c r="Q248" s="139"/>
      <c r="R248" s="208"/>
      <c r="S248" s="208" t="str">
        <f>IFERROR(VLOOKUP(Table_Shelter[[#This Row],[CampName]],CL,2,0),"")</f>
        <v>MMR001CMP160</v>
      </c>
      <c r="T248" s="208" t="str">
        <f>IFERROR(VLOOKUP(Table_Shelter[[#This Row],[CampName]],CL,3,0),"")</f>
        <v>Open</v>
      </c>
      <c r="U248" s="323">
        <f>IFERROR(Table_Shelter[[#This Row],[HH Covered]]/VLOOKUP(Table_Shelter[[#This Row],[CampName]],CL,4,0),"")</f>
        <v>0</v>
      </c>
      <c r="V248" s="323" t="s">
        <v>1309</v>
      </c>
      <c r="W248" s="208"/>
    </row>
    <row r="249" spans="1:23" ht="15" customHeight="1" x14ac:dyDescent="0.25">
      <c r="A249" s="682">
        <v>41974</v>
      </c>
      <c r="B249" s="206" t="s">
        <v>453</v>
      </c>
      <c r="C249" s="206" t="s">
        <v>506</v>
      </c>
      <c r="D249" s="209" t="s">
        <v>380</v>
      </c>
      <c r="E249" s="406" t="s">
        <v>310</v>
      </c>
      <c r="F249" s="206" t="s">
        <v>318</v>
      </c>
      <c r="G249" s="138">
        <v>1</v>
      </c>
      <c r="H249" s="140"/>
      <c r="I249" s="140"/>
      <c r="J249" s="140">
        <v>21</v>
      </c>
      <c r="K249" s="140">
        <v>21</v>
      </c>
      <c r="L249" s="208"/>
      <c r="M249" s="208"/>
      <c r="N249" s="208"/>
      <c r="O249" s="208"/>
      <c r="P249" s="139">
        <f>IF(Table_Shelter[[#This Row],[Status]]="Open",IF(V249="NO",Table_Shelter[[#This Row],[HH per Shelter]]*(Table_Shelter[[#This Row],['# of Temporary Shelter Units Built]]+Table_Shelter[[#This Row],['# of Temporary Shelter Under  Construction]]+Table_Shelter[[#This Row],['# of Permanent House Under Construction]]),0),0)</f>
        <v>21</v>
      </c>
      <c r="Q249" s="139"/>
      <c r="R249" s="139"/>
      <c r="S249" s="139" t="str">
        <f>IFERROR(VLOOKUP(Table_Shelter[[#This Row],[CampName]],CL,2,0),"")</f>
        <v>MMR001CMP032</v>
      </c>
      <c r="T249" s="139" t="str">
        <f>IFERROR(VLOOKUP(Table_Shelter[[#This Row],[CampName]],CL,3,0),"")</f>
        <v>Open</v>
      </c>
      <c r="U249" s="323">
        <f>IFERROR(Table_Shelter[[#This Row],[HH Covered]]/VLOOKUP(Table_Shelter[[#This Row],[CampName]],CL,4,0),"")</f>
        <v>0.23076923076923078</v>
      </c>
      <c r="V249" s="323" t="s">
        <v>1309</v>
      </c>
      <c r="W249" s="139"/>
    </row>
    <row r="250" spans="1:23" ht="15" customHeight="1" x14ac:dyDescent="0.25">
      <c r="A250" s="682">
        <v>41609</v>
      </c>
      <c r="B250" s="206" t="s">
        <v>453</v>
      </c>
      <c r="C250" s="206" t="s">
        <v>506</v>
      </c>
      <c r="D250" s="209" t="s">
        <v>380</v>
      </c>
      <c r="E250" s="406" t="s">
        <v>310</v>
      </c>
      <c r="F250" s="206" t="s">
        <v>318</v>
      </c>
      <c r="G250" s="138">
        <v>1</v>
      </c>
      <c r="H250" s="140"/>
      <c r="I250" s="140"/>
      <c r="J250" s="140">
        <v>10</v>
      </c>
      <c r="K250" s="140">
        <v>10</v>
      </c>
      <c r="L250" s="208"/>
      <c r="M250" s="208"/>
      <c r="N250" s="208"/>
      <c r="O250" s="208"/>
      <c r="P250" s="139">
        <f>IF(Table_Shelter[[#This Row],[Status]]="Open",IF(V250="NO",Table_Shelter[[#This Row],[HH per Shelter]]*(Table_Shelter[[#This Row],['# of Temporary Shelter Units Built]]+Table_Shelter[[#This Row],['# of Temporary Shelter Under  Construction]]+Table_Shelter[[#This Row],['# of Permanent House Under Construction]]),0),0)</f>
        <v>10</v>
      </c>
      <c r="Q250" s="139"/>
      <c r="R250" s="139"/>
      <c r="S250" s="139" t="str">
        <f>IFERROR(VLOOKUP(Table_Shelter[[#This Row],[CampName]],CL,2,0),"")</f>
        <v>MMR001CMP032</v>
      </c>
      <c r="T250" s="139" t="str">
        <f>IFERROR(VLOOKUP(Table_Shelter[[#This Row],[CampName]],CL,3,0),"")</f>
        <v>Open</v>
      </c>
      <c r="U250" s="323">
        <f>IFERROR(Table_Shelter[[#This Row],[HH Covered]]/VLOOKUP(Table_Shelter[[#This Row],[CampName]],CL,4,0),"")</f>
        <v>0.10989010989010989</v>
      </c>
      <c r="V250" s="323" t="s">
        <v>1309</v>
      </c>
      <c r="W250" s="139"/>
    </row>
    <row r="251" spans="1:23" ht="15" customHeight="1" x14ac:dyDescent="0.25">
      <c r="A251" s="682"/>
      <c r="B251" s="206" t="s">
        <v>453</v>
      </c>
      <c r="C251" s="206" t="s">
        <v>506</v>
      </c>
      <c r="D251" s="209" t="s">
        <v>380</v>
      </c>
      <c r="E251" s="406" t="s">
        <v>310</v>
      </c>
      <c r="F251" s="206" t="s">
        <v>318</v>
      </c>
      <c r="G251" s="138">
        <v>1</v>
      </c>
      <c r="H251" s="140"/>
      <c r="I251" s="140"/>
      <c r="J251" s="140">
        <v>45</v>
      </c>
      <c r="K251" s="140">
        <v>45</v>
      </c>
      <c r="L251" s="208"/>
      <c r="M251" s="208"/>
      <c r="N251" s="208"/>
      <c r="O251" s="208"/>
      <c r="P251" s="139">
        <f>IF(Table_Shelter[[#This Row],[Status]]="Open",IF(V251="NO",Table_Shelter[[#This Row],[HH per Shelter]]*(Table_Shelter[[#This Row],['# of Temporary Shelter Units Built]]+Table_Shelter[[#This Row],['# of Temporary Shelter Under  Construction]]+Table_Shelter[[#This Row],['# of Permanent House Under Construction]]),0),0)</f>
        <v>45</v>
      </c>
      <c r="Q251" s="139">
        <v>10</v>
      </c>
      <c r="R251" s="208"/>
      <c r="S251" s="208" t="str">
        <f>IFERROR(VLOOKUP(Table_Shelter[[#This Row],[CampName]],CL,2,0),"")</f>
        <v>MMR001CMP032</v>
      </c>
      <c r="T251" s="208" t="str">
        <f>IFERROR(VLOOKUP(Table_Shelter[[#This Row],[CampName]],CL,3,0),"")</f>
        <v>Open</v>
      </c>
      <c r="U251" s="323">
        <f>IFERROR(Table_Shelter[[#This Row],[HH Covered]]/VLOOKUP(Table_Shelter[[#This Row],[CampName]],CL,4,0),"")</f>
        <v>0.49450549450549453</v>
      </c>
      <c r="V251" s="323" t="s">
        <v>1309</v>
      </c>
      <c r="W251" s="208"/>
    </row>
    <row r="252" spans="1:23" ht="15" customHeight="1" x14ac:dyDescent="0.25">
      <c r="A252" s="682"/>
      <c r="B252" s="206" t="s">
        <v>453</v>
      </c>
      <c r="C252" s="206"/>
      <c r="D252" s="209" t="s">
        <v>380</v>
      </c>
      <c r="E252" s="406" t="s">
        <v>310</v>
      </c>
      <c r="F252" s="206" t="s">
        <v>318</v>
      </c>
      <c r="G252" s="138">
        <v>1</v>
      </c>
      <c r="H252" s="140"/>
      <c r="I252" s="140"/>
      <c r="J252" s="140">
        <v>5</v>
      </c>
      <c r="K252" s="140">
        <v>5</v>
      </c>
      <c r="L252" s="208"/>
      <c r="M252" s="208"/>
      <c r="N252" s="208"/>
      <c r="O252" s="208"/>
      <c r="P252" s="139">
        <f>IF(Table_Shelter[[#This Row],[Status]]="Open",IF(V252="NO",Table_Shelter[[#This Row],[HH per Shelter]]*(Table_Shelter[[#This Row],['# of Temporary Shelter Units Built]]+Table_Shelter[[#This Row],['# of Temporary Shelter Under  Construction]]+Table_Shelter[[#This Row],['# of Permanent House Under Construction]]),0),0)</f>
        <v>5</v>
      </c>
      <c r="Q252" s="139"/>
      <c r="R252" s="208"/>
      <c r="S252" s="208" t="str">
        <f>IFERROR(VLOOKUP(Table_Shelter[[#This Row],[CampName]],CL,2,0),"")</f>
        <v>MMR001CMP032</v>
      </c>
      <c r="T252" s="208" t="str">
        <f>IFERROR(VLOOKUP(Table_Shelter[[#This Row],[CampName]],CL,3,0),"")</f>
        <v>Open</v>
      </c>
      <c r="U252" s="323">
        <f>IFERROR(Table_Shelter[[#This Row],[HH Covered]]/VLOOKUP(Table_Shelter[[#This Row],[CampName]],CL,4,0),"")</f>
        <v>5.4945054945054944E-2</v>
      </c>
      <c r="V252" s="323" t="s">
        <v>1309</v>
      </c>
      <c r="W252" s="208"/>
    </row>
    <row r="253" spans="1:23" ht="15" customHeight="1" x14ac:dyDescent="0.25">
      <c r="A253" s="682"/>
      <c r="B253" s="206" t="s">
        <v>570</v>
      </c>
      <c r="C253" s="206"/>
      <c r="D253" s="209" t="s">
        <v>380</v>
      </c>
      <c r="E253" s="406" t="s">
        <v>310</v>
      </c>
      <c r="F253" s="206" t="s">
        <v>318</v>
      </c>
      <c r="G253" s="138">
        <v>1</v>
      </c>
      <c r="H253" s="140"/>
      <c r="I253" s="140"/>
      <c r="J253" s="140">
        <v>10</v>
      </c>
      <c r="K253" s="140">
        <v>10</v>
      </c>
      <c r="L253" s="208"/>
      <c r="M253" s="208"/>
      <c r="N253" s="208"/>
      <c r="O253" s="208"/>
      <c r="P253" s="139">
        <f>IF(Table_Shelter[[#This Row],[Status]]="Open",IF(V253="NO",Table_Shelter[[#This Row],[HH per Shelter]]*(Table_Shelter[[#This Row],['# of Temporary Shelter Units Built]]+Table_Shelter[[#This Row],['# of Temporary Shelter Under  Construction]]+Table_Shelter[[#This Row],['# of Permanent House Under Construction]]),0),0)</f>
        <v>10</v>
      </c>
      <c r="Q253" s="139"/>
      <c r="R253" s="208"/>
      <c r="S253" s="208" t="str">
        <f>IFERROR(VLOOKUP(Table_Shelter[[#This Row],[CampName]],CL,2,0),"")</f>
        <v>MMR001CMP032</v>
      </c>
      <c r="T253" s="208" t="str">
        <f>IFERROR(VLOOKUP(Table_Shelter[[#This Row],[CampName]],CL,3,0),"")</f>
        <v>Open</v>
      </c>
      <c r="U253" s="323">
        <f>IFERROR(Table_Shelter[[#This Row],[HH Covered]]/VLOOKUP(Table_Shelter[[#This Row],[CampName]],CL,4,0),"")</f>
        <v>0.10989010989010989</v>
      </c>
      <c r="V253" s="323" t="s">
        <v>1309</v>
      </c>
      <c r="W253" s="208"/>
    </row>
    <row r="254" spans="1:23" ht="15" customHeight="1" x14ac:dyDescent="0.25">
      <c r="A254" s="682"/>
      <c r="B254" s="206" t="s">
        <v>453</v>
      </c>
      <c r="C254" s="206" t="s">
        <v>506</v>
      </c>
      <c r="D254" s="213" t="s">
        <v>380</v>
      </c>
      <c r="E254" s="406" t="s">
        <v>310</v>
      </c>
      <c r="F254" s="206" t="s">
        <v>318</v>
      </c>
      <c r="G254" s="138">
        <v>1</v>
      </c>
      <c r="H254" s="140"/>
      <c r="I254" s="140"/>
      <c r="J254" s="140">
        <v>5</v>
      </c>
      <c r="K254" s="140">
        <v>5</v>
      </c>
      <c r="L254" s="208"/>
      <c r="M254" s="208"/>
      <c r="N254" s="208"/>
      <c r="O254" s="208"/>
      <c r="P254" s="139">
        <f>IF(Table_Shelter[[#This Row],[Status]]="Open",IF(V254="NO",Table_Shelter[[#This Row],[HH per Shelter]]*(Table_Shelter[[#This Row],['# of Temporary Shelter Units Built]]+Table_Shelter[[#This Row],['# of Temporary Shelter Under  Construction]]+Table_Shelter[[#This Row],['# of Permanent House Under Construction]]),0),0)</f>
        <v>5</v>
      </c>
      <c r="Q254" s="139"/>
      <c r="R254" s="139"/>
      <c r="S254" s="139" t="str">
        <f>IFERROR(VLOOKUP(Table_Shelter[[#This Row],[CampName]],CL,2,0),"")</f>
        <v>MMR001CMP032</v>
      </c>
      <c r="T254" s="139" t="str">
        <f>IFERROR(VLOOKUP(Table_Shelter[[#This Row],[CampName]],CL,3,0),"")</f>
        <v>Open</v>
      </c>
      <c r="U254" s="323">
        <f>IFERROR(Table_Shelter[[#This Row],[HH Covered]]/VLOOKUP(Table_Shelter[[#This Row],[CampName]],CL,4,0),"")</f>
        <v>5.4945054945054944E-2</v>
      </c>
      <c r="V254" s="323" t="s">
        <v>1309</v>
      </c>
      <c r="W254" s="139"/>
    </row>
    <row r="255" spans="1:23" ht="15" customHeight="1" x14ac:dyDescent="0.25">
      <c r="A255" s="685">
        <v>42502</v>
      </c>
      <c r="B255" s="559" t="s">
        <v>453</v>
      </c>
      <c r="C255" s="560" t="s">
        <v>461</v>
      </c>
      <c r="D255" s="561" t="s">
        <v>380</v>
      </c>
      <c r="E255" s="406" t="s">
        <v>310</v>
      </c>
      <c r="F255" s="559" t="s">
        <v>342</v>
      </c>
      <c r="G255" s="559">
        <v>1</v>
      </c>
      <c r="H255" s="560"/>
      <c r="I255" s="560"/>
      <c r="J255" s="560"/>
      <c r="K255" s="560"/>
      <c r="L255" s="560"/>
      <c r="M255" s="560"/>
      <c r="N255" s="560"/>
      <c r="O255" s="560"/>
      <c r="P255" s="562">
        <f>IF(Table_Shelter[[#This Row],[Status]]="Open",IF(V255="NO",Table_Shelter[[#This Row],[HH per Shelter]]*(Table_Shelter[[#This Row],['# of Temporary Shelter Units Built]]+Table_Shelter[[#This Row],['# of Temporary Shelter Under  Construction]]+Table_Shelter[[#This Row],['# of Permanent House Under Construction]]),0),0)</f>
        <v>0</v>
      </c>
      <c r="Q255" s="562">
        <v>20</v>
      </c>
      <c r="R255" s="562"/>
      <c r="S255" s="563" t="str">
        <f>IFERROR(VLOOKUP(Table_Shelter[[#This Row],[CampName]],CL,2,0),"")</f>
        <v>MMR001CMP025</v>
      </c>
      <c r="T255" s="564" t="str">
        <f>IFERROR(VLOOKUP(Table_Shelter[[#This Row],[CampName]],CL,3,0),"")</f>
        <v>Open</v>
      </c>
      <c r="U255" s="565">
        <f>IFERROR(Table_Shelter[[#This Row],[HH Covered]]/VLOOKUP(Table_Shelter[[#This Row],[CampName]],CL,4,0),"")</f>
        <v>0</v>
      </c>
      <c r="V255" s="324" t="s">
        <v>1309</v>
      </c>
      <c r="W255" s="562"/>
    </row>
    <row r="256" spans="1:23" ht="15" customHeight="1" x14ac:dyDescent="0.25">
      <c r="A256" s="682"/>
      <c r="B256" s="206" t="s">
        <v>848</v>
      </c>
      <c r="C256" s="206" t="s">
        <v>461</v>
      </c>
      <c r="D256" s="209" t="s">
        <v>380</v>
      </c>
      <c r="E256" s="406" t="s">
        <v>310</v>
      </c>
      <c r="F256" s="206" t="s">
        <v>342</v>
      </c>
      <c r="G256" s="138">
        <v>1</v>
      </c>
      <c r="H256" s="140"/>
      <c r="I256" s="140"/>
      <c r="J256" s="140">
        <v>8</v>
      </c>
      <c r="K256" s="140">
        <v>8</v>
      </c>
      <c r="L256" s="208"/>
      <c r="M256" s="208"/>
      <c r="N256" s="208"/>
      <c r="O256" s="208"/>
      <c r="P256" s="139">
        <f>IF(Table_Shelter[[#This Row],[Status]]="Open",IF(V256="NO",Table_Shelter[[#This Row],[HH per Shelter]]*(Table_Shelter[[#This Row],['# of Temporary Shelter Units Built]]+Table_Shelter[[#This Row],['# of Temporary Shelter Under  Construction]]+Table_Shelter[[#This Row],['# of Permanent House Under Construction]]),0),0)</f>
        <v>8</v>
      </c>
      <c r="Q256" s="139"/>
      <c r="R256" s="208"/>
      <c r="S256" s="208" t="str">
        <f>IFERROR(VLOOKUP(Table_Shelter[[#This Row],[CampName]],CL,2,0),"")</f>
        <v>MMR001CMP025</v>
      </c>
      <c r="T256" s="208" t="str">
        <f>IFERROR(VLOOKUP(Table_Shelter[[#This Row],[CampName]],CL,3,0),"")</f>
        <v>Open</v>
      </c>
      <c r="U256" s="323">
        <f>IFERROR(Table_Shelter[[#This Row],[HH Covered]]/VLOOKUP(Table_Shelter[[#This Row],[CampName]],CL,4,0),"")</f>
        <v>0.12307692307692308</v>
      </c>
      <c r="V256" s="323" t="s">
        <v>1309</v>
      </c>
      <c r="W256" s="208"/>
    </row>
    <row r="257" spans="1:23" ht="15" customHeight="1" x14ac:dyDescent="0.25">
      <c r="A257" s="682"/>
      <c r="B257" s="206" t="s">
        <v>453</v>
      </c>
      <c r="C257" s="206" t="s">
        <v>461</v>
      </c>
      <c r="D257" s="209" t="s">
        <v>380</v>
      </c>
      <c r="E257" s="406" t="s">
        <v>310</v>
      </c>
      <c r="F257" s="206" t="s">
        <v>342</v>
      </c>
      <c r="G257" s="138">
        <v>1</v>
      </c>
      <c r="H257" s="140"/>
      <c r="I257" s="140"/>
      <c r="J257" s="140">
        <v>10</v>
      </c>
      <c r="K257" s="140">
        <v>10</v>
      </c>
      <c r="L257" s="208"/>
      <c r="M257" s="208"/>
      <c r="N257" s="208"/>
      <c r="O257" s="208"/>
      <c r="P257" s="139">
        <f>IF(Table_Shelter[[#This Row],[Status]]="Open",IF(V257="NO",Table_Shelter[[#This Row],[HH per Shelter]]*(Table_Shelter[[#This Row],['# of Temporary Shelter Units Built]]+Table_Shelter[[#This Row],['# of Temporary Shelter Under  Construction]]+Table_Shelter[[#This Row],['# of Permanent House Under Construction]]),0),0)</f>
        <v>10</v>
      </c>
      <c r="Q257" s="139"/>
      <c r="R257" s="208"/>
      <c r="S257" s="208" t="str">
        <f>IFERROR(VLOOKUP(Table_Shelter[[#This Row],[CampName]],CL,2,0),"")</f>
        <v>MMR001CMP025</v>
      </c>
      <c r="T257" s="208" t="str">
        <f>IFERROR(VLOOKUP(Table_Shelter[[#This Row],[CampName]],CL,3,0),"")</f>
        <v>Open</v>
      </c>
      <c r="U257" s="323">
        <f>IFERROR(Table_Shelter[[#This Row],[HH Covered]]/VLOOKUP(Table_Shelter[[#This Row],[CampName]],CL,4,0),"")</f>
        <v>0.15384615384615385</v>
      </c>
      <c r="V257" s="323" t="s">
        <v>1309</v>
      </c>
      <c r="W257" s="208"/>
    </row>
    <row r="258" spans="1:23" ht="15" customHeight="1" x14ac:dyDescent="0.25">
      <c r="A258" s="682"/>
      <c r="B258" s="206" t="s">
        <v>453</v>
      </c>
      <c r="C258" s="206"/>
      <c r="D258" s="209" t="s">
        <v>380</v>
      </c>
      <c r="E258" s="406" t="s">
        <v>310</v>
      </c>
      <c r="F258" s="206" t="s">
        <v>342</v>
      </c>
      <c r="G258" s="138">
        <v>1</v>
      </c>
      <c r="H258" s="140"/>
      <c r="I258" s="140"/>
      <c r="J258" s="140">
        <v>20</v>
      </c>
      <c r="K258" s="140">
        <v>20</v>
      </c>
      <c r="L258" s="208"/>
      <c r="M258" s="208"/>
      <c r="N258" s="208"/>
      <c r="O258" s="208"/>
      <c r="P258" s="139">
        <f>IF(Table_Shelter[[#This Row],[Status]]="Open",IF(V258="NO",Table_Shelter[[#This Row],[HH per Shelter]]*(Table_Shelter[[#This Row],['# of Temporary Shelter Units Built]]+Table_Shelter[[#This Row],['# of Temporary Shelter Under  Construction]]+Table_Shelter[[#This Row],['# of Permanent House Under Construction]]),0),0)</f>
        <v>20</v>
      </c>
      <c r="Q258" s="139"/>
      <c r="R258" s="208"/>
      <c r="S258" s="208" t="str">
        <f>IFERROR(VLOOKUP(Table_Shelter[[#This Row],[CampName]],CL,2,0),"")</f>
        <v>MMR001CMP025</v>
      </c>
      <c r="T258" s="208" t="str">
        <f>IFERROR(VLOOKUP(Table_Shelter[[#This Row],[CampName]],CL,3,0),"")</f>
        <v>Open</v>
      </c>
      <c r="U258" s="323">
        <f>IFERROR(Table_Shelter[[#This Row],[HH Covered]]/VLOOKUP(Table_Shelter[[#This Row],[CampName]],CL,4,0),"")</f>
        <v>0.30769230769230771</v>
      </c>
      <c r="V258" s="323" t="s">
        <v>1309</v>
      </c>
      <c r="W258" s="208"/>
    </row>
    <row r="259" spans="1:23" ht="15" customHeight="1" x14ac:dyDescent="0.25">
      <c r="A259" s="682">
        <v>41791</v>
      </c>
      <c r="B259" s="138" t="s">
        <v>453</v>
      </c>
      <c r="C259" s="138" t="s">
        <v>506</v>
      </c>
      <c r="D259" s="213" t="s">
        <v>380</v>
      </c>
      <c r="E259" s="214" t="s">
        <v>310</v>
      </c>
      <c r="F259" s="138" t="s">
        <v>338</v>
      </c>
      <c r="G259" s="138">
        <v>1</v>
      </c>
      <c r="H259" s="140"/>
      <c r="I259" s="140"/>
      <c r="J259" s="140">
        <v>3</v>
      </c>
      <c r="K259" s="140">
        <v>3</v>
      </c>
      <c r="L259" s="140"/>
      <c r="M259" s="140"/>
      <c r="N259" s="140"/>
      <c r="O259" s="140"/>
      <c r="P259" s="139">
        <f>IF(Table_Shelter[[#This Row],[Status]]="Open",IF(V259="NO",Table_Shelter[[#This Row],[HH per Shelter]]*(Table_Shelter[[#This Row],['# of Temporary Shelter Units Built]]+Table_Shelter[[#This Row],['# of Temporary Shelter Under  Construction]]+Table_Shelter[[#This Row],['# of Permanent House Under Construction]]),0),0)</f>
        <v>3</v>
      </c>
      <c r="Q259" s="139"/>
      <c r="R259" s="139"/>
      <c r="S259" s="139" t="str">
        <f>IFERROR(VLOOKUP(Table_Shelter[[#This Row],[CampName]],CL,2,0),"")</f>
        <v>MMR001CMP030</v>
      </c>
      <c r="T259" s="139" t="str">
        <f>IFERROR(VLOOKUP(Table_Shelter[[#This Row],[CampName]],CL,3,0),"")</f>
        <v>Open</v>
      </c>
      <c r="U259" s="324">
        <f>IFERROR(Table_Shelter[[#This Row],[HH Covered]]/VLOOKUP(Table_Shelter[[#This Row],[CampName]],CL,4,0),"")</f>
        <v>9.6774193548387094E-2</v>
      </c>
      <c r="V259" s="323" t="s">
        <v>1309</v>
      </c>
      <c r="W259" s="139"/>
    </row>
    <row r="260" spans="1:23" ht="15" customHeight="1" x14ac:dyDescent="0.25">
      <c r="A260" s="682">
        <v>41609</v>
      </c>
      <c r="B260" s="206" t="s">
        <v>453</v>
      </c>
      <c r="C260" s="206" t="s">
        <v>506</v>
      </c>
      <c r="D260" s="209" t="s">
        <v>380</v>
      </c>
      <c r="E260" s="406" t="s">
        <v>310</v>
      </c>
      <c r="F260" s="206" t="s">
        <v>338</v>
      </c>
      <c r="G260" s="138">
        <v>1</v>
      </c>
      <c r="H260" s="140"/>
      <c r="I260" s="140"/>
      <c r="J260" s="140">
        <v>10</v>
      </c>
      <c r="K260" s="140">
        <v>10</v>
      </c>
      <c r="L260" s="208"/>
      <c r="M260" s="208"/>
      <c r="N260" s="208"/>
      <c r="O260" s="208"/>
      <c r="P260" s="139">
        <f>IF(Table_Shelter[[#This Row],[Status]]="Open",IF(V260="NO",Table_Shelter[[#This Row],[HH per Shelter]]*(Table_Shelter[[#This Row],['# of Temporary Shelter Units Built]]+Table_Shelter[[#This Row],['# of Temporary Shelter Under  Construction]]+Table_Shelter[[#This Row],['# of Permanent House Under Construction]]),0),0)</f>
        <v>10</v>
      </c>
      <c r="Q260" s="139"/>
      <c r="R260" s="139"/>
      <c r="S260" s="139" t="str">
        <f>IFERROR(VLOOKUP(Table_Shelter[[#This Row],[CampName]],CL,2,0),"")</f>
        <v>MMR001CMP030</v>
      </c>
      <c r="T260" s="139" t="str">
        <f>IFERROR(VLOOKUP(Table_Shelter[[#This Row],[CampName]],CL,3,0),"")</f>
        <v>Open</v>
      </c>
      <c r="U260" s="323">
        <f>IFERROR(Table_Shelter[[#This Row],[HH Covered]]/VLOOKUP(Table_Shelter[[#This Row],[CampName]],CL,4,0),"")</f>
        <v>0.32258064516129031</v>
      </c>
      <c r="V260" s="323" t="s">
        <v>1309</v>
      </c>
      <c r="W260" s="139"/>
    </row>
    <row r="261" spans="1:23" x14ac:dyDescent="0.25">
      <c r="A261" s="682"/>
      <c r="B261" s="206" t="s">
        <v>453</v>
      </c>
      <c r="C261" s="206" t="s">
        <v>506</v>
      </c>
      <c r="D261" s="209" t="s">
        <v>380</v>
      </c>
      <c r="E261" s="406" t="s">
        <v>310</v>
      </c>
      <c r="F261" s="206" t="s">
        <v>338</v>
      </c>
      <c r="G261" s="138">
        <v>1</v>
      </c>
      <c r="H261" s="140"/>
      <c r="I261" s="140"/>
      <c r="J261" s="140">
        <v>23</v>
      </c>
      <c r="K261" s="140">
        <v>23</v>
      </c>
      <c r="L261" s="208"/>
      <c r="M261" s="208"/>
      <c r="N261" s="208"/>
      <c r="O261" s="208"/>
      <c r="P261" s="139">
        <f>IF(Table_Shelter[[#This Row],[Status]]="Open",IF(V261="NO",Table_Shelter[[#This Row],[HH per Shelter]]*(Table_Shelter[[#This Row],['# of Temporary Shelter Units Built]]+Table_Shelter[[#This Row],['# of Temporary Shelter Under  Construction]]+Table_Shelter[[#This Row],['# of Permanent House Under Construction]]),0),0)</f>
        <v>23</v>
      </c>
      <c r="Q261" s="139"/>
      <c r="R261" s="208"/>
      <c r="S261" s="208" t="str">
        <f>IFERROR(VLOOKUP(Table_Shelter[[#This Row],[CampName]],CL,2,0),"")</f>
        <v>MMR001CMP030</v>
      </c>
      <c r="T261" s="208" t="str">
        <f>IFERROR(VLOOKUP(Table_Shelter[[#This Row],[CampName]],CL,3,0),"")</f>
        <v>Open</v>
      </c>
      <c r="U261" s="323">
        <f>IFERROR(Table_Shelter[[#This Row],[HH Covered]]/VLOOKUP(Table_Shelter[[#This Row],[CampName]],CL,4,0),"")</f>
        <v>0.74193548387096775</v>
      </c>
      <c r="V261" s="323" t="s">
        <v>1309</v>
      </c>
      <c r="W261" s="208"/>
    </row>
    <row r="262" spans="1:23" ht="15" customHeight="1" x14ac:dyDescent="0.25">
      <c r="A262" s="682"/>
      <c r="B262" s="138" t="s">
        <v>453</v>
      </c>
      <c r="C262" s="138" t="s">
        <v>506</v>
      </c>
      <c r="D262" s="213" t="s">
        <v>380</v>
      </c>
      <c r="E262" s="214" t="s">
        <v>310</v>
      </c>
      <c r="F262" s="138" t="s">
        <v>338</v>
      </c>
      <c r="G262" s="138">
        <v>1</v>
      </c>
      <c r="H262" s="140"/>
      <c r="I262" s="140"/>
      <c r="J262" s="140">
        <v>3</v>
      </c>
      <c r="K262" s="140">
        <v>3</v>
      </c>
      <c r="L262" s="140"/>
      <c r="M262" s="140"/>
      <c r="N262" s="140"/>
      <c r="O262" s="140"/>
      <c r="P262" s="139">
        <f>IF(Table_Shelter[[#This Row],[Status]]="Open",IF(V262="NO",Table_Shelter[[#This Row],[HH per Shelter]]*(Table_Shelter[[#This Row],['# of Temporary Shelter Units Built]]+Table_Shelter[[#This Row],['# of Temporary Shelter Under  Construction]]+Table_Shelter[[#This Row],['# of Permanent House Under Construction]]),0),0)</f>
        <v>3</v>
      </c>
      <c r="Q262" s="139"/>
      <c r="R262" s="139"/>
      <c r="S262" s="139" t="str">
        <f>IFERROR(VLOOKUP(Table_Shelter[[#This Row],[CampName]],CL,2,0),"")</f>
        <v>MMR001CMP030</v>
      </c>
      <c r="T262" s="139" t="str">
        <f>IFERROR(VLOOKUP(Table_Shelter[[#This Row],[CampName]],CL,3,0),"")</f>
        <v>Open</v>
      </c>
      <c r="U262" s="324">
        <f>IFERROR(Table_Shelter[[#This Row],[HH Covered]]/VLOOKUP(Table_Shelter[[#This Row],[CampName]],CL,4,0),"")</f>
        <v>9.6774193548387094E-2</v>
      </c>
      <c r="V262" s="323" t="s">
        <v>1309</v>
      </c>
      <c r="W262" s="139"/>
    </row>
    <row r="263" spans="1:23" ht="15" customHeight="1" x14ac:dyDescent="0.25">
      <c r="A263" s="682"/>
      <c r="B263" s="206" t="s">
        <v>453</v>
      </c>
      <c r="C263" s="206" t="s">
        <v>506</v>
      </c>
      <c r="D263" s="209" t="s">
        <v>380</v>
      </c>
      <c r="E263" s="406" t="s">
        <v>310</v>
      </c>
      <c r="F263" s="206" t="s">
        <v>351</v>
      </c>
      <c r="G263" s="138">
        <v>1</v>
      </c>
      <c r="H263" s="140"/>
      <c r="I263" s="140"/>
      <c r="J263" s="140">
        <v>100</v>
      </c>
      <c r="K263" s="140">
        <v>100</v>
      </c>
      <c r="L263" s="208"/>
      <c r="M263" s="208"/>
      <c r="N263" s="208"/>
      <c r="O263" s="208"/>
      <c r="P263" s="139">
        <f>IF(Table_Shelter[[#This Row],[Status]]="Open",IF(V263="NO",Table_Shelter[[#This Row],[HH per Shelter]]*(Table_Shelter[[#This Row],['# of Temporary Shelter Units Built]]+Table_Shelter[[#This Row],['# of Temporary Shelter Under  Construction]]+Table_Shelter[[#This Row],['# of Permanent House Under Construction]]),0),0)</f>
        <v>100</v>
      </c>
      <c r="Q263" s="139">
        <v>15</v>
      </c>
      <c r="R263" s="208"/>
      <c r="S263" s="208" t="str">
        <f>IFERROR(VLOOKUP(Table_Shelter[[#This Row],[CampName]],CL,2,0),"")</f>
        <v>MMR001CMP026</v>
      </c>
      <c r="T263" s="208" t="str">
        <f>IFERROR(VLOOKUP(Table_Shelter[[#This Row],[CampName]],CL,3,0),"")</f>
        <v>Open</v>
      </c>
      <c r="U263" s="323">
        <f>IFERROR(Table_Shelter[[#This Row],[HH Covered]]/VLOOKUP(Table_Shelter[[#This Row],[CampName]],CL,4,0),"")</f>
        <v>1.1363636363636365</v>
      </c>
      <c r="V263" s="323" t="s">
        <v>1309</v>
      </c>
      <c r="W263" s="208"/>
    </row>
    <row r="264" spans="1:23" ht="15" customHeight="1" x14ac:dyDescent="0.25">
      <c r="A264" s="682">
        <v>41609</v>
      </c>
      <c r="B264" s="206" t="s">
        <v>453</v>
      </c>
      <c r="C264" s="206" t="s">
        <v>506</v>
      </c>
      <c r="D264" s="209" t="s">
        <v>380</v>
      </c>
      <c r="E264" s="406" t="s">
        <v>528</v>
      </c>
      <c r="F264" s="206" t="s">
        <v>118</v>
      </c>
      <c r="G264" s="138">
        <v>1</v>
      </c>
      <c r="H264" s="140"/>
      <c r="I264" s="140"/>
      <c r="J264" s="140">
        <v>10</v>
      </c>
      <c r="K264" s="140">
        <v>10</v>
      </c>
      <c r="L264" s="208"/>
      <c r="M264" s="208"/>
      <c r="N264" s="208"/>
      <c r="O264" s="208"/>
      <c r="P264" s="139">
        <f>IF(Table_Shelter[[#This Row],[Status]]="Open",IF(V264="NO",Table_Shelter[[#This Row],[HH per Shelter]]*(Table_Shelter[[#This Row],['# of Temporary Shelter Units Built]]+Table_Shelter[[#This Row],['# of Temporary Shelter Under  Construction]]+Table_Shelter[[#This Row],['# of Permanent House Under Construction]]),0),0)</f>
        <v>10</v>
      </c>
      <c r="Q264" s="139"/>
      <c r="R264" s="208"/>
      <c r="S264" s="208" t="str">
        <f>IFERROR(VLOOKUP(Table_Shelter[[#This Row],[CampName]],CL,2,0),"")</f>
        <v>MMR001CMP182</v>
      </c>
      <c r="T264" s="208" t="str">
        <f>IFERROR(VLOOKUP(Table_Shelter[[#This Row],[CampName]],CL,3,0),"")</f>
        <v>Open</v>
      </c>
      <c r="U264" s="323">
        <f>IFERROR(Table_Shelter[[#This Row],[HH Covered]]/VLOOKUP(Table_Shelter[[#This Row],[CampName]],CL,4,0),"")</f>
        <v>1</v>
      </c>
      <c r="V264" s="323" t="s">
        <v>1309</v>
      </c>
      <c r="W264" s="208"/>
    </row>
    <row r="265" spans="1:23" ht="15" customHeight="1" x14ac:dyDescent="0.25">
      <c r="A265" s="682"/>
      <c r="B265" s="206" t="s">
        <v>863</v>
      </c>
      <c r="C265" s="206"/>
      <c r="D265" s="209" t="s">
        <v>380</v>
      </c>
      <c r="E265" s="406" t="s">
        <v>528</v>
      </c>
      <c r="F265" s="206" t="s">
        <v>118</v>
      </c>
      <c r="G265" s="138">
        <v>1</v>
      </c>
      <c r="H265" s="140">
        <v>9</v>
      </c>
      <c r="I265" s="140">
        <v>9</v>
      </c>
      <c r="J265" s="140"/>
      <c r="K265" s="140"/>
      <c r="L265" s="208"/>
      <c r="M265" s="208"/>
      <c r="N265" s="208"/>
      <c r="O265" s="208"/>
      <c r="P265" s="139">
        <f>IF(Table_Shelter[[#This Row],[Status]]="Open",IF(V265="NO",Table_Shelter[[#This Row],[HH per Shelter]]*(Table_Shelter[[#This Row],['# of Temporary Shelter Units Built]]+Table_Shelter[[#This Row],['# of Temporary Shelter Under  Construction]]+Table_Shelter[[#This Row],['# of Permanent House Under Construction]]),0),0)</f>
        <v>0</v>
      </c>
      <c r="Q265" s="139"/>
      <c r="R265" s="208"/>
      <c r="S265" s="208" t="str">
        <f>IFERROR(VLOOKUP(Table_Shelter[[#This Row],[CampName]],CL,2,0),"")</f>
        <v>MMR001CMP182</v>
      </c>
      <c r="T265" s="208" t="str">
        <f>IFERROR(VLOOKUP(Table_Shelter[[#This Row],[CampName]],CL,3,0),"")</f>
        <v>Open</v>
      </c>
      <c r="U265" s="323">
        <f>IFERROR(Table_Shelter[[#This Row],[HH Covered]]/VLOOKUP(Table_Shelter[[#This Row],[CampName]],CL,4,0),"")</f>
        <v>0</v>
      </c>
      <c r="V265" s="323" t="s">
        <v>1309</v>
      </c>
      <c r="W265" s="208"/>
    </row>
    <row r="266" spans="1:23" ht="15" customHeight="1" x14ac:dyDescent="0.25">
      <c r="A266" s="682">
        <v>41609</v>
      </c>
      <c r="B266" s="206" t="s">
        <v>453</v>
      </c>
      <c r="C266" s="206" t="s">
        <v>461</v>
      </c>
      <c r="D266" s="209" t="s">
        <v>380</v>
      </c>
      <c r="E266" s="406" t="s">
        <v>5</v>
      </c>
      <c r="F266" s="206" t="s">
        <v>22</v>
      </c>
      <c r="G266" s="138">
        <v>1</v>
      </c>
      <c r="H266" s="140"/>
      <c r="I266" s="140"/>
      <c r="J266" s="140">
        <v>30</v>
      </c>
      <c r="K266" s="140">
        <v>30</v>
      </c>
      <c r="L266" s="208"/>
      <c r="M266" s="208"/>
      <c r="N266" s="208"/>
      <c r="O266" s="208"/>
      <c r="P266" s="139">
        <f>IF(Table_Shelter[[#This Row],[Status]]="Open",IF(V266="NO",Table_Shelter[[#This Row],[HH per Shelter]]*(Table_Shelter[[#This Row],['# of Temporary Shelter Units Built]]+Table_Shelter[[#This Row],['# of Temporary Shelter Under  Construction]]+Table_Shelter[[#This Row],['# of Permanent House Under Construction]]),0),0)</f>
        <v>30</v>
      </c>
      <c r="Q266" s="139"/>
      <c r="R266" s="208"/>
      <c r="S266" s="208" t="str">
        <f>IFERROR(VLOOKUP(Table_Shelter[[#This Row],[CampName]],CL,2,0),"")</f>
        <v>MMR001CMP047</v>
      </c>
      <c r="T266" s="208" t="str">
        <f>IFERROR(VLOOKUP(Table_Shelter[[#This Row],[CampName]],CL,3,0),"")</f>
        <v>Open</v>
      </c>
      <c r="U266" s="323">
        <f>IFERROR(Table_Shelter[[#This Row],[HH Covered]]/VLOOKUP(Table_Shelter[[#This Row],[CampName]],CL,4,0),"")</f>
        <v>4.7694753577106522E-2</v>
      </c>
      <c r="V266" s="323" t="s">
        <v>1309</v>
      </c>
      <c r="W266" s="208"/>
    </row>
    <row r="267" spans="1:23" ht="15" customHeight="1" x14ac:dyDescent="0.25">
      <c r="A267" s="682"/>
      <c r="B267" s="206" t="s">
        <v>848</v>
      </c>
      <c r="C267" s="206"/>
      <c r="D267" s="209" t="s">
        <v>380</v>
      </c>
      <c r="E267" s="406" t="s">
        <v>5</v>
      </c>
      <c r="F267" s="206" t="s">
        <v>22</v>
      </c>
      <c r="G267" s="138">
        <v>1</v>
      </c>
      <c r="H267" s="140"/>
      <c r="I267" s="140"/>
      <c r="J267" s="140">
        <v>162</v>
      </c>
      <c r="K267" s="140">
        <v>162</v>
      </c>
      <c r="L267" s="208"/>
      <c r="M267" s="208"/>
      <c r="N267" s="208"/>
      <c r="O267" s="208"/>
      <c r="P267" s="139">
        <f>IF(Table_Shelter[[#This Row],[Status]]="Open",IF(V267="NO",Table_Shelter[[#This Row],[HH per Shelter]]*(Table_Shelter[[#This Row],['# of Temporary Shelter Units Built]]+Table_Shelter[[#This Row],['# of Temporary Shelter Under  Construction]]+Table_Shelter[[#This Row],['# of Permanent House Under Construction]]),0),0)</f>
        <v>162</v>
      </c>
      <c r="Q267" s="139"/>
      <c r="R267" s="208"/>
      <c r="S267" s="208" t="str">
        <f>IFERROR(VLOOKUP(Table_Shelter[[#This Row],[CampName]],CL,2,0),"")</f>
        <v>MMR001CMP047</v>
      </c>
      <c r="T267" s="208" t="str">
        <f>IFERROR(VLOOKUP(Table_Shelter[[#This Row],[CampName]],CL,3,0),"")</f>
        <v>Open</v>
      </c>
      <c r="U267" s="323">
        <f>IFERROR(Table_Shelter[[#This Row],[HH Covered]]/VLOOKUP(Table_Shelter[[#This Row],[CampName]],CL,4,0),"")</f>
        <v>0.25755166931637519</v>
      </c>
      <c r="V267" s="323" t="s">
        <v>1309</v>
      </c>
      <c r="W267" s="208"/>
    </row>
    <row r="268" spans="1:23" ht="15" customHeight="1" x14ac:dyDescent="0.25">
      <c r="A268" s="682"/>
      <c r="B268" s="206" t="s">
        <v>847</v>
      </c>
      <c r="C268" s="206"/>
      <c r="D268" s="209" t="s">
        <v>380</v>
      </c>
      <c r="E268" s="406" t="s">
        <v>5</v>
      </c>
      <c r="F268" s="206" t="s">
        <v>22</v>
      </c>
      <c r="G268" s="138">
        <v>1</v>
      </c>
      <c r="H268" s="140"/>
      <c r="I268" s="140"/>
      <c r="J268" s="140">
        <v>163</v>
      </c>
      <c r="K268" s="140">
        <v>163</v>
      </c>
      <c r="L268" s="208"/>
      <c r="M268" s="208"/>
      <c r="N268" s="208"/>
      <c r="O268" s="208"/>
      <c r="P268" s="139">
        <f>IF(Table_Shelter[[#This Row],[Status]]="Open",IF(V268="NO",Table_Shelter[[#This Row],[HH per Shelter]]*(Table_Shelter[[#This Row],['# of Temporary Shelter Units Built]]+Table_Shelter[[#This Row],['# of Temporary Shelter Under  Construction]]+Table_Shelter[[#This Row],['# of Permanent House Under Construction]]),0),0)</f>
        <v>163</v>
      </c>
      <c r="Q268" s="139"/>
      <c r="R268" s="208"/>
      <c r="S268" s="208" t="str">
        <f>IFERROR(VLOOKUP(Table_Shelter[[#This Row],[CampName]],CL,2,0),"")</f>
        <v>MMR001CMP047</v>
      </c>
      <c r="T268" s="208" t="str">
        <f>IFERROR(VLOOKUP(Table_Shelter[[#This Row],[CampName]],CL,3,0),"")</f>
        <v>Open</v>
      </c>
      <c r="U268" s="323">
        <f>IFERROR(Table_Shelter[[#This Row],[HH Covered]]/VLOOKUP(Table_Shelter[[#This Row],[CampName]],CL,4,0),"")</f>
        <v>0.25914149443561207</v>
      </c>
      <c r="V268" s="323" t="s">
        <v>1309</v>
      </c>
      <c r="W268" s="208"/>
    </row>
    <row r="269" spans="1:23" ht="15" customHeight="1" x14ac:dyDescent="0.25">
      <c r="A269" s="682">
        <v>42569</v>
      </c>
      <c r="B269" s="206" t="s">
        <v>453</v>
      </c>
      <c r="C269" s="206" t="s">
        <v>461</v>
      </c>
      <c r="D269" s="209" t="s">
        <v>380</v>
      </c>
      <c r="E269" s="406" t="s">
        <v>5</v>
      </c>
      <c r="F269" s="206" t="s">
        <v>22</v>
      </c>
      <c r="G269" s="138">
        <v>1</v>
      </c>
      <c r="H269" s="140"/>
      <c r="I269" s="140"/>
      <c r="J269" s="140"/>
      <c r="K269" s="140"/>
      <c r="L269" s="208"/>
      <c r="M269" s="208"/>
      <c r="N269" s="208"/>
      <c r="O269" s="208"/>
      <c r="P269" s="139">
        <f>IF(Table_Shelter[[#This Row],[Status]]="Open",IF(V269="NO",Table_Shelter[[#This Row],[HH per Shelter]]*(Table_Shelter[[#This Row],['# of Temporary Shelter Units Built]]+Table_Shelter[[#This Row],['# of Temporary Shelter Under  Construction]]+Table_Shelter[[#This Row],['# of Permanent House Under Construction]]),0),0)</f>
        <v>0</v>
      </c>
      <c r="Q269" s="139">
        <v>20</v>
      </c>
      <c r="R269" s="139">
        <v>30</v>
      </c>
      <c r="S269" s="208" t="str">
        <f>IFERROR(VLOOKUP(Table_Shelter[[#This Row],[CampName]],CL,2,0),"")</f>
        <v>MMR001CMP047</v>
      </c>
      <c r="T269" s="208" t="str">
        <f>IFERROR(VLOOKUP(Table_Shelter[[#This Row],[CampName]],CL,3,0),"")</f>
        <v>Open</v>
      </c>
      <c r="U269" s="323">
        <f>IFERROR(Table_Shelter[[#This Row],[HH Covered]]/VLOOKUP(Table_Shelter[[#This Row],[CampName]],CL,4,0),"")</f>
        <v>0</v>
      </c>
      <c r="V269" s="323" t="s">
        <v>1309</v>
      </c>
      <c r="W269" s="208"/>
    </row>
    <row r="270" spans="1:23" ht="15" customHeight="1" x14ac:dyDescent="0.25">
      <c r="A270" s="682"/>
      <c r="B270" s="206" t="s">
        <v>453</v>
      </c>
      <c r="C270" s="206"/>
      <c r="D270" s="209" t="s">
        <v>380</v>
      </c>
      <c r="E270" s="406" t="s">
        <v>5</v>
      </c>
      <c r="F270" s="206" t="s">
        <v>22</v>
      </c>
      <c r="G270" s="138">
        <v>1</v>
      </c>
      <c r="H270" s="140"/>
      <c r="I270" s="140"/>
      <c r="J270" s="140">
        <v>70</v>
      </c>
      <c r="K270" s="140">
        <v>70</v>
      </c>
      <c r="L270" s="208"/>
      <c r="M270" s="208"/>
      <c r="N270" s="208"/>
      <c r="O270" s="208"/>
      <c r="P270" s="139">
        <f>IF(Table_Shelter[[#This Row],[Status]]="Open",IF(V270="NO",Table_Shelter[[#This Row],[HH per Shelter]]*(Table_Shelter[[#This Row],['# of Temporary Shelter Units Built]]+Table_Shelter[[#This Row],['# of Temporary Shelter Under  Construction]]+Table_Shelter[[#This Row],['# of Permanent House Under Construction]]),0),0)</f>
        <v>70</v>
      </c>
      <c r="Q270" s="139"/>
      <c r="R270" s="208"/>
      <c r="S270" s="208" t="str">
        <f>IFERROR(VLOOKUP(Table_Shelter[[#This Row],[CampName]],CL,2,0),"")</f>
        <v>MMR001CMP047</v>
      </c>
      <c r="T270" s="208" t="str">
        <f>IFERROR(VLOOKUP(Table_Shelter[[#This Row],[CampName]],CL,3,0),"")</f>
        <v>Open</v>
      </c>
      <c r="U270" s="323">
        <f>IFERROR(Table_Shelter[[#This Row],[HH Covered]]/VLOOKUP(Table_Shelter[[#This Row],[CampName]],CL,4,0),"")</f>
        <v>0.11128775834658187</v>
      </c>
      <c r="V270" s="323" t="s">
        <v>1309</v>
      </c>
      <c r="W270" s="208"/>
    </row>
    <row r="271" spans="1:23" ht="15" customHeight="1" x14ac:dyDescent="0.25">
      <c r="A271" s="682"/>
      <c r="B271" s="206" t="s">
        <v>863</v>
      </c>
      <c r="C271" s="206"/>
      <c r="D271" s="209" t="s">
        <v>380</v>
      </c>
      <c r="E271" s="406" t="s">
        <v>237</v>
      </c>
      <c r="F271" s="206" t="s">
        <v>900</v>
      </c>
      <c r="G271" s="138">
        <v>1</v>
      </c>
      <c r="H271" s="140">
        <v>1</v>
      </c>
      <c r="I271" s="140">
        <v>1</v>
      </c>
      <c r="J271" s="140"/>
      <c r="K271" s="140"/>
      <c r="L271" s="208"/>
      <c r="M271" s="208"/>
      <c r="N271" s="208"/>
      <c r="O271" s="208"/>
      <c r="P271" s="139">
        <f>IF(Table_Shelter[[#This Row],[Status]]="Open",IF(V271="NO",Table_Shelter[[#This Row],[HH per Shelter]]*(Table_Shelter[[#This Row],['# of Temporary Shelter Units Built]]+Table_Shelter[[#This Row],['# of Temporary Shelter Under  Construction]]+Table_Shelter[[#This Row],['# of Permanent House Under Construction]]),0),0)</f>
        <v>0</v>
      </c>
      <c r="Q271" s="139"/>
      <c r="R271" s="208"/>
      <c r="S271" s="208" t="str">
        <f>IFERROR(VLOOKUP(Table_Shelter[[#This Row],[CampName]],CL,2,0),"")</f>
        <v/>
      </c>
      <c r="T271" s="208" t="str">
        <f>IFERROR(VLOOKUP(Table_Shelter[[#This Row],[CampName]],CL,3,0),"")</f>
        <v/>
      </c>
      <c r="U271" s="323" t="str">
        <f>IFERROR(Table_Shelter[[#This Row],[HH Covered]]/VLOOKUP(Table_Shelter[[#This Row],[CampName]],CL,4,0),"")</f>
        <v/>
      </c>
      <c r="V271" s="323" t="s">
        <v>1309</v>
      </c>
      <c r="W271" s="208"/>
    </row>
    <row r="272" spans="1:23" ht="15" customHeight="1" x14ac:dyDescent="0.25">
      <c r="A272" s="682">
        <v>41609</v>
      </c>
      <c r="B272" s="206" t="s">
        <v>453</v>
      </c>
      <c r="C272" s="206" t="s">
        <v>461</v>
      </c>
      <c r="D272" s="209" t="s">
        <v>380</v>
      </c>
      <c r="E272" s="406" t="s">
        <v>528</v>
      </c>
      <c r="F272" s="206" t="s">
        <v>124</v>
      </c>
      <c r="G272" s="138">
        <v>1</v>
      </c>
      <c r="H272" s="140"/>
      <c r="I272" s="140"/>
      <c r="J272" s="140">
        <v>5</v>
      </c>
      <c r="K272" s="140">
        <v>5</v>
      </c>
      <c r="L272" s="208"/>
      <c r="M272" s="208"/>
      <c r="N272" s="208"/>
      <c r="O272" s="208"/>
      <c r="P272" s="139">
        <f>IF(Table_Shelter[[#This Row],[Status]]="Open",IF(V272="NO",Table_Shelter[[#This Row],[HH per Shelter]]*(Table_Shelter[[#This Row],['# of Temporary Shelter Units Built]]+Table_Shelter[[#This Row],['# of Temporary Shelter Under  Construction]]+Table_Shelter[[#This Row],['# of Permanent House Under Construction]]),0),0)</f>
        <v>5</v>
      </c>
      <c r="Q272" s="139"/>
      <c r="R272" s="208"/>
      <c r="S272" s="208" t="str">
        <f>IFERROR(VLOOKUP(Table_Shelter[[#This Row],[CampName]],CL,2,0),"")</f>
        <v>MMR001CMP183</v>
      </c>
      <c r="T272" s="208" t="str">
        <f>IFERROR(VLOOKUP(Table_Shelter[[#This Row],[CampName]],CL,3,0),"")</f>
        <v>Open</v>
      </c>
      <c r="U272" s="323">
        <f>IFERROR(Table_Shelter[[#This Row],[HH Covered]]/VLOOKUP(Table_Shelter[[#This Row],[CampName]],CL,4,0),"")</f>
        <v>0.625</v>
      </c>
      <c r="V272" s="323" t="s">
        <v>1309</v>
      </c>
      <c r="W272" s="208"/>
    </row>
    <row r="273" spans="1:23" ht="15" customHeight="1" x14ac:dyDescent="0.25">
      <c r="A273" s="682"/>
      <c r="B273" s="206" t="s">
        <v>863</v>
      </c>
      <c r="C273" s="206"/>
      <c r="D273" s="209" t="s">
        <v>380</v>
      </c>
      <c r="E273" s="406" t="s">
        <v>528</v>
      </c>
      <c r="F273" s="206" t="s">
        <v>124</v>
      </c>
      <c r="G273" s="138">
        <v>1</v>
      </c>
      <c r="H273" s="140">
        <v>7</v>
      </c>
      <c r="I273" s="140">
        <v>7</v>
      </c>
      <c r="J273" s="140"/>
      <c r="K273" s="140"/>
      <c r="L273" s="208"/>
      <c r="M273" s="208"/>
      <c r="N273" s="208"/>
      <c r="O273" s="208"/>
      <c r="P273" s="139">
        <f>IF(Table_Shelter[[#This Row],[Status]]="Open",IF(V273="NO",Table_Shelter[[#This Row],[HH per Shelter]]*(Table_Shelter[[#This Row],['# of Temporary Shelter Units Built]]+Table_Shelter[[#This Row],['# of Temporary Shelter Under  Construction]]+Table_Shelter[[#This Row],['# of Permanent House Under Construction]]),0),0)</f>
        <v>0</v>
      </c>
      <c r="Q273" s="139"/>
      <c r="R273" s="208"/>
      <c r="S273" s="208" t="str">
        <f>IFERROR(VLOOKUP(Table_Shelter[[#This Row],[CampName]],CL,2,0),"")</f>
        <v>MMR001CMP183</v>
      </c>
      <c r="T273" s="208" t="str">
        <f>IFERROR(VLOOKUP(Table_Shelter[[#This Row],[CampName]],CL,3,0),"")</f>
        <v>Open</v>
      </c>
      <c r="U273" s="323">
        <f>IFERROR(Table_Shelter[[#This Row],[HH Covered]]/VLOOKUP(Table_Shelter[[#This Row],[CampName]],CL,4,0),"")</f>
        <v>0</v>
      </c>
      <c r="V273" s="323" t="s">
        <v>1309</v>
      </c>
      <c r="W273" s="208"/>
    </row>
    <row r="274" spans="1:23" ht="15" customHeight="1" x14ac:dyDescent="0.25">
      <c r="A274" s="681">
        <v>42422</v>
      </c>
      <c r="B274" s="206" t="s">
        <v>849</v>
      </c>
      <c r="C274" s="206"/>
      <c r="D274" s="206" t="s">
        <v>380</v>
      </c>
      <c r="E274" s="406" t="s">
        <v>173</v>
      </c>
      <c r="F274" s="206" t="s">
        <v>1280</v>
      </c>
      <c r="G274" s="138">
        <v>1</v>
      </c>
      <c r="H274" s="138"/>
      <c r="I274" s="138"/>
      <c r="J274" s="138">
        <v>40</v>
      </c>
      <c r="K274" s="138">
        <v>40</v>
      </c>
      <c r="L274" s="206"/>
      <c r="M274" s="206"/>
      <c r="N274" s="206"/>
      <c r="O274" s="206"/>
      <c r="P274" s="180">
        <f>IF(Table_Shelter[[#This Row],[Status]]="Open",IF(V274="NO",Table_Shelter[[#This Row],[HH per Shelter]]*(Table_Shelter[[#This Row],['# of Temporary Shelter Units Built]]+Table_Shelter[[#This Row],['# of Temporary Shelter Under  Construction]]+Table_Shelter[[#This Row],['# of Permanent House Under Construction]]),0),0)</f>
        <v>40</v>
      </c>
      <c r="Q274" s="137"/>
      <c r="R274" s="206"/>
      <c r="S274" s="207" t="str">
        <f>IFERROR(VLOOKUP(Table_Shelter[[#This Row],[CampName]],CL,2,0),"")</f>
        <v>MMR001CMP236</v>
      </c>
      <c r="T274" s="207" t="str">
        <f>IFERROR(VLOOKUP(Table_Shelter[[#This Row],[CampName]],CL,3,0),"")</f>
        <v>Open</v>
      </c>
      <c r="U274" s="323">
        <f>IFERROR(Table_Shelter[[#This Row],[HH Covered]]/VLOOKUP(Table_Shelter[[#This Row],[CampName]],CL,4,0),"")</f>
        <v>1.3333333333333333</v>
      </c>
      <c r="V274" s="323" t="s">
        <v>1309</v>
      </c>
      <c r="W274" s="208"/>
    </row>
    <row r="275" spans="1:23" ht="15" customHeight="1" x14ac:dyDescent="0.25">
      <c r="A275" s="682"/>
      <c r="B275" s="206" t="s">
        <v>453</v>
      </c>
      <c r="C275" s="206"/>
      <c r="D275" s="209" t="s">
        <v>380</v>
      </c>
      <c r="E275" s="406" t="s">
        <v>185</v>
      </c>
      <c r="F275" s="206" t="s">
        <v>225</v>
      </c>
      <c r="G275" s="138">
        <v>1</v>
      </c>
      <c r="H275" s="140"/>
      <c r="I275" s="140"/>
      <c r="J275" s="140">
        <v>40</v>
      </c>
      <c r="K275" s="140">
        <v>40</v>
      </c>
      <c r="L275" s="208"/>
      <c r="M275" s="208"/>
      <c r="N275" s="208"/>
      <c r="O275" s="208"/>
      <c r="P275" s="139">
        <f>IF(Table_Shelter[[#This Row],[Status]]="Open",IF(V275="NO",Table_Shelter[[#This Row],[HH per Shelter]]*(Table_Shelter[[#This Row],['# of Temporary Shelter Units Built]]+Table_Shelter[[#This Row],['# of Temporary Shelter Under  Construction]]+Table_Shelter[[#This Row],['# of Permanent House Under Construction]]),0),0)</f>
        <v>40</v>
      </c>
      <c r="Q275" s="139"/>
      <c r="R275" s="208"/>
      <c r="S275" s="208" t="str">
        <f>IFERROR(VLOOKUP(Table_Shelter[[#This Row],[CampName]],CL,2,0),"")</f>
        <v>MMR001CMP073</v>
      </c>
      <c r="T275" s="208" t="str">
        <f>IFERROR(VLOOKUP(Table_Shelter[[#This Row],[CampName]],CL,3,0),"")</f>
        <v>Open</v>
      </c>
      <c r="U275" s="323">
        <f>IFERROR(Table_Shelter[[#This Row],[HH Covered]]/VLOOKUP(Table_Shelter[[#This Row],[CampName]],CL,4,0),"")</f>
        <v>1.0256410256410255</v>
      </c>
      <c r="V275" s="323" t="s">
        <v>1309</v>
      </c>
      <c r="W275" s="208"/>
    </row>
    <row r="276" spans="1:23" ht="15" customHeight="1" x14ac:dyDescent="0.25">
      <c r="A276" s="682">
        <v>42416</v>
      </c>
      <c r="B276" s="206" t="s">
        <v>453</v>
      </c>
      <c r="C276" s="206" t="s">
        <v>461</v>
      </c>
      <c r="D276" s="209" t="s">
        <v>380</v>
      </c>
      <c r="E276" s="406" t="s">
        <v>237</v>
      </c>
      <c r="F276" s="206" t="s">
        <v>277</v>
      </c>
      <c r="G276" s="138">
        <v>1</v>
      </c>
      <c r="H276" s="140"/>
      <c r="I276" s="140"/>
      <c r="J276" s="140"/>
      <c r="K276" s="140"/>
      <c r="L276" s="208"/>
      <c r="M276" s="208"/>
      <c r="N276" s="208"/>
      <c r="O276" s="208"/>
      <c r="P276" s="139">
        <f>IF(Table_Shelter[[#This Row],[Status]]="Open",IF(V276="NO",Table_Shelter[[#This Row],[HH per Shelter]]*(Table_Shelter[[#This Row],['# of Temporary Shelter Units Built]]+Table_Shelter[[#This Row],['# of Temporary Shelter Under  Construction]]+Table_Shelter[[#This Row],['# of Permanent House Under Construction]]),0),0)</f>
        <v>0</v>
      </c>
      <c r="Q276" s="139">
        <v>30</v>
      </c>
      <c r="R276" s="139">
        <v>30</v>
      </c>
      <c r="S276" s="208" t="str">
        <f>IFERROR(VLOOKUP(Table_Shelter[[#This Row],[CampName]],CL,2,0),"")</f>
        <v>MMR001CMP006</v>
      </c>
      <c r="T276" s="208" t="str">
        <f>IFERROR(VLOOKUP(Table_Shelter[[#This Row],[CampName]],CL,3,0),"")</f>
        <v>Open</v>
      </c>
      <c r="U276" s="323">
        <f>IFERROR(Table_Shelter[[#This Row],[HH Covered]]/VLOOKUP(Table_Shelter[[#This Row],[CampName]],CL,4,0),"")</f>
        <v>0</v>
      </c>
      <c r="V276" s="208" t="s">
        <v>1309</v>
      </c>
      <c r="W276" s="19"/>
    </row>
    <row r="277" spans="1:23" ht="15" customHeight="1" x14ac:dyDescent="0.25">
      <c r="A277" s="682"/>
      <c r="B277" s="206" t="s">
        <v>848</v>
      </c>
      <c r="C277" s="206" t="s">
        <v>506</v>
      </c>
      <c r="D277" s="209" t="s">
        <v>380</v>
      </c>
      <c r="E277" s="406" t="s">
        <v>237</v>
      </c>
      <c r="F277" s="206" t="s">
        <v>277</v>
      </c>
      <c r="G277" s="138">
        <v>1</v>
      </c>
      <c r="H277" s="140"/>
      <c r="I277" s="140"/>
      <c r="J277" s="140">
        <v>14</v>
      </c>
      <c r="K277" s="140">
        <v>14</v>
      </c>
      <c r="L277" s="208"/>
      <c r="M277" s="208"/>
      <c r="N277" s="208"/>
      <c r="O277" s="208"/>
      <c r="P277" s="139">
        <f>IF(Table_Shelter[[#This Row],[Status]]="Open",IF(V277="NO",Table_Shelter[[#This Row],[HH per Shelter]]*(Table_Shelter[[#This Row],['# of Temporary Shelter Units Built]]+Table_Shelter[[#This Row],['# of Temporary Shelter Under  Construction]]+Table_Shelter[[#This Row],['# of Permanent House Under Construction]]),0),0)</f>
        <v>14</v>
      </c>
      <c r="Q277" s="139"/>
      <c r="R277" s="208"/>
      <c r="S277" s="208" t="str">
        <f>IFERROR(VLOOKUP(Table_Shelter[[#This Row],[CampName]],CL,2,0),"")</f>
        <v>MMR001CMP006</v>
      </c>
      <c r="T277" s="208" t="str">
        <f>IFERROR(VLOOKUP(Table_Shelter[[#This Row],[CampName]],CL,3,0),"")</f>
        <v>Open</v>
      </c>
      <c r="U277" s="323">
        <f>IFERROR(Table_Shelter[[#This Row],[HH Covered]]/VLOOKUP(Table_Shelter[[#This Row],[CampName]],CL,4,0),"")</f>
        <v>0.15555555555555556</v>
      </c>
      <c r="V277" s="323" t="s">
        <v>1309</v>
      </c>
      <c r="W277" s="208"/>
    </row>
    <row r="278" spans="1:23" ht="15" customHeight="1" x14ac:dyDescent="0.25">
      <c r="A278" s="682"/>
      <c r="B278" s="206" t="s">
        <v>453</v>
      </c>
      <c r="C278" s="206" t="s">
        <v>461</v>
      </c>
      <c r="D278" s="209" t="s">
        <v>380</v>
      </c>
      <c r="E278" s="406" t="s">
        <v>237</v>
      </c>
      <c r="F278" s="206" t="s">
        <v>277</v>
      </c>
      <c r="G278" s="138">
        <v>1</v>
      </c>
      <c r="H278" s="140"/>
      <c r="I278" s="140"/>
      <c r="J278" s="140">
        <v>10</v>
      </c>
      <c r="K278" s="140">
        <v>10</v>
      </c>
      <c r="L278" s="208"/>
      <c r="M278" s="208"/>
      <c r="N278" s="208"/>
      <c r="O278" s="208"/>
      <c r="P278" s="139">
        <f>IF(Table_Shelter[[#This Row],[Status]]="Open",IF(V278="NO",Table_Shelter[[#This Row],[HH per Shelter]]*(Table_Shelter[[#This Row],['# of Temporary Shelter Units Built]]+Table_Shelter[[#This Row],['# of Temporary Shelter Under  Construction]]+Table_Shelter[[#This Row],['# of Permanent House Under Construction]]),0),0)</f>
        <v>10</v>
      </c>
      <c r="Q278" s="139"/>
      <c r="R278" s="208"/>
      <c r="S278" s="208" t="str">
        <f>IFERROR(VLOOKUP(Table_Shelter[[#This Row],[CampName]],CL,2,0),"")</f>
        <v>MMR001CMP006</v>
      </c>
      <c r="T278" s="208" t="str">
        <f>IFERROR(VLOOKUP(Table_Shelter[[#This Row],[CampName]],CL,3,0),"")</f>
        <v>Open</v>
      </c>
      <c r="U278" s="323">
        <f>IFERROR(Table_Shelter[[#This Row],[HH Covered]]/VLOOKUP(Table_Shelter[[#This Row],[CampName]],CL,4,0),"")</f>
        <v>0.1111111111111111</v>
      </c>
      <c r="V278" s="323" t="s">
        <v>1309</v>
      </c>
      <c r="W278" s="208"/>
    </row>
    <row r="279" spans="1:23" ht="15" customHeight="1" x14ac:dyDescent="0.25">
      <c r="A279" s="682"/>
      <c r="B279" s="206" t="s">
        <v>453</v>
      </c>
      <c r="C279" s="206"/>
      <c r="D279" s="209" t="s">
        <v>380</v>
      </c>
      <c r="E279" s="406" t="s">
        <v>237</v>
      </c>
      <c r="F279" s="206" t="s">
        <v>277</v>
      </c>
      <c r="G279" s="138">
        <v>1</v>
      </c>
      <c r="H279" s="140"/>
      <c r="I279" s="140"/>
      <c r="J279" s="140">
        <v>40</v>
      </c>
      <c r="K279" s="140">
        <v>40</v>
      </c>
      <c r="L279" s="208"/>
      <c r="M279" s="208"/>
      <c r="N279" s="208"/>
      <c r="O279" s="208"/>
      <c r="P279" s="139">
        <f>IF(Table_Shelter[[#This Row],[Status]]="Open",IF(V279="NO",Table_Shelter[[#This Row],[HH per Shelter]]*(Table_Shelter[[#This Row],['# of Temporary Shelter Units Built]]+Table_Shelter[[#This Row],['# of Temporary Shelter Under  Construction]]+Table_Shelter[[#This Row],['# of Permanent House Under Construction]]),0),0)</f>
        <v>40</v>
      </c>
      <c r="Q279" s="139"/>
      <c r="R279" s="208"/>
      <c r="S279" s="208" t="str">
        <f>IFERROR(VLOOKUP(Table_Shelter[[#This Row],[CampName]],CL,2,0),"")</f>
        <v>MMR001CMP006</v>
      </c>
      <c r="T279" s="208" t="str">
        <f>IFERROR(VLOOKUP(Table_Shelter[[#This Row],[CampName]],CL,3,0),"")</f>
        <v>Open</v>
      </c>
      <c r="U279" s="323">
        <f>IFERROR(Table_Shelter[[#This Row],[HH Covered]]/VLOOKUP(Table_Shelter[[#This Row],[CampName]],CL,4,0),"")</f>
        <v>0.44444444444444442</v>
      </c>
      <c r="V279" s="323" t="s">
        <v>1309</v>
      </c>
      <c r="W279" s="208"/>
    </row>
    <row r="280" spans="1:23" ht="15" customHeight="1" x14ac:dyDescent="0.25">
      <c r="A280" s="685">
        <v>42569</v>
      </c>
      <c r="B280" s="676" t="s">
        <v>570</v>
      </c>
      <c r="C280" s="560" t="s">
        <v>461</v>
      </c>
      <c r="D280" s="561" t="s">
        <v>380</v>
      </c>
      <c r="E280" s="406" t="s">
        <v>310</v>
      </c>
      <c r="F280" s="559" t="s">
        <v>347</v>
      </c>
      <c r="G280" s="559">
        <v>1</v>
      </c>
      <c r="H280" s="560"/>
      <c r="I280" s="560"/>
      <c r="J280" s="560"/>
      <c r="K280" s="560"/>
      <c r="L280" s="560"/>
      <c r="M280" s="560"/>
      <c r="N280" s="560"/>
      <c r="O280" s="560"/>
      <c r="P280" s="562">
        <f>IF(Table_Shelter[[#This Row],[Status]]="Open",IF(V280="NO",Table_Shelter[[#This Row],[HH per Shelter]]*(Table_Shelter[[#This Row],['# of Temporary Shelter Units Built]]+Table_Shelter[[#This Row],['# of Temporary Shelter Under  Construction]]+Table_Shelter[[#This Row],['# of Permanent House Under Construction]]),0),0)</f>
        <v>0</v>
      </c>
      <c r="Q280" s="562">
        <v>5</v>
      </c>
      <c r="R280" s="562">
        <v>5</v>
      </c>
      <c r="S280" s="563" t="str">
        <f>IFERROR(VLOOKUP(Table_Shelter[[#This Row],[CampName]],CL,2,0),"")</f>
        <v>MMR001CMP041</v>
      </c>
      <c r="T280" s="564" t="str">
        <f>IFERROR(VLOOKUP(Table_Shelter[[#This Row],[CampName]],CL,3,0),"")</f>
        <v>Open</v>
      </c>
      <c r="U280" s="565">
        <f>IFERROR(Table_Shelter[[#This Row],[HH Covered]]/VLOOKUP(Table_Shelter[[#This Row],[CampName]],CL,4,0),"")</f>
        <v>0</v>
      </c>
      <c r="V280" s="324" t="s">
        <v>1309</v>
      </c>
      <c r="W280" s="562"/>
    </row>
    <row r="281" spans="1:23" ht="15" customHeight="1" x14ac:dyDescent="0.25">
      <c r="A281" s="681">
        <v>42416</v>
      </c>
      <c r="B281" s="206" t="s">
        <v>849</v>
      </c>
      <c r="C281" s="206"/>
      <c r="D281" s="209" t="s">
        <v>380</v>
      </c>
      <c r="E281" s="406" t="s">
        <v>310</v>
      </c>
      <c r="F281" s="206" t="s">
        <v>347</v>
      </c>
      <c r="G281" s="138">
        <v>1</v>
      </c>
      <c r="H281" s="140"/>
      <c r="I281" s="140"/>
      <c r="J281" s="140">
        <v>73</v>
      </c>
      <c r="K281" s="140">
        <v>73</v>
      </c>
      <c r="L281" s="208"/>
      <c r="M281" s="208"/>
      <c r="N281" s="208"/>
      <c r="O281" s="208"/>
      <c r="P281" s="139">
        <f>IF(Table_Shelter[[#This Row],[Status]]="Open",IF(V281="NO",Table_Shelter[[#This Row],[HH per Shelter]]*(Table_Shelter[[#This Row],['# of Temporary Shelter Units Built]]+Table_Shelter[[#This Row],['# of Temporary Shelter Under  Construction]]+Table_Shelter[[#This Row],['# of Permanent House Under Construction]]),0),0)</f>
        <v>73</v>
      </c>
      <c r="Q281" s="139"/>
      <c r="R281" s="139"/>
      <c r="S281" s="139" t="str">
        <f>IFERROR(VLOOKUP(Table_Shelter[[#This Row],[CampName]],CL,2,0),"")</f>
        <v>MMR001CMP041</v>
      </c>
      <c r="T281" s="139" t="str">
        <f>IFERROR(VLOOKUP(Table_Shelter[[#This Row],[CampName]],CL,3,0),"")</f>
        <v>Open</v>
      </c>
      <c r="U281" s="323">
        <f>IFERROR(Table_Shelter[[#This Row],[HH Covered]]/VLOOKUP(Table_Shelter[[#This Row],[CampName]],CL,4,0),"")</f>
        <v>0.40782122905027934</v>
      </c>
      <c r="V281" s="139" t="s">
        <v>1309</v>
      </c>
      <c r="W281" s="19"/>
    </row>
    <row r="282" spans="1:23" ht="15" customHeight="1" x14ac:dyDescent="0.25">
      <c r="A282" s="682">
        <v>42003</v>
      </c>
      <c r="B282" s="206" t="s">
        <v>453</v>
      </c>
      <c r="C282" s="206" t="s">
        <v>461</v>
      </c>
      <c r="D282" s="209" t="s">
        <v>380</v>
      </c>
      <c r="E282" s="406" t="s">
        <v>310</v>
      </c>
      <c r="F282" s="206" t="s">
        <v>347</v>
      </c>
      <c r="G282" s="138">
        <v>1</v>
      </c>
      <c r="H282" s="140">
        <v>90</v>
      </c>
      <c r="I282" s="140"/>
      <c r="J282" s="140"/>
      <c r="K282" s="140"/>
      <c r="L282" s="208"/>
      <c r="M282" s="208"/>
      <c r="N282" s="208"/>
      <c r="O282" s="208"/>
      <c r="P282" s="139">
        <f>IF(Table_Shelter[[#This Row],[Status]]="Open",IF(V282="NO",Table_Shelter[[#This Row],[HH per Shelter]]*(Table_Shelter[[#This Row],['# of Temporary Shelter Units Built]]+Table_Shelter[[#This Row],['# of Temporary Shelter Under  Construction]]+Table_Shelter[[#This Row],['# of Permanent House Under Construction]]),0),0)</f>
        <v>0</v>
      </c>
      <c r="Q282" s="139"/>
      <c r="R282" s="208"/>
      <c r="S282" s="208" t="str">
        <f>IFERROR(VLOOKUP(Table_Shelter[[#This Row],[CampName]],CL,2,0),"")</f>
        <v>MMR001CMP041</v>
      </c>
      <c r="T282" s="208" t="str">
        <f>IFERROR(VLOOKUP(Table_Shelter[[#This Row],[CampName]],CL,3,0),"")</f>
        <v>Open</v>
      </c>
      <c r="U282" s="323">
        <f>IFERROR(Table_Shelter[[#This Row],[HH Covered]]/VLOOKUP(Table_Shelter[[#This Row],[CampName]],CL,4,0),"")</f>
        <v>0</v>
      </c>
      <c r="V282" s="323" t="s">
        <v>1309</v>
      </c>
      <c r="W282" s="208"/>
    </row>
    <row r="283" spans="1:23" ht="15" customHeight="1" x14ac:dyDescent="0.25">
      <c r="A283" s="682">
        <v>41609</v>
      </c>
      <c r="B283" s="206" t="s">
        <v>453</v>
      </c>
      <c r="C283" s="206" t="s">
        <v>461</v>
      </c>
      <c r="D283" s="209" t="s">
        <v>380</v>
      </c>
      <c r="E283" s="406" t="s">
        <v>310</v>
      </c>
      <c r="F283" s="206" t="s">
        <v>347</v>
      </c>
      <c r="G283" s="138">
        <v>1</v>
      </c>
      <c r="H283" s="140"/>
      <c r="I283" s="140"/>
      <c r="J283" s="140">
        <v>18</v>
      </c>
      <c r="K283" s="140">
        <v>18</v>
      </c>
      <c r="L283" s="208"/>
      <c r="M283" s="208"/>
      <c r="N283" s="208"/>
      <c r="O283" s="208"/>
      <c r="P283" s="139">
        <f>IF(Table_Shelter[[#This Row],[Status]]="Open",IF(V283="NO",Table_Shelter[[#This Row],[HH per Shelter]]*(Table_Shelter[[#This Row],['# of Temporary Shelter Units Built]]+Table_Shelter[[#This Row],['# of Temporary Shelter Under  Construction]]+Table_Shelter[[#This Row],['# of Permanent House Under Construction]]),0),0)</f>
        <v>18</v>
      </c>
      <c r="Q283" s="139"/>
      <c r="R283" s="139"/>
      <c r="S283" s="139" t="str">
        <f>IFERROR(VLOOKUP(Table_Shelter[[#This Row],[CampName]],CL,2,0),"")</f>
        <v>MMR001CMP041</v>
      </c>
      <c r="T283" s="139" t="str">
        <f>IFERROR(VLOOKUP(Table_Shelter[[#This Row],[CampName]],CL,3,0),"")</f>
        <v>Open</v>
      </c>
      <c r="U283" s="323">
        <f>IFERROR(Table_Shelter[[#This Row],[HH Covered]]/VLOOKUP(Table_Shelter[[#This Row],[CampName]],CL,4,0),"")</f>
        <v>0.1005586592178771</v>
      </c>
      <c r="V283" s="323" t="s">
        <v>1309</v>
      </c>
      <c r="W283" s="139"/>
    </row>
    <row r="284" spans="1:23" ht="15" customHeight="1" x14ac:dyDescent="0.25">
      <c r="A284" s="682"/>
      <c r="B284" s="206" t="s">
        <v>453</v>
      </c>
      <c r="C284" s="206" t="s">
        <v>461</v>
      </c>
      <c r="D284" s="209" t="s">
        <v>380</v>
      </c>
      <c r="E284" s="406" t="s">
        <v>310</v>
      </c>
      <c r="F284" s="206" t="s">
        <v>347</v>
      </c>
      <c r="G284" s="138">
        <v>1</v>
      </c>
      <c r="H284" s="140"/>
      <c r="I284" s="140"/>
      <c r="J284" s="140">
        <v>170</v>
      </c>
      <c r="K284" s="140">
        <v>170</v>
      </c>
      <c r="L284" s="208"/>
      <c r="M284" s="208"/>
      <c r="N284" s="208"/>
      <c r="O284" s="208"/>
      <c r="P284" s="139">
        <f>IF(Table_Shelter[[#This Row],[Status]]="Open",IF(V284="NO",Table_Shelter[[#This Row],[HH per Shelter]]*(Table_Shelter[[#This Row],['# of Temporary Shelter Units Built]]+Table_Shelter[[#This Row],['# of Temporary Shelter Under  Construction]]+Table_Shelter[[#This Row],['# of Permanent House Under Construction]]),0),0)</f>
        <v>170</v>
      </c>
      <c r="Q284" s="139"/>
      <c r="R284" s="208"/>
      <c r="S284" s="208" t="str">
        <f>IFERROR(VLOOKUP(Table_Shelter[[#This Row],[CampName]],CL,2,0),"")</f>
        <v>MMR001CMP041</v>
      </c>
      <c r="T284" s="208" t="str">
        <f>IFERROR(VLOOKUP(Table_Shelter[[#This Row],[CampName]],CL,3,0),"")</f>
        <v>Open</v>
      </c>
      <c r="U284" s="323">
        <f>IFERROR(Table_Shelter[[#This Row],[HH Covered]]/VLOOKUP(Table_Shelter[[#This Row],[CampName]],CL,4,0),"")</f>
        <v>0.94972067039106145</v>
      </c>
      <c r="V284" s="323" t="s">
        <v>1309</v>
      </c>
      <c r="W284" s="208"/>
    </row>
    <row r="285" spans="1:23" ht="15" customHeight="1" x14ac:dyDescent="0.25">
      <c r="A285" s="682"/>
      <c r="B285" s="206" t="s">
        <v>847</v>
      </c>
      <c r="C285" s="206"/>
      <c r="D285" s="209" t="s">
        <v>380</v>
      </c>
      <c r="E285" s="406" t="s">
        <v>302</v>
      </c>
      <c r="F285" s="206" t="s">
        <v>306</v>
      </c>
      <c r="G285" s="138">
        <v>1</v>
      </c>
      <c r="H285" s="140"/>
      <c r="I285" s="140"/>
      <c r="J285" s="140">
        <v>42</v>
      </c>
      <c r="K285" s="140">
        <v>42</v>
      </c>
      <c r="L285" s="208"/>
      <c r="M285" s="208"/>
      <c r="N285" s="208"/>
      <c r="O285" s="208"/>
      <c r="P285" s="139">
        <f>IF(Table_Shelter[[#This Row],[Status]]="Open",IF(V285="NO",Table_Shelter[[#This Row],[HH per Shelter]]*(Table_Shelter[[#This Row],['# of Temporary Shelter Units Built]]+Table_Shelter[[#This Row],['# of Temporary Shelter Under  Construction]]+Table_Shelter[[#This Row],['# of Permanent House Under Construction]]),0),0)</f>
        <v>42</v>
      </c>
      <c r="Q285" s="139"/>
      <c r="R285" s="208"/>
      <c r="S285" s="208" t="str">
        <f>IFERROR(VLOOKUP(Table_Shelter[[#This Row],[CampName]],CL,2,0),"")</f>
        <v>MMR001CMP067</v>
      </c>
      <c r="T285" s="208" t="str">
        <f>IFERROR(VLOOKUP(Table_Shelter[[#This Row],[CampName]],CL,3,0),"")</f>
        <v>Open</v>
      </c>
      <c r="U285" s="323">
        <f>IFERROR(Table_Shelter[[#This Row],[HH Covered]]/VLOOKUP(Table_Shelter[[#This Row],[CampName]],CL,4,0),"")</f>
        <v>0.48837209302325579</v>
      </c>
      <c r="V285" s="323" t="s">
        <v>1309</v>
      </c>
      <c r="W285" s="208"/>
    </row>
    <row r="286" spans="1:23" ht="15" customHeight="1" x14ac:dyDescent="0.25">
      <c r="A286" s="682"/>
      <c r="B286" s="206" t="s">
        <v>593</v>
      </c>
      <c r="C286" s="206" t="s">
        <v>460</v>
      </c>
      <c r="D286" s="209" t="s">
        <v>380</v>
      </c>
      <c r="E286" s="406" t="s">
        <v>302</v>
      </c>
      <c r="F286" s="206" t="s">
        <v>308</v>
      </c>
      <c r="G286" s="138">
        <v>1</v>
      </c>
      <c r="H286" s="140"/>
      <c r="I286" s="140"/>
      <c r="J286" s="140">
        <v>36</v>
      </c>
      <c r="K286" s="140">
        <v>36</v>
      </c>
      <c r="L286" s="208"/>
      <c r="M286" s="208"/>
      <c r="N286" s="208"/>
      <c r="O286" s="208"/>
      <c r="P286" s="139">
        <f>IF(Table_Shelter[[#This Row],[Status]]="Open",IF(V286="NO",Table_Shelter[[#This Row],[HH per Shelter]]*(Table_Shelter[[#This Row],['# of Temporary Shelter Units Built]]+Table_Shelter[[#This Row],['# of Temporary Shelter Under  Construction]]+Table_Shelter[[#This Row],['# of Permanent House Under Construction]]),0),0)</f>
        <v>36</v>
      </c>
      <c r="Q286" s="139"/>
      <c r="R286" s="208"/>
      <c r="S286" s="208" t="str">
        <f>IFERROR(VLOOKUP(Table_Shelter[[#This Row],[CampName]],CL,2,0),"")</f>
        <v>MMR001CMP068</v>
      </c>
      <c r="T286" s="208" t="str">
        <f>IFERROR(VLOOKUP(Table_Shelter[[#This Row],[CampName]],CL,3,0),"")</f>
        <v>Open</v>
      </c>
      <c r="U286" s="323">
        <f>IFERROR(Table_Shelter[[#This Row],[HH Covered]]/VLOOKUP(Table_Shelter[[#This Row],[CampName]],CL,4,0),"")</f>
        <v>0.87804878048780488</v>
      </c>
      <c r="V286" s="323" t="s">
        <v>1309</v>
      </c>
      <c r="W286" s="208"/>
    </row>
    <row r="287" spans="1:23" ht="15" customHeight="1" x14ac:dyDescent="0.25">
      <c r="A287" s="682"/>
      <c r="B287" s="206" t="s">
        <v>453</v>
      </c>
      <c r="C287" s="206" t="s">
        <v>460</v>
      </c>
      <c r="D287" s="209" t="s">
        <v>380</v>
      </c>
      <c r="E287" s="406" t="s">
        <v>302</v>
      </c>
      <c r="F287" s="206" t="s">
        <v>308</v>
      </c>
      <c r="G287" s="138">
        <v>1</v>
      </c>
      <c r="H287" s="140"/>
      <c r="I287" s="140"/>
      <c r="J287" s="140">
        <v>10</v>
      </c>
      <c r="K287" s="140">
        <v>10</v>
      </c>
      <c r="L287" s="208"/>
      <c r="M287" s="208"/>
      <c r="N287" s="208"/>
      <c r="O287" s="208"/>
      <c r="P287" s="139">
        <f>IF(Table_Shelter[[#This Row],[Status]]="Open",IF(V287="NO",Table_Shelter[[#This Row],[HH per Shelter]]*(Table_Shelter[[#This Row],['# of Temporary Shelter Units Built]]+Table_Shelter[[#This Row],['# of Temporary Shelter Under  Construction]]+Table_Shelter[[#This Row],['# of Permanent House Under Construction]]),0),0)</f>
        <v>10</v>
      </c>
      <c r="Q287" s="139"/>
      <c r="R287" s="208"/>
      <c r="S287" s="208" t="str">
        <f>IFERROR(VLOOKUP(Table_Shelter[[#This Row],[CampName]],CL,2,0),"")</f>
        <v>MMR001CMP068</v>
      </c>
      <c r="T287" s="208" t="str">
        <f>IFERROR(VLOOKUP(Table_Shelter[[#This Row],[CampName]],CL,3,0),"")</f>
        <v>Open</v>
      </c>
      <c r="U287" s="323">
        <f>IFERROR(Table_Shelter[[#This Row],[HH Covered]]/VLOOKUP(Table_Shelter[[#This Row],[CampName]],CL,4,0),"")</f>
        <v>0.24390243902439024</v>
      </c>
      <c r="V287" s="323" t="s">
        <v>1309</v>
      </c>
      <c r="W287" s="208"/>
    </row>
    <row r="288" spans="1:23" ht="15" customHeight="1" x14ac:dyDescent="0.25">
      <c r="A288" s="682">
        <v>42416</v>
      </c>
      <c r="B288" s="206" t="s">
        <v>453</v>
      </c>
      <c r="C288" s="206" t="s">
        <v>461</v>
      </c>
      <c r="D288" s="209" t="s">
        <v>380</v>
      </c>
      <c r="E288" s="406" t="s">
        <v>237</v>
      </c>
      <c r="F288" s="206" t="s">
        <v>281</v>
      </c>
      <c r="G288" s="138">
        <v>1</v>
      </c>
      <c r="H288" s="140"/>
      <c r="I288" s="140"/>
      <c r="J288" s="140"/>
      <c r="K288" s="140"/>
      <c r="L288" s="208"/>
      <c r="M288" s="208"/>
      <c r="N288" s="208"/>
      <c r="O288" s="208"/>
      <c r="P288" s="139">
        <f>IF(Table_Shelter[[#This Row],[Status]]="Open",IF(V288="NO",Table_Shelter[[#This Row],[HH per Shelter]]*(Table_Shelter[[#This Row],['# of Temporary Shelter Units Built]]+Table_Shelter[[#This Row],['# of Temporary Shelter Under  Construction]]+Table_Shelter[[#This Row],['# of Permanent House Under Construction]]),0),0)</f>
        <v>0</v>
      </c>
      <c r="Q288" s="139">
        <v>46</v>
      </c>
      <c r="R288" s="139">
        <v>46</v>
      </c>
      <c r="S288" s="208" t="str">
        <f>IFERROR(VLOOKUP(Table_Shelter[[#This Row],[CampName]],CL,2,0),"")</f>
        <v>MMR001CMP009</v>
      </c>
      <c r="T288" s="208" t="str">
        <f>IFERROR(VLOOKUP(Table_Shelter[[#This Row],[CampName]],CL,3,0),"")</f>
        <v>Open</v>
      </c>
      <c r="U288" s="323">
        <f>IFERROR(Table_Shelter[[#This Row],[HH Covered]]/VLOOKUP(Table_Shelter[[#This Row],[CampName]],CL,4,0),"")</f>
        <v>0</v>
      </c>
      <c r="V288" s="323" t="s">
        <v>1309</v>
      </c>
      <c r="W288" s="208"/>
    </row>
    <row r="289" spans="1:23" ht="15" customHeight="1" x14ac:dyDescent="0.25">
      <c r="A289" s="682"/>
      <c r="B289" s="206" t="s">
        <v>453</v>
      </c>
      <c r="C289" s="206" t="s">
        <v>461</v>
      </c>
      <c r="D289" s="209" t="s">
        <v>380</v>
      </c>
      <c r="E289" s="406" t="s">
        <v>237</v>
      </c>
      <c r="F289" s="206" t="s">
        <v>281</v>
      </c>
      <c r="G289" s="138">
        <v>1</v>
      </c>
      <c r="H289" s="140"/>
      <c r="I289" s="140"/>
      <c r="J289" s="140">
        <v>50</v>
      </c>
      <c r="K289" s="140">
        <v>50</v>
      </c>
      <c r="L289" s="208"/>
      <c r="M289" s="208"/>
      <c r="N289" s="208"/>
      <c r="O289" s="208"/>
      <c r="P289" s="139">
        <f>IF(Table_Shelter[[#This Row],[Status]]="Open",IF(V289="NO",Table_Shelter[[#This Row],[HH per Shelter]]*(Table_Shelter[[#This Row],['# of Temporary Shelter Units Built]]+Table_Shelter[[#This Row],['# of Temporary Shelter Under  Construction]]+Table_Shelter[[#This Row],['# of Permanent House Under Construction]]),0),0)</f>
        <v>50</v>
      </c>
      <c r="Q289" s="139"/>
      <c r="R289" s="208"/>
      <c r="S289" s="208" t="str">
        <f>IFERROR(VLOOKUP(Table_Shelter[[#This Row],[CampName]],CL,2,0),"")</f>
        <v>MMR001CMP009</v>
      </c>
      <c r="T289" s="208" t="str">
        <f>IFERROR(VLOOKUP(Table_Shelter[[#This Row],[CampName]],CL,3,0),"")</f>
        <v>Open</v>
      </c>
      <c r="U289" s="323">
        <f>IFERROR(Table_Shelter[[#This Row],[HH Covered]]/VLOOKUP(Table_Shelter[[#This Row],[CampName]],CL,4,0),"")</f>
        <v>0.5617977528089888</v>
      </c>
      <c r="V289" s="323" t="s">
        <v>1309</v>
      </c>
      <c r="W289" s="208"/>
    </row>
    <row r="290" spans="1:23" ht="15" customHeight="1" x14ac:dyDescent="0.25">
      <c r="A290" s="682"/>
      <c r="B290" s="206" t="s">
        <v>593</v>
      </c>
      <c r="C290" s="206" t="s">
        <v>507</v>
      </c>
      <c r="D290" s="209" t="s">
        <v>380</v>
      </c>
      <c r="E290" s="406" t="s">
        <v>180</v>
      </c>
      <c r="F290" s="206" t="s">
        <v>181</v>
      </c>
      <c r="G290" s="138">
        <v>1</v>
      </c>
      <c r="H290" s="140"/>
      <c r="I290" s="140"/>
      <c r="J290" s="140">
        <v>12</v>
      </c>
      <c r="K290" s="140">
        <v>12</v>
      </c>
      <c r="L290" s="208"/>
      <c r="M290" s="208"/>
      <c r="N290" s="208"/>
      <c r="O290" s="208"/>
      <c r="P290" s="139">
        <f>IF(Table_Shelter[[#This Row],[Status]]="Open",IF(V290="NO",Table_Shelter[[#This Row],[HH per Shelter]]*(Table_Shelter[[#This Row],['# of Temporary Shelter Units Built]]+Table_Shelter[[#This Row],['# of Temporary Shelter Under  Construction]]+Table_Shelter[[#This Row],['# of Permanent House Under Construction]]),0),0)</f>
        <v>12</v>
      </c>
      <c r="Q290" s="139"/>
      <c r="R290" s="208"/>
      <c r="S290" s="208" t="str">
        <f>IFERROR(VLOOKUP(Table_Shelter[[#This Row],[CampName]],CL,2,0),"")</f>
        <v>MMR001CMP080</v>
      </c>
      <c r="T290" s="208" t="str">
        <f>IFERROR(VLOOKUP(Table_Shelter[[#This Row],[CampName]],CL,3,0),"")</f>
        <v>Open</v>
      </c>
      <c r="U290" s="323">
        <f>IFERROR(Table_Shelter[[#This Row],[HH Covered]]/VLOOKUP(Table_Shelter[[#This Row],[CampName]],CL,4,0),"")</f>
        <v>1</v>
      </c>
      <c r="V290" s="323" t="s">
        <v>1309</v>
      </c>
      <c r="W290" s="208"/>
    </row>
    <row r="291" spans="1:23" ht="15" customHeight="1" x14ac:dyDescent="0.25">
      <c r="A291" s="682">
        <v>41609</v>
      </c>
      <c r="B291" s="206" t="s">
        <v>453</v>
      </c>
      <c r="C291" s="206" t="s">
        <v>506</v>
      </c>
      <c r="D291" s="209" t="s">
        <v>380</v>
      </c>
      <c r="E291" s="406" t="s">
        <v>5</v>
      </c>
      <c r="F291" s="206" t="s">
        <v>24</v>
      </c>
      <c r="G291" s="138">
        <v>1</v>
      </c>
      <c r="H291" s="140"/>
      <c r="I291" s="140"/>
      <c r="J291" s="140">
        <v>15</v>
      </c>
      <c r="K291" s="140">
        <v>15</v>
      </c>
      <c r="L291" s="208"/>
      <c r="M291" s="208"/>
      <c r="N291" s="208"/>
      <c r="O291" s="208"/>
      <c r="P291" s="139">
        <f>IF(Table_Shelter[[#This Row],[Status]]="Open",IF(V291="NO",Table_Shelter[[#This Row],[HH per Shelter]]*(Table_Shelter[[#This Row],['# of Temporary Shelter Units Built]]+Table_Shelter[[#This Row],['# of Temporary Shelter Under  Construction]]+Table_Shelter[[#This Row],['# of Permanent House Under Construction]]),0),0)</f>
        <v>15</v>
      </c>
      <c r="Q291" s="139">
        <v>10</v>
      </c>
      <c r="R291" s="208"/>
      <c r="S291" s="208" t="str">
        <f>IFERROR(VLOOKUP(Table_Shelter[[#This Row],[CampName]],CL,2,0),"")</f>
        <v>MMR001CMP055</v>
      </c>
      <c r="T291" s="208" t="str">
        <f>IFERROR(VLOOKUP(Table_Shelter[[#This Row],[CampName]],CL,3,0),"")</f>
        <v>Open</v>
      </c>
      <c r="U291" s="323">
        <f>IFERROR(Table_Shelter[[#This Row],[HH Covered]]/VLOOKUP(Table_Shelter[[#This Row],[CampName]],CL,4,0),"")</f>
        <v>0.7142857142857143</v>
      </c>
      <c r="V291" s="323" t="s">
        <v>1309</v>
      </c>
      <c r="W291" s="208"/>
    </row>
    <row r="292" spans="1:23" ht="15" customHeight="1" x14ac:dyDescent="0.25">
      <c r="A292" s="682"/>
      <c r="B292" s="206" t="s">
        <v>453</v>
      </c>
      <c r="C292" s="206"/>
      <c r="D292" s="209" t="s">
        <v>380</v>
      </c>
      <c r="E292" s="406" t="s">
        <v>5</v>
      </c>
      <c r="F292" s="206" t="s">
        <v>24</v>
      </c>
      <c r="G292" s="138">
        <v>1</v>
      </c>
      <c r="H292" s="140"/>
      <c r="I292" s="140"/>
      <c r="J292" s="140">
        <v>40</v>
      </c>
      <c r="K292" s="140">
        <v>40</v>
      </c>
      <c r="L292" s="208"/>
      <c r="M292" s="208"/>
      <c r="N292" s="208"/>
      <c r="O292" s="208"/>
      <c r="P292" s="139">
        <f>IF(Table_Shelter[[#This Row],[Status]]="Open",IF(V292="NO",Table_Shelter[[#This Row],[HH per Shelter]]*(Table_Shelter[[#This Row],['# of Temporary Shelter Units Built]]+Table_Shelter[[#This Row],['# of Temporary Shelter Under  Construction]]+Table_Shelter[[#This Row],['# of Permanent House Under Construction]]),0),0)</f>
        <v>40</v>
      </c>
      <c r="Q292" s="139"/>
      <c r="R292" s="208"/>
      <c r="S292" s="208" t="str">
        <f>IFERROR(VLOOKUP(Table_Shelter[[#This Row],[CampName]],CL,2,0),"")</f>
        <v>MMR001CMP055</v>
      </c>
      <c r="T292" s="208" t="str">
        <f>IFERROR(VLOOKUP(Table_Shelter[[#This Row],[CampName]],CL,3,0),"")</f>
        <v>Open</v>
      </c>
      <c r="U292" s="323">
        <f>IFERROR(Table_Shelter[[#This Row],[HH Covered]]/VLOOKUP(Table_Shelter[[#This Row],[CampName]],CL,4,0),"")</f>
        <v>1.9047619047619047</v>
      </c>
      <c r="V292" s="323" t="s">
        <v>1309</v>
      </c>
      <c r="W292" s="208"/>
    </row>
    <row r="293" spans="1:23" ht="15" customHeight="1" x14ac:dyDescent="0.25">
      <c r="A293" s="685">
        <v>42502</v>
      </c>
      <c r="B293" s="559" t="s">
        <v>453</v>
      </c>
      <c r="C293" s="560" t="s">
        <v>461</v>
      </c>
      <c r="D293" s="561" t="s">
        <v>380</v>
      </c>
      <c r="E293" s="406" t="s">
        <v>237</v>
      </c>
      <c r="F293" s="559" t="s">
        <v>238</v>
      </c>
      <c r="G293" s="559">
        <v>1</v>
      </c>
      <c r="H293" s="560"/>
      <c r="I293" s="560"/>
      <c r="J293" s="560"/>
      <c r="K293" s="560"/>
      <c r="L293" s="560"/>
      <c r="M293" s="560"/>
      <c r="N293" s="560"/>
      <c r="O293" s="560"/>
      <c r="P293" s="562">
        <f>IF(Table_Shelter[[#This Row],[Status]]="Open",IF(V293="NO",Table_Shelter[[#This Row],[HH per Shelter]]*(Table_Shelter[[#This Row],['# of Temporary Shelter Units Built]]+Table_Shelter[[#This Row],['# of Temporary Shelter Under  Construction]]+Table_Shelter[[#This Row],['# of Permanent House Under Construction]]),0),0)</f>
        <v>0</v>
      </c>
      <c r="Q293" s="562">
        <v>10</v>
      </c>
      <c r="R293" s="562"/>
      <c r="S293" s="563" t="str">
        <f>IFERROR(VLOOKUP(Table_Shelter[[#This Row],[CampName]],CL,2,0),"")</f>
        <v>MMR001CMP001</v>
      </c>
      <c r="T293" s="564" t="str">
        <f>IFERROR(VLOOKUP(Table_Shelter[[#This Row],[CampName]],CL,3,0),"")</f>
        <v>Open</v>
      </c>
      <c r="U293" s="565">
        <f>IFERROR(Table_Shelter[[#This Row],[HH Covered]]/VLOOKUP(Table_Shelter[[#This Row],[CampName]],CL,4,0),"")</f>
        <v>0</v>
      </c>
      <c r="V293" s="324" t="s">
        <v>1309</v>
      </c>
      <c r="W293" s="562"/>
    </row>
    <row r="294" spans="1:23" ht="15" customHeight="1" x14ac:dyDescent="0.25">
      <c r="A294" s="682">
        <v>42416</v>
      </c>
      <c r="B294" s="206" t="s">
        <v>453</v>
      </c>
      <c r="C294" s="206" t="s">
        <v>461</v>
      </c>
      <c r="D294" s="209" t="s">
        <v>380</v>
      </c>
      <c r="E294" s="406" t="s">
        <v>237</v>
      </c>
      <c r="F294" s="206" t="s">
        <v>238</v>
      </c>
      <c r="G294" s="138">
        <v>1</v>
      </c>
      <c r="H294" s="140"/>
      <c r="I294" s="140"/>
      <c r="J294" s="140"/>
      <c r="K294" s="140"/>
      <c r="L294" s="208"/>
      <c r="M294" s="208"/>
      <c r="N294" s="208"/>
      <c r="O294" s="208"/>
      <c r="P294" s="139">
        <f>IF(Table_Shelter[[#This Row],[Status]]="Open",IF(V294="NO",Table_Shelter[[#This Row],[HH per Shelter]]*(Table_Shelter[[#This Row],['# of Temporary Shelter Units Built]]+Table_Shelter[[#This Row],['# of Temporary Shelter Under  Construction]]+Table_Shelter[[#This Row],['# of Permanent House Under Construction]]),0),0)</f>
        <v>0</v>
      </c>
      <c r="Q294" s="139">
        <v>37</v>
      </c>
      <c r="R294" s="139">
        <v>37</v>
      </c>
      <c r="S294" s="208" t="str">
        <f>IFERROR(VLOOKUP(Table_Shelter[[#This Row],[CampName]],CL,2,0),"")</f>
        <v>MMR001CMP001</v>
      </c>
      <c r="T294" s="208" t="str">
        <f>IFERROR(VLOOKUP(Table_Shelter[[#This Row],[CampName]],CL,3,0),"")</f>
        <v>Open</v>
      </c>
      <c r="U294" s="323">
        <f>IFERROR(Table_Shelter[[#This Row],[HH Covered]]/VLOOKUP(Table_Shelter[[#This Row],[CampName]],CL,4,0),"")</f>
        <v>0</v>
      </c>
      <c r="V294" s="208" t="s">
        <v>1309</v>
      </c>
      <c r="W294" s="19"/>
    </row>
    <row r="295" spans="1:23" ht="15" customHeight="1" x14ac:dyDescent="0.25">
      <c r="A295" s="682"/>
      <c r="B295" s="206" t="s">
        <v>453</v>
      </c>
      <c r="C295" s="206" t="s">
        <v>461</v>
      </c>
      <c r="D295" s="209" t="s">
        <v>380</v>
      </c>
      <c r="E295" s="406" t="s">
        <v>237</v>
      </c>
      <c r="F295" s="206" t="s">
        <v>238</v>
      </c>
      <c r="G295" s="138">
        <v>1</v>
      </c>
      <c r="H295" s="140"/>
      <c r="I295" s="140"/>
      <c r="J295" s="140">
        <v>60</v>
      </c>
      <c r="K295" s="140">
        <v>60</v>
      </c>
      <c r="L295" s="208"/>
      <c r="M295" s="208"/>
      <c r="N295" s="208"/>
      <c r="O295" s="208"/>
      <c r="P295" s="139">
        <f>IF(Table_Shelter[[#This Row],[Status]]="Open",IF(V295="NO",Table_Shelter[[#This Row],[HH per Shelter]]*(Table_Shelter[[#This Row],['# of Temporary Shelter Units Built]]+Table_Shelter[[#This Row],['# of Temporary Shelter Under  Construction]]+Table_Shelter[[#This Row],['# of Permanent House Under Construction]]),0),0)</f>
        <v>60</v>
      </c>
      <c r="Q295" s="139"/>
      <c r="R295" s="208"/>
      <c r="S295" s="208" t="str">
        <f>IFERROR(VLOOKUP(Table_Shelter[[#This Row],[CampName]],CL,2,0),"")</f>
        <v>MMR001CMP001</v>
      </c>
      <c r="T295" s="208" t="str">
        <f>IFERROR(VLOOKUP(Table_Shelter[[#This Row],[CampName]],CL,3,0),"")</f>
        <v>Open</v>
      </c>
      <c r="U295" s="323">
        <f>IFERROR(Table_Shelter[[#This Row],[HH Covered]]/VLOOKUP(Table_Shelter[[#This Row],[CampName]],CL,4,0),"")</f>
        <v>0.89552238805970152</v>
      </c>
      <c r="V295" s="323" t="s">
        <v>1309</v>
      </c>
      <c r="W295" s="208"/>
    </row>
    <row r="296" spans="1:23" ht="15" customHeight="1" x14ac:dyDescent="0.25">
      <c r="A296" s="681">
        <v>42416</v>
      </c>
      <c r="B296" s="206" t="s">
        <v>453</v>
      </c>
      <c r="C296" s="206" t="s">
        <v>506</v>
      </c>
      <c r="D296" s="209" t="s">
        <v>380</v>
      </c>
      <c r="E296" s="406" t="s">
        <v>237</v>
      </c>
      <c r="F296" s="206" t="s">
        <v>1247</v>
      </c>
      <c r="G296" s="138">
        <v>1</v>
      </c>
      <c r="H296" s="140"/>
      <c r="I296" s="140"/>
      <c r="J296" s="140">
        <v>10</v>
      </c>
      <c r="K296" s="140">
        <v>10</v>
      </c>
      <c r="L296" s="208"/>
      <c r="M296" s="208"/>
      <c r="N296" s="208"/>
      <c r="O296" s="208"/>
      <c r="P296" s="139">
        <f>IF(Table_Shelter[[#This Row],[Status]]="Open",IF(V296="NO",Table_Shelter[[#This Row],[HH per Shelter]]*(Table_Shelter[[#This Row],['# of Temporary Shelter Units Built]]+Table_Shelter[[#This Row],['# of Temporary Shelter Under  Construction]]+Table_Shelter[[#This Row],['# of Permanent House Under Construction]]),0),0)</f>
        <v>10</v>
      </c>
      <c r="Q296" s="139"/>
      <c r="R296" s="208"/>
      <c r="S296" s="208" t="str">
        <f>IFERROR(VLOOKUP(Table_Shelter[[#This Row],[CampName]],CL,2,0),"")</f>
        <v>MMR001CMP023</v>
      </c>
      <c r="T296" s="208" t="str">
        <f>IFERROR(VLOOKUP(Table_Shelter[[#This Row],[CampName]],CL,3,0),"")</f>
        <v>Open</v>
      </c>
      <c r="U296" s="323">
        <f>IFERROR(Table_Shelter[[#This Row],[HH Covered]]/VLOOKUP(Table_Shelter[[#This Row],[CampName]],CL,4,0),"")</f>
        <v>0.18518518518518517</v>
      </c>
      <c r="V296" s="323" t="s">
        <v>1309</v>
      </c>
      <c r="W296" s="208"/>
    </row>
    <row r="297" spans="1:23" ht="15" customHeight="1" x14ac:dyDescent="0.25">
      <c r="A297" s="682">
        <v>41974</v>
      </c>
      <c r="B297" s="206" t="s">
        <v>453</v>
      </c>
      <c r="C297" s="206" t="s">
        <v>506</v>
      </c>
      <c r="D297" s="209" t="s">
        <v>380</v>
      </c>
      <c r="E297" s="406" t="s">
        <v>237</v>
      </c>
      <c r="F297" s="206" t="s">
        <v>1247</v>
      </c>
      <c r="G297" s="138">
        <v>1</v>
      </c>
      <c r="H297" s="140"/>
      <c r="I297" s="140"/>
      <c r="J297" s="140">
        <v>5</v>
      </c>
      <c r="K297" s="140">
        <v>5</v>
      </c>
      <c r="L297" s="208"/>
      <c r="M297" s="208"/>
      <c r="N297" s="208"/>
      <c r="O297" s="208"/>
      <c r="P297" s="139">
        <f>IF(Table_Shelter[[#This Row],[Status]]="Open",IF(V297="NO",Table_Shelter[[#This Row],[HH per Shelter]]*(Table_Shelter[[#This Row],['# of Temporary Shelter Units Built]]+Table_Shelter[[#This Row],['# of Temporary Shelter Under  Construction]]+Table_Shelter[[#This Row],['# of Permanent House Under Construction]]),0),0)</f>
        <v>5</v>
      </c>
      <c r="Q297" s="139"/>
      <c r="R297" s="139"/>
      <c r="S297" s="139" t="str">
        <f>IFERROR(VLOOKUP(Table_Shelter[[#This Row],[CampName]],CL,2,0),"")</f>
        <v>MMR001CMP023</v>
      </c>
      <c r="T297" s="139" t="str">
        <f>IFERROR(VLOOKUP(Table_Shelter[[#This Row],[CampName]],CL,3,0),"")</f>
        <v>Open</v>
      </c>
      <c r="U297" s="323">
        <f>IFERROR(Table_Shelter[[#This Row],[HH Covered]]/VLOOKUP(Table_Shelter[[#This Row],[CampName]],CL,4,0),"")</f>
        <v>9.2592592592592587E-2</v>
      </c>
      <c r="V297" s="323" t="s">
        <v>1309</v>
      </c>
      <c r="W297" s="139"/>
    </row>
    <row r="298" spans="1:23" ht="15" customHeight="1" x14ac:dyDescent="0.25">
      <c r="A298" s="682">
        <v>41791</v>
      </c>
      <c r="B298" s="138" t="s">
        <v>453</v>
      </c>
      <c r="C298" s="138" t="s">
        <v>506</v>
      </c>
      <c r="D298" s="213" t="s">
        <v>380</v>
      </c>
      <c r="E298" s="214" t="s">
        <v>237</v>
      </c>
      <c r="F298" s="138" t="s">
        <v>1247</v>
      </c>
      <c r="G298" s="138">
        <v>1</v>
      </c>
      <c r="H298" s="140"/>
      <c r="I298" s="140"/>
      <c r="J298" s="140">
        <v>10</v>
      </c>
      <c r="K298" s="140">
        <v>10</v>
      </c>
      <c r="L298" s="140"/>
      <c r="M298" s="140"/>
      <c r="N298" s="140"/>
      <c r="O298" s="140"/>
      <c r="P298" s="139">
        <f>IF(Table_Shelter[[#This Row],[Status]]="Open",IF(V298="NO",Table_Shelter[[#This Row],[HH per Shelter]]*(Table_Shelter[[#This Row],['# of Temporary Shelter Units Built]]+Table_Shelter[[#This Row],['# of Temporary Shelter Under  Construction]]+Table_Shelter[[#This Row],['# of Permanent House Under Construction]]),0),0)</f>
        <v>10</v>
      </c>
      <c r="Q298" s="139"/>
      <c r="R298" s="139"/>
      <c r="S298" s="139" t="str">
        <f>IFERROR(VLOOKUP(Table_Shelter[[#This Row],[CampName]],CL,2,0),"")</f>
        <v>MMR001CMP023</v>
      </c>
      <c r="T298" s="139" t="str">
        <f>IFERROR(VLOOKUP(Table_Shelter[[#This Row],[CampName]],CL,3,0),"")</f>
        <v>Open</v>
      </c>
      <c r="U298" s="324">
        <f>IFERROR(Table_Shelter[[#This Row],[HH Covered]]/VLOOKUP(Table_Shelter[[#This Row],[CampName]],CL,4,0),"")</f>
        <v>0.18518518518518517</v>
      </c>
      <c r="V298" s="323" t="s">
        <v>1309</v>
      </c>
      <c r="W298" s="139"/>
    </row>
    <row r="299" spans="1:23" ht="15" customHeight="1" x14ac:dyDescent="0.25">
      <c r="A299" s="682">
        <v>41609</v>
      </c>
      <c r="B299" s="206" t="s">
        <v>453</v>
      </c>
      <c r="C299" s="206" t="s">
        <v>506</v>
      </c>
      <c r="D299" s="209" t="s">
        <v>380</v>
      </c>
      <c r="E299" s="406" t="s">
        <v>237</v>
      </c>
      <c r="F299" s="206" t="s">
        <v>1247</v>
      </c>
      <c r="G299" s="138">
        <v>1</v>
      </c>
      <c r="H299" s="140"/>
      <c r="I299" s="140"/>
      <c r="J299" s="140">
        <v>30</v>
      </c>
      <c r="K299" s="140">
        <v>30</v>
      </c>
      <c r="L299" s="208"/>
      <c r="M299" s="208"/>
      <c r="N299" s="208"/>
      <c r="O299" s="208"/>
      <c r="P299" s="139">
        <f>IF(Table_Shelter[[#This Row],[Status]]="Open",IF(V299="NO",Table_Shelter[[#This Row],[HH per Shelter]]*(Table_Shelter[[#This Row],['# of Temporary Shelter Units Built]]+Table_Shelter[[#This Row],['# of Temporary Shelter Under  Construction]]+Table_Shelter[[#This Row],['# of Permanent House Under Construction]]),0),0)</f>
        <v>30</v>
      </c>
      <c r="Q299" s="139"/>
      <c r="R299" s="139"/>
      <c r="S299" s="139" t="str">
        <f>IFERROR(VLOOKUP(Table_Shelter[[#This Row],[CampName]],CL,2,0),"")</f>
        <v>MMR001CMP023</v>
      </c>
      <c r="T299" s="139" t="str">
        <f>IFERROR(VLOOKUP(Table_Shelter[[#This Row],[CampName]],CL,3,0),"")</f>
        <v>Open</v>
      </c>
      <c r="U299" s="323">
        <f>IFERROR(Table_Shelter[[#This Row],[HH Covered]]/VLOOKUP(Table_Shelter[[#This Row],[CampName]],CL,4,0),"")</f>
        <v>0.55555555555555558</v>
      </c>
      <c r="V299" s="323" t="s">
        <v>1309</v>
      </c>
      <c r="W299" s="139"/>
    </row>
    <row r="300" spans="1:23" ht="15" customHeight="1" x14ac:dyDescent="0.25">
      <c r="A300" s="682"/>
      <c r="B300" s="206" t="s">
        <v>850</v>
      </c>
      <c r="C300" s="206" t="s">
        <v>506</v>
      </c>
      <c r="D300" s="209" t="s">
        <v>380</v>
      </c>
      <c r="E300" s="406" t="s">
        <v>237</v>
      </c>
      <c r="F300" s="206" t="s">
        <v>1247</v>
      </c>
      <c r="G300" s="138">
        <v>1</v>
      </c>
      <c r="H300" s="140"/>
      <c r="I300" s="140"/>
      <c r="J300" s="140">
        <v>12</v>
      </c>
      <c r="K300" s="140">
        <v>12</v>
      </c>
      <c r="L300" s="208"/>
      <c r="M300" s="208"/>
      <c r="N300" s="208"/>
      <c r="O300" s="208"/>
      <c r="P300" s="139">
        <f>IF(Table_Shelter[[#This Row],[Status]]="Open",IF(V300="NO",Table_Shelter[[#This Row],[HH per Shelter]]*(Table_Shelter[[#This Row],['# of Temporary Shelter Units Built]]+Table_Shelter[[#This Row],['# of Temporary Shelter Under  Construction]]+Table_Shelter[[#This Row],['# of Permanent House Under Construction]]),0),0)</f>
        <v>12</v>
      </c>
      <c r="Q300" s="139"/>
      <c r="R300" s="208"/>
      <c r="S300" s="208" t="str">
        <f>IFERROR(VLOOKUP(Table_Shelter[[#This Row],[CampName]],CL,2,0),"")</f>
        <v>MMR001CMP023</v>
      </c>
      <c r="T300" s="208" t="str">
        <f>IFERROR(VLOOKUP(Table_Shelter[[#This Row],[CampName]],CL,3,0),"")</f>
        <v>Open</v>
      </c>
      <c r="U300" s="323">
        <f>IFERROR(Table_Shelter[[#This Row],[HH Covered]]/VLOOKUP(Table_Shelter[[#This Row],[CampName]],CL,4,0),"")</f>
        <v>0.22222222222222221</v>
      </c>
      <c r="V300" s="323" t="s">
        <v>1309</v>
      </c>
      <c r="W300" s="208"/>
    </row>
    <row r="301" spans="1:23" ht="15" customHeight="1" x14ac:dyDescent="0.25">
      <c r="A301" s="682"/>
      <c r="B301" s="206" t="s">
        <v>453</v>
      </c>
      <c r="C301" s="206" t="s">
        <v>506</v>
      </c>
      <c r="D301" s="209" t="s">
        <v>380</v>
      </c>
      <c r="E301" s="406" t="s">
        <v>237</v>
      </c>
      <c r="F301" s="206" t="s">
        <v>1247</v>
      </c>
      <c r="G301" s="138">
        <v>1</v>
      </c>
      <c r="H301" s="140"/>
      <c r="I301" s="140"/>
      <c r="J301" s="140">
        <v>40</v>
      </c>
      <c r="K301" s="140">
        <v>40</v>
      </c>
      <c r="L301" s="208"/>
      <c r="M301" s="208"/>
      <c r="N301" s="208"/>
      <c r="O301" s="208"/>
      <c r="P301" s="139">
        <f>IF(Table_Shelter[[#This Row],[Status]]="Open",IF(V301="NO",Table_Shelter[[#This Row],[HH per Shelter]]*(Table_Shelter[[#This Row],['# of Temporary Shelter Units Built]]+Table_Shelter[[#This Row],['# of Temporary Shelter Under  Construction]]+Table_Shelter[[#This Row],['# of Permanent House Under Construction]]),0),0)</f>
        <v>40</v>
      </c>
      <c r="Q301" s="139"/>
      <c r="R301" s="208"/>
      <c r="S301" s="208" t="str">
        <f>IFERROR(VLOOKUP(Table_Shelter[[#This Row],[CampName]],CL,2,0),"")</f>
        <v>MMR001CMP023</v>
      </c>
      <c r="T301" s="208" t="str">
        <f>IFERROR(VLOOKUP(Table_Shelter[[#This Row],[CampName]],CL,3,0),"")</f>
        <v>Open</v>
      </c>
      <c r="U301" s="323">
        <f>IFERROR(Table_Shelter[[#This Row],[HH Covered]]/VLOOKUP(Table_Shelter[[#This Row],[CampName]],CL,4,0),"")</f>
        <v>0.7407407407407407</v>
      </c>
      <c r="V301" s="323" t="s">
        <v>1309</v>
      </c>
      <c r="W301" s="208"/>
    </row>
    <row r="302" spans="1:23" ht="15" customHeight="1" x14ac:dyDescent="0.25">
      <c r="A302" s="682"/>
      <c r="B302" s="138" t="s">
        <v>453</v>
      </c>
      <c r="C302" s="138" t="s">
        <v>506</v>
      </c>
      <c r="D302" s="213" t="s">
        <v>380</v>
      </c>
      <c r="E302" s="214" t="s">
        <v>237</v>
      </c>
      <c r="F302" s="138" t="s">
        <v>1247</v>
      </c>
      <c r="G302" s="138">
        <v>1</v>
      </c>
      <c r="H302" s="140"/>
      <c r="I302" s="140"/>
      <c r="J302" s="140">
        <v>20</v>
      </c>
      <c r="K302" s="140">
        <v>20</v>
      </c>
      <c r="L302" s="140"/>
      <c r="M302" s="140"/>
      <c r="N302" s="140"/>
      <c r="O302" s="140"/>
      <c r="P302" s="139">
        <f>IF(Table_Shelter[[#This Row],[Status]]="Open",IF(V302="NO",Table_Shelter[[#This Row],[HH per Shelter]]*(Table_Shelter[[#This Row],['# of Temporary Shelter Units Built]]+Table_Shelter[[#This Row],['# of Temporary Shelter Under  Construction]]+Table_Shelter[[#This Row],['# of Permanent House Under Construction]]),0),0)</f>
        <v>20</v>
      </c>
      <c r="Q302" s="139"/>
      <c r="R302" s="139"/>
      <c r="S302" s="139" t="str">
        <f>IFERROR(VLOOKUP(Table_Shelter[[#This Row],[CampName]],CL,2,0),"")</f>
        <v>MMR001CMP023</v>
      </c>
      <c r="T302" s="139" t="str">
        <f>IFERROR(VLOOKUP(Table_Shelter[[#This Row],[CampName]],CL,3,0),"")</f>
        <v>Open</v>
      </c>
      <c r="U302" s="324">
        <f>IFERROR(Table_Shelter[[#This Row],[HH Covered]]/VLOOKUP(Table_Shelter[[#This Row],[CampName]],CL,4,0),"")</f>
        <v>0.37037037037037035</v>
      </c>
      <c r="V302" s="323" t="s">
        <v>1309</v>
      </c>
      <c r="W302" s="139"/>
    </row>
    <row r="303" spans="1:23" ht="15" customHeight="1" x14ac:dyDescent="0.25">
      <c r="A303" s="682"/>
      <c r="B303" s="206" t="s">
        <v>453</v>
      </c>
      <c r="C303" s="206" t="s">
        <v>506</v>
      </c>
      <c r="D303" s="209" t="s">
        <v>380</v>
      </c>
      <c r="E303" s="406" t="s">
        <v>237</v>
      </c>
      <c r="F303" s="206" t="s">
        <v>249</v>
      </c>
      <c r="G303" s="138">
        <v>1</v>
      </c>
      <c r="H303" s="140"/>
      <c r="I303" s="140"/>
      <c r="J303" s="140">
        <v>10</v>
      </c>
      <c r="K303" s="140">
        <v>10</v>
      </c>
      <c r="L303" s="208"/>
      <c r="M303" s="208"/>
      <c r="N303" s="208"/>
      <c r="O303" s="208"/>
      <c r="P303" s="139">
        <f>IF(Table_Shelter[[#This Row],[Status]]="Open",IF(V303="NO",Table_Shelter[[#This Row],[HH per Shelter]]*(Table_Shelter[[#This Row],['# of Temporary Shelter Units Built]]+Table_Shelter[[#This Row],['# of Temporary Shelter Under  Construction]]+Table_Shelter[[#This Row],['# of Permanent House Under Construction]]),0),0)</f>
        <v>10</v>
      </c>
      <c r="Q303" s="139"/>
      <c r="R303" s="208"/>
      <c r="S303" s="208" t="str">
        <f>IFERROR(VLOOKUP(Table_Shelter[[#This Row],[CampName]],CL,2,0),"")</f>
        <v>MMR001CMP004</v>
      </c>
      <c r="T303" s="208" t="str">
        <f>IFERROR(VLOOKUP(Table_Shelter[[#This Row],[CampName]],CL,3,0),"")</f>
        <v>Open</v>
      </c>
      <c r="U303" s="323">
        <f>IFERROR(Table_Shelter[[#This Row],[HH Covered]]/VLOOKUP(Table_Shelter[[#This Row],[CampName]],CL,4,0),"")</f>
        <v>1.6666666666666667</v>
      </c>
      <c r="V303" s="323" t="s">
        <v>1309</v>
      </c>
      <c r="W303" s="208"/>
    </row>
    <row r="304" spans="1:23" ht="15" customHeight="1" x14ac:dyDescent="0.25">
      <c r="A304" s="682"/>
      <c r="B304" s="206" t="s">
        <v>453</v>
      </c>
      <c r="C304" s="206"/>
      <c r="D304" s="209" t="s">
        <v>380</v>
      </c>
      <c r="E304" s="406" t="s">
        <v>237</v>
      </c>
      <c r="F304" s="206" t="s">
        <v>249</v>
      </c>
      <c r="G304" s="138">
        <v>1</v>
      </c>
      <c r="H304" s="140"/>
      <c r="I304" s="140"/>
      <c r="J304" s="140">
        <v>5</v>
      </c>
      <c r="K304" s="140">
        <v>5</v>
      </c>
      <c r="L304" s="208"/>
      <c r="M304" s="208"/>
      <c r="N304" s="208"/>
      <c r="O304" s="208"/>
      <c r="P304" s="139">
        <f>IF(Table_Shelter[[#This Row],[Status]]="Open",IF(V304="NO",Table_Shelter[[#This Row],[HH per Shelter]]*(Table_Shelter[[#This Row],['# of Temporary Shelter Units Built]]+Table_Shelter[[#This Row],['# of Temporary Shelter Under  Construction]]+Table_Shelter[[#This Row],['# of Permanent House Under Construction]]),0),0)</f>
        <v>5</v>
      </c>
      <c r="Q304" s="139"/>
      <c r="R304" s="208"/>
      <c r="S304" s="208" t="str">
        <f>IFERROR(VLOOKUP(Table_Shelter[[#This Row],[CampName]],CL,2,0),"")</f>
        <v>MMR001CMP004</v>
      </c>
      <c r="T304" s="208" t="str">
        <f>IFERROR(VLOOKUP(Table_Shelter[[#This Row],[CampName]],CL,3,0),"")</f>
        <v>Open</v>
      </c>
      <c r="U304" s="323">
        <f>IFERROR(Table_Shelter[[#This Row],[HH Covered]]/VLOOKUP(Table_Shelter[[#This Row],[CampName]],CL,4,0),"")</f>
        <v>0.83333333333333337</v>
      </c>
      <c r="V304" s="323" t="s">
        <v>1309</v>
      </c>
      <c r="W304" s="208"/>
    </row>
    <row r="305" spans="1:23" ht="15" customHeight="1" x14ac:dyDescent="0.25">
      <c r="A305" s="685">
        <v>42502</v>
      </c>
      <c r="B305" s="559" t="s">
        <v>453</v>
      </c>
      <c r="C305" s="560" t="s">
        <v>461</v>
      </c>
      <c r="D305" s="561" t="s">
        <v>380</v>
      </c>
      <c r="E305" s="406" t="s">
        <v>237</v>
      </c>
      <c r="F305" s="559" t="s">
        <v>251</v>
      </c>
      <c r="G305" s="559">
        <v>1</v>
      </c>
      <c r="H305" s="560"/>
      <c r="I305" s="560"/>
      <c r="J305" s="560"/>
      <c r="K305" s="560"/>
      <c r="L305" s="560"/>
      <c r="M305" s="560"/>
      <c r="N305" s="560"/>
      <c r="O305" s="560"/>
      <c r="P305" s="562">
        <f>IF(Table_Shelter[[#This Row],[Status]]="Open",IF(V305="NO",Table_Shelter[[#This Row],[HH per Shelter]]*(Table_Shelter[[#This Row],['# of Temporary Shelter Units Built]]+Table_Shelter[[#This Row],['# of Temporary Shelter Under  Construction]]+Table_Shelter[[#This Row],['# of Permanent House Under Construction]]),0),0)</f>
        <v>0</v>
      </c>
      <c r="Q305" s="562">
        <v>5</v>
      </c>
      <c r="R305" s="562"/>
      <c r="S305" s="563" t="str">
        <f>IFERROR(VLOOKUP(Table_Shelter[[#This Row],[CampName]],CL,2,0),"")</f>
        <v>MMR001CMP003</v>
      </c>
      <c r="T305" s="564" t="str">
        <f>IFERROR(VLOOKUP(Table_Shelter[[#This Row],[CampName]],CL,3,0),"")</f>
        <v>Open</v>
      </c>
      <c r="U305" s="565">
        <f>IFERROR(Table_Shelter[[#This Row],[HH Covered]]/VLOOKUP(Table_Shelter[[#This Row],[CampName]],CL,4,0),"")</f>
        <v>0</v>
      </c>
      <c r="V305" s="324" t="s">
        <v>1309</v>
      </c>
      <c r="W305" s="562"/>
    </row>
    <row r="306" spans="1:23" ht="15" customHeight="1" x14ac:dyDescent="0.25">
      <c r="A306" s="682"/>
      <c r="B306" s="206" t="s">
        <v>453</v>
      </c>
      <c r="C306" s="206" t="s">
        <v>461</v>
      </c>
      <c r="D306" s="209" t="s">
        <v>380</v>
      </c>
      <c r="E306" s="406" t="s">
        <v>237</v>
      </c>
      <c r="F306" s="206" t="s">
        <v>251</v>
      </c>
      <c r="G306" s="138">
        <v>1</v>
      </c>
      <c r="H306" s="140"/>
      <c r="I306" s="140"/>
      <c r="J306" s="140">
        <v>20</v>
      </c>
      <c r="K306" s="140">
        <v>20</v>
      </c>
      <c r="L306" s="208"/>
      <c r="M306" s="208"/>
      <c r="N306" s="208"/>
      <c r="O306" s="208"/>
      <c r="P306" s="139">
        <f>IF(Table_Shelter[[#This Row],[Status]]="Open",IF(V306="NO",Table_Shelter[[#This Row],[HH per Shelter]]*(Table_Shelter[[#This Row],['# of Temporary Shelter Units Built]]+Table_Shelter[[#This Row],['# of Temporary Shelter Under  Construction]]+Table_Shelter[[#This Row],['# of Permanent House Under Construction]]),0),0)</f>
        <v>20</v>
      </c>
      <c r="Q306" s="139"/>
      <c r="R306" s="208"/>
      <c r="S306" s="208" t="str">
        <f>IFERROR(VLOOKUP(Table_Shelter[[#This Row],[CampName]],CL,2,0),"")</f>
        <v>MMR001CMP003</v>
      </c>
      <c r="T306" s="208" t="str">
        <f>IFERROR(VLOOKUP(Table_Shelter[[#This Row],[CampName]],CL,3,0),"")</f>
        <v>Open</v>
      </c>
      <c r="U306" s="323">
        <f>IFERROR(Table_Shelter[[#This Row],[HH Covered]]/VLOOKUP(Table_Shelter[[#This Row],[CampName]],CL,4,0),"")</f>
        <v>0.625</v>
      </c>
      <c r="V306" s="323" t="s">
        <v>1309</v>
      </c>
      <c r="W306" s="208"/>
    </row>
    <row r="307" spans="1:23" ht="15" customHeight="1" x14ac:dyDescent="0.25">
      <c r="A307" s="685">
        <v>42502</v>
      </c>
      <c r="B307" s="559" t="s">
        <v>453</v>
      </c>
      <c r="C307" s="560" t="s">
        <v>461</v>
      </c>
      <c r="D307" s="561" t="s">
        <v>380</v>
      </c>
      <c r="E307" s="406" t="s">
        <v>237</v>
      </c>
      <c r="F307" s="559" t="s">
        <v>275</v>
      </c>
      <c r="G307" s="559">
        <v>1</v>
      </c>
      <c r="H307" s="560"/>
      <c r="I307" s="560"/>
      <c r="J307" s="560"/>
      <c r="K307" s="560"/>
      <c r="L307" s="560"/>
      <c r="M307" s="560"/>
      <c r="N307" s="560"/>
      <c r="O307" s="560"/>
      <c r="P307" s="562">
        <f>IF(Table_Shelter[[#This Row],[Status]]="Open",IF(V307="NO",Table_Shelter[[#This Row],[HH per Shelter]]*(Table_Shelter[[#This Row],['# of Temporary Shelter Units Built]]+Table_Shelter[[#This Row],['# of Temporary Shelter Under  Construction]]+Table_Shelter[[#This Row],['# of Permanent House Under Construction]]),0),0)</f>
        <v>0</v>
      </c>
      <c r="Q307" s="562">
        <v>3</v>
      </c>
      <c r="R307" s="562"/>
      <c r="S307" s="563" t="str">
        <f>IFERROR(VLOOKUP(Table_Shelter[[#This Row],[CampName]],CL,2,0),"")</f>
        <v>MMR001CMP005</v>
      </c>
      <c r="T307" s="564" t="str">
        <f>IFERROR(VLOOKUP(Table_Shelter[[#This Row],[CampName]],CL,3,0),"")</f>
        <v>Open</v>
      </c>
      <c r="U307" s="565">
        <f>IFERROR(Table_Shelter[[#This Row],[HH Covered]]/VLOOKUP(Table_Shelter[[#This Row],[CampName]],CL,4,0),"")</f>
        <v>0</v>
      </c>
      <c r="V307" s="324" t="s">
        <v>1309</v>
      </c>
      <c r="W307" s="562"/>
    </row>
    <row r="308" spans="1:23" ht="15" customHeight="1" x14ac:dyDescent="0.25">
      <c r="A308" s="682"/>
      <c r="B308" s="206" t="s">
        <v>848</v>
      </c>
      <c r="C308" s="206" t="s">
        <v>461</v>
      </c>
      <c r="D308" s="209" t="s">
        <v>380</v>
      </c>
      <c r="E308" s="406" t="s">
        <v>237</v>
      </c>
      <c r="F308" s="206" t="s">
        <v>275</v>
      </c>
      <c r="G308" s="138">
        <v>1</v>
      </c>
      <c r="H308" s="140"/>
      <c r="I308" s="140"/>
      <c r="J308" s="140">
        <v>14</v>
      </c>
      <c r="K308" s="140">
        <v>14</v>
      </c>
      <c r="L308" s="208"/>
      <c r="M308" s="208"/>
      <c r="N308" s="208"/>
      <c r="O308" s="208"/>
      <c r="P308" s="139">
        <f>IF(Table_Shelter[[#This Row],[Status]]="Open",IF(V308="NO",Table_Shelter[[#This Row],[HH per Shelter]]*(Table_Shelter[[#This Row],['# of Temporary Shelter Units Built]]+Table_Shelter[[#This Row],['# of Temporary Shelter Under  Construction]]+Table_Shelter[[#This Row],['# of Permanent House Under Construction]]),0),0)</f>
        <v>14</v>
      </c>
      <c r="Q308" s="139"/>
      <c r="R308" s="208"/>
      <c r="S308" s="208" t="str">
        <f>IFERROR(VLOOKUP(Table_Shelter[[#This Row],[CampName]],CL,2,0),"")</f>
        <v>MMR001CMP005</v>
      </c>
      <c r="T308" s="208" t="str">
        <f>IFERROR(VLOOKUP(Table_Shelter[[#This Row],[CampName]],CL,3,0),"")</f>
        <v>Open</v>
      </c>
      <c r="U308" s="323">
        <f>IFERROR(Table_Shelter[[#This Row],[HH Covered]]/VLOOKUP(Table_Shelter[[#This Row],[CampName]],CL,4,0),"")</f>
        <v>0.32558139534883723</v>
      </c>
      <c r="V308" s="323" t="s">
        <v>1309</v>
      </c>
      <c r="W308" s="208"/>
    </row>
    <row r="309" spans="1:23" ht="15" customHeight="1" x14ac:dyDescent="0.25">
      <c r="A309" s="682"/>
      <c r="B309" s="206" t="s">
        <v>453</v>
      </c>
      <c r="C309" s="206" t="s">
        <v>461</v>
      </c>
      <c r="D309" s="209" t="s">
        <v>380</v>
      </c>
      <c r="E309" s="406" t="s">
        <v>237</v>
      </c>
      <c r="F309" s="206" t="s">
        <v>275</v>
      </c>
      <c r="G309" s="138">
        <v>1</v>
      </c>
      <c r="H309" s="140"/>
      <c r="I309" s="140"/>
      <c r="J309" s="140">
        <v>10</v>
      </c>
      <c r="K309" s="140">
        <v>10</v>
      </c>
      <c r="L309" s="208"/>
      <c r="M309" s="208"/>
      <c r="N309" s="208"/>
      <c r="O309" s="208"/>
      <c r="P309" s="139">
        <f>IF(Table_Shelter[[#This Row],[Status]]="Open",IF(V309="NO",Table_Shelter[[#This Row],[HH per Shelter]]*(Table_Shelter[[#This Row],['# of Temporary Shelter Units Built]]+Table_Shelter[[#This Row],['# of Temporary Shelter Under  Construction]]+Table_Shelter[[#This Row],['# of Permanent House Under Construction]]),0),0)</f>
        <v>10</v>
      </c>
      <c r="Q309" s="139"/>
      <c r="R309" s="208"/>
      <c r="S309" s="208" t="str">
        <f>IFERROR(VLOOKUP(Table_Shelter[[#This Row],[CampName]],CL,2,0),"")</f>
        <v>MMR001CMP005</v>
      </c>
      <c r="T309" s="208" t="str">
        <f>IFERROR(VLOOKUP(Table_Shelter[[#This Row],[CampName]],CL,3,0),"")</f>
        <v>Open</v>
      </c>
      <c r="U309" s="323">
        <f>IFERROR(Table_Shelter[[#This Row],[HH Covered]]/VLOOKUP(Table_Shelter[[#This Row],[CampName]],CL,4,0),"")</f>
        <v>0.23255813953488372</v>
      </c>
      <c r="V309" s="323" t="s">
        <v>1309</v>
      </c>
      <c r="W309" s="208"/>
    </row>
    <row r="310" spans="1:23" ht="15" customHeight="1" x14ac:dyDescent="0.25">
      <c r="A310" s="682"/>
      <c r="B310" s="206" t="s">
        <v>453</v>
      </c>
      <c r="C310" s="206" t="s">
        <v>461</v>
      </c>
      <c r="D310" s="213" t="s">
        <v>380</v>
      </c>
      <c r="E310" s="214" t="s">
        <v>237</v>
      </c>
      <c r="F310" s="138" t="s">
        <v>275</v>
      </c>
      <c r="G310" s="138">
        <v>1</v>
      </c>
      <c r="H310" s="140"/>
      <c r="I310" s="140"/>
      <c r="J310" s="140">
        <v>8</v>
      </c>
      <c r="K310" s="140">
        <v>8</v>
      </c>
      <c r="L310" s="140"/>
      <c r="M310" s="140"/>
      <c r="N310" s="140"/>
      <c r="O310" s="140"/>
      <c r="P310" s="139">
        <f>IF(Table_Shelter[[#This Row],[Status]]="Open",IF(V310="NO",Table_Shelter[[#This Row],[HH per Shelter]]*(Table_Shelter[[#This Row],['# of Temporary Shelter Units Built]]+Table_Shelter[[#This Row],['# of Temporary Shelter Under  Construction]]+Table_Shelter[[#This Row],['# of Permanent House Under Construction]]),0),0)</f>
        <v>8</v>
      </c>
      <c r="Q310" s="139"/>
      <c r="R310" s="139"/>
      <c r="S310" s="139" t="str">
        <f>IFERROR(VLOOKUP(Table_Shelter[[#This Row],[CampName]],CL,2,0),"")</f>
        <v>MMR001CMP005</v>
      </c>
      <c r="T310" s="139" t="str">
        <f>IFERROR(VLOOKUP(Table_Shelter[[#This Row],[CampName]],CL,3,0),"")</f>
        <v>Open</v>
      </c>
      <c r="U310" s="324">
        <f>IFERROR(Table_Shelter[[#This Row],[HH Covered]]/VLOOKUP(Table_Shelter[[#This Row],[CampName]],CL,4,0),"")</f>
        <v>0.18604651162790697</v>
      </c>
      <c r="V310" s="323" t="s">
        <v>1309</v>
      </c>
      <c r="W310" s="139"/>
    </row>
    <row r="311" spans="1:23" ht="15" customHeight="1" x14ac:dyDescent="0.25">
      <c r="A311" s="682">
        <v>41974</v>
      </c>
      <c r="B311" s="206" t="s">
        <v>453</v>
      </c>
      <c r="C311" s="206" t="s">
        <v>506</v>
      </c>
      <c r="D311" s="209" t="s">
        <v>380</v>
      </c>
      <c r="E311" s="406" t="s">
        <v>310</v>
      </c>
      <c r="F311" s="206" t="s">
        <v>349</v>
      </c>
      <c r="G311" s="138">
        <v>1</v>
      </c>
      <c r="H311" s="140"/>
      <c r="I311" s="140"/>
      <c r="J311" s="140">
        <v>5</v>
      </c>
      <c r="K311" s="140">
        <v>5</v>
      </c>
      <c r="L311" s="208"/>
      <c r="M311" s="208"/>
      <c r="N311" s="208"/>
      <c r="O311" s="208"/>
      <c r="P311" s="139">
        <f>IF(Table_Shelter[[#This Row],[Status]]="Open",IF(V311="NO",Table_Shelter[[#This Row],[HH per Shelter]]*(Table_Shelter[[#This Row],['# of Temporary Shelter Units Built]]+Table_Shelter[[#This Row],['# of Temporary Shelter Under  Construction]]+Table_Shelter[[#This Row],['# of Permanent House Under Construction]]),0),0)</f>
        <v>5</v>
      </c>
      <c r="Q311" s="139"/>
      <c r="R311" s="139"/>
      <c r="S311" s="139" t="str">
        <f>IFERROR(VLOOKUP(Table_Shelter[[#This Row],[CampName]],CL,2,0),"")</f>
        <v>MMR001CMP037</v>
      </c>
      <c r="T311" s="139" t="str">
        <f>IFERROR(VLOOKUP(Table_Shelter[[#This Row],[CampName]],CL,3,0),"")</f>
        <v>Open</v>
      </c>
      <c r="U311" s="323">
        <f>IFERROR(Table_Shelter[[#This Row],[HH Covered]]/VLOOKUP(Table_Shelter[[#This Row],[CampName]],CL,4,0),"")</f>
        <v>0.11363636363636363</v>
      </c>
      <c r="V311" s="323" t="s">
        <v>1309</v>
      </c>
      <c r="W311" s="139"/>
    </row>
    <row r="312" spans="1:23" ht="15" customHeight="1" x14ac:dyDescent="0.25">
      <c r="A312" s="682">
        <v>41609</v>
      </c>
      <c r="B312" s="206" t="s">
        <v>453</v>
      </c>
      <c r="C312" s="206" t="s">
        <v>506</v>
      </c>
      <c r="D312" s="209" t="s">
        <v>380</v>
      </c>
      <c r="E312" s="406" t="s">
        <v>310</v>
      </c>
      <c r="F312" s="206" t="s">
        <v>349</v>
      </c>
      <c r="G312" s="138">
        <v>1</v>
      </c>
      <c r="H312" s="140"/>
      <c r="I312" s="140"/>
      <c r="J312" s="140">
        <v>5</v>
      </c>
      <c r="K312" s="140">
        <v>5</v>
      </c>
      <c r="L312" s="208"/>
      <c r="M312" s="208"/>
      <c r="N312" s="208"/>
      <c r="O312" s="208"/>
      <c r="P312" s="139">
        <f>IF(Table_Shelter[[#This Row],[Status]]="Open",IF(V312="NO",Table_Shelter[[#This Row],[HH per Shelter]]*(Table_Shelter[[#This Row],['# of Temporary Shelter Units Built]]+Table_Shelter[[#This Row],['# of Temporary Shelter Under  Construction]]+Table_Shelter[[#This Row],['# of Permanent House Under Construction]]),0),0)</f>
        <v>5</v>
      </c>
      <c r="Q312" s="139"/>
      <c r="R312" s="139"/>
      <c r="S312" s="139" t="str">
        <f>IFERROR(VLOOKUP(Table_Shelter[[#This Row],[CampName]],CL,2,0),"")</f>
        <v>MMR001CMP037</v>
      </c>
      <c r="T312" s="139" t="str">
        <f>IFERROR(VLOOKUP(Table_Shelter[[#This Row],[CampName]],CL,3,0),"")</f>
        <v>Open</v>
      </c>
      <c r="U312" s="323">
        <f>IFERROR(Table_Shelter[[#This Row],[HH Covered]]/VLOOKUP(Table_Shelter[[#This Row],[CampName]],CL,4,0),"")</f>
        <v>0.11363636363636363</v>
      </c>
      <c r="V312" s="323" t="s">
        <v>1309</v>
      </c>
      <c r="W312" s="139"/>
    </row>
    <row r="313" spans="1:23" ht="15" customHeight="1" x14ac:dyDescent="0.25">
      <c r="A313" s="682"/>
      <c r="B313" s="206" t="s">
        <v>453</v>
      </c>
      <c r="C313" s="206" t="s">
        <v>506</v>
      </c>
      <c r="D313" s="209" t="s">
        <v>380</v>
      </c>
      <c r="E313" s="406" t="s">
        <v>310</v>
      </c>
      <c r="F313" s="206" t="s">
        <v>349</v>
      </c>
      <c r="G313" s="138">
        <v>1</v>
      </c>
      <c r="H313" s="140"/>
      <c r="I313" s="140"/>
      <c r="J313" s="140">
        <v>45</v>
      </c>
      <c r="K313" s="140">
        <v>45</v>
      </c>
      <c r="L313" s="208"/>
      <c r="M313" s="208"/>
      <c r="N313" s="208"/>
      <c r="O313" s="208"/>
      <c r="P313" s="139">
        <f>IF(Table_Shelter[[#This Row],[Status]]="Open",IF(V313="NO",Table_Shelter[[#This Row],[HH per Shelter]]*(Table_Shelter[[#This Row],['# of Temporary Shelter Units Built]]+Table_Shelter[[#This Row],['# of Temporary Shelter Under  Construction]]+Table_Shelter[[#This Row],['# of Permanent House Under Construction]]),0),0)</f>
        <v>45</v>
      </c>
      <c r="Q313" s="139"/>
      <c r="R313" s="208"/>
      <c r="S313" s="208" t="str">
        <f>IFERROR(VLOOKUP(Table_Shelter[[#This Row],[CampName]],CL,2,0),"")</f>
        <v>MMR001CMP037</v>
      </c>
      <c r="T313" s="208" t="str">
        <f>IFERROR(VLOOKUP(Table_Shelter[[#This Row],[CampName]],CL,3,0),"")</f>
        <v>Open</v>
      </c>
      <c r="U313" s="323">
        <f>IFERROR(Table_Shelter[[#This Row],[HH Covered]]/VLOOKUP(Table_Shelter[[#This Row],[CampName]],CL,4,0),"")</f>
        <v>1.0227272727272727</v>
      </c>
      <c r="V313" s="323" t="s">
        <v>1309</v>
      </c>
      <c r="W313" s="208"/>
    </row>
    <row r="314" spans="1:23" ht="15" customHeight="1" x14ac:dyDescent="0.25">
      <c r="A314" s="682"/>
      <c r="B314" s="206" t="s">
        <v>570</v>
      </c>
      <c r="C314" s="206"/>
      <c r="D314" s="209" t="s">
        <v>380</v>
      </c>
      <c r="E314" s="406" t="s">
        <v>310</v>
      </c>
      <c r="F314" s="206" t="s">
        <v>349</v>
      </c>
      <c r="G314" s="138">
        <v>1</v>
      </c>
      <c r="H314" s="140"/>
      <c r="I314" s="140"/>
      <c r="J314" s="140">
        <v>24</v>
      </c>
      <c r="K314" s="140">
        <v>24</v>
      </c>
      <c r="L314" s="208"/>
      <c r="M314" s="208"/>
      <c r="N314" s="208"/>
      <c r="O314" s="208"/>
      <c r="P314" s="139">
        <f>IF(Table_Shelter[[#This Row],[Status]]="Open",IF(V314="NO",Table_Shelter[[#This Row],[HH per Shelter]]*(Table_Shelter[[#This Row],['# of Temporary Shelter Units Built]]+Table_Shelter[[#This Row],['# of Temporary Shelter Under  Construction]]+Table_Shelter[[#This Row],['# of Permanent House Under Construction]]),0),0)</f>
        <v>24</v>
      </c>
      <c r="Q314" s="139"/>
      <c r="R314" s="208"/>
      <c r="S314" s="208" t="str">
        <f>IFERROR(VLOOKUP(Table_Shelter[[#This Row],[CampName]],CL,2,0),"")</f>
        <v>MMR001CMP037</v>
      </c>
      <c r="T314" s="208" t="str">
        <f>IFERROR(VLOOKUP(Table_Shelter[[#This Row],[CampName]],CL,3,0),"")</f>
        <v>Open</v>
      </c>
      <c r="U314" s="323">
        <f>IFERROR(Table_Shelter[[#This Row],[HH Covered]]/VLOOKUP(Table_Shelter[[#This Row],[CampName]],CL,4,0),"")</f>
        <v>0.54545454545454541</v>
      </c>
      <c r="V314" s="323" t="s">
        <v>1309</v>
      </c>
      <c r="W314" s="208"/>
    </row>
    <row r="315" spans="1:23" ht="15" customHeight="1" x14ac:dyDescent="0.25">
      <c r="A315" s="682"/>
      <c r="B315" s="206" t="s">
        <v>453</v>
      </c>
      <c r="C315" s="206" t="s">
        <v>506</v>
      </c>
      <c r="D315" s="209" t="s">
        <v>380</v>
      </c>
      <c r="E315" s="406" t="s">
        <v>5</v>
      </c>
      <c r="F315" s="206" t="s">
        <v>1023</v>
      </c>
      <c r="G315" s="138">
        <v>1</v>
      </c>
      <c r="H315" s="140"/>
      <c r="I315" s="140"/>
      <c r="J315" s="140">
        <v>6</v>
      </c>
      <c r="K315" s="140"/>
      <c r="L315" s="208"/>
      <c r="M315" s="208"/>
      <c r="N315" s="208"/>
      <c r="O315" s="208"/>
      <c r="P315" s="139">
        <f>IF(Table_Shelter[[#This Row],[Status]]="Open",IF(V315="NO",Table_Shelter[[#This Row],[HH per Shelter]]*(Table_Shelter[[#This Row],['# of Temporary Shelter Units Built]]+Table_Shelter[[#This Row],['# of Temporary Shelter Under  Construction]]+Table_Shelter[[#This Row],['# of Permanent House Under Construction]]),0),0)</f>
        <v>0</v>
      </c>
      <c r="Q315" s="139"/>
      <c r="R315" s="208"/>
      <c r="S315" s="208" t="str">
        <f>IFERROR(VLOOKUP(Table_Shelter[[#This Row],[CampName]],CL,2,0),"")</f>
        <v>MMR001CMP224</v>
      </c>
      <c r="T315" s="208" t="str">
        <f>IFERROR(VLOOKUP(Table_Shelter[[#This Row],[CampName]],CL,3,0),"")</f>
        <v>Closed</v>
      </c>
      <c r="U315" s="323" t="str">
        <f>IFERROR(Table_Shelter[[#This Row],[HH Covered]]/VLOOKUP(Table_Shelter[[#This Row],[CampName]],CL,4,0),"")</f>
        <v/>
      </c>
      <c r="V315" s="323" t="s">
        <v>1309</v>
      </c>
      <c r="W315" s="208"/>
    </row>
    <row r="316" spans="1:23" ht="15" customHeight="1" x14ac:dyDescent="0.25">
      <c r="A316" s="682"/>
      <c r="B316" s="206" t="s">
        <v>453</v>
      </c>
      <c r="C316" s="206"/>
      <c r="D316" s="209" t="s">
        <v>380</v>
      </c>
      <c r="E316" s="406" t="s">
        <v>5</v>
      </c>
      <c r="F316" s="206" t="s">
        <v>1023</v>
      </c>
      <c r="G316" s="138">
        <v>1</v>
      </c>
      <c r="H316" s="140"/>
      <c r="I316" s="140"/>
      <c r="J316" s="140">
        <v>5</v>
      </c>
      <c r="K316" s="140"/>
      <c r="L316" s="208"/>
      <c r="M316" s="208"/>
      <c r="N316" s="208"/>
      <c r="O316" s="208"/>
      <c r="P316" s="139">
        <f>IF(Table_Shelter[[#This Row],[Status]]="Open",IF(V316="NO",Table_Shelter[[#This Row],[HH per Shelter]]*(Table_Shelter[[#This Row],['# of Temporary Shelter Units Built]]+Table_Shelter[[#This Row],['# of Temporary Shelter Under  Construction]]+Table_Shelter[[#This Row],['# of Permanent House Under Construction]]),0),0)</f>
        <v>0</v>
      </c>
      <c r="Q316" s="139"/>
      <c r="R316" s="208"/>
      <c r="S316" s="208" t="str">
        <f>IFERROR(VLOOKUP(Table_Shelter[[#This Row],[CampName]],CL,2,0),"")</f>
        <v>MMR001CMP224</v>
      </c>
      <c r="T316" s="208" t="str">
        <f>IFERROR(VLOOKUP(Table_Shelter[[#This Row],[CampName]],CL,3,0),"")</f>
        <v>Closed</v>
      </c>
      <c r="U316" s="323" t="str">
        <f>IFERROR(Table_Shelter[[#This Row],[HH Covered]]/VLOOKUP(Table_Shelter[[#This Row],[CampName]],CL,4,0),"")</f>
        <v/>
      </c>
      <c r="V316" s="323" t="s">
        <v>1309</v>
      </c>
      <c r="W316" s="208"/>
    </row>
    <row r="317" spans="1:23" ht="15" customHeight="1" x14ac:dyDescent="0.25">
      <c r="A317" s="682">
        <v>41609</v>
      </c>
      <c r="B317" s="206" t="s">
        <v>453</v>
      </c>
      <c r="C317" s="206" t="s">
        <v>506</v>
      </c>
      <c r="D317" s="209" t="s">
        <v>380</v>
      </c>
      <c r="E317" s="406" t="s">
        <v>310</v>
      </c>
      <c r="F317" s="206" t="s">
        <v>316</v>
      </c>
      <c r="G317" s="138">
        <v>1</v>
      </c>
      <c r="H317" s="140"/>
      <c r="I317" s="140"/>
      <c r="J317" s="140">
        <v>6</v>
      </c>
      <c r="K317" s="140">
        <v>6</v>
      </c>
      <c r="L317" s="208"/>
      <c r="M317" s="208"/>
      <c r="N317" s="208"/>
      <c r="O317" s="208"/>
      <c r="P317" s="139">
        <f>IF(Table_Shelter[[#This Row],[Status]]="Open",IF(V317="NO",Table_Shelter[[#This Row],[HH per Shelter]]*(Table_Shelter[[#This Row],['# of Temporary Shelter Units Built]]+Table_Shelter[[#This Row],['# of Temporary Shelter Under  Construction]]+Table_Shelter[[#This Row],['# of Permanent House Under Construction]]),0),0)</f>
        <v>6</v>
      </c>
      <c r="Q317" s="139"/>
      <c r="R317" s="139"/>
      <c r="S317" s="139" t="str">
        <f>IFERROR(VLOOKUP(Table_Shelter[[#This Row],[CampName]],CL,2,0),"")</f>
        <v>MMR001CMP038</v>
      </c>
      <c r="T317" s="139" t="str">
        <f>IFERROR(VLOOKUP(Table_Shelter[[#This Row],[CampName]],CL,3,0),"")</f>
        <v>Open</v>
      </c>
      <c r="U317" s="323">
        <f>IFERROR(Table_Shelter[[#This Row],[HH Covered]]/VLOOKUP(Table_Shelter[[#This Row],[CampName]],CL,4,0),"")</f>
        <v>8.5714285714285715E-2</v>
      </c>
      <c r="V317" s="323" t="s">
        <v>1309</v>
      </c>
      <c r="W317" s="139"/>
    </row>
    <row r="318" spans="1:23" ht="15" customHeight="1" x14ac:dyDescent="0.25">
      <c r="A318" s="682"/>
      <c r="B318" s="206" t="s">
        <v>453</v>
      </c>
      <c r="C318" s="206" t="s">
        <v>506</v>
      </c>
      <c r="D318" s="209" t="s">
        <v>380</v>
      </c>
      <c r="E318" s="406" t="s">
        <v>310</v>
      </c>
      <c r="F318" s="206" t="s">
        <v>316</v>
      </c>
      <c r="G318" s="138">
        <v>1</v>
      </c>
      <c r="H318" s="140"/>
      <c r="I318" s="140"/>
      <c r="J318" s="140">
        <v>34</v>
      </c>
      <c r="K318" s="140">
        <v>34</v>
      </c>
      <c r="L318" s="208"/>
      <c r="M318" s="208"/>
      <c r="N318" s="208"/>
      <c r="O318" s="208"/>
      <c r="P318" s="139">
        <f>IF(Table_Shelter[[#This Row],[Status]]="Open",IF(V318="NO",Table_Shelter[[#This Row],[HH per Shelter]]*(Table_Shelter[[#This Row],['# of Temporary Shelter Units Built]]+Table_Shelter[[#This Row],['# of Temporary Shelter Under  Construction]]+Table_Shelter[[#This Row],['# of Permanent House Under Construction]]),0),0)</f>
        <v>34</v>
      </c>
      <c r="Q318" s="139"/>
      <c r="R318" s="208"/>
      <c r="S318" s="208" t="str">
        <f>IFERROR(VLOOKUP(Table_Shelter[[#This Row],[CampName]],CL,2,0),"")</f>
        <v>MMR001CMP038</v>
      </c>
      <c r="T318" s="208" t="str">
        <f>IFERROR(VLOOKUP(Table_Shelter[[#This Row],[CampName]],CL,3,0),"")</f>
        <v>Open</v>
      </c>
      <c r="U318" s="323">
        <f>IFERROR(Table_Shelter[[#This Row],[HH Covered]]/VLOOKUP(Table_Shelter[[#This Row],[CampName]],CL,4,0),"")</f>
        <v>0.48571428571428571</v>
      </c>
      <c r="V318" s="323" t="s">
        <v>1309</v>
      </c>
      <c r="W318" s="208"/>
    </row>
    <row r="319" spans="1:23" ht="15" customHeight="1" x14ac:dyDescent="0.25">
      <c r="A319" s="682"/>
      <c r="B319" s="206" t="s">
        <v>570</v>
      </c>
      <c r="C319" s="206"/>
      <c r="D319" s="209" t="s">
        <v>380</v>
      </c>
      <c r="E319" s="406" t="s">
        <v>310</v>
      </c>
      <c r="F319" s="206" t="s">
        <v>316</v>
      </c>
      <c r="G319" s="138">
        <v>1</v>
      </c>
      <c r="H319" s="140"/>
      <c r="I319" s="140"/>
      <c r="J319" s="140">
        <v>15</v>
      </c>
      <c r="K319" s="140">
        <v>15</v>
      </c>
      <c r="L319" s="208"/>
      <c r="M319" s="208"/>
      <c r="N319" s="208"/>
      <c r="O319" s="208"/>
      <c r="P319" s="139">
        <f>IF(Table_Shelter[[#This Row],[Status]]="Open",IF(V319="NO",Table_Shelter[[#This Row],[HH per Shelter]]*(Table_Shelter[[#This Row],['# of Temporary Shelter Units Built]]+Table_Shelter[[#This Row],['# of Temporary Shelter Under  Construction]]+Table_Shelter[[#This Row],['# of Permanent House Under Construction]]),0),0)</f>
        <v>15</v>
      </c>
      <c r="Q319" s="139"/>
      <c r="R319" s="208"/>
      <c r="S319" s="208" t="str">
        <f>IFERROR(VLOOKUP(Table_Shelter[[#This Row],[CampName]],CL,2,0),"")</f>
        <v>MMR001CMP038</v>
      </c>
      <c r="T319" s="208" t="str">
        <f>IFERROR(VLOOKUP(Table_Shelter[[#This Row],[CampName]],CL,3,0),"")</f>
        <v>Open</v>
      </c>
      <c r="U319" s="323">
        <f>IFERROR(Table_Shelter[[#This Row],[HH Covered]]/VLOOKUP(Table_Shelter[[#This Row],[CampName]],CL,4,0),"")</f>
        <v>0.21428571428571427</v>
      </c>
      <c r="V319" s="323" t="s">
        <v>1309</v>
      </c>
      <c r="W319" s="208"/>
    </row>
    <row r="320" spans="1:23" ht="15" customHeight="1" x14ac:dyDescent="0.25">
      <c r="A320" s="682"/>
      <c r="B320" s="206" t="s">
        <v>453</v>
      </c>
      <c r="C320" s="206" t="s">
        <v>461</v>
      </c>
      <c r="D320" s="209" t="s">
        <v>380</v>
      </c>
      <c r="E320" s="406" t="s">
        <v>310</v>
      </c>
      <c r="F320" s="206" t="s">
        <v>311</v>
      </c>
      <c r="G320" s="138">
        <v>1</v>
      </c>
      <c r="H320" s="140"/>
      <c r="I320" s="140"/>
      <c r="J320" s="140">
        <v>10</v>
      </c>
      <c r="K320" s="140">
        <v>10</v>
      </c>
      <c r="L320" s="208"/>
      <c r="M320" s="208"/>
      <c r="N320" s="208"/>
      <c r="O320" s="208"/>
      <c r="P320" s="139">
        <f>IF(Table_Shelter[[#This Row],[Status]]="Open",IF(V320="NO",Table_Shelter[[#This Row],[HH per Shelter]]*(Table_Shelter[[#This Row],['# of Temporary Shelter Units Built]]+Table_Shelter[[#This Row],['# of Temporary Shelter Under  Construction]]+Table_Shelter[[#This Row],['# of Permanent House Under Construction]]),0),0)</f>
        <v>0</v>
      </c>
      <c r="Q320" s="139"/>
      <c r="R320" s="208"/>
      <c r="S320" s="208" t="str">
        <f>IFERROR(VLOOKUP(Table_Shelter[[#This Row],[CampName]],CL,2,0),"")</f>
        <v>MMR001CMP036</v>
      </c>
      <c r="T320" s="208" t="str">
        <f>IFERROR(VLOOKUP(Table_Shelter[[#This Row],[CampName]],CL,3,0),"")</f>
        <v>Closed</v>
      </c>
      <c r="U320" s="323" t="str">
        <f>IFERROR(Table_Shelter[[#This Row],[HH Covered]]/VLOOKUP(Table_Shelter[[#This Row],[CampName]],CL,4,0),"")</f>
        <v/>
      </c>
      <c r="V320" s="323" t="s">
        <v>1309</v>
      </c>
      <c r="W320" s="208"/>
    </row>
    <row r="321" spans="1:23" ht="15" customHeight="1" x14ac:dyDescent="0.25">
      <c r="A321" s="682"/>
      <c r="B321" s="206" t="s">
        <v>453</v>
      </c>
      <c r="C321" s="206"/>
      <c r="D321" s="209" t="s">
        <v>380</v>
      </c>
      <c r="E321" s="406" t="s">
        <v>310</v>
      </c>
      <c r="F321" s="206" t="s">
        <v>311</v>
      </c>
      <c r="G321" s="138">
        <v>1</v>
      </c>
      <c r="H321" s="140"/>
      <c r="I321" s="140"/>
      <c r="J321" s="140">
        <v>5</v>
      </c>
      <c r="K321" s="140">
        <v>5</v>
      </c>
      <c r="L321" s="208"/>
      <c r="M321" s="208"/>
      <c r="N321" s="208"/>
      <c r="O321" s="208"/>
      <c r="P321" s="139">
        <f>IF(Table_Shelter[[#This Row],[Status]]="Open",IF(V321="NO",Table_Shelter[[#This Row],[HH per Shelter]]*(Table_Shelter[[#This Row],['# of Temporary Shelter Units Built]]+Table_Shelter[[#This Row],['# of Temporary Shelter Under  Construction]]+Table_Shelter[[#This Row],['# of Permanent House Under Construction]]),0),0)</f>
        <v>0</v>
      </c>
      <c r="Q321" s="139"/>
      <c r="R321" s="208"/>
      <c r="S321" s="208" t="str">
        <f>IFERROR(VLOOKUP(Table_Shelter[[#This Row],[CampName]],CL,2,0),"")</f>
        <v>MMR001CMP036</v>
      </c>
      <c r="T321" s="208" t="str">
        <f>IFERROR(VLOOKUP(Table_Shelter[[#This Row],[CampName]],CL,3,0),"")</f>
        <v>Closed</v>
      </c>
      <c r="U321" s="323" t="str">
        <f>IFERROR(Table_Shelter[[#This Row],[HH Covered]]/VLOOKUP(Table_Shelter[[#This Row],[CampName]],CL,4,0),"")</f>
        <v/>
      </c>
      <c r="V321" s="323" t="s">
        <v>1309</v>
      </c>
      <c r="W321" s="208"/>
    </row>
    <row r="322" spans="1:23" ht="15" customHeight="1" x14ac:dyDescent="0.25">
      <c r="A322" s="682"/>
      <c r="B322" s="206" t="s">
        <v>570</v>
      </c>
      <c r="C322" s="206"/>
      <c r="D322" s="209" t="s">
        <v>380</v>
      </c>
      <c r="E322" s="406" t="s">
        <v>310</v>
      </c>
      <c r="F322" s="206" t="s">
        <v>311</v>
      </c>
      <c r="G322" s="138">
        <v>1</v>
      </c>
      <c r="H322" s="140"/>
      <c r="I322" s="140"/>
      <c r="J322" s="140">
        <v>10</v>
      </c>
      <c r="K322" s="140">
        <v>10</v>
      </c>
      <c r="L322" s="208"/>
      <c r="M322" s="208"/>
      <c r="N322" s="208"/>
      <c r="O322" s="208"/>
      <c r="P322" s="139">
        <f>IF(Table_Shelter[[#This Row],[Status]]="Open",IF(V322="NO",Table_Shelter[[#This Row],[HH per Shelter]]*(Table_Shelter[[#This Row],['# of Temporary Shelter Units Built]]+Table_Shelter[[#This Row],['# of Temporary Shelter Under  Construction]]+Table_Shelter[[#This Row],['# of Permanent House Under Construction]]),0),0)</f>
        <v>0</v>
      </c>
      <c r="Q322" s="139"/>
      <c r="R322" s="208"/>
      <c r="S322" s="208" t="str">
        <f>IFERROR(VLOOKUP(Table_Shelter[[#This Row],[CampName]],CL,2,0),"")</f>
        <v>MMR001CMP036</v>
      </c>
      <c r="T322" s="208" t="str">
        <f>IFERROR(VLOOKUP(Table_Shelter[[#This Row],[CampName]],CL,3,0),"")</f>
        <v>Closed</v>
      </c>
      <c r="U322" s="323" t="str">
        <f>IFERROR(Table_Shelter[[#This Row],[HH Covered]]/VLOOKUP(Table_Shelter[[#This Row],[CampName]],CL,4,0),"")</f>
        <v/>
      </c>
      <c r="V322" s="323" t="s">
        <v>1309</v>
      </c>
      <c r="W322" s="208"/>
    </row>
    <row r="323" spans="1:23" ht="15" customHeight="1" x14ac:dyDescent="0.25">
      <c r="A323" s="682"/>
      <c r="B323" s="206" t="s">
        <v>453</v>
      </c>
      <c r="C323" s="206" t="s">
        <v>507</v>
      </c>
      <c r="D323" s="209" t="s">
        <v>380</v>
      </c>
      <c r="E323" s="406" t="s">
        <v>528</v>
      </c>
      <c r="F323" s="206" t="s">
        <v>64</v>
      </c>
      <c r="G323" s="138">
        <v>1</v>
      </c>
      <c r="H323" s="140"/>
      <c r="I323" s="140"/>
      <c r="J323" s="140"/>
      <c r="K323" s="140"/>
      <c r="L323" s="208"/>
      <c r="M323" s="208"/>
      <c r="N323" s="208"/>
      <c r="O323" s="208"/>
      <c r="P323" s="139">
        <f>IF(Table_Shelter[[#This Row],[Status]]="Open",IF(V323="NO",Table_Shelter[[#This Row],[HH per Shelter]]*(Table_Shelter[[#This Row],['# of Temporary Shelter Units Built]]+Table_Shelter[[#This Row],['# of Temporary Shelter Under  Construction]]+Table_Shelter[[#This Row],['# of Permanent House Under Construction]]),0),0)</f>
        <v>0</v>
      </c>
      <c r="Q323" s="139">
        <v>14</v>
      </c>
      <c r="R323" s="208"/>
      <c r="S323" s="208" t="str">
        <f>IFERROR(VLOOKUP(Table_Shelter[[#This Row],[CampName]],CL,2,0),"")</f>
        <v>MMR001CMP185</v>
      </c>
      <c r="T323" s="208" t="str">
        <f>IFERROR(VLOOKUP(Table_Shelter[[#This Row],[CampName]],CL,3,0),"")</f>
        <v>Closed</v>
      </c>
      <c r="U323" s="323" t="str">
        <f>IFERROR(Table_Shelter[[#This Row],[HH Covered]]/VLOOKUP(Table_Shelter[[#This Row],[CampName]],CL,4,0),"")</f>
        <v/>
      </c>
      <c r="V323" s="323" t="s">
        <v>1309</v>
      </c>
      <c r="W323" s="208"/>
    </row>
    <row r="324" spans="1:23" x14ac:dyDescent="0.25">
      <c r="A324" s="682">
        <v>41609</v>
      </c>
      <c r="B324" s="206" t="s">
        <v>453</v>
      </c>
      <c r="C324" s="206" t="s">
        <v>461</v>
      </c>
      <c r="D324" s="209" t="s">
        <v>380</v>
      </c>
      <c r="E324" s="406" t="s">
        <v>528</v>
      </c>
      <c r="F324" s="206" t="s">
        <v>126</v>
      </c>
      <c r="G324" s="138">
        <v>1</v>
      </c>
      <c r="H324" s="140"/>
      <c r="I324" s="140"/>
      <c r="J324" s="140">
        <v>15</v>
      </c>
      <c r="K324" s="140">
        <v>15</v>
      </c>
      <c r="L324" s="208"/>
      <c r="M324" s="208"/>
      <c r="N324" s="208"/>
      <c r="O324" s="208"/>
      <c r="P324" s="139">
        <f>IF(Table_Shelter[[#This Row],[Status]]="Open",IF(V324="NO",Table_Shelter[[#This Row],[HH per Shelter]]*(Table_Shelter[[#This Row],['# of Temporary Shelter Units Built]]+Table_Shelter[[#This Row],['# of Temporary Shelter Under  Construction]]+Table_Shelter[[#This Row],['# of Permanent House Under Construction]]),0),0)</f>
        <v>15</v>
      </c>
      <c r="Q324" s="139"/>
      <c r="R324" s="208"/>
      <c r="S324" s="208" t="str">
        <f>IFERROR(VLOOKUP(Table_Shelter[[#This Row],[CampName]],CL,2,0),"")</f>
        <v>MMR001CMP184</v>
      </c>
      <c r="T324" s="208" t="str">
        <f>IFERROR(VLOOKUP(Table_Shelter[[#This Row],[CampName]],CL,3,0),"")</f>
        <v>Open</v>
      </c>
      <c r="U324" s="323">
        <f>IFERROR(Table_Shelter[[#This Row],[HH Covered]]/VLOOKUP(Table_Shelter[[#This Row],[CampName]],CL,4,0),"")</f>
        <v>0.42857142857142855</v>
      </c>
      <c r="V324" s="323" t="s">
        <v>1309</v>
      </c>
      <c r="W324" s="208"/>
    </row>
    <row r="325" spans="1:23" x14ac:dyDescent="0.25">
      <c r="A325" s="682"/>
      <c r="B325" s="206" t="s">
        <v>863</v>
      </c>
      <c r="C325" s="206"/>
      <c r="D325" s="209" t="s">
        <v>380</v>
      </c>
      <c r="E325" s="406" t="s">
        <v>528</v>
      </c>
      <c r="F325" s="206" t="s">
        <v>126</v>
      </c>
      <c r="G325" s="138">
        <v>1</v>
      </c>
      <c r="H325" s="140">
        <v>7</v>
      </c>
      <c r="I325" s="140">
        <v>7</v>
      </c>
      <c r="J325" s="140"/>
      <c r="K325" s="140"/>
      <c r="L325" s="208"/>
      <c r="M325" s="208"/>
      <c r="N325" s="208"/>
      <c r="O325" s="208"/>
      <c r="P325" s="139">
        <f>IF(Table_Shelter[[#This Row],[Status]]="Open",IF(V325="NO",Table_Shelter[[#This Row],[HH per Shelter]]*(Table_Shelter[[#This Row],['# of Temporary Shelter Units Built]]+Table_Shelter[[#This Row],['# of Temporary Shelter Under  Construction]]+Table_Shelter[[#This Row],['# of Permanent House Under Construction]]),0),0)</f>
        <v>0</v>
      </c>
      <c r="Q325" s="139"/>
      <c r="R325" s="208"/>
      <c r="S325" s="208" t="str">
        <f>IFERROR(VLOOKUP(Table_Shelter[[#This Row],[CampName]],CL,2,0),"")</f>
        <v>MMR001CMP184</v>
      </c>
      <c r="T325" s="208" t="str">
        <f>IFERROR(VLOOKUP(Table_Shelter[[#This Row],[CampName]],CL,3,0),"")</f>
        <v>Open</v>
      </c>
      <c r="U325" s="323">
        <f>IFERROR(Table_Shelter[[#This Row],[HH Covered]]/VLOOKUP(Table_Shelter[[#This Row],[CampName]],CL,4,0),"")</f>
        <v>0</v>
      </c>
      <c r="V325" s="323" t="s">
        <v>1309</v>
      </c>
      <c r="W325" s="208"/>
    </row>
    <row r="326" spans="1:23" x14ac:dyDescent="0.25">
      <c r="A326" s="682"/>
      <c r="B326" s="206" t="s">
        <v>863</v>
      </c>
      <c r="C326" s="206"/>
      <c r="D326" s="209" t="s">
        <v>380</v>
      </c>
      <c r="E326" s="406" t="s">
        <v>528</v>
      </c>
      <c r="F326" s="206" t="s">
        <v>901</v>
      </c>
      <c r="G326" s="138">
        <v>1</v>
      </c>
      <c r="H326" s="140">
        <v>47</v>
      </c>
      <c r="I326" s="140">
        <v>47</v>
      </c>
      <c r="J326" s="140"/>
      <c r="K326" s="140"/>
      <c r="L326" s="208"/>
      <c r="M326" s="208"/>
      <c r="N326" s="208"/>
      <c r="O326" s="208"/>
      <c r="P326" s="139">
        <f>IF(Table_Shelter[[#This Row],[Status]]="Open",IF(V326="NO",Table_Shelter[[#This Row],[HH per Shelter]]*(Table_Shelter[[#This Row],['# of Temporary Shelter Units Built]]+Table_Shelter[[#This Row],['# of Temporary Shelter Under  Construction]]+Table_Shelter[[#This Row],['# of Permanent House Under Construction]]),0),0)</f>
        <v>0</v>
      </c>
      <c r="Q326" s="139"/>
      <c r="R326" s="208"/>
      <c r="S326" s="208" t="str">
        <f>IFERROR(VLOOKUP(Table_Shelter[[#This Row],[CampName]],CL,2,0),"")</f>
        <v/>
      </c>
      <c r="T326" s="208" t="str">
        <f>IFERROR(VLOOKUP(Table_Shelter[[#This Row],[CampName]],CL,3,0),"")</f>
        <v/>
      </c>
      <c r="U326" s="323" t="str">
        <f>IFERROR(Table_Shelter[[#This Row],[HH Covered]]/VLOOKUP(Table_Shelter[[#This Row],[CampName]],CL,4,0),"")</f>
        <v/>
      </c>
      <c r="V326" s="323" t="s">
        <v>1309</v>
      </c>
      <c r="W326" s="208"/>
    </row>
    <row r="327" spans="1:23" x14ac:dyDescent="0.25">
      <c r="A327" s="682">
        <v>41609</v>
      </c>
      <c r="B327" s="206" t="s">
        <v>453</v>
      </c>
      <c r="C327" s="206" t="s">
        <v>507</v>
      </c>
      <c r="D327" s="209" t="s">
        <v>380</v>
      </c>
      <c r="E327" s="406" t="s">
        <v>310</v>
      </c>
      <c r="F327" s="206" t="s">
        <v>353</v>
      </c>
      <c r="G327" s="138">
        <v>1</v>
      </c>
      <c r="H327" s="140"/>
      <c r="I327" s="140"/>
      <c r="J327" s="140">
        <v>160</v>
      </c>
      <c r="K327" s="140">
        <v>160</v>
      </c>
      <c r="L327" s="208"/>
      <c r="M327" s="208"/>
      <c r="N327" s="208"/>
      <c r="O327" s="208"/>
      <c r="P327" s="139">
        <f>IF(Table_Shelter[[#This Row],[Status]]="Open",IF(V327="NO",Table_Shelter[[#This Row],[HH per Shelter]]*(Table_Shelter[[#This Row],['# of Temporary Shelter Units Built]]+Table_Shelter[[#This Row],['# of Temporary Shelter Under  Construction]]+Table_Shelter[[#This Row],['# of Permanent House Under Construction]]),0),0)</f>
        <v>160</v>
      </c>
      <c r="Q327" s="139"/>
      <c r="R327" s="208"/>
      <c r="S327" s="208" t="str">
        <f>IFERROR(VLOOKUP(Table_Shelter[[#This Row],[CampName]],CL,2,0),"")</f>
        <v>MMR001CMP116</v>
      </c>
      <c r="T327" s="208" t="str">
        <f>IFERROR(VLOOKUP(Table_Shelter[[#This Row],[CampName]],CL,3,0),"")</f>
        <v>Open</v>
      </c>
      <c r="U327" s="323">
        <f>IFERROR(Table_Shelter[[#This Row],[HH Covered]]/VLOOKUP(Table_Shelter[[#This Row],[CampName]],CL,4,0),"")</f>
        <v>0.11808118081180811</v>
      </c>
      <c r="V327" s="323" t="s">
        <v>1309</v>
      </c>
      <c r="W327" s="208"/>
    </row>
    <row r="328" spans="1:23" x14ac:dyDescent="0.25">
      <c r="A328" s="682"/>
      <c r="B328" s="206" t="s">
        <v>847</v>
      </c>
      <c r="C328" s="206"/>
      <c r="D328" s="209" t="s">
        <v>380</v>
      </c>
      <c r="E328" s="406" t="s">
        <v>310</v>
      </c>
      <c r="F328" s="206" t="s">
        <v>353</v>
      </c>
      <c r="G328" s="138">
        <v>1</v>
      </c>
      <c r="H328" s="140"/>
      <c r="I328" s="140"/>
      <c r="J328" s="140">
        <v>300</v>
      </c>
      <c r="K328" s="140"/>
      <c r="L328" s="208"/>
      <c r="M328" s="208"/>
      <c r="N328" s="208"/>
      <c r="O328" s="208"/>
      <c r="P328" s="139">
        <f>IF(Table_Shelter[[#This Row],[Status]]="Open",IF(V328="NO",Table_Shelter[[#This Row],[HH per Shelter]]*(Table_Shelter[[#This Row],['# of Temporary Shelter Units Built]]+Table_Shelter[[#This Row],['# of Temporary Shelter Under  Construction]]+Table_Shelter[[#This Row],['# of Permanent House Under Construction]]),0),0)</f>
        <v>0</v>
      </c>
      <c r="Q328" s="139"/>
      <c r="R328" s="208"/>
      <c r="S328" s="208" t="str">
        <f>IFERROR(VLOOKUP(Table_Shelter[[#This Row],[CampName]],CL,2,0),"")</f>
        <v>MMR001CMP116</v>
      </c>
      <c r="T328" s="208" t="str">
        <f>IFERROR(VLOOKUP(Table_Shelter[[#This Row],[CampName]],CL,3,0),"")</f>
        <v>Open</v>
      </c>
      <c r="U328" s="323">
        <f>IFERROR(Table_Shelter[[#This Row],[HH Covered]]/VLOOKUP(Table_Shelter[[#This Row],[CampName]],CL,4,0),"")</f>
        <v>0</v>
      </c>
      <c r="V328" s="323" t="s">
        <v>1309</v>
      </c>
      <c r="W328" s="208"/>
    </row>
    <row r="329" spans="1:23" x14ac:dyDescent="0.25">
      <c r="A329" s="682"/>
      <c r="B329" s="206" t="s">
        <v>453</v>
      </c>
      <c r="C329" s="206" t="s">
        <v>506</v>
      </c>
      <c r="D329" s="209" t="s">
        <v>380</v>
      </c>
      <c r="E329" s="406" t="s">
        <v>237</v>
      </c>
      <c r="F329" s="206" t="s">
        <v>283</v>
      </c>
      <c r="G329" s="138">
        <v>1</v>
      </c>
      <c r="H329" s="140"/>
      <c r="I329" s="140"/>
      <c r="J329" s="140">
        <v>24</v>
      </c>
      <c r="K329" s="140">
        <v>24</v>
      </c>
      <c r="L329" s="208"/>
      <c r="M329" s="208"/>
      <c r="N329" s="208"/>
      <c r="O329" s="208"/>
      <c r="P329" s="139">
        <f>IF(Table_Shelter[[#This Row],[Status]]="Open",IF(V329="NO",Table_Shelter[[#This Row],[HH per Shelter]]*(Table_Shelter[[#This Row],['# of Temporary Shelter Units Built]]+Table_Shelter[[#This Row],['# of Temporary Shelter Under  Construction]]+Table_Shelter[[#This Row],['# of Permanent House Under Construction]]),0),0)</f>
        <v>24</v>
      </c>
      <c r="Q329" s="139"/>
      <c r="R329" s="208"/>
      <c r="S329" s="208" t="str">
        <f>IFERROR(VLOOKUP(Table_Shelter[[#This Row],[CampName]],CL,2,0),"")</f>
        <v>MMR001CMP022</v>
      </c>
      <c r="T329" s="208" t="str">
        <f>IFERROR(VLOOKUP(Table_Shelter[[#This Row],[CampName]],CL,3,0),"")</f>
        <v>Open</v>
      </c>
      <c r="U329" s="323">
        <f>IFERROR(Table_Shelter[[#This Row],[HH Covered]]/VLOOKUP(Table_Shelter[[#This Row],[CampName]],CL,4,0),"")</f>
        <v>3.4285714285714284</v>
      </c>
      <c r="V329" s="323" t="s">
        <v>1309</v>
      </c>
      <c r="W329" s="208"/>
    </row>
    <row r="330" spans="1:23" x14ac:dyDescent="0.25">
      <c r="A330" s="682">
        <v>41609</v>
      </c>
      <c r="B330" s="206" t="s">
        <v>453</v>
      </c>
      <c r="C330" s="206"/>
      <c r="D330" s="209" t="s">
        <v>380</v>
      </c>
      <c r="E330" s="406" t="s">
        <v>5</v>
      </c>
      <c r="F330" s="206" t="s">
        <v>26</v>
      </c>
      <c r="G330" s="138">
        <v>1</v>
      </c>
      <c r="H330" s="140"/>
      <c r="I330" s="140"/>
      <c r="J330" s="140">
        <v>5</v>
      </c>
      <c r="K330" s="140">
        <v>5</v>
      </c>
      <c r="L330" s="208"/>
      <c r="M330" s="208"/>
      <c r="N330" s="208"/>
      <c r="O330" s="208"/>
      <c r="P330" s="139">
        <f>IF(Table_Shelter[[#This Row],[Status]]="Open",IF(V330="NO",Table_Shelter[[#This Row],[HH per Shelter]]*(Table_Shelter[[#This Row],['# of Temporary Shelter Units Built]]+Table_Shelter[[#This Row],['# of Temporary Shelter Under  Construction]]+Table_Shelter[[#This Row],['# of Permanent House Under Construction]]),0),0)</f>
        <v>5</v>
      </c>
      <c r="Q330" s="139"/>
      <c r="R330" s="139"/>
      <c r="S330" s="139" t="str">
        <f>IFERROR(VLOOKUP(Table_Shelter[[#This Row],[CampName]],CL,2,0),"")</f>
        <v>MMR001CMP053</v>
      </c>
      <c r="T330" s="139" t="str">
        <f>IFERROR(VLOOKUP(Table_Shelter[[#This Row],[CampName]],CL,3,0),"")</f>
        <v>Open</v>
      </c>
      <c r="U330" s="323">
        <f>IFERROR(Table_Shelter[[#This Row],[HH Covered]]/VLOOKUP(Table_Shelter[[#This Row],[CampName]],CL,4,0),"")</f>
        <v>0.33333333333333331</v>
      </c>
      <c r="V330" s="323" t="s">
        <v>1309</v>
      </c>
      <c r="W330" s="139"/>
    </row>
    <row r="331" spans="1:23" x14ac:dyDescent="0.25">
      <c r="A331" s="682"/>
      <c r="B331" s="206" t="s">
        <v>847</v>
      </c>
      <c r="C331" s="206"/>
      <c r="D331" s="209" t="s">
        <v>380</v>
      </c>
      <c r="E331" s="406" t="s">
        <v>5</v>
      </c>
      <c r="F331" s="206" t="s">
        <v>26</v>
      </c>
      <c r="G331" s="138">
        <v>1</v>
      </c>
      <c r="H331" s="140"/>
      <c r="I331" s="140"/>
      <c r="J331" s="140">
        <v>30</v>
      </c>
      <c r="K331" s="140">
        <v>30</v>
      </c>
      <c r="L331" s="208"/>
      <c r="M331" s="208"/>
      <c r="N331" s="208"/>
      <c r="O331" s="208"/>
      <c r="P331" s="139">
        <f>IF(Table_Shelter[[#This Row],[Status]]="Open",IF(V331="NO",Table_Shelter[[#This Row],[HH per Shelter]]*(Table_Shelter[[#This Row],['# of Temporary Shelter Units Built]]+Table_Shelter[[#This Row],['# of Temporary Shelter Under  Construction]]+Table_Shelter[[#This Row],['# of Permanent House Under Construction]]),0),0)</f>
        <v>30</v>
      </c>
      <c r="Q331" s="139"/>
      <c r="R331" s="208"/>
      <c r="S331" s="208" t="str">
        <f>IFERROR(VLOOKUP(Table_Shelter[[#This Row],[CampName]],CL,2,0),"")</f>
        <v>MMR001CMP053</v>
      </c>
      <c r="T331" s="208" t="str">
        <f>IFERROR(VLOOKUP(Table_Shelter[[#This Row],[CampName]],CL,3,0),"")</f>
        <v>Open</v>
      </c>
      <c r="U331" s="323">
        <f>IFERROR(Table_Shelter[[#This Row],[HH Covered]]/VLOOKUP(Table_Shelter[[#This Row],[CampName]],CL,4,0),"")</f>
        <v>2</v>
      </c>
      <c r="V331" s="323" t="s">
        <v>1309</v>
      </c>
      <c r="W331" s="208"/>
    </row>
    <row r="332" spans="1:23" x14ac:dyDescent="0.25">
      <c r="A332" s="682"/>
      <c r="B332" s="206" t="s">
        <v>453</v>
      </c>
      <c r="C332" s="206" t="s">
        <v>847</v>
      </c>
      <c r="D332" s="209" t="s">
        <v>380</v>
      </c>
      <c r="E332" s="406" t="s">
        <v>5</v>
      </c>
      <c r="F332" s="206" t="s">
        <v>26</v>
      </c>
      <c r="G332" s="138">
        <v>1</v>
      </c>
      <c r="H332" s="140"/>
      <c r="I332" s="140"/>
      <c r="J332" s="140">
        <v>12</v>
      </c>
      <c r="K332" s="140">
        <v>12</v>
      </c>
      <c r="L332" s="208"/>
      <c r="M332" s="208"/>
      <c r="N332" s="208"/>
      <c r="O332" s="208"/>
      <c r="P332" s="139">
        <f>IF(Table_Shelter[[#This Row],[Status]]="Open",IF(V332="NO",Table_Shelter[[#This Row],[HH per Shelter]]*(Table_Shelter[[#This Row],['# of Temporary Shelter Units Built]]+Table_Shelter[[#This Row],['# of Temporary Shelter Under  Construction]]+Table_Shelter[[#This Row],['# of Permanent House Under Construction]]),0),0)</f>
        <v>12</v>
      </c>
      <c r="Q332" s="139"/>
      <c r="R332" s="208"/>
      <c r="S332" s="208" t="str">
        <f>IFERROR(VLOOKUP(Table_Shelter[[#This Row],[CampName]],CL,2,0),"")</f>
        <v>MMR001CMP053</v>
      </c>
      <c r="T332" s="208" t="str">
        <f>IFERROR(VLOOKUP(Table_Shelter[[#This Row],[CampName]],CL,3,0),"")</f>
        <v>Open</v>
      </c>
      <c r="U332" s="323">
        <f>IFERROR(Table_Shelter[[#This Row],[HH Covered]]/VLOOKUP(Table_Shelter[[#This Row],[CampName]],CL,4,0),"")</f>
        <v>0.8</v>
      </c>
      <c r="V332" s="323" t="s">
        <v>1309</v>
      </c>
      <c r="W332" s="208"/>
    </row>
    <row r="333" spans="1:23" x14ac:dyDescent="0.25">
      <c r="A333" s="682"/>
      <c r="B333" s="206" t="s">
        <v>453</v>
      </c>
      <c r="C333" s="206" t="s">
        <v>506</v>
      </c>
      <c r="D333" s="209" t="s">
        <v>380</v>
      </c>
      <c r="E333" s="406" t="s">
        <v>5</v>
      </c>
      <c r="F333" s="206" t="s">
        <v>26</v>
      </c>
      <c r="G333" s="138">
        <v>1</v>
      </c>
      <c r="H333" s="140"/>
      <c r="I333" s="140"/>
      <c r="J333" s="140">
        <v>10</v>
      </c>
      <c r="K333" s="140">
        <v>10</v>
      </c>
      <c r="L333" s="208"/>
      <c r="M333" s="208"/>
      <c r="N333" s="208"/>
      <c r="O333" s="208"/>
      <c r="P333" s="139">
        <f>IF(Table_Shelter[[#This Row],[Status]]="Open",IF(V333="NO",Table_Shelter[[#This Row],[HH per Shelter]]*(Table_Shelter[[#This Row],['# of Temporary Shelter Units Built]]+Table_Shelter[[#This Row],['# of Temporary Shelter Under  Construction]]+Table_Shelter[[#This Row],['# of Permanent House Under Construction]]),0),0)</f>
        <v>10</v>
      </c>
      <c r="Q333" s="139"/>
      <c r="R333" s="208"/>
      <c r="S333" s="208" t="str">
        <f>IFERROR(VLOOKUP(Table_Shelter[[#This Row],[CampName]],CL,2,0),"")</f>
        <v>MMR001CMP053</v>
      </c>
      <c r="T333" s="208" t="str">
        <f>IFERROR(VLOOKUP(Table_Shelter[[#This Row],[CampName]],CL,3,0),"")</f>
        <v>Open</v>
      </c>
      <c r="U333" s="323">
        <f>IFERROR(Table_Shelter[[#This Row],[HH Covered]]/VLOOKUP(Table_Shelter[[#This Row],[CampName]],CL,4,0),"")</f>
        <v>0.66666666666666663</v>
      </c>
      <c r="V333" s="323" t="s">
        <v>1309</v>
      </c>
      <c r="W333" s="208"/>
    </row>
    <row r="334" spans="1:23" x14ac:dyDescent="0.25">
      <c r="A334" s="682"/>
      <c r="B334" s="206" t="s">
        <v>453</v>
      </c>
      <c r="C334" s="206"/>
      <c r="D334" s="209" t="s">
        <v>380</v>
      </c>
      <c r="E334" s="406" t="s">
        <v>5</v>
      </c>
      <c r="F334" s="206" t="s">
        <v>26</v>
      </c>
      <c r="G334" s="138">
        <v>1</v>
      </c>
      <c r="H334" s="140"/>
      <c r="I334" s="140"/>
      <c r="J334" s="140">
        <v>6</v>
      </c>
      <c r="K334" s="140"/>
      <c r="L334" s="208"/>
      <c r="M334" s="208"/>
      <c r="N334" s="208"/>
      <c r="O334" s="208"/>
      <c r="P334" s="139">
        <f>IF(Table_Shelter[[#This Row],[Status]]="Open",IF(V334="NO",Table_Shelter[[#This Row],[HH per Shelter]]*(Table_Shelter[[#This Row],['# of Temporary Shelter Units Built]]+Table_Shelter[[#This Row],['# of Temporary Shelter Under  Construction]]+Table_Shelter[[#This Row],['# of Permanent House Under Construction]]),0),0)</f>
        <v>0</v>
      </c>
      <c r="Q334" s="139"/>
      <c r="R334" s="208"/>
      <c r="S334" s="208" t="str">
        <f>IFERROR(VLOOKUP(Table_Shelter[[#This Row],[CampName]],CL,2,0),"")</f>
        <v>MMR001CMP053</v>
      </c>
      <c r="T334" s="208" t="str">
        <f>IFERROR(VLOOKUP(Table_Shelter[[#This Row],[CampName]],CL,3,0),"")</f>
        <v>Open</v>
      </c>
      <c r="U334" s="323">
        <f>IFERROR(Table_Shelter[[#This Row],[HH Covered]]/VLOOKUP(Table_Shelter[[#This Row],[CampName]],CL,4,0),"")</f>
        <v>0</v>
      </c>
      <c r="V334" s="323" t="s">
        <v>1309</v>
      </c>
      <c r="W334" s="208"/>
    </row>
    <row r="335" spans="1:23" x14ac:dyDescent="0.25">
      <c r="A335" s="682"/>
      <c r="B335" s="206" t="s">
        <v>453</v>
      </c>
      <c r="C335" s="206" t="s">
        <v>506</v>
      </c>
      <c r="D335" s="209" t="s">
        <v>380</v>
      </c>
      <c r="E335" s="406" t="s">
        <v>528</v>
      </c>
      <c r="F335" s="206" t="s">
        <v>140</v>
      </c>
      <c r="G335" s="138">
        <v>1</v>
      </c>
      <c r="H335" s="140"/>
      <c r="I335" s="140"/>
      <c r="J335" s="140">
        <v>10</v>
      </c>
      <c r="K335" s="140">
        <v>10</v>
      </c>
      <c r="L335" s="208"/>
      <c r="M335" s="208"/>
      <c r="N335" s="208"/>
      <c r="O335" s="208"/>
      <c r="P335" s="139">
        <f>IF(Table_Shelter[[#This Row],[Status]]="Open",IF(V335="NO",Table_Shelter[[#This Row],[HH per Shelter]]*(Table_Shelter[[#This Row],['# of Temporary Shelter Units Built]]+Table_Shelter[[#This Row],['# of Temporary Shelter Under  Construction]]+Table_Shelter[[#This Row],['# of Permanent House Under Construction]]),0),0)</f>
        <v>10</v>
      </c>
      <c r="Q335" s="139"/>
      <c r="R335" s="208"/>
      <c r="S335" s="208" t="str">
        <f>IFERROR(VLOOKUP(Table_Shelter[[#This Row],[CampName]],CL,2,0),"")</f>
        <v>MMR001CMP105</v>
      </c>
      <c r="T335" s="208" t="str">
        <f>IFERROR(VLOOKUP(Table_Shelter[[#This Row],[CampName]],CL,3,0),"")</f>
        <v>Open</v>
      </c>
      <c r="U335" s="323">
        <f>IFERROR(Table_Shelter[[#This Row],[HH Covered]]/VLOOKUP(Table_Shelter[[#This Row],[CampName]],CL,4,0),"")</f>
        <v>0.83333333333333337</v>
      </c>
      <c r="V335" s="323" t="s">
        <v>1309</v>
      </c>
      <c r="W335" s="208"/>
    </row>
    <row r="336" spans="1:23" x14ac:dyDescent="0.25">
      <c r="A336" s="685">
        <v>42502</v>
      </c>
      <c r="B336" s="559" t="s">
        <v>453</v>
      </c>
      <c r="C336" s="560" t="s">
        <v>461</v>
      </c>
      <c r="D336" s="561" t="s">
        <v>380</v>
      </c>
      <c r="E336" s="406" t="s">
        <v>310</v>
      </c>
      <c r="F336" s="559" t="s">
        <v>1248</v>
      </c>
      <c r="G336" s="559">
        <v>1</v>
      </c>
      <c r="H336" s="560"/>
      <c r="I336" s="560"/>
      <c r="J336" s="560"/>
      <c r="K336" s="560"/>
      <c r="L336" s="560"/>
      <c r="M336" s="560"/>
      <c r="N336" s="560"/>
      <c r="O336" s="560"/>
      <c r="P336" s="562">
        <f>IF(Table_Shelter[[#This Row],[Status]]="Open",IF(V336="NO",Table_Shelter[[#This Row],[HH per Shelter]]*(Table_Shelter[[#This Row],['# of Temporary Shelter Units Built]]+Table_Shelter[[#This Row],['# of Temporary Shelter Under  Construction]]+Table_Shelter[[#This Row],['# of Permanent House Under Construction]]),0),0)</f>
        <v>0</v>
      </c>
      <c r="Q336" s="562">
        <v>40</v>
      </c>
      <c r="R336" s="562"/>
      <c r="S336" s="563" t="str">
        <f>IFERROR(VLOOKUP(Table_Shelter[[#This Row],[CampName]],CL,2,0),"")</f>
        <v>MMR001CMP111</v>
      </c>
      <c r="T336" s="564" t="str">
        <f>IFERROR(VLOOKUP(Table_Shelter[[#This Row],[CampName]],CL,3,0),"")</f>
        <v>Open</v>
      </c>
      <c r="U336" s="565">
        <f>IFERROR(Table_Shelter[[#This Row],[HH Covered]]/VLOOKUP(Table_Shelter[[#This Row],[CampName]],CL,4,0),"")</f>
        <v>0</v>
      </c>
      <c r="V336" s="324" t="s">
        <v>1309</v>
      </c>
      <c r="W336" s="562"/>
    </row>
    <row r="337" spans="1:23" x14ac:dyDescent="0.25">
      <c r="A337" s="682">
        <v>42416</v>
      </c>
      <c r="B337" s="206" t="s">
        <v>453</v>
      </c>
      <c r="C337" s="206" t="s">
        <v>461</v>
      </c>
      <c r="D337" s="209" t="s">
        <v>380</v>
      </c>
      <c r="E337" s="406" t="s">
        <v>310</v>
      </c>
      <c r="F337" s="206" t="s">
        <v>1248</v>
      </c>
      <c r="G337" s="138">
        <v>1</v>
      </c>
      <c r="H337" s="140"/>
      <c r="I337" s="140"/>
      <c r="J337" s="140"/>
      <c r="K337" s="140"/>
      <c r="L337" s="208"/>
      <c r="M337" s="208"/>
      <c r="N337" s="208"/>
      <c r="O337" s="208"/>
      <c r="P337" s="139">
        <f>IF(Table_Shelter[[#This Row],[Status]]="Open",IF(V337="NO",Table_Shelter[[#This Row],[HH per Shelter]]*(Table_Shelter[[#This Row],['# of Temporary Shelter Units Built]]+Table_Shelter[[#This Row],['# of Temporary Shelter Under  Construction]]+Table_Shelter[[#This Row],['# of Permanent House Under Construction]]),0),0)</f>
        <v>0</v>
      </c>
      <c r="Q337" s="139">
        <v>8</v>
      </c>
      <c r="R337" s="139">
        <v>8</v>
      </c>
      <c r="S337" s="208" t="str">
        <f>IFERROR(VLOOKUP(Table_Shelter[[#This Row],[CampName]],CL,2,0),"")</f>
        <v>MMR001CMP111</v>
      </c>
      <c r="T337" s="208" t="str">
        <f>IFERROR(VLOOKUP(Table_Shelter[[#This Row],[CampName]],CL,3,0),"")</f>
        <v>Open</v>
      </c>
      <c r="U337" s="323">
        <f>IFERROR(Table_Shelter[[#This Row],[HH Covered]]/VLOOKUP(Table_Shelter[[#This Row],[CampName]],CL,4,0),"")</f>
        <v>0</v>
      </c>
      <c r="V337" s="208" t="s">
        <v>1309</v>
      </c>
      <c r="W337" s="19"/>
    </row>
    <row r="338" spans="1:23" x14ac:dyDescent="0.25">
      <c r="A338" s="682">
        <v>41609</v>
      </c>
      <c r="B338" s="206" t="s">
        <v>453</v>
      </c>
      <c r="C338" s="206" t="s">
        <v>461</v>
      </c>
      <c r="D338" s="209" t="s">
        <v>380</v>
      </c>
      <c r="E338" s="406" t="s">
        <v>310</v>
      </c>
      <c r="F338" s="206" t="s">
        <v>1248</v>
      </c>
      <c r="G338" s="138">
        <v>1</v>
      </c>
      <c r="H338" s="140"/>
      <c r="I338" s="140"/>
      <c r="J338" s="140">
        <v>76</v>
      </c>
      <c r="K338" s="140">
        <v>76</v>
      </c>
      <c r="L338" s="208"/>
      <c r="M338" s="208"/>
      <c r="N338" s="208"/>
      <c r="O338" s="208"/>
      <c r="P338" s="139">
        <f>IF(Table_Shelter[[#This Row],[Status]]="Open",IF(V338="NO",Table_Shelter[[#This Row],[HH per Shelter]]*(Table_Shelter[[#This Row],['# of Temporary Shelter Units Built]]+Table_Shelter[[#This Row],['# of Temporary Shelter Under  Construction]]+Table_Shelter[[#This Row],['# of Permanent House Under Construction]]),0),0)</f>
        <v>76</v>
      </c>
      <c r="Q338" s="139"/>
      <c r="R338" s="139"/>
      <c r="S338" s="139" t="str">
        <f>IFERROR(VLOOKUP(Table_Shelter[[#This Row],[CampName]],CL,2,0),"")</f>
        <v>MMR001CMP111</v>
      </c>
      <c r="T338" s="139" t="str">
        <f>IFERROR(VLOOKUP(Table_Shelter[[#This Row],[CampName]],CL,3,0),"")</f>
        <v>Open</v>
      </c>
      <c r="U338" s="323">
        <f>IFERROR(Table_Shelter[[#This Row],[HH Covered]]/VLOOKUP(Table_Shelter[[#This Row],[CampName]],CL,4,0),"")</f>
        <v>0.12582781456953643</v>
      </c>
      <c r="V338" s="323" t="s">
        <v>1309</v>
      </c>
      <c r="W338" s="139"/>
    </row>
    <row r="339" spans="1:23" x14ac:dyDescent="0.25">
      <c r="A339" s="682"/>
      <c r="B339" s="206" t="s">
        <v>571</v>
      </c>
      <c r="C339" s="206" t="s">
        <v>461</v>
      </c>
      <c r="D339" s="209" t="s">
        <v>380</v>
      </c>
      <c r="E339" s="406" t="s">
        <v>310</v>
      </c>
      <c r="F339" s="206" t="s">
        <v>1248</v>
      </c>
      <c r="G339" s="138">
        <v>1</v>
      </c>
      <c r="H339" s="140"/>
      <c r="I339" s="140"/>
      <c r="J339" s="140">
        <v>220</v>
      </c>
      <c r="K339" s="140">
        <v>220</v>
      </c>
      <c r="L339" s="208"/>
      <c r="M339" s="208"/>
      <c r="N339" s="208"/>
      <c r="O339" s="208"/>
      <c r="P339" s="139">
        <f>IF(Table_Shelter[[#This Row],[Status]]="Open",IF(V339="NO",Table_Shelter[[#This Row],[HH per Shelter]]*(Table_Shelter[[#This Row],['# of Temporary Shelter Units Built]]+Table_Shelter[[#This Row],['# of Temporary Shelter Under  Construction]]+Table_Shelter[[#This Row],['# of Permanent House Under Construction]]),0),0)</f>
        <v>220</v>
      </c>
      <c r="Q339" s="139"/>
      <c r="R339" s="208"/>
      <c r="S339" s="208" t="str">
        <f>IFERROR(VLOOKUP(Table_Shelter[[#This Row],[CampName]],CL,2,0),"")</f>
        <v>MMR001CMP111</v>
      </c>
      <c r="T339" s="208" t="str">
        <f>IFERROR(VLOOKUP(Table_Shelter[[#This Row],[CampName]],CL,3,0),"")</f>
        <v>Open</v>
      </c>
      <c r="U339" s="323">
        <f>IFERROR(Table_Shelter[[#This Row],[HH Covered]]/VLOOKUP(Table_Shelter[[#This Row],[CampName]],CL,4,0),"")</f>
        <v>0.36423841059602646</v>
      </c>
      <c r="V339" s="323" t="s">
        <v>1309</v>
      </c>
      <c r="W339" s="208"/>
    </row>
    <row r="340" spans="1:23" x14ac:dyDescent="0.25">
      <c r="A340" s="689">
        <v>42569</v>
      </c>
      <c r="B340" s="668" t="s">
        <v>570</v>
      </c>
      <c r="C340" s="668" t="s">
        <v>461</v>
      </c>
      <c r="D340" s="669" t="s">
        <v>380</v>
      </c>
      <c r="E340" s="670" t="s">
        <v>310</v>
      </c>
      <c r="F340" s="668" t="s">
        <v>1248</v>
      </c>
      <c r="G340" s="671">
        <v>1</v>
      </c>
      <c r="H340" s="672"/>
      <c r="I340" s="672"/>
      <c r="J340" s="672"/>
      <c r="K340" s="672"/>
      <c r="L340" s="673"/>
      <c r="M340" s="673"/>
      <c r="N340" s="673"/>
      <c r="O340" s="673"/>
      <c r="P340" s="674">
        <f>IF(Table_Shelter[[#This Row],[Status]]="Open",IF(V340="NO",Table_Shelter[[#This Row],[HH per Shelter]]*(Table_Shelter[[#This Row],['# of Temporary Shelter Units Built]]+Table_Shelter[[#This Row],['# of Temporary Shelter Under  Construction]]+Table_Shelter[[#This Row],['# of Permanent House Under Construction]]),0),0)</f>
        <v>0</v>
      </c>
      <c r="Q340" s="674">
        <v>40</v>
      </c>
      <c r="R340" s="674">
        <v>40</v>
      </c>
      <c r="S340" s="674" t="str">
        <f>IFERROR(VLOOKUP(Table_Shelter[[#This Row],[CampName]],CL,2,0),"")</f>
        <v>MMR001CMP111</v>
      </c>
      <c r="T340" s="674" t="str">
        <f>IFERROR(VLOOKUP(Table_Shelter[[#This Row],[CampName]],CL,3,0),"")</f>
        <v>Open</v>
      </c>
      <c r="U340" s="675">
        <f>IFERROR(Table_Shelter[[#This Row],[HH Covered]]/VLOOKUP(Table_Shelter[[#This Row],[CampName]],CL,4,0),"")</f>
        <v>0</v>
      </c>
      <c r="V340" s="690" t="s">
        <v>1309</v>
      </c>
      <c r="W340" s="674"/>
    </row>
    <row r="341" spans="1:23" x14ac:dyDescent="0.25">
      <c r="A341" s="682"/>
      <c r="B341" s="206" t="s">
        <v>453</v>
      </c>
      <c r="C341" s="206" t="s">
        <v>461</v>
      </c>
      <c r="D341" s="209" t="s">
        <v>380</v>
      </c>
      <c r="E341" s="406" t="s">
        <v>310</v>
      </c>
      <c r="F341" s="206" t="s">
        <v>1248</v>
      </c>
      <c r="G341" s="138">
        <v>1</v>
      </c>
      <c r="H341" s="140"/>
      <c r="I341" s="140"/>
      <c r="J341" s="140">
        <v>325</v>
      </c>
      <c r="K341" s="140">
        <v>325</v>
      </c>
      <c r="L341" s="208"/>
      <c r="M341" s="208"/>
      <c r="N341" s="208"/>
      <c r="O341" s="208"/>
      <c r="P341" s="139">
        <f>IF(Table_Shelter[[#This Row],[Status]]="Open",IF(V341="NO",Table_Shelter[[#This Row],[HH per Shelter]]*(Table_Shelter[[#This Row],['# of Temporary Shelter Units Built]]+Table_Shelter[[#This Row],['# of Temporary Shelter Under  Construction]]+Table_Shelter[[#This Row],['# of Permanent House Under Construction]]),0),0)</f>
        <v>325</v>
      </c>
      <c r="Q341" s="139"/>
      <c r="R341" s="208"/>
      <c r="S341" s="208" t="str">
        <f>IFERROR(VLOOKUP(Table_Shelter[[#This Row],[CampName]],CL,2,0),"")</f>
        <v>MMR001CMP111</v>
      </c>
      <c r="T341" s="208" t="str">
        <f>IFERROR(VLOOKUP(Table_Shelter[[#This Row],[CampName]],CL,3,0),"")</f>
        <v>Open</v>
      </c>
      <c r="U341" s="323">
        <f>IFERROR(Table_Shelter[[#This Row],[HH Covered]]/VLOOKUP(Table_Shelter[[#This Row],[CampName]],CL,4,0),"")</f>
        <v>0.53807947019867552</v>
      </c>
      <c r="V341" s="323" t="s">
        <v>1309</v>
      </c>
      <c r="W341" s="208"/>
    </row>
    <row r="342" spans="1:23" x14ac:dyDescent="0.25">
      <c r="A342" s="681">
        <v>42416</v>
      </c>
      <c r="B342" s="206" t="s">
        <v>847</v>
      </c>
      <c r="C342" s="206"/>
      <c r="D342" s="209" t="s">
        <v>554</v>
      </c>
      <c r="E342" s="406" t="s">
        <v>146</v>
      </c>
      <c r="F342" s="206" t="s">
        <v>373</v>
      </c>
      <c r="G342" s="138">
        <v>1</v>
      </c>
      <c r="H342" s="140"/>
      <c r="I342" s="140"/>
      <c r="J342" s="140">
        <v>16</v>
      </c>
      <c r="K342" s="140">
        <v>16</v>
      </c>
      <c r="L342" s="208"/>
      <c r="M342" s="208"/>
      <c r="N342" s="208"/>
      <c r="O342" s="208"/>
      <c r="P342" s="139">
        <f>IF(Table_Shelter[[#This Row],[Status]]="Open",IF(V342="NO",Table_Shelter[[#This Row],[HH per Shelter]]*(Table_Shelter[[#This Row],['# of Temporary Shelter Units Built]]+Table_Shelter[[#This Row],['# of Temporary Shelter Under  Construction]]+Table_Shelter[[#This Row],['# of Permanent House Under Construction]]),0),0)</f>
        <v>16</v>
      </c>
      <c r="Q342" s="139"/>
      <c r="R342" s="208"/>
      <c r="S342" s="208" t="str">
        <f>IFERROR(VLOOKUP(Table_Shelter[[#This Row],[CampName]],CL,2,0),"")</f>
        <v>MMR015CMP020</v>
      </c>
      <c r="T342" s="208" t="str">
        <f>IFERROR(VLOOKUP(Table_Shelter[[#This Row],[CampName]],CL,3,0),"")</f>
        <v>Open</v>
      </c>
      <c r="U342" s="323">
        <f>IFERROR(Table_Shelter[[#This Row],[HH Covered]]/VLOOKUP(Table_Shelter[[#This Row],[CampName]],CL,4,0),"")</f>
        <v>7.9207920792079209E-2</v>
      </c>
      <c r="V342" s="208" t="s">
        <v>1309</v>
      </c>
      <c r="W342" s="19"/>
    </row>
    <row r="343" spans="1:23" x14ac:dyDescent="0.25">
      <c r="A343" s="682"/>
      <c r="B343" s="206" t="s">
        <v>1099</v>
      </c>
      <c r="C343" s="206" t="s">
        <v>946</v>
      </c>
      <c r="D343" s="209" t="s">
        <v>554</v>
      </c>
      <c r="E343" s="406" t="s">
        <v>146</v>
      </c>
      <c r="F343" s="206" t="s">
        <v>373</v>
      </c>
      <c r="G343" s="138">
        <v>1</v>
      </c>
      <c r="H343" s="140"/>
      <c r="I343" s="140"/>
      <c r="J343" s="140">
        <v>85</v>
      </c>
      <c r="K343" s="140">
        <v>85</v>
      </c>
      <c r="L343" s="208"/>
      <c r="M343" s="208"/>
      <c r="N343" s="208"/>
      <c r="O343" s="208"/>
      <c r="P343" s="139">
        <f>IF(Table_Shelter[[#This Row],[Status]]="Open",IF(V343="NO",Table_Shelter[[#This Row],[HH per Shelter]]*(Table_Shelter[[#This Row],['# of Temporary Shelter Units Built]]+Table_Shelter[[#This Row],['# of Temporary Shelter Under  Construction]]+Table_Shelter[[#This Row],['# of Permanent House Under Construction]]),0),0)</f>
        <v>85</v>
      </c>
      <c r="Q343" s="139"/>
      <c r="R343" s="208"/>
      <c r="S343" s="208" t="str">
        <f>IFERROR(VLOOKUP(Table_Shelter[[#This Row],[CampName]],CL,2,0),"")</f>
        <v>MMR015CMP020</v>
      </c>
      <c r="T343" s="208" t="str">
        <f>IFERROR(VLOOKUP(Table_Shelter[[#This Row],[CampName]],CL,3,0),"")</f>
        <v>Open</v>
      </c>
      <c r="U343" s="323">
        <f>IFERROR(Table_Shelter[[#This Row],[HH Covered]]/VLOOKUP(Table_Shelter[[#This Row],[CampName]],CL,4,0),"")</f>
        <v>0.42079207920792078</v>
      </c>
      <c r="V343" s="323" t="s">
        <v>1309</v>
      </c>
      <c r="W343" s="208"/>
    </row>
    <row r="344" spans="1:23" x14ac:dyDescent="0.25">
      <c r="A344" s="682"/>
      <c r="B344" s="206" t="s">
        <v>453</v>
      </c>
      <c r="C344" s="206"/>
      <c r="D344" s="209" t="s">
        <v>380</v>
      </c>
      <c r="E344" s="406" t="s">
        <v>528</v>
      </c>
      <c r="F344" s="206"/>
      <c r="G344" s="138">
        <v>1</v>
      </c>
      <c r="H344" s="140">
        <v>30</v>
      </c>
      <c r="I344" s="140">
        <v>30</v>
      </c>
      <c r="J344" s="140"/>
      <c r="K344" s="140"/>
      <c r="L344" s="208"/>
      <c r="M344" s="208"/>
      <c r="N344" s="208"/>
      <c r="O344" s="208"/>
      <c r="P344" s="139">
        <f>IF(Table_Shelter[[#This Row],[Status]]="Open",IF(V344="NO",Table_Shelter[[#This Row],[HH per Shelter]]*(Table_Shelter[[#This Row],['# of Temporary Shelter Units Built]]+Table_Shelter[[#This Row],['# of Temporary Shelter Under  Construction]]+Table_Shelter[[#This Row],['# of Permanent House Under Construction]]),0),0)</f>
        <v>0</v>
      </c>
      <c r="Q344" s="139"/>
      <c r="R344" s="208"/>
      <c r="S344" s="208" t="str">
        <f>IFERROR(VLOOKUP(Table_Shelter[[#This Row],[CampName]],CL,2,0),"")</f>
        <v/>
      </c>
      <c r="T344" s="208" t="str">
        <f>IFERROR(VLOOKUP(Table_Shelter[[#This Row],[CampName]],CL,3,0),"")</f>
        <v/>
      </c>
      <c r="U344" s="323" t="str">
        <f>IFERROR(Table_Shelter[[#This Row],[HH Covered]]/VLOOKUP(Table_Shelter[[#This Row],[CampName]],CL,4,0),"")</f>
        <v/>
      </c>
      <c r="V344" s="323" t="s">
        <v>1309</v>
      </c>
      <c r="W344" s="208"/>
    </row>
    <row r="345" spans="1:23" x14ac:dyDescent="0.25">
      <c r="A345" s="682"/>
      <c r="B345" s="206" t="s">
        <v>571</v>
      </c>
      <c r="C345" s="206" t="s">
        <v>461</v>
      </c>
      <c r="D345" s="209" t="s">
        <v>380</v>
      </c>
      <c r="E345" s="406" t="s">
        <v>237</v>
      </c>
      <c r="F345" s="206"/>
      <c r="G345" s="138">
        <v>1</v>
      </c>
      <c r="H345" s="140"/>
      <c r="I345" s="140"/>
      <c r="J345" s="140">
        <v>15</v>
      </c>
      <c r="K345" s="140">
        <v>15</v>
      </c>
      <c r="L345" s="208"/>
      <c r="M345" s="208"/>
      <c r="N345" s="208"/>
      <c r="O345" s="208"/>
      <c r="P345" s="139">
        <f>IF(Table_Shelter[[#This Row],[Status]]="Open",IF(V345="NO",Table_Shelter[[#This Row],[HH per Shelter]]*(Table_Shelter[[#This Row],['# of Temporary Shelter Units Built]]+Table_Shelter[[#This Row],['# of Temporary Shelter Under  Construction]]+Table_Shelter[[#This Row],['# of Permanent House Under Construction]]),0),0)</f>
        <v>0</v>
      </c>
      <c r="Q345" s="139"/>
      <c r="R345" s="208"/>
      <c r="S345" s="208" t="str">
        <f>IFERROR(VLOOKUP(Table_Shelter[[#This Row],[CampName]],CL,2,0),"")</f>
        <v/>
      </c>
      <c r="T345" s="208" t="str">
        <f>IFERROR(VLOOKUP(Table_Shelter[[#This Row],[CampName]],CL,3,0),"")</f>
        <v/>
      </c>
      <c r="U345" s="323" t="str">
        <f>IFERROR(Table_Shelter[[#This Row],[HH Covered]]/VLOOKUP(Table_Shelter[[#This Row],[CampName]],CL,4,0),"")</f>
        <v/>
      </c>
      <c r="V345" s="323" t="s">
        <v>1309</v>
      </c>
      <c r="W345" s="208"/>
    </row>
    <row r="346" spans="1:23" x14ac:dyDescent="0.25">
      <c r="A346" s="682"/>
      <c r="B346" s="206" t="s">
        <v>453</v>
      </c>
      <c r="C346" s="206"/>
      <c r="D346" s="209" t="s">
        <v>380</v>
      </c>
      <c r="E346" s="406" t="s">
        <v>300</v>
      </c>
      <c r="F346" s="206"/>
      <c r="G346" s="138">
        <v>1</v>
      </c>
      <c r="H346" s="140">
        <v>55</v>
      </c>
      <c r="I346" s="140">
        <v>55</v>
      </c>
      <c r="J346" s="140"/>
      <c r="K346" s="140"/>
      <c r="L346" s="208"/>
      <c r="M346" s="208"/>
      <c r="N346" s="208"/>
      <c r="O346" s="208"/>
      <c r="P346" s="139">
        <f>IF(Table_Shelter[[#This Row],[Status]]="Open",IF(V346="NO",Table_Shelter[[#This Row],[HH per Shelter]]*(Table_Shelter[[#This Row],['# of Temporary Shelter Units Built]]+Table_Shelter[[#This Row],['# of Temporary Shelter Under  Construction]]+Table_Shelter[[#This Row],['# of Permanent House Under Construction]]),0),0)</f>
        <v>0</v>
      </c>
      <c r="Q346" s="139"/>
      <c r="R346" s="208"/>
      <c r="S346" s="208" t="str">
        <f>IFERROR(VLOOKUP(Table_Shelter[[#This Row],[CampName]],CL,2,0),"")</f>
        <v/>
      </c>
      <c r="T346" s="208" t="str">
        <f>IFERROR(VLOOKUP(Table_Shelter[[#This Row],[CampName]],CL,3,0),"")</f>
        <v/>
      </c>
      <c r="U346" s="323" t="str">
        <f>IFERROR(Table_Shelter[[#This Row],[HH Covered]]/VLOOKUP(Table_Shelter[[#This Row],[CampName]],CL,4,0),"")</f>
        <v/>
      </c>
      <c r="V346" s="323" t="s">
        <v>1309</v>
      </c>
      <c r="W346" s="208"/>
    </row>
  </sheetData>
  <mergeCells count="2">
    <mergeCell ref="A2:C2"/>
    <mergeCell ref="A3:P3"/>
  </mergeCells>
  <conditionalFormatting sqref="R1:R3 T244 R244 T86:T111 T232:T242 R232:R242 R267:R268 T267:T268 T270:T346 R270:R1048576 T113:T230 R113:R230 T4:T84 R31:R84">
    <cfRule type="containsText" dxfId="81" priority="119" operator="containsText" text="close">
      <formula>NOT(ISERROR(SEARCH("close",R1)))</formula>
    </cfRule>
    <cfRule type="containsText" dxfId="80" priority="120" operator="containsText" text="open">
      <formula>NOT(ISERROR(SEARCH("open",R1)))</formula>
    </cfRule>
  </conditionalFormatting>
  <conditionalFormatting sqref="R86:R111">
    <cfRule type="containsText" dxfId="79" priority="117" operator="containsText" text="close">
      <formula>NOT(ISERROR(SEARCH("close",R86)))</formula>
    </cfRule>
    <cfRule type="containsText" dxfId="78" priority="118" operator="containsText" text="open">
      <formula>NOT(ISERROR(SEARCH("open",R86)))</formula>
    </cfRule>
  </conditionalFormatting>
  <conditionalFormatting sqref="R261 T261">
    <cfRule type="containsText" dxfId="77" priority="63" operator="containsText" text="close">
      <formula>NOT(ISERROR(SEARCH("close",R261)))</formula>
    </cfRule>
    <cfRule type="containsText" dxfId="76" priority="64" operator="containsText" text="open">
      <formula>NOT(ISERROR(SEARCH("open",R261)))</formula>
    </cfRule>
  </conditionalFormatting>
  <conditionalFormatting sqref="T245 R245">
    <cfRule type="containsText" dxfId="75" priority="115" operator="containsText" text="close">
      <formula>NOT(ISERROR(SEARCH("close",R245)))</formula>
    </cfRule>
    <cfRule type="containsText" dxfId="74" priority="116" operator="containsText" text="open">
      <formula>NOT(ISERROR(SEARCH("open",R245)))</formula>
    </cfRule>
  </conditionalFormatting>
  <conditionalFormatting sqref="T246">
    <cfRule type="containsText" dxfId="73" priority="113" operator="containsText" text="close">
      <formula>NOT(ISERROR(SEARCH("close",T246)))</formula>
    </cfRule>
    <cfRule type="containsText" dxfId="72" priority="114" operator="containsText" text="open">
      <formula>NOT(ISERROR(SEARCH("open",T246)))</formula>
    </cfRule>
  </conditionalFormatting>
  <conditionalFormatting sqref="T247">
    <cfRule type="containsText" dxfId="71" priority="111" operator="containsText" text="close">
      <formula>NOT(ISERROR(SEARCH("close",T247)))</formula>
    </cfRule>
    <cfRule type="containsText" dxfId="70" priority="112" operator="containsText" text="open">
      <formula>NOT(ISERROR(SEARCH("open",T247)))</formula>
    </cfRule>
  </conditionalFormatting>
  <conditionalFormatting sqref="R247">
    <cfRule type="containsText" dxfId="69" priority="109" operator="containsText" text="close">
      <formula>NOT(ISERROR(SEARCH("close",R247)))</formula>
    </cfRule>
    <cfRule type="containsText" dxfId="68" priority="110" operator="containsText" text="open">
      <formula>NOT(ISERROR(SEARCH("open",R247)))</formula>
    </cfRule>
  </conditionalFormatting>
  <conditionalFormatting sqref="T248">
    <cfRule type="containsText" dxfId="67" priority="103" operator="containsText" text="close">
      <formula>NOT(ISERROR(SEARCH("close",T248)))</formula>
    </cfRule>
    <cfRule type="containsText" dxfId="66" priority="104" operator="containsText" text="open">
      <formula>NOT(ISERROR(SEARCH("open",T248)))</formula>
    </cfRule>
  </conditionalFormatting>
  <conditionalFormatting sqref="R248">
    <cfRule type="containsText" dxfId="65" priority="101" operator="containsText" text="close">
      <formula>NOT(ISERROR(SEARCH("close",R248)))</formula>
    </cfRule>
    <cfRule type="containsText" dxfId="64" priority="102" operator="containsText" text="open">
      <formula>NOT(ISERROR(SEARCH("open",R248)))</formula>
    </cfRule>
  </conditionalFormatting>
  <conditionalFormatting sqref="T249">
    <cfRule type="containsText" dxfId="63" priority="99" operator="containsText" text="close">
      <formula>NOT(ISERROR(SEARCH("close",T249)))</formula>
    </cfRule>
    <cfRule type="containsText" dxfId="62" priority="100" operator="containsText" text="open">
      <formula>NOT(ISERROR(SEARCH("open",T249)))</formula>
    </cfRule>
  </conditionalFormatting>
  <conditionalFormatting sqref="R249">
    <cfRule type="containsText" dxfId="61" priority="97" operator="containsText" text="close">
      <formula>NOT(ISERROR(SEARCH("close",R249)))</formula>
    </cfRule>
    <cfRule type="containsText" dxfId="60" priority="98" operator="containsText" text="open">
      <formula>NOT(ISERROR(SEARCH("open",R249)))</formula>
    </cfRule>
  </conditionalFormatting>
  <conditionalFormatting sqref="T250 R250">
    <cfRule type="containsText" dxfId="59" priority="95" operator="containsText" text="close">
      <formula>NOT(ISERROR(SEARCH("close",R250)))</formula>
    </cfRule>
    <cfRule type="containsText" dxfId="58" priority="96" operator="containsText" text="open">
      <formula>NOT(ISERROR(SEARCH("open",R250)))</formula>
    </cfRule>
  </conditionalFormatting>
  <conditionalFormatting sqref="T251 R251">
    <cfRule type="containsText" dxfId="57" priority="91" operator="containsText" text="close">
      <formula>NOT(ISERROR(SEARCH("close",R251)))</formula>
    </cfRule>
    <cfRule type="containsText" dxfId="56" priority="92" operator="containsText" text="open">
      <formula>NOT(ISERROR(SEARCH("open",R251)))</formula>
    </cfRule>
  </conditionalFormatting>
  <conditionalFormatting sqref="T252 R252">
    <cfRule type="containsText" dxfId="55" priority="89" operator="containsText" text="close">
      <formula>NOT(ISERROR(SEARCH("close",R252)))</formula>
    </cfRule>
    <cfRule type="containsText" dxfId="54" priority="90" operator="containsText" text="open">
      <formula>NOT(ISERROR(SEARCH("open",R252)))</formula>
    </cfRule>
  </conditionalFormatting>
  <conditionalFormatting sqref="T253 R253">
    <cfRule type="containsText" dxfId="53" priority="87" operator="containsText" text="close">
      <formula>NOT(ISERROR(SEARCH("close",R253)))</formula>
    </cfRule>
    <cfRule type="containsText" dxfId="52" priority="88" operator="containsText" text="open">
      <formula>NOT(ISERROR(SEARCH("open",R253)))</formula>
    </cfRule>
  </conditionalFormatting>
  <conditionalFormatting sqref="T255">
    <cfRule type="containsText" dxfId="51" priority="83" operator="containsText" text="close">
      <formula>NOT(ISERROR(SEARCH("close",T255)))</formula>
    </cfRule>
    <cfRule type="containsText" dxfId="50" priority="84" operator="containsText" text="open">
      <formula>NOT(ISERROR(SEARCH("open",T255)))</formula>
    </cfRule>
  </conditionalFormatting>
  <conditionalFormatting sqref="R255">
    <cfRule type="containsText" dxfId="49" priority="81" operator="containsText" text="close">
      <formula>NOT(ISERROR(SEARCH("close",R255)))</formula>
    </cfRule>
    <cfRule type="containsText" dxfId="48" priority="82" operator="containsText" text="open">
      <formula>NOT(ISERROR(SEARCH("open",R255)))</formula>
    </cfRule>
  </conditionalFormatting>
  <conditionalFormatting sqref="T256">
    <cfRule type="containsText" dxfId="47" priority="79" operator="containsText" text="close">
      <formula>NOT(ISERROR(SEARCH("close",T256)))</formula>
    </cfRule>
    <cfRule type="containsText" dxfId="46" priority="80" operator="containsText" text="open">
      <formula>NOT(ISERROR(SEARCH("open",T256)))</formula>
    </cfRule>
  </conditionalFormatting>
  <conditionalFormatting sqref="R257 T257">
    <cfRule type="containsText" dxfId="45" priority="73" operator="containsText" text="close">
      <formula>NOT(ISERROR(SEARCH("close",R257)))</formula>
    </cfRule>
    <cfRule type="containsText" dxfId="44" priority="74" operator="containsText" text="open">
      <formula>NOT(ISERROR(SEARCH("open",R257)))</formula>
    </cfRule>
  </conditionalFormatting>
  <conditionalFormatting sqref="T259">
    <cfRule type="containsText" dxfId="43" priority="71" operator="containsText" text="close">
      <formula>NOT(ISERROR(SEARCH("close",T259)))</formula>
    </cfRule>
    <cfRule type="containsText" dxfId="42" priority="72" operator="containsText" text="open">
      <formula>NOT(ISERROR(SEARCH("open",T259)))</formula>
    </cfRule>
  </conditionalFormatting>
  <conditionalFormatting sqref="R259">
    <cfRule type="containsText" dxfId="41" priority="69" operator="containsText" text="close">
      <formula>NOT(ISERROR(SEARCH("close",R259)))</formula>
    </cfRule>
    <cfRule type="containsText" dxfId="40" priority="70" operator="containsText" text="open">
      <formula>NOT(ISERROR(SEARCH("open",R259)))</formula>
    </cfRule>
  </conditionalFormatting>
  <conditionalFormatting sqref="T260">
    <cfRule type="containsText" dxfId="39" priority="67" operator="containsText" text="close">
      <formula>NOT(ISERROR(SEARCH("close",T260)))</formula>
    </cfRule>
    <cfRule type="containsText" dxfId="38" priority="68" operator="containsText" text="open">
      <formula>NOT(ISERROR(SEARCH("open",T260)))</formula>
    </cfRule>
  </conditionalFormatting>
  <conditionalFormatting sqref="R260">
    <cfRule type="containsText" dxfId="37" priority="65" operator="containsText" text="close">
      <formula>NOT(ISERROR(SEARCH("close",R260)))</formula>
    </cfRule>
    <cfRule type="containsText" dxfId="36" priority="66" operator="containsText" text="open">
      <formula>NOT(ISERROR(SEARCH("open",R260)))</formula>
    </cfRule>
  </conditionalFormatting>
  <conditionalFormatting sqref="T258 R258">
    <cfRule type="containsText" dxfId="35" priority="51" operator="containsText" text="close">
      <formula>NOT(ISERROR(SEARCH("close",R258)))</formula>
    </cfRule>
    <cfRule type="containsText" dxfId="34" priority="52" operator="containsText" text="open">
      <formula>NOT(ISERROR(SEARCH("open",R258)))</formula>
    </cfRule>
  </conditionalFormatting>
  <conditionalFormatting sqref="R262 T262">
    <cfRule type="containsText" dxfId="33" priority="45" operator="containsText" text="close">
      <formula>NOT(ISERROR(SEARCH("close",R262)))</formula>
    </cfRule>
    <cfRule type="containsText" dxfId="32" priority="46" operator="containsText" text="open">
      <formula>NOT(ISERROR(SEARCH("open",R262)))</formula>
    </cfRule>
  </conditionalFormatting>
  <conditionalFormatting sqref="T264 R264">
    <cfRule type="containsText" dxfId="31" priority="33" operator="containsText" text="close">
      <formula>NOT(ISERROR(SEARCH("close",R264)))</formula>
    </cfRule>
    <cfRule type="containsText" dxfId="30" priority="34" operator="containsText" text="open">
      <formula>NOT(ISERROR(SEARCH("open",R264)))</formula>
    </cfRule>
  </conditionalFormatting>
  <conditionalFormatting sqref="T263 R263">
    <cfRule type="containsText" dxfId="29" priority="35" operator="containsText" text="close">
      <formula>NOT(ISERROR(SEARCH("close",R263)))</formula>
    </cfRule>
    <cfRule type="containsText" dxfId="28" priority="36" operator="containsText" text="open">
      <formula>NOT(ISERROR(SEARCH("open",R263)))</formula>
    </cfRule>
  </conditionalFormatting>
  <conditionalFormatting sqref="T265 R265">
    <cfRule type="containsText" dxfId="27" priority="31" operator="containsText" text="close">
      <formula>NOT(ISERROR(SEARCH("close",R265)))</formula>
    </cfRule>
    <cfRule type="containsText" dxfId="26" priority="32" operator="containsText" text="open">
      <formula>NOT(ISERROR(SEARCH("open",R265)))</formula>
    </cfRule>
  </conditionalFormatting>
  <conditionalFormatting sqref="T266 R266">
    <cfRule type="containsText" dxfId="25" priority="29" operator="containsText" text="close">
      <formula>NOT(ISERROR(SEARCH("close",R266)))</formula>
    </cfRule>
    <cfRule type="containsText" dxfId="24" priority="30" operator="containsText" text="open">
      <formula>NOT(ISERROR(SEARCH("open",R266)))</formula>
    </cfRule>
  </conditionalFormatting>
  <conditionalFormatting sqref="T112">
    <cfRule type="containsText" dxfId="23" priority="27" operator="containsText" text="close">
      <formula>NOT(ISERROR(SEARCH("close",T112)))</formula>
    </cfRule>
    <cfRule type="containsText" dxfId="22" priority="28" operator="containsText" text="open">
      <formula>NOT(ISERROR(SEARCH("open",T112)))</formula>
    </cfRule>
  </conditionalFormatting>
  <conditionalFormatting sqref="R112">
    <cfRule type="containsText" dxfId="21" priority="25" operator="containsText" text="close">
      <formula>NOT(ISERROR(SEARCH("close",R112)))</formula>
    </cfRule>
    <cfRule type="containsText" dxfId="20" priority="26" operator="containsText" text="open">
      <formula>NOT(ISERROR(SEARCH("open",R112)))</formula>
    </cfRule>
  </conditionalFormatting>
  <conditionalFormatting sqref="T243 R243">
    <cfRule type="containsText" dxfId="19" priority="23" operator="containsText" text="close">
      <formula>NOT(ISERROR(SEARCH("close",R243)))</formula>
    </cfRule>
    <cfRule type="containsText" dxfId="18" priority="24" operator="containsText" text="open">
      <formula>NOT(ISERROR(SEARCH("open",R243)))</formula>
    </cfRule>
  </conditionalFormatting>
  <conditionalFormatting sqref="T85">
    <cfRule type="containsText" dxfId="17" priority="21" operator="containsText" text="close">
      <formula>NOT(ISERROR(SEARCH("close",T85)))</formula>
    </cfRule>
    <cfRule type="containsText" dxfId="16" priority="22" operator="containsText" text="open">
      <formula>NOT(ISERROR(SEARCH("open",T85)))</formula>
    </cfRule>
  </conditionalFormatting>
  <conditionalFormatting sqref="R85">
    <cfRule type="containsText" dxfId="15" priority="19" operator="containsText" text="close">
      <formula>NOT(ISERROR(SEARCH("close",R85)))</formula>
    </cfRule>
    <cfRule type="containsText" dxfId="14" priority="20" operator="containsText" text="open">
      <formula>NOT(ISERROR(SEARCH("open",R85)))</formula>
    </cfRule>
  </conditionalFormatting>
  <conditionalFormatting sqref="T254">
    <cfRule type="containsText" dxfId="13" priority="17" operator="containsText" text="close">
      <formula>NOT(ISERROR(SEARCH("close",T254)))</formula>
    </cfRule>
    <cfRule type="containsText" dxfId="12" priority="18" operator="containsText" text="open">
      <formula>NOT(ISERROR(SEARCH("open",T254)))</formula>
    </cfRule>
  </conditionalFormatting>
  <conditionalFormatting sqref="R254">
    <cfRule type="containsText" dxfId="11" priority="15" operator="containsText" text="close">
      <formula>NOT(ISERROR(SEARCH("close",R254)))</formula>
    </cfRule>
    <cfRule type="containsText" dxfId="10" priority="16" operator="containsText" text="open">
      <formula>NOT(ISERROR(SEARCH("open",R254)))</formula>
    </cfRule>
  </conditionalFormatting>
  <conditionalFormatting sqref="T231 R231">
    <cfRule type="containsText" dxfId="9" priority="13" operator="containsText" text="close">
      <formula>NOT(ISERROR(SEARCH("close",R231)))</formula>
    </cfRule>
    <cfRule type="containsText" dxfId="8" priority="14" operator="containsText" text="open">
      <formula>NOT(ISERROR(SEARCH("open",R231)))</formula>
    </cfRule>
  </conditionalFormatting>
  <conditionalFormatting sqref="T269 R269">
    <cfRule type="containsText" dxfId="7" priority="5" operator="containsText" text="close">
      <formula>NOT(ISERROR(SEARCH("close",R269)))</formula>
    </cfRule>
    <cfRule type="containsText" dxfId="6" priority="6" operator="containsText" text="open">
      <formula>NOT(ISERROR(SEARCH("open",R269)))</formula>
    </cfRule>
  </conditionalFormatting>
  <dataValidations count="3">
    <dataValidation type="list" allowBlank="1" showInputMessage="1" showErrorMessage="1" sqref="D5:D346">
      <formula1>State</formula1>
    </dataValidation>
    <dataValidation type="list" allowBlank="1" showInputMessage="1" showErrorMessage="1" sqref="F5:F346">
      <formula1>OFFSET(TCL_T1,MATCH(E5,TCL_T,0)-1,1,COUNTIF(TCL_T,E5),1)</formula1>
    </dataValidation>
    <dataValidation type="list" showInputMessage="1" showErrorMessage="1" sqref="E5:E346">
      <formula1>INDIRECT(D5)</formula1>
    </dataValidation>
  </dataValidations>
  <pageMargins left="0.7" right="0.7" top="0.75" bottom="0.75" header="0.3" footer="0.3"/>
  <pageSetup orientation="portrait" r:id="rId1"/>
  <ignoredErrors>
    <ignoredError sqref="V48:V50 V340" calculatedColum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Definition!$S$2:$S$3</xm:f>
          </x14:formula1>
          <xm:sqref>V250 V254:V257 V259:V262 V267:V346 V5:V248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G100"/>
  <sheetViews>
    <sheetView showZeros="0" zoomScale="80" zoomScaleNormal="80" workbookViewId="0">
      <pane ySplit="2" topLeftCell="A3" activePane="bottomLeft" state="frozen"/>
      <selection activeCell="AS915" sqref="AS915"/>
      <selection pane="bottomLeft" activeCell="C12" sqref="C12"/>
    </sheetView>
  </sheetViews>
  <sheetFormatPr defaultRowHeight="15" x14ac:dyDescent="0.25"/>
  <cols>
    <col min="1" max="1" width="16.140625" customWidth="1"/>
    <col min="2" max="2" width="20.140625" customWidth="1"/>
    <col min="3" max="3" width="17.85546875" customWidth="1"/>
    <col min="4" max="4" width="13.7109375" customWidth="1"/>
    <col min="5" max="5" width="12.140625" customWidth="1"/>
    <col min="6" max="6" width="14" customWidth="1"/>
    <col min="7" max="7" width="14.42578125" customWidth="1"/>
    <col min="8" max="8" width="16.140625" customWidth="1"/>
    <col min="9" max="9" width="20.140625" customWidth="1"/>
    <col min="10" max="10" width="11.7109375" customWidth="1"/>
    <col min="11" max="11" width="11.85546875" customWidth="1"/>
    <col min="12" max="12" width="18.42578125" customWidth="1"/>
    <col min="13" max="13" width="11.7109375" customWidth="1"/>
    <col min="14" max="14" width="8.85546875" customWidth="1"/>
    <col min="15" max="15" width="12.42578125" style="47" customWidth="1"/>
    <col min="16" max="16" width="12.140625" hidden="1" customWidth="1"/>
    <col min="17" max="17" width="12.42578125" customWidth="1"/>
  </cols>
  <sheetData>
    <row r="1" spans="1:59" s="1" customFormat="1" ht="36" x14ac:dyDescent="0.25">
      <c r="A1" s="283"/>
      <c r="B1" s="284"/>
      <c r="C1" s="284"/>
      <c r="D1" s="284"/>
      <c r="E1" s="284"/>
      <c r="F1" s="284"/>
      <c r="G1" s="284"/>
      <c r="H1" s="284"/>
      <c r="I1" s="284"/>
      <c r="J1" s="284"/>
      <c r="K1" s="284"/>
      <c r="L1" s="284"/>
      <c r="M1" s="284"/>
      <c r="N1" s="284"/>
      <c r="O1" s="285"/>
      <c r="P1" s="54"/>
      <c r="Q1" s="47"/>
      <c r="R1" s="47"/>
      <c r="S1" s="47"/>
      <c r="T1" s="47"/>
      <c r="U1" s="47"/>
      <c r="BF1" s="55"/>
      <c r="BG1" s="55"/>
    </row>
    <row r="2" spans="1:59" s="1" customFormat="1" ht="36" x14ac:dyDescent="0.25">
      <c r="A2" s="842" t="s">
        <v>425</v>
      </c>
      <c r="B2" s="843"/>
      <c r="C2" s="843"/>
      <c r="D2" s="54"/>
      <c r="E2" s="54"/>
      <c r="F2" s="54"/>
      <c r="G2" s="54"/>
      <c r="H2" s="54"/>
      <c r="I2" s="54"/>
      <c r="J2" s="54"/>
      <c r="K2" s="54"/>
      <c r="L2" s="54"/>
      <c r="M2" s="54"/>
      <c r="N2" s="54"/>
      <c r="O2" s="296"/>
      <c r="P2" s="54"/>
      <c r="Q2" s="47"/>
      <c r="R2" s="47"/>
      <c r="S2" s="47"/>
      <c r="T2" s="47"/>
      <c r="U2" s="47"/>
      <c r="BF2" s="55"/>
      <c r="BG2" s="55"/>
    </row>
    <row r="3" spans="1:59" s="17" customFormat="1" ht="36" x14ac:dyDescent="0.25">
      <c r="A3" s="297">
        <f>Definition!B23</f>
        <v>42571</v>
      </c>
      <c r="B3" s="298"/>
      <c r="C3" s="298"/>
      <c r="D3" s="299"/>
      <c r="E3" s="299"/>
      <c r="F3" s="299"/>
      <c r="G3" s="299"/>
      <c r="H3" s="299"/>
      <c r="I3" s="299"/>
      <c r="J3" s="299"/>
      <c r="K3" s="300"/>
      <c r="L3" s="299"/>
      <c r="M3" s="299"/>
      <c r="N3" s="299"/>
      <c r="O3" s="301"/>
      <c r="P3" s="42"/>
      <c r="Q3" s="42"/>
      <c r="R3" s="42"/>
      <c r="S3" s="56"/>
      <c r="T3" s="42"/>
      <c r="U3" s="42"/>
      <c r="BF3" s="56"/>
      <c r="BG3" s="56"/>
    </row>
    <row r="4" spans="1:59" x14ac:dyDescent="0.25">
      <c r="P4" s="34"/>
    </row>
    <row r="5" spans="1:59" ht="31.5" x14ac:dyDescent="0.5">
      <c r="A5" s="51" t="s">
        <v>380</v>
      </c>
      <c r="B5" s="52"/>
      <c r="C5" s="52"/>
      <c r="D5" s="52"/>
      <c r="E5" s="52"/>
      <c r="F5" s="52"/>
      <c r="G5" s="52"/>
      <c r="H5" s="52"/>
      <c r="I5" s="52"/>
      <c r="J5" s="52"/>
      <c r="K5" s="52"/>
      <c r="L5" s="52"/>
      <c r="M5" s="52"/>
      <c r="N5" s="52"/>
      <c r="O5" s="52"/>
      <c r="P5" s="34"/>
    </row>
    <row r="6" spans="1:59" ht="38.25" x14ac:dyDescent="0.25">
      <c r="A6" s="6" t="s">
        <v>0</v>
      </c>
      <c r="B6" s="6" t="s">
        <v>840</v>
      </c>
      <c r="C6" s="6" t="s">
        <v>841</v>
      </c>
      <c r="D6" s="6" t="s">
        <v>429</v>
      </c>
      <c r="E6" s="6" t="s">
        <v>423</v>
      </c>
      <c r="F6" s="6" t="s">
        <v>424</v>
      </c>
      <c r="G6" s="6" t="s">
        <v>422</v>
      </c>
      <c r="H6" s="6" t="s">
        <v>430</v>
      </c>
      <c r="I6" s="6" t="s">
        <v>431</v>
      </c>
      <c r="J6" s="6" t="s">
        <v>432</v>
      </c>
      <c r="K6" s="6" t="s">
        <v>433</v>
      </c>
      <c r="L6" s="6" t="s">
        <v>428</v>
      </c>
      <c r="M6" s="12" t="s">
        <v>504</v>
      </c>
      <c r="N6" s="12" t="s">
        <v>503</v>
      </c>
      <c r="O6" s="12" t="s">
        <v>505</v>
      </c>
      <c r="P6" s="34"/>
    </row>
    <row r="7" spans="1:59" x14ac:dyDescent="0.25">
      <c r="A7" s="25" t="s">
        <v>5</v>
      </c>
      <c r="B7" s="33">
        <f>SUMIFS(Camplist_HH,Camplist_Township,'Shelter Progress'!$A7,Camplist_Type_Of_Acc,"Camp")</f>
        <v>1290</v>
      </c>
      <c r="C7" s="33">
        <f>SUMIFS(Camplist_Popl,Camplist_Township,'Shelter Progress'!$A7,Camplist_Type_Of_Acc,"Camp")</f>
        <v>7195</v>
      </c>
      <c r="D7" s="49">
        <f t="shared" ref="D7:D27" si="0">SUMIF(Col_Shelter_Township,$A7,Col_Shelter_Tent_Dist)</f>
        <v>0</v>
      </c>
      <c r="E7" s="49">
        <f t="shared" ref="E7:E27" si="1">SUMIF(Col_Shelter_Township,$A7,Col_Shelter_Temp_B)</f>
        <v>1043</v>
      </c>
      <c r="F7" s="49">
        <f t="shared" ref="F7:F27" si="2">SUMIF(Col_Shelter_Township,$A7,Col_Shelter_Temp_U)</f>
        <v>0</v>
      </c>
      <c r="G7" s="49">
        <f>SUMIF(Col_Shelter_Township,$A7,Col_Shelter_Temp_P)</f>
        <v>1065</v>
      </c>
      <c r="H7" s="49">
        <f t="shared" ref="H7:H27" si="3">SUMIF(Col_Shelter_Township,$A7,Col_Shelter_Perm_B)</f>
        <v>0</v>
      </c>
      <c r="I7" s="49">
        <f t="shared" ref="I7:I27" si="4">SUMIF(Col_Shelter_Township,$A7,Col_Shelter_Perm_U)</f>
        <v>0</v>
      </c>
      <c r="J7" s="49">
        <f t="shared" ref="J7:J27" si="5">SUMIF(Col_Shelter_Township,$A7,Col_Shelter_Perm_P)</f>
        <v>0</v>
      </c>
      <c r="K7" s="49">
        <f>SUMIF(Col_Shelter_Township,$A7,Shelter_HH_Covered)</f>
        <v>1043</v>
      </c>
      <c r="L7" s="514">
        <f>K7*P7</f>
        <v>5817.3527131782948</v>
      </c>
      <c r="M7" s="330">
        <f>B7-K7</f>
        <v>247</v>
      </c>
      <c r="N7" s="331">
        <f>IF(IFERROR(K7/B7,0)&gt;1,1,IFERROR(K7/B7,0))</f>
        <v>0.80852713178294577</v>
      </c>
      <c r="O7" s="332">
        <f>MAX(0,C7-L7)</f>
        <v>1377.6472868217052</v>
      </c>
      <c r="P7" s="34">
        <f>IF(B7=0,5,C7/B7)</f>
        <v>5.5775193798449614</v>
      </c>
    </row>
    <row r="8" spans="1:59" x14ac:dyDescent="0.25">
      <c r="A8" s="25" t="s">
        <v>27</v>
      </c>
      <c r="B8" s="33">
        <f>SUMIFS(Camplist_HH,Camplist_Township,'Shelter Progress'!$A8,Camplist_Type_Of_Acc,"Camp")</f>
        <v>494</v>
      </c>
      <c r="C8" s="33">
        <f>SUMIFS(Camplist_Popl,Camplist_Township,'Shelter Progress'!$A8,Camplist_Type_Of_Acc,"Camp")</f>
        <v>2609</v>
      </c>
      <c r="D8" s="49">
        <f t="shared" si="0"/>
        <v>0</v>
      </c>
      <c r="E8" s="49">
        <f t="shared" si="1"/>
        <v>180</v>
      </c>
      <c r="F8" s="49">
        <f t="shared" si="2"/>
        <v>0</v>
      </c>
      <c r="G8" s="49">
        <f>SUMIF(Col_Shelter_Township,$A8,Col_Shelter_Temp_P)</f>
        <v>180</v>
      </c>
      <c r="H8" s="49">
        <f t="shared" si="3"/>
        <v>0</v>
      </c>
      <c r="I8" s="49">
        <f t="shared" si="4"/>
        <v>0</v>
      </c>
      <c r="J8" s="49">
        <f t="shared" si="5"/>
        <v>0</v>
      </c>
      <c r="K8" s="49">
        <f t="shared" ref="K8:K27" si="6">SUMIF(Col_Shelter_Township,$A8,Shelter_HH_Covered)</f>
        <v>180</v>
      </c>
      <c r="L8" s="514">
        <f t="shared" ref="L8:L27" si="7">K8*P8</f>
        <v>950.64777327935224</v>
      </c>
      <c r="M8" s="330">
        <f t="shared" ref="M8:M13" si="8">B8-K8</f>
        <v>314</v>
      </c>
      <c r="N8" s="331">
        <f t="shared" ref="N8:N19" si="9">IF(IFERROR(K8/B8,0)&gt;1,1,IFERROR(K8/B8,0))</f>
        <v>0.36437246963562753</v>
      </c>
      <c r="O8" s="332">
        <f>MAX(0,C8-L8)</f>
        <v>1658.3522267206476</v>
      </c>
      <c r="P8" s="34">
        <f t="shared" ref="P8:P27" si="10">IF(B8=0,5,C8/B8)</f>
        <v>5.2813765182186234</v>
      </c>
    </row>
    <row r="9" spans="1:59" x14ac:dyDescent="0.25">
      <c r="A9" s="333" t="s">
        <v>528</v>
      </c>
      <c r="B9" s="33">
        <f>SUMIFS(Camplist_HH,Camplist_Township,'Shelter Progress'!$A9,Camplist_Type_Of_Acc,"Camp")</f>
        <v>694</v>
      </c>
      <c r="C9" s="33">
        <f>SUMIFS(Camplist_Popl,Camplist_Township,'Shelter Progress'!$A9,Camplist_Type_Of_Acc,"Camp")</f>
        <v>3482</v>
      </c>
      <c r="D9" s="49">
        <f t="shared" si="0"/>
        <v>228</v>
      </c>
      <c r="E9" s="49">
        <f t="shared" si="1"/>
        <v>548</v>
      </c>
      <c r="F9" s="49">
        <f t="shared" si="2"/>
        <v>0</v>
      </c>
      <c r="G9" s="49">
        <f>SUMIF(Col_Shelter_Township,$A9,Col_Shelter_Temp_P)</f>
        <v>548</v>
      </c>
      <c r="H9" s="49">
        <f t="shared" si="3"/>
        <v>0</v>
      </c>
      <c r="I9" s="49">
        <f t="shared" si="4"/>
        <v>0</v>
      </c>
      <c r="J9" s="49">
        <f t="shared" si="5"/>
        <v>0</v>
      </c>
      <c r="K9" s="49">
        <f t="shared" si="6"/>
        <v>428</v>
      </c>
      <c r="L9" s="514">
        <f t="shared" si="7"/>
        <v>2147.400576368876</v>
      </c>
      <c r="M9" s="330">
        <f t="shared" si="8"/>
        <v>266</v>
      </c>
      <c r="N9" s="331">
        <f t="shared" si="9"/>
        <v>0.61671469740634011</v>
      </c>
      <c r="O9" s="332">
        <f>MAX(0,C9-L9)</f>
        <v>1334.599423631124</v>
      </c>
      <c r="P9" s="34">
        <f t="shared" si="10"/>
        <v>5.0172910662824206</v>
      </c>
    </row>
    <row r="10" spans="1:59" x14ac:dyDescent="0.25">
      <c r="A10" s="25" t="s">
        <v>780</v>
      </c>
      <c r="B10" s="33">
        <f>SUMIFS(Camplist_HH,Camplist_Township,'Shelter Progress'!$A10,Camplist_Type_Of_Acc,"Camp")</f>
        <v>58</v>
      </c>
      <c r="C10" s="33">
        <f>SUMIFS(Camplist_Popl,Camplist_Township,'Shelter Progress'!$A10,Camplist_Type_Of_Acc,"Camp")</f>
        <v>277</v>
      </c>
      <c r="D10" s="49">
        <f t="shared" si="0"/>
        <v>0</v>
      </c>
      <c r="E10" s="49">
        <f t="shared" si="1"/>
        <v>35</v>
      </c>
      <c r="F10" s="49">
        <f>SUMIF(Col_Shelter_Township,$A10,Col_Shelter_Temp_U)</f>
        <v>0</v>
      </c>
      <c r="G10" s="49">
        <f t="shared" ref="G10:G26" si="11">SUMIF(Col_Shelter_Township,$A10,Col_Shelter_Temp_P)</f>
        <v>35</v>
      </c>
      <c r="H10" s="49">
        <f t="shared" si="3"/>
        <v>0</v>
      </c>
      <c r="I10" s="49">
        <f t="shared" si="4"/>
        <v>0</v>
      </c>
      <c r="J10" s="49">
        <f t="shared" si="5"/>
        <v>0</v>
      </c>
      <c r="K10" s="49">
        <f t="shared" si="6"/>
        <v>35</v>
      </c>
      <c r="L10" s="514">
        <f t="shared" si="7"/>
        <v>167.15517241379308</v>
      </c>
      <c r="M10" s="330">
        <f t="shared" si="8"/>
        <v>23</v>
      </c>
      <c r="N10" s="331">
        <f t="shared" si="9"/>
        <v>0.60344827586206895</v>
      </c>
      <c r="O10" s="332">
        <f t="shared" ref="O10:O18" si="12">MAX(0,C10-L10)</f>
        <v>109.84482758620692</v>
      </c>
      <c r="P10" s="34">
        <f t="shared" si="10"/>
        <v>4.7758620689655169</v>
      </c>
    </row>
    <row r="11" spans="1:59" x14ac:dyDescent="0.25">
      <c r="A11" s="19" t="s">
        <v>363</v>
      </c>
      <c r="B11" s="33">
        <f>SUMIFS(Camplist_HH,Camplist_Township,'Shelter Progress'!$A11,Camplist_Type_Of_Acc,"Camp")</f>
        <v>0</v>
      </c>
      <c r="C11" s="33">
        <f>SUMIFS(Camplist_Popl,Camplist_Township,'Shelter Progress'!$A11,Camplist_Type_Of_Acc,"Camp")</f>
        <v>0</v>
      </c>
      <c r="D11" s="49">
        <f t="shared" si="0"/>
        <v>0</v>
      </c>
      <c r="E11" s="49">
        <f t="shared" si="1"/>
        <v>0</v>
      </c>
      <c r="F11" s="49">
        <f t="shared" si="2"/>
        <v>0</v>
      </c>
      <c r="G11" s="49">
        <f t="shared" si="11"/>
        <v>0</v>
      </c>
      <c r="H11" s="49">
        <f t="shared" si="3"/>
        <v>0</v>
      </c>
      <c r="I11" s="49">
        <f t="shared" si="4"/>
        <v>0</v>
      </c>
      <c r="J11" s="49">
        <f t="shared" si="5"/>
        <v>0</v>
      </c>
      <c r="K11" s="49">
        <f t="shared" si="6"/>
        <v>0</v>
      </c>
      <c r="L11" s="514">
        <f t="shared" si="7"/>
        <v>0</v>
      </c>
      <c r="M11" s="330">
        <f t="shared" si="8"/>
        <v>0</v>
      </c>
      <c r="N11" s="331">
        <f>IF(IFERROR(K11/B11,0)&gt;1,1,IFERROR(K11/B11,0))</f>
        <v>0</v>
      </c>
      <c r="O11" s="332">
        <f t="shared" si="12"/>
        <v>0</v>
      </c>
      <c r="P11" s="34">
        <f t="shared" si="10"/>
        <v>5</v>
      </c>
    </row>
    <row r="12" spans="1:59" x14ac:dyDescent="0.25">
      <c r="A12" s="25" t="s">
        <v>144</v>
      </c>
      <c r="B12" s="33">
        <f>SUMIFS(Camplist_HH,Camplist_Township,'Shelter Progress'!$A12,Camplist_Type_Of_Acc,"Camp")</f>
        <v>11</v>
      </c>
      <c r="C12" s="33">
        <f>SUMIFS(Camplist_Popl,Camplist_Township,'Shelter Progress'!$A12,Camplist_Type_Of_Acc,"Camp")</f>
        <v>17</v>
      </c>
      <c r="D12" s="49">
        <f t="shared" si="0"/>
        <v>0</v>
      </c>
      <c r="E12" s="49">
        <f t="shared" si="1"/>
        <v>0</v>
      </c>
      <c r="F12" s="49">
        <f t="shared" si="2"/>
        <v>0</v>
      </c>
      <c r="G12" s="49">
        <f t="shared" si="11"/>
        <v>0</v>
      </c>
      <c r="H12" s="49">
        <f t="shared" si="3"/>
        <v>0</v>
      </c>
      <c r="I12" s="49">
        <f t="shared" si="4"/>
        <v>0</v>
      </c>
      <c r="J12" s="49">
        <f t="shared" si="5"/>
        <v>0</v>
      </c>
      <c r="K12" s="49">
        <f t="shared" si="6"/>
        <v>0</v>
      </c>
      <c r="L12" s="514">
        <f t="shared" si="7"/>
        <v>0</v>
      </c>
      <c r="M12" s="330">
        <f t="shared" si="8"/>
        <v>11</v>
      </c>
      <c r="N12" s="331">
        <f>IF(IFERROR(K12/B12,0)&gt;1,1,IFERROR(K12/B12,0))</f>
        <v>0</v>
      </c>
      <c r="O12" s="332">
        <f>MAX(0,C12-L12)</f>
        <v>17</v>
      </c>
      <c r="P12" s="34">
        <f t="shared" si="10"/>
        <v>1.5454545454545454</v>
      </c>
    </row>
    <row r="13" spans="1:59" x14ac:dyDescent="0.25">
      <c r="A13" s="25" t="s">
        <v>146</v>
      </c>
      <c r="B13" s="33">
        <f>SUMIFS(Camplist_HH,Camplist_Township,'Shelter Progress'!$A13,Camplist_Type_Of_Acc,"Camp")</f>
        <v>1051</v>
      </c>
      <c r="C13" s="33">
        <f>SUMIFS(Camplist_Popl,Camplist_Township,'Shelter Progress'!$A13,Camplist_Type_Of_Acc,"Camp")</f>
        <v>5060</v>
      </c>
      <c r="D13" s="49">
        <f t="shared" si="0"/>
        <v>0</v>
      </c>
      <c r="E13" s="49">
        <f t="shared" si="1"/>
        <v>444</v>
      </c>
      <c r="F13" s="49">
        <f t="shared" si="2"/>
        <v>0</v>
      </c>
      <c r="G13" s="49">
        <f>SUMIF(Col_Shelter_Township,$A13,Col_Shelter_Temp_P)</f>
        <v>444</v>
      </c>
      <c r="H13" s="49">
        <f t="shared" si="3"/>
        <v>0</v>
      </c>
      <c r="I13" s="49">
        <f t="shared" si="4"/>
        <v>0</v>
      </c>
      <c r="J13" s="49">
        <f t="shared" si="5"/>
        <v>0</v>
      </c>
      <c r="K13" s="49">
        <f t="shared" si="6"/>
        <v>444</v>
      </c>
      <c r="L13" s="514">
        <f t="shared" si="7"/>
        <v>2137.6213130352048</v>
      </c>
      <c r="M13" s="330">
        <f t="shared" si="8"/>
        <v>607</v>
      </c>
      <c r="N13" s="331">
        <f t="shared" si="9"/>
        <v>0.4224548049476689</v>
      </c>
      <c r="O13" s="332">
        <f>MAX(0,C13-L13)</f>
        <v>2922.3786869647952</v>
      </c>
      <c r="P13" s="34">
        <f t="shared" si="10"/>
        <v>4.8144624167459567</v>
      </c>
    </row>
    <row r="14" spans="1:59" x14ac:dyDescent="0.25">
      <c r="A14" s="25" t="s">
        <v>894</v>
      </c>
      <c r="B14" s="33">
        <f>SUMIFS(Camplist_HH,Camplist_Township,'Shelter Progress'!$A14,Camplist_Type_Of_Acc,"Camp")</f>
        <v>0</v>
      </c>
      <c r="C14" s="33">
        <f>SUMIFS(Camplist_Popl,Camplist_Township,'Shelter Progress'!$A14,Camplist_Type_Of_Acc,"Camp")</f>
        <v>0</v>
      </c>
      <c r="D14" s="49">
        <f t="shared" si="0"/>
        <v>0</v>
      </c>
      <c r="E14" s="49">
        <f t="shared" si="1"/>
        <v>0</v>
      </c>
      <c r="F14" s="49">
        <f t="shared" si="2"/>
        <v>0</v>
      </c>
      <c r="G14" s="49">
        <f t="shared" si="11"/>
        <v>0</v>
      </c>
      <c r="H14" s="49">
        <f t="shared" si="3"/>
        <v>0</v>
      </c>
      <c r="I14" s="49">
        <f t="shared" si="4"/>
        <v>0</v>
      </c>
      <c r="J14" s="49">
        <f t="shared" si="5"/>
        <v>0</v>
      </c>
      <c r="K14" s="49">
        <f t="shared" si="6"/>
        <v>0</v>
      </c>
      <c r="L14" s="514">
        <f t="shared" si="7"/>
        <v>0</v>
      </c>
      <c r="M14" s="330">
        <f t="shared" ref="M14:M27" si="13">B14-K14</f>
        <v>0</v>
      </c>
      <c r="N14" s="331">
        <f t="shared" si="9"/>
        <v>0</v>
      </c>
      <c r="O14" s="332">
        <f>MAX(0,C14-L14)</f>
        <v>0</v>
      </c>
      <c r="P14" s="34">
        <f t="shared" si="10"/>
        <v>5</v>
      </c>
    </row>
    <row r="15" spans="1:59" x14ac:dyDescent="0.25">
      <c r="A15" s="25" t="s">
        <v>151</v>
      </c>
      <c r="B15" s="33">
        <f>SUMIFS(Camplist_HH,Camplist_Township,'Shelter Progress'!$A15,Camplist_Type_Of_Acc,"Camp")</f>
        <v>2519</v>
      </c>
      <c r="C15" s="33">
        <f>SUMIFS(Camplist_Popl,Camplist_Township,'Shelter Progress'!$A15,Camplist_Type_Of_Acc,"Camp")</f>
        <v>11540</v>
      </c>
      <c r="D15" s="49">
        <f t="shared" si="0"/>
        <v>400</v>
      </c>
      <c r="E15" s="49">
        <f t="shared" si="1"/>
        <v>1862</v>
      </c>
      <c r="F15" s="49">
        <f t="shared" si="2"/>
        <v>0</v>
      </c>
      <c r="G15" s="49">
        <f>SUMIF(Col_Shelter_Township,$A15,Col_Shelter_Temp_P)</f>
        <v>2189</v>
      </c>
      <c r="H15" s="49">
        <f t="shared" si="3"/>
        <v>0</v>
      </c>
      <c r="I15" s="49">
        <f t="shared" si="4"/>
        <v>0</v>
      </c>
      <c r="J15" s="49">
        <f t="shared" si="5"/>
        <v>0</v>
      </c>
      <c r="K15" s="49">
        <f>SUMIF(Col_Shelter_Township,$A15,Shelter_HH_Covered)</f>
        <v>1542</v>
      </c>
      <c r="L15" s="514">
        <f t="shared" si="7"/>
        <v>7064.1842000793968</v>
      </c>
      <c r="M15" s="330">
        <f t="shared" si="13"/>
        <v>977</v>
      </c>
      <c r="N15" s="331">
        <f>IF(IFERROR(K15/B15,0)&gt;1,1,IFERROR(K15/B15,0))</f>
        <v>0.61214767764986111</v>
      </c>
      <c r="O15" s="332">
        <f>MAX(0,C15-L15)</f>
        <v>4475.8157999206032</v>
      </c>
      <c r="P15" s="34">
        <f>IF(B15=0,5,C15/B15)</f>
        <v>4.5811830091306076</v>
      </c>
    </row>
    <row r="16" spans="1:59" x14ac:dyDescent="0.25">
      <c r="A16" s="25" t="s">
        <v>166</v>
      </c>
      <c r="B16" s="33">
        <f>SUMIFS(Camplist_HH,Camplist_Township,'Shelter Progress'!$A16,Camplist_Type_Of_Acc,"Camp")</f>
        <v>102</v>
      </c>
      <c r="C16" s="33">
        <f>SUMIFS(Camplist_Popl,Camplist_Township,'Shelter Progress'!$A16,Camplist_Type_Of_Acc,"Camp")</f>
        <v>504</v>
      </c>
      <c r="D16" s="49">
        <f t="shared" si="0"/>
        <v>0</v>
      </c>
      <c r="E16" s="49">
        <f t="shared" si="1"/>
        <v>80</v>
      </c>
      <c r="F16" s="49">
        <f t="shared" si="2"/>
        <v>0</v>
      </c>
      <c r="G16" s="49">
        <f>SUMIF(Col_Shelter_Township,$A16,Col_Shelter_Temp_P)</f>
        <v>80</v>
      </c>
      <c r="H16" s="49">
        <f t="shared" si="3"/>
        <v>0</v>
      </c>
      <c r="I16" s="49">
        <f t="shared" si="4"/>
        <v>0</v>
      </c>
      <c r="J16" s="49">
        <f t="shared" si="5"/>
        <v>0</v>
      </c>
      <c r="K16" s="49">
        <f t="shared" si="6"/>
        <v>80</v>
      </c>
      <c r="L16" s="514">
        <f t="shared" si="7"/>
        <v>395.29411764705884</v>
      </c>
      <c r="M16" s="330">
        <f>B16-K16</f>
        <v>22</v>
      </c>
      <c r="N16" s="331">
        <f t="shared" si="9"/>
        <v>0.78431372549019607</v>
      </c>
      <c r="O16" s="332">
        <f>MAX(0,C16-L16)</f>
        <v>108.70588235294116</v>
      </c>
      <c r="P16" s="34">
        <f t="shared" si="10"/>
        <v>4.9411764705882355</v>
      </c>
    </row>
    <row r="17" spans="1:16" x14ac:dyDescent="0.25">
      <c r="A17" s="25" t="s">
        <v>173</v>
      </c>
      <c r="B17" s="33">
        <f>SUMIFS(Camplist_HH,Camplist_Township,'Shelter Progress'!$A17,Camplist_Type_Of_Acc,"Camp")</f>
        <v>78</v>
      </c>
      <c r="C17" s="33">
        <f>SUMIFS(Camplist_Popl,Camplist_Township,'Shelter Progress'!$A17,Camplist_Type_Of_Acc,"Camp")</f>
        <v>350</v>
      </c>
      <c r="D17" s="49">
        <f t="shared" si="0"/>
        <v>0</v>
      </c>
      <c r="E17" s="49">
        <f t="shared" si="1"/>
        <v>80</v>
      </c>
      <c r="F17" s="49">
        <f t="shared" si="2"/>
        <v>0</v>
      </c>
      <c r="G17" s="49">
        <f>SUMIF(Col_Shelter_Township,$A17,Col_Shelter_Temp_P)</f>
        <v>80</v>
      </c>
      <c r="H17" s="49">
        <f t="shared" si="3"/>
        <v>0</v>
      </c>
      <c r="I17" s="49">
        <f t="shared" si="4"/>
        <v>0</v>
      </c>
      <c r="J17" s="49">
        <f t="shared" si="5"/>
        <v>0</v>
      </c>
      <c r="K17" s="49">
        <f t="shared" si="6"/>
        <v>80</v>
      </c>
      <c r="L17" s="514">
        <f t="shared" si="7"/>
        <v>358.97435897435901</v>
      </c>
      <c r="M17" s="330">
        <f t="shared" si="13"/>
        <v>-2</v>
      </c>
      <c r="N17" s="331">
        <f t="shared" si="9"/>
        <v>1</v>
      </c>
      <c r="O17" s="332">
        <f t="shared" si="12"/>
        <v>0</v>
      </c>
      <c r="P17" s="34">
        <f t="shared" si="10"/>
        <v>4.4871794871794872</v>
      </c>
    </row>
    <row r="18" spans="1:16" x14ac:dyDescent="0.25">
      <c r="A18" s="25" t="s">
        <v>180</v>
      </c>
      <c r="B18" s="33">
        <f>SUMIFS(Camplist_HH,Camplist_Township,'Shelter Progress'!$A18,Camplist_Type_Of_Acc,"Camp")</f>
        <v>31</v>
      </c>
      <c r="C18" s="33">
        <f>SUMIFS(Camplist_Popl,Camplist_Township,'Shelter Progress'!$A18,Camplist_Type_Of_Acc,"Camp")</f>
        <v>161</v>
      </c>
      <c r="D18" s="49">
        <f t="shared" si="0"/>
        <v>0</v>
      </c>
      <c r="E18" s="49">
        <f t="shared" si="1"/>
        <v>42</v>
      </c>
      <c r="F18" s="49">
        <f t="shared" si="2"/>
        <v>0</v>
      </c>
      <c r="G18" s="49">
        <f t="shared" si="11"/>
        <v>42</v>
      </c>
      <c r="H18" s="49">
        <f t="shared" si="3"/>
        <v>0</v>
      </c>
      <c r="I18" s="49">
        <f t="shared" si="4"/>
        <v>0</v>
      </c>
      <c r="J18" s="49">
        <f t="shared" si="5"/>
        <v>0</v>
      </c>
      <c r="K18" s="49">
        <f t="shared" si="6"/>
        <v>42</v>
      </c>
      <c r="L18" s="514">
        <f t="shared" si="7"/>
        <v>218.12903225806451</v>
      </c>
      <c r="M18" s="330">
        <f t="shared" si="13"/>
        <v>-11</v>
      </c>
      <c r="N18" s="331">
        <f t="shared" si="9"/>
        <v>1</v>
      </c>
      <c r="O18" s="332">
        <f t="shared" si="12"/>
        <v>0</v>
      </c>
      <c r="P18" s="34">
        <f t="shared" si="10"/>
        <v>5.193548387096774</v>
      </c>
    </row>
    <row r="19" spans="1:16" x14ac:dyDescent="0.25">
      <c r="A19" s="25" t="s">
        <v>185</v>
      </c>
      <c r="B19" s="33">
        <f>SUMIFS(Camplist_HH,Camplist_Township,'Shelter Progress'!$A19,Camplist_Type_Of_Acc,"Camp")</f>
        <v>2698</v>
      </c>
      <c r="C19" s="33">
        <f>SUMIFS(Camplist_Popl,Camplist_Township,'Shelter Progress'!$A19,Camplist_Type_Of_Acc,"Camp")</f>
        <v>14026</v>
      </c>
      <c r="D19" s="49">
        <f t="shared" si="0"/>
        <v>0</v>
      </c>
      <c r="E19" s="49">
        <f t="shared" si="1"/>
        <v>4862</v>
      </c>
      <c r="F19" s="49">
        <f t="shared" si="2"/>
        <v>0</v>
      </c>
      <c r="G19" s="49">
        <f>SUMIF(Col_Shelter_Township,$A19,Col_Shelter_Temp_P)</f>
        <v>5064</v>
      </c>
      <c r="H19" s="49">
        <f t="shared" si="3"/>
        <v>0</v>
      </c>
      <c r="I19" s="49">
        <f t="shared" si="4"/>
        <v>0</v>
      </c>
      <c r="J19" s="49">
        <f t="shared" si="5"/>
        <v>0</v>
      </c>
      <c r="K19" s="49">
        <f t="shared" si="6"/>
        <v>4149</v>
      </c>
      <c r="L19" s="514">
        <f t="shared" si="7"/>
        <v>21569.263899184578</v>
      </c>
      <c r="M19" s="330">
        <f>B19-K19</f>
        <v>-1451</v>
      </c>
      <c r="N19" s="331">
        <f t="shared" si="9"/>
        <v>1</v>
      </c>
      <c r="O19" s="332">
        <f t="shared" ref="O19:O27" si="14">MAX(0,C19-L19)</f>
        <v>0</v>
      </c>
      <c r="P19" s="34">
        <f t="shared" si="10"/>
        <v>5.1986656782802072</v>
      </c>
    </row>
    <row r="20" spans="1:16" x14ac:dyDescent="0.25">
      <c r="A20" s="25" t="s">
        <v>230</v>
      </c>
      <c r="B20" s="33">
        <f>SUMIFS(Camplist_HH,Camplist_Township,'Shelter Progress'!$A20,Camplist_Type_Of_Acc,"Camp")</f>
        <v>78</v>
      </c>
      <c r="C20" s="33">
        <f>SUMIFS(Camplist_Popl,Camplist_Township,'Shelter Progress'!$A20,Camplist_Type_Of_Acc,"Camp")</f>
        <v>330</v>
      </c>
      <c r="D20" s="49">
        <f t="shared" si="0"/>
        <v>110</v>
      </c>
      <c r="E20" s="49">
        <f t="shared" si="1"/>
        <v>93</v>
      </c>
      <c r="F20" s="49">
        <f t="shared" si="2"/>
        <v>0</v>
      </c>
      <c r="G20" s="49">
        <f t="shared" si="11"/>
        <v>93</v>
      </c>
      <c r="H20" s="49">
        <f t="shared" si="3"/>
        <v>0</v>
      </c>
      <c r="I20" s="49">
        <f t="shared" si="4"/>
        <v>0</v>
      </c>
      <c r="J20" s="49">
        <f t="shared" si="5"/>
        <v>0</v>
      </c>
      <c r="K20" s="49">
        <f t="shared" si="6"/>
        <v>84</v>
      </c>
      <c r="L20" s="514">
        <f t="shared" si="7"/>
        <v>355.38461538461542</v>
      </c>
      <c r="M20" s="330">
        <f t="shared" si="13"/>
        <v>-6</v>
      </c>
      <c r="N20" s="331">
        <f>IF(IFERROR(K20/B20,0)&gt;1,1,IFERROR(K20/B20,0))</f>
        <v>1</v>
      </c>
      <c r="O20" s="332">
        <f t="shared" si="14"/>
        <v>0</v>
      </c>
      <c r="P20" s="34">
        <f t="shared" si="10"/>
        <v>4.2307692307692308</v>
      </c>
    </row>
    <row r="21" spans="1:16" x14ac:dyDescent="0.25">
      <c r="A21" s="25" t="s">
        <v>237</v>
      </c>
      <c r="B21" s="33">
        <f>SUMIFS(Camplist_HH,Camplist_Township,'Shelter Progress'!$A21,Camplist_Type_Of_Acc,"Camp")</f>
        <v>1409</v>
      </c>
      <c r="C21" s="33">
        <f>SUMIFS(Camplist_Popl,Camplist_Township,'Shelter Progress'!$A21,Camplist_Type_Of_Acc,"Camp")</f>
        <v>7181</v>
      </c>
      <c r="D21" s="49">
        <f t="shared" si="0"/>
        <v>2</v>
      </c>
      <c r="E21" s="49">
        <f t="shared" si="1"/>
        <v>1127</v>
      </c>
      <c r="F21" s="49">
        <f t="shared" si="2"/>
        <v>0</v>
      </c>
      <c r="G21" s="49">
        <f t="shared" si="11"/>
        <v>1127</v>
      </c>
      <c r="H21" s="49">
        <f t="shared" si="3"/>
        <v>0</v>
      </c>
      <c r="I21" s="49">
        <f t="shared" si="4"/>
        <v>0</v>
      </c>
      <c r="J21" s="49">
        <f t="shared" si="5"/>
        <v>0</v>
      </c>
      <c r="K21" s="49">
        <f t="shared" si="6"/>
        <v>1112</v>
      </c>
      <c r="L21" s="514">
        <f t="shared" si="7"/>
        <v>5667.3328601845278</v>
      </c>
      <c r="M21" s="330">
        <f t="shared" si="13"/>
        <v>297</v>
      </c>
      <c r="N21" s="331">
        <f>IF(IFERROR(K21/B21,0)&gt;1,1,IFERROR(K21/B21,0))</f>
        <v>0.78921220723917673</v>
      </c>
      <c r="O21" s="332">
        <f t="shared" si="14"/>
        <v>1513.6671398154722</v>
      </c>
      <c r="P21" s="34">
        <f>IF(B21=0,5,C21/B21)</f>
        <v>5.0965223562810502</v>
      </c>
    </row>
    <row r="22" spans="1:16" x14ac:dyDescent="0.25">
      <c r="A22" s="25" t="s">
        <v>289</v>
      </c>
      <c r="B22" s="33">
        <f>SUMIFS(Camplist_HH,Camplist_Township,'Shelter Progress'!$A22,Camplist_Type_Of_Acc,"Camp")</f>
        <v>601</v>
      </c>
      <c r="C22" s="33">
        <f>SUMIFS(Camplist_Popl,Camplist_Township,'Shelter Progress'!$A22,Camplist_Type_Of_Acc,"Camp")</f>
        <v>2805</v>
      </c>
      <c r="D22" s="49">
        <f t="shared" si="0"/>
        <v>0</v>
      </c>
      <c r="E22" s="49">
        <f t="shared" si="1"/>
        <v>237</v>
      </c>
      <c r="F22" s="49">
        <f t="shared" si="2"/>
        <v>0</v>
      </c>
      <c r="G22" s="49">
        <f>SUMIF(Col_Shelter_Township,$A22,Col_Shelter_Temp_P)</f>
        <v>263</v>
      </c>
      <c r="H22" s="49">
        <f t="shared" si="3"/>
        <v>0</v>
      </c>
      <c r="I22" s="49">
        <f t="shared" si="4"/>
        <v>0</v>
      </c>
      <c r="J22" s="49">
        <f t="shared" si="5"/>
        <v>0</v>
      </c>
      <c r="K22" s="49">
        <f t="shared" si="6"/>
        <v>237</v>
      </c>
      <c r="L22" s="514">
        <f t="shared" si="7"/>
        <v>1106.1314475873544</v>
      </c>
      <c r="M22" s="330">
        <f t="shared" si="13"/>
        <v>364</v>
      </c>
      <c r="N22" s="331">
        <f t="shared" ref="N22:N24" si="15">IF(IFERROR(K22/B22,0)&gt;1,1,IFERROR(K22/B22,0))</f>
        <v>0.39434276206322794</v>
      </c>
      <c r="O22" s="332">
        <f t="shared" si="14"/>
        <v>1698.8685524126456</v>
      </c>
      <c r="P22" s="34">
        <f t="shared" si="10"/>
        <v>4.6672212978369387</v>
      </c>
    </row>
    <row r="23" spans="1:16" x14ac:dyDescent="0.25">
      <c r="A23" s="25" t="s">
        <v>298</v>
      </c>
      <c r="B23" s="33">
        <f>SUMIFS(Camplist_HH,Camplist_Township,'Shelter Progress'!$A23,Camplist_Type_Of_Acc,"Camp")</f>
        <v>28</v>
      </c>
      <c r="C23" s="33">
        <f>SUMIFS(Camplist_Popl,Camplist_Township,'Shelter Progress'!$A23,Camplist_Type_Of_Acc,"Camp")</f>
        <v>119</v>
      </c>
      <c r="D23" s="49">
        <f t="shared" si="0"/>
        <v>0</v>
      </c>
      <c r="E23" s="49">
        <f t="shared" si="1"/>
        <v>10</v>
      </c>
      <c r="F23" s="49">
        <f t="shared" si="2"/>
        <v>0</v>
      </c>
      <c r="G23" s="49">
        <f t="shared" si="11"/>
        <v>10</v>
      </c>
      <c r="H23" s="49">
        <f t="shared" si="3"/>
        <v>0</v>
      </c>
      <c r="I23" s="49">
        <f t="shared" si="4"/>
        <v>0</v>
      </c>
      <c r="J23" s="49">
        <f t="shared" si="5"/>
        <v>0</v>
      </c>
      <c r="K23" s="49">
        <f t="shared" si="6"/>
        <v>10</v>
      </c>
      <c r="L23" s="514">
        <f t="shared" si="7"/>
        <v>42.5</v>
      </c>
      <c r="M23" s="330">
        <f t="shared" si="13"/>
        <v>18</v>
      </c>
      <c r="N23" s="331">
        <f t="shared" si="15"/>
        <v>0.35714285714285715</v>
      </c>
      <c r="O23" s="332">
        <f t="shared" si="14"/>
        <v>76.5</v>
      </c>
      <c r="P23" s="34">
        <f t="shared" si="10"/>
        <v>4.25</v>
      </c>
    </row>
    <row r="24" spans="1:16" s="76" customFormat="1" x14ac:dyDescent="0.25">
      <c r="A24" s="25" t="s">
        <v>300</v>
      </c>
      <c r="B24" s="33">
        <f>SUMIFS(Camplist_HH,Camplist_Township,'Shelter Progress'!$A24,Camplist_Type_Of_Acc,"Camp")</f>
        <v>59</v>
      </c>
      <c r="C24" s="33">
        <f>SUMIFS(Camplist_Popl,Camplist_Township,'Shelter Progress'!$A24,Camplist_Type_Of_Acc,"Camp")</f>
        <v>370</v>
      </c>
      <c r="D24" s="49">
        <f t="shared" si="0"/>
        <v>55</v>
      </c>
      <c r="E24" s="49">
        <f t="shared" si="1"/>
        <v>60</v>
      </c>
      <c r="F24" s="49">
        <f t="shared" si="2"/>
        <v>0</v>
      </c>
      <c r="G24" s="49">
        <f t="shared" si="11"/>
        <v>60</v>
      </c>
      <c r="H24" s="49">
        <f t="shared" si="3"/>
        <v>0</v>
      </c>
      <c r="I24" s="49">
        <f t="shared" si="4"/>
        <v>0</v>
      </c>
      <c r="J24" s="49">
        <f t="shared" si="5"/>
        <v>0</v>
      </c>
      <c r="K24" s="49">
        <f t="shared" si="6"/>
        <v>60</v>
      </c>
      <c r="L24" s="514">
        <f t="shared" si="7"/>
        <v>376.27118644067798</v>
      </c>
      <c r="M24" s="330">
        <f t="shared" si="13"/>
        <v>-1</v>
      </c>
      <c r="N24" s="331">
        <f t="shared" si="15"/>
        <v>1</v>
      </c>
      <c r="O24" s="332">
        <f t="shared" si="14"/>
        <v>0</v>
      </c>
      <c r="P24" s="34">
        <f t="shared" si="10"/>
        <v>6.2711864406779663</v>
      </c>
    </row>
    <row r="25" spans="1:16" s="76" customFormat="1" x14ac:dyDescent="0.25">
      <c r="A25" s="25" t="s">
        <v>302</v>
      </c>
      <c r="B25" s="33">
        <f>SUMIFS(Camplist_HH,Camplist_Township,'Shelter Progress'!$A25,Camplist_Type_Of_Acc,"Camp")</f>
        <v>127</v>
      </c>
      <c r="C25" s="33">
        <f>SUMIFS(Camplist_Popl,Camplist_Township,'Shelter Progress'!$A25,Camplist_Type_Of_Acc,"Camp")</f>
        <v>465</v>
      </c>
      <c r="D25" s="49">
        <f t="shared" si="0"/>
        <v>0</v>
      </c>
      <c r="E25" s="49">
        <f t="shared" si="1"/>
        <v>88</v>
      </c>
      <c r="F25" s="49">
        <f t="shared" si="2"/>
        <v>0</v>
      </c>
      <c r="G25" s="49">
        <f>SUMIF(Col_Shelter_Township,$A25,Col_Shelter_Temp_P)</f>
        <v>88</v>
      </c>
      <c r="H25" s="49">
        <f t="shared" si="3"/>
        <v>0</v>
      </c>
      <c r="I25" s="49">
        <f t="shared" si="4"/>
        <v>0</v>
      </c>
      <c r="J25" s="49">
        <f t="shared" si="5"/>
        <v>0</v>
      </c>
      <c r="K25" s="49">
        <f t="shared" si="6"/>
        <v>88</v>
      </c>
      <c r="L25" s="514">
        <f t="shared" si="7"/>
        <v>322.20472440944883</v>
      </c>
      <c r="M25" s="330">
        <f t="shared" si="13"/>
        <v>39</v>
      </c>
      <c r="N25" s="331">
        <f>IF(IFERROR(K25/B25,0)&gt;1,1,IFERROR(K25/B25,0))</f>
        <v>0.69291338582677164</v>
      </c>
      <c r="O25" s="332">
        <f t="shared" si="14"/>
        <v>142.79527559055117</v>
      </c>
      <c r="P25" s="34">
        <f t="shared" si="10"/>
        <v>3.6614173228346458</v>
      </c>
    </row>
    <row r="26" spans="1:16" x14ac:dyDescent="0.25">
      <c r="A26" s="25" t="s">
        <v>809</v>
      </c>
      <c r="B26" s="33">
        <f>SUMIFS(Camplist_HH,Camplist_Township,'Shelter Progress'!$A26,Camplist_Type_Of_Acc,"Camp")</f>
        <v>166</v>
      </c>
      <c r="C26" s="33">
        <f>SUMIFS(Camplist_Popl,Camplist_Township,'Shelter Progress'!$A26,Camplist_Type_Of_Acc,"Camp")</f>
        <v>1232</v>
      </c>
      <c r="D26" s="49">
        <f t="shared" si="0"/>
        <v>0</v>
      </c>
      <c r="E26" s="49">
        <f t="shared" si="1"/>
        <v>0</v>
      </c>
      <c r="F26" s="49">
        <f t="shared" si="2"/>
        <v>0</v>
      </c>
      <c r="G26" s="49">
        <f t="shared" si="11"/>
        <v>0</v>
      </c>
      <c r="H26" s="49">
        <f t="shared" si="3"/>
        <v>0</v>
      </c>
      <c r="I26" s="49">
        <f t="shared" si="4"/>
        <v>0</v>
      </c>
      <c r="J26" s="49">
        <f t="shared" si="5"/>
        <v>0</v>
      </c>
      <c r="K26" s="49">
        <f t="shared" si="6"/>
        <v>0</v>
      </c>
      <c r="L26" s="514">
        <f t="shared" si="7"/>
        <v>0</v>
      </c>
      <c r="M26" s="330">
        <f>B26-K26</f>
        <v>166</v>
      </c>
      <c r="N26" s="331">
        <f t="shared" ref="N26:N28" si="16">IF(IFERROR(K26/B26,0)&gt;1,1,IFERROR(K26/B26,0))</f>
        <v>0</v>
      </c>
      <c r="O26" s="332">
        <f t="shared" si="14"/>
        <v>1232</v>
      </c>
      <c r="P26" s="34">
        <f t="shared" si="10"/>
        <v>7.4216867469879517</v>
      </c>
    </row>
    <row r="27" spans="1:16" s="47" customFormat="1" x14ac:dyDescent="0.25">
      <c r="A27" s="25" t="s">
        <v>310</v>
      </c>
      <c r="B27" s="33">
        <f>SUMIFS(Camplist_HH,Camplist_Township,'Shelter Progress'!$A27,Camplist_Type_Of_Acc,"Camp")</f>
        <v>6298</v>
      </c>
      <c r="C27" s="33">
        <f>SUMIFS(Camplist_Popl,Camplist_Township,'Shelter Progress'!$A27,Camplist_Type_Of_Acc,"Camp")</f>
        <v>31427</v>
      </c>
      <c r="D27" s="49">
        <f t="shared" si="0"/>
        <v>248</v>
      </c>
      <c r="E27" s="49">
        <f t="shared" si="1"/>
        <v>3677</v>
      </c>
      <c r="F27" s="49">
        <f t="shared" si="2"/>
        <v>0</v>
      </c>
      <c r="G27" s="49">
        <f>SUMIF(Col_Shelter_Township,$A27,Col_Shelter_Temp_P)</f>
        <v>3967</v>
      </c>
      <c r="H27" s="49">
        <f t="shared" si="3"/>
        <v>0</v>
      </c>
      <c r="I27" s="49">
        <f t="shared" si="4"/>
        <v>0</v>
      </c>
      <c r="J27" s="49">
        <f t="shared" si="5"/>
        <v>0</v>
      </c>
      <c r="K27" s="49">
        <f t="shared" si="6"/>
        <v>3456</v>
      </c>
      <c r="L27" s="514">
        <f t="shared" si="7"/>
        <v>17245.429025087327</v>
      </c>
      <c r="M27" s="330">
        <f t="shared" si="13"/>
        <v>2842</v>
      </c>
      <c r="N27" s="331">
        <f t="shared" si="16"/>
        <v>0.54874563353445538</v>
      </c>
      <c r="O27" s="332">
        <f t="shared" si="14"/>
        <v>14181.570974912673</v>
      </c>
      <c r="P27" s="34">
        <f t="shared" si="10"/>
        <v>4.9899968243886947</v>
      </c>
    </row>
    <row r="28" spans="1:16" s="47" customFormat="1" x14ac:dyDescent="0.25">
      <c r="A28" s="325" t="s">
        <v>3</v>
      </c>
      <c r="B28" s="326">
        <f>SUM(B7:B27)</f>
        <v>17792</v>
      </c>
      <c r="C28" s="326">
        <f t="shared" ref="C28:J28" si="17">SUM(C7:C27)</f>
        <v>89150</v>
      </c>
      <c r="D28" s="326">
        <f t="shared" si="17"/>
        <v>1043</v>
      </c>
      <c r="E28" s="326">
        <f t="shared" si="17"/>
        <v>14468</v>
      </c>
      <c r="F28" s="326">
        <f t="shared" si="17"/>
        <v>0</v>
      </c>
      <c r="G28" s="326">
        <f>SUM(G7:G27)</f>
        <v>15335</v>
      </c>
      <c r="H28" s="326">
        <f t="shared" si="17"/>
        <v>0</v>
      </c>
      <c r="I28" s="326">
        <f t="shared" si="17"/>
        <v>0</v>
      </c>
      <c r="J28" s="326">
        <f t="shared" si="17"/>
        <v>0</v>
      </c>
      <c r="K28" s="326">
        <f>SUM(K7:K27)</f>
        <v>13070</v>
      </c>
      <c r="L28" s="327">
        <f>SUM(L7:L27)</f>
        <v>65941.277015512926</v>
      </c>
      <c r="M28" s="328">
        <f>SUM(M7:M27)</f>
        <v>4722</v>
      </c>
      <c r="N28" s="331">
        <f t="shared" si="16"/>
        <v>0.73459982014388492</v>
      </c>
      <c r="O28" s="329">
        <f>SUM(O7:O27)</f>
        <v>30849.746076729363</v>
      </c>
      <c r="P28" s="76"/>
    </row>
    <row r="29" spans="1:16" ht="271.5" hidden="1" customHeight="1" x14ac:dyDescent="0.25">
      <c r="A29" s="17" t="s">
        <v>509</v>
      </c>
      <c r="B29" s="1" t="s">
        <v>509</v>
      </c>
      <c r="C29" s="1"/>
      <c r="D29" s="1"/>
      <c r="E29" s="1"/>
      <c r="F29" s="1"/>
      <c r="G29" s="1"/>
      <c r="H29" s="1"/>
      <c r="I29" s="1"/>
      <c r="J29" s="1"/>
      <c r="K29" s="1"/>
      <c r="L29" s="1"/>
      <c r="M29" s="1"/>
      <c r="N29" s="1"/>
      <c r="O29" s="1"/>
    </row>
    <row r="30" spans="1:16" s="47" customFormat="1" hidden="1" x14ac:dyDescent="0.25">
      <c r="A30" s="17"/>
      <c r="P30" s="34"/>
    </row>
    <row r="31" spans="1:16" hidden="1" x14ac:dyDescent="0.25">
      <c r="A31" s="17" t="s">
        <v>508</v>
      </c>
      <c r="B31" t="s">
        <v>509</v>
      </c>
    </row>
    <row r="32" spans="1:16" ht="31.5" hidden="1" x14ac:dyDescent="0.5">
      <c r="A32" s="51" t="s">
        <v>381</v>
      </c>
      <c r="B32" s="52"/>
      <c r="C32" s="52"/>
      <c r="D32" s="52"/>
      <c r="E32" s="52"/>
      <c r="F32" s="52"/>
      <c r="G32" s="52"/>
      <c r="H32" s="52"/>
      <c r="I32" s="52"/>
      <c r="J32" s="52"/>
      <c r="K32" s="52"/>
      <c r="L32" s="52"/>
      <c r="M32" s="52"/>
      <c r="N32" s="52"/>
      <c r="O32" s="52"/>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6" s="47" customFormat="1" hidden="1" x14ac:dyDescent="0.25">
      <c r="A49"/>
      <c r="B49"/>
      <c r="C49"/>
      <c r="D49"/>
      <c r="E49"/>
      <c r="F49"/>
      <c r="G49"/>
      <c r="H49"/>
      <c r="I49"/>
      <c r="J49"/>
      <c r="K49"/>
      <c r="L49"/>
      <c r="M49"/>
      <c r="N49"/>
    </row>
    <row r="50" spans="1:16" hidden="1" x14ac:dyDescent="0.25"/>
    <row r="51" spans="1:16" hidden="1" x14ac:dyDescent="0.25">
      <c r="A51" s="47"/>
      <c r="B51" s="47"/>
      <c r="C51" s="47"/>
      <c r="D51" s="47"/>
      <c r="E51" s="47"/>
      <c r="F51" s="47"/>
      <c r="G51" s="47"/>
      <c r="H51" s="47"/>
      <c r="I51" s="47"/>
      <c r="J51" s="47"/>
      <c r="K51" s="47"/>
      <c r="L51" s="47"/>
      <c r="M51" s="47"/>
      <c r="N51" s="47"/>
    </row>
    <row r="52" spans="1:16" hidden="1" x14ac:dyDescent="0.25"/>
    <row r="53" spans="1:16" hidden="1" x14ac:dyDescent="0.25"/>
    <row r="54" spans="1:16" hidden="1" x14ac:dyDescent="0.25"/>
    <row r="55" spans="1:16" s="47" customFormat="1" x14ac:dyDescent="0.25">
      <c r="A55"/>
      <c r="B55"/>
      <c r="C55"/>
      <c r="D55"/>
      <c r="E55"/>
      <c r="F55"/>
      <c r="G55"/>
      <c r="H55"/>
      <c r="I55"/>
      <c r="J55"/>
      <c r="K55"/>
      <c r="L55"/>
      <c r="M55"/>
      <c r="N55"/>
      <c r="P55" s="34"/>
    </row>
    <row r="56" spans="1:16" hidden="1" x14ac:dyDescent="0.25"/>
    <row r="57" spans="1:16" ht="31.5" x14ac:dyDescent="0.5">
      <c r="A57" s="51" t="s">
        <v>380</v>
      </c>
      <c r="B57" s="52"/>
      <c r="C57" s="52"/>
      <c r="D57" s="52"/>
      <c r="E57" s="52"/>
      <c r="F57" s="52"/>
      <c r="G57" s="52"/>
      <c r="H57" s="52"/>
      <c r="I57" s="52"/>
      <c r="J57" s="52"/>
      <c r="K57" s="52"/>
      <c r="L57" s="52"/>
      <c r="M57" s="52"/>
      <c r="N57" s="52"/>
      <c r="O57" s="52"/>
    </row>
    <row r="77" hidden="1" x14ac:dyDescent="0.25"/>
    <row r="78" hidden="1" x14ac:dyDescent="0.25"/>
    <row r="79" hidden="1" x14ac:dyDescent="0.25"/>
    <row r="80" hidden="1" x14ac:dyDescent="0.25"/>
    <row r="81" spans="1:15" x14ac:dyDescent="0.25">
      <c r="A81" s="334" t="s">
        <v>395</v>
      </c>
      <c r="B81" s="25" t="s">
        <v>597</v>
      </c>
      <c r="H81" s="334" t="s">
        <v>395</v>
      </c>
      <c r="I81" s="25" t="s">
        <v>597</v>
      </c>
      <c r="J81" s="47"/>
      <c r="O81"/>
    </row>
    <row r="82" spans="1:15" x14ac:dyDescent="0.25">
      <c r="H82" s="47"/>
      <c r="I82" s="47"/>
      <c r="J82" s="47"/>
      <c r="O82"/>
    </row>
    <row r="83" spans="1:15" x14ac:dyDescent="0.25">
      <c r="A83" s="334" t="s">
        <v>414</v>
      </c>
      <c r="B83" s="25" t="s">
        <v>1297</v>
      </c>
      <c r="H83" s="25"/>
      <c r="I83" s="25" t="s">
        <v>1297</v>
      </c>
      <c r="O83"/>
    </row>
    <row r="84" spans="1:15" x14ac:dyDescent="0.25">
      <c r="A84" s="333" t="s">
        <v>454</v>
      </c>
      <c r="B84" s="335">
        <v>2603</v>
      </c>
      <c r="H84" s="333" t="s">
        <v>454</v>
      </c>
      <c r="I84" s="335">
        <v>2603</v>
      </c>
      <c r="O84"/>
    </row>
    <row r="85" spans="1:15" x14ac:dyDescent="0.25">
      <c r="A85" s="333" t="s">
        <v>453</v>
      </c>
      <c r="B85" s="335">
        <v>7061</v>
      </c>
      <c r="H85" s="333" t="s">
        <v>453</v>
      </c>
      <c r="I85" s="335">
        <v>7061</v>
      </c>
      <c r="O85"/>
    </row>
    <row r="86" spans="1:15" x14ac:dyDescent="0.25">
      <c r="A86" s="333" t="s">
        <v>570</v>
      </c>
      <c r="B86" s="335">
        <v>77</v>
      </c>
      <c r="H86" s="333" t="s">
        <v>570</v>
      </c>
      <c r="I86" s="335">
        <v>77</v>
      </c>
      <c r="O86"/>
    </row>
    <row r="87" spans="1:15" x14ac:dyDescent="0.25">
      <c r="A87" s="333" t="s">
        <v>571</v>
      </c>
      <c r="B87" s="335">
        <v>405</v>
      </c>
      <c r="H87" s="333" t="s">
        <v>571</v>
      </c>
      <c r="I87" s="335">
        <v>405</v>
      </c>
      <c r="O87"/>
    </row>
    <row r="88" spans="1:15" x14ac:dyDescent="0.25">
      <c r="A88" s="333" t="s">
        <v>573</v>
      </c>
      <c r="B88" s="335">
        <v>32</v>
      </c>
      <c r="H88" s="333" t="s">
        <v>573</v>
      </c>
      <c r="I88" s="335">
        <v>32</v>
      </c>
      <c r="O88"/>
    </row>
    <row r="89" spans="1:15" x14ac:dyDescent="0.25">
      <c r="A89" s="333" t="s">
        <v>593</v>
      </c>
      <c r="B89" s="335">
        <v>725</v>
      </c>
      <c r="H89" s="333" t="s">
        <v>593</v>
      </c>
      <c r="I89" s="335">
        <v>725</v>
      </c>
      <c r="O89"/>
    </row>
    <row r="90" spans="1:15" x14ac:dyDescent="0.25">
      <c r="A90" s="333" t="s">
        <v>847</v>
      </c>
      <c r="B90" s="335">
        <v>900</v>
      </c>
      <c r="H90" s="333" t="s">
        <v>847</v>
      </c>
      <c r="I90" s="335">
        <v>900</v>
      </c>
      <c r="O90"/>
    </row>
    <row r="91" spans="1:15" x14ac:dyDescent="0.25">
      <c r="A91" s="333" t="s">
        <v>848</v>
      </c>
      <c r="B91" s="335">
        <v>279</v>
      </c>
      <c r="H91" s="333" t="s">
        <v>848</v>
      </c>
      <c r="I91" s="335">
        <v>279</v>
      </c>
      <c r="O91"/>
    </row>
    <row r="92" spans="1:15" x14ac:dyDescent="0.25">
      <c r="A92" s="333" t="s">
        <v>849</v>
      </c>
      <c r="B92" s="335">
        <v>205</v>
      </c>
      <c r="H92" s="333" t="s">
        <v>849</v>
      </c>
      <c r="I92" s="335">
        <v>205</v>
      </c>
      <c r="O92"/>
    </row>
    <row r="93" spans="1:15" x14ac:dyDescent="0.25">
      <c r="A93" s="333" t="s">
        <v>850</v>
      </c>
      <c r="B93" s="335">
        <v>12</v>
      </c>
      <c r="H93" s="333" t="s">
        <v>850</v>
      </c>
      <c r="I93" s="335">
        <v>12</v>
      </c>
      <c r="O93"/>
    </row>
    <row r="94" spans="1:15" x14ac:dyDescent="0.25">
      <c r="A94" s="333" t="s">
        <v>851</v>
      </c>
      <c r="B94" s="335">
        <v>10</v>
      </c>
      <c r="H94" s="333" t="s">
        <v>851</v>
      </c>
      <c r="I94" s="335">
        <v>10</v>
      </c>
      <c r="O94"/>
    </row>
    <row r="95" spans="1:15" x14ac:dyDescent="0.25">
      <c r="A95" s="333" t="s">
        <v>863</v>
      </c>
      <c r="B95" s="335">
        <v>0</v>
      </c>
      <c r="H95" s="333" t="s">
        <v>863</v>
      </c>
      <c r="I95" s="335">
        <v>0</v>
      </c>
    </row>
    <row r="96" spans="1:15" x14ac:dyDescent="0.25">
      <c r="A96" s="333" t="s">
        <v>860</v>
      </c>
      <c r="B96" s="335">
        <v>122</v>
      </c>
      <c r="H96" s="333" t="s">
        <v>860</v>
      </c>
      <c r="I96" s="335">
        <v>122</v>
      </c>
    </row>
    <row r="97" spans="1:9" x14ac:dyDescent="0.25">
      <c r="A97" s="333" t="s">
        <v>1101</v>
      </c>
      <c r="B97" s="335">
        <v>20</v>
      </c>
      <c r="H97" s="333" t="s">
        <v>1101</v>
      </c>
      <c r="I97" s="335">
        <v>20</v>
      </c>
    </row>
    <row r="98" spans="1:9" x14ac:dyDescent="0.25">
      <c r="A98" s="333" t="s">
        <v>1099</v>
      </c>
      <c r="B98" s="335">
        <v>269</v>
      </c>
      <c r="H98" s="333" t="s">
        <v>1099</v>
      </c>
      <c r="I98" s="335">
        <v>269</v>
      </c>
    </row>
    <row r="99" spans="1:9" x14ac:dyDescent="0.25">
      <c r="A99" s="333" t="s">
        <v>903</v>
      </c>
      <c r="B99" s="335">
        <v>350</v>
      </c>
      <c r="H99" s="333" t="s">
        <v>903</v>
      </c>
      <c r="I99" s="335">
        <v>350</v>
      </c>
    </row>
    <row r="100" spans="1:9" x14ac:dyDescent="0.25">
      <c r="A100" s="333" t="s">
        <v>415</v>
      </c>
      <c r="B100" s="335">
        <v>13070</v>
      </c>
      <c r="H100" s="333" t="s">
        <v>415</v>
      </c>
      <c r="I100" s="335">
        <v>13070</v>
      </c>
    </row>
  </sheetData>
  <sortState ref="A23:O41">
    <sortCondition ref="A22"/>
  </sortState>
  <mergeCells count="1">
    <mergeCell ref="A2:C2"/>
  </mergeCells>
  <conditionalFormatting sqref="N7:N28">
    <cfRule type="colorScale" priority="42">
      <colorScale>
        <cfvo type="percent" val="0"/>
        <cfvo type="percent" val="100"/>
        <color rgb="FFFF0000"/>
        <color rgb="FF00FF00"/>
      </colorScale>
    </cfRule>
    <cfRule type="colorScale" priority="43">
      <colorScale>
        <cfvo type="min"/>
        <cfvo type="percentile" val="50"/>
        <cfvo type="max"/>
        <color rgb="FFF8696B"/>
        <color rgb="FFFFEB84"/>
        <color rgb="FF63BE7B"/>
      </colorScale>
    </cfRule>
  </conditionalFormatting>
  <pageMargins left="0.7" right="0.7" top="0.75" bottom="0.75" header="0.3" footer="0.3"/>
  <pageSetup scale="40" fitToHeight="2" orientation="landscape" r:id="rId3"/>
  <rowBreaks count="2" manualBreakCount="2">
    <brk id="27" max="16383" man="1"/>
    <brk id="28" max="16383"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05"/>
  <sheetViews>
    <sheetView showZeros="0" zoomScale="80" zoomScaleNormal="80" workbookViewId="0">
      <selection activeCell="C11" sqref="C11"/>
    </sheetView>
  </sheetViews>
  <sheetFormatPr defaultColWidth="23.85546875" defaultRowHeight="15" x14ac:dyDescent="0.25"/>
  <cols>
    <col min="1" max="1" width="20.85546875" style="39" customWidth="1"/>
    <col min="2" max="2" width="22.42578125" style="39" customWidth="1"/>
    <col min="3" max="5" width="25.140625" style="39" customWidth="1"/>
    <col min="6" max="16384" width="23.85546875" style="39"/>
  </cols>
  <sheetData>
    <row r="1" spans="1:59" s="1" customFormat="1" ht="36" x14ac:dyDescent="0.25">
      <c r="A1" s="283"/>
      <c r="B1" s="284"/>
      <c r="C1" s="284"/>
      <c r="D1" s="284"/>
      <c r="E1" s="284"/>
      <c r="F1" s="285"/>
      <c r="BF1" s="55"/>
      <c r="BG1" s="55"/>
    </row>
    <row r="2" spans="1:59" s="1" customFormat="1" ht="56.25" customHeight="1" x14ac:dyDescent="0.25">
      <c r="A2" s="842" t="s">
        <v>462</v>
      </c>
      <c r="B2" s="843"/>
      <c r="C2" s="843"/>
      <c r="D2" s="54"/>
      <c r="E2" s="54"/>
      <c r="F2" s="296"/>
      <c r="BF2" s="55"/>
      <c r="BG2" s="55"/>
    </row>
    <row r="3" spans="1:59" s="17" customFormat="1" ht="18" customHeight="1" x14ac:dyDescent="0.25">
      <c r="A3" s="844">
        <f>Definition!B23</f>
        <v>42571</v>
      </c>
      <c r="B3" s="845"/>
      <c r="C3" s="845"/>
      <c r="D3" s="845"/>
      <c r="E3" s="845"/>
      <c r="F3" s="846"/>
      <c r="G3" s="42"/>
      <c r="H3" s="42"/>
      <c r="I3" s="42"/>
      <c r="J3" s="42"/>
      <c r="L3" s="42"/>
      <c r="M3" s="42"/>
      <c r="N3" s="42"/>
      <c r="O3" s="42"/>
      <c r="P3" s="42"/>
      <c r="Q3" s="42"/>
      <c r="R3" s="42"/>
      <c r="S3" s="56"/>
      <c r="T3" s="42"/>
      <c r="U3" s="42"/>
      <c r="BF3" s="56"/>
      <c r="BG3" s="56"/>
    </row>
    <row r="4" spans="1:59" ht="15" customHeight="1" x14ac:dyDescent="0.25"/>
    <row r="5" spans="1:59" x14ac:dyDescent="0.25">
      <c r="A5" s="487" t="s">
        <v>395</v>
      </c>
      <c r="B5" s="487" t="s">
        <v>597</v>
      </c>
      <c r="C5" s="314" t="s">
        <v>421</v>
      </c>
      <c r="E5" s="437" t="s">
        <v>395</v>
      </c>
      <c r="F5" s="438" t="s">
        <v>597</v>
      </c>
      <c r="G5"/>
    </row>
    <row r="6" spans="1:59" x14ac:dyDescent="0.25">
      <c r="E6" s="48"/>
      <c r="F6" s="48"/>
    </row>
    <row r="7" spans="1:59" x14ac:dyDescent="0.25">
      <c r="A7" s="437" t="s">
        <v>414</v>
      </c>
      <c r="B7" s="426" t="s">
        <v>1298</v>
      </c>
      <c r="C7" s="427" t="s">
        <v>1299</v>
      </c>
      <c r="D7"/>
      <c r="E7" s="437" t="s">
        <v>414</v>
      </c>
      <c r="F7" s="438" t="s">
        <v>1297</v>
      </c>
      <c r="H7"/>
      <c r="I7"/>
    </row>
    <row r="8" spans="1:59" x14ac:dyDescent="0.25">
      <c r="A8" s="465" t="s">
        <v>593</v>
      </c>
      <c r="B8" s="467">
        <v>1041</v>
      </c>
      <c r="C8" s="483"/>
      <c r="D8"/>
      <c r="E8" s="465" t="s">
        <v>593</v>
      </c>
      <c r="F8" s="467">
        <v>725</v>
      </c>
      <c r="H8"/>
      <c r="I8"/>
    </row>
    <row r="9" spans="1:59" x14ac:dyDescent="0.25">
      <c r="A9" s="490" t="s">
        <v>848</v>
      </c>
      <c r="B9" s="499">
        <v>289</v>
      </c>
      <c r="C9" s="476"/>
      <c r="D9"/>
      <c r="E9" s="490" t="s">
        <v>848</v>
      </c>
      <c r="F9" s="499">
        <v>279</v>
      </c>
      <c r="G9"/>
      <c r="H9"/>
      <c r="I9"/>
      <c r="J9"/>
      <c r="K9"/>
      <c r="L9"/>
      <c r="M9"/>
      <c r="N9"/>
      <c r="O9"/>
      <c r="P9"/>
      <c r="Q9"/>
    </row>
    <row r="10" spans="1:59" x14ac:dyDescent="0.25">
      <c r="A10" s="490" t="s">
        <v>1101</v>
      </c>
      <c r="B10" s="499">
        <v>20</v>
      </c>
      <c r="C10" s="476"/>
      <c r="D10"/>
      <c r="E10" s="490" t="s">
        <v>1101</v>
      </c>
      <c r="F10" s="499">
        <v>20</v>
      </c>
      <c r="G10"/>
      <c r="H10"/>
      <c r="I10"/>
      <c r="J10"/>
      <c r="K10"/>
      <c r="L10"/>
      <c r="M10"/>
      <c r="N10"/>
      <c r="O10"/>
      <c r="P10"/>
      <c r="Q10"/>
    </row>
    <row r="11" spans="1:59" x14ac:dyDescent="0.25">
      <c r="A11" s="490" t="s">
        <v>903</v>
      </c>
      <c r="B11" s="499">
        <v>350</v>
      </c>
      <c r="C11" s="476"/>
      <c r="D11"/>
      <c r="E11" s="490" t="s">
        <v>903</v>
      </c>
      <c r="F11" s="499">
        <v>350</v>
      </c>
      <c r="G11"/>
      <c r="H11"/>
      <c r="I11"/>
      <c r="J11"/>
      <c r="K11"/>
      <c r="L11"/>
      <c r="M11"/>
      <c r="N11"/>
      <c r="O11"/>
      <c r="P11"/>
      <c r="Q11"/>
    </row>
    <row r="12" spans="1:59" x14ac:dyDescent="0.25">
      <c r="A12" s="490" t="s">
        <v>454</v>
      </c>
      <c r="B12" s="499">
        <v>3211</v>
      </c>
      <c r="C12" s="476"/>
      <c r="D12"/>
      <c r="E12" s="490" t="s">
        <v>454</v>
      </c>
      <c r="F12" s="499">
        <v>2603</v>
      </c>
      <c r="H12"/>
      <c r="I12"/>
    </row>
    <row r="13" spans="1:59" s="47" customFormat="1" x14ac:dyDescent="0.25">
      <c r="A13" s="490" t="s">
        <v>1099</v>
      </c>
      <c r="B13" s="499">
        <v>269</v>
      </c>
      <c r="C13" s="476"/>
      <c r="D13"/>
      <c r="E13" s="490" t="s">
        <v>1099</v>
      </c>
      <c r="F13" s="499">
        <v>269</v>
      </c>
    </row>
    <row r="14" spans="1:59" x14ac:dyDescent="0.25">
      <c r="A14" s="490" t="s">
        <v>573</v>
      </c>
      <c r="B14" s="499">
        <v>32</v>
      </c>
      <c r="C14" s="476"/>
      <c r="D14"/>
      <c r="E14" s="490" t="s">
        <v>573</v>
      </c>
      <c r="F14" s="499">
        <v>32</v>
      </c>
      <c r="H14"/>
      <c r="I14"/>
    </row>
    <row r="15" spans="1:59" x14ac:dyDescent="0.25">
      <c r="A15" s="490" t="s">
        <v>849</v>
      </c>
      <c r="B15" s="499">
        <v>205</v>
      </c>
      <c r="C15" s="476"/>
      <c r="D15"/>
      <c r="E15" s="490" t="s">
        <v>849</v>
      </c>
      <c r="F15" s="499">
        <v>205</v>
      </c>
      <c r="H15"/>
      <c r="I15"/>
    </row>
    <row r="16" spans="1:59" x14ac:dyDescent="0.25">
      <c r="A16" s="490" t="s">
        <v>847</v>
      </c>
      <c r="B16" s="499">
        <v>933</v>
      </c>
      <c r="C16" s="476"/>
      <c r="D16"/>
      <c r="E16" s="490" t="s">
        <v>847</v>
      </c>
      <c r="F16" s="499">
        <v>900</v>
      </c>
      <c r="H16"/>
      <c r="I16"/>
    </row>
    <row r="17" spans="1:9" x14ac:dyDescent="0.25">
      <c r="A17" s="490" t="s">
        <v>850</v>
      </c>
      <c r="B17" s="499">
        <v>12</v>
      </c>
      <c r="C17" s="476"/>
      <c r="D17"/>
      <c r="E17" s="490" t="s">
        <v>850</v>
      </c>
      <c r="F17" s="499">
        <v>12</v>
      </c>
      <c r="H17"/>
      <c r="I17"/>
    </row>
    <row r="18" spans="1:9" x14ac:dyDescent="0.25">
      <c r="A18" s="490" t="s">
        <v>571</v>
      </c>
      <c r="B18" s="499">
        <v>420</v>
      </c>
      <c r="C18" s="476"/>
      <c r="D18"/>
      <c r="E18" s="490" t="s">
        <v>571</v>
      </c>
      <c r="F18" s="499">
        <v>405</v>
      </c>
      <c r="H18"/>
      <c r="I18"/>
    </row>
    <row r="19" spans="1:9" x14ac:dyDescent="0.25">
      <c r="A19" s="490" t="s">
        <v>453</v>
      </c>
      <c r="B19" s="499">
        <v>7457</v>
      </c>
      <c r="C19" s="476"/>
      <c r="D19"/>
      <c r="E19" s="490" t="s">
        <v>453</v>
      </c>
      <c r="F19" s="499">
        <v>7061</v>
      </c>
    </row>
    <row r="20" spans="1:9" x14ac:dyDescent="0.25">
      <c r="A20" s="490" t="s">
        <v>570</v>
      </c>
      <c r="B20" s="499">
        <v>87</v>
      </c>
      <c r="C20" s="476"/>
      <c r="D20"/>
      <c r="E20" s="490" t="s">
        <v>570</v>
      </c>
      <c r="F20" s="499">
        <v>77</v>
      </c>
    </row>
    <row r="21" spans="1:9" x14ac:dyDescent="0.25">
      <c r="A21" s="490" t="s">
        <v>851</v>
      </c>
      <c r="B21" s="499">
        <v>10</v>
      </c>
      <c r="C21" s="476"/>
      <c r="D21"/>
      <c r="E21" s="490" t="s">
        <v>851</v>
      </c>
      <c r="F21" s="499">
        <v>10</v>
      </c>
    </row>
    <row r="22" spans="1:9" x14ac:dyDescent="0.25">
      <c r="A22" s="465" t="s">
        <v>415</v>
      </c>
      <c r="B22" s="467">
        <v>14336</v>
      </c>
      <c r="C22" s="483"/>
      <c r="D22"/>
      <c r="E22" s="465" t="s">
        <v>415</v>
      </c>
      <c r="F22" s="467">
        <v>12948</v>
      </c>
    </row>
    <row r="23" spans="1:9" x14ac:dyDescent="0.25">
      <c r="A23"/>
      <c r="B23"/>
      <c r="C23"/>
      <c r="D23"/>
      <c r="E23"/>
      <c r="F23"/>
      <c r="G23"/>
    </row>
    <row r="24" spans="1:9" x14ac:dyDescent="0.25">
      <c r="A24"/>
      <c r="B24"/>
      <c r="C24"/>
      <c r="D24"/>
      <c r="E24"/>
      <c r="F24"/>
      <c r="G24"/>
    </row>
    <row r="25" spans="1:9" x14ac:dyDescent="0.25">
      <c r="A25"/>
      <c r="B25"/>
      <c r="C25"/>
      <c r="D25"/>
      <c r="E25"/>
      <c r="F25"/>
      <c r="G25"/>
    </row>
    <row r="26" spans="1:9" x14ac:dyDescent="0.25">
      <c r="A26"/>
      <c r="B26"/>
      <c r="C26"/>
      <c r="D26"/>
      <c r="E26"/>
      <c r="F26"/>
      <c r="G26"/>
    </row>
    <row r="27" spans="1:9" x14ac:dyDescent="0.25">
      <c r="A27"/>
      <c r="B27"/>
      <c r="C27"/>
      <c r="D27"/>
      <c r="E27"/>
      <c r="F27"/>
      <c r="G27"/>
    </row>
    <row r="28" spans="1:9" x14ac:dyDescent="0.25">
      <c r="A28"/>
      <c r="B28"/>
      <c r="C28"/>
      <c r="D28"/>
      <c r="E28"/>
      <c r="F28"/>
      <c r="G28"/>
    </row>
    <row r="29" spans="1:9" hidden="1" x14ac:dyDescent="0.25">
      <c r="A29"/>
      <c r="B29"/>
      <c r="C29"/>
      <c r="D29"/>
      <c r="E29"/>
      <c r="F29"/>
      <c r="G29"/>
    </row>
    <row r="30" spans="1:9" hidden="1" x14ac:dyDescent="0.25">
      <c r="A30"/>
      <c r="B30"/>
      <c r="C30"/>
      <c r="D30"/>
      <c r="E30"/>
      <c r="F30"/>
      <c r="G30"/>
    </row>
    <row r="31" spans="1:9" x14ac:dyDescent="0.25">
      <c r="A31"/>
      <c r="B31"/>
      <c r="C31"/>
      <c r="D31"/>
      <c r="E31" s="48"/>
      <c r="F31"/>
      <c r="G31"/>
    </row>
    <row r="32" spans="1:9" x14ac:dyDescent="0.25">
      <c r="A32"/>
      <c r="B32"/>
      <c r="C32"/>
      <c r="D32"/>
      <c r="E32" s="48"/>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row>
    <row r="44" spans="1:7" x14ac:dyDescent="0.25">
      <c r="A44"/>
      <c r="B44"/>
      <c r="C44"/>
      <c r="D44"/>
      <c r="E44"/>
      <c r="F44"/>
    </row>
    <row r="45" spans="1:7" x14ac:dyDescent="0.25">
      <c r="A45"/>
      <c r="B45"/>
      <c r="C45"/>
      <c r="D45"/>
      <c r="E45"/>
      <c r="F45"/>
    </row>
    <row r="46" spans="1:7" x14ac:dyDescent="0.25">
      <c r="A46"/>
      <c r="B46"/>
      <c r="C46"/>
      <c r="D46"/>
      <c r="E46"/>
      <c r="F46"/>
    </row>
    <row r="47" spans="1:7" x14ac:dyDescent="0.25">
      <c r="A47"/>
      <c r="B47"/>
      <c r="C47"/>
      <c r="D47"/>
      <c r="E47"/>
      <c r="F47"/>
    </row>
    <row r="48" spans="1:7" x14ac:dyDescent="0.25">
      <c r="A48"/>
      <c r="B48"/>
      <c r="C48"/>
      <c r="D48"/>
      <c r="E48"/>
      <c r="F48"/>
    </row>
    <row r="49" spans="1:6" x14ac:dyDescent="0.25">
      <c r="A49"/>
      <c r="B49"/>
      <c r="C49"/>
      <c r="D49"/>
      <c r="E49"/>
      <c r="F49"/>
    </row>
    <row r="50" spans="1:6" x14ac:dyDescent="0.25">
      <c r="A50"/>
      <c r="B50"/>
      <c r="C50"/>
      <c r="D50"/>
      <c r="E50"/>
      <c r="F50"/>
    </row>
    <row r="51" spans="1:6" x14ac:dyDescent="0.25">
      <c r="A51"/>
      <c r="B51"/>
      <c r="C51"/>
      <c r="D51"/>
      <c r="E51"/>
      <c r="F51"/>
    </row>
    <row r="52" spans="1:6" x14ac:dyDescent="0.25">
      <c r="A52"/>
      <c r="B52"/>
      <c r="C52"/>
      <c r="D52"/>
      <c r="E52"/>
      <c r="F52"/>
    </row>
    <row r="53" spans="1:6" x14ac:dyDescent="0.25">
      <c r="A53"/>
      <c r="B53"/>
      <c r="C53"/>
      <c r="D53"/>
      <c r="E53"/>
      <c r="F53"/>
    </row>
    <row r="54" spans="1:6" x14ac:dyDescent="0.25">
      <c r="A54"/>
      <c r="B54"/>
      <c r="C54"/>
      <c r="D54"/>
      <c r="E54"/>
      <c r="F54"/>
    </row>
    <row r="55" spans="1:6" x14ac:dyDescent="0.25">
      <c r="A55"/>
      <c r="B55"/>
      <c r="C55"/>
      <c r="D55"/>
      <c r="E55"/>
      <c r="F55"/>
    </row>
    <row r="56" spans="1:6" hidden="1" x14ac:dyDescent="0.25">
      <c r="A56"/>
      <c r="B56"/>
      <c r="C56"/>
      <c r="D56"/>
      <c r="E56"/>
      <c r="F56"/>
    </row>
    <row r="57" spans="1:6" hidden="1" x14ac:dyDescent="0.25">
      <c r="A57"/>
      <c r="B57"/>
      <c r="C57"/>
      <c r="D57"/>
      <c r="E57"/>
      <c r="F57"/>
    </row>
    <row r="58" spans="1:6" x14ac:dyDescent="0.25">
      <c r="A58"/>
      <c r="B58"/>
      <c r="C58"/>
      <c r="D58"/>
      <c r="E58"/>
      <c r="F58"/>
    </row>
    <row r="59" spans="1:6" x14ac:dyDescent="0.25">
      <c r="A59" s="487" t="s">
        <v>395</v>
      </c>
      <c r="B59" s="487" t="s">
        <v>597</v>
      </c>
      <c r="C59" s="235"/>
      <c r="D59"/>
      <c r="E59"/>
      <c r="F59"/>
    </row>
    <row r="60" spans="1:6" x14ac:dyDescent="0.25">
      <c r="A60" s="493" t="s">
        <v>0</v>
      </c>
      <c r="B60" s="487" t="s">
        <v>5</v>
      </c>
      <c r="C60" s="236"/>
      <c r="D60"/>
      <c r="E60"/>
      <c r="F60"/>
    </row>
    <row r="61" spans="1:6" x14ac:dyDescent="0.25">
      <c r="A61" s="487" t="s">
        <v>499</v>
      </c>
      <c r="B61" s="487" t="s">
        <v>1124</v>
      </c>
      <c r="C61" s="239" t="s">
        <v>421</v>
      </c>
      <c r="D61"/>
      <c r="E61"/>
    </row>
    <row r="62" spans="1:6" x14ac:dyDescent="0.25">
      <c r="A62" s="122"/>
      <c r="B62" s="122"/>
      <c r="C62" s="122"/>
      <c r="D62"/>
      <c r="E62"/>
    </row>
    <row r="63" spans="1:6" x14ac:dyDescent="0.25">
      <c r="A63" s="334" t="s">
        <v>414</v>
      </c>
      <c r="B63" s="25" t="s">
        <v>1245</v>
      </c>
      <c r="C63"/>
      <c r="D63"/>
      <c r="E63"/>
    </row>
    <row r="64" spans="1:6" x14ac:dyDescent="0.25">
      <c r="A64" s="333" t="s">
        <v>6</v>
      </c>
      <c r="B64" s="500">
        <v>0.20681265206812652</v>
      </c>
      <c r="C64"/>
      <c r="D64"/>
      <c r="E64"/>
    </row>
    <row r="65" spans="1:5" x14ac:dyDescent="0.25">
      <c r="A65" s="333" t="s">
        <v>513</v>
      </c>
      <c r="B65" s="500">
        <v>1.75</v>
      </c>
      <c r="C65"/>
      <c r="D65"/>
      <c r="E65"/>
    </row>
    <row r="66" spans="1:5" x14ac:dyDescent="0.25">
      <c r="A66" s="333" t="s">
        <v>14</v>
      </c>
      <c r="B66" s="500">
        <v>0.48717948717948717</v>
      </c>
      <c r="C66"/>
      <c r="D66"/>
      <c r="E66"/>
    </row>
    <row r="67" spans="1:5" x14ac:dyDescent="0.25">
      <c r="A67" s="333" t="s">
        <v>18</v>
      </c>
      <c r="B67" s="500">
        <v>0.12561576354679804</v>
      </c>
      <c r="C67"/>
      <c r="D67"/>
      <c r="E67"/>
    </row>
    <row r="68" spans="1:5" x14ac:dyDescent="0.25">
      <c r="A68" s="333" t="s">
        <v>8</v>
      </c>
      <c r="B68" s="500">
        <v>0.6428571428571429</v>
      </c>
      <c r="C68"/>
      <c r="D68"/>
      <c r="E68"/>
    </row>
    <row r="69" spans="1:5" x14ac:dyDescent="0.25">
      <c r="A69" s="333" t="s">
        <v>20</v>
      </c>
      <c r="B69" s="500">
        <v>0.5</v>
      </c>
      <c r="C69"/>
      <c r="D69"/>
      <c r="E69"/>
    </row>
    <row r="70" spans="1:5" x14ac:dyDescent="0.25">
      <c r="A70" s="333" t="s">
        <v>366</v>
      </c>
      <c r="B70" s="500">
        <v>0.21</v>
      </c>
      <c r="C70"/>
      <c r="D70"/>
      <c r="E70"/>
    </row>
    <row r="71" spans="1:5" x14ac:dyDescent="0.25">
      <c r="A71" s="333" t="s">
        <v>22</v>
      </c>
      <c r="B71" s="500">
        <v>0.13513513513513514</v>
      </c>
      <c r="C71"/>
      <c r="D71"/>
      <c r="E71"/>
    </row>
    <row r="72" spans="1:5" x14ac:dyDescent="0.25">
      <c r="A72" s="333" t="s">
        <v>24</v>
      </c>
      <c r="B72" s="500">
        <v>1.3095238095238095</v>
      </c>
      <c r="C72"/>
      <c r="D72"/>
      <c r="E72"/>
    </row>
    <row r="73" spans="1:5" x14ac:dyDescent="0.25">
      <c r="A73" s="333" t="s">
        <v>26</v>
      </c>
      <c r="B73" s="500">
        <v>0.76</v>
      </c>
      <c r="C73"/>
      <c r="D73"/>
      <c r="E73"/>
    </row>
    <row r="74" spans="1:5" x14ac:dyDescent="0.25">
      <c r="A74" s="333" t="s">
        <v>415</v>
      </c>
      <c r="B74" s="500">
        <v>0.47559226835844004</v>
      </c>
      <c r="C74"/>
      <c r="D74"/>
    </row>
    <row r="75" spans="1:5" x14ac:dyDescent="0.25">
      <c r="A75"/>
      <c r="B75"/>
      <c r="C75"/>
      <c r="D75"/>
    </row>
    <row r="76" spans="1:5" x14ac:dyDescent="0.25">
      <c r="A76"/>
      <c r="B76"/>
      <c r="C76"/>
      <c r="D76"/>
    </row>
    <row r="77" spans="1:5" x14ac:dyDescent="0.25">
      <c r="A77"/>
      <c r="B77"/>
      <c r="C77"/>
      <c r="D77"/>
    </row>
    <row r="78" spans="1:5" x14ac:dyDescent="0.25">
      <c r="A78"/>
      <c r="B78"/>
      <c r="C78"/>
      <c r="D78"/>
    </row>
    <row r="79" spans="1:5" x14ac:dyDescent="0.25">
      <c r="A79"/>
      <c r="B79"/>
      <c r="C79"/>
      <c r="D79"/>
    </row>
    <row r="80" spans="1:5"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row>
    <row r="200" spans="1:4" x14ac:dyDescent="0.25">
      <c r="A200"/>
    </row>
    <row r="201" spans="1:4" x14ac:dyDescent="0.25">
      <c r="A201"/>
    </row>
    <row r="202" spans="1:4" x14ac:dyDescent="0.25">
      <c r="A202"/>
    </row>
    <row r="203" spans="1:4" x14ac:dyDescent="0.25">
      <c r="A203"/>
    </row>
    <row r="204" spans="1:4" x14ac:dyDescent="0.25">
      <c r="A204"/>
    </row>
    <row r="205" spans="1:4" x14ac:dyDescent="0.25">
      <c r="A205"/>
    </row>
  </sheetData>
  <mergeCells count="2">
    <mergeCell ref="A2:C2"/>
    <mergeCell ref="A3:F3"/>
  </mergeCells>
  <pageMargins left="0.7" right="0.7" top="0.75" bottom="0.75" header="0.3" footer="0.3"/>
  <pageSetup paperSize="9" scale="62"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M227"/>
  <sheetViews>
    <sheetView topLeftCell="B117" zoomScale="90" zoomScaleNormal="90" workbookViewId="0">
      <selection activeCell="I12" sqref="I12"/>
    </sheetView>
  </sheetViews>
  <sheetFormatPr defaultRowHeight="15" x14ac:dyDescent="0.25"/>
  <cols>
    <col min="1" max="1" width="14.28515625" customWidth="1"/>
    <col min="2" max="2" width="25.28515625" style="97" customWidth="1"/>
    <col min="3" max="3" width="45.85546875" customWidth="1"/>
    <col min="4" max="4" width="17.5703125" customWidth="1"/>
    <col min="6" max="7" width="0" hidden="1" customWidth="1"/>
    <col min="8" max="8" width="52.7109375" style="4" customWidth="1"/>
    <col min="9" max="9" width="10.140625" style="4" customWidth="1"/>
    <col min="10" max="10" width="18.28515625" style="4" customWidth="1"/>
    <col min="11" max="11" width="22.28515625" customWidth="1"/>
    <col min="12" max="12" width="7.7109375" customWidth="1"/>
    <col min="13" max="13" width="13.7109375" customWidth="1"/>
  </cols>
  <sheetData>
    <row r="1" spans="1:13" x14ac:dyDescent="0.25">
      <c r="A1" s="334" t="s">
        <v>499</v>
      </c>
      <c r="B1" s="25" t="s">
        <v>1124</v>
      </c>
      <c r="H1" s="554" t="s">
        <v>499</v>
      </c>
      <c r="I1" s="580" t="s">
        <v>501</v>
      </c>
    </row>
    <row r="2" spans="1:13" x14ac:dyDescent="0.25">
      <c r="H2" s="554" t="s">
        <v>401</v>
      </c>
      <c r="I2" s="580" t="s">
        <v>555</v>
      </c>
    </row>
    <row r="3" spans="1:13" x14ac:dyDescent="0.25">
      <c r="A3" s="460" t="s">
        <v>0</v>
      </c>
      <c r="B3" s="461" t="s">
        <v>559</v>
      </c>
      <c r="C3" s="343" t="s">
        <v>511</v>
      </c>
      <c r="D3" s="341" t="s">
        <v>1008</v>
      </c>
    </row>
    <row r="4" spans="1:13" x14ac:dyDescent="0.25">
      <c r="A4" s="477" t="s">
        <v>5</v>
      </c>
      <c r="B4" s="477" t="s">
        <v>21</v>
      </c>
      <c r="C4" s="25" t="s">
        <v>22</v>
      </c>
      <c r="D4" s="494">
        <v>0.67567567567567566</v>
      </c>
      <c r="H4" s="581" t="s">
        <v>414</v>
      </c>
      <c r="I4" s="582" t="s">
        <v>869</v>
      </c>
      <c r="J4" s="583" t="s">
        <v>1129</v>
      </c>
      <c r="K4" s="477" t="s">
        <v>1127</v>
      </c>
      <c r="L4" s="426" t="s">
        <v>1130</v>
      </c>
      <c r="M4" s="477" t="s">
        <v>1131</v>
      </c>
    </row>
    <row r="5" spans="1:13" x14ac:dyDescent="0.25">
      <c r="A5" s="339"/>
      <c r="B5" s="339" t="s">
        <v>17</v>
      </c>
      <c r="C5" s="25" t="s">
        <v>18</v>
      </c>
      <c r="D5" s="495">
        <v>0.87931034482758619</v>
      </c>
      <c r="H5" s="584" t="s">
        <v>5</v>
      </c>
      <c r="I5" s="585"/>
      <c r="J5" s="586"/>
      <c r="K5" s="476"/>
      <c r="L5" s="489"/>
      <c r="M5" s="491"/>
    </row>
    <row r="6" spans="1:13" x14ac:dyDescent="0.25">
      <c r="A6" s="339"/>
      <c r="B6" s="339" t="s">
        <v>4</v>
      </c>
      <c r="C6" s="25" t="s">
        <v>6</v>
      </c>
      <c r="D6" s="495">
        <v>0.62043795620437958</v>
      </c>
      <c r="H6" s="587" t="s">
        <v>5</v>
      </c>
      <c r="I6" s="585">
        <v>1290</v>
      </c>
      <c r="J6" s="586">
        <v>357</v>
      </c>
      <c r="K6" s="476">
        <v>273</v>
      </c>
      <c r="L6" s="489">
        <v>0.27674418604651163</v>
      </c>
      <c r="M6" s="491">
        <v>0.21162790697674419</v>
      </c>
    </row>
    <row r="7" spans="1:13" x14ac:dyDescent="0.25">
      <c r="A7" s="339"/>
      <c r="B7" s="339" t="s">
        <v>13</v>
      </c>
      <c r="C7" s="25" t="s">
        <v>14</v>
      </c>
      <c r="D7" s="495">
        <v>0.97435897435897434</v>
      </c>
      <c r="H7" s="588" t="s">
        <v>22</v>
      </c>
      <c r="I7" s="589">
        <v>629</v>
      </c>
      <c r="J7" s="590">
        <v>204</v>
      </c>
      <c r="K7" s="481">
        <v>204</v>
      </c>
      <c r="L7" s="480">
        <v>0.32432432432432434</v>
      </c>
      <c r="M7" s="484">
        <v>0.32432432432432434</v>
      </c>
    </row>
    <row r="8" spans="1:13" x14ac:dyDescent="0.25">
      <c r="A8" s="339"/>
      <c r="B8" s="339" t="s">
        <v>25</v>
      </c>
      <c r="C8" s="25" t="s">
        <v>26</v>
      </c>
      <c r="D8" s="495">
        <v>3.8000000000000003</v>
      </c>
      <c r="H8" s="591" t="s">
        <v>6</v>
      </c>
      <c r="I8" s="592">
        <v>274</v>
      </c>
      <c r="J8" s="593">
        <v>104</v>
      </c>
      <c r="K8" s="482">
        <v>20</v>
      </c>
      <c r="L8" s="478">
        <v>0.37956204379562042</v>
      </c>
      <c r="M8" s="485">
        <v>7.2992700729927001E-2</v>
      </c>
    </row>
    <row r="9" spans="1:13" x14ac:dyDescent="0.25">
      <c r="A9" s="339"/>
      <c r="B9" s="339" t="s">
        <v>19</v>
      </c>
      <c r="C9" s="25" t="s">
        <v>20</v>
      </c>
      <c r="D9" s="495">
        <v>0.5</v>
      </c>
      <c r="H9" s="591" t="s">
        <v>366</v>
      </c>
      <c r="I9" s="592">
        <v>150</v>
      </c>
      <c r="J9" s="593">
        <v>24</v>
      </c>
      <c r="K9" s="482">
        <v>24</v>
      </c>
      <c r="L9" s="478">
        <v>0.16</v>
      </c>
      <c r="M9" s="485">
        <v>0.16</v>
      </c>
    </row>
    <row r="10" spans="1:13" x14ac:dyDescent="0.25">
      <c r="A10" s="339"/>
      <c r="B10" s="339" t="s">
        <v>23</v>
      </c>
      <c r="C10" s="25" t="s">
        <v>24</v>
      </c>
      <c r="D10" s="495">
        <v>2.6190476190476191</v>
      </c>
      <c r="H10" s="591" t="s">
        <v>18</v>
      </c>
      <c r="I10" s="592">
        <v>116</v>
      </c>
      <c r="J10" s="593">
        <v>14</v>
      </c>
      <c r="K10" s="482">
        <v>14</v>
      </c>
      <c r="L10" s="478">
        <v>0.1206896551724138</v>
      </c>
      <c r="M10" s="485">
        <v>0.1206896551724138</v>
      </c>
    </row>
    <row r="11" spans="1:13" x14ac:dyDescent="0.25">
      <c r="A11" s="339"/>
      <c r="B11" s="339" t="s">
        <v>376</v>
      </c>
      <c r="C11" s="25" t="s">
        <v>366</v>
      </c>
      <c r="D11" s="495">
        <v>0.83999999999999986</v>
      </c>
      <c r="H11" s="591" t="s">
        <v>20</v>
      </c>
      <c r="I11" s="592">
        <v>20</v>
      </c>
      <c r="J11" s="593">
        <v>10</v>
      </c>
      <c r="K11" s="482">
        <v>10</v>
      </c>
      <c r="L11" s="478">
        <v>0.5</v>
      </c>
      <c r="M11" s="485">
        <v>0.5</v>
      </c>
    </row>
    <row r="12" spans="1:13" x14ac:dyDescent="0.25">
      <c r="A12" s="339"/>
      <c r="B12" s="339" t="s">
        <v>7</v>
      </c>
      <c r="C12" s="25" t="s">
        <v>8</v>
      </c>
      <c r="D12" s="495">
        <v>1.2857142857142858</v>
      </c>
      <c r="H12" s="591" t="s">
        <v>14</v>
      </c>
      <c r="I12" s="592">
        <v>39</v>
      </c>
      <c r="J12" s="593">
        <v>1</v>
      </c>
      <c r="K12" s="482">
        <v>1</v>
      </c>
      <c r="L12" s="478">
        <v>2.564102564102564E-2</v>
      </c>
      <c r="M12" s="485">
        <v>2.564102564102564E-2</v>
      </c>
    </row>
    <row r="13" spans="1:13" x14ac:dyDescent="0.25">
      <c r="A13" s="340"/>
      <c r="B13" s="340" t="s">
        <v>377</v>
      </c>
      <c r="C13" s="25" t="s">
        <v>513</v>
      </c>
      <c r="D13" s="496">
        <v>3.5</v>
      </c>
      <c r="H13" s="591" t="s">
        <v>513</v>
      </c>
      <c r="I13" s="592">
        <v>12</v>
      </c>
      <c r="J13" s="593">
        <v>0</v>
      </c>
      <c r="K13" s="482">
        <v>0</v>
      </c>
      <c r="L13" s="478">
        <v>0</v>
      </c>
      <c r="M13" s="485">
        <v>0</v>
      </c>
    </row>
    <row r="14" spans="1:13" x14ac:dyDescent="0.25">
      <c r="A14" s="339" t="s">
        <v>27</v>
      </c>
      <c r="B14" s="339" t="s">
        <v>30</v>
      </c>
      <c r="C14" s="340" t="s">
        <v>1105</v>
      </c>
      <c r="D14" s="495">
        <v>0.9816513761467891</v>
      </c>
      <c r="H14" s="591" t="s">
        <v>24</v>
      </c>
      <c r="I14" s="592">
        <v>21</v>
      </c>
      <c r="J14" s="593">
        <v>0</v>
      </c>
      <c r="K14" s="482">
        <v>0</v>
      </c>
      <c r="L14" s="478">
        <v>0</v>
      </c>
      <c r="M14" s="485">
        <v>0</v>
      </c>
    </row>
    <row r="15" spans="1:13" x14ac:dyDescent="0.25">
      <c r="A15" s="339"/>
      <c r="B15" s="339" t="s">
        <v>378</v>
      </c>
      <c r="C15" s="340" t="s">
        <v>365</v>
      </c>
      <c r="D15" s="495">
        <v>0.51048951048951052</v>
      </c>
      <c r="H15" s="591" t="s">
        <v>26</v>
      </c>
      <c r="I15" s="592">
        <v>15</v>
      </c>
      <c r="J15" s="593">
        <v>0</v>
      </c>
      <c r="K15" s="482">
        <v>0</v>
      </c>
      <c r="L15" s="478">
        <v>0</v>
      </c>
      <c r="M15" s="485">
        <v>0</v>
      </c>
    </row>
    <row r="16" spans="1:13" x14ac:dyDescent="0.25">
      <c r="A16" s="339"/>
      <c r="B16" s="340" t="s">
        <v>864</v>
      </c>
      <c r="C16" s="340" t="s">
        <v>865</v>
      </c>
      <c r="D16" s="496">
        <v>0</v>
      </c>
      <c r="H16" s="594" t="s">
        <v>8</v>
      </c>
      <c r="I16" s="595">
        <v>14</v>
      </c>
      <c r="J16" s="596">
        <v>0</v>
      </c>
      <c r="K16" s="483">
        <v>0</v>
      </c>
      <c r="L16" s="479">
        <v>0</v>
      </c>
      <c r="M16" s="486">
        <v>0</v>
      </c>
    </row>
    <row r="17" spans="1:13" x14ac:dyDescent="0.25">
      <c r="A17" s="340"/>
      <c r="B17" s="395" t="s">
        <v>29</v>
      </c>
      <c r="C17" s="395" t="s">
        <v>364</v>
      </c>
      <c r="D17" s="342">
        <v>0</v>
      </c>
      <c r="H17" s="597" t="s">
        <v>27</v>
      </c>
      <c r="I17" s="595"/>
      <c r="J17" s="596"/>
      <c r="K17" s="483"/>
      <c r="L17" s="479"/>
      <c r="M17" s="486"/>
    </row>
    <row r="18" spans="1:13" x14ac:dyDescent="0.25">
      <c r="A18" s="339" t="s">
        <v>528</v>
      </c>
      <c r="B18" s="339" t="s">
        <v>1009</v>
      </c>
      <c r="C18" s="339" t="s">
        <v>901</v>
      </c>
      <c r="D18" s="495">
        <v>0</v>
      </c>
      <c r="H18" s="601" t="s">
        <v>27</v>
      </c>
      <c r="I18" s="595">
        <v>494</v>
      </c>
      <c r="J18" s="596">
        <v>314</v>
      </c>
      <c r="K18" s="483">
        <v>314</v>
      </c>
      <c r="L18" s="479">
        <v>0.63562753036437247</v>
      </c>
      <c r="M18" s="486">
        <v>0.63562753036437247</v>
      </c>
    </row>
    <row r="19" spans="1:13" x14ac:dyDescent="0.25">
      <c r="A19" s="339"/>
      <c r="B19" s="339"/>
      <c r="C19" s="340" t="s">
        <v>860</v>
      </c>
      <c r="D19" s="495">
        <v>0</v>
      </c>
      <c r="H19" s="598" t="s">
        <v>364</v>
      </c>
      <c r="I19" s="592">
        <v>152</v>
      </c>
      <c r="J19" s="593">
        <v>152</v>
      </c>
      <c r="K19" s="482">
        <v>152</v>
      </c>
      <c r="L19" s="478">
        <v>1</v>
      </c>
      <c r="M19" s="485">
        <v>1</v>
      </c>
    </row>
    <row r="20" spans="1:13" x14ac:dyDescent="0.25">
      <c r="A20" s="339"/>
      <c r="B20" s="339" t="s">
        <v>99</v>
      </c>
      <c r="C20" s="340" t="s">
        <v>100</v>
      </c>
      <c r="D20" s="495">
        <v>2</v>
      </c>
      <c r="H20" s="599" t="s">
        <v>365</v>
      </c>
      <c r="I20" s="592">
        <v>143</v>
      </c>
      <c r="J20" s="593">
        <v>70</v>
      </c>
      <c r="K20" s="482">
        <v>70</v>
      </c>
      <c r="L20" s="478">
        <v>0.48951048951048953</v>
      </c>
      <c r="M20" s="485">
        <v>0.48951048951048953</v>
      </c>
    </row>
    <row r="21" spans="1:13" x14ac:dyDescent="0.25">
      <c r="A21" s="339"/>
      <c r="B21" s="339" t="s">
        <v>107</v>
      </c>
      <c r="C21" s="340" t="s">
        <v>108</v>
      </c>
      <c r="D21" s="495">
        <v>1.0576923076923077</v>
      </c>
      <c r="H21" s="599" t="s">
        <v>865</v>
      </c>
      <c r="I21" s="592">
        <v>60</v>
      </c>
      <c r="J21" s="593">
        <v>60</v>
      </c>
      <c r="K21" s="482">
        <v>60</v>
      </c>
      <c r="L21" s="478">
        <v>1</v>
      </c>
      <c r="M21" s="485">
        <v>1</v>
      </c>
    </row>
    <row r="22" spans="1:13" x14ac:dyDescent="0.25">
      <c r="A22" s="339"/>
      <c r="B22" s="339" t="s">
        <v>139</v>
      </c>
      <c r="C22" s="340" t="s">
        <v>140</v>
      </c>
      <c r="D22" s="495">
        <v>0.83333333333333337</v>
      </c>
      <c r="H22" s="599" t="s">
        <v>1021</v>
      </c>
      <c r="I22" s="592">
        <v>30</v>
      </c>
      <c r="J22" s="593">
        <v>30</v>
      </c>
      <c r="K22" s="482">
        <v>30</v>
      </c>
      <c r="L22" s="478">
        <v>1</v>
      </c>
      <c r="M22" s="485">
        <v>1</v>
      </c>
    </row>
    <row r="23" spans="1:13" x14ac:dyDescent="0.25">
      <c r="A23" s="339"/>
      <c r="B23" s="339" t="s">
        <v>71</v>
      </c>
      <c r="C23" s="340" t="s">
        <v>72</v>
      </c>
      <c r="D23" s="495">
        <v>1</v>
      </c>
      <c r="H23" s="600" t="s">
        <v>28</v>
      </c>
      <c r="I23" s="595">
        <v>109</v>
      </c>
      <c r="J23" s="596">
        <v>2</v>
      </c>
      <c r="K23" s="483">
        <v>2</v>
      </c>
      <c r="L23" s="479">
        <v>1.834862385321101E-2</v>
      </c>
      <c r="M23" s="486">
        <v>1.834862385321101E-2</v>
      </c>
    </row>
    <row r="24" spans="1:13" x14ac:dyDescent="0.25">
      <c r="A24" s="339"/>
      <c r="B24" s="339" t="s">
        <v>51</v>
      </c>
      <c r="C24" s="340" t="s">
        <v>52</v>
      </c>
      <c r="D24" s="495">
        <v>0.5714285714285714</v>
      </c>
      <c r="H24" s="597" t="s">
        <v>528</v>
      </c>
      <c r="I24" s="595"/>
      <c r="J24" s="596"/>
      <c r="K24" s="483"/>
      <c r="L24" s="479"/>
      <c r="M24" s="486"/>
    </row>
    <row r="25" spans="1:13" x14ac:dyDescent="0.25">
      <c r="A25" s="339"/>
      <c r="B25" s="339" t="s">
        <v>75</v>
      </c>
      <c r="C25" s="340" t="s">
        <v>76</v>
      </c>
      <c r="D25" s="495">
        <v>1.1363636363636365</v>
      </c>
      <c r="H25" s="601" t="s">
        <v>528</v>
      </c>
      <c r="I25" s="595">
        <v>694</v>
      </c>
      <c r="J25" s="596">
        <v>290</v>
      </c>
      <c r="K25" s="483">
        <v>290</v>
      </c>
      <c r="L25" s="479">
        <v>0.41786743515850144</v>
      </c>
      <c r="M25" s="486">
        <v>0.41786743515850144</v>
      </c>
    </row>
    <row r="26" spans="1:13" x14ac:dyDescent="0.25">
      <c r="A26" s="339"/>
      <c r="B26" s="339" t="s">
        <v>40</v>
      </c>
      <c r="C26" s="340" t="s">
        <v>41</v>
      </c>
      <c r="D26" s="495">
        <v>0.89552238805970152</v>
      </c>
      <c r="H26" s="599" t="s">
        <v>1067</v>
      </c>
      <c r="I26" s="592">
        <v>105</v>
      </c>
      <c r="J26" s="593">
        <v>105</v>
      </c>
      <c r="K26" s="482">
        <v>105</v>
      </c>
      <c r="L26" s="478">
        <v>1</v>
      </c>
      <c r="M26" s="485">
        <v>1</v>
      </c>
    </row>
    <row r="27" spans="1:13" x14ac:dyDescent="0.25">
      <c r="A27" s="339"/>
      <c r="B27" s="339" t="s">
        <v>61</v>
      </c>
      <c r="C27" s="340" t="s">
        <v>62</v>
      </c>
      <c r="D27" s="495">
        <v>0.27397260273972601</v>
      </c>
      <c r="H27" s="599" t="s">
        <v>120</v>
      </c>
      <c r="I27" s="592">
        <v>77</v>
      </c>
      <c r="J27" s="593">
        <v>65</v>
      </c>
      <c r="K27" s="482">
        <v>65</v>
      </c>
      <c r="L27" s="478">
        <v>0.8441558441558441</v>
      </c>
      <c r="M27" s="485">
        <v>0.8441558441558441</v>
      </c>
    </row>
    <row r="28" spans="1:13" x14ac:dyDescent="0.25">
      <c r="A28" s="339"/>
      <c r="B28" s="339" t="s">
        <v>89</v>
      </c>
      <c r="C28" s="340" t="s">
        <v>90</v>
      </c>
      <c r="D28" s="495">
        <v>1</v>
      </c>
      <c r="H28" s="599" t="s">
        <v>62</v>
      </c>
      <c r="I28" s="592">
        <v>73</v>
      </c>
      <c r="J28" s="593">
        <v>53</v>
      </c>
      <c r="K28" s="482">
        <v>53</v>
      </c>
      <c r="L28" s="478">
        <v>0.72602739726027399</v>
      </c>
      <c r="M28" s="485">
        <v>0.72602739726027399</v>
      </c>
    </row>
    <row r="29" spans="1:13" x14ac:dyDescent="0.25">
      <c r="A29" s="339"/>
      <c r="B29" s="339" t="s">
        <v>117</v>
      </c>
      <c r="C29" s="340" t="s">
        <v>118</v>
      </c>
      <c r="D29" s="495">
        <v>1</v>
      </c>
      <c r="H29" s="598" t="s">
        <v>126</v>
      </c>
      <c r="I29" s="592">
        <v>35</v>
      </c>
      <c r="J29" s="593">
        <v>20</v>
      </c>
      <c r="K29" s="482">
        <v>20</v>
      </c>
      <c r="L29" s="478">
        <v>0.5714285714285714</v>
      </c>
      <c r="M29" s="485">
        <v>0.5714285714285714</v>
      </c>
    </row>
    <row r="30" spans="1:13" x14ac:dyDescent="0.25">
      <c r="A30" s="339"/>
      <c r="B30" s="339" t="s">
        <v>123</v>
      </c>
      <c r="C30" s="340" t="s">
        <v>124</v>
      </c>
      <c r="D30" s="495">
        <v>0.625</v>
      </c>
      <c r="H30" s="599" t="s">
        <v>52</v>
      </c>
      <c r="I30" s="592">
        <v>35</v>
      </c>
      <c r="J30" s="593">
        <v>15</v>
      </c>
      <c r="K30" s="482">
        <v>15</v>
      </c>
      <c r="L30" s="478">
        <v>0.42857142857142855</v>
      </c>
      <c r="M30" s="485">
        <v>0.42857142857142855</v>
      </c>
    </row>
    <row r="31" spans="1:13" x14ac:dyDescent="0.25">
      <c r="A31" s="339"/>
      <c r="B31" s="339" t="s">
        <v>125</v>
      </c>
      <c r="C31" s="340" t="s">
        <v>126</v>
      </c>
      <c r="D31" s="495">
        <v>0.42857142857142855</v>
      </c>
      <c r="H31" s="599" t="s">
        <v>88</v>
      </c>
      <c r="I31" s="592">
        <v>14</v>
      </c>
      <c r="J31" s="593">
        <v>14</v>
      </c>
      <c r="K31" s="482">
        <v>14</v>
      </c>
      <c r="L31" s="478">
        <v>1</v>
      </c>
      <c r="M31" s="485">
        <v>1</v>
      </c>
    </row>
    <row r="32" spans="1:13" x14ac:dyDescent="0.25">
      <c r="A32" s="339"/>
      <c r="B32" s="339" t="s">
        <v>45</v>
      </c>
      <c r="C32" s="340" t="s">
        <v>44</v>
      </c>
      <c r="D32" s="495">
        <v>1.875</v>
      </c>
      <c r="H32" s="599" t="s">
        <v>41</v>
      </c>
      <c r="I32" s="592">
        <v>67</v>
      </c>
      <c r="J32" s="593">
        <v>7</v>
      </c>
      <c r="K32" s="482">
        <v>7</v>
      </c>
      <c r="L32" s="478">
        <v>0.1044776119402985</v>
      </c>
      <c r="M32" s="485">
        <v>0.1044776119402985</v>
      </c>
    </row>
    <row r="33" spans="1:13" x14ac:dyDescent="0.25">
      <c r="A33" s="339"/>
      <c r="B33" s="339" t="s">
        <v>46</v>
      </c>
      <c r="C33" s="340" t="s">
        <v>612</v>
      </c>
      <c r="D33" s="495">
        <v>0.88235294117647056</v>
      </c>
      <c r="H33" s="599" t="s">
        <v>43</v>
      </c>
      <c r="I33" s="592">
        <v>14</v>
      </c>
      <c r="J33" s="593">
        <v>4</v>
      </c>
      <c r="K33" s="482">
        <v>4</v>
      </c>
      <c r="L33" s="478">
        <v>0.2857142857142857</v>
      </c>
      <c r="M33" s="485">
        <v>0.2857142857142857</v>
      </c>
    </row>
    <row r="34" spans="1:13" x14ac:dyDescent="0.25">
      <c r="A34" s="339"/>
      <c r="B34" s="339" t="s">
        <v>42</v>
      </c>
      <c r="C34" s="340" t="s">
        <v>43</v>
      </c>
      <c r="D34" s="495">
        <v>0.7142857142857143</v>
      </c>
      <c r="H34" s="599" t="s">
        <v>124</v>
      </c>
      <c r="I34" s="592">
        <v>8</v>
      </c>
      <c r="J34" s="593">
        <v>3</v>
      </c>
      <c r="K34" s="482">
        <v>3</v>
      </c>
      <c r="L34" s="478">
        <v>0.375</v>
      </c>
      <c r="M34" s="485">
        <v>0.375</v>
      </c>
    </row>
    <row r="35" spans="1:13" x14ac:dyDescent="0.25">
      <c r="A35" s="339"/>
      <c r="B35" s="340" t="s">
        <v>91</v>
      </c>
      <c r="C35" s="340" t="s">
        <v>92</v>
      </c>
      <c r="D35" s="496">
        <v>1</v>
      </c>
      <c r="H35" s="599" t="s">
        <v>140</v>
      </c>
      <c r="I35" s="592">
        <v>12</v>
      </c>
      <c r="J35" s="593">
        <v>2</v>
      </c>
      <c r="K35" s="482">
        <v>2</v>
      </c>
      <c r="L35" s="478">
        <v>0.16666666666666666</v>
      </c>
      <c r="M35" s="485">
        <v>0.16666666666666666</v>
      </c>
    </row>
    <row r="36" spans="1:13" x14ac:dyDescent="0.25">
      <c r="A36" s="339"/>
      <c r="B36" s="395" t="s">
        <v>1123</v>
      </c>
      <c r="C36" s="395" t="s">
        <v>1122</v>
      </c>
      <c r="D36" s="342">
        <v>1</v>
      </c>
      <c r="H36" s="599" t="s">
        <v>612</v>
      </c>
      <c r="I36" s="592">
        <v>17</v>
      </c>
      <c r="J36" s="593">
        <v>2</v>
      </c>
      <c r="K36" s="482">
        <v>2</v>
      </c>
      <c r="L36" s="478">
        <v>0.11764705882352941</v>
      </c>
      <c r="M36" s="485">
        <v>0.11764705882352941</v>
      </c>
    </row>
    <row r="37" spans="1:13" x14ac:dyDescent="0.25">
      <c r="A37" s="340"/>
      <c r="B37" s="395" t="s">
        <v>119</v>
      </c>
      <c r="C37" s="395" t="s">
        <v>120</v>
      </c>
      <c r="D37" s="342">
        <v>0.15584415584415584</v>
      </c>
      <c r="H37" s="599" t="s">
        <v>100</v>
      </c>
      <c r="I37" s="592">
        <v>5</v>
      </c>
      <c r="J37" s="593">
        <v>0</v>
      </c>
      <c r="K37" s="482">
        <v>0</v>
      </c>
      <c r="L37" s="478">
        <v>0</v>
      </c>
      <c r="M37" s="485">
        <v>0</v>
      </c>
    </row>
    <row r="38" spans="1:13" x14ac:dyDescent="0.25">
      <c r="A38" s="339" t="s">
        <v>146</v>
      </c>
      <c r="B38" s="339" t="s">
        <v>148</v>
      </c>
      <c r="C38" s="340" t="s">
        <v>149</v>
      </c>
      <c r="D38" s="495">
        <v>0.41935483870967738</v>
      </c>
      <c r="H38" s="599" t="s">
        <v>44</v>
      </c>
      <c r="I38" s="592">
        <v>8</v>
      </c>
      <c r="J38" s="593">
        <v>0</v>
      </c>
      <c r="K38" s="482">
        <v>0</v>
      </c>
      <c r="L38" s="478">
        <v>0</v>
      </c>
      <c r="M38" s="485">
        <v>0</v>
      </c>
    </row>
    <row r="39" spans="1:13" x14ac:dyDescent="0.25">
      <c r="A39" s="339"/>
      <c r="B39" s="339" t="s">
        <v>383</v>
      </c>
      <c r="C39" s="340" t="s">
        <v>369</v>
      </c>
      <c r="D39" s="495">
        <v>1.2698412698412698</v>
      </c>
      <c r="H39" s="599" t="s">
        <v>108</v>
      </c>
      <c r="I39" s="592">
        <v>52</v>
      </c>
      <c r="J39" s="593">
        <v>0</v>
      </c>
      <c r="K39" s="482">
        <v>0</v>
      </c>
      <c r="L39" s="478">
        <v>0</v>
      </c>
      <c r="M39" s="485">
        <v>0</v>
      </c>
    </row>
    <row r="40" spans="1:13" x14ac:dyDescent="0.25">
      <c r="A40" s="339"/>
      <c r="B40" s="339" t="s">
        <v>384</v>
      </c>
      <c r="C40" s="340" t="s">
        <v>370</v>
      </c>
      <c r="D40" s="495">
        <v>1.6</v>
      </c>
      <c r="H40" s="599" t="s">
        <v>118</v>
      </c>
      <c r="I40" s="592">
        <v>10</v>
      </c>
      <c r="J40" s="593">
        <v>0</v>
      </c>
      <c r="K40" s="482">
        <v>0</v>
      </c>
      <c r="L40" s="478">
        <v>0</v>
      </c>
      <c r="M40" s="485">
        <v>0</v>
      </c>
    </row>
    <row r="41" spans="1:13" x14ac:dyDescent="0.25">
      <c r="A41" s="339"/>
      <c r="B41" s="339" t="s">
        <v>382</v>
      </c>
      <c r="C41" s="340" t="s">
        <v>372</v>
      </c>
      <c r="D41" s="495">
        <v>1.375</v>
      </c>
      <c r="H41" s="599" t="s">
        <v>76</v>
      </c>
      <c r="I41" s="592">
        <v>66</v>
      </c>
      <c r="J41" s="593">
        <v>0</v>
      </c>
      <c r="K41" s="482">
        <v>0</v>
      </c>
      <c r="L41" s="478">
        <v>0</v>
      </c>
      <c r="M41" s="485">
        <v>0</v>
      </c>
    </row>
    <row r="42" spans="1:13" x14ac:dyDescent="0.25">
      <c r="A42" s="339"/>
      <c r="B42" s="339" t="s">
        <v>385</v>
      </c>
      <c r="C42" s="340" t="s">
        <v>368</v>
      </c>
      <c r="D42" s="495">
        <v>0.91304347826086951</v>
      </c>
      <c r="H42" s="599" t="s">
        <v>90</v>
      </c>
      <c r="I42" s="592">
        <v>25</v>
      </c>
      <c r="J42" s="593">
        <v>0</v>
      </c>
      <c r="K42" s="482">
        <v>0</v>
      </c>
      <c r="L42" s="478">
        <v>0</v>
      </c>
      <c r="M42" s="485">
        <v>0</v>
      </c>
    </row>
    <row r="43" spans="1:13" x14ac:dyDescent="0.25">
      <c r="A43" s="339"/>
      <c r="B43" s="339" t="s">
        <v>387</v>
      </c>
      <c r="C43" s="340" t="s">
        <v>373</v>
      </c>
      <c r="D43" s="495">
        <v>0.5</v>
      </c>
      <c r="H43" s="599" t="s">
        <v>72</v>
      </c>
      <c r="I43" s="592">
        <v>6</v>
      </c>
      <c r="J43" s="593">
        <v>0</v>
      </c>
      <c r="K43" s="482">
        <v>0</v>
      </c>
      <c r="L43" s="478">
        <v>0</v>
      </c>
      <c r="M43" s="485">
        <v>0</v>
      </c>
    </row>
    <row r="44" spans="1:13" x14ac:dyDescent="0.25">
      <c r="A44" s="340"/>
      <c r="B44" s="340" t="s">
        <v>147</v>
      </c>
      <c r="C44" s="340" t="s">
        <v>371</v>
      </c>
      <c r="D44" s="496">
        <v>8.0645161290322578E-2</v>
      </c>
      <c r="H44" s="599" t="s">
        <v>92</v>
      </c>
      <c r="I44" s="592">
        <v>15</v>
      </c>
      <c r="J44" s="593">
        <v>0</v>
      </c>
      <c r="K44" s="482">
        <v>0</v>
      </c>
      <c r="L44" s="478">
        <v>0</v>
      </c>
      <c r="M44" s="485">
        <v>0</v>
      </c>
    </row>
    <row r="45" spans="1:13" x14ac:dyDescent="0.25">
      <c r="A45" s="339" t="s">
        <v>151</v>
      </c>
      <c r="B45" s="339" t="s">
        <v>150</v>
      </c>
      <c r="C45" s="340" t="s">
        <v>152</v>
      </c>
      <c r="D45" s="495">
        <v>0.53571428571428581</v>
      </c>
      <c r="H45" s="600" t="s">
        <v>1122</v>
      </c>
      <c r="I45" s="595">
        <v>50</v>
      </c>
      <c r="J45" s="596">
        <v>0</v>
      </c>
      <c r="K45" s="483">
        <v>0</v>
      </c>
      <c r="L45" s="479">
        <v>0</v>
      </c>
      <c r="M45" s="486">
        <v>0</v>
      </c>
    </row>
    <row r="46" spans="1:13" x14ac:dyDescent="0.25">
      <c r="A46" s="339"/>
      <c r="B46" s="339" t="s">
        <v>197</v>
      </c>
      <c r="C46" s="340" t="s">
        <v>198</v>
      </c>
      <c r="D46" s="495">
        <v>0.9064220183486239</v>
      </c>
      <c r="H46" s="597" t="s">
        <v>780</v>
      </c>
      <c r="I46" s="595"/>
      <c r="J46" s="596"/>
      <c r="K46" s="483"/>
      <c r="L46" s="479"/>
      <c r="M46" s="486"/>
    </row>
    <row r="47" spans="1:13" x14ac:dyDescent="0.25">
      <c r="A47" s="339"/>
      <c r="B47" s="339" t="s">
        <v>153</v>
      </c>
      <c r="C47" s="340" t="s">
        <v>154</v>
      </c>
      <c r="D47" s="495">
        <v>0.4366812227074236</v>
      </c>
      <c r="H47" s="601" t="s">
        <v>780</v>
      </c>
      <c r="I47" s="595">
        <v>58</v>
      </c>
      <c r="J47" s="596">
        <v>23</v>
      </c>
      <c r="K47" s="483">
        <v>23</v>
      </c>
      <c r="L47" s="479">
        <v>0.39655172413793105</v>
      </c>
      <c r="M47" s="486">
        <v>0.39655172413793105</v>
      </c>
    </row>
    <row r="48" spans="1:13" x14ac:dyDescent="0.25">
      <c r="A48" s="339"/>
      <c r="B48" s="339" t="s">
        <v>159</v>
      </c>
      <c r="C48" s="340" t="s">
        <v>160</v>
      </c>
      <c r="D48" s="495">
        <v>0.69158878504672894</v>
      </c>
      <c r="H48" s="599" t="s">
        <v>1552</v>
      </c>
      <c r="I48" s="592">
        <v>20</v>
      </c>
      <c r="J48" s="593">
        <v>20</v>
      </c>
      <c r="K48" s="482">
        <v>20</v>
      </c>
      <c r="L48" s="478">
        <v>1</v>
      </c>
      <c r="M48" s="485">
        <v>1</v>
      </c>
    </row>
    <row r="49" spans="1:13" x14ac:dyDescent="0.25">
      <c r="A49" s="339"/>
      <c r="B49" s="339" t="s">
        <v>887</v>
      </c>
      <c r="C49" s="340" t="s">
        <v>886</v>
      </c>
      <c r="D49" s="495">
        <v>0.79230769230769238</v>
      </c>
      <c r="H49" s="600" t="s">
        <v>1278</v>
      </c>
      <c r="I49" s="595">
        <v>38</v>
      </c>
      <c r="J49" s="596">
        <v>3</v>
      </c>
      <c r="K49" s="483">
        <v>3</v>
      </c>
      <c r="L49" s="479">
        <v>7.8947368421052627E-2</v>
      </c>
      <c r="M49" s="486">
        <v>7.8947368421052627E-2</v>
      </c>
    </row>
    <row r="50" spans="1:13" x14ac:dyDescent="0.25">
      <c r="A50" s="339"/>
      <c r="B50" s="339" t="s">
        <v>187</v>
      </c>
      <c r="C50" s="340" t="s">
        <v>188</v>
      </c>
      <c r="D50" s="495">
        <v>0.77551020408163263</v>
      </c>
      <c r="H50" s="597" t="s">
        <v>1184</v>
      </c>
      <c r="I50" s="595"/>
      <c r="J50" s="596"/>
      <c r="K50" s="483"/>
      <c r="L50" s="479"/>
      <c r="M50" s="486"/>
    </row>
    <row r="51" spans="1:13" x14ac:dyDescent="0.25">
      <c r="A51" s="339"/>
      <c r="B51" s="339" t="s">
        <v>943</v>
      </c>
      <c r="C51" s="340" t="s">
        <v>944</v>
      </c>
      <c r="D51" s="495">
        <v>0.4065040650406504</v>
      </c>
      <c r="H51" s="601" t="s">
        <v>809</v>
      </c>
      <c r="I51" s="595">
        <v>166</v>
      </c>
      <c r="J51" s="596">
        <v>166</v>
      </c>
      <c r="K51" s="483">
        <v>166</v>
      </c>
      <c r="L51" s="479">
        <v>1</v>
      </c>
      <c r="M51" s="486">
        <v>1</v>
      </c>
    </row>
    <row r="52" spans="1:13" x14ac:dyDescent="0.25">
      <c r="A52" s="340"/>
      <c r="B52" s="340" t="s">
        <v>1037</v>
      </c>
      <c r="C52" s="340" t="s">
        <v>1036</v>
      </c>
      <c r="D52" s="496">
        <v>0.54794520547945202</v>
      </c>
      <c r="H52" s="599" t="s">
        <v>1301</v>
      </c>
      <c r="I52" s="592">
        <v>161</v>
      </c>
      <c r="J52" s="593">
        <v>161</v>
      </c>
      <c r="K52" s="482">
        <v>161</v>
      </c>
      <c r="L52" s="478">
        <v>1</v>
      </c>
      <c r="M52" s="485">
        <v>1</v>
      </c>
    </row>
    <row r="53" spans="1:13" x14ac:dyDescent="0.25">
      <c r="A53" s="339" t="s">
        <v>166</v>
      </c>
      <c r="B53" s="339" t="s">
        <v>165</v>
      </c>
      <c r="C53" s="340" t="s">
        <v>167</v>
      </c>
      <c r="D53" s="495">
        <v>1.0810810810810811</v>
      </c>
      <c r="H53" s="599" t="s">
        <v>809</v>
      </c>
      <c r="I53" s="595">
        <v>5</v>
      </c>
      <c r="J53" s="596">
        <v>5</v>
      </c>
      <c r="K53" s="483">
        <v>5</v>
      </c>
      <c r="L53" s="479">
        <v>1</v>
      </c>
      <c r="M53" s="486">
        <v>1</v>
      </c>
    </row>
    <row r="54" spans="1:13" x14ac:dyDescent="0.25">
      <c r="A54" s="339"/>
      <c r="B54" s="339" t="s">
        <v>168</v>
      </c>
      <c r="C54" s="340" t="s">
        <v>169</v>
      </c>
      <c r="D54" s="495">
        <v>0.3125</v>
      </c>
      <c r="H54" s="599" t="s">
        <v>1304</v>
      </c>
      <c r="I54" s="592"/>
      <c r="J54" s="593">
        <v>0</v>
      </c>
      <c r="K54" s="482">
        <v>0</v>
      </c>
      <c r="L54" s="478" t="e">
        <v>#DIV/0!</v>
      </c>
      <c r="M54" s="485" t="e">
        <v>#DIV/0!</v>
      </c>
    </row>
    <row r="55" spans="1:13" x14ac:dyDescent="0.25">
      <c r="A55" s="340"/>
      <c r="B55" s="340" t="s">
        <v>824</v>
      </c>
      <c r="C55" s="340" t="s">
        <v>823</v>
      </c>
      <c r="D55" s="496">
        <v>1.0344827586206897</v>
      </c>
      <c r="H55" s="601" t="s">
        <v>302</v>
      </c>
      <c r="I55" s="595">
        <v>127</v>
      </c>
      <c r="J55" s="596">
        <v>44</v>
      </c>
      <c r="K55" s="483">
        <v>44</v>
      </c>
      <c r="L55" s="479">
        <v>0.34645669291338582</v>
      </c>
      <c r="M55" s="486">
        <v>0.34645669291338582</v>
      </c>
    </row>
    <row r="56" spans="1:13" x14ac:dyDescent="0.25">
      <c r="A56" s="339" t="s">
        <v>173</v>
      </c>
      <c r="B56" s="339" t="s">
        <v>175</v>
      </c>
      <c r="C56" s="340" t="s">
        <v>176</v>
      </c>
      <c r="D56" s="495">
        <v>0.625</v>
      </c>
      <c r="H56" s="599" t="s">
        <v>306</v>
      </c>
      <c r="I56" s="592">
        <v>86</v>
      </c>
      <c r="J56" s="593">
        <v>44</v>
      </c>
      <c r="K56" s="482">
        <v>44</v>
      </c>
      <c r="L56" s="478">
        <v>0.51162790697674421</v>
      </c>
      <c r="M56" s="485">
        <v>0.51162790697674421</v>
      </c>
    </row>
    <row r="57" spans="1:13" x14ac:dyDescent="0.25">
      <c r="A57" s="339"/>
      <c r="B57" s="339" t="s">
        <v>172</v>
      </c>
      <c r="C57" s="340" t="s">
        <v>174</v>
      </c>
      <c r="D57" s="495">
        <v>1.1538461538461537</v>
      </c>
      <c r="H57" s="599" t="s">
        <v>308</v>
      </c>
      <c r="I57" s="595">
        <v>41</v>
      </c>
      <c r="J57" s="596">
        <v>0</v>
      </c>
      <c r="K57" s="483">
        <v>0</v>
      </c>
      <c r="L57" s="479">
        <v>0</v>
      </c>
      <c r="M57" s="486">
        <v>0</v>
      </c>
    </row>
    <row r="58" spans="1:13" x14ac:dyDescent="0.25">
      <c r="A58" s="339"/>
      <c r="B58" s="340" t="s">
        <v>177</v>
      </c>
      <c r="C58" s="340" t="s">
        <v>178</v>
      </c>
      <c r="D58" s="496">
        <v>1.25</v>
      </c>
      <c r="H58" s="601" t="s">
        <v>166</v>
      </c>
      <c r="I58" s="595">
        <v>102</v>
      </c>
      <c r="J58" s="596">
        <v>36</v>
      </c>
      <c r="K58" s="483">
        <v>36</v>
      </c>
      <c r="L58" s="479">
        <v>0.35294117647058826</v>
      </c>
      <c r="M58" s="486">
        <v>0.35294117647058826</v>
      </c>
    </row>
    <row r="59" spans="1:13" x14ac:dyDescent="0.25">
      <c r="A59" s="340"/>
      <c r="B59" s="395" t="s">
        <v>1273</v>
      </c>
      <c r="C59" s="395" t="s">
        <v>1280</v>
      </c>
      <c r="D59" s="342">
        <v>1.3333333333333333</v>
      </c>
      <c r="H59" s="599" t="s">
        <v>1549</v>
      </c>
      <c r="I59" s="592">
        <v>36</v>
      </c>
      <c r="J59" s="593">
        <v>36</v>
      </c>
      <c r="K59" s="482">
        <v>36</v>
      </c>
      <c r="L59" s="478">
        <v>1</v>
      </c>
      <c r="M59" s="485">
        <v>1</v>
      </c>
    </row>
    <row r="60" spans="1:13" x14ac:dyDescent="0.25">
      <c r="A60" s="339" t="s">
        <v>180</v>
      </c>
      <c r="B60" s="339" t="s">
        <v>179</v>
      </c>
      <c r="C60" s="340" t="s">
        <v>181</v>
      </c>
      <c r="D60" s="495">
        <v>1</v>
      </c>
      <c r="H60" s="599" t="s">
        <v>167</v>
      </c>
      <c r="I60" s="592">
        <v>37</v>
      </c>
      <c r="J60" s="593">
        <v>0</v>
      </c>
      <c r="K60" s="482">
        <v>0</v>
      </c>
      <c r="L60" s="478">
        <v>0</v>
      </c>
      <c r="M60" s="485">
        <v>0</v>
      </c>
    </row>
    <row r="61" spans="1:13" x14ac:dyDescent="0.25">
      <c r="A61" s="340"/>
      <c r="B61" s="340" t="s">
        <v>286</v>
      </c>
      <c r="C61" s="340" t="s">
        <v>287</v>
      </c>
      <c r="D61" s="496">
        <v>1.5789473684210527</v>
      </c>
      <c r="H61" s="599" t="s">
        <v>823</v>
      </c>
      <c r="I61" s="595">
        <v>29</v>
      </c>
      <c r="J61" s="596">
        <v>0</v>
      </c>
      <c r="K61" s="483">
        <v>0</v>
      </c>
      <c r="L61" s="479">
        <v>0</v>
      </c>
      <c r="M61" s="486">
        <v>0</v>
      </c>
    </row>
    <row r="62" spans="1:13" x14ac:dyDescent="0.25">
      <c r="A62" s="339" t="s">
        <v>185</v>
      </c>
      <c r="B62" s="339" t="s">
        <v>208</v>
      </c>
      <c r="C62" s="340" t="s">
        <v>209</v>
      </c>
      <c r="D62" s="495">
        <v>1.2212389380530975</v>
      </c>
      <c r="H62" s="601" t="s">
        <v>173</v>
      </c>
      <c r="I62" s="595">
        <v>78</v>
      </c>
      <c r="J62" s="596">
        <v>13</v>
      </c>
      <c r="K62" s="483">
        <v>13</v>
      </c>
      <c r="L62" s="479">
        <v>0.16666666666666666</v>
      </c>
      <c r="M62" s="486">
        <v>0.16666666666666666</v>
      </c>
    </row>
    <row r="63" spans="1:13" x14ac:dyDescent="0.25">
      <c r="A63" s="339"/>
      <c r="B63" s="339" t="s">
        <v>201</v>
      </c>
      <c r="C63" s="340" t="s">
        <v>202</v>
      </c>
      <c r="D63" s="495">
        <v>0.58620689655172409</v>
      </c>
      <c r="H63" s="599" t="s">
        <v>1271</v>
      </c>
      <c r="I63" s="592">
        <v>7</v>
      </c>
      <c r="J63" s="593">
        <v>7</v>
      </c>
      <c r="K63" s="482">
        <v>7</v>
      </c>
      <c r="L63" s="478">
        <v>1</v>
      </c>
      <c r="M63" s="485">
        <v>1</v>
      </c>
    </row>
    <row r="64" spans="1:13" x14ac:dyDescent="0.25">
      <c r="A64" s="339"/>
      <c r="B64" s="339" t="s">
        <v>222</v>
      </c>
      <c r="C64" s="340" t="s">
        <v>223</v>
      </c>
      <c r="D64" s="495">
        <v>0.54032258064516125</v>
      </c>
      <c r="H64" s="599" t="s">
        <v>176</v>
      </c>
      <c r="I64" s="595">
        <v>16</v>
      </c>
      <c r="J64" s="596">
        <v>6</v>
      </c>
      <c r="K64" s="483">
        <v>6</v>
      </c>
      <c r="L64" s="479">
        <v>0.375</v>
      </c>
      <c r="M64" s="486">
        <v>0.375</v>
      </c>
    </row>
    <row r="65" spans="1:13" x14ac:dyDescent="0.25">
      <c r="A65" s="339"/>
      <c r="B65" s="339" t="s">
        <v>189</v>
      </c>
      <c r="C65" s="340" t="s">
        <v>190</v>
      </c>
      <c r="D65" s="495">
        <v>0.43157894736842106</v>
      </c>
      <c r="H65" s="599" t="s">
        <v>1280</v>
      </c>
      <c r="I65" s="592">
        <v>30</v>
      </c>
      <c r="J65" s="593">
        <v>0</v>
      </c>
      <c r="K65" s="482">
        <v>0</v>
      </c>
      <c r="L65" s="478">
        <v>0</v>
      </c>
      <c r="M65" s="485">
        <v>0</v>
      </c>
    </row>
    <row r="66" spans="1:13" x14ac:dyDescent="0.25">
      <c r="A66" s="339"/>
      <c r="B66" s="339" t="s">
        <v>184</v>
      </c>
      <c r="C66" s="340" t="s">
        <v>186</v>
      </c>
      <c r="D66" s="495">
        <v>1.0833333333333333</v>
      </c>
      <c r="H66" s="599" t="s">
        <v>174</v>
      </c>
      <c r="I66" s="592">
        <v>13</v>
      </c>
      <c r="J66" s="593">
        <v>0</v>
      </c>
      <c r="K66" s="482">
        <v>0</v>
      </c>
      <c r="L66" s="478">
        <v>0</v>
      </c>
      <c r="M66" s="485">
        <v>0</v>
      </c>
    </row>
    <row r="67" spans="1:13" x14ac:dyDescent="0.25">
      <c r="A67" s="339"/>
      <c r="B67" s="339" t="s">
        <v>228</v>
      </c>
      <c r="C67" s="340" t="s">
        <v>229</v>
      </c>
      <c r="D67" s="495">
        <v>0.9</v>
      </c>
      <c r="H67" s="591" t="s">
        <v>178</v>
      </c>
      <c r="I67" s="595">
        <v>12</v>
      </c>
      <c r="J67" s="596">
        <v>0</v>
      </c>
      <c r="K67" s="483">
        <v>0</v>
      </c>
      <c r="L67" s="479">
        <v>0</v>
      </c>
      <c r="M67" s="486">
        <v>0</v>
      </c>
    </row>
    <row r="68" spans="1:13" x14ac:dyDescent="0.25">
      <c r="A68" s="339"/>
      <c r="B68" s="339" t="s">
        <v>224</v>
      </c>
      <c r="C68" s="340" t="s">
        <v>225</v>
      </c>
      <c r="D68" s="495">
        <v>1.0256410256410255</v>
      </c>
      <c r="H68" s="601" t="s">
        <v>230</v>
      </c>
      <c r="I68" s="595">
        <v>78</v>
      </c>
      <c r="J68" s="596">
        <v>8</v>
      </c>
      <c r="K68" s="483">
        <v>8</v>
      </c>
      <c r="L68" s="479">
        <v>0.10256410256410256</v>
      </c>
      <c r="M68" s="486">
        <v>0.10256410256410256</v>
      </c>
    </row>
    <row r="69" spans="1:13" x14ac:dyDescent="0.25">
      <c r="A69" s="339"/>
      <c r="B69" s="339" t="s">
        <v>195</v>
      </c>
      <c r="C69" s="340" t="s">
        <v>196</v>
      </c>
      <c r="D69" s="495">
        <v>0.7207478890229192</v>
      </c>
      <c r="H69" s="599" t="s">
        <v>1055</v>
      </c>
      <c r="I69" s="592">
        <v>52</v>
      </c>
      <c r="J69" s="593">
        <v>8</v>
      </c>
      <c r="K69" s="482">
        <v>8</v>
      </c>
      <c r="L69" s="478">
        <v>0.15384615384615385</v>
      </c>
      <c r="M69" s="485">
        <v>0.15384615384615385</v>
      </c>
    </row>
    <row r="70" spans="1:13" x14ac:dyDescent="0.25">
      <c r="A70" s="339"/>
      <c r="B70" s="339" t="s">
        <v>193</v>
      </c>
      <c r="C70" s="340" t="s">
        <v>194</v>
      </c>
      <c r="D70" s="495">
        <v>1.0231788079470199</v>
      </c>
      <c r="H70" s="600" t="s">
        <v>1065</v>
      </c>
      <c r="I70" s="595">
        <v>26</v>
      </c>
      <c r="J70" s="596">
        <v>0</v>
      </c>
      <c r="K70" s="483">
        <v>0</v>
      </c>
      <c r="L70" s="479">
        <v>0</v>
      </c>
      <c r="M70" s="486">
        <v>0</v>
      </c>
    </row>
    <row r="71" spans="1:13" x14ac:dyDescent="0.25">
      <c r="A71" s="339"/>
      <c r="B71" s="339" t="s">
        <v>191</v>
      </c>
      <c r="C71" s="340" t="s">
        <v>192</v>
      </c>
      <c r="D71" s="495">
        <v>1.7672413793103448</v>
      </c>
      <c r="H71" s="601" t="s">
        <v>300</v>
      </c>
      <c r="I71" s="595">
        <v>59</v>
      </c>
      <c r="J71" s="596">
        <v>0</v>
      </c>
      <c r="K71" s="483">
        <v>0</v>
      </c>
      <c r="L71" s="479">
        <v>0</v>
      </c>
      <c r="M71" s="486">
        <v>0</v>
      </c>
    </row>
    <row r="72" spans="1:13" x14ac:dyDescent="0.25">
      <c r="A72" s="339"/>
      <c r="B72" s="339" t="s">
        <v>218</v>
      </c>
      <c r="C72" s="340" t="s">
        <v>219</v>
      </c>
      <c r="D72" s="495">
        <v>1.0590841949778436</v>
      </c>
      <c r="H72" s="599" t="s">
        <v>1263</v>
      </c>
      <c r="I72" s="595">
        <v>59</v>
      </c>
      <c r="J72" s="596">
        <v>0</v>
      </c>
      <c r="K72" s="483">
        <v>0</v>
      </c>
      <c r="L72" s="479">
        <v>0</v>
      </c>
      <c r="M72" s="486">
        <v>0</v>
      </c>
    </row>
    <row r="73" spans="1:13" x14ac:dyDescent="0.25">
      <c r="A73" s="339"/>
      <c r="B73" s="339" t="s">
        <v>214</v>
      </c>
      <c r="C73" s="340" t="s">
        <v>215</v>
      </c>
      <c r="D73" s="495">
        <v>1.6533333333333333</v>
      </c>
      <c r="H73" s="601" t="s">
        <v>180</v>
      </c>
      <c r="I73" s="595">
        <v>31</v>
      </c>
      <c r="J73" s="596">
        <v>0</v>
      </c>
      <c r="K73" s="483">
        <v>0</v>
      </c>
      <c r="L73" s="479">
        <v>0</v>
      </c>
      <c r="M73" s="486">
        <v>0</v>
      </c>
    </row>
    <row r="74" spans="1:13" x14ac:dyDescent="0.25">
      <c r="A74" s="340"/>
      <c r="B74" s="340" t="s">
        <v>199</v>
      </c>
      <c r="C74" s="340" t="s">
        <v>200</v>
      </c>
      <c r="D74" s="496">
        <v>46</v>
      </c>
      <c r="H74" s="599" t="s">
        <v>181</v>
      </c>
      <c r="I74" s="592">
        <v>12</v>
      </c>
      <c r="J74" s="593">
        <v>0</v>
      </c>
      <c r="K74" s="482">
        <v>0</v>
      </c>
      <c r="L74" s="478">
        <v>0</v>
      </c>
      <c r="M74" s="485">
        <v>0</v>
      </c>
    </row>
    <row r="75" spans="1:13" x14ac:dyDescent="0.25">
      <c r="A75" s="339" t="s">
        <v>230</v>
      </c>
      <c r="B75" s="339" t="s">
        <v>234</v>
      </c>
      <c r="C75" s="340" t="s">
        <v>235</v>
      </c>
      <c r="D75" s="495">
        <v>8.1300813008130079E-2</v>
      </c>
      <c r="H75" s="599" t="s">
        <v>287</v>
      </c>
      <c r="I75" s="595">
        <v>19</v>
      </c>
      <c r="J75" s="596">
        <v>0</v>
      </c>
      <c r="K75" s="483">
        <v>0</v>
      </c>
      <c r="L75" s="479">
        <v>0</v>
      </c>
      <c r="M75" s="486">
        <v>0</v>
      </c>
    </row>
    <row r="76" spans="1:13" x14ac:dyDescent="0.25">
      <c r="A76" s="339"/>
      <c r="B76" s="339" t="s">
        <v>1056</v>
      </c>
      <c r="C76" s="340" t="s">
        <v>1055</v>
      </c>
      <c r="D76" s="495">
        <v>0.84615384615384615</v>
      </c>
      <c r="H76" s="601" t="s">
        <v>298</v>
      </c>
      <c r="I76" s="595">
        <v>28</v>
      </c>
      <c r="J76" s="596">
        <v>19</v>
      </c>
      <c r="K76" s="483">
        <v>19</v>
      </c>
      <c r="L76" s="479">
        <v>0.6785714285714286</v>
      </c>
      <c r="M76" s="486">
        <v>0.6785714285714286</v>
      </c>
    </row>
    <row r="77" spans="1:13" x14ac:dyDescent="0.25">
      <c r="A77" s="340"/>
      <c r="B77" s="340" t="s">
        <v>1066</v>
      </c>
      <c r="C77" s="340" t="s">
        <v>1065</v>
      </c>
      <c r="D77" s="496">
        <v>1.153846153846154</v>
      </c>
      <c r="H77" s="599" t="s">
        <v>1546</v>
      </c>
      <c r="I77" s="592">
        <v>19</v>
      </c>
      <c r="J77" s="593">
        <v>19</v>
      </c>
      <c r="K77" s="482">
        <v>19</v>
      </c>
      <c r="L77" s="478">
        <v>1</v>
      </c>
      <c r="M77" s="485">
        <v>1</v>
      </c>
    </row>
    <row r="78" spans="1:13" x14ac:dyDescent="0.25">
      <c r="A78" s="339" t="s">
        <v>237</v>
      </c>
      <c r="B78" s="339" t="s">
        <v>1009</v>
      </c>
      <c r="C78" s="339" t="s">
        <v>900</v>
      </c>
      <c r="D78" s="495">
        <v>0</v>
      </c>
      <c r="H78" s="599" t="s">
        <v>822</v>
      </c>
      <c r="I78" s="595">
        <v>9</v>
      </c>
      <c r="J78" s="596">
        <v>0</v>
      </c>
      <c r="K78" s="483">
        <v>0</v>
      </c>
      <c r="L78" s="479">
        <v>0</v>
      </c>
      <c r="M78" s="486">
        <v>0</v>
      </c>
    </row>
    <row r="79" spans="1:13" x14ac:dyDescent="0.25">
      <c r="A79" s="339"/>
      <c r="B79" s="339"/>
      <c r="C79" s="340" t="s">
        <v>860</v>
      </c>
      <c r="D79" s="495">
        <v>0</v>
      </c>
      <c r="H79" s="601" t="s">
        <v>144</v>
      </c>
      <c r="I79" s="595">
        <v>11</v>
      </c>
      <c r="J79" s="596">
        <v>11</v>
      </c>
      <c r="K79" s="483">
        <v>11</v>
      </c>
      <c r="L79" s="479">
        <v>1</v>
      </c>
      <c r="M79" s="486">
        <v>1</v>
      </c>
    </row>
    <row r="80" spans="1:13" x14ac:dyDescent="0.25">
      <c r="A80" s="339"/>
      <c r="B80" s="339" t="s">
        <v>236</v>
      </c>
      <c r="C80" s="340" t="s">
        <v>238</v>
      </c>
      <c r="D80" s="495">
        <v>0.89552238805970152</v>
      </c>
      <c r="H80" s="599" t="s">
        <v>145</v>
      </c>
      <c r="I80" s="595">
        <v>11</v>
      </c>
      <c r="J80" s="596">
        <v>11</v>
      </c>
      <c r="K80" s="483">
        <v>11</v>
      </c>
      <c r="L80" s="479">
        <v>1</v>
      </c>
      <c r="M80" s="486">
        <v>1</v>
      </c>
    </row>
    <row r="81" spans="1:13" x14ac:dyDescent="0.25">
      <c r="A81" s="339"/>
      <c r="B81" s="339" t="s">
        <v>268</v>
      </c>
      <c r="C81" s="340" t="s">
        <v>269</v>
      </c>
      <c r="D81" s="495">
        <v>0.8666666666666667</v>
      </c>
      <c r="H81" s="597" t="s">
        <v>146</v>
      </c>
      <c r="I81" s="595"/>
      <c r="J81" s="596"/>
      <c r="K81" s="483"/>
      <c r="L81" s="479"/>
      <c r="M81" s="486"/>
    </row>
    <row r="82" spans="1:13" x14ac:dyDescent="0.25">
      <c r="A82" s="339"/>
      <c r="B82" s="339" t="s">
        <v>250</v>
      </c>
      <c r="C82" s="340" t="s">
        <v>251</v>
      </c>
      <c r="D82" s="495">
        <v>0.625</v>
      </c>
      <c r="H82" s="601" t="s">
        <v>146</v>
      </c>
      <c r="I82" s="595">
        <v>1051</v>
      </c>
      <c r="J82" s="596">
        <v>675</v>
      </c>
      <c r="K82" s="483">
        <v>675</v>
      </c>
      <c r="L82" s="479">
        <v>0.64224548049476693</v>
      </c>
      <c r="M82" s="486">
        <v>0.64224548049476693</v>
      </c>
    </row>
    <row r="83" spans="1:13" x14ac:dyDescent="0.25">
      <c r="A83" s="339"/>
      <c r="B83" s="339" t="s">
        <v>248</v>
      </c>
      <c r="C83" s="340" t="s">
        <v>249</v>
      </c>
      <c r="D83" s="495">
        <v>2.5</v>
      </c>
      <c r="H83" s="599" t="s">
        <v>1538</v>
      </c>
      <c r="I83" s="592">
        <v>176</v>
      </c>
      <c r="J83" s="593">
        <v>176</v>
      </c>
      <c r="K83" s="482">
        <v>176</v>
      </c>
      <c r="L83" s="478">
        <v>1</v>
      </c>
      <c r="M83" s="485">
        <v>1</v>
      </c>
    </row>
    <row r="84" spans="1:13" x14ac:dyDescent="0.25">
      <c r="A84" s="339"/>
      <c r="B84" s="339" t="s">
        <v>274</v>
      </c>
      <c r="C84" s="340" t="s">
        <v>275</v>
      </c>
      <c r="D84" s="495">
        <v>0.7441860465116279</v>
      </c>
      <c r="H84" s="599" t="s">
        <v>1535</v>
      </c>
      <c r="I84" s="592">
        <v>142</v>
      </c>
      <c r="J84" s="593">
        <v>142</v>
      </c>
      <c r="K84" s="482">
        <v>142</v>
      </c>
      <c r="L84" s="478">
        <v>1</v>
      </c>
      <c r="M84" s="485">
        <v>1</v>
      </c>
    </row>
    <row r="85" spans="1:13" x14ac:dyDescent="0.25">
      <c r="A85" s="339"/>
      <c r="B85" s="339" t="s">
        <v>276</v>
      </c>
      <c r="C85" s="340" t="s">
        <v>277</v>
      </c>
      <c r="D85" s="495">
        <v>0.71111111111111103</v>
      </c>
      <c r="H85" s="599" t="s">
        <v>1319</v>
      </c>
      <c r="I85" s="592">
        <v>105</v>
      </c>
      <c r="J85" s="593">
        <v>105</v>
      </c>
      <c r="K85" s="482">
        <v>105</v>
      </c>
      <c r="L85" s="478">
        <v>1</v>
      </c>
      <c r="M85" s="485">
        <v>1</v>
      </c>
    </row>
    <row r="86" spans="1:13" x14ac:dyDescent="0.25">
      <c r="A86" s="339"/>
      <c r="B86" s="339" t="s">
        <v>260</v>
      </c>
      <c r="C86" s="340" t="s">
        <v>261</v>
      </c>
      <c r="D86" s="495">
        <v>0.80808080808080807</v>
      </c>
      <c r="H86" s="599" t="s">
        <v>373</v>
      </c>
      <c r="I86" s="592">
        <v>202</v>
      </c>
      <c r="J86" s="593">
        <v>101</v>
      </c>
      <c r="K86" s="482">
        <v>101</v>
      </c>
      <c r="L86" s="478">
        <v>0.5</v>
      </c>
      <c r="M86" s="485">
        <v>0.5</v>
      </c>
    </row>
    <row r="87" spans="1:13" x14ac:dyDescent="0.25">
      <c r="A87" s="339"/>
      <c r="B87" s="339" t="s">
        <v>280</v>
      </c>
      <c r="C87" s="340" t="s">
        <v>281</v>
      </c>
      <c r="D87" s="495">
        <v>0.5617977528089888</v>
      </c>
      <c r="H87" s="599" t="s">
        <v>371</v>
      </c>
      <c r="I87" s="592">
        <v>62</v>
      </c>
      <c r="J87" s="593">
        <v>57</v>
      </c>
      <c r="K87" s="482">
        <v>57</v>
      </c>
      <c r="L87" s="478">
        <v>0.91935483870967738</v>
      </c>
      <c r="M87" s="485">
        <v>0.91935483870967738</v>
      </c>
    </row>
    <row r="88" spans="1:13" x14ac:dyDescent="0.25">
      <c r="A88" s="339"/>
      <c r="B88" s="339" t="s">
        <v>244</v>
      </c>
      <c r="C88" s="340" t="s">
        <v>245</v>
      </c>
      <c r="D88" s="495">
        <v>1</v>
      </c>
      <c r="H88" s="600" t="s">
        <v>149</v>
      </c>
      <c r="I88" s="595">
        <v>62</v>
      </c>
      <c r="J88" s="596">
        <v>36</v>
      </c>
      <c r="K88" s="483">
        <v>36</v>
      </c>
      <c r="L88" s="479">
        <v>0.58064516129032262</v>
      </c>
      <c r="M88" s="486">
        <v>0.58064516129032262</v>
      </c>
    </row>
    <row r="89" spans="1:13" x14ac:dyDescent="0.25">
      <c r="A89" s="339"/>
      <c r="B89" s="339" t="s">
        <v>246</v>
      </c>
      <c r="C89" s="340" t="s">
        <v>247</v>
      </c>
      <c r="D89" s="495">
        <v>6.8181818181818177E-2</v>
      </c>
      <c r="H89" s="599" t="s">
        <v>1556</v>
      </c>
      <c r="I89" s="592">
        <v>30</v>
      </c>
      <c r="J89" s="593">
        <v>30</v>
      </c>
      <c r="K89" s="482">
        <v>30</v>
      </c>
      <c r="L89" s="478">
        <v>1</v>
      </c>
      <c r="M89" s="485">
        <v>1</v>
      </c>
    </row>
    <row r="90" spans="1:13" x14ac:dyDescent="0.25">
      <c r="A90" s="339"/>
      <c r="B90" s="339" t="s">
        <v>242</v>
      </c>
      <c r="C90" s="340" t="s">
        <v>243</v>
      </c>
      <c r="D90" s="495">
        <v>0.5</v>
      </c>
      <c r="H90" s="599" t="s">
        <v>1104</v>
      </c>
      <c r="I90" s="592">
        <v>22</v>
      </c>
      <c r="J90" s="593">
        <v>22</v>
      </c>
      <c r="K90" s="482">
        <v>22</v>
      </c>
      <c r="L90" s="478">
        <v>1</v>
      </c>
      <c r="M90" s="485">
        <v>1</v>
      </c>
    </row>
    <row r="91" spans="1:13" x14ac:dyDescent="0.25">
      <c r="A91" s="339"/>
      <c r="B91" s="339" t="s">
        <v>256</v>
      </c>
      <c r="C91" s="340" t="s">
        <v>257</v>
      </c>
      <c r="D91" s="495">
        <v>0.11363636363636363</v>
      </c>
      <c r="H91" s="599" t="s">
        <v>368</v>
      </c>
      <c r="I91" s="592">
        <v>69</v>
      </c>
      <c r="J91" s="593">
        <v>6</v>
      </c>
      <c r="K91" s="482">
        <v>6</v>
      </c>
      <c r="L91" s="478">
        <v>8.6956521739130432E-2</v>
      </c>
      <c r="M91" s="485">
        <v>8.6956521739130432E-2</v>
      </c>
    </row>
    <row r="92" spans="1:13" x14ac:dyDescent="0.25">
      <c r="A92" s="339"/>
      <c r="B92" s="339" t="s">
        <v>284</v>
      </c>
      <c r="C92" s="340" t="s">
        <v>285</v>
      </c>
      <c r="D92" s="495">
        <v>0.90579710144927539</v>
      </c>
      <c r="H92" s="599" t="s">
        <v>370</v>
      </c>
      <c r="I92" s="592">
        <v>30</v>
      </c>
      <c r="J92" s="593">
        <v>0</v>
      </c>
      <c r="K92" s="482">
        <v>0</v>
      </c>
      <c r="L92" s="478">
        <v>0</v>
      </c>
      <c r="M92" s="485">
        <v>0</v>
      </c>
    </row>
    <row r="93" spans="1:13" x14ac:dyDescent="0.25">
      <c r="A93" s="339"/>
      <c r="B93" s="339" t="s">
        <v>239</v>
      </c>
      <c r="C93" s="340" t="s">
        <v>240</v>
      </c>
      <c r="D93" s="495">
        <v>0.25</v>
      </c>
      <c r="H93" s="599" t="s">
        <v>369</v>
      </c>
      <c r="I93" s="592">
        <v>63</v>
      </c>
      <c r="J93" s="593">
        <v>0</v>
      </c>
      <c r="K93" s="482">
        <v>0</v>
      </c>
      <c r="L93" s="478">
        <v>0</v>
      </c>
      <c r="M93" s="485">
        <v>0</v>
      </c>
    </row>
    <row r="94" spans="1:13" x14ac:dyDescent="0.25">
      <c r="A94" s="339"/>
      <c r="B94" s="339" t="s">
        <v>258</v>
      </c>
      <c r="C94" s="340" t="s">
        <v>259</v>
      </c>
      <c r="D94" s="495">
        <v>0.33333333333333331</v>
      </c>
      <c r="H94" s="600" t="s">
        <v>372</v>
      </c>
      <c r="I94" s="595">
        <v>88</v>
      </c>
      <c r="J94" s="596">
        <v>0</v>
      </c>
      <c r="K94" s="483">
        <v>0</v>
      </c>
      <c r="L94" s="479">
        <v>0</v>
      </c>
      <c r="M94" s="486">
        <v>0</v>
      </c>
    </row>
    <row r="95" spans="1:13" x14ac:dyDescent="0.25">
      <c r="A95" s="339"/>
      <c r="B95" s="339" t="s">
        <v>252</v>
      </c>
      <c r="C95" s="340" t="s">
        <v>253</v>
      </c>
      <c r="D95" s="495">
        <v>0.80808080808080818</v>
      </c>
      <c r="H95" s="597" t="s">
        <v>151</v>
      </c>
      <c r="I95" s="595"/>
      <c r="J95" s="596"/>
      <c r="K95" s="483"/>
      <c r="L95" s="479"/>
      <c r="M95" s="486"/>
    </row>
    <row r="96" spans="1:13" x14ac:dyDescent="0.25">
      <c r="A96" s="339"/>
      <c r="B96" s="339" t="s">
        <v>254</v>
      </c>
      <c r="C96" s="340" t="s">
        <v>255</v>
      </c>
      <c r="D96" s="495">
        <v>0.79207920792079212</v>
      </c>
      <c r="H96" s="601" t="s">
        <v>151</v>
      </c>
      <c r="I96" s="595">
        <v>2519</v>
      </c>
      <c r="J96" s="596">
        <v>977</v>
      </c>
      <c r="K96" s="483">
        <v>977</v>
      </c>
      <c r="L96" s="479">
        <v>0.38785232235013894</v>
      </c>
      <c r="M96" s="486">
        <v>0.38785232235013894</v>
      </c>
    </row>
    <row r="97" spans="1:13" x14ac:dyDescent="0.25">
      <c r="A97" s="339"/>
      <c r="B97" s="339" t="s">
        <v>262</v>
      </c>
      <c r="C97" s="340" t="s">
        <v>263</v>
      </c>
      <c r="D97" s="495">
        <v>1.5238095238095239</v>
      </c>
      <c r="H97" s="598" t="s">
        <v>154</v>
      </c>
      <c r="I97" s="592">
        <v>458</v>
      </c>
      <c r="J97" s="593">
        <v>258</v>
      </c>
      <c r="K97" s="482">
        <v>258</v>
      </c>
      <c r="L97" s="478">
        <v>0.5633187772925764</v>
      </c>
      <c r="M97" s="485">
        <v>0.5633187772925764</v>
      </c>
    </row>
    <row r="98" spans="1:13" x14ac:dyDescent="0.25">
      <c r="A98" s="339"/>
      <c r="B98" s="339" t="s">
        <v>264</v>
      </c>
      <c r="C98" s="340" t="s">
        <v>265</v>
      </c>
      <c r="D98" s="495">
        <v>1.3571428571428572</v>
      </c>
      <c r="H98" s="598" t="s">
        <v>1063</v>
      </c>
      <c r="I98" s="592">
        <v>123</v>
      </c>
      <c r="J98" s="593">
        <v>123</v>
      </c>
      <c r="K98" s="482">
        <v>123</v>
      </c>
      <c r="L98" s="478">
        <v>1</v>
      </c>
      <c r="M98" s="485">
        <v>1</v>
      </c>
    </row>
    <row r="99" spans="1:13" x14ac:dyDescent="0.25">
      <c r="A99" s="339"/>
      <c r="B99" s="339" t="s">
        <v>282</v>
      </c>
      <c r="C99" s="340" t="s">
        <v>283</v>
      </c>
      <c r="D99" s="495">
        <v>3.4285714285714284</v>
      </c>
      <c r="H99" s="598" t="s">
        <v>1097</v>
      </c>
      <c r="I99" s="592">
        <v>113</v>
      </c>
      <c r="J99" s="593">
        <v>113</v>
      </c>
      <c r="K99" s="482">
        <v>113</v>
      </c>
      <c r="L99" s="478">
        <v>1</v>
      </c>
      <c r="M99" s="485">
        <v>1</v>
      </c>
    </row>
    <row r="100" spans="1:13" x14ac:dyDescent="0.25">
      <c r="A100" s="339"/>
      <c r="B100" s="339" t="s">
        <v>270</v>
      </c>
      <c r="C100" s="340" t="s">
        <v>271</v>
      </c>
      <c r="D100" s="495">
        <v>0.98529411764705888</v>
      </c>
      <c r="H100" s="599" t="s">
        <v>1036</v>
      </c>
      <c r="I100" s="592">
        <v>219</v>
      </c>
      <c r="J100" s="593">
        <v>99</v>
      </c>
      <c r="K100" s="482">
        <v>99</v>
      </c>
      <c r="L100" s="478">
        <v>0.45205479452054792</v>
      </c>
      <c r="M100" s="485">
        <v>0.45205479452054792</v>
      </c>
    </row>
    <row r="101" spans="1:13" x14ac:dyDescent="0.25">
      <c r="A101" s="339"/>
      <c r="B101" s="339" t="s">
        <v>272</v>
      </c>
      <c r="C101" s="340" t="s">
        <v>273</v>
      </c>
      <c r="D101" s="495">
        <v>1</v>
      </c>
      <c r="H101" s="599" t="s">
        <v>152</v>
      </c>
      <c r="I101" s="592">
        <v>196</v>
      </c>
      <c r="J101" s="593">
        <v>91</v>
      </c>
      <c r="K101" s="482">
        <v>91</v>
      </c>
      <c r="L101" s="478">
        <v>0.4642857142857143</v>
      </c>
      <c r="M101" s="485">
        <v>0.4642857142857143</v>
      </c>
    </row>
    <row r="102" spans="1:13" x14ac:dyDescent="0.25">
      <c r="A102" s="340"/>
      <c r="B102" s="340" t="s">
        <v>241</v>
      </c>
      <c r="C102" s="340" t="s">
        <v>1247</v>
      </c>
      <c r="D102" s="496">
        <v>2.3518518518518521</v>
      </c>
      <c r="H102" s="599" t="s">
        <v>886</v>
      </c>
      <c r="I102" s="592">
        <v>390</v>
      </c>
      <c r="J102" s="593">
        <v>81</v>
      </c>
      <c r="K102" s="482">
        <v>81</v>
      </c>
      <c r="L102" s="478">
        <v>0.2076923076923077</v>
      </c>
      <c r="M102" s="485">
        <v>0.2076923076923077</v>
      </c>
    </row>
    <row r="103" spans="1:13" x14ac:dyDescent="0.25">
      <c r="A103" s="339" t="s">
        <v>289</v>
      </c>
      <c r="B103" s="339" t="s">
        <v>288</v>
      </c>
      <c r="C103" s="340" t="s">
        <v>290</v>
      </c>
      <c r="D103" s="495">
        <v>0.44117647058823528</v>
      </c>
      <c r="H103" s="599" t="s">
        <v>944</v>
      </c>
      <c r="I103" s="592">
        <v>123</v>
      </c>
      <c r="J103" s="593">
        <v>73</v>
      </c>
      <c r="K103" s="482">
        <v>73</v>
      </c>
      <c r="L103" s="478">
        <v>0.5934959349593496</v>
      </c>
      <c r="M103" s="485">
        <v>0.5934959349593496</v>
      </c>
    </row>
    <row r="104" spans="1:13" x14ac:dyDescent="0.25">
      <c r="A104" s="339"/>
      <c r="B104" s="339" t="s">
        <v>291</v>
      </c>
      <c r="C104" s="340" t="s">
        <v>292</v>
      </c>
      <c r="D104" s="495">
        <v>1.4</v>
      </c>
      <c r="H104" s="599" t="s">
        <v>188</v>
      </c>
      <c r="I104" s="592">
        <v>245</v>
      </c>
      <c r="J104" s="593">
        <v>55</v>
      </c>
      <c r="K104" s="482">
        <v>55</v>
      </c>
      <c r="L104" s="478">
        <v>0.22448979591836735</v>
      </c>
      <c r="M104" s="485">
        <v>0.22448979591836735</v>
      </c>
    </row>
    <row r="105" spans="1:13" x14ac:dyDescent="0.25">
      <c r="A105" s="339"/>
      <c r="B105" s="339" t="s">
        <v>1058</v>
      </c>
      <c r="C105" s="340" t="s">
        <v>1057</v>
      </c>
      <c r="D105" s="495">
        <v>1.0571428571428572</v>
      </c>
      <c r="H105" s="598" t="s">
        <v>198</v>
      </c>
      <c r="I105" s="592">
        <v>545</v>
      </c>
      <c r="J105" s="593">
        <v>51</v>
      </c>
      <c r="K105" s="482">
        <v>51</v>
      </c>
      <c r="L105" s="478">
        <v>9.3577981651376152E-2</v>
      </c>
      <c r="M105" s="485">
        <v>9.3577981651376152E-2</v>
      </c>
    </row>
    <row r="106" spans="1:13" x14ac:dyDescent="0.25">
      <c r="A106" s="340"/>
      <c r="B106" s="340" t="s">
        <v>1062</v>
      </c>
      <c r="C106" s="340" t="s">
        <v>1069</v>
      </c>
      <c r="D106" s="496">
        <v>0.58536585365853655</v>
      </c>
      <c r="H106" s="600" t="s">
        <v>160</v>
      </c>
      <c r="I106" s="595">
        <v>107</v>
      </c>
      <c r="J106" s="596">
        <v>33</v>
      </c>
      <c r="K106" s="483">
        <v>33</v>
      </c>
      <c r="L106" s="479">
        <v>0.30841121495327101</v>
      </c>
      <c r="M106" s="486">
        <v>0.30841121495327101</v>
      </c>
    </row>
    <row r="107" spans="1:13" x14ac:dyDescent="0.25">
      <c r="A107" s="340" t="s">
        <v>298</v>
      </c>
      <c r="B107" s="340" t="s">
        <v>297</v>
      </c>
      <c r="C107" s="340" t="s">
        <v>822</v>
      </c>
      <c r="D107" s="496">
        <v>1.1111111111111112</v>
      </c>
      <c r="H107" s="597" t="s">
        <v>185</v>
      </c>
      <c r="I107" s="595"/>
      <c r="J107" s="596"/>
      <c r="K107" s="483"/>
      <c r="L107" s="479"/>
      <c r="M107" s="486"/>
    </row>
    <row r="108" spans="1:13" x14ac:dyDescent="0.25">
      <c r="A108" s="339" t="s">
        <v>302</v>
      </c>
      <c r="B108" s="339" t="s">
        <v>305</v>
      </c>
      <c r="C108" s="340" t="s">
        <v>306</v>
      </c>
      <c r="D108" s="495">
        <v>0.48837209302325579</v>
      </c>
      <c r="H108" s="601" t="s">
        <v>185</v>
      </c>
      <c r="I108" s="595">
        <v>2698</v>
      </c>
      <c r="J108" s="596">
        <v>278</v>
      </c>
      <c r="K108" s="483">
        <v>278</v>
      </c>
      <c r="L108" s="479">
        <v>0.10303928836174944</v>
      </c>
      <c r="M108" s="486">
        <v>0.10303928836174944</v>
      </c>
    </row>
    <row r="109" spans="1:13" x14ac:dyDescent="0.25">
      <c r="A109" s="340"/>
      <c r="B109" s="340" t="s">
        <v>307</v>
      </c>
      <c r="C109" s="340" t="s">
        <v>308</v>
      </c>
      <c r="D109" s="496">
        <v>1.1219512195121952</v>
      </c>
      <c r="H109" s="599" t="s">
        <v>190</v>
      </c>
      <c r="I109" s="592">
        <v>190</v>
      </c>
      <c r="J109" s="593">
        <v>108</v>
      </c>
      <c r="K109" s="482">
        <v>108</v>
      </c>
      <c r="L109" s="478">
        <v>0.56842105263157894</v>
      </c>
      <c r="M109" s="485">
        <v>0.56842105263157894</v>
      </c>
    </row>
    <row r="110" spans="1:13" x14ac:dyDescent="0.25">
      <c r="A110" s="339" t="s">
        <v>310</v>
      </c>
      <c r="B110" s="339" t="s">
        <v>341</v>
      </c>
      <c r="C110" s="340" t="s">
        <v>342</v>
      </c>
      <c r="D110" s="495">
        <v>0.58461538461538465</v>
      </c>
      <c r="H110" s="598" t="s">
        <v>202</v>
      </c>
      <c r="I110" s="592">
        <v>261</v>
      </c>
      <c r="J110" s="593">
        <v>108</v>
      </c>
      <c r="K110" s="482">
        <v>108</v>
      </c>
      <c r="L110" s="478">
        <v>0.41379310344827586</v>
      </c>
      <c r="M110" s="485">
        <v>0.41379310344827586</v>
      </c>
    </row>
    <row r="111" spans="1:13" x14ac:dyDescent="0.25">
      <c r="A111" s="339"/>
      <c r="B111" s="339" t="s">
        <v>350</v>
      </c>
      <c r="C111" s="340" t="s">
        <v>351</v>
      </c>
      <c r="D111" s="495">
        <v>1.1363636363636365</v>
      </c>
      <c r="H111" s="599" t="s">
        <v>223</v>
      </c>
      <c r="I111" s="592">
        <v>124</v>
      </c>
      <c r="J111" s="593">
        <v>57</v>
      </c>
      <c r="K111" s="482">
        <v>57</v>
      </c>
      <c r="L111" s="478">
        <v>0.45967741935483869</v>
      </c>
      <c r="M111" s="485">
        <v>0.45967741935483869</v>
      </c>
    </row>
    <row r="112" spans="1:13" x14ac:dyDescent="0.25">
      <c r="A112" s="339"/>
      <c r="B112" s="339" t="s">
        <v>319</v>
      </c>
      <c r="C112" s="340" t="s">
        <v>320</v>
      </c>
      <c r="D112" s="495">
        <v>1.1363636363636365</v>
      </c>
      <c r="H112" s="599" t="s">
        <v>229</v>
      </c>
      <c r="I112" s="592">
        <v>50</v>
      </c>
      <c r="J112" s="593">
        <v>5</v>
      </c>
      <c r="K112" s="482">
        <v>5</v>
      </c>
      <c r="L112" s="478">
        <v>0.1</v>
      </c>
      <c r="M112" s="485">
        <v>0.1</v>
      </c>
    </row>
    <row r="113" spans="1:13" x14ac:dyDescent="0.25">
      <c r="A113" s="339"/>
      <c r="B113" s="339" t="s">
        <v>312</v>
      </c>
      <c r="C113" s="340" t="s">
        <v>313</v>
      </c>
      <c r="D113" s="495">
        <v>1.0606060606060606</v>
      </c>
      <c r="H113" s="599" t="s">
        <v>215</v>
      </c>
      <c r="I113" s="592">
        <v>375</v>
      </c>
      <c r="J113" s="593">
        <v>0</v>
      </c>
      <c r="K113" s="482">
        <v>0</v>
      </c>
      <c r="L113" s="478">
        <v>0</v>
      </c>
      <c r="M113" s="485">
        <v>0</v>
      </c>
    </row>
    <row r="114" spans="1:13" x14ac:dyDescent="0.25">
      <c r="A114" s="339"/>
      <c r="B114" s="339" t="s">
        <v>329</v>
      </c>
      <c r="C114" s="340" t="s">
        <v>330</v>
      </c>
      <c r="D114" s="495">
        <v>0.94594594594594605</v>
      </c>
      <c r="H114" s="599" t="s">
        <v>186</v>
      </c>
      <c r="I114" s="592">
        <v>36</v>
      </c>
      <c r="J114" s="593">
        <v>0</v>
      </c>
      <c r="K114" s="482">
        <v>0</v>
      </c>
      <c r="L114" s="478">
        <v>0</v>
      </c>
      <c r="M114" s="485">
        <v>0</v>
      </c>
    </row>
    <row r="115" spans="1:13" x14ac:dyDescent="0.25">
      <c r="A115" s="339"/>
      <c r="B115" s="339" t="s">
        <v>337</v>
      </c>
      <c r="C115" s="340" t="s">
        <v>338</v>
      </c>
      <c r="D115" s="495">
        <v>1.258064516129032</v>
      </c>
      <c r="H115" s="598" t="s">
        <v>219</v>
      </c>
      <c r="I115" s="592">
        <v>677</v>
      </c>
      <c r="J115" s="593">
        <v>0</v>
      </c>
      <c r="K115" s="482">
        <v>0</v>
      </c>
      <c r="L115" s="478">
        <v>0</v>
      </c>
      <c r="M115" s="485">
        <v>0</v>
      </c>
    </row>
    <row r="116" spans="1:13" x14ac:dyDescent="0.25">
      <c r="A116" s="339"/>
      <c r="B116" s="339" t="s">
        <v>327</v>
      </c>
      <c r="C116" s="340" t="s">
        <v>328</v>
      </c>
      <c r="D116" s="495">
        <v>0.74825174825174834</v>
      </c>
      <c r="H116" s="599" t="s">
        <v>194</v>
      </c>
      <c r="I116" s="592">
        <v>604</v>
      </c>
      <c r="J116" s="593">
        <v>0</v>
      </c>
      <c r="K116" s="482">
        <v>0</v>
      </c>
      <c r="L116" s="478">
        <v>0</v>
      </c>
      <c r="M116" s="485">
        <v>0</v>
      </c>
    </row>
    <row r="117" spans="1:13" x14ac:dyDescent="0.25">
      <c r="A117" s="339"/>
      <c r="B117" s="339" t="s">
        <v>317</v>
      </c>
      <c r="C117" s="340" t="s">
        <v>318</v>
      </c>
      <c r="D117" s="495">
        <v>1.054945054945055</v>
      </c>
      <c r="H117" s="599" t="s">
        <v>225</v>
      </c>
      <c r="I117" s="592">
        <v>39</v>
      </c>
      <c r="J117" s="593">
        <v>0</v>
      </c>
      <c r="K117" s="482">
        <v>0</v>
      </c>
      <c r="L117" s="478">
        <v>0</v>
      </c>
      <c r="M117" s="485">
        <v>0</v>
      </c>
    </row>
    <row r="118" spans="1:13" x14ac:dyDescent="0.25">
      <c r="A118" s="339"/>
      <c r="B118" s="339" t="s">
        <v>348</v>
      </c>
      <c r="C118" s="340" t="s">
        <v>349</v>
      </c>
      <c r="D118" s="495">
        <v>1.7954545454545454</v>
      </c>
      <c r="H118" s="599" t="s">
        <v>192</v>
      </c>
      <c r="I118" s="592">
        <v>116</v>
      </c>
      <c r="J118" s="593">
        <v>0</v>
      </c>
      <c r="K118" s="482">
        <v>0</v>
      </c>
      <c r="L118" s="478">
        <v>0</v>
      </c>
      <c r="M118" s="485">
        <v>0</v>
      </c>
    </row>
    <row r="119" spans="1:13" x14ac:dyDescent="0.25">
      <c r="A119" s="339"/>
      <c r="B119" s="339" t="s">
        <v>315</v>
      </c>
      <c r="C119" s="340" t="s">
        <v>316</v>
      </c>
      <c r="D119" s="495">
        <v>0.7857142857142857</v>
      </c>
      <c r="H119" s="602" t="s">
        <v>209</v>
      </c>
      <c r="I119" s="595">
        <v>226</v>
      </c>
      <c r="J119" s="596">
        <v>0</v>
      </c>
      <c r="K119" s="483">
        <v>0</v>
      </c>
      <c r="L119" s="479">
        <v>0</v>
      </c>
      <c r="M119" s="486">
        <v>0</v>
      </c>
    </row>
    <row r="120" spans="1:13" x14ac:dyDescent="0.25">
      <c r="A120" s="339"/>
      <c r="B120" s="339" t="s">
        <v>325</v>
      </c>
      <c r="C120" s="340" t="s">
        <v>326</v>
      </c>
      <c r="D120" s="495">
        <v>0.86956521739130432</v>
      </c>
      <c r="H120" s="597" t="s">
        <v>237</v>
      </c>
      <c r="I120" s="595"/>
      <c r="J120" s="596"/>
      <c r="K120" s="483"/>
      <c r="L120" s="479"/>
      <c r="M120" s="486"/>
    </row>
    <row r="121" spans="1:13" x14ac:dyDescent="0.25">
      <c r="A121" s="339"/>
      <c r="B121" s="339" t="s">
        <v>323</v>
      </c>
      <c r="C121" s="340" t="s">
        <v>324</v>
      </c>
      <c r="D121" s="495">
        <v>1.1616161616161618</v>
      </c>
      <c r="H121" s="601" t="s">
        <v>237</v>
      </c>
      <c r="I121" s="595">
        <v>1409</v>
      </c>
      <c r="J121" s="596">
        <v>412</v>
      </c>
      <c r="K121" s="483">
        <v>412</v>
      </c>
      <c r="L121" s="479">
        <v>0.29240596167494676</v>
      </c>
      <c r="M121" s="486">
        <v>0.29240596167494676</v>
      </c>
    </row>
    <row r="122" spans="1:13" x14ac:dyDescent="0.25">
      <c r="A122" s="339"/>
      <c r="B122" s="339" t="s">
        <v>346</v>
      </c>
      <c r="C122" s="340" t="s">
        <v>347</v>
      </c>
      <c r="D122" s="495">
        <v>1.4581005586592179</v>
      </c>
      <c r="H122" s="599" t="s">
        <v>240</v>
      </c>
      <c r="I122" s="592">
        <v>96</v>
      </c>
      <c r="J122" s="593">
        <v>72</v>
      </c>
      <c r="K122" s="482">
        <v>72</v>
      </c>
      <c r="L122" s="478">
        <v>0.75</v>
      </c>
      <c r="M122" s="485">
        <v>0.75</v>
      </c>
    </row>
    <row r="123" spans="1:13" x14ac:dyDescent="0.25">
      <c r="A123" s="339"/>
      <c r="B123" s="339" t="s">
        <v>333</v>
      </c>
      <c r="C123" s="340" t="s">
        <v>334</v>
      </c>
      <c r="D123" s="495">
        <v>1.48125</v>
      </c>
      <c r="H123" s="599" t="s">
        <v>247</v>
      </c>
      <c r="I123" s="592">
        <v>44</v>
      </c>
      <c r="J123" s="593">
        <v>41</v>
      </c>
      <c r="K123" s="482">
        <v>41</v>
      </c>
      <c r="L123" s="478">
        <v>0.93181818181818177</v>
      </c>
      <c r="M123" s="485">
        <v>0.93181818181818177</v>
      </c>
    </row>
    <row r="124" spans="1:13" x14ac:dyDescent="0.25">
      <c r="A124" s="339"/>
      <c r="B124" s="339" t="s">
        <v>335</v>
      </c>
      <c r="C124" s="340" t="s">
        <v>336</v>
      </c>
      <c r="D124" s="495">
        <v>0.68493150684931503</v>
      </c>
      <c r="H124" s="599" t="s">
        <v>259</v>
      </c>
      <c r="I124" s="592">
        <v>60</v>
      </c>
      <c r="J124" s="593">
        <v>40</v>
      </c>
      <c r="K124" s="482">
        <v>40</v>
      </c>
      <c r="L124" s="478">
        <v>0.66666666666666663</v>
      </c>
      <c r="M124" s="485">
        <v>0.66666666666666663</v>
      </c>
    </row>
    <row r="125" spans="1:13" x14ac:dyDescent="0.25">
      <c r="A125" s="339"/>
      <c r="B125" s="339" t="s">
        <v>352</v>
      </c>
      <c r="C125" s="340" t="s">
        <v>353</v>
      </c>
      <c r="D125" s="495">
        <v>0.11808118081180811</v>
      </c>
      <c r="H125" s="599" t="s">
        <v>257</v>
      </c>
      <c r="I125" s="592">
        <v>44</v>
      </c>
      <c r="J125" s="593">
        <v>39</v>
      </c>
      <c r="K125" s="482">
        <v>39</v>
      </c>
      <c r="L125" s="478">
        <v>0.88636363636363635</v>
      </c>
      <c r="M125" s="485">
        <v>0.88636363636363635</v>
      </c>
    </row>
    <row r="126" spans="1:13" x14ac:dyDescent="0.25">
      <c r="A126" s="339"/>
      <c r="B126" s="339" t="s">
        <v>321</v>
      </c>
      <c r="C126" s="340" t="s">
        <v>322</v>
      </c>
      <c r="D126" s="495">
        <v>1.0307167235494881</v>
      </c>
      <c r="H126" s="599" t="s">
        <v>281</v>
      </c>
      <c r="I126" s="592">
        <v>89</v>
      </c>
      <c r="J126" s="593">
        <v>39</v>
      </c>
      <c r="K126" s="482">
        <v>39</v>
      </c>
      <c r="L126" s="478">
        <v>0.43820224719101125</v>
      </c>
      <c r="M126" s="485">
        <v>0.43820224719101125</v>
      </c>
    </row>
    <row r="127" spans="1:13" x14ac:dyDescent="0.25">
      <c r="A127" s="339"/>
      <c r="B127" s="339" t="s">
        <v>354</v>
      </c>
      <c r="C127" s="340" t="s">
        <v>355</v>
      </c>
      <c r="D127" s="495">
        <v>0.66326530612244894</v>
      </c>
      <c r="H127" s="599" t="s">
        <v>253</v>
      </c>
      <c r="I127" s="592">
        <v>198</v>
      </c>
      <c r="J127" s="593">
        <v>38</v>
      </c>
      <c r="K127" s="482">
        <v>38</v>
      </c>
      <c r="L127" s="478">
        <v>0.19191919191919191</v>
      </c>
      <c r="M127" s="485">
        <v>0.19191919191919191</v>
      </c>
    </row>
    <row r="128" spans="1:13" x14ac:dyDescent="0.25">
      <c r="A128" s="339"/>
      <c r="B128" s="339" t="s">
        <v>343</v>
      </c>
      <c r="C128" s="340" t="s">
        <v>344</v>
      </c>
      <c r="D128" s="495">
        <v>1.0555555555555556</v>
      </c>
      <c r="H128" s="599" t="s">
        <v>277</v>
      </c>
      <c r="I128" s="592">
        <v>90</v>
      </c>
      <c r="J128" s="593">
        <v>26</v>
      </c>
      <c r="K128" s="482">
        <v>26</v>
      </c>
      <c r="L128" s="478">
        <v>0.28888888888888886</v>
      </c>
      <c r="M128" s="485">
        <v>0.28888888888888886</v>
      </c>
    </row>
    <row r="129" spans="1:13" x14ac:dyDescent="0.25">
      <c r="A129" s="339"/>
      <c r="B129" s="339" t="s">
        <v>345</v>
      </c>
      <c r="C129" s="340" t="s">
        <v>1246</v>
      </c>
      <c r="D129" s="495">
        <v>0.19774011299435029</v>
      </c>
      <c r="H129" s="599" t="s">
        <v>279</v>
      </c>
      <c r="I129" s="592">
        <v>22</v>
      </c>
      <c r="J129" s="593">
        <v>22</v>
      </c>
      <c r="K129" s="482">
        <v>22</v>
      </c>
      <c r="L129" s="478">
        <v>1</v>
      </c>
      <c r="M129" s="485">
        <v>1</v>
      </c>
    </row>
    <row r="130" spans="1:13" x14ac:dyDescent="0.25">
      <c r="A130" s="340"/>
      <c r="B130" s="340" t="s">
        <v>356</v>
      </c>
      <c r="C130" s="340" t="s">
        <v>1248</v>
      </c>
      <c r="D130" s="496">
        <v>1.0281456953642385</v>
      </c>
      <c r="H130" s="599" t="s">
        <v>255</v>
      </c>
      <c r="I130" s="592">
        <v>101</v>
      </c>
      <c r="J130" s="593">
        <v>21</v>
      </c>
      <c r="K130" s="482">
        <v>21</v>
      </c>
      <c r="L130" s="478">
        <v>0.20792079207920791</v>
      </c>
      <c r="M130" s="485">
        <v>0.20792079207920791</v>
      </c>
    </row>
    <row r="131" spans="1:13" x14ac:dyDescent="0.25">
      <c r="A131" s="339" t="s">
        <v>300</v>
      </c>
      <c r="B131" s="340" t="s">
        <v>1009</v>
      </c>
      <c r="C131" s="340" t="s">
        <v>860</v>
      </c>
      <c r="D131" s="496">
        <v>0</v>
      </c>
      <c r="H131" s="599" t="s">
        <v>261</v>
      </c>
      <c r="I131" s="592">
        <v>99</v>
      </c>
      <c r="J131" s="593">
        <v>19</v>
      </c>
      <c r="K131" s="482">
        <v>19</v>
      </c>
      <c r="L131" s="478">
        <v>0.19191919191919191</v>
      </c>
      <c r="M131" s="485">
        <v>0.19191919191919191</v>
      </c>
    </row>
    <row r="132" spans="1:13" x14ac:dyDescent="0.25">
      <c r="A132" s="340"/>
      <c r="B132" s="395" t="s">
        <v>1262</v>
      </c>
      <c r="C132" s="395" t="s">
        <v>1263</v>
      </c>
      <c r="D132" s="342">
        <v>1.0169491525423728</v>
      </c>
      <c r="H132" s="599" t="s">
        <v>285</v>
      </c>
      <c r="I132" s="592">
        <v>138</v>
      </c>
      <c r="J132" s="593">
        <v>13</v>
      </c>
      <c r="K132" s="482">
        <v>13</v>
      </c>
      <c r="L132" s="478">
        <v>9.420289855072464E-2</v>
      </c>
      <c r="M132" s="485">
        <v>9.420289855072464E-2</v>
      </c>
    </row>
    <row r="133" spans="1:13" x14ac:dyDescent="0.25">
      <c r="A133" s="339" t="s">
        <v>780</v>
      </c>
      <c r="B133" s="395" t="s">
        <v>1261</v>
      </c>
      <c r="C133" s="395" t="s">
        <v>1278</v>
      </c>
      <c r="D133" s="342">
        <v>0.92105263157894735</v>
      </c>
      <c r="H133" s="599" t="s">
        <v>251</v>
      </c>
      <c r="I133" s="592">
        <v>32</v>
      </c>
      <c r="J133" s="593">
        <v>12</v>
      </c>
      <c r="K133" s="482">
        <v>12</v>
      </c>
      <c r="L133" s="478">
        <v>0.375</v>
      </c>
      <c r="M133" s="485">
        <v>0.375</v>
      </c>
    </row>
    <row r="134" spans="1:13" x14ac:dyDescent="0.25">
      <c r="A134" s="340" t="s">
        <v>415</v>
      </c>
      <c r="B134" s="340"/>
      <c r="C134" s="340"/>
      <c r="D134" s="496">
        <v>165.87756729060783</v>
      </c>
      <c r="H134" s="599" t="s">
        <v>275</v>
      </c>
      <c r="I134" s="592">
        <v>43</v>
      </c>
      <c r="J134" s="593">
        <v>11</v>
      </c>
      <c r="K134" s="482">
        <v>11</v>
      </c>
      <c r="L134" s="478">
        <v>0.2558139534883721</v>
      </c>
      <c r="M134" s="485">
        <v>0.2558139534883721</v>
      </c>
    </row>
    <row r="135" spans="1:13" x14ac:dyDescent="0.25">
      <c r="B135"/>
      <c r="H135" s="591" t="s">
        <v>269</v>
      </c>
      <c r="I135" s="592">
        <v>60</v>
      </c>
      <c r="J135" s="593">
        <v>8</v>
      </c>
      <c r="K135" s="482">
        <v>8</v>
      </c>
      <c r="L135" s="478">
        <v>0.13333333333333333</v>
      </c>
      <c r="M135" s="485">
        <v>0.13333333333333333</v>
      </c>
    </row>
    <row r="136" spans="1:13" x14ac:dyDescent="0.25">
      <c r="B136"/>
      <c r="H136" s="591" t="s">
        <v>238</v>
      </c>
      <c r="I136" s="592">
        <v>67</v>
      </c>
      <c r="J136" s="593">
        <v>7</v>
      </c>
      <c r="K136" s="482">
        <v>7</v>
      </c>
      <c r="L136" s="478">
        <v>0.1044776119402985</v>
      </c>
      <c r="M136" s="485">
        <v>0.1044776119402985</v>
      </c>
    </row>
    <row r="137" spans="1:13" x14ac:dyDescent="0.25">
      <c r="B137"/>
      <c r="H137" s="591" t="s">
        <v>243</v>
      </c>
      <c r="I137" s="592">
        <v>6</v>
      </c>
      <c r="J137" s="593">
        <v>3</v>
      </c>
      <c r="K137" s="482">
        <v>3</v>
      </c>
      <c r="L137" s="478">
        <v>0.5</v>
      </c>
      <c r="M137" s="485">
        <v>0.5</v>
      </c>
    </row>
    <row r="138" spans="1:13" x14ac:dyDescent="0.25">
      <c r="B138"/>
      <c r="H138" s="591" t="s">
        <v>271</v>
      </c>
      <c r="I138" s="592">
        <v>68</v>
      </c>
      <c r="J138" s="593">
        <v>1</v>
      </c>
      <c r="K138" s="482">
        <v>1</v>
      </c>
      <c r="L138" s="478">
        <v>1.4705882352941176E-2</v>
      </c>
      <c r="M138" s="485">
        <v>1.4705882352941176E-2</v>
      </c>
    </row>
    <row r="139" spans="1:13" x14ac:dyDescent="0.25">
      <c r="B139"/>
      <c r="H139" s="591" t="s">
        <v>273</v>
      </c>
      <c r="I139" s="592">
        <v>44</v>
      </c>
      <c r="J139" s="593">
        <v>0</v>
      </c>
      <c r="K139" s="482">
        <v>0</v>
      </c>
      <c r="L139" s="478">
        <v>0</v>
      </c>
      <c r="M139" s="485">
        <v>0</v>
      </c>
    </row>
    <row r="140" spans="1:13" x14ac:dyDescent="0.25">
      <c r="B140"/>
      <c r="H140" s="591" t="s">
        <v>1247</v>
      </c>
      <c r="I140" s="592">
        <v>54</v>
      </c>
      <c r="J140" s="593">
        <v>0</v>
      </c>
      <c r="K140" s="482">
        <v>0</v>
      </c>
      <c r="L140" s="478">
        <v>0</v>
      </c>
      <c r="M140" s="485">
        <v>0</v>
      </c>
    </row>
    <row r="141" spans="1:13" x14ac:dyDescent="0.25">
      <c r="B141"/>
      <c r="H141" s="591" t="s">
        <v>263</v>
      </c>
      <c r="I141" s="592">
        <v>21</v>
      </c>
      <c r="J141" s="593">
        <v>0</v>
      </c>
      <c r="K141" s="482">
        <v>0</v>
      </c>
      <c r="L141" s="478">
        <v>0</v>
      </c>
      <c r="M141" s="485">
        <v>0</v>
      </c>
    </row>
    <row r="142" spans="1:13" x14ac:dyDescent="0.25">
      <c r="B142"/>
      <c r="H142" s="591" t="s">
        <v>283</v>
      </c>
      <c r="I142" s="592">
        <v>7</v>
      </c>
      <c r="J142" s="593">
        <v>0</v>
      </c>
      <c r="K142" s="482">
        <v>0</v>
      </c>
      <c r="L142" s="478">
        <v>0</v>
      </c>
      <c r="M142" s="485">
        <v>0</v>
      </c>
    </row>
    <row r="143" spans="1:13" x14ac:dyDescent="0.25">
      <c r="B143"/>
      <c r="H143" s="591" t="s">
        <v>245</v>
      </c>
      <c r="I143" s="592">
        <v>6</v>
      </c>
      <c r="J143" s="593">
        <v>0</v>
      </c>
      <c r="K143" s="482">
        <v>0</v>
      </c>
      <c r="L143" s="478">
        <v>0</v>
      </c>
      <c r="M143" s="485">
        <v>0</v>
      </c>
    </row>
    <row r="144" spans="1:13" x14ac:dyDescent="0.25">
      <c r="B144"/>
      <c r="H144" s="591" t="s">
        <v>249</v>
      </c>
      <c r="I144" s="592">
        <v>6</v>
      </c>
      <c r="J144" s="593">
        <v>0</v>
      </c>
      <c r="K144" s="482">
        <v>0</v>
      </c>
      <c r="L144" s="478">
        <v>0</v>
      </c>
      <c r="M144" s="485">
        <v>0</v>
      </c>
    </row>
    <row r="145" spans="2:13" x14ac:dyDescent="0.25">
      <c r="B145"/>
      <c r="H145" s="594" t="s">
        <v>265</v>
      </c>
      <c r="I145" s="595">
        <v>14</v>
      </c>
      <c r="J145" s="596">
        <v>0</v>
      </c>
      <c r="K145" s="483">
        <v>0</v>
      </c>
      <c r="L145" s="479">
        <v>0</v>
      </c>
      <c r="M145" s="486">
        <v>0</v>
      </c>
    </row>
    <row r="146" spans="2:13" x14ac:dyDescent="0.25">
      <c r="B146"/>
      <c r="H146" s="597" t="s">
        <v>289</v>
      </c>
      <c r="I146" s="595"/>
      <c r="J146" s="596"/>
      <c r="K146" s="483"/>
      <c r="L146" s="479"/>
      <c r="M146" s="486"/>
    </row>
    <row r="147" spans="2:13" x14ac:dyDescent="0.25">
      <c r="B147"/>
      <c r="H147" s="601" t="s">
        <v>289</v>
      </c>
      <c r="I147" s="595">
        <v>601</v>
      </c>
      <c r="J147" s="596">
        <v>394</v>
      </c>
      <c r="K147" s="483">
        <v>394</v>
      </c>
      <c r="L147" s="479">
        <v>0.65557404326123125</v>
      </c>
      <c r="M147" s="486">
        <v>0.65557404326123125</v>
      </c>
    </row>
    <row r="148" spans="2:13" x14ac:dyDescent="0.25">
      <c r="B148"/>
      <c r="H148" s="599" t="s">
        <v>1536</v>
      </c>
      <c r="I148" s="592">
        <v>200</v>
      </c>
      <c r="J148" s="593">
        <v>200</v>
      </c>
      <c r="K148" s="482">
        <v>200</v>
      </c>
      <c r="L148" s="478">
        <v>1</v>
      </c>
      <c r="M148" s="485">
        <v>1</v>
      </c>
    </row>
    <row r="149" spans="2:13" x14ac:dyDescent="0.25">
      <c r="B149"/>
      <c r="H149" s="599" t="s">
        <v>1537</v>
      </c>
      <c r="I149" s="592">
        <v>61</v>
      </c>
      <c r="J149" s="593">
        <v>61</v>
      </c>
      <c r="K149" s="482">
        <v>61</v>
      </c>
      <c r="L149" s="478">
        <v>1</v>
      </c>
      <c r="M149" s="485">
        <v>1</v>
      </c>
    </row>
    <row r="150" spans="2:13" x14ac:dyDescent="0.25">
      <c r="B150"/>
      <c r="H150" s="598" t="s">
        <v>1069</v>
      </c>
      <c r="I150" s="592">
        <v>123</v>
      </c>
      <c r="J150" s="593">
        <v>51</v>
      </c>
      <c r="K150" s="482">
        <v>51</v>
      </c>
      <c r="L150" s="478">
        <v>0.41463414634146339</v>
      </c>
      <c r="M150" s="485">
        <v>0.41463414634146339</v>
      </c>
    </row>
    <row r="151" spans="2:13" x14ac:dyDescent="0.25">
      <c r="B151"/>
      <c r="H151" s="599" t="s">
        <v>374</v>
      </c>
      <c r="I151" s="592">
        <v>44</v>
      </c>
      <c r="J151" s="593">
        <v>44</v>
      </c>
      <c r="K151" s="482">
        <v>44</v>
      </c>
      <c r="L151" s="478">
        <v>1</v>
      </c>
      <c r="M151" s="485">
        <v>1</v>
      </c>
    </row>
    <row r="152" spans="2:13" x14ac:dyDescent="0.25">
      <c r="B152"/>
      <c r="H152" s="599" t="s">
        <v>290</v>
      </c>
      <c r="I152" s="592">
        <v>68</v>
      </c>
      <c r="J152" s="593">
        <v>38</v>
      </c>
      <c r="K152" s="482">
        <v>38</v>
      </c>
      <c r="L152" s="478">
        <v>0.55882352941176472</v>
      </c>
      <c r="M152" s="485">
        <v>0.55882352941176472</v>
      </c>
    </row>
    <row r="153" spans="2:13" x14ac:dyDescent="0.25">
      <c r="B153"/>
      <c r="H153" s="599" t="s">
        <v>292</v>
      </c>
      <c r="I153" s="592">
        <v>70</v>
      </c>
      <c r="J153" s="593">
        <v>0</v>
      </c>
      <c r="K153" s="482">
        <v>0</v>
      </c>
      <c r="L153" s="478">
        <v>0</v>
      </c>
      <c r="M153" s="485">
        <v>0</v>
      </c>
    </row>
    <row r="154" spans="2:13" x14ac:dyDescent="0.25">
      <c r="B154"/>
      <c r="H154" s="600" t="s">
        <v>1057</v>
      </c>
      <c r="I154" s="595">
        <v>35</v>
      </c>
      <c r="J154" s="596">
        <v>0</v>
      </c>
      <c r="K154" s="483">
        <v>0</v>
      </c>
      <c r="L154" s="479">
        <v>0</v>
      </c>
      <c r="M154" s="486">
        <v>0</v>
      </c>
    </row>
    <row r="155" spans="2:13" x14ac:dyDescent="0.25">
      <c r="B155"/>
      <c r="H155" s="597" t="s">
        <v>310</v>
      </c>
      <c r="I155" s="595"/>
      <c r="J155" s="596"/>
      <c r="K155" s="483"/>
      <c r="L155" s="479"/>
      <c r="M155" s="486"/>
    </row>
    <row r="156" spans="2:13" x14ac:dyDescent="0.25">
      <c r="B156"/>
      <c r="H156" s="601" t="s">
        <v>310</v>
      </c>
      <c r="I156" s="595">
        <v>6298</v>
      </c>
      <c r="J156" s="596">
        <v>1975</v>
      </c>
      <c r="K156" s="483">
        <v>1975</v>
      </c>
      <c r="L156" s="479">
        <v>0.31359161638615435</v>
      </c>
      <c r="M156" s="486">
        <v>0.31359161638615435</v>
      </c>
    </row>
    <row r="157" spans="2:13" x14ac:dyDescent="0.25">
      <c r="B157"/>
      <c r="H157" s="602" t="s">
        <v>353</v>
      </c>
      <c r="I157" s="595">
        <v>1355</v>
      </c>
      <c r="J157" s="596">
        <v>1195</v>
      </c>
      <c r="K157" s="483">
        <v>1195</v>
      </c>
      <c r="L157" s="479">
        <v>0.88191881918819193</v>
      </c>
      <c r="M157" s="486">
        <v>0.88191881918819193</v>
      </c>
    </row>
    <row r="158" spans="2:13" x14ac:dyDescent="0.25">
      <c r="B158"/>
      <c r="H158" s="598" t="s">
        <v>196</v>
      </c>
      <c r="I158" s="592">
        <v>1658</v>
      </c>
      <c r="J158" s="593">
        <v>463</v>
      </c>
      <c r="K158" s="482">
        <v>463</v>
      </c>
      <c r="L158" s="478">
        <v>0.2792521109770808</v>
      </c>
      <c r="M158" s="485">
        <v>0.2792521109770808</v>
      </c>
    </row>
    <row r="159" spans="2:13" x14ac:dyDescent="0.25">
      <c r="B159"/>
      <c r="H159" s="599" t="s">
        <v>1246</v>
      </c>
      <c r="I159" s="592">
        <v>177</v>
      </c>
      <c r="J159" s="593">
        <v>142</v>
      </c>
      <c r="K159" s="482">
        <v>142</v>
      </c>
      <c r="L159" s="478">
        <v>0.80225988700564976</v>
      </c>
      <c r="M159" s="485">
        <v>0.80225988700564976</v>
      </c>
    </row>
    <row r="160" spans="2:13" x14ac:dyDescent="0.25">
      <c r="B160"/>
      <c r="H160" s="599" t="s">
        <v>336</v>
      </c>
      <c r="I160" s="592">
        <v>146</v>
      </c>
      <c r="J160" s="593">
        <v>46</v>
      </c>
      <c r="K160" s="482">
        <v>46</v>
      </c>
      <c r="L160" s="478">
        <v>0.31506849315068491</v>
      </c>
      <c r="M160" s="485">
        <v>0.31506849315068491</v>
      </c>
    </row>
    <row r="161" spans="2:13" x14ac:dyDescent="0.25">
      <c r="B161"/>
      <c r="H161" s="599" t="s">
        <v>328</v>
      </c>
      <c r="I161" s="592">
        <v>143</v>
      </c>
      <c r="J161" s="593">
        <v>36</v>
      </c>
      <c r="K161" s="482">
        <v>36</v>
      </c>
      <c r="L161" s="478">
        <v>0.25174825174825177</v>
      </c>
      <c r="M161" s="485">
        <v>0.25174825174825177</v>
      </c>
    </row>
    <row r="162" spans="2:13" x14ac:dyDescent="0.25">
      <c r="B162"/>
      <c r="H162" s="598" t="s">
        <v>355</v>
      </c>
      <c r="I162" s="592">
        <v>98</v>
      </c>
      <c r="J162" s="593">
        <v>33</v>
      </c>
      <c r="K162" s="482">
        <v>33</v>
      </c>
      <c r="L162" s="478">
        <v>0.33673469387755101</v>
      </c>
      <c r="M162" s="485">
        <v>0.33673469387755101</v>
      </c>
    </row>
    <row r="163" spans="2:13" x14ac:dyDescent="0.25">
      <c r="B163"/>
      <c r="H163" s="599" t="s">
        <v>342</v>
      </c>
      <c r="I163" s="592">
        <v>65</v>
      </c>
      <c r="J163" s="593">
        <v>27</v>
      </c>
      <c r="K163" s="482">
        <v>27</v>
      </c>
      <c r="L163" s="478">
        <v>0.41538461538461541</v>
      </c>
      <c r="M163" s="485">
        <v>0.41538461538461541</v>
      </c>
    </row>
    <row r="164" spans="2:13" x14ac:dyDescent="0.25">
      <c r="B164"/>
      <c r="H164" s="599" t="s">
        <v>316</v>
      </c>
      <c r="I164" s="592">
        <v>70</v>
      </c>
      <c r="J164" s="593">
        <v>15</v>
      </c>
      <c r="K164" s="482">
        <v>15</v>
      </c>
      <c r="L164" s="478">
        <v>0.21428571428571427</v>
      </c>
      <c r="M164" s="485">
        <v>0.21428571428571427</v>
      </c>
    </row>
    <row r="165" spans="2:13" x14ac:dyDescent="0.25">
      <c r="B165"/>
      <c r="H165" s="599" t="s">
        <v>330</v>
      </c>
      <c r="I165" s="592">
        <v>222</v>
      </c>
      <c r="J165" s="593">
        <v>12</v>
      </c>
      <c r="K165" s="482">
        <v>12</v>
      </c>
      <c r="L165" s="478">
        <v>5.4054054054054057E-2</v>
      </c>
      <c r="M165" s="485">
        <v>5.4054054054054057E-2</v>
      </c>
    </row>
    <row r="166" spans="2:13" x14ac:dyDescent="0.25">
      <c r="B166"/>
      <c r="H166" s="599" t="s">
        <v>326</v>
      </c>
      <c r="I166" s="592">
        <v>46</v>
      </c>
      <c r="J166" s="593">
        <v>6</v>
      </c>
      <c r="K166" s="482">
        <v>6</v>
      </c>
      <c r="L166" s="478">
        <v>0.13043478260869565</v>
      </c>
      <c r="M166" s="485">
        <v>0.13043478260869565</v>
      </c>
    </row>
    <row r="167" spans="2:13" x14ac:dyDescent="0.25">
      <c r="B167"/>
      <c r="H167" s="599" t="s">
        <v>349</v>
      </c>
      <c r="I167" s="592">
        <v>44</v>
      </c>
      <c r="J167" s="593">
        <v>0</v>
      </c>
      <c r="K167" s="482">
        <v>0</v>
      </c>
      <c r="L167" s="478">
        <v>0</v>
      </c>
      <c r="M167" s="485">
        <v>0</v>
      </c>
    </row>
    <row r="168" spans="2:13" x14ac:dyDescent="0.25">
      <c r="B168"/>
      <c r="H168" s="599" t="s">
        <v>351</v>
      </c>
      <c r="I168" s="592">
        <v>88</v>
      </c>
      <c r="J168" s="593">
        <v>0</v>
      </c>
      <c r="K168" s="482">
        <v>0</v>
      </c>
      <c r="L168" s="478">
        <v>0</v>
      </c>
      <c r="M168" s="485">
        <v>0</v>
      </c>
    </row>
    <row r="169" spans="2:13" x14ac:dyDescent="0.25">
      <c r="B169"/>
      <c r="H169" s="599" t="s">
        <v>322</v>
      </c>
      <c r="I169" s="592">
        <v>586</v>
      </c>
      <c r="J169" s="593">
        <v>0</v>
      </c>
      <c r="K169" s="482">
        <v>0</v>
      </c>
      <c r="L169" s="478">
        <v>0</v>
      </c>
      <c r="M169" s="485">
        <v>0</v>
      </c>
    </row>
    <row r="170" spans="2:13" x14ac:dyDescent="0.25">
      <c r="B170"/>
      <c r="H170" s="599" t="s">
        <v>313</v>
      </c>
      <c r="I170" s="592">
        <v>99</v>
      </c>
      <c r="J170" s="593">
        <v>0</v>
      </c>
      <c r="K170" s="482">
        <v>0</v>
      </c>
      <c r="L170" s="478">
        <v>0</v>
      </c>
      <c r="M170" s="485">
        <v>0</v>
      </c>
    </row>
    <row r="171" spans="2:13" x14ac:dyDescent="0.25">
      <c r="B171"/>
      <c r="H171" s="599" t="s">
        <v>347</v>
      </c>
      <c r="I171" s="592">
        <v>179</v>
      </c>
      <c r="J171" s="593">
        <v>0</v>
      </c>
      <c r="K171" s="482">
        <v>0</v>
      </c>
      <c r="L171" s="478">
        <v>0</v>
      </c>
      <c r="M171" s="485">
        <v>0</v>
      </c>
    </row>
    <row r="172" spans="2:13" x14ac:dyDescent="0.25">
      <c r="B172"/>
      <c r="H172" s="599" t="s">
        <v>318</v>
      </c>
      <c r="I172" s="592">
        <v>91</v>
      </c>
      <c r="J172" s="593">
        <v>0</v>
      </c>
      <c r="K172" s="482">
        <v>0</v>
      </c>
      <c r="L172" s="478">
        <v>0</v>
      </c>
      <c r="M172" s="485">
        <v>0</v>
      </c>
    </row>
    <row r="173" spans="2:13" x14ac:dyDescent="0.25">
      <c r="B173"/>
      <c r="H173" s="599" t="s">
        <v>324</v>
      </c>
      <c r="I173" s="592">
        <v>396</v>
      </c>
      <c r="J173" s="593">
        <v>0</v>
      </c>
      <c r="K173" s="482">
        <v>0</v>
      </c>
      <c r="L173" s="478">
        <v>0</v>
      </c>
      <c r="M173" s="485">
        <v>0</v>
      </c>
    </row>
    <row r="174" spans="2:13" x14ac:dyDescent="0.25">
      <c r="B174"/>
      <c r="H174" s="599" t="s">
        <v>320</v>
      </c>
      <c r="I174" s="592">
        <v>22</v>
      </c>
      <c r="J174" s="593">
        <v>0</v>
      </c>
      <c r="K174" s="482">
        <v>0</v>
      </c>
      <c r="L174" s="478">
        <v>0</v>
      </c>
      <c r="M174" s="485">
        <v>0</v>
      </c>
    </row>
    <row r="175" spans="2:13" x14ac:dyDescent="0.25">
      <c r="B175"/>
      <c r="H175" s="599" t="s">
        <v>1248</v>
      </c>
      <c r="I175" s="592">
        <v>604</v>
      </c>
      <c r="J175" s="593">
        <v>0</v>
      </c>
      <c r="K175" s="482">
        <v>0</v>
      </c>
      <c r="L175" s="478">
        <v>0</v>
      </c>
      <c r="M175" s="485">
        <v>0</v>
      </c>
    </row>
    <row r="176" spans="2:13" x14ac:dyDescent="0.25">
      <c r="B176"/>
      <c r="H176" s="599" t="s">
        <v>338</v>
      </c>
      <c r="I176" s="592">
        <v>31</v>
      </c>
      <c r="J176" s="593">
        <v>0</v>
      </c>
      <c r="K176" s="482">
        <v>0</v>
      </c>
      <c r="L176" s="478">
        <v>0</v>
      </c>
      <c r="M176" s="485">
        <v>0</v>
      </c>
    </row>
    <row r="177" spans="2:13" x14ac:dyDescent="0.25">
      <c r="B177"/>
      <c r="H177" s="599" t="s">
        <v>334</v>
      </c>
      <c r="I177" s="592">
        <v>160</v>
      </c>
      <c r="J177" s="593">
        <v>0</v>
      </c>
      <c r="K177" s="482">
        <v>0</v>
      </c>
      <c r="L177" s="478">
        <v>0</v>
      </c>
      <c r="M177" s="485">
        <v>0</v>
      </c>
    </row>
    <row r="178" spans="2:13" x14ac:dyDescent="0.25">
      <c r="B178"/>
      <c r="H178" s="600" t="s">
        <v>344</v>
      </c>
      <c r="I178" s="595">
        <v>18</v>
      </c>
      <c r="J178" s="596">
        <v>0</v>
      </c>
      <c r="K178" s="483">
        <v>0</v>
      </c>
      <c r="L178" s="479">
        <v>0</v>
      </c>
      <c r="M178" s="486">
        <v>0</v>
      </c>
    </row>
    <row r="179" spans="2:13" x14ac:dyDescent="0.25">
      <c r="B179"/>
      <c r="H179" s="463" t="s">
        <v>1544</v>
      </c>
      <c r="I179" s="592"/>
      <c r="J179" s="593"/>
      <c r="K179" s="482"/>
      <c r="L179" s="478"/>
      <c r="M179" s="485"/>
    </row>
    <row r="180" spans="2:13" x14ac:dyDescent="0.25">
      <c r="B180"/>
      <c r="H180" s="809" t="s">
        <v>1544</v>
      </c>
      <c r="I180" s="592">
        <v>6</v>
      </c>
      <c r="J180" s="593">
        <v>6</v>
      </c>
      <c r="K180" s="482">
        <v>6</v>
      </c>
      <c r="L180" s="478">
        <v>1</v>
      </c>
      <c r="M180" s="485">
        <v>1</v>
      </c>
    </row>
    <row r="181" spans="2:13" x14ac:dyDescent="0.25">
      <c r="B181"/>
      <c r="H181" s="599" t="s">
        <v>1541</v>
      </c>
      <c r="I181" s="592">
        <v>6</v>
      </c>
      <c r="J181" s="593">
        <v>6</v>
      </c>
      <c r="K181" s="482">
        <v>6</v>
      </c>
      <c r="L181" s="478">
        <v>1</v>
      </c>
      <c r="M181" s="485">
        <v>1</v>
      </c>
    </row>
    <row r="182" spans="2:13" x14ac:dyDescent="0.25">
      <c r="B182"/>
      <c r="H182" s="597" t="s">
        <v>415</v>
      </c>
      <c r="I182" s="595">
        <v>17798</v>
      </c>
      <c r="J182" s="596">
        <v>5998</v>
      </c>
      <c r="K182" s="483">
        <v>5914</v>
      </c>
      <c r="L182" s="479">
        <v>0.33700415777053599</v>
      </c>
      <c r="M182" s="486">
        <v>0.33228452635127542</v>
      </c>
    </row>
    <row r="183" spans="2:13" x14ac:dyDescent="0.25">
      <c r="B183"/>
    </row>
    <row r="184" spans="2:13" x14ac:dyDescent="0.25">
      <c r="B184"/>
    </row>
    <row r="185" spans="2:13" x14ac:dyDescent="0.25">
      <c r="B185"/>
    </row>
    <row r="186" spans="2:13" x14ac:dyDescent="0.25">
      <c r="B186"/>
    </row>
    <row r="187" spans="2:13" x14ac:dyDescent="0.25">
      <c r="B187"/>
    </row>
    <row r="188" spans="2:13" x14ac:dyDescent="0.25">
      <c r="B188"/>
    </row>
    <row r="189" spans="2:13" x14ac:dyDescent="0.25">
      <c r="B189"/>
    </row>
    <row r="190" spans="2:13" x14ac:dyDescent="0.25">
      <c r="B190"/>
    </row>
    <row r="191" spans="2:13" x14ac:dyDescent="0.25">
      <c r="B191"/>
    </row>
    <row r="192" spans="2:13"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AQ103"/>
  <sheetViews>
    <sheetView showZeros="0" zoomScale="85" zoomScaleNormal="85" zoomScaleSheetLayoutView="100" zoomScalePageLayoutView="80" workbookViewId="0">
      <selection activeCell="X21" sqref="X21"/>
    </sheetView>
  </sheetViews>
  <sheetFormatPr defaultColWidth="9.140625" defaultRowHeight="15" x14ac:dyDescent="0.25"/>
  <cols>
    <col min="1" max="1" width="2.42578125" style="122" customWidth="1"/>
    <col min="2" max="2" width="1.85546875" style="122" customWidth="1"/>
    <col min="3" max="3" width="21.42578125" style="47" customWidth="1"/>
    <col min="4" max="4" width="8.85546875" style="47" customWidth="1"/>
    <col min="5" max="5" width="6.7109375" style="47" customWidth="1"/>
    <col min="6" max="6" width="8.28515625" style="47" customWidth="1"/>
    <col min="7" max="7" width="8.85546875" style="47" customWidth="1"/>
    <col min="8" max="8" width="8" style="47" customWidth="1"/>
    <col min="9" max="9" width="15" style="47" customWidth="1"/>
    <col min="10" max="11" width="16" style="47" customWidth="1"/>
    <col min="12" max="12" width="9.140625" style="47"/>
    <col min="13" max="13" width="8.7109375" style="47" customWidth="1"/>
    <col min="14" max="14" width="5.85546875" style="47" customWidth="1"/>
    <col min="15" max="15" width="3.140625" style="47" customWidth="1"/>
    <col min="16" max="16" width="11" style="47" customWidth="1"/>
    <col min="17" max="17" width="11" style="47" hidden="1" customWidth="1"/>
    <col min="18" max="18" width="10.5703125" style="47" hidden="1" customWidth="1"/>
    <col min="19" max="19" width="21.85546875" style="61" hidden="1" customWidth="1"/>
    <col min="20" max="20" width="21.5703125" style="61" hidden="1" customWidth="1"/>
    <col min="21" max="21" width="19.140625" style="61" hidden="1" customWidth="1"/>
    <col min="22" max="22" width="16.28515625" style="61" hidden="1" customWidth="1"/>
    <col min="23" max="23" width="7.7109375" style="61" customWidth="1"/>
    <col min="24" max="24" width="9.140625" style="61"/>
    <col min="25" max="25" width="21.140625" style="61" customWidth="1"/>
    <col min="26" max="32" width="9.140625" style="61"/>
    <col min="33" max="16384" width="9.140625" style="47"/>
  </cols>
  <sheetData>
    <row r="1" spans="2:43" s="122" customFormat="1" ht="9.75" customHeight="1" thickBot="1" x14ac:dyDescent="0.3"/>
    <row r="2" spans="2:43" s="122" customFormat="1" ht="3.6" customHeight="1" x14ac:dyDescent="0.25">
      <c r="B2" s="240"/>
      <c r="C2" s="241"/>
      <c r="D2" s="241"/>
      <c r="E2" s="241"/>
      <c r="F2" s="241"/>
      <c r="G2" s="241"/>
      <c r="H2" s="241"/>
      <c r="I2" s="241"/>
      <c r="J2" s="241"/>
      <c r="K2" s="241"/>
      <c r="L2" s="241"/>
      <c r="M2" s="241"/>
      <c r="N2" s="241"/>
      <c r="O2" s="242"/>
    </row>
    <row r="3" spans="2:43" s="1" customFormat="1" ht="28.15" customHeight="1" x14ac:dyDescent="0.25">
      <c r="B3" s="243"/>
      <c r="C3" s="256"/>
      <c r="D3" s="256"/>
      <c r="E3" s="256"/>
      <c r="F3" s="256"/>
      <c r="G3" s="256"/>
      <c r="H3" s="256"/>
      <c r="I3" s="256"/>
      <c r="J3" s="256"/>
      <c r="K3" s="256"/>
      <c r="L3" s="256"/>
      <c r="M3" s="256"/>
      <c r="N3" s="256"/>
      <c r="O3" s="244"/>
      <c r="P3" s="122"/>
      <c r="Q3" s="122"/>
      <c r="AO3" s="55"/>
      <c r="AP3" s="55"/>
    </row>
    <row r="4" spans="2:43" s="1" customFormat="1" ht="23.45" customHeight="1" x14ac:dyDescent="0.25">
      <c r="B4" s="243"/>
      <c r="C4" s="847" t="s">
        <v>591</v>
      </c>
      <c r="D4" s="847"/>
      <c r="E4" s="847"/>
      <c r="F4" s="847"/>
      <c r="G4" s="847"/>
      <c r="H4" s="847"/>
      <c r="I4" s="847"/>
      <c r="J4" s="847"/>
      <c r="K4" s="847"/>
      <c r="L4" s="233"/>
      <c r="M4" s="233"/>
      <c r="N4" s="233"/>
      <c r="O4" s="244"/>
      <c r="P4" s="122"/>
      <c r="Q4" s="122"/>
      <c r="S4" s="25" t="s">
        <v>1154</v>
      </c>
      <c r="T4" s="49">
        <f>GETPIVOTDATA("# HH",$C$21)</f>
        <v>17798</v>
      </c>
      <c r="U4" s="76"/>
      <c r="V4" s="76"/>
      <c r="W4" s="76"/>
      <c r="X4" s="76"/>
      <c r="Y4" s="76"/>
      <c r="Z4" s="76"/>
      <c r="AA4" s="76"/>
      <c r="AB4" s="76"/>
      <c r="AC4" s="76"/>
      <c r="AD4" s="76"/>
      <c r="AE4" s="76"/>
      <c r="AF4" s="76"/>
      <c r="AP4" s="55"/>
      <c r="AQ4" s="55"/>
    </row>
    <row r="5" spans="2:43" s="17" customFormat="1" ht="18" customHeight="1" x14ac:dyDescent="0.25">
      <c r="B5" s="245"/>
      <c r="C5" s="835">
        <f>Definition!B23</f>
        <v>42571</v>
      </c>
      <c r="D5" s="835"/>
      <c r="E5" s="835"/>
      <c r="F5" s="835"/>
      <c r="G5" s="835"/>
      <c r="H5" s="835"/>
      <c r="I5" s="835"/>
      <c r="J5" s="835"/>
      <c r="K5" s="237"/>
      <c r="L5" s="237"/>
      <c r="M5" s="237"/>
      <c r="N5" s="237"/>
      <c r="O5" s="246"/>
      <c r="P5" s="122"/>
      <c r="Q5" s="122"/>
      <c r="S5" s="25" t="s">
        <v>1236</v>
      </c>
      <c r="T5" s="49">
        <f>GETPIVOTDATA("# Camps",$C$21)</f>
        <v>145</v>
      </c>
      <c r="U5" s="76"/>
      <c r="V5" s="76"/>
      <c r="W5" s="76"/>
      <c r="X5" s="76"/>
      <c r="Y5" s="76"/>
      <c r="Z5" s="76"/>
      <c r="AA5" s="76"/>
      <c r="AB5" s="76"/>
      <c r="AC5" s="76"/>
      <c r="AD5" s="76"/>
      <c r="AE5" s="76"/>
      <c r="AF5" s="76"/>
      <c r="AP5" s="56"/>
      <c r="AQ5" s="56"/>
    </row>
    <row r="6" spans="2:43" s="17" customFormat="1" ht="3.6" customHeight="1" x14ac:dyDescent="0.25">
      <c r="B6" s="263"/>
      <c r="C6" s="269"/>
      <c r="D6" s="269"/>
      <c r="E6" s="269"/>
      <c r="F6" s="269"/>
      <c r="G6" s="269"/>
      <c r="H6" s="269"/>
      <c r="I6" s="269"/>
      <c r="J6" s="269"/>
      <c r="K6" s="270"/>
      <c r="L6" s="270"/>
      <c r="M6" s="270"/>
      <c r="N6" s="270"/>
      <c r="O6" s="257"/>
      <c r="P6" s="122"/>
      <c r="Q6" s="122"/>
      <c r="S6" s="25"/>
      <c r="T6" s="49"/>
      <c r="U6" s="122"/>
      <c r="V6" s="122"/>
      <c r="W6" s="122"/>
      <c r="X6" s="122"/>
      <c r="Y6" s="122"/>
      <c r="Z6" s="122"/>
      <c r="AA6" s="122"/>
      <c r="AB6" s="122"/>
      <c r="AC6" s="122"/>
      <c r="AD6" s="122"/>
      <c r="AE6" s="122"/>
      <c r="AF6" s="122"/>
      <c r="AP6" s="56"/>
      <c r="AQ6" s="56"/>
    </row>
    <row r="7" spans="2:43" ht="10.15" customHeight="1" x14ac:dyDescent="0.25">
      <c r="B7" s="263"/>
      <c r="C7" s="38"/>
      <c r="D7" s="38"/>
      <c r="E7" s="38"/>
      <c r="F7" s="38"/>
      <c r="G7" s="38"/>
      <c r="H7" s="38"/>
      <c r="I7" s="38"/>
      <c r="J7" s="38"/>
      <c r="K7" s="38"/>
      <c r="L7" s="38"/>
      <c r="M7" s="38"/>
      <c r="N7" s="38"/>
      <c r="O7" s="257"/>
      <c r="S7" s="25" t="s">
        <v>1156</v>
      </c>
      <c r="T7" s="337">
        <f>GETPIVOTDATA("# HH",$C$21)-GETPIVOTDATA("# Shelter Gap",$C$21)</f>
        <v>11800</v>
      </c>
    </row>
    <row r="8" spans="2:43" ht="10.15" customHeight="1" x14ac:dyDescent="0.25">
      <c r="B8" s="263"/>
      <c r="C8" s="38"/>
      <c r="D8" s="38"/>
      <c r="E8" s="38"/>
      <c r="F8" s="38"/>
      <c r="G8" s="38"/>
      <c r="H8" s="38"/>
      <c r="I8" s="38"/>
      <c r="J8" s="38"/>
      <c r="K8" s="38"/>
      <c r="L8" s="38"/>
      <c r="M8" s="38"/>
      <c r="N8" s="38"/>
      <c r="O8" s="257"/>
      <c r="R8" s="17"/>
      <c r="S8" s="25" t="s">
        <v>1155</v>
      </c>
      <c r="T8" s="49">
        <f>GETPIVOTDATA("# Shelter Gap",$C$21)</f>
        <v>5998</v>
      </c>
    </row>
    <row r="9" spans="2:43" ht="10.15" customHeight="1" x14ac:dyDescent="0.25">
      <c r="B9" s="263"/>
      <c r="C9" s="38"/>
      <c r="D9" s="38"/>
      <c r="E9" s="38"/>
      <c r="F9" s="38"/>
      <c r="G9" s="38"/>
      <c r="H9" s="38"/>
      <c r="I9" s="38"/>
      <c r="J9" s="38"/>
      <c r="K9" s="38"/>
      <c r="L9" s="38"/>
      <c r="M9" s="38"/>
      <c r="N9" s="38"/>
      <c r="O9" s="257"/>
      <c r="S9" s="25" t="s">
        <v>1158</v>
      </c>
      <c r="T9" s="49">
        <f>GETPIVOTDATA("# Const. Shelter",$C$21)</f>
        <v>5914</v>
      </c>
    </row>
    <row r="10" spans="2:43" ht="10.15" customHeight="1" x14ac:dyDescent="0.25">
      <c r="B10" s="263"/>
      <c r="C10" s="38"/>
      <c r="D10" s="38"/>
      <c r="E10" s="38"/>
      <c r="F10" s="38"/>
      <c r="G10" s="38"/>
      <c r="H10" s="38"/>
      <c r="I10" s="38"/>
      <c r="J10" s="38"/>
      <c r="K10" s="38"/>
      <c r="L10" s="38"/>
      <c r="M10" s="38"/>
      <c r="N10" s="38"/>
      <c r="O10" s="257"/>
      <c r="S10" s="25" t="s">
        <v>1157</v>
      </c>
      <c r="T10" s="337">
        <f>GETPIVOTDATA("# Shelter Gap",$C$21)-GETPIVOTDATA("# Const. Shelter",$C$21)</f>
        <v>84</v>
      </c>
    </row>
    <row r="11" spans="2:43" ht="10.15" customHeight="1" x14ac:dyDescent="0.25">
      <c r="B11" s="263"/>
      <c r="C11" s="38"/>
      <c r="D11" s="38"/>
      <c r="E11" s="38"/>
      <c r="F11" s="38"/>
      <c r="G11" s="38"/>
      <c r="H11" s="38"/>
      <c r="I11" s="38"/>
      <c r="J11" s="38"/>
      <c r="K11" s="38"/>
      <c r="L11" s="38"/>
      <c r="M11" s="38"/>
      <c r="N11" s="38"/>
      <c r="O11" s="257"/>
    </row>
    <row r="12" spans="2:43" ht="10.15" customHeight="1" x14ac:dyDescent="0.25">
      <c r="B12" s="263"/>
      <c r="C12" s="38"/>
      <c r="D12" s="38"/>
      <c r="E12" s="38"/>
      <c r="F12" s="38"/>
      <c r="G12" s="38"/>
      <c r="H12" s="38"/>
      <c r="I12" s="38"/>
      <c r="J12" s="38"/>
      <c r="K12" s="38"/>
      <c r="L12" s="38"/>
      <c r="M12" s="38"/>
      <c r="N12" s="38"/>
      <c r="O12" s="257"/>
    </row>
    <row r="13" spans="2:43" ht="10.15" customHeight="1" x14ac:dyDescent="0.25">
      <c r="B13" s="263"/>
      <c r="C13" s="38"/>
      <c r="D13" s="38"/>
      <c r="E13" s="38"/>
      <c r="F13" s="38"/>
      <c r="G13" s="38"/>
      <c r="H13" s="38"/>
      <c r="I13" s="38"/>
      <c r="J13" s="38"/>
      <c r="K13" s="38"/>
      <c r="L13" s="38"/>
      <c r="M13" s="38"/>
      <c r="N13" s="38"/>
      <c r="O13" s="257"/>
      <c r="S13" s="25" t="s">
        <v>1190</v>
      </c>
      <c r="T13" s="25">
        <v>0.5</v>
      </c>
    </row>
    <row r="14" spans="2:43" s="122" customFormat="1" ht="10.15" customHeight="1" x14ac:dyDescent="0.25">
      <c r="B14" s="263"/>
      <c r="C14" s="38"/>
      <c r="D14" s="38"/>
      <c r="E14" s="38"/>
      <c r="F14" s="38"/>
      <c r="G14" s="38"/>
      <c r="H14" s="38"/>
      <c r="I14" s="38"/>
      <c r="J14" s="38"/>
      <c r="K14" s="38"/>
      <c r="L14" s="38"/>
      <c r="M14" s="38"/>
      <c r="N14" s="38"/>
      <c r="O14" s="257"/>
    </row>
    <row r="15" spans="2:43" ht="7.15" customHeight="1" thickBot="1" x14ac:dyDescent="0.3">
      <c r="B15" s="263"/>
      <c r="C15" s="38"/>
      <c r="D15" s="38"/>
      <c r="E15" s="38"/>
      <c r="F15" s="38"/>
      <c r="G15" s="38"/>
      <c r="H15" s="38"/>
      <c r="I15" s="38"/>
      <c r="J15" s="258"/>
      <c r="K15" s="258"/>
      <c r="L15" s="38"/>
      <c r="M15" s="38"/>
      <c r="N15" s="38"/>
      <c r="O15" s="257"/>
    </row>
    <row r="16" spans="2:43" ht="16.5" hidden="1" thickBot="1" x14ac:dyDescent="0.3">
      <c r="B16" s="45"/>
      <c r="C16" s="1"/>
      <c r="D16" s="1"/>
      <c r="E16" s="1"/>
      <c r="F16" s="1"/>
      <c r="G16" s="1"/>
      <c r="H16" s="1"/>
      <c r="I16" s="38"/>
      <c r="J16" s="259"/>
      <c r="K16" s="259"/>
      <c r="L16" s="38"/>
      <c r="M16" s="38"/>
      <c r="N16" s="38"/>
      <c r="O16" s="257"/>
    </row>
    <row r="17" spans="2:32" ht="16.5" hidden="1" thickBot="1" x14ac:dyDescent="0.3">
      <c r="B17" s="45"/>
      <c r="C17" s="1"/>
      <c r="D17" s="1"/>
      <c r="E17" s="1"/>
      <c r="F17" s="1"/>
      <c r="G17" s="1"/>
      <c r="H17" s="1"/>
      <c r="I17" s="38"/>
      <c r="J17" s="259"/>
      <c r="K17" s="259"/>
      <c r="L17" s="38"/>
      <c r="M17" s="38"/>
      <c r="N17" s="38"/>
      <c r="O17" s="257"/>
    </row>
    <row r="18" spans="2:32" ht="16.5" hidden="1" thickBot="1" x14ac:dyDescent="0.3">
      <c r="B18" s="45"/>
      <c r="C18" s="412" t="s">
        <v>499</v>
      </c>
      <c r="D18" s="413" t="s">
        <v>501</v>
      </c>
      <c r="E18" s="1"/>
      <c r="F18" s="1"/>
      <c r="G18" s="1"/>
      <c r="H18" s="1"/>
      <c r="I18" s="38"/>
      <c r="J18" s="38"/>
      <c r="K18" s="259"/>
      <c r="L18" s="38"/>
      <c r="M18" s="38"/>
      <c r="N18" s="38"/>
      <c r="O18" s="257"/>
    </row>
    <row r="19" spans="2:32" ht="16.5" hidden="1" thickBot="1" x14ac:dyDescent="0.3">
      <c r="B19" s="45"/>
      <c r="C19" s="412" t="s">
        <v>401</v>
      </c>
      <c r="D19" s="413" t="s">
        <v>555</v>
      </c>
      <c r="E19" s="1"/>
      <c r="F19" s="1"/>
      <c r="G19" s="1"/>
      <c r="H19" s="1"/>
      <c r="I19" s="38"/>
      <c r="J19" s="38"/>
      <c r="K19" s="259"/>
      <c r="L19" s="38"/>
      <c r="M19" s="38"/>
      <c r="N19" s="38"/>
      <c r="O19" s="257"/>
    </row>
    <row r="20" spans="2:32" ht="16.5" hidden="1" thickBot="1" x14ac:dyDescent="0.3">
      <c r="B20" s="45"/>
      <c r="C20" s="1"/>
      <c r="D20" s="1"/>
      <c r="E20" s="1"/>
      <c r="F20" s="1"/>
      <c r="G20" s="1"/>
      <c r="H20" s="1"/>
      <c r="I20" s="38"/>
      <c r="J20" s="38"/>
      <c r="K20" s="259"/>
      <c r="L20" s="38"/>
      <c r="M20" s="38"/>
      <c r="N20" s="38"/>
      <c r="O20" s="257"/>
    </row>
    <row r="21" spans="2:32" ht="30" x14ac:dyDescent="0.25">
      <c r="B21" s="263"/>
      <c r="C21" s="414" t="s">
        <v>0</v>
      </c>
      <c r="D21" s="415" t="s">
        <v>1179</v>
      </c>
      <c r="E21" s="415" t="s">
        <v>1180</v>
      </c>
      <c r="F21" s="415" t="s">
        <v>1181</v>
      </c>
      <c r="G21" s="415" t="s">
        <v>1182</v>
      </c>
      <c r="H21" s="416" t="s">
        <v>1183</v>
      </c>
      <c r="I21" s="38"/>
      <c r="J21" s="38"/>
      <c r="K21" s="259"/>
      <c r="L21" s="38"/>
      <c r="M21" s="38"/>
      <c r="N21" s="38"/>
      <c r="O21" s="257"/>
      <c r="S21" s="309" t="s">
        <v>0</v>
      </c>
      <c r="T21" s="340" t="s">
        <v>1187</v>
      </c>
      <c r="U21" s="340" t="s">
        <v>1188</v>
      </c>
      <c r="V21" s="308" t="s">
        <v>1189</v>
      </c>
      <c r="AF21" s="47"/>
    </row>
    <row r="22" spans="2:32" ht="13.9" customHeight="1" x14ac:dyDescent="0.25">
      <c r="B22" s="263"/>
      <c r="C22" s="417" t="s">
        <v>5</v>
      </c>
      <c r="D22" s="410">
        <v>1290</v>
      </c>
      <c r="E22" s="411">
        <v>7195</v>
      </c>
      <c r="F22" s="403">
        <v>10</v>
      </c>
      <c r="G22" s="410">
        <v>357</v>
      </c>
      <c r="H22" s="418">
        <v>273</v>
      </c>
      <c r="I22" s="38"/>
      <c r="J22" s="38"/>
      <c r="K22" s="259"/>
      <c r="L22" s="38"/>
      <c r="M22" s="38"/>
      <c r="N22" s="38"/>
      <c r="O22" s="257"/>
      <c r="S22" s="312" t="str">
        <f>C22</f>
        <v>Bhamo</v>
      </c>
      <c r="T22" s="337">
        <f>D22-Shelter_Draw[[#This Row],[V2]]-Shelter_Draw[[#This Row],[V3]]</f>
        <v>933</v>
      </c>
      <c r="U22" s="337">
        <f t="shared" ref="U22:U31" si="0">H22</f>
        <v>273</v>
      </c>
      <c r="V22" s="385">
        <f>G22-H22</f>
        <v>84</v>
      </c>
      <c r="AF22" s="47"/>
    </row>
    <row r="23" spans="2:32" ht="13.9" customHeight="1" x14ac:dyDescent="0.25">
      <c r="B23" s="263"/>
      <c r="C23" s="417" t="s">
        <v>27</v>
      </c>
      <c r="D23" s="410">
        <v>494</v>
      </c>
      <c r="E23" s="411">
        <v>2609</v>
      </c>
      <c r="F23" s="403">
        <v>5</v>
      </c>
      <c r="G23" s="410">
        <v>314</v>
      </c>
      <c r="H23" s="418">
        <v>314</v>
      </c>
      <c r="I23" s="38"/>
      <c r="J23" s="38"/>
      <c r="K23" s="259"/>
      <c r="L23" s="38"/>
      <c r="M23" s="38"/>
      <c r="N23" s="38"/>
      <c r="O23" s="257"/>
      <c r="S23" s="312" t="str">
        <f t="shared" ref="S23:S30" si="1">C23</f>
        <v>Chipwi</v>
      </c>
      <c r="T23" s="337">
        <f>D23-Shelter_Draw[[#This Row],[V2]]-Shelter_Draw[[#This Row],[V3]]</f>
        <v>180</v>
      </c>
      <c r="U23" s="337">
        <f t="shared" si="0"/>
        <v>314</v>
      </c>
      <c r="V23" s="385">
        <f t="shared" ref="V23:V31" si="2">G23-H23</f>
        <v>0</v>
      </c>
      <c r="AF23" s="47"/>
    </row>
    <row r="24" spans="2:32" ht="13.9" customHeight="1" x14ac:dyDescent="0.25">
      <c r="B24" s="263"/>
      <c r="C24" s="417" t="s">
        <v>528</v>
      </c>
      <c r="D24" s="410">
        <v>694</v>
      </c>
      <c r="E24" s="411">
        <v>3482</v>
      </c>
      <c r="F24" s="403">
        <v>20</v>
      </c>
      <c r="G24" s="410">
        <v>290</v>
      </c>
      <c r="H24" s="418">
        <v>290</v>
      </c>
      <c r="I24" s="38"/>
      <c r="J24" s="38"/>
      <c r="K24" s="260"/>
      <c r="L24" s="38"/>
      <c r="M24" s="38"/>
      <c r="N24" s="38"/>
      <c r="O24" s="257"/>
      <c r="S24" s="312" t="str">
        <f t="shared" si="1"/>
        <v>Hpakant</v>
      </c>
      <c r="T24" s="337">
        <f>D24-Shelter_Draw[[#This Row],[V2]]-Shelter_Draw[[#This Row],[V3]]</f>
        <v>404</v>
      </c>
      <c r="U24" s="337">
        <f t="shared" si="0"/>
        <v>290</v>
      </c>
      <c r="V24" s="385">
        <f t="shared" si="2"/>
        <v>0</v>
      </c>
      <c r="AF24" s="47"/>
    </row>
    <row r="25" spans="2:32" ht="13.9" customHeight="1" x14ac:dyDescent="0.25">
      <c r="B25" s="263"/>
      <c r="C25" s="417" t="s">
        <v>780</v>
      </c>
      <c r="D25" s="410">
        <v>58</v>
      </c>
      <c r="E25" s="411">
        <v>277</v>
      </c>
      <c r="F25" s="403">
        <v>2</v>
      </c>
      <c r="G25" s="410">
        <v>23</v>
      </c>
      <c r="H25" s="418">
        <v>23</v>
      </c>
      <c r="I25" s="38"/>
      <c r="J25" s="38"/>
      <c r="K25" s="38"/>
      <c r="L25" s="38"/>
      <c r="M25" s="38"/>
      <c r="N25" s="38"/>
      <c r="O25" s="257"/>
      <c r="S25" s="312" t="str">
        <f t="shared" si="1"/>
        <v>Hseni</v>
      </c>
      <c r="T25" s="337">
        <f>D25-Shelter_Draw[[#This Row],[V2]]-Shelter_Draw[[#This Row],[V3]]</f>
        <v>35</v>
      </c>
      <c r="U25" s="337">
        <f t="shared" si="0"/>
        <v>23</v>
      </c>
      <c r="V25" s="385">
        <f t="shared" si="2"/>
        <v>0</v>
      </c>
      <c r="AF25" s="47"/>
    </row>
    <row r="26" spans="2:32" ht="13.9" customHeight="1" x14ac:dyDescent="0.25">
      <c r="B26" s="263"/>
      <c r="C26" s="417" t="s">
        <v>146</v>
      </c>
      <c r="D26" s="410">
        <v>1051</v>
      </c>
      <c r="E26" s="411">
        <v>5060</v>
      </c>
      <c r="F26" s="403">
        <v>12</v>
      </c>
      <c r="G26" s="410">
        <v>675</v>
      </c>
      <c r="H26" s="418">
        <v>675</v>
      </c>
      <c r="I26" s="38"/>
      <c r="J26" s="38"/>
      <c r="K26" s="38"/>
      <c r="L26" s="38"/>
      <c r="M26" s="38"/>
      <c r="N26" s="38"/>
      <c r="O26" s="257"/>
      <c r="S26" s="312" t="str">
        <f t="shared" si="1"/>
        <v>Kutkai</v>
      </c>
      <c r="T26" s="337">
        <f>D26-Shelter_Draw[[#This Row],[V2]]-Shelter_Draw[[#This Row],[V3]]</f>
        <v>376</v>
      </c>
      <c r="U26" s="337">
        <f t="shared" si="0"/>
        <v>675</v>
      </c>
      <c r="V26" s="385">
        <f t="shared" si="2"/>
        <v>0</v>
      </c>
      <c r="AF26" s="47"/>
    </row>
    <row r="27" spans="2:32" ht="13.9" customHeight="1" x14ac:dyDescent="0.25">
      <c r="B27" s="263"/>
      <c r="C27" s="417" t="s">
        <v>151</v>
      </c>
      <c r="D27" s="410">
        <v>2519</v>
      </c>
      <c r="E27" s="411">
        <v>11540</v>
      </c>
      <c r="F27" s="403">
        <v>10</v>
      </c>
      <c r="G27" s="410">
        <v>977</v>
      </c>
      <c r="H27" s="418">
        <v>977</v>
      </c>
      <c r="I27" s="38"/>
      <c r="J27" s="38"/>
      <c r="K27" s="38"/>
      <c r="L27" s="38"/>
      <c r="M27" s="38"/>
      <c r="N27" s="38"/>
      <c r="O27" s="257"/>
      <c r="S27" s="312" t="str">
        <f t="shared" si="1"/>
        <v>Mansi</v>
      </c>
      <c r="T27" s="337">
        <f>D27-Shelter_Draw[[#This Row],[V2]]-Shelter_Draw[[#This Row],[V3]]</f>
        <v>1542</v>
      </c>
      <c r="U27" s="337">
        <f t="shared" si="0"/>
        <v>977</v>
      </c>
      <c r="V27" s="385">
        <f t="shared" si="2"/>
        <v>0</v>
      </c>
      <c r="AF27" s="47"/>
    </row>
    <row r="28" spans="2:32" ht="13.9" customHeight="1" x14ac:dyDescent="0.25">
      <c r="B28" s="263"/>
      <c r="C28" s="417" t="s">
        <v>185</v>
      </c>
      <c r="D28" s="410">
        <v>2698</v>
      </c>
      <c r="E28" s="411">
        <v>14026</v>
      </c>
      <c r="F28" s="403">
        <v>11</v>
      </c>
      <c r="G28" s="410">
        <v>278</v>
      </c>
      <c r="H28" s="418">
        <v>278</v>
      </c>
      <c r="I28" s="38"/>
      <c r="J28" s="38"/>
      <c r="K28" s="38"/>
      <c r="L28" s="38"/>
      <c r="M28" s="38"/>
      <c r="N28" s="38"/>
      <c r="O28" s="257"/>
      <c r="S28" s="312" t="str">
        <f t="shared" si="1"/>
        <v>Momauk</v>
      </c>
      <c r="T28" s="337">
        <f>D28-Shelter_Draw[[#This Row],[V2]]-Shelter_Draw[[#This Row],[V3]]</f>
        <v>2420</v>
      </c>
      <c r="U28" s="337">
        <f t="shared" si="0"/>
        <v>278</v>
      </c>
      <c r="V28" s="385">
        <f t="shared" si="2"/>
        <v>0</v>
      </c>
      <c r="AF28" s="47"/>
    </row>
    <row r="29" spans="2:32" ht="13.9" customHeight="1" x14ac:dyDescent="0.25">
      <c r="B29" s="263"/>
      <c r="C29" s="417" t="s">
        <v>237</v>
      </c>
      <c r="D29" s="410">
        <v>1409</v>
      </c>
      <c r="E29" s="411">
        <v>7181</v>
      </c>
      <c r="F29" s="403">
        <v>24</v>
      </c>
      <c r="G29" s="410">
        <v>412</v>
      </c>
      <c r="H29" s="418">
        <v>412</v>
      </c>
      <c r="I29" s="38"/>
      <c r="J29" s="38"/>
      <c r="K29" s="38"/>
      <c r="L29" s="38"/>
      <c r="M29" s="38"/>
      <c r="N29" s="38"/>
      <c r="O29" s="257"/>
      <c r="S29" s="312" t="str">
        <f t="shared" si="1"/>
        <v>Myitkyina</v>
      </c>
      <c r="T29" s="337">
        <f>D29-Shelter_Draw[[#This Row],[V2]]-Shelter_Draw[[#This Row],[V3]]</f>
        <v>997</v>
      </c>
      <c r="U29" s="337">
        <f t="shared" si="0"/>
        <v>412</v>
      </c>
      <c r="V29" s="385">
        <f t="shared" si="2"/>
        <v>0</v>
      </c>
      <c r="AF29" s="47"/>
    </row>
    <row r="30" spans="2:32" ht="13.9" customHeight="1" x14ac:dyDescent="0.25">
      <c r="B30" s="263"/>
      <c r="C30" s="417" t="s">
        <v>289</v>
      </c>
      <c r="D30" s="410">
        <v>601</v>
      </c>
      <c r="E30" s="411">
        <v>2805</v>
      </c>
      <c r="F30" s="403">
        <v>7</v>
      </c>
      <c r="G30" s="410">
        <v>394</v>
      </c>
      <c r="H30" s="418">
        <v>394</v>
      </c>
      <c r="I30" s="38"/>
      <c r="J30" s="38"/>
      <c r="K30" s="261"/>
      <c r="L30" s="38"/>
      <c r="M30" s="38"/>
      <c r="N30" s="38"/>
      <c r="O30" s="257"/>
      <c r="S30" s="312" t="str">
        <f t="shared" si="1"/>
        <v>Namhkan</v>
      </c>
      <c r="T30" s="337">
        <f>D30-Shelter_Draw[[#This Row],[V2]]-Shelter_Draw[[#This Row],[V3]]</f>
        <v>207</v>
      </c>
      <c r="U30" s="337">
        <f t="shared" si="0"/>
        <v>394</v>
      </c>
      <c r="V30" s="385">
        <f t="shared" si="2"/>
        <v>0</v>
      </c>
      <c r="AF30" s="47"/>
    </row>
    <row r="31" spans="2:32" ht="13.9" customHeight="1" x14ac:dyDescent="0.25">
      <c r="B31" s="263"/>
      <c r="C31" s="417" t="s">
        <v>310</v>
      </c>
      <c r="D31" s="410">
        <v>6298</v>
      </c>
      <c r="E31" s="411">
        <v>31427</v>
      </c>
      <c r="F31" s="403">
        <v>22</v>
      </c>
      <c r="G31" s="410">
        <v>1975</v>
      </c>
      <c r="H31" s="418">
        <v>1975</v>
      </c>
      <c r="I31" s="38"/>
      <c r="J31" s="38"/>
      <c r="K31" s="261"/>
      <c r="L31" s="38"/>
      <c r="M31" s="38"/>
      <c r="N31" s="38"/>
      <c r="O31" s="257"/>
      <c r="S31" s="310" t="str">
        <f>C31</f>
        <v>Waingmaw</v>
      </c>
      <c r="T31" s="344">
        <f>D31-Shelter_Draw[[#This Row],[V2]]-Shelter_Draw[[#This Row],[V3]]</f>
        <v>4323</v>
      </c>
      <c r="U31" s="344">
        <f t="shared" si="0"/>
        <v>1975</v>
      </c>
      <c r="V31" s="386">
        <f t="shared" si="2"/>
        <v>0</v>
      </c>
      <c r="AF31" s="47"/>
    </row>
    <row r="32" spans="2:32" ht="13.9" customHeight="1" x14ac:dyDescent="0.25">
      <c r="B32" s="263"/>
      <c r="C32" s="417" t="s">
        <v>1186</v>
      </c>
      <c r="D32" s="410">
        <v>680</v>
      </c>
      <c r="E32" s="411">
        <v>3548</v>
      </c>
      <c r="F32" s="403">
        <v>21</v>
      </c>
      <c r="G32" s="410">
        <v>297</v>
      </c>
      <c r="H32" s="418">
        <v>297</v>
      </c>
      <c r="I32" s="38"/>
      <c r="J32" s="38"/>
      <c r="K32" s="261"/>
      <c r="L32" s="38"/>
      <c r="M32" s="38"/>
      <c r="N32" s="38"/>
      <c r="O32" s="257"/>
      <c r="AF32" s="47"/>
    </row>
    <row r="33" spans="2:32" ht="15.75" customHeight="1" x14ac:dyDescent="0.25">
      <c r="B33" s="263"/>
      <c r="C33" s="417" t="s">
        <v>1544</v>
      </c>
      <c r="D33" s="410">
        <v>6</v>
      </c>
      <c r="E33" s="411">
        <v>9</v>
      </c>
      <c r="F33" s="403">
        <v>1</v>
      </c>
      <c r="G33" s="410">
        <v>6</v>
      </c>
      <c r="H33" s="418">
        <v>6</v>
      </c>
      <c r="I33" s="38"/>
      <c r="J33" s="38"/>
      <c r="K33" s="261"/>
      <c r="L33" s="38"/>
      <c r="M33" s="38"/>
      <c r="N33" s="38"/>
      <c r="O33" s="257"/>
      <c r="AF33" s="47"/>
    </row>
    <row r="34" spans="2:32" ht="15.75" thickBot="1" x14ac:dyDescent="0.3">
      <c r="B34" s="263"/>
      <c r="C34" s="419" t="s">
        <v>3</v>
      </c>
      <c r="D34" s="420">
        <v>17798</v>
      </c>
      <c r="E34" s="421">
        <v>89159</v>
      </c>
      <c r="F34" s="422">
        <v>145</v>
      </c>
      <c r="G34" s="420">
        <v>5998</v>
      </c>
      <c r="H34" s="423">
        <v>5914</v>
      </c>
      <c r="I34" s="38"/>
      <c r="J34" s="38"/>
      <c r="K34" s="38"/>
      <c r="L34" s="38"/>
      <c r="M34" s="38"/>
      <c r="N34" s="38"/>
      <c r="O34" s="257"/>
      <c r="AF34" s="47"/>
    </row>
    <row r="35" spans="2:32" x14ac:dyDescent="0.25">
      <c r="B35" s="263"/>
      <c r="C35" s="232"/>
      <c r="D35" s="232"/>
      <c r="E35" s="232"/>
      <c r="F35" s="232"/>
      <c r="G35" s="232"/>
      <c r="H35" s="232"/>
      <c r="I35" s="38"/>
      <c r="J35" s="38"/>
      <c r="K35" s="38"/>
      <c r="L35" s="38"/>
      <c r="M35" s="38"/>
      <c r="N35" s="38"/>
      <c r="O35" s="257"/>
      <c r="AF35" s="47"/>
    </row>
    <row r="36" spans="2:32" x14ac:dyDescent="0.25">
      <c r="B36" s="263"/>
      <c r="C36" s="232"/>
      <c r="D36" s="232"/>
      <c r="E36" s="232"/>
      <c r="F36" s="232"/>
      <c r="G36" s="232"/>
      <c r="H36" s="232"/>
      <c r="I36" s="38"/>
      <c r="J36" s="38"/>
      <c r="K36" s="38"/>
      <c r="L36" s="38"/>
      <c r="M36" s="38"/>
      <c r="N36" s="38"/>
      <c r="O36" s="257"/>
      <c r="AF36" s="47"/>
    </row>
    <row r="37" spans="2:32" x14ac:dyDescent="0.25">
      <c r="B37" s="263"/>
      <c r="C37" s="232"/>
      <c r="D37" s="232"/>
      <c r="E37" s="232"/>
      <c r="F37" s="232"/>
      <c r="G37" s="232"/>
      <c r="H37" s="232"/>
      <c r="I37" s="38"/>
      <c r="J37" s="38"/>
      <c r="K37" s="38"/>
      <c r="L37" s="38"/>
      <c r="M37" s="38"/>
      <c r="N37" s="38"/>
      <c r="O37" s="257"/>
      <c r="AF37" s="47"/>
    </row>
    <row r="38" spans="2:32" x14ac:dyDescent="0.25">
      <c r="B38" s="263"/>
      <c r="C38" s="232"/>
      <c r="D38" s="232"/>
      <c r="E38" s="232"/>
      <c r="F38" s="232"/>
      <c r="G38" s="232"/>
      <c r="H38" s="232"/>
      <c r="I38" s="38"/>
      <c r="J38" s="38"/>
      <c r="K38" s="38"/>
      <c r="L38" s="38"/>
      <c r="M38" s="38"/>
      <c r="N38" s="38"/>
      <c r="O38" s="257"/>
      <c r="AF38" s="47"/>
    </row>
    <row r="39" spans="2:32" x14ac:dyDescent="0.25">
      <c r="B39" s="263"/>
      <c r="C39" s="232"/>
      <c r="D39" s="232"/>
      <c r="E39" s="232"/>
      <c r="F39" s="232"/>
      <c r="G39" s="232"/>
      <c r="H39" s="232"/>
      <c r="I39" s="38"/>
      <c r="J39" s="38"/>
      <c r="K39" s="38"/>
      <c r="L39" s="38"/>
      <c r="M39" s="38"/>
      <c r="N39" s="38"/>
      <c r="O39" s="257"/>
      <c r="AF39" s="47"/>
    </row>
    <row r="40" spans="2:32" x14ac:dyDescent="0.25">
      <c r="B40" s="263"/>
      <c r="C40" s="232"/>
      <c r="D40" s="232"/>
      <c r="E40" s="232"/>
      <c r="F40" s="232"/>
      <c r="G40" s="232"/>
      <c r="H40" s="232"/>
      <c r="I40" s="38"/>
      <c r="J40" s="38"/>
      <c r="K40" s="38"/>
      <c r="L40" s="38"/>
      <c r="M40" s="38"/>
      <c r="N40" s="38"/>
      <c r="O40" s="257"/>
    </row>
    <row r="41" spans="2:32" x14ac:dyDescent="0.25">
      <c r="B41" s="263"/>
      <c r="C41" s="232"/>
      <c r="D41" s="232"/>
      <c r="E41" s="232"/>
      <c r="F41" s="232"/>
      <c r="G41" s="232"/>
      <c r="H41" s="232"/>
      <c r="I41" s="38"/>
      <c r="J41" s="38"/>
      <c r="K41" s="38"/>
      <c r="L41" s="38"/>
      <c r="M41" s="38"/>
      <c r="N41" s="38"/>
      <c r="O41" s="257"/>
      <c r="R41" s="122"/>
    </row>
    <row r="42" spans="2:32" s="122" customFormat="1" x14ac:dyDescent="0.25">
      <c r="B42" s="263"/>
      <c r="C42" s="232"/>
      <c r="D42" s="232"/>
      <c r="E42" s="232"/>
      <c r="F42" s="232"/>
      <c r="G42" s="232"/>
      <c r="H42" s="232"/>
      <c r="I42" s="38"/>
      <c r="J42" s="38"/>
      <c r="K42" s="38"/>
      <c r="L42" s="38"/>
      <c r="M42" s="38"/>
      <c r="N42" s="38"/>
      <c r="O42" s="257"/>
    </row>
    <row r="43" spans="2:32" s="122" customFormat="1" x14ac:dyDescent="0.25">
      <c r="B43" s="263"/>
      <c r="C43" s="232"/>
      <c r="D43" s="232"/>
      <c r="E43" s="232"/>
      <c r="F43" s="232"/>
      <c r="G43" s="232"/>
      <c r="H43" s="232"/>
      <c r="I43" s="38"/>
      <c r="J43" s="38"/>
      <c r="K43" s="38"/>
      <c r="L43" s="38"/>
      <c r="M43" s="38"/>
      <c r="N43" s="38"/>
      <c r="O43" s="257"/>
    </row>
    <row r="44" spans="2:32" s="122" customFormat="1" x14ac:dyDescent="0.25">
      <c r="B44" s="263"/>
      <c r="C44" s="232"/>
      <c r="D44" s="232"/>
      <c r="E44" s="232"/>
      <c r="F44" s="232"/>
      <c r="G44" s="232"/>
      <c r="H44" s="232"/>
      <c r="I44" s="38"/>
      <c r="J44" s="38"/>
      <c r="K44" s="38"/>
      <c r="L44" s="38"/>
      <c r="M44" s="38"/>
      <c r="N44" s="38"/>
      <c r="O44" s="257"/>
    </row>
    <row r="45" spans="2:32" s="122" customFormat="1" x14ac:dyDescent="0.25">
      <c r="B45" s="263"/>
      <c r="C45" s="232"/>
      <c r="D45" s="232"/>
      <c r="E45" s="232"/>
      <c r="F45" s="232"/>
      <c r="G45" s="232"/>
      <c r="H45" s="232"/>
      <c r="I45" s="38"/>
      <c r="J45" s="38"/>
      <c r="K45" s="38"/>
      <c r="L45" s="38"/>
      <c r="M45" s="38"/>
      <c r="N45" s="38"/>
      <c r="O45" s="257"/>
    </row>
    <row r="46" spans="2:32" s="122" customFormat="1" ht="11.45" customHeight="1" x14ac:dyDescent="0.25">
      <c r="B46" s="263"/>
      <c r="C46" s="232"/>
      <c r="D46" s="232"/>
      <c r="E46" s="232"/>
      <c r="F46" s="232"/>
      <c r="G46" s="232"/>
      <c r="H46" s="232"/>
      <c r="I46" s="38"/>
      <c r="J46" s="38"/>
      <c r="K46" s="38"/>
      <c r="L46" s="38"/>
      <c r="M46" s="38"/>
      <c r="N46" s="38"/>
      <c r="O46" s="257"/>
    </row>
    <row r="47" spans="2:32" s="122" customFormat="1" ht="0.75" customHeight="1" x14ac:dyDescent="0.25">
      <c r="B47" s="263"/>
      <c r="C47" s="232"/>
      <c r="D47" s="232"/>
      <c r="E47" s="232"/>
      <c r="F47" s="232"/>
      <c r="G47" s="232"/>
      <c r="H47" s="232"/>
      <c r="I47" s="38"/>
      <c r="J47" s="38"/>
      <c r="K47" s="38"/>
      <c r="L47" s="38"/>
      <c r="M47" s="38"/>
      <c r="N47" s="38"/>
      <c r="O47" s="257"/>
    </row>
    <row r="48" spans="2:32" s="394" customFormat="1" ht="12.6" customHeight="1" x14ac:dyDescent="0.25">
      <c r="B48" s="263"/>
      <c r="C48" s="38"/>
      <c r="D48" s="38"/>
      <c r="E48" s="38"/>
      <c r="F48" s="38"/>
      <c r="G48" s="38"/>
      <c r="H48" s="38"/>
      <c r="I48" s="38"/>
      <c r="J48" s="38"/>
      <c r="K48" s="38"/>
      <c r="L48" s="38"/>
      <c r="M48" s="38"/>
      <c r="N48" s="38"/>
      <c r="O48" s="257"/>
    </row>
    <row r="49" spans="2:18" s="394" customFormat="1" ht="4.1500000000000004" customHeight="1" x14ac:dyDescent="0.25">
      <c r="B49" s="263"/>
      <c r="C49" s="38"/>
      <c r="D49" s="38"/>
      <c r="E49" s="38"/>
      <c r="F49" s="38"/>
      <c r="G49" s="38"/>
      <c r="H49" s="38"/>
      <c r="I49" s="38"/>
      <c r="J49" s="38"/>
      <c r="K49" s="38"/>
      <c r="L49" s="38"/>
      <c r="M49" s="38"/>
      <c r="N49" s="38"/>
      <c r="O49" s="257"/>
    </row>
    <row r="50" spans="2:18" s="122" customFormat="1" ht="32.450000000000003" customHeight="1" thickBot="1" x14ac:dyDescent="0.3">
      <c r="B50" s="264"/>
      <c r="C50" s="265"/>
      <c r="D50" s="266"/>
      <c r="E50" s="267"/>
      <c r="F50" s="268"/>
      <c r="G50" s="266"/>
      <c r="H50" s="266"/>
      <c r="I50" s="249"/>
      <c r="J50" s="249"/>
      <c r="K50" s="249"/>
      <c r="L50" s="249"/>
      <c r="M50" s="249"/>
      <c r="N50" s="249"/>
      <c r="O50" s="262"/>
    </row>
    <row r="51" spans="2:18" s="122" customFormat="1" x14ac:dyDescent="0.25">
      <c r="C51" s="21"/>
      <c r="D51" s="50"/>
      <c r="E51" s="127"/>
      <c r="F51" s="3"/>
      <c r="G51" s="50"/>
      <c r="H51" s="50"/>
    </row>
    <row r="52" spans="2:18" s="122" customFormat="1" x14ac:dyDescent="0.25">
      <c r="C52" s="21"/>
      <c r="D52" s="50"/>
      <c r="E52" s="127"/>
      <c r="F52" s="3"/>
      <c r="G52" s="50"/>
      <c r="H52" s="50"/>
    </row>
    <row r="53" spans="2:18" s="122" customFormat="1" x14ac:dyDescent="0.25">
      <c r="C53" s="21"/>
      <c r="D53" s="50"/>
      <c r="E53" s="127"/>
      <c r="F53" s="3"/>
      <c r="G53" s="50"/>
      <c r="H53" s="50"/>
    </row>
    <row r="54" spans="2:18" s="122" customFormat="1" x14ac:dyDescent="0.25">
      <c r="C54" s="21"/>
      <c r="D54" s="50"/>
      <c r="E54" s="127"/>
      <c r="F54" s="3"/>
      <c r="G54" s="50"/>
      <c r="H54" s="50"/>
    </row>
    <row r="55" spans="2:18" s="122" customFormat="1" x14ac:dyDescent="0.25">
      <c r="C55" s="21"/>
      <c r="D55" s="50"/>
      <c r="E55" s="127"/>
      <c r="F55" s="3"/>
      <c r="G55" s="50"/>
      <c r="H55" s="50"/>
    </row>
    <row r="56" spans="2:18" s="122" customFormat="1" x14ac:dyDescent="0.25">
      <c r="C56" s="21"/>
      <c r="D56" s="50"/>
      <c r="E56" s="127"/>
      <c r="F56" s="3"/>
      <c r="G56" s="50"/>
      <c r="H56" s="50"/>
    </row>
    <row r="57" spans="2:18" s="122" customFormat="1" x14ac:dyDescent="0.25">
      <c r="C57" s="21"/>
      <c r="D57" s="50"/>
      <c r="E57" s="127"/>
      <c r="F57" s="3"/>
      <c r="G57" s="50"/>
      <c r="H57" s="50"/>
    </row>
    <row r="58" spans="2:18" s="122" customFormat="1" x14ac:dyDescent="0.25">
      <c r="C58" s="21"/>
      <c r="D58" s="50"/>
      <c r="E58" s="127"/>
      <c r="F58" s="3"/>
      <c r="G58" s="50"/>
      <c r="H58" s="50"/>
    </row>
    <row r="59" spans="2:18" s="122" customFormat="1" x14ac:dyDescent="0.25">
      <c r="C59" s="21"/>
      <c r="D59" s="50"/>
      <c r="E59" s="127"/>
      <c r="F59" s="3"/>
      <c r="G59" s="50"/>
      <c r="H59" s="50"/>
    </row>
    <row r="60" spans="2:18" x14ac:dyDescent="0.25">
      <c r="R60" s="122"/>
    </row>
    <row r="61" spans="2:18" x14ac:dyDescent="0.25">
      <c r="R61" s="122"/>
    </row>
    <row r="62" spans="2:18" x14ac:dyDescent="0.25">
      <c r="R62" s="122"/>
    </row>
    <row r="63" spans="2:18" x14ac:dyDescent="0.25">
      <c r="R63" s="122"/>
    </row>
    <row r="64" spans="2:18" x14ac:dyDescent="0.25">
      <c r="R64" s="122"/>
    </row>
    <row r="65" spans="3:18" x14ac:dyDescent="0.25">
      <c r="R65" s="122"/>
    </row>
    <row r="66" spans="3:18" x14ac:dyDescent="0.25">
      <c r="R66" s="122"/>
    </row>
    <row r="67" spans="3:18" x14ac:dyDescent="0.25">
      <c r="R67" s="122"/>
    </row>
    <row r="68" spans="3:18" x14ac:dyDescent="0.25">
      <c r="C68" s="122"/>
      <c r="D68" s="122"/>
      <c r="E68" s="122"/>
      <c r="F68" s="122"/>
      <c r="G68" s="122"/>
      <c r="H68" s="122"/>
      <c r="R68" s="122"/>
    </row>
    <row r="69" spans="3:18" x14ac:dyDescent="0.25">
      <c r="C69" s="122"/>
      <c r="D69" s="122"/>
      <c r="E69" s="122"/>
      <c r="F69" s="122"/>
      <c r="G69" s="122"/>
      <c r="H69" s="122"/>
      <c r="R69" s="122"/>
    </row>
    <row r="70" spans="3:18" x14ac:dyDescent="0.25">
      <c r="C70" s="122"/>
      <c r="D70" s="122"/>
      <c r="E70" s="122"/>
      <c r="F70" s="122"/>
      <c r="G70" s="122"/>
      <c r="H70" s="122"/>
      <c r="R70" s="122"/>
    </row>
    <row r="71" spans="3:18" x14ac:dyDescent="0.25">
      <c r="C71" s="122"/>
      <c r="D71" s="122"/>
      <c r="E71" s="122"/>
      <c r="F71" s="122"/>
      <c r="G71" s="122"/>
      <c r="H71" s="122"/>
      <c r="R71" s="122"/>
    </row>
    <row r="72" spans="3:18" x14ac:dyDescent="0.25">
      <c r="G72" s="122"/>
      <c r="H72" s="122"/>
      <c r="R72" s="122"/>
    </row>
    <row r="73" spans="3:18" x14ac:dyDescent="0.25">
      <c r="G73" s="122"/>
      <c r="H73" s="122"/>
      <c r="R73" s="122"/>
    </row>
    <row r="74" spans="3:18" x14ac:dyDescent="0.25">
      <c r="G74" s="122"/>
      <c r="H74" s="122"/>
      <c r="R74" s="122"/>
    </row>
    <row r="75" spans="3:18" x14ac:dyDescent="0.25">
      <c r="G75"/>
      <c r="H75"/>
      <c r="I75"/>
      <c r="J75"/>
      <c r="K75"/>
      <c r="R75" s="122"/>
    </row>
    <row r="76" spans="3:18" x14ac:dyDescent="0.25">
      <c r="G76"/>
      <c r="H76"/>
      <c r="I76"/>
      <c r="J76" s="122"/>
      <c r="K76" s="122"/>
      <c r="L76" s="122"/>
      <c r="R76" s="122"/>
    </row>
    <row r="77" spans="3:18" x14ac:dyDescent="0.25">
      <c r="G77"/>
      <c r="H77"/>
      <c r="I77" s="122"/>
      <c r="J77" s="122"/>
      <c r="K77" s="122"/>
      <c r="L77" s="122"/>
      <c r="R77" s="122"/>
    </row>
    <row r="78" spans="3:18" x14ac:dyDescent="0.25">
      <c r="G78"/>
      <c r="H78"/>
      <c r="I78" s="122"/>
      <c r="J78" s="122"/>
      <c r="K78" s="122"/>
      <c r="L78" s="122"/>
      <c r="R78" s="122"/>
    </row>
    <row r="79" spans="3:18" x14ac:dyDescent="0.25">
      <c r="G79"/>
      <c r="H79"/>
      <c r="I79" s="122"/>
      <c r="J79" s="122"/>
      <c r="K79" s="122"/>
      <c r="L79" s="122"/>
      <c r="R79" s="122"/>
    </row>
    <row r="80" spans="3:18" x14ac:dyDescent="0.25">
      <c r="G80"/>
      <c r="H80"/>
      <c r="I80" s="122"/>
      <c r="J80" s="122"/>
      <c r="K80" s="122"/>
      <c r="L80" s="122"/>
      <c r="R80" s="122"/>
    </row>
    <row r="81" spans="3:18" x14ac:dyDescent="0.25">
      <c r="G81"/>
      <c r="H81"/>
      <c r="I81" s="122"/>
      <c r="J81" s="122"/>
      <c r="K81" s="122"/>
      <c r="L81" s="122"/>
      <c r="R81" s="122"/>
    </row>
    <row r="82" spans="3:18" x14ac:dyDescent="0.25">
      <c r="G82"/>
      <c r="H82"/>
      <c r="I82" s="122"/>
      <c r="J82" s="122"/>
      <c r="K82" s="122"/>
      <c r="L82" s="122"/>
      <c r="R82" s="122"/>
    </row>
    <row r="83" spans="3:18" x14ac:dyDescent="0.25">
      <c r="G83"/>
      <c r="H83"/>
      <c r="I83" s="122"/>
      <c r="J83" s="122"/>
      <c r="K83" s="122"/>
      <c r="L83" s="122"/>
      <c r="R83" s="122"/>
    </row>
    <row r="84" spans="3:18" x14ac:dyDescent="0.25">
      <c r="G84"/>
      <c r="H84"/>
      <c r="I84" s="122"/>
      <c r="J84" s="122"/>
      <c r="K84" s="122"/>
      <c r="L84" s="122"/>
      <c r="R84" s="122"/>
    </row>
    <row r="85" spans="3:18" x14ac:dyDescent="0.25">
      <c r="G85"/>
      <c r="H85"/>
      <c r="I85" s="122"/>
      <c r="J85" s="122"/>
      <c r="K85" s="122"/>
      <c r="L85" s="122"/>
      <c r="R85" s="122"/>
    </row>
    <row r="86" spans="3:18" x14ac:dyDescent="0.25">
      <c r="G86"/>
      <c r="H86"/>
      <c r="I86"/>
      <c r="J86"/>
      <c r="K86"/>
    </row>
    <row r="87" spans="3:18" x14ac:dyDescent="0.25">
      <c r="C87"/>
      <c r="D87"/>
      <c r="E87"/>
      <c r="F87"/>
      <c r="G87"/>
    </row>
    <row r="88" spans="3:18" x14ac:dyDescent="0.25">
      <c r="C88"/>
      <c r="D88"/>
      <c r="E88"/>
      <c r="F88"/>
      <c r="G88"/>
    </row>
    <row r="89" spans="3:18" x14ac:dyDescent="0.25">
      <c r="C89"/>
      <c r="D89"/>
      <c r="E89"/>
      <c r="F89"/>
      <c r="G89"/>
    </row>
    <row r="90" spans="3:18" x14ac:dyDescent="0.25">
      <c r="C90"/>
      <c r="D90"/>
      <c r="E90"/>
      <c r="F90"/>
      <c r="G90"/>
    </row>
    <row r="91" spans="3:18" x14ac:dyDescent="0.25">
      <c r="C91"/>
      <c r="D91"/>
      <c r="E91"/>
      <c r="F91"/>
      <c r="G91"/>
    </row>
    <row r="92" spans="3:18" x14ac:dyDescent="0.25">
      <c r="C92"/>
      <c r="D92"/>
      <c r="E92"/>
      <c r="F92"/>
      <c r="G92"/>
    </row>
    <row r="93" spans="3:18" x14ac:dyDescent="0.25">
      <c r="C93"/>
      <c r="D93"/>
      <c r="E93"/>
      <c r="F93"/>
      <c r="G93"/>
    </row>
    <row r="94" spans="3:18" x14ac:dyDescent="0.25">
      <c r="C94"/>
      <c r="D94"/>
      <c r="E94"/>
      <c r="F94"/>
      <c r="G94"/>
    </row>
    <row r="95" spans="3:18" x14ac:dyDescent="0.25">
      <c r="C95"/>
      <c r="D95"/>
      <c r="E95"/>
      <c r="F95"/>
      <c r="G95"/>
    </row>
    <row r="96" spans="3:18" x14ac:dyDescent="0.25">
      <c r="C96"/>
      <c r="D96"/>
      <c r="E96"/>
      <c r="F96"/>
      <c r="G96"/>
    </row>
    <row r="97" spans="3:7" x14ac:dyDescent="0.25">
      <c r="C97"/>
      <c r="D97"/>
      <c r="E97"/>
      <c r="F97"/>
      <c r="G97"/>
    </row>
    <row r="98" spans="3:7" x14ac:dyDescent="0.25">
      <c r="C98"/>
      <c r="D98"/>
      <c r="E98"/>
      <c r="F98"/>
      <c r="G98"/>
    </row>
    <row r="99" spans="3:7" x14ac:dyDescent="0.25">
      <c r="C99"/>
      <c r="D99"/>
      <c r="E99"/>
      <c r="F99"/>
      <c r="G99"/>
    </row>
    <row r="100" spans="3:7" x14ac:dyDescent="0.25">
      <c r="C100"/>
      <c r="D100"/>
      <c r="E100"/>
      <c r="F100"/>
      <c r="G100"/>
    </row>
    <row r="101" spans="3:7" x14ac:dyDescent="0.25">
      <c r="C101"/>
      <c r="D101"/>
      <c r="E101"/>
      <c r="F101"/>
      <c r="G101"/>
    </row>
    <row r="102" spans="3:7" x14ac:dyDescent="0.25">
      <c r="C102"/>
      <c r="D102"/>
      <c r="E102"/>
      <c r="F102"/>
      <c r="G102"/>
    </row>
    <row r="103" spans="3:7" x14ac:dyDescent="0.25">
      <c r="C103"/>
      <c r="D103"/>
      <c r="E103"/>
      <c r="F103"/>
      <c r="G103"/>
    </row>
  </sheetData>
  <dataConsolidate/>
  <mergeCells count="2">
    <mergeCell ref="C5:J5"/>
    <mergeCell ref="C4:K4"/>
  </mergeCells>
  <printOptions horizontalCentered="1" verticalCentered="1"/>
  <pageMargins left="0.23622047244094491" right="0.23622047244094491" top="0.17" bottom="0.17" header="0" footer="0"/>
  <pageSetup paperSize="9" orientation="landscape" horizontalDpi="1200" verticalDpi="1200" r:id="rId2"/>
  <rowBreaks count="1" manualBreakCount="1">
    <brk id="61" max="16383" man="1"/>
  </rowBreaks>
  <drawing r:id="rId3"/>
  <legacyDrawing r:id="rId4"/>
  <controls>
    <mc:AlternateContent xmlns:mc="http://schemas.openxmlformats.org/markup-compatibility/2006">
      <mc:Choice Requires="x14">
        <control shapeId="9217" r:id="rId5" name="CommandButton1">
          <controlPr defaultSize="0" autoLine="0" autoPict="0" r:id="rId6">
            <anchor moveWithCells="1">
              <from>
                <xdr:col>23</xdr:col>
                <xdr:colOff>19050</xdr:colOff>
                <xdr:row>32</xdr:row>
                <xdr:rowOff>66675</xdr:rowOff>
              </from>
              <to>
                <xdr:col>24</xdr:col>
                <xdr:colOff>523875</xdr:colOff>
                <xdr:row>33</xdr:row>
                <xdr:rowOff>171450</xdr:rowOff>
              </to>
            </anchor>
          </controlPr>
        </control>
      </mc:Choice>
      <mc:Fallback>
        <control shapeId="9217" r:id="rId5" name="CommandButton1"/>
      </mc:Fallback>
    </mc:AlternateContent>
  </controls>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XEN1340"/>
  <sheetViews>
    <sheetView showZeros="0" zoomScale="90" zoomScaleNormal="90" workbookViewId="0">
      <pane xSplit="7" ySplit="29" topLeftCell="N819" activePane="bottomRight" state="frozen"/>
      <selection pane="topRight" activeCell="H1" sqref="H1"/>
      <selection pane="bottomLeft" activeCell="A29" sqref="A29"/>
      <selection pane="bottomRight" activeCell="T17" sqref="T17"/>
    </sheetView>
  </sheetViews>
  <sheetFormatPr defaultColWidth="8.85546875" defaultRowHeight="15" x14ac:dyDescent="0.25"/>
  <cols>
    <col min="1" max="1" width="11.7109375" style="547" customWidth="1"/>
    <col min="2" max="2" width="15" style="539" customWidth="1"/>
    <col min="3" max="3" width="13.7109375" style="539" customWidth="1"/>
    <col min="4" max="4" width="13" style="539" customWidth="1"/>
    <col min="5" max="5" width="14.28515625" style="539" customWidth="1"/>
    <col min="6" max="6" width="13.85546875" style="539" customWidth="1"/>
    <col min="7" max="7" width="34.85546875" style="539" customWidth="1"/>
    <col min="8" max="8" width="9.5703125" style="821" customWidth="1"/>
    <col min="9" max="9" width="8.140625" style="821" customWidth="1"/>
    <col min="10" max="10" width="9" style="821" customWidth="1"/>
    <col min="11" max="11" width="8.42578125" style="821" customWidth="1"/>
    <col min="12" max="12" width="11.85546875" style="821" customWidth="1"/>
    <col min="13" max="13" width="7.5703125" style="821" customWidth="1"/>
    <col min="14" max="14" width="8.28515625" style="821" customWidth="1"/>
    <col min="15" max="16" width="10" style="821" customWidth="1"/>
    <col min="17" max="23" width="7.7109375" style="821" customWidth="1"/>
    <col min="24" max="24" width="7.7109375" style="100" customWidth="1"/>
    <col min="25" max="26" width="13.140625" style="104" hidden="1" customWidth="1"/>
    <col min="27" max="27" width="18.140625" style="104" hidden="1" customWidth="1"/>
    <col min="28" max="28" width="19.140625" style="104" hidden="1" customWidth="1"/>
    <col min="29" max="29" width="16.140625" style="104" hidden="1" customWidth="1"/>
    <col min="30" max="30" width="14.85546875" style="104" hidden="1" customWidth="1"/>
    <col min="31" max="31" width="17.7109375" style="104" hidden="1" customWidth="1"/>
    <col min="32" max="32" width="17.28515625" style="104" hidden="1" customWidth="1"/>
    <col min="33" max="33" width="20.42578125" style="104" hidden="1" customWidth="1"/>
    <col min="34" max="34" width="18.140625" style="104" hidden="1" customWidth="1"/>
    <col min="35" max="36" width="17.7109375" style="104" hidden="1" customWidth="1"/>
    <col min="37" max="37" width="16.42578125" style="104" hidden="1" customWidth="1"/>
    <col min="38" max="38" width="21" style="104" hidden="1" customWidth="1"/>
    <col min="39" max="39" width="11.5703125" style="104" hidden="1" customWidth="1"/>
    <col min="40" max="40" width="16" style="104" hidden="1" customWidth="1"/>
    <col min="41" max="41" width="14.85546875" style="539" customWidth="1"/>
    <col min="42" max="42" width="15.85546875" style="547" customWidth="1"/>
    <col min="43" max="43" width="9" style="539" customWidth="1"/>
    <col min="44" max="44" width="18.140625" style="539" customWidth="1"/>
    <col min="45" max="45" width="8.5703125" style="539" customWidth="1"/>
    <col min="46" max="46" width="10.5703125" style="539" customWidth="1"/>
    <col min="47" max="47" width="67.28515625" style="539" bestFit="1" customWidth="1"/>
    <col min="48" max="16384" width="8.85546875" style="539"/>
  </cols>
  <sheetData>
    <row r="1" spans="1:16368" s="520" customFormat="1" ht="36" x14ac:dyDescent="0.25">
      <c r="A1" s="283"/>
      <c r="B1" s="284"/>
      <c r="C1" s="284"/>
      <c r="D1" s="284"/>
      <c r="E1" s="284"/>
      <c r="F1" s="284"/>
      <c r="G1" s="284"/>
      <c r="H1" s="820"/>
      <c r="I1" s="825">
        <f>'NFI Summary'!W3</f>
        <v>1</v>
      </c>
      <c r="J1" s="820"/>
      <c r="K1" s="820"/>
      <c r="L1" s="820"/>
      <c r="M1" s="820"/>
      <c r="N1" s="820"/>
      <c r="O1" s="820"/>
      <c r="P1" s="820"/>
      <c r="Q1" s="820"/>
      <c r="R1" s="820"/>
      <c r="S1" s="820"/>
      <c r="T1" s="820"/>
      <c r="U1" s="820"/>
      <c r="V1" s="820"/>
      <c r="W1" s="820"/>
      <c r="X1" s="291"/>
      <c r="Y1" s="291"/>
      <c r="Z1" s="291"/>
      <c r="AA1" s="291"/>
      <c r="AB1" s="291"/>
      <c r="AC1" s="291"/>
      <c r="AD1" s="291"/>
      <c r="AE1" s="292"/>
      <c r="AF1" s="292"/>
      <c r="AG1" s="292"/>
      <c r="AH1" s="292"/>
      <c r="AI1" s="292"/>
      <c r="AJ1" s="292"/>
      <c r="AK1" s="292"/>
      <c r="AL1" s="292"/>
      <c r="AM1" s="292"/>
      <c r="AN1" s="292"/>
      <c r="AO1" s="517"/>
      <c r="AP1" s="518"/>
      <c r="AQ1" s="517"/>
      <c r="AR1" s="517"/>
      <c r="AS1" s="517"/>
      <c r="AT1" s="517"/>
      <c r="AU1" s="519"/>
      <c r="AY1" s="521"/>
      <c r="AZ1" s="521"/>
    </row>
    <row r="2" spans="1:16368" s="520" customFormat="1" ht="33" customHeight="1" x14ac:dyDescent="0.25">
      <c r="A2" s="842" t="s">
        <v>434</v>
      </c>
      <c r="B2" s="843"/>
      <c r="C2" s="843"/>
      <c r="D2" s="843"/>
      <c r="E2" s="843"/>
      <c r="F2" s="843"/>
      <c r="G2" s="843"/>
      <c r="H2" s="843"/>
      <c r="I2" s="823"/>
      <c r="J2" s="823"/>
      <c r="K2" s="823"/>
      <c r="L2" s="823"/>
      <c r="M2" s="823"/>
      <c r="N2" s="823"/>
      <c r="O2" s="823"/>
      <c r="P2" s="823"/>
      <c r="Q2" s="823"/>
      <c r="R2" s="823"/>
      <c r="S2" s="823"/>
      <c r="T2" s="823"/>
      <c r="U2" s="823"/>
      <c r="V2" s="823"/>
      <c r="W2" s="823"/>
      <c r="X2" s="98"/>
      <c r="Y2" s="99"/>
      <c r="Z2" s="99"/>
      <c r="AA2" s="99"/>
      <c r="AB2" s="99"/>
      <c r="AC2" s="99"/>
      <c r="AD2" s="99"/>
      <c r="AE2" s="99"/>
      <c r="AF2" s="99"/>
      <c r="AG2" s="99"/>
      <c r="AH2" s="99"/>
      <c r="AI2" s="99"/>
      <c r="AJ2" s="99"/>
      <c r="AK2" s="99"/>
      <c r="AL2" s="99"/>
      <c r="AM2" s="99"/>
      <c r="AN2" s="99"/>
      <c r="AO2" s="522"/>
      <c r="AP2" s="523"/>
      <c r="AQ2" s="522"/>
      <c r="AR2" s="522"/>
      <c r="AS2" s="522"/>
      <c r="AT2" s="522"/>
      <c r="AU2" s="524"/>
      <c r="AW2" s="521"/>
      <c r="AX2" s="521"/>
    </row>
    <row r="3" spans="1:16368" s="129" customFormat="1" ht="18" customHeight="1" x14ac:dyDescent="0.25">
      <c r="A3" s="844">
        <f>Definition!B23</f>
        <v>42571</v>
      </c>
      <c r="B3" s="845"/>
      <c r="C3" s="845"/>
      <c r="D3" s="845"/>
      <c r="E3" s="845"/>
      <c r="F3" s="845"/>
      <c r="G3" s="845"/>
      <c r="H3" s="845"/>
      <c r="I3" s="824"/>
      <c r="J3" s="824"/>
      <c r="K3" s="824"/>
      <c r="L3" s="824"/>
      <c r="M3" s="824"/>
      <c r="N3" s="824"/>
      <c r="O3" s="824"/>
      <c r="P3" s="824"/>
      <c r="Q3" s="824"/>
      <c r="R3" s="824"/>
      <c r="S3" s="824"/>
      <c r="T3" s="824"/>
      <c r="U3" s="824"/>
      <c r="V3" s="824"/>
      <c r="W3" s="824"/>
      <c r="X3" s="293"/>
      <c r="Y3" s="294"/>
      <c r="Z3" s="294"/>
      <c r="AA3" s="294"/>
      <c r="AB3" s="294"/>
      <c r="AC3" s="294"/>
      <c r="AD3" s="295"/>
      <c r="AE3" s="295"/>
      <c r="AF3" s="295"/>
      <c r="AG3" s="295"/>
      <c r="AH3" s="295"/>
      <c r="AI3" s="295"/>
      <c r="AJ3" s="295"/>
      <c r="AK3" s="295"/>
      <c r="AL3" s="295"/>
      <c r="AM3" s="295"/>
      <c r="AN3" s="295"/>
      <c r="AO3" s="525"/>
      <c r="AP3" s="526"/>
      <c r="AQ3" s="525"/>
      <c r="AR3" s="525"/>
      <c r="AS3" s="525"/>
      <c r="AT3" s="525"/>
      <c r="AU3" s="527"/>
      <c r="AW3" s="528"/>
      <c r="AX3" s="528"/>
    </row>
    <row r="4" spans="1:16368" s="129" customFormat="1" ht="18" hidden="1" customHeight="1" x14ac:dyDescent="0.25">
      <c r="A4" s="848"/>
      <c r="B4" s="849"/>
      <c r="C4" s="849"/>
      <c r="D4" s="42"/>
      <c r="E4" s="42"/>
      <c r="F4" s="42"/>
      <c r="G4" s="42"/>
      <c r="H4" s="102"/>
      <c r="I4" s="102"/>
      <c r="J4" s="102"/>
      <c r="K4" s="101"/>
      <c r="L4" s="102"/>
      <c r="M4" s="102"/>
      <c r="N4" s="102"/>
      <c r="O4" s="102"/>
      <c r="P4" s="102"/>
      <c r="Q4" s="102"/>
      <c r="R4" s="102"/>
      <c r="S4" s="102"/>
      <c r="T4" s="102"/>
      <c r="U4" s="102"/>
      <c r="V4" s="102"/>
      <c r="W4" s="102"/>
      <c r="X4" s="102"/>
      <c r="Y4" s="102"/>
      <c r="Z4" s="102"/>
      <c r="AA4" s="102"/>
      <c r="AB4" s="103"/>
      <c r="AC4" s="102"/>
      <c r="AD4" s="102"/>
      <c r="AE4" s="101"/>
      <c r="AF4" s="101"/>
      <c r="AG4" s="101"/>
      <c r="AH4" s="101"/>
      <c r="AI4" s="101"/>
      <c r="AJ4" s="101"/>
      <c r="AK4" s="101"/>
      <c r="AL4" s="101"/>
      <c r="AM4" s="101"/>
      <c r="AN4" s="101"/>
      <c r="AP4" s="529"/>
      <c r="AU4" s="530"/>
      <c r="AY4" s="528"/>
      <c r="AZ4" s="528"/>
    </row>
    <row r="5" spans="1:16368" s="531" customFormat="1" ht="69.75" customHeight="1" x14ac:dyDescent="0.25">
      <c r="A5" s="345" t="s">
        <v>439</v>
      </c>
      <c r="B5" s="345" t="s">
        <v>412</v>
      </c>
      <c r="C5" s="345" t="s">
        <v>402</v>
      </c>
      <c r="D5" s="345" t="s">
        <v>413</v>
      </c>
      <c r="E5" s="345" t="s">
        <v>395</v>
      </c>
      <c r="F5" s="345" t="s">
        <v>0</v>
      </c>
      <c r="G5" s="345" t="s">
        <v>394</v>
      </c>
      <c r="H5" s="345" t="s">
        <v>456</v>
      </c>
      <c r="I5" s="345" t="s">
        <v>404</v>
      </c>
      <c r="J5" s="345" t="s">
        <v>457</v>
      </c>
      <c r="K5" s="345" t="s">
        <v>596</v>
      </c>
      <c r="L5" s="345" t="s">
        <v>458</v>
      </c>
      <c r="M5" s="345" t="s">
        <v>435</v>
      </c>
      <c r="N5" s="345" t="s">
        <v>436</v>
      </c>
      <c r="O5" s="345" t="s">
        <v>1221</v>
      </c>
      <c r="P5" s="345" t="s">
        <v>578</v>
      </c>
      <c r="Q5" s="345" t="s">
        <v>579</v>
      </c>
      <c r="R5" s="345" t="s">
        <v>989</v>
      </c>
      <c r="S5" s="345" t="s">
        <v>993</v>
      </c>
      <c r="T5" s="345" t="s">
        <v>997</v>
      </c>
      <c r="U5" s="345" t="s">
        <v>1113</v>
      </c>
      <c r="V5" s="345" t="s">
        <v>1310</v>
      </c>
      <c r="W5" s="345" t="s">
        <v>1341</v>
      </c>
      <c r="X5" s="345" t="s">
        <v>1342</v>
      </c>
      <c r="Y5" s="346" t="s">
        <v>1138</v>
      </c>
      <c r="Z5" s="346" t="s">
        <v>1139</v>
      </c>
      <c r="AA5" s="346" t="s">
        <v>1140</v>
      </c>
      <c r="AB5" s="346" t="s">
        <v>1141</v>
      </c>
      <c r="AC5" s="346" t="s">
        <v>1142</v>
      </c>
      <c r="AD5" s="346" t="s">
        <v>1144</v>
      </c>
      <c r="AE5" s="346" t="s">
        <v>1143</v>
      </c>
      <c r="AF5" s="346" t="s">
        <v>1222</v>
      </c>
      <c r="AG5" s="346" t="s">
        <v>1145</v>
      </c>
      <c r="AH5" s="346" t="s">
        <v>1146</v>
      </c>
      <c r="AI5" s="346" t="s">
        <v>1147</v>
      </c>
      <c r="AJ5" s="346" t="s">
        <v>1148</v>
      </c>
      <c r="AK5" s="346" t="s">
        <v>1149</v>
      </c>
      <c r="AL5" s="346" t="s">
        <v>1150</v>
      </c>
      <c r="AM5" s="346" t="s">
        <v>1153</v>
      </c>
      <c r="AN5" s="346" t="s">
        <v>1311</v>
      </c>
      <c r="AO5" s="345" t="s">
        <v>559</v>
      </c>
      <c r="AP5" s="345" t="s">
        <v>1137</v>
      </c>
      <c r="AQ5" s="345" t="s">
        <v>499</v>
      </c>
      <c r="AR5" s="345" t="s">
        <v>1082</v>
      </c>
      <c r="AS5" s="345" t="s">
        <v>441</v>
      </c>
      <c r="AT5" s="345" t="s">
        <v>1093</v>
      </c>
      <c r="AU5" s="345" t="s">
        <v>497</v>
      </c>
    </row>
    <row r="6" spans="1:16368" s="531" customFormat="1" ht="17.25" customHeight="1" x14ac:dyDescent="0.25">
      <c r="A6" s="567">
        <f t="shared" ref="A6:A69" si="0">IF(ISBLANK(B6),"",(Report_Date-B6)/30)</f>
        <v>1.4333333333333333</v>
      </c>
      <c r="B6" s="532">
        <v>42528</v>
      </c>
      <c r="C6" s="533" t="s">
        <v>453</v>
      </c>
      <c r="D6" s="533" t="s">
        <v>461</v>
      </c>
      <c r="E6" s="533" t="s">
        <v>380</v>
      </c>
      <c r="F6" s="533" t="s">
        <v>1569</v>
      </c>
      <c r="G6" s="533" t="s">
        <v>1568</v>
      </c>
      <c r="H6" s="569"/>
      <c r="I6" s="569"/>
      <c r="J6" s="569"/>
      <c r="K6" s="569"/>
      <c r="L6" s="569"/>
      <c r="M6" s="569"/>
      <c r="N6" s="569">
        <v>25</v>
      </c>
      <c r="O6" s="569"/>
      <c r="P6" s="570"/>
      <c r="Q6" s="570"/>
      <c r="R6" s="570"/>
      <c r="S6" s="570"/>
      <c r="T6" s="570"/>
      <c r="U6" s="570"/>
      <c r="V6" s="572"/>
      <c r="W6" s="570"/>
      <c r="X6" s="570"/>
      <c r="Y6" s="573">
        <f>IF(NFI_Expiration=1,IF($A6&lt;VLOOKUP(H$5,NFI,5,0),1,0)*Table_NFI[[#This Row],[Hygiene Kit]],Table_NFI[Hygiene Kit])</f>
        <v>0</v>
      </c>
      <c r="Z6" s="574">
        <f>IF(NFI_Expiration=1,IF($A6&lt;VLOOKUP(I$5,NFI,5,0),1,0)*Table_NFI[[#This Row],[NFI Core Kit]],Table_NFI[NFI Core Kit])</f>
        <v>0</v>
      </c>
      <c r="AA6" s="573">
        <f>IF(NFI_Expiration=1,IF($A6&lt;VLOOKUP(J$5,NFI,5,0),1,0)*Table_NFI[[#This Row],[Sanitary Kit]],Table_NFI[Sanitary Kit])</f>
        <v>0</v>
      </c>
      <c r="AB6" s="570">
        <f>IF(NFI_Expiration=1,IF($A6&lt;VLOOKUP(K$5,NFI,5,0),1,0)*Table_NFI[[#This Row],[Mosquito net]],Table_NFI[Mosquito net])</f>
        <v>0</v>
      </c>
      <c r="AC6" s="575">
        <f>IF(NFI_Expiration=1,IF($A6&lt;VLOOKUP(L$5,NFI,5,0),1,0)*Table_NFI[[#This Row],[Tarpaulin]],Table_NFI[[#This Row],[Tarpaulin]])</f>
        <v>0</v>
      </c>
      <c r="AD6" s="568">
        <f>IF(NFI_Expiration=1,IF($A6&lt;VLOOKUP(M$5,NFI,5,0),1,0)*Table_NFI[[#This Row],[Blanket]],Table_NFI[[#This Row],[Blanket]])</f>
        <v>0</v>
      </c>
      <c r="AE6" s="576">
        <f>IF(NFI_Expiration=1,IF($A6&lt;VLOOKUP(N$5,NFI,5,0),1,0)*Table_NFI[[#This Row],[Kitchen Set]],Table_NFI[Kitchen Set])</f>
        <v>25</v>
      </c>
      <c r="AF6" s="577">
        <f>IF(NFI_Expiration=1,IF($A6&lt;VLOOKUP(O$5,NFI,5,0),1,0)*Table_NFI[[#This Row],[Clothes Kit]],Table_NFI[Clothes Kit])</f>
        <v>0</v>
      </c>
      <c r="AG6" s="577">
        <f>IF(NFI_Expiration=1,IF($A6&lt;VLOOKUP(P$5,NFI,5,0),1,0)*Table_NFI[[#This Row],[Plastic Bucket]],Table_NFI[Plastic Bucket])</f>
        <v>0</v>
      </c>
      <c r="AH6" s="577">
        <f>IF(NFI_Expiration=1,IF($A6&lt;VLOOKUP(Q$5,NFI,5,0),1,0)*Table_NFI[[#This Row],[Plastic Mat]],Table_NFI[Plastic Mat])*IF(Table_NFI[[#This Row],[Distribution Date]]&gt;"2014-04-01",1,2.5)</f>
        <v>0</v>
      </c>
      <c r="AI6" s="577">
        <f>IF(NFI_Expiration=1,IF($A6&lt;VLOOKUP(R$5,NFI,5,0),1,0)*Table_NFI[[#This Row],[Winter Clothes Adult]],Table_NFI[Winter Clothes Adult])</f>
        <v>0</v>
      </c>
      <c r="AJ6" s="577">
        <f>IF(NFI_Expiration=1,IF($A6&lt;VLOOKUP(S$5,NFI,5,0),1,0)*Table_NFI[[#This Row],[Winter Clothes Children]],Table_NFI[Winter Clothes Children])</f>
        <v>0</v>
      </c>
      <c r="AK6" s="577">
        <f>IF(NFI_Expiration=1,IF($A6&lt;VLOOKUP(T$5,NFI,5,0),1,0)*Table_NFI[[#This Row],[Winter Items Other]],Table_NFI[Winter Items Other])</f>
        <v>0</v>
      </c>
      <c r="AL6" s="577">
        <f>IF(NFI_Expiration=1,IF($A6&lt;VLOOKUP(M$5,NFI,5,0),1,0)*Table_NFI[[#This Row],[Winter Blanket]],Table_NFI[[#This Row],[Winter Blanket]])</f>
        <v>0</v>
      </c>
      <c r="AM6" s="577">
        <f>IF(Table_NFI[[#This Row],[Winter Clothes Adult]]+Table_NFI[[#This Row],[Winter Clothes Children]]+Table_NFI[[#This Row],[Winter Items Other]]+Table_NFI[[#This Row],[Winter Blanket]]&gt;0,1,0)</f>
        <v>0</v>
      </c>
      <c r="AN6" s="577">
        <f>IF(NFI_Expiration=1,IF($A6&lt;VLOOKUP(V$5,NFI,5,0),1,0)*Table_NFI[[#This Row],[Jerry Can]],Table_NFI[Jerry Can])</f>
        <v>0</v>
      </c>
      <c r="AO6" s="577" t="str">
        <f>IFERROR(VLOOKUP(Table_NFI[[#This Row],[Camp Name]],CL,2,0),"")</f>
        <v/>
      </c>
      <c r="AP6" s="577" t="str">
        <f ca="1">IF(Table_NFI[[#This Row],[Pcode]]="","",IF(OFFSET(CampList[Opening Date],MATCH(Table_NFI[[#This Row],[Pcode]],CampList[CP_Pcode],0)-1,0,1,1)&gt;=NFI_Monitor_Date,1,0))</f>
        <v/>
      </c>
      <c r="AQ6" s="577" t="str">
        <f>IFERROR(VLOOKUP(Table_NFI[[#This Row],[Camp Name]],CL,3,0),"")</f>
        <v/>
      </c>
      <c r="AR6" s="577" t="str">
        <f ca="1">IF(Table_NFI[[#This Row],[Pcode]]="","",OFFSET(CampList[Priority],MATCH(Table_NFI[[#This Row],[Pcode]],CampList[CP_Pcode],0)-1,0,1,1))</f>
        <v/>
      </c>
      <c r="AS6" s="577" t="str">
        <f>IFERROR(Table_NFI[[#This Row],[Kitchen Set]]/VLOOKUP(Table_NFI[[#This Row],[Camp Name]],CL,4,0),"")</f>
        <v/>
      </c>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577"/>
      <c r="DB6" s="577"/>
      <c r="DC6" s="577"/>
      <c r="DD6" s="577"/>
      <c r="DE6" s="577"/>
      <c r="DF6" s="577"/>
      <c r="DG6" s="577"/>
      <c r="DH6" s="577"/>
      <c r="DI6" s="577"/>
      <c r="DJ6" s="577"/>
      <c r="DK6" s="577"/>
      <c r="DL6" s="577"/>
      <c r="DM6" s="577"/>
      <c r="DN6" s="577"/>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7"/>
      <c r="EM6" s="577"/>
      <c r="EN6" s="577"/>
      <c r="EO6" s="577"/>
      <c r="EP6" s="577"/>
      <c r="EQ6" s="577"/>
      <c r="ER6" s="577"/>
      <c r="ES6" s="577"/>
      <c r="ET6" s="577"/>
      <c r="EU6" s="577"/>
      <c r="EV6" s="577"/>
      <c r="EW6" s="577"/>
      <c r="EX6" s="577"/>
      <c r="EY6" s="577"/>
      <c r="EZ6" s="577"/>
      <c r="FA6" s="577"/>
      <c r="FB6" s="577"/>
      <c r="FC6" s="577"/>
      <c r="FD6" s="577"/>
      <c r="FE6" s="577"/>
      <c r="FF6" s="577"/>
      <c r="FG6" s="577"/>
      <c r="FH6" s="577"/>
      <c r="FI6" s="577"/>
      <c r="FJ6" s="577"/>
      <c r="FK6" s="577"/>
      <c r="FL6" s="577"/>
      <c r="FM6" s="577"/>
      <c r="FN6" s="577"/>
      <c r="FO6" s="577"/>
      <c r="FP6" s="577"/>
      <c r="FQ6" s="577"/>
      <c r="FR6" s="577"/>
      <c r="FS6" s="577"/>
      <c r="FT6" s="577"/>
      <c r="FU6" s="577"/>
      <c r="FV6" s="577"/>
      <c r="FW6" s="577"/>
      <c r="FX6" s="577"/>
      <c r="FY6" s="577"/>
      <c r="FZ6" s="577"/>
      <c r="GA6" s="577"/>
      <c r="GB6" s="577"/>
      <c r="GC6" s="577"/>
      <c r="GD6" s="577"/>
      <c r="GE6" s="577"/>
      <c r="GF6" s="577"/>
      <c r="GG6" s="577"/>
      <c r="GH6" s="577"/>
      <c r="GI6" s="577"/>
      <c r="GJ6" s="577"/>
      <c r="GK6" s="577"/>
      <c r="GL6" s="577"/>
      <c r="GM6" s="577"/>
      <c r="GN6" s="577"/>
      <c r="GO6" s="577"/>
      <c r="GP6" s="577"/>
      <c r="GQ6" s="577"/>
      <c r="GR6" s="577"/>
      <c r="GS6" s="577"/>
      <c r="GT6" s="577"/>
      <c r="GU6" s="577"/>
      <c r="GV6" s="577"/>
      <c r="GW6" s="577"/>
      <c r="GX6" s="577"/>
      <c r="GY6" s="577"/>
      <c r="GZ6" s="577"/>
      <c r="HA6" s="577"/>
      <c r="HB6" s="577"/>
      <c r="HC6" s="577"/>
      <c r="HD6" s="577"/>
      <c r="HE6" s="577"/>
      <c r="HF6" s="577"/>
      <c r="HG6" s="577"/>
      <c r="HH6" s="577"/>
      <c r="HI6" s="577"/>
      <c r="HJ6" s="577"/>
      <c r="HK6" s="577"/>
      <c r="HL6" s="577"/>
      <c r="HM6" s="577"/>
      <c r="HN6" s="577"/>
      <c r="HO6" s="577"/>
      <c r="HP6" s="577"/>
      <c r="HQ6" s="577"/>
      <c r="HR6" s="577"/>
      <c r="HS6" s="577"/>
      <c r="HT6" s="577"/>
      <c r="HU6" s="577"/>
      <c r="HV6" s="577"/>
      <c r="HW6" s="577"/>
      <c r="HX6" s="577"/>
      <c r="HY6" s="577"/>
      <c r="HZ6" s="577"/>
      <c r="IA6" s="577"/>
      <c r="IB6" s="577"/>
      <c r="IC6" s="577"/>
      <c r="ID6" s="577"/>
      <c r="IE6" s="577"/>
      <c r="IF6" s="577"/>
      <c r="IG6" s="577"/>
      <c r="IH6" s="577"/>
      <c r="II6" s="577"/>
      <c r="IJ6" s="577"/>
      <c r="IK6" s="577"/>
      <c r="IL6" s="577"/>
      <c r="IM6" s="577"/>
      <c r="IN6" s="577"/>
      <c r="IO6" s="577"/>
      <c r="IP6" s="577"/>
      <c r="IQ6" s="577"/>
      <c r="IR6" s="577"/>
      <c r="IS6" s="577"/>
      <c r="IT6" s="577"/>
      <c r="IU6" s="577"/>
      <c r="IV6" s="577"/>
      <c r="IW6" s="577"/>
      <c r="IX6" s="577"/>
      <c r="IY6" s="577"/>
      <c r="IZ6" s="577"/>
      <c r="JA6" s="577"/>
      <c r="JB6" s="577"/>
      <c r="JC6" s="577"/>
      <c r="JD6" s="577"/>
      <c r="JE6" s="577"/>
      <c r="JF6" s="577"/>
      <c r="JG6" s="577"/>
      <c r="JH6" s="577"/>
      <c r="JI6" s="577"/>
      <c r="JJ6" s="577"/>
      <c r="JK6" s="577"/>
      <c r="JL6" s="577"/>
      <c r="JM6" s="577"/>
      <c r="JN6" s="577"/>
      <c r="JO6" s="577"/>
      <c r="JP6" s="577"/>
      <c r="JQ6" s="577"/>
      <c r="JR6" s="577"/>
      <c r="JS6" s="577"/>
      <c r="JT6" s="577"/>
      <c r="JU6" s="577"/>
      <c r="JV6" s="577"/>
      <c r="JW6" s="577"/>
      <c r="JX6" s="577"/>
      <c r="JY6" s="577"/>
      <c r="JZ6" s="577"/>
      <c r="KA6" s="577"/>
      <c r="KB6" s="577"/>
      <c r="KC6" s="577"/>
      <c r="KD6" s="577"/>
      <c r="KE6" s="577"/>
      <c r="KF6" s="577"/>
      <c r="KG6" s="577"/>
      <c r="KH6" s="577"/>
      <c r="KI6" s="577"/>
      <c r="KJ6" s="577"/>
      <c r="KK6" s="577"/>
      <c r="KL6" s="577"/>
      <c r="KM6" s="577"/>
      <c r="KN6" s="577"/>
      <c r="KO6" s="577"/>
      <c r="KP6" s="577"/>
      <c r="KQ6" s="577"/>
      <c r="KR6" s="577"/>
      <c r="KS6" s="577"/>
      <c r="KT6" s="577"/>
      <c r="KU6" s="577"/>
      <c r="KV6" s="577"/>
      <c r="KW6" s="577"/>
      <c r="KX6" s="577"/>
      <c r="KY6" s="577"/>
      <c r="KZ6" s="577"/>
      <c r="LA6" s="577"/>
      <c r="LB6" s="577"/>
      <c r="LC6" s="577"/>
      <c r="LD6" s="577"/>
      <c r="LE6" s="577"/>
      <c r="LF6" s="577"/>
      <c r="LG6" s="577"/>
      <c r="LH6" s="577"/>
      <c r="LI6" s="577"/>
      <c r="LJ6" s="577"/>
      <c r="LK6" s="577"/>
      <c r="LL6" s="577"/>
      <c r="LM6" s="577"/>
      <c r="LN6" s="577"/>
      <c r="LO6" s="577"/>
      <c r="LP6" s="577"/>
      <c r="LQ6" s="577"/>
      <c r="LR6" s="577"/>
      <c r="LS6" s="577"/>
      <c r="LT6" s="577"/>
      <c r="LU6" s="577"/>
      <c r="LV6" s="577"/>
      <c r="LW6" s="577"/>
      <c r="LX6" s="577"/>
      <c r="LY6" s="577"/>
      <c r="LZ6" s="577"/>
      <c r="MA6" s="577"/>
      <c r="MB6" s="577"/>
      <c r="MC6" s="577"/>
      <c r="MD6" s="577"/>
      <c r="ME6" s="577"/>
      <c r="MF6" s="577"/>
      <c r="MG6" s="577"/>
      <c r="MH6" s="577"/>
      <c r="MI6" s="577"/>
      <c r="MJ6" s="577"/>
      <c r="MK6" s="577"/>
      <c r="ML6" s="577"/>
      <c r="MM6" s="577"/>
      <c r="MN6" s="577"/>
      <c r="MO6" s="577"/>
      <c r="MP6" s="577"/>
      <c r="MQ6" s="577"/>
      <c r="MR6" s="577"/>
      <c r="MS6" s="577"/>
      <c r="MT6" s="577"/>
      <c r="MU6" s="577"/>
      <c r="MV6" s="577"/>
      <c r="MW6" s="577"/>
      <c r="MX6" s="577"/>
      <c r="MY6" s="577"/>
      <c r="MZ6" s="577"/>
      <c r="NA6" s="577"/>
      <c r="NB6" s="577"/>
      <c r="NC6" s="577"/>
      <c r="ND6" s="577"/>
      <c r="NE6" s="577"/>
      <c r="NF6" s="577"/>
      <c r="NG6" s="577"/>
      <c r="NH6" s="577"/>
      <c r="NI6" s="577"/>
      <c r="NJ6" s="577"/>
      <c r="NK6" s="577"/>
      <c r="NL6" s="577"/>
      <c r="NM6" s="577"/>
      <c r="NN6" s="577"/>
      <c r="NO6" s="577"/>
      <c r="NP6" s="577"/>
      <c r="NQ6" s="577"/>
      <c r="NR6" s="577"/>
      <c r="NS6" s="577"/>
      <c r="NT6" s="577"/>
      <c r="NU6" s="577"/>
      <c r="NV6" s="577"/>
      <c r="NW6" s="577"/>
      <c r="NX6" s="577"/>
      <c r="NY6" s="577"/>
      <c r="NZ6" s="577"/>
      <c r="OA6" s="577"/>
      <c r="OB6" s="577"/>
      <c r="OC6" s="577"/>
      <c r="OD6" s="577"/>
      <c r="OE6" s="577"/>
      <c r="OF6" s="577"/>
      <c r="OG6" s="577"/>
      <c r="OH6" s="577"/>
      <c r="OI6" s="577"/>
      <c r="OJ6" s="577"/>
      <c r="OK6" s="577"/>
      <c r="OL6" s="577"/>
      <c r="OM6" s="577"/>
      <c r="ON6" s="577"/>
      <c r="OO6" s="577"/>
      <c r="OP6" s="577"/>
      <c r="OQ6" s="577"/>
      <c r="OR6" s="577"/>
      <c r="OS6" s="577"/>
      <c r="OT6" s="577"/>
      <c r="OU6" s="577"/>
      <c r="OV6" s="577"/>
      <c r="OW6" s="577"/>
      <c r="OX6" s="577"/>
      <c r="OY6" s="577"/>
      <c r="OZ6" s="577"/>
      <c r="PA6" s="577"/>
      <c r="PB6" s="577"/>
      <c r="PC6" s="577"/>
      <c r="PD6" s="577"/>
      <c r="PE6" s="577"/>
      <c r="PF6" s="577"/>
      <c r="PG6" s="577"/>
      <c r="PH6" s="577"/>
      <c r="PI6" s="577"/>
      <c r="PJ6" s="577"/>
      <c r="PK6" s="577"/>
      <c r="PL6" s="577"/>
      <c r="PM6" s="577"/>
      <c r="PN6" s="577"/>
      <c r="PO6" s="577"/>
      <c r="PP6" s="577"/>
      <c r="PQ6" s="577"/>
      <c r="PR6" s="577"/>
      <c r="PS6" s="577"/>
      <c r="PT6" s="577"/>
      <c r="PU6" s="577"/>
      <c r="PV6" s="577"/>
      <c r="PW6" s="577"/>
      <c r="PX6" s="577"/>
      <c r="PY6" s="577"/>
      <c r="PZ6" s="577"/>
      <c r="QA6" s="577"/>
      <c r="QB6" s="577"/>
      <c r="QC6" s="577"/>
      <c r="QD6" s="577"/>
      <c r="QE6" s="577"/>
      <c r="QF6" s="577"/>
      <c r="QG6" s="577"/>
      <c r="QH6" s="577"/>
      <c r="QI6" s="577"/>
      <c r="QJ6" s="577"/>
      <c r="QK6" s="577"/>
      <c r="QL6" s="577"/>
      <c r="QM6" s="577"/>
      <c r="QN6" s="577"/>
      <c r="QO6" s="577"/>
      <c r="QP6" s="577"/>
      <c r="QQ6" s="577"/>
      <c r="QR6" s="577"/>
      <c r="QS6" s="577"/>
      <c r="QT6" s="577"/>
      <c r="QU6" s="577"/>
      <c r="QV6" s="577"/>
      <c r="QW6" s="577"/>
      <c r="QX6" s="577"/>
      <c r="QY6" s="577"/>
      <c r="QZ6" s="577"/>
      <c r="RA6" s="577"/>
      <c r="RB6" s="577"/>
      <c r="RC6" s="577"/>
      <c r="RD6" s="577"/>
      <c r="RE6" s="577"/>
      <c r="RF6" s="577"/>
      <c r="RG6" s="577"/>
      <c r="RH6" s="577"/>
      <c r="RI6" s="577"/>
      <c r="RJ6" s="577"/>
      <c r="RK6" s="577"/>
      <c r="RL6" s="577"/>
      <c r="RM6" s="577"/>
      <c r="RN6" s="577"/>
      <c r="RO6" s="577"/>
      <c r="RP6" s="577"/>
      <c r="RQ6" s="577"/>
      <c r="RR6" s="577"/>
      <c r="RS6" s="577"/>
      <c r="RT6" s="577"/>
      <c r="RU6" s="577"/>
      <c r="RV6" s="577"/>
      <c r="RW6" s="577"/>
      <c r="RX6" s="577"/>
      <c r="RY6" s="577"/>
      <c r="RZ6" s="577"/>
      <c r="SA6" s="577"/>
      <c r="SB6" s="577"/>
      <c r="SC6" s="577"/>
      <c r="SD6" s="577"/>
      <c r="SE6" s="577"/>
      <c r="SF6" s="577"/>
      <c r="SG6" s="577"/>
      <c r="SH6" s="577"/>
      <c r="SI6" s="577"/>
      <c r="SJ6" s="577"/>
      <c r="SK6" s="577"/>
      <c r="SL6" s="577"/>
      <c r="SM6" s="577"/>
      <c r="SN6" s="577"/>
      <c r="SO6" s="577"/>
      <c r="SP6" s="577"/>
      <c r="SQ6" s="577"/>
      <c r="SR6" s="577"/>
      <c r="SS6" s="577"/>
      <c r="ST6" s="577"/>
      <c r="SU6" s="577"/>
      <c r="SV6" s="577"/>
      <c r="SW6" s="577"/>
      <c r="SX6" s="577"/>
      <c r="SY6" s="577"/>
      <c r="SZ6" s="577"/>
      <c r="TA6" s="577"/>
      <c r="TB6" s="577"/>
      <c r="TC6" s="577"/>
      <c r="TD6" s="577"/>
      <c r="TE6" s="577"/>
      <c r="TF6" s="577"/>
      <c r="TG6" s="577"/>
      <c r="TH6" s="577"/>
      <c r="TI6" s="577"/>
      <c r="TJ6" s="577"/>
      <c r="TK6" s="577"/>
      <c r="TL6" s="577"/>
      <c r="TM6" s="577"/>
      <c r="TN6" s="577"/>
      <c r="TO6" s="577"/>
      <c r="TP6" s="577"/>
      <c r="TQ6" s="577"/>
      <c r="TR6" s="577"/>
      <c r="TS6" s="577"/>
      <c r="TT6" s="577"/>
      <c r="TU6" s="577"/>
      <c r="TV6" s="577"/>
      <c r="TW6" s="577"/>
      <c r="TX6" s="577"/>
      <c r="TY6" s="577"/>
      <c r="TZ6" s="577"/>
      <c r="UA6" s="577"/>
      <c r="UB6" s="577"/>
      <c r="UC6" s="577"/>
      <c r="UD6" s="577"/>
      <c r="UE6" s="577"/>
      <c r="UF6" s="577"/>
      <c r="UG6" s="577"/>
      <c r="UH6" s="577"/>
      <c r="UI6" s="577"/>
      <c r="UJ6" s="577"/>
      <c r="UK6" s="577"/>
      <c r="UL6" s="577"/>
      <c r="UM6" s="577"/>
      <c r="UN6" s="577"/>
      <c r="UO6" s="577"/>
      <c r="UP6" s="577"/>
      <c r="UQ6" s="577"/>
      <c r="UR6" s="577"/>
      <c r="US6" s="577"/>
      <c r="UT6" s="577"/>
      <c r="UU6" s="577"/>
      <c r="UV6" s="577"/>
      <c r="UW6" s="577"/>
      <c r="UX6" s="577"/>
      <c r="UY6" s="577"/>
      <c r="UZ6" s="577"/>
      <c r="VA6" s="577"/>
      <c r="VB6" s="577"/>
      <c r="VC6" s="577"/>
      <c r="VD6" s="577"/>
      <c r="VE6" s="577"/>
      <c r="VF6" s="577"/>
      <c r="VG6" s="577"/>
      <c r="VH6" s="577"/>
      <c r="VI6" s="577"/>
      <c r="VJ6" s="577"/>
      <c r="VK6" s="577"/>
      <c r="VL6" s="577"/>
      <c r="VM6" s="577"/>
      <c r="VN6" s="577"/>
      <c r="VO6" s="577"/>
      <c r="VP6" s="577"/>
      <c r="VQ6" s="577"/>
      <c r="VR6" s="577"/>
      <c r="VS6" s="577"/>
      <c r="VT6" s="577"/>
      <c r="VU6" s="577"/>
      <c r="VV6" s="577"/>
      <c r="VW6" s="577"/>
      <c r="VX6" s="577"/>
      <c r="VY6" s="577"/>
      <c r="VZ6" s="577"/>
      <c r="WA6" s="577"/>
      <c r="WB6" s="577"/>
      <c r="WC6" s="577"/>
      <c r="WD6" s="577"/>
      <c r="WE6" s="577"/>
      <c r="WF6" s="577"/>
      <c r="WG6" s="577"/>
      <c r="WH6" s="577"/>
      <c r="WI6" s="577"/>
      <c r="WJ6" s="577"/>
      <c r="WK6" s="577"/>
      <c r="WL6" s="577"/>
      <c r="WM6" s="577"/>
      <c r="WN6" s="577"/>
      <c r="WO6" s="577"/>
      <c r="WP6" s="577"/>
      <c r="WQ6" s="577"/>
      <c r="WR6" s="577"/>
      <c r="WS6" s="577"/>
      <c r="WT6" s="577"/>
      <c r="WU6" s="577"/>
      <c r="WV6" s="577"/>
      <c r="WW6" s="577"/>
      <c r="WX6" s="577"/>
      <c r="WY6" s="577"/>
      <c r="WZ6" s="577"/>
      <c r="XA6" s="577"/>
      <c r="XB6" s="577"/>
      <c r="XC6" s="577"/>
      <c r="XD6" s="577"/>
      <c r="XE6" s="577"/>
      <c r="XF6" s="577"/>
      <c r="XG6" s="577"/>
      <c r="XH6" s="577"/>
      <c r="XI6" s="577"/>
      <c r="XJ6" s="577"/>
      <c r="XK6" s="577"/>
      <c r="XL6" s="577"/>
      <c r="XM6" s="577"/>
      <c r="XN6" s="577"/>
      <c r="XO6" s="577"/>
      <c r="XP6" s="577"/>
      <c r="XQ6" s="577"/>
      <c r="XR6" s="577"/>
      <c r="XS6" s="577"/>
      <c r="XT6" s="577"/>
      <c r="XU6" s="577"/>
      <c r="XV6" s="577"/>
      <c r="XW6" s="577"/>
      <c r="XX6" s="577"/>
      <c r="XY6" s="577"/>
      <c r="XZ6" s="577"/>
      <c r="YA6" s="577"/>
      <c r="YB6" s="577"/>
      <c r="YC6" s="577"/>
      <c r="YD6" s="577"/>
      <c r="YE6" s="577"/>
      <c r="YF6" s="577"/>
      <c r="YG6" s="577"/>
      <c r="YH6" s="577"/>
      <c r="YI6" s="577"/>
      <c r="YJ6" s="577"/>
      <c r="YK6" s="577"/>
      <c r="YL6" s="577"/>
      <c r="YM6" s="577"/>
      <c r="YN6" s="577"/>
      <c r="YO6" s="577"/>
      <c r="YP6" s="577"/>
      <c r="YQ6" s="577"/>
      <c r="YR6" s="577"/>
      <c r="YS6" s="577"/>
      <c r="YT6" s="577"/>
      <c r="YU6" s="577"/>
      <c r="YV6" s="577"/>
      <c r="YW6" s="577"/>
      <c r="YX6" s="577"/>
      <c r="YY6" s="577"/>
      <c r="YZ6" s="577"/>
      <c r="ZA6" s="577"/>
      <c r="ZB6" s="577"/>
      <c r="ZC6" s="577"/>
      <c r="ZD6" s="577"/>
      <c r="ZE6" s="577"/>
      <c r="ZF6" s="577"/>
      <c r="ZG6" s="577"/>
      <c r="ZH6" s="577"/>
      <c r="ZI6" s="577"/>
      <c r="ZJ6" s="577"/>
      <c r="ZK6" s="577"/>
      <c r="ZL6" s="577"/>
      <c r="ZM6" s="577"/>
      <c r="ZN6" s="577"/>
      <c r="ZO6" s="577"/>
      <c r="ZP6" s="577"/>
      <c r="ZQ6" s="577"/>
      <c r="ZR6" s="577"/>
      <c r="ZS6" s="577"/>
      <c r="ZT6" s="577"/>
      <c r="ZU6" s="577"/>
      <c r="ZV6" s="577"/>
      <c r="ZW6" s="577"/>
      <c r="ZX6" s="577"/>
      <c r="ZY6" s="577"/>
      <c r="ZZ6" s="577"/>
      <c r="AAA6" s="577"/>
      <c r="AAB6" s="577"/>
      <c r="AAC6" s="577"/>
      <c r="AAD6" s="577"/>
      <c r="AAE6" s="577"/>
      <c r="AAF6" s="577"/>
      <c r="AAG6" s="577"/>
      <c r="AAH6" s="577"/>
      <c r="AAI6" s="577"/>
      <c r="AAJ6" s="577"/>
      <c r="AAK6" s="577"/>
      <c r="AAL6" s="577"/>
      <c r="AAM6" s="577"/>
      <c r="AAN6" s="577"/>
      <c r="AAO6" s="577"/>
      <c r="AAP6" s="577"/>
      <c r="AAQ6" s="577"/>
      <c r="AAR6" s="577"/>
      <c r="AAS6" s="577"/>
      <c r="AAT6" s="577"/>
      <c r="AAU6" s="577"/>
      <c r="AAV6" s="577"/>
      <c r="AAW6" s="577"/>
      <c r="AAX6" s="577"/>
      <c r="AAY6" s="577"/>
      <c r="AAZ6" s="577"/>
      <c r="ABA6" s="577"/>
      <c r="ABB6" s="577"/>
      <c r="ABC6" s="577"/>
      <c r="ABD6" s="577"/>
      <c r="ABE6" s="577"/>
      <c r="ABF6" s="577"/>
      <c r="ABG6" s="577"/>
      <c r="ABH6" s="577"/>
      <c r="ABI6" s="577"/>
      <c r="ABJ6" s="577"/>
      <c r="ABK6" s="577"/>
      <c r="ABL6" s="577"/>
      <c r="ABM6" s="577"/>
      <c r="ABN6" s="577"/>
      <c r="ABO6" s="577"/>
      <c r="ABP6" s="577"/>
      <c r="ABQ6" s="577"/>
      <c r="ABR6" s="577"/>
      <c r="ABS6" s="577"/>
      <c r="ABT6" s="577"/>
      <c r="ABU6" s="577"/>
      <c r="ABV6" s="577"/>
      <c r="ABW6" s="577"/>
      <c r="ABX6" s="577"/>
      <c r="ABY6" s="577"/>
      <c r="ABZ6" s="577"/>
      <c r="ACA6" s="577"/>
      <c r="ACB6" s="577"/>
      <c r="ACC6" s="577"/>
      <c r="ACD6" s="577"/>
      <c r="ACE6" s="577"/>
      <c r="ACF6" s="577"/>
      <c r="ACG6" s="577"/>
      <c r="ACH6" s="577"/>
      <c r="ACI6" s="577"/>
      <c r="ACJ6" s="577"/>
      <c r="ACK6" s="577"/>
      <c r="ACL6" s="577"/>
      <c r="ACM6" s="577"/>
      <c r="ACN6" s="577"/>
      <c r="ACO6" s="577"/>
      <c r="ACP6" s="577"/>
      <c r="ACQ6" s="577"/>
      <c r="ACR6" s="577"/>
      <c r="ACS6" s="577"/>
      <c r="ACT6" s="577"/>
      <c r="ACU6" s="577"/>
      <c r="ACV6" s="577"/>
      <c r="ACW6" s="577"/>
      <c r="ACX6" s="577"/>
      <c r="ACY6" s="577"/>
      <c r="ACZ6" s="577"/>
      <c r="ADA6" s="577"/>
      <c r="ADB6" s="577"/>
      <c r="ADC6" s="577"/>
      <c r="ADD6" s="577"/>
      <c r="ADE6" s="577"/>
      <c r="ADF6" s="577"/>
      <c r="ADG6" s="577"/>
      <c r="ADH6" s="577"/>
      <c r="ADI6" s="577"/>
      <c r="ADJ6" s="577"/>
      <c r="ADK6" s="577"/>
      <c r="ADL6" s="577"/>
      <c r="ADM6" s="577"/>
      <c r="ADN6" s="577"/>
      <c r="ADO6" s="577"/>
      <c r="ADP6" s="577"/>
      <c r="ADQ6" s="577"/>
      <c r="ADR6" s="577"/>
      <c r="ADS6" s="577"/>
      <c r="ADT6" s="577"/>
      <c r="ADU6" s="577"/>
      <c r="ADV6" s="577"/>
      <c r="ADW6" s="577"/>
      <c r="ADX6" s="577"/>
      <c r="ADY6" s="577"/>
      <c r="ADZ6" s="577"/>
      <c r="AEA6" s="577"/>
      <c r="AEB6" s="577"/>
      <c r="AEC6" s="577"/>
      <c r="AED6" s="577"/>
      <c r="AEE6" s="577"/>
      <c r="AEF6" s="577"/>
      <c r="AEG6" s="577"/>
      <c r="AEH6" s="577"/>
      <c r="AEI6" s="577"/>
      <c r="AEJ6" s="577"/>
      <c r="AEK6" s="577"/>
      <c r="AEL6" s="577"/>
      <c r="AEM6" s="577"/>
      <c r="AEN6" s="577"/>
      <c r="AEO6" s="577"/>
      <c r="AEP6" s="577"/>
      <c r="AEQ6" s="577"/>
      <c r="AER6" s="577"/>
      <c r="AES6" s="577"/>
      <c r="AET6" s="577"/>
      <c r="AEU6" s="577"/>
      <c r="AEV6" s="577"/>
      <c r="AEW6" s="577"/>
      <c r="AEX6" s="577"/>
      <c r="AEY6" s="577"/>
      <c r="AEZ6" s="577"/>
      <c r="AFA6" s="577"/>
      <c r="AFB6" s="577"/>
      <c r="AFC6" s="577"/>
      <c r="AFD6" s="577"/>
      <c r="AFE6" s="577"/>
      <c r="AFF6" s="577"/>
      <c r="AFG6" s="577"/>
      <c r="AFH6" s="577"/>
      <c r="AFI6" s="577"/>
      <c r="AFJ6" s="577"/>
      <c r="AFK6" s="577"/>
      <c r="AFL6" s="577"/>
      <c r="AFM6" s="577"/>
      <c r="AFN6" s="577"/>
      <c r="AFO6" s="577"/>
      <c r="AFP6" s="577"/>
      <c r="AFQ6" s="577"/>
      <c r="AFR6" s="577"/>
      <c r="AFS6" s="577"/>
      <c r="AFT6" s="577"/>
      <c r="AFU6" s="577"/>
      <c r="AFV6" s="577"/>
      <c r="AFW6" s="577"/>
      <c r="AFX6" s="577"/>
      <c r="AFY6" s="577"/>
      <c r="AFZ6" s="577"/>
      <c r="AGA6" s="577"/>
      <c r="AGB6" s="577"/>
      <c r="AGC6" s="577"/>
      <c r="AGD6" s="577"/>
      <c r="AGE6" s="577"/>
      <c r="AGF6" s="577"/>
      <c r="AGG6" s="577"/>
      <c r="AGH6" s="577"/>
      <c r="AGI6" s="577"/>
      <c r="AGJ6" s="577"/>
      <c r="AGK6" s="577"/>
      <c r="AGL6" s="577"/>
      <c r="AGM6" s="577"/>
      <c r="AGN6" s="577"/>
      <c r="AGO6" s="577"/>
      <c r="AGP6" s="577"/>
      <c r="AGQ6" s="577"/>
      <c r="AGR6" s="577"/>
      <c r="AGS6" s="577"/>
      <c r="AGT6" s="577"/>
      <c r="AGU6" s="577"/>
      <c r="AGV6" s="577"/>
      <c r="AGW6" s="577"/>
      <c r="AGX6" s="577"/>
      <c r="AGY6" s="577"/>
      <c r="AGZ6" s="577"/>
      <c r="AHA6" s="577"/>
      <c r="AHB6" s="577"/>
      <c r="AHC6" s="577"/>
      <c r="AHD6" s="577"/>
      <c r="AHE6" s="577"/>
      <c r="AHF6" s="577"/>
      <c r="AHG6" s="577"/>
      <c r="AHH6" s="577"/>
      <c r="AHI6" s="577"/>
      <c r="AHJ6" s="577"/>
      <c r="AHK6" s="577"/>
      <c r="AHL6" s="577"/>
      <c r="AHM6" s="577"/>
      <c r="AHN6" s="577"/>
      <c r="AHO6" s="577"/>
      <c r="AHP6" s="577"/>
      <c r="AHQ6" s="577"/>
      <c r="AHR6" s="577"/>
      <c r="AHS6" s="577"/>
      <c r="AHT6" s="577"/>
      <c r="AHU6" s="577"/>
      <c r="AHV6" s="577"/>
      <c r="AHW6" s="577"/>
      <c r="AHX6" s="577"/>
      <c r="AHY6" s="577"/>
      <c r="AHZ6" s="577"/>
      <c r="AIA6" s="577"/>
      <c r="AIB6" s="577"/>
      <c r="AIC6" s="577"/>
      <c r="AID6" s="577"/>
      <c r="AIE6" s="577"/>
      <c r="AIF6" s="577"/>
      <c r="AIG6" s="577"/>
      <c r="AIH6" s="577"/>
      <c r="AII6" s="577"/>
      <c r="AIJ6" s="577"/>
      <c r="AIK6" s="577"/>
      <c r="AIL6" s="577"/>
      <c r="AIM6" s="577"/>
      <c r="AIN6" s="577"/>
      <c r="AIO6" s="577"/>
      <c r="AIP6" s="577"/>
      <c r="AIQ6" s="577"/>
      <c r="AIR6" s="577"/>
      <c r="AIS6" s="577"/>
      <c r="AIT6" s="577"/>
      <c r="AIU6" s="577"/>
      <c r="AIV6" s="577"/>
      <c r="AIW6" s="577"/>
      <c r="AIX6" s="577"/>
      <c r="AIY6" s="577"/>
      <c r="AIZ6" s="577"/>
      <c r="AJA6" s="577"/>
      <c r="AJB6" s="577"/>
      <c r="AJC6" s="577"/>
      <c r="AJD6" s="577"/>
      <c r="AJE6" s="577"/>
      <c r="AJF6" s="577"/>
      <c r="AJG6" s="577"/>
      <c r="AJH6" s="577"/>
      <c r="AJI6" s="577"/>
      <c r="AJJ6" s="577"/>
      <c r="AJK6" s="577"/>
      <c r="AJL6" s="577"/>
      <c r="AJM6" s="577"/>
      <c r="AJN6" s="577"/>
      <c r="AJO6" s="577"/>
      <c r="AJP6" s="577"/>
      <c r="AJQ6" s="577"/>
      <c r="AJR6" s="577"/>
      <c r="AJS6" s="577"/>
      <c r="AJT6" s="577"/>
      <c r="AJU6" s="577"/>
      <c r="AJV6" s="577"/>
      <c r="AJW6" s="577"/>
      <c r="AJX6" s="577"/>
      <c r="AJY6" s="577"/>
      <c r="AJZ6" s="577"/>
      <c r="AKA6" s="577"/>
      <c r="AKB6" s="577"/>
      <c r="AKC6" s="577"/>
      <c r="AKD6" s="577"/>
      <c r="AKE6" s="577"/>
      <c r="AKF6" s="577"/>
      <c r="AKG6" s="577"/>
      <c r="AKH6" s="577"/>
      <c r="AKI6" s="577"/>
      <c r="AKJ6" s="577"/>
      <c r="AKK6" s="577"/>
      <c r="AKL6" s="577"/>
      <c r="AKM6" s="577"/>
      <c r="AKN6" s="577"/>
      <c r="AKO6" s="577"/>
      <c r="AKP6" s="577"/>
      <c r="AKQ6" s="577"/>
      <c r="AKR6" s="577"/>
      <c r="AKS6" s="577"/>
      <c r="AKT6" s="577"/>
      <c r="AKU6" s="577"/>
      <c r="AKV6" s="577"/>
      <c r="AKW6" s="577"/>
      <c r="AKX6" s="577"/>
      <c r="AKY6" s="577"/>
      <c r="AKZ6" s="577"/>
      <c r="ALA6" s="577"/>
      <c r="ALB6" s="577"/>
      <c r="ALC6" s="577"/>
      <c r="ALD6" s="577"/>
      <c r="ALE6" s="577"/>
      <c r="ALF6" s="577"/>
      <c r="ALG6" s="577"/>
      <c r="ALH6" s="577"/>
      <c r="ALI6" s="577"/>
      <c r="ALJ6" s="577"/>
      <c r="ALK6" s="577"/>
      <c r="ALL6" s="577"/>
      <c r="ALM6" s="577"/>
      <c r="ALN6" s="577"/>
      <c r="ALO6" s="577"/>
      <c r="ALP6" s="577"/>
      <c r="ALQ6" s="577"/>
      <c r="ALR6" s="577"/>
      <c r="ALS6" s="577"/>
      <c r="ALT6" s="577"/>
      <c r="ALU6" s="577"/>
      <c r="ALV6" s="577"/>
      <c r="ALW6" s="577"/>
      <c r="ALX6" s="577"/>
      <c r="ALY6" s="577"/>
      <c r="ALZ6" s="577"/>
      <c r="AMA6" s="577"/>
      <c r="AMB6" s="577"/>
      <c r="AMC6" s="577"/>
      <c r="AMD6" s="577"/>
      <c r="AME6" s="577"/>
      <c r="AMF6" s="577"/>
      <c r="AMG6" s="577"/>
      <c r="AMH6" s="577"/>
      <c r="AMI6" s="577"/>
      <c r="AMJ6" s="577"/>
      <c r="AMK6" s="577"/>
      <c r="AML6" s="577"/>
      <c r="AMM6" s="577"/>
      <c r="AMN6" s="577"/>
      <c r="AMO6" s="577"/>
      <c r="AMP6" s="577"/>
      <c r="AMQ6" s="577"/>
      <c r="AMR6" s="577"/>
      <c r="AMS6" s="577"/>
      <c r="AMT6" s="577"/>
      <c r="AMU6" s="577"/>
      <c r="AMV6" s="577"/>
      <c r="AMW6" s="577"/>
      <c r="AMX6" s="577"/>
      <c r="AMY6" s="577"/>
      <c r="AMZ6" s="577"/>
      <c r="ANA6" s="577"/>
      <c r="ANB6" s="577"/>
      <c r="ANC6" s="577"/>
      <c r="AND6" s="577"/>
      <c r="ANE6" s="577"/>
      <c r="ANF6" s="577"/>
      <c r="ANG6" s="577"/>
      <c r="ANH6" s="577"/>
      <c r="ANI6" s="577"/>
      <c r="ANJ6" s="577"/>
      <c r="ANK6" s="577"/>
      <c r="ANL6" s="577"/>
      <c r="ANM6" s="577"/>
      <c r="ANN6" s="577"/>
      <c r="ANO6" s="577"/>
      <c r="ANP6" s="577"/>
      <c r="ANQ6" s="577"/>
      <c r="ANR6" s="577"/>
      <c r="ANS6" s="577"/>
      <c r="ANT6" s="577"/>
      <c r="ANU6" s="577"/>
      <c r="ANV6" s="577"/>
      <c r="ANW6" s="577"/>
      <c r="ANX6" s="577"/>
      <c r="ANY6" s="577"/>
      <c r="ANZ6" s="577"/>
      <c r="AOA6" s="577"/>
      <c r="AOB6" s="577"/>
      <c r="AOC6" s="577"/>
      <c r="AOD6" s="577"/>
      <c r="AOE6" s="577"/>
      <c r="AOF6" s="577"/>
      <c r="AOG6" s="577"/>
      <c r="AOH6" s="577"/>
      <c r="AOI6" s="577"/>
      <c r="AOJ6" s="577"/>
      <c r="AOK6" s="577"/>
      <c r="AOL6" s="577"/>
      <c r="AOM6" s="577"/>
      <c r="AON6" s="577"/>
      <c r="AOO6" s="577"/>
      <c r="AOP6" s="577"/>
      <c r="AOQ6" s="577"/>
      <c r="AOR6" s="577"/>
      <c r="AOS6" s="577"/>
      <c r="AOT6" s="577"/>
      <c r="AOU6" s="577"/>
      <c r="AOV6" s="577"/>
      <c r="AOW6" s="577"/>
      <c r="AOX6" s="577"/>
      <c r="AOY6" s="577"/>
      <c r="AOZ6" s="577"/>
      <c r="APA6" s="577"/>
      <c r="APB6" s="577"/>
      <c r="APC6" s="577"/>
      <c r="APD6" s="577"/>
      <c r="APE6" s="577"/>
      <c r="APF6" s="577"/>
      <c r="APG6" s="577"/>
      <c r="APH6" s="577"/>
      <c r="API6" s="577"/>
      <c r="APJ6" s="577"/>
      <c r="APK6" s="577"/>
      <c r="APL6" s="577"/>
      <c r="APM6" s="577"/>
      <c r="APN6" s="577"/>
      <c r="APO6" s="577"/>
      <c r="APP6" s="577"/>
      <c r="APQ6" s="577"/>
      <c r="APR6" s="577"/>
      <c r="APS6" s="577"/>
      <c r="APT6" s="577"/>
      <c r="APU6" s="577"/>
      <c r="APV6" s="577"/>
      <c r="APW6" s="577"/>
      <c r="APX6" s="577"/>
      <c r="APY6" s="577"/>
      <c r="APZ6" s="577"/>
      <c r="AQA6" s="577"/>
      <c r="AQB6" s="577"/>
      <c r="AQC6" s="577"/>
      <c r="AQD6" s="577"/>
      <c r="AQE6" s="577"/>
      <c r="AQF6" s="577"/>
      <c r="AQG6" s="577"/>
      <c r="AQH6" s="577"/>
      <c r="AQI6" s="577"/>
      <c r="AQJ6" s="577"/>
      <c r="AQK6" s="577"/>
      <c r="AQL6" s="577"/>
      <c r="AQM6" s="577"/>
      <c r="AQN6" s="577"/>
      <c r="AQO6" s="577"/>
      <c r="AQP6" s="577"/>
      <c r="AQQ6" s="577"/>
      <c r="AQR6" s="577"/>
      <c r="AQS6" s="577"/>
      <c r="AQT6" s="577"/>
      <c r="AQU6" s="577"/>
      <c r="AQV6" s="577"/>
      <c r="AQW6" s="577"/>
      <c r="AQX6" s="577"/>
      <c r="AQY6" s="577"/>
      <c r="AQZ6" s="577"/>
      <c r="ARA6" s="577"/>
      <c r="ARB6" s="577"/>
      <c r="ARC6" s="577"/>
      <c r="ARD6" s="577"/>
      <c r="ARE6" s="577"/>
      <c r="ARF6" s="577"/>
      <c r="ARG6" s="577"/>
      <c r="ARH6" s="577"/>
      <c r="ARI6" s="577"/>
      <c r="ARJ6" s="577"/>
      <c r="ARK6" s="577"/>
      <c r="ARL6" s="577"/>
      <c r="ARM6" s="577"/>
      <c r="ARN6" s="577"/>
      <c r="ARO6" s="577"/>
      <c r="ARP6" s="577"/>
      <c r="ARQ6" s="577"/>
      <c r="ARR6" s="577"/>
      <c r="ARS6" s="577"/>
      <c r="ART6" s="577"/>
      <c r="ARU6" s="577"/>
      <c r="ARV6" s="577"/>
      <c r="ARW6" s="577"/>
      <c r="ARX6" s="577"/>
      <c r="ARY6" s="577"/>
      <c r="ARZ6" s="577"/>
      <c r="ASA6" s="577"/>
      <c r="ASB6" s="577"/>
      <c r="ASC6" s="577"/>
      <c r="ASD6" s="577"/>
      <c r="ASE6" s="577"/>
      <c r="ASF6" s="577"/>
      <c r="ASG6" s="577"/>
      <c r="ASH6" s="577"/>
      <c r="ASI6" s="577"/>
      <c r="ASJ6" s="577"/>
      <c r="ASK6" s="577"/>
      <c r="ASL6" s="577"/>
      <c r="ASM6" s="577"/>
      <c r="ASN6" s="577"/>
      <c r="ASO6" s="577"/>
      <c r="ASP6" s="577"/>
      <c r="ASQ6" s="577"/>
      <c r="ASR6" s="577"/>
      <c r="ASS6" s="577"/>
      <c r="AST6" s="577"/>
      <c r="ASU6" s="577"/>
      <c r="ASV6" s="577"/>
      <c r="ASW6" s="577"/>
      <c r="ASX6" s="577"/>
      <c r="ASY6" s="577"/>
      <c r="ASZ6" s="577"/>
      <c r="ATA6" s="577"/>
      <c r="ATB6" s="577"/>
      <c r="ATC6" s="577"/>
      <c r="ATD6" s="577"/>
      <c r="ATE6" s="577"/>
      <c r="ATF6" s="577"/>
      <c r="ATG6" s="577"/>
      <c r="ATH6" s="577"/>
      <c r="ATI6" s="577"/>
      <c r="ATJ6" s="577"/>
      <c r="ATK6" s="577"/>
      <c r="ATL6" s="577"/>
      <c r="ATM6" s="577"/>
      <c r="ATN6" s="577"/>
      <c r="ATO6" s="577"/>
      <c r="ATP6" s="577"/>
      <c r="ATQ6" s="577"/>
      <c r="ATR6" s="577"/>
      <c r="ATS6" s="577"/>
      <c r="ATT6" s="577"/>
      <c r="ATU6" s="577"/>
      <c r="ATV6" s="577"/>
      <c r="ATW6" s="577"/>
      <c r="ATX6" s="577"/>
      <c r="ATY6" s="577"/>
      <c r="ATZ6" s="577"/>
      <c r="AUA6" s="577"/>
      <c r="AUB6" s="577"/>
      <c r="AUC6" s="577"/>
      <c r="AUD6" s="577"/>
      <c r="AUE6" s="577"/>
      <c r="AUF6" s="577"/>
      <c r="AUG6" s="577"/>
      <c r="AUH6" s="577"/>
      <c r="AUI6" s="577"/>
      <c r="AUJ6" s="577"/>
      <c r="AUK6" s="577"/>
      <c r="AUL6" s="577"/>
      <c r="AUM6" s="577"/>
      <c r="AUN6" s="577"/>
      <c r="AUO6" s="577"/>
      <c r="AUP6" s="577"/>
      <c r="AUQ6" s="577"/>
      <c r="AUR6" s="577"/>
      <c r="AUS6" s="577"/>
      <c r="AUT6" s="577"/>
      <c r="AUU6" s="577"/>
      <c r="AUV6" s="577"/>
      <c r="AUW6" s="577"/>
      <c r="AUX6" s="577"/>
      <c r="AUY6" s="577"/>
      <c r="AUZ6" s="577"/>
      <c r="AVA6" s="577"/>
      <c r="AVB6" s="577"/>
      <c r="AVC6" s="577"/>
      <c r="AVD6" s="577"/>
      <c r="AVE6" s="577"/>
      <c r="AVF6" s="577"/>
      <c r="AVG6" s="577"/>
      <c r="AVH6" s="577"/>
      <c r="AVI6" s="577"/>
      <c r="AVJ6" s="577"/>
      <c r="AVK6" s="577"/>
      <c r="AVL6" s="577"/>
      <c r="AVM6" s="577"/>
      <c r="AVN6" s="577"/>
      <c r="AVO6" s="577"/>
      <c r="AVP6" s="577"/>
      <c r="AVQ6" s="577"/>
      <c r="AVR6" s="577"/>
      <c r="AVS6" s="577"/>
      <c r="AVT6" s="577"/>
      <c r="AVU6" s="577"/>
      <c r="AVV6" s="577"/>
      <c r="AVW6" s="577"/>
      <c r="AVX6" s="577"/>
      <c r="AVY6" s="577"/>
      <c r="AVZ6" s="577"/>
      <c r="AWA6" s="577"/>
      <c r="AWB6" s="577"/>
      <c r="AWC6" s="577"/>
      <c r="AWD6" s="577"/>
      <c r="AWE6" s="577"/>
      <c r="AWF6" s="577"/>
      <c r="AWG6" s="577"/>
      <c r="AWH6" s="577"/>
      <c r="AWI6" s="577"/>
      <c r="AWJ6" s="577"/>
      <c r="AWK6" s="577"/>
      <c r="AWL6" s="577"/>
      <c r="AWM6" s="577"/>
      <c r="AWN6" s="577"/>
      <c r="AWO6" s="577"/>
      <c r="AWP6" s="577"/>
      <c r="AWQ6" s="577"/>
      <c r="AWR6" s="577"/>
      <c r="AWS6" s="577"/>
      <c r="AWT6" s="577"/>
      <c r="AWU6" s="577"/>
      <c r="AWV6" s="577"/>
      <c r="AWW6" s="577"/>
      <c r="AWX6" s="577"/>
      <c r="AWY6" s="577"/>
      <c r="AWZ6" s="577"/>
      <c r="AXA6" s="577"/>
      <c r="AXB6" s="577"/>
      <c r="AXC6" s="577"/>
      <c r="AXD6" s="577"/>
      <c r="AXE6" s="577"/>
      <c r="AXF6" s="577"/>
      <c r="AXG6" s="577"/>
      <c r="AXH6" s="577"/>
      <c r="AXI6" s="577"/>
      <c r="AXJ6" s="577"/>
      <c r="AXK6" s="577"/>
      <c r="AXL6" s="577"/>
      <c r="AXM6" s="577"/>
      <c r="AXN6" s="577"/>
      <c r="AXO6" s="577"/>
      <c r="AXP6" s="577"/>
      <c r="AXQ6" s="577"/>
      <c r="AXR6" s="577"/>
      <c r="AXS6" s="577"/>
      <c r="AXT6" s="577"/>
      <c r="AXU6" s="577"/>
      <c r="AXV6" s="577"/>
      <c r="AXW6" s="577"/>
      <c r="AXX6" s="577"/>
      <c r="AXY6" s="577"/>
      <c r="AXZ6" s="577"/>
      <c r="AYA6" s="577"/>
      <c r="AYB6" s="577"/>
      <c r="AYC6" s="577"/>
      <c r="AYD6" s="577"/>
      <c r="AYE6" s="577"/>
      <c r="AYF6" s="577"/>
      <c r="AYG6" s="577"/>
      <c r="AYH6" s="577"/>
      <c r="AYI6" s="577"/>
      <c r="AYJ6" s="577"/>
      <c r="AYK6" s="577"/>
      <c r="AYL6" s="577"/>
      <c r="AYM6" s="577"/>
      <c r="AYN6" s="577"/>
      <c r="AYO6" s="577"/>
      <c r="AYP6" s="577"/>
      <c r="AYQ6" s="577"/>
      <c r="AYR6" s="577"/>
      <c r="AYS6" s="577"/>
      <c r="AYT6" s="577"/>
      <c r="AYU6" s="577"/>
      <c r="AYV6" s="577"/>
      <c r="AYW6" s="577"/>
      <c r="AYX6" s="577"/>
      <c r="AYY6" s="577"/>
      <c r="AYZ6" s="577"/>
      <c r="AZA6" s="577"/>
      <c r="AZB6" s="577"/>
      <c r="AZC6" s="577"/>
      <c r="AZD6" s="577"/>
      <c r="AZE6" s="577"/>
      <c r="AZF6" s="577"/>
      <c r="AZG6" s="577"/>
      <c r="AZH6" s="577"/>
      <c r="AZI6" s="577"/>
      <c r="AZJ6" s="577"/>
      <c r="AZK6" s="577"/>
      <c r="AZL6" s="577"/>
      <c r="AZM6" s="577"/>
      <c r="AZN6" s="577"/>
      <c r="AZO6" s="577"/>
      <c r="AZP6" s="577"/>
      <c r="AZQ6" s="577"/>
      <c r="AZR6" s="577"/>
      <c r="AZS6" s="577"/>
      <c r="AZT6" s="577"/>
      <c r="AZU6" s="577"/>
      <c r="AZV6" s="577"/>
      <c r="AZW6" s="577"/>
      <c r="AZX6" s="577"/>
      <c r="AZY6" s="577"/>
      <c r="AZZ6" s="577"/>
      <c r="BAA6" s="577"/>
      <c r="BAB6" s="577"/>
      <c r="BAC6" s="577"/>
      <c r="BAD6" s="577"/>
      <c r="BAE6" s="577"/>
      <c r="BAF6" s="577"/>
      <c r="BAG6" s="577"/>
      <c r="BAH6" s="577"/>
      <c r="BAI6" s="577"/>
      <c r="BAJ6" s="577"/>
      <c r="BAK6" s="577"/>
      <c r="BAL6" s="577"/>
      <c r="BAM6" s="577"/>
      <c r="BAN6" s="577"/>
      <c r="BAO6" s="577"/>
      <c r="BAP6" s="577"/>
      <c r="BAQ6" s="577"/>
      <c r="BAR6" s="577"/>
      <c r="BAS6" s="577"/>
      <c r="BAT6" s="577"/>
      <c r="BAU6" s="577"/>
      <c r="BAV6" s="577"/>
      <c r="BAW6" s="577"/>
      <c r="BAX6" s="577"/>
      <c r="BAY6" s="577"/>
      <c r="BAZ6" s="577"/>
      <c r="BBA6" s="577"/>
      <c r="BBB6" s="577"/>
      <c r="BBC6" s="577"/>
      <c r="BBD6" s="577"/>
      <c r="BBE6" s="577"/>
      <c r="BBF6" s="577"/>
      <c r="BBG6" s="577"/>
      <c r="BBH6" s="577"/>
      <c r="BBI6" s="577"/>
      <c r="BBJ6" s="577"/>
      <c r="BBK6" s="577"/>
      <c r="BBL6" s="577"/>
      <c r="BBM6" s="577"/>
      <c r="BBN6" s="577"/>
      <c r="BBO6" s="577"/>
      <c r="BBP6" s="577"/>
      <c r="BBQ6" s="577"/>
      <c r="BBR6" s="577"/>
      <c r="BBS6" s="577"/>
      <c r="BBT6" s="577"/>
      <c r="BBU6" s="577"/>
      <c r="BBV6" s="577"/>
      <c r="BBW6" s="577"/>
      <c r="BBX6" s="577"/>
      <c r="BBY6" s="577"/>
      <c r="BBZ6" s="577"/>
      <c r="BCA6" s="577"/>
      <c r="BCB6" s="577"/>
      <c r="BCC6" s="577"/>
      <c r="BCD6" s="577"/>
      <c r="BCE6" s="577"/>
      <c r="BCF6" s="577"/>
      <c r="BCG6" s="577"/>
      <c r="BCH6" s="577"/>
      <c r="BCI6" s="577"/>
      <c r="BCJ6" s="577"/>
      <c r="BCK6" s="577"/>
      <c r="BCL6" s="577"/>
      <c r="BCM6" s="577"/>
      <c r="BCN6" s="577"/>
      <c r="BCO6" s="577"/>
      <c r="BCP6" s="577"/>
      <c r="BCQ6" s="577"/>
      <c r="BCR6" s="577"/>
      <c r="BCS6" s="577"/>
      <c r="BCT6" s="577"/>
      <c r="BCU6" s="577"/>
      <c r="BCV6" s="577"/>
      <c r="BCW6" s="577"/>
      <c r="BCX6" s="577"/>
      <c r="BCY6" s="577"/>
      <c r="BCZ6" s="577"/>
      <c r="BDA6" s="577"/>
      <c r="BDB6" s="577"/>
      <c r="BDC6" s="577"/>
      <c r="BDD6" s="577"/>
      <c r="BDE6" s="577"/>
      <c r="BDF6" s="577"/>
      <c r="BDG6" s="577"/>
      <c r="BDH6" s="577"/>
      <c r="BDI6" s="577"/>
      <c r="BDJ6" s="577"/>
      <c r="BDK6" s="577"/>
      <c r="BDL6" s="577"/>
      <c r="BDM6" s="577"/>
      <c r="BDN6" s="577"/>
      <c r="BDO6" s="577"/>
      <c r="BDP6" s="577"/>
      <c r="BDQ6" s="577"/>
      <c r="BDR6" s="577"/>
      <c r="BDS6" s="577"/>
      <c r="BDT6" s="577"/>
      <c r="BDU6" s="577"/>
      <c r="BDV6" s="577"/>
      <c r="BDW6" s="577"/>
      <c r="BDX6" s="577"/>
      <c r="BDY6" s="577"/>
      <c r="BDZ6" s="577"/>
      <c r="BEA6" s="577"/>
      <c r="BEB6" s="577"/>
      <c r="BEC6" s="577"/>
      <c r="BED6" s="577"/>
      <c r="BEE6" s="577"/>
      <c r="BEF6" s="577"/>
      <c r="BEG6" s="577"/>
      <c r="BEH6" s="577"/>
      <c r="BEI6" s="577"/>
      <c r="BEJ6" s="577"/>
      <c r="BEK6" s="577"/>
      <c r="BEL6" s="577"/>
      <c r="BEM6" s="577"/>
      <c r="BEN6" s="577"/>
      <c r="BEO6" s="577"/>
      <c r="BEP6" s="577"/>
      <c r="BEQ6" s="577"/>
      <c r="BER6" s="577"/>
      <c r="BES6" s="577"/>
      <c r="BET6" s="577"/>
      <c r="BEU6" s="577"/>
      <c r="BEV6" s="577"/>
      <c r="BEW6" s="577"/>
      <c r="BEX6" s="577"/>
      <c r="BEY6" s="577"/>
      <c r="BEZ6" s="577"/>
      <c r="BFA6" s="577"/>
      <c r="BFB6" s="577"/>
      <c r="BFC6" s="577"/>
      <c r="BFD6" s="577"/>
      <c r="BFE6" s="577"/>
      <c r="BFF6" s="577"/>
      <c r="BFG6" s="577"/>
      <c r="BFH6" s="577"/>
      <c r="BFI6" s="577"/>
      <c r="BFJ6" s="577"/>
      <c r="BFK6" s="577"/>
      <c r="BFL6" s="577"/>
      <c r="BFM6" s="577"/>
      <c r="BFN6" s="577"/>
      <c r="BFO6" s="577"/>
      <c r="BFP6" s="577"/>
      <c r="BFQ6" s="577"/>
      <c r="BFR6" s="577"/>
      <c r="BFS6" s="577"/>
      <c r="BFT6" s="577"/>
      <c r="BFU6" s="577"/>
      <c r="BFV6" s="577"/>
      <c r="BFW6" s="577"/>
      <c r="BFX6" s="577"/>
      <c r="BFY6" s="577"/>
      <c r="BFZ6" s="577"/>
      <c r="BGA6" s="577"/>
      <c r="BGB6" s="577"/>
      <c r="BGC6" s="577"/>
      <c r="BGD6" s="577"/>
      <c r="BGE6" s="577"/>
      <c r="BGF6" s="577"/>
      <c r="BGG6" s="577"/>
      <c r="BGH6" s="577"/>
      <c r="BGI6" s="577"/>
      <c r="BGJ6" s="577"/>
      <c r="BGK6" s="577"/>
      <c r="BGL6" s="577"/>
      <c r="BGM6" s="577"/>
      <c r="BGN6" s="577"/>
      <c r="BGO6" s="577"/>
      <c r="BGP6" s="577"/>
      <c r="BGQ6" s="577"/>
      <c r="BGR6" s="577"/>
      <c r="BGS6" s="577"/>
      <c r="BGT6" s="577"/>
      <c r="BGU6" s="577"/>
      <c r="BGV6" s="577"/>
      <c r="BGW6" s="577"/>
      <c r="BGX6" s="577"/>
      <c r="BGY6" s="577"/>
      <c r="BGZ6" s="577"/>
      <c r="BHA6" s="577"/>
      <c r="BHB6" s="577"/>
      <c r="BHC6" s="577"/>
      <c r="BHD6" s="577"/>
      <c r="BHE6" s="577"/>
      <c r="BHF6" s="577"/>
      <c r="BHG6" s="577"/>
      <c r="BHH6" s="577"/>
      <c r="BHI6" s="577"/>
      <c r="BHJ6" s="577"/>
      <c r="BHK6" s="577"/>
      <c r="BHL6" s="577"/>
      <c r="BHM6" s="577"/>
      <c r="BHN6" s="577"/>
      <c r="BHO6" s="577"/>
      <c r="BHP6" s="577"/>
      <c r="BHQ6" s="577"/>
      <c r="BHR6" s="577"/>
      <c r="BHS6" s="577"/>
      <c r="BHT6" s="577"/>
      <c r="BHU6" s="577"/>
      <c r="BHV6" s="577"/>
      <c r="BHW6" s="577"/>
      <c r="BHX6" s="577"/>
      <c r="BHY6" s="577"/>
      <c r="BHZ6" s="577"/>
      <c r="BIA6" s="577"/>
      <c r="BIB6" s="577"/>
      <c r="BIC6" s="577"/>
      <c r="BID6" s="577"/>
      <c r="BIE6" s="577"/>
      <c r="BIF6" s="577"/>
      <c r="BIG6" s="577"/>
      <c r="BIH6" s="577"/>
      <c r="BII6" s="577"/>
      <c r="BIJ6" s="577"/>
      <c r="BIK6" s="577"/>
      <c r="BIL6" s="577"/>
      <c r="BIM6" s="577"/>
      <c r="BIN6" s="577"/>
      <c r="BIO6" s="577"/>
      <c r="BIP6" s="577"/>
      <c r="BIQ6" s="577"/>
      <c r="BIR6" s="577"/>
      <c r="BIS6" s="577"/>
      <c r="BIT6" s="577"/>
      <c r="BIU6" s="577"/>
      <c r="BIV6" s="577"/>
      <c r="BIW6" s="577"/>
      <c r="BIX6" s="577"/>
      <c r="BIY6" s="577"/>
      <c r="BIZ6" s="577"/>
      <c r="BJA6" s="577"/>
      <c r="BJB6" s="577"/>
      <c r="BJC6" s="577"/>
      <c r="BJD6" s="577"/>
      <c r="BJE6" s="577"/>
      <c r="BJF6" s="577"/>
      <c r="BJG6" s="577"/>
      <c r="BJH6" s="577"/>
      <c r="BJI6" s="577"/>
      <c r="BJJ6" s="577"/>
      <c r="BJK6" s="577"/>
      <c r="BJL6" s="577"/>
      <c r="BJM6" s="577"/>
      <c r="BJN6" s="577"/>
      <c r="BJO6" s="577"/>
      <c r="BJP6" s="577"/>
      <c r="BJQ6" s="577"/>
      <c r="BJR6" s="577"/>
      <c r="BJS6" s="577"/>
      <c r="BJT6" s="577"/>
      <c r="BJU6" s="577"/>
      <c r="BJV6" s="577"/>
      <c r="BJW6" s="577"/>
      <c r="BJX6" s="577"/>
      <c r="BJY6" s="577"/>
      <c r="BJZ6" s="577"/>
      <c r="BKA6" s="577"/>
      <c r="BKB6" s="577"/>
      <c r="BKC6" s="577"/>
      <c r="BKD6" s="577"/>
      <c r="BKE6" s="577"/>
      <c r="BKF6" s="577"/>
      <c r="BKG6" s="577"/>
      <c r="BKH6" s="577"/>
      <c r="BKI6" s="577"/>
      <c r="BKJ6" s="577"/>
      <c r="BKK6" s="577"/>
      <c r="BKL6" s="577"/>
      <c r="BKM6" s="577"/>
      <c r="BKN6" s="577"/>
      <c r="BKO6" s="577"/>
      <c r="BKP6" s="577"/>
      <c r="BKQ6" s="577"/>
      <c r="BKR6" s="577"/>
      <c r="BKS6" s="577"/>
      <c r="BKT6" s="577"/>
      <c r="BKU6" s="577"/>
      <c r="BKV6" s="577"/>
      <c r="BKW6" s="577"/>
      <c r="BKX6" s="577"/>
      <c r="BKY6" s="577"/>
      <c r="BKZ6" s="577"/>
      <c r="BLA6" s="577"/>
      <c r="BLB6" s="577"/>
      <c r="BLC6" s="577"/>
      <c r="BLD6" s="577"/>
      <c r="BLE6" s="577"/>
      <c r="BLF6" s="577"/>
      <c r="BLG6" s="577"/>
      <c r="BLH6" s="577"/>
      <c r="BLI6" s="577"/>
      <c r="BLJ6" s="577"/>
      <c r="BLK6" s="577"/>
      <c r="BLL6" s="577"/>
      <c r="BLM6" s="577"/>
      <c r="BLN6" s="577"/>
      <c r="BLO6" s="577"/>
      <c r="BLP6" s="577"/>
      <c r="BLQ6" s="577"/>
      <c r="BLR6" s="577"/>
      <c r="BLS6" s="577"/>
      <c r="BLT6" s="577"/>
      <c r="BLU6" s="577"/>
      <c r="BLV6" s="577"/>
      <c r="BLW6" s="577"/>
      <c r="BLX6" s="577"/>
      <c r="BLY6" s="577"/>
      <c r="BLZ6" s="577"/>
      <c r="BMA6" s="577"/>
      <c r="BMB6" s="577"/>
      <c r="BMC6" s="577"/>
      <c r="BMD6" s="577"/>
      <c r="BME6" s="577"/>
      <c r="BMF6" s="577"/>
      <c r="BMG6" s="577"/>
      <c r="BMH6" s="577"/>
      <c r="BMI6" s="577"/>
      <c r="BMJ6" s="577"/>
      <c r="BMK6" s="577"/>
      <c r="BML6" s="577"/>
      <c r="BMM6" s="577"/>
      <c r="BMN6" s="577"/>
      <c r="BMO6" s="577"/>
      <c r="BMP6" s="577"/>
      <c r="BMQ6" s="577"/>
      <c r="BMR6" s="577"/>
      <c r="BMS6" s="577"/>
      <c r="BMT6" s="577"/>
      <c r="BMU6" s="577"/>
      <c r="BMV6" s="577"/>
      <c r="BMW6" s="577"/>
      <c r="BMX6" s="577"/>
      <c r="BMY6" s="577"/>
      <c r="BMZ6" s="577"/>
      <c r="BNA6" s="577"/>
      <c r="BNB6" s="577"/>
      <c r="BNC6" s="577"/>
      <c r="BND6" s="577"/>
      <c r="BNE6" s="577"/>
      <c r="BNF6" s="577"/>
      <c r="BNG6" s="577"/>
      <c r="BNH6" s="577"/>
      <c r="BNI6" s="577"/>
      <c r="BNJ6" s="577"/>
      <c r="BNK6" s="577"/>
      <c r="BNL6" s="577"/>
      <c r="BNM6" s="577"/>
      <c r="BNN6" s="577"/>
      <c r="BNO6" s="577"/>
      <c r="BNP6" s="577"/>
      <c r="BNQ6" s="577"/>
      <c r="BNR6" s="577"/>
      <c r="BNS6" s="577"/>
      <c r="BNT6" s="577"/>
      <c r="BNU6" s="577"/>
      <c r="BNV6" s="577"/>
      <c r="BNW6" s="577"/>
      <c r="BNX6" s="577"/>
      <c r="BNY6" s="577"/>
      <c r="BNZ6" s="577"/>
      <c r="BOA6" s="577"/>
      <c r="BOB6" s="577"/>
      <c r="BOC6" s="577"/>
      <c r="BOD6" s="577"/>
      <c r="BOE6" s="577"/>
      <c r="BOF6" s="577"/>
      <c r="BOG6" s="577"/>
      <c r="BOH6" s="577"/>
      <c r="BOI6" s="577"/>
      <c r="BOJ6" s="577"/>
      <c r="BOK6" s="577"/>
      <c r="BOL6" s="577"/>
      <c r="BOM6" s="577"/>
      <c r="BON6" s="577"/>
      <c r="BOO6" s="577"/>
      <c r="BOP6" s="577"/>
      <c r="BOQ6" s="577"/>
      <c r="BOR6" s="577"/>
      <c r="BOS6" s="577"/>
      <c r="BOT6" s="577"/>
      <c r="BOU6" s="577"/>
      <c r="BOV6" s="577"/>
      <c r="BOW6" s="577"/>
      <c r="BOX6" s="577"/>
      <c r="BOY6" s="577"/>
      <c r="BOZ6" s="577"/>
      <c r="BPA6" s="577"/>
      <c r="BPB6" s="577"/>
      <c r="BPC6" s="577"/>
      <c r="BPD6" s="577"/>
      <c r="BPE6" s="577"/>
      <c r="BPF6" s="577"/>
      <c r="BPG6" s="577"/>
      <c r="BPH6" s="577"/>
      <c r="BPI6" s="577"/>
      <c r="BPJ6" s="577"/>
      <c r="BPK6" s="577"/>
      <c r="BPL6" s="577"/>
      <c r="BPM6" s="577"/>
      <c r="BPN6" s="577"/>
      <c r="BPO6" s="577"/>
      <c r="BPP6" s="577"/>
      <c r="BPQ6" s="577"/>
      <c r="BPR6" s="577"/>
      <c r="BPS6" s="577"/>
      <c r="BPT6" s="577"/>
      <c r="BPU6" s="577"/>
      <c r="BPV6" s="577"/>
      <c r="BPW6" s="577"/>
      <c r="BPX6" s="577"/>
      <c r="BPY6" s="577"/>
      <c r="BPZ6" s="577"/>
      <c r="BQA6" s="577"/>
      <c r="BQB6" s="577"/>
      <c r="BQC6" s="577"/>
      <c r="BQD6" s="577"/>
      <c r="BQE6" s="577"/>
      <c r="BQF6" s="577"/>
      <c r="BQG6" s="577"/>
      <c r="BQH6" s="577"/>
      <c r="BQI6" s="577"/>
      <c r="BQJ6" s="577"/>
      <c r="BQK6" s="577"/>
      <c r="BQL6" s="577"/>
      <c r="BQM6" s="577"/>
      <c r="BQN6" s="577"/>
      <c r="BQO6" s="577"/>
      <c r="BQP6" s="577"/>
      <c r="BQQ6" s="577"/>
      <c r="BQR6" s="577"/>
      <c r="BQS6" s="577"/>
      <c r="BQT6" s="577"/>
      <c r="BQU6" s="577"/>
      <c r="BQV6" s="577"/>
      <c r="BQW6" s="577"/>
      <c r="BQX6" s="577"/>
      <c r="BQY6" s="577"/>
      <c r="BQZ6" s="577"/>
      <c r="BRA6" s="577"/>
      <c r="BRB6" s="577"/>
      <c r="BRC6" s="577"/>
      <c r="BRD6" s="577"/>
      <c r="BRE6" s="577"/>
      <c r="BRF6" s="577"/>
      <c r="BRG6" s="577"/>
      <c r="BRH6" s="577"/>
      <c r="BRI6" s="577"/>
      <c r="BRJ6" s="577"/>
      <c r="BRK6" s="577"/>
      <c r="BRL6" s="577"/>
      <c r="BRM6" s="577"/>
      <c r="BRN6" s="577"/>
      <c r="BRO6" s="577"/>
      <c r="BRP6" s="577"/>
      <c r="BRQ6" s="577"/>
      <c r="BRR6" s="577"/>
      <c r="BRS6" s="577"/>
      <c r="BRT6" s="577"/>
      <c r="BRU6" s="577"/>
      <c r="BRV6" s="577"/>
      <c r="BRW6" s="577"/>
      <c r="BRX6" s="577"/>
      <c r="BRY6" s="577"/>
      <c r="BRZ6" s="577"/>
      <c r="BSA6" s="577"/>
      <c r="BSB6" s="577"/>
      <c r="BSC6" s="577"/>
      <c r="BSD6" s="577"/>
      <c r="BSE6" s="577"/>
      <c r="BSF6" s="577"/>
      <c r="BSG6" s="577"/>
      <c r="BSH6" s="577"/>
      <c r="BSI6" s="577"/>
      <c r="BSJ6" s="577"/>
      <c r="BSK6" s="577"/>
      <c r="BSL6" s="577"/>
      <c r="BSM6" s="577"/>
      <c r="BSN6" s="577"/>
      <c r="BSO6" s="577"/>
      <c r="BSP6" s="577"/>
      <c r="BSQ6" s="577"/>
      <c r="BSR6" s="577"/>
      <c r="BSS6" s="577"/>
      <c r="BST6" s="577"/>
      <c r="BSU6" s="577"/>
      <c r="BSV6" s="577"/>
      <c r="BSW6" s="577"/>
      <c r="BSX6" s="577"/>
      <c r="BSY6" s="577"/>
      <c r="BSZ6" s="577"/>
      <c r="BTA6" s="577"/>
      <c r="BTB6" s="577"/>
      <c r="BTC6" s="577"/>
      <c r="BTD6" s="577"/>
      <c r="BTE6" s="577"/>
      <c r="BTF6" s="577"/>
      <c r="BTG6" s="577"/>
      <c r="BTH6" s="577"/>
      <c r="BTI6" s="577"/>
      <c r="BTJ6" s="577"/>
      <c r="BTK6" s="577"/>
      <c r="BTL6" s="577"/>
      <c r="BTM6" s="577"/>
      <c r="BTN6" s="577"/>
      <c r="BTO6" s="577"/>
      <c r="BTP6" s="577"/>
      <c r="BTQ6" s="577"/>
      <c r="BTR6" s="577"/>
      <c r="BTS6" s="577"/>
      <c r="BTT6" s="577"/>
      <c r="BTU6" s="577"/>
      <c r="BTV6" s="577"/>
      <c r="BTW6" s="577"/>
      <c r="BTX6" s="577"/>
      <c r="BTY6" s="577"/>
      <c r="BTZ6" s="577"/>
      <c r="BUA6" s="577"/>
      <c r="BUB6" s="577"/>
      <c r="BUC6" s="577"/>
      <c r="BUD6" s="577"/>
      <c r="BUE6" s="577"/>
      <c r="BUF6" s="577"/>
      <c r="BUG6" s="577"/>
      <c r="BUH6" s="577"/>
      <c r="BUI6" s="577"/>
      <c r="BUJ6" s="577"/>
      <c r="BUK6" s="577"/>
      <c r="BUL6" s="577"/>
      <c r="BUM6" s="577"/>
      <c r="BUN6" s="577"/>
      <c r="BUO6" s="577"/>
      <c r="BUP6" s="577"/>
      <c r="BUQ6" s="577"/>
      <c r="BUR6" s="577"/>
      <c r="BUS6" s="577"/>
      <c r="BUT6" s="577"/>
      <c r="BUU6" s="577"/>
      <c r="BUV6" s="577"/>
      <c r="BUW6" s="577"/>
      <c r="BUX6" s="577"/>
      <c r="BUY6" s="577"/>
      <c r="BUZ6" s="577"/>
      <c r="BVA6" s="577"/>
      <c r="BVB6" s="577"/>
      <c r="BVC6" s="577"/>
      <c r="BVD6" s="577"/>
      <c r="BVE6" s="577"/>
      <c r="BVF6" s="577"/>
      <c r="BVG6" s="577"/>
      <c r="BVH6" s="577"/>
      <c r="BVI6" s="577"/>
      <c r="BVJ6" s="577"/>
      <c r="BVK6" s="577"/>
      <c r="BVL6" s="577"/>
      <c r="BVM6" s="577"/>
      <c r="BVN6" s="577"/>
      <c r="BVO6" s="577"/>
      <c r="BVP6" s="577"/>
      <c r="BVQ6" s="577"/>
      <c r="BVR6" s="577"/>
      <c r="BVS6" s="577"/>
      <c r="BVT6" s="577"/>
      <c r="BVU6" s="577"/>
      <c r="BVV6" s="577"/>
      <c r="BVW6" s="577"/>
      <c r="BVX6" s="577"/>
      <c r="BVY6" s="577"/>
      <c r="BVZ6" s="577"/>
      <c r="BWA6" s="577"/>
      <c r="BWB6" s="577"/>
      <c r="BWC6" s="577"/>
      <c r="BWD6" s="577"/>
      <c r="BWE6" s="577"/>
      <c r="BWF6" s="577"/>
      <c r="BWG6" s="577"/>
      <c r="BWH6" s="577"/>
      <c r="BWI6" s="577"/>
      <c r="BWJ6" s="577"/>
      <c r="BWK6" s="577"/>
      <c r="BWL6" s="577"/>
      <c r="BWM6" s="577"/>
      <c r="BWN6" s="577"/>
      <c r="BWO6" s="577"/>
      <c r="BWP6" s="577"/>
      <c r="BWQ6" s="577"/>
      <c r="BWR6" s="577"/>
      <c r="BWS6" s="577"/>
      <c r="BWT6" s="577"/>
      <c r="BWU6" s="577"/>
      <c r="BWV6" s="577"/>
      <c r="BWW6" s="577"/>
      <c r="BWX6" s="577"/>
      <c r="BWY6" s="577"/>
      <c r="BWZ6" s="577"/>
      <c r="BXA6" s="577"/>
      <c r="BXB6" s="577"/>
      <c r="BXC6" s="577"/>
      <c r="BXD6" s="577"/>
      <c r="BXE6" s="577"/>
      <c r="BXF6" s="577"/>
      <c r="BXG6" s="577"/>
      <c r="BXH6" s="577"/>
      <c r="BXI6" s="577"/>
      <c r="BXJ6" s="577"/>
      <c r="BXK6" s="577"/>
      <c r="BXL6" s="577"/>
      <c r="BXM6" s="577"/>
      <c r="BXN6" s="577"/>
      <c r="BXO6" s="577"/>
      <c r="BXP6" s="577"/>
      <c r="BXQ6" s="577"/>
      <c r="BXR6" s="577"/>
      <c r="BXS6" s="577"/>
      <c r="BXT6" s="577"/>
      <c r="BXU6" s="577"/>
      <c r="BXV6" s="577"/>
      <c r="BXW6" s="577"/>
      <c r="BXX6" s="577"/>
      <c r="BXY6" s="577"/>
      <c r="BXZ6" s="577"/>
      <c r="BYA6" s="577"/>
      <c r="BYB6" s="577"/>
      <c r="BYC6" s="577"/>
      <c r="BYD6" s="577"/>
      <c r="BYE6" s="577"/>
      <c r="BYF6" s="577"/>
      <c r="BYG6" s="577"/>
      <c r="BYH6" s="577"/>
      <c r="BYI6" s="577"/>
      <c r="BYJ6" s="577"/>
      <c r="BYK6" s="577"/>
      <c r="BYL6" s="577"/>
      <c r="BYM6" s="577"/>
      <c r="BYN6" s="577"/>
      <c r="BYO6" s="577"/>
      <c r="BYP6" s="577"/>
      <c r="BYQ6" s="577"/>
      <c r="BYR6" s="577"/>
      <c r="BYS6" s="577"/>
      <c r="BYT6" s="577"/>
      <c r="BYU6" s="577"/>
      <c r="BYV6" s="577"/>
      <c r="BYW6" s="577"/>
      <c r="BYX6" s="577"/>
      <c r="BYY6" s="577"/>
      <c r="BYZ6" s="577"/>
      <c r="BZA6" s="577"/>
      <c r="BZB6" s="577"/>
      <c r="BZC6" s="577"/>
      <c r="BZD6" s="577"/>
      <c r="BZE6" s="577"/>
      <c r="BZF6" s="577"/>
      <c r="BZG6" s="577"/>
      <c r="BZH6" s="577"/>
      <c r="BZI6" s="577"/>
      <c r="BZJ6" s="577"/>
      <c r="BZK6" s="577"/>
      <c r="BZL6" s="577"/>
      <c r="BZM6" s="577"/>
      <c r="BZN6" s="577"/>
      <c r="BZO6" s="577"/>
      <c r="BZP6" s="577"/>
      <c r="BZQ6" s="577"/>
      <c r="BZR6" s="577"/>
      <c r="BZS6" s="577"/>
      <c r="BZT6" s="577"/>
      <c r="BZU6" s="577"/>
      <c r="BZV6" s="577"/>
      <c r="BZW6" s="577"/>
      <c r="BZX6" s="577"/>
      <c r="BZY6" s="577"/>
      <c r="BZZ6" s="577"/>
      <c r="CAA6" s="577"/>
      <c r="CAB6" s="577"/>
      <c r="CAC6" s="577"/>
      <c r="CAD6" s="577"/>
      <c r="CAE6" s="577"/>
      <c r="CAF6" s="577"/>
      <c r="CAG6" s="577"/>
      <c r="CAH6" s="577"/>
      <c r="CAI6" s="577"/>
      <c r="CAJ6" s="577"/>
      <c r="CAK6" s="577"/>
      <c r="CAL6" s="577"/>
      <c r="CAM6" s="577"/>
      <c r="CAN6" s="577"/>
      <c r="CAO6" s="577"/>
      <c r="CAP6" s="577"/>
      <c r="CAQ6" s="577"/>
      <c r="CAR6" s="577"/>
      <c r="CAS6" s="577"/>
      <c r="CAT6" s="577"/>
      <c r="CAU6" s="577"/>
      <c r="CAV6" s="577"/>
      <c r="CAW6" s="577"/>
      <c r="CAX6" s="577"/>
      <c r="CAY6" s="577"/>
      <c r="CAZ6" s="577"/>
      <c r="CBA6" s="577"/>
      <c r="CBB6" s="577"/>
      <c r="CBC6" s="577"/>
      <c r="CBD6" s="577"/>
      <c r="CBE6" s="577"/>
      <c r="CBF6" s="577"/>
      <c r="CBG6" s="577"/>
      <c r="CBH6" s="577"/>
      <c r="CBI6" s="577"/>
      <c r="CBJ6" s="577"/>
      <c r="CBK6" s="577"/>
      <c r="CBL6" s="577"/>
      <c r="CBM6" s="577"/>
      <c r="CBN6" s="577"/>
      <c r="CBO6" s="577"/>
      <c r="CBP6" s="577"/>
      <c r="CBQ6" s="577"/>
      <c r="CBR6" s="577"/>
      <c r="CBS6" s="577"/>
      <c r="CBT6" s="577"/>
      <c r="CBU6" s="577"/>
      <c r="CBV6" s="577"/>
      <c r="CBW6" s="577"/>
      <c r="CBX6" s="577"/>
      <c r="CBY6" s="577"/>
      <c r="CBZ6" s="577"/>
      <c r="CCA6" s="577"/>
      <c r="CCB6" s="577"/>
      <c r="CCC6" s="577"/>
      <c r="CCD6" s="577"/>
      <c r="CCE6" s="577"/>
      <c r="CCF6" s="577"/>
      <c r="CCG6" s="577"/>
      <c r="CCH6" s="577"/>
      <c r="CCI6" s="577"/>
      <c r="CCJ6" s="577"/>
      <c r="CCK6" s="577"/>
      <c r="CCL6" s="577"/>
      <c r="CCM6" s="577"/>
      <c r="CCN6" s="577"/>
      <c r="CCO6" s="577"/>
      <c r="CCP6" s="577"/>
      <c r="CCQ6" s="577"/>
      <c r="CCR6" s="577"/>
      <c r="CCS6" s="577"/>
      <c r="CCT6" s="577"/>
      <c r="CCU6" s="577"/>
      <c r="CCV6" s="577"/>
      <c r="CCW6" s="577"/>
      <c r="CCX6" s="577"/>
      <c r="CCY6" s="577"/>
      <c r="CCZ6" s="577"/>
      <c r="CDA6" s="577"/>
      <c r="CDB6" s="577"/>
      <c r="CDC6" s="577"/>
      <c r="CDD6" s="577"/>
      <c r="CDE6" s="577"/>
      <c r="CDF6" s="577"/>
      <c r="CDG6" s="577"/>
      <c r="CDH6" s="577"/>
      <c r="CDI6" s="577"/>
      <c r="CDJ6" s="577"/>
      <c r="CDK6" s="577"/>
      <c r="CDL6" s="577"/>
      <c r="CDM6" s="577"/>
      <c r="CDN6" s="577"/>
      <c r="CDO6" s="577"/>
      <c r="CDP6" s="577"/>
      <c r="CDQ6" s="577"/>
      <c r="CDR6" s="577"/>
      <c r="CDS6" s="577"/>
      <c r="CDT6" s="577"/>
      <c r="CDU6" s="577"/>
      <c r="CDV6" s="577"/>
      <c r="CDW6" s="577"/>
      <c r="CDX6" s="577"/>
      <c r="CDY6" s="577"/>
      <c r="CDZ6" s="577"/>
      <c r="CEA6" s="577"/>
      <c r="CEB6" s="577"/>
      <c r="CEC6" s="577"/>
      <c r="CED6" s="577"/>
      <c r="CEE6" s="577"/>
      <c r="CEF6" s="577"/>
      <c r="CEG6" s="577"/>
      <c r="CEH6" s="577"/>
      <c r="CEI6" s="577"/>
      <c r="CEJ6" s="577"/>
      <c r="CEK6" s="577"/>
      <c r="CEL6" s="577"/>
      <c r="CEM6" s="577"/>
      <c r="CEN6" s="577"/>
      <c r="CEO6" s="577"/>
      <c r="CEP6" s="577"/>
      <c r="CEQ6" s="577"/>
      <c r="CER6" s="577"/>
      <c r="CES6" s="577"/>
      <c r="CET6" s="577"/>
      <c r="CEU6" s="577"/>
      <c r="CEV6" s="577"/>
      <c r="CEW6" s="577"/>
      <c r="CEX6" s="577"/>
      <c r="CEY6" s="577"/>
      <c r="CEZ6" s="577"/>
      <c r="CFA6" s="577"/>
      <c r="CFB6" s="577"/>
      <c r="CFC6" s="577"/>
      <c r="CFD6" s="577"/>
      <c r="CFE6" s="577"/>
      <c r="CFF6" s="577"/>
      <c r="CFG6" s="577"/>
      <c r="CFH6" s="577"/>
      <c r="CFI6" s="577"/>
      <c r="CFJ6" s="577"/>
      <c r="CFK6" s="577"/>
      <c r="CFL6" s="577"/>
      <c r="CFM6" s="577"/>
      <c r="CFN6" s="577"/>
      <c r="CFO6" s="577"/>
      <c r="CFP6" s="577"/>
      <c r="CFQ6" s="577"/>
      <c r="CFR6" s="577"/>
      <c r="CFS6" s="577"/>
      <c r="CFT6" s="577"/>
      <c r="CFU6" s="577"/>
      <c r="CFV6" s="577"/>
      <c r="CFW6" s="577"/>
      <c r="CFX6" s="577"/>
      <c r="CFY6" s="577"/>
      <c r="CFZ6" s="577"/>
      <c r="CGA6" s="577"/>
      <c r="CGB6" s="577"/>
      <c r="CGC6" s="577"/>
      <c r="CGD6" s="577"/>
      <c r="CGE6" s="577"/>
      <c r="CGF6" s="577"/>
      <c r="CGG6" s="577"/>
      <c r="CGH6" s="577"/>
      <c r="CGI6" s="577"/>
      <c r="CGJ6" s="577"/>
      <c r="CGK6" s="577"/>
      <c r="CGL6" s="577"/>
      <c r="CGM6" s="577"/>
      <c r="CGN6" s="577"/>
      <c r="CGO6" s="577"/>
      <c r="CGP6" s="577"/>
      <c r="CGQ6" s="577"/>
      <c r="CGR6" s="577"/>
      <c r="CGS6" s="577"/>
      <c r="CGT6" s="577"/>
      <c r="CGU6" s="577"/>
      <c r="CGV6" s="577"/>
      <c r="CGW6" s="577"/>
      <c r="CGX6" s="577"/>
      <c r="CGY6" s="577"/>
      <c r="CGZ6" s="577"/>
      <c r="CHA6" s="577"/>
      <c r="CHB6" s="577"/>
      <c r="CHC6" s="577"/>
      <c r="CHD6" s="577"/>
      <c r="CHE6" s="577"/>
      <c r="CHF6" s="577"/>
      <c r="CHG6" s="577"/>
      <c r="CHH6" s="577"/>
      <c r="CHI6" s="577"/>
      <c r="CHJ6" s="577"/>
      <c r="CHK6" s="577"/>
      <c r="CHL6" s="577"/>
      <c r="CHM6" s="577"/>
      <c r="CHN6" s="577"/>
      <c r="CHO6" s="577"/>
      <c r="CHP6" s="577"/>
      <c r="CHQ6" s="577"/>
      <c r="CHR6" s="577"/>
      <c r="CHS6" s="577"/>
      <c r="CHT6" s="577"/>
      <c r="CHU6" s="577"/>
      <c r="CHV6" s="577"/>
      <c r="CHW6" s="577"/>
      <c r="CHX6" s="577"/>
      <c r="CHY6" s="577"/>
      <c r="CHZ6" s="577"/>
      <c r="CIA6" s="577"/>
      <c r="CIB6" s="577"/>
      <c r="CIC6" s="577"/>
      <c r="CID6" s="577"/>
      <c r="CIE6" s="577"/>
      <c r="CIF6" s="577"/>
      <c r="CIG6" s="577"/>
      <c r="CIH6" s="577"/>
      <c r="CII6" s="577"/>
      <c r="CIJ6" s="577"/>
      <c r="CIK6" s="577"/>
      <c r="CIL6" s="577"/>
      <c r="CIM6" s="577"/>
      <c r="CIN6" s="577"/>
      <c r="CIO6" s="577"/>
      <c r="CIP6" s="577"/>
      <c r="CIQ6" s="577"/>
      <c r="CIR6" s="577"/>
      <c r="CIS6" s="577"/>
      <c r="CIT6" s="577"/>
      <c r="CIU6" s="577"/>
      <c r="CIV6" s="577"/>
      <c r="CIW6" s="577"/>
      <c r="CIX6" s="577"/>
      <c r="CIY6" s="577"/>
      <c r="CIZ6" s="577"/>
      <c r="CJA6" s="577"/>
      <c r="CJB6" s="577"/>
      <c r="CJC6" s="577"/>
      <c r="CJD6" s="577"/>
      <c r="CJE6" s="577"/>
      <c r="CJF6" s="577"/>
      <c r="CJG6" s="577"/>
      <c r="CJH6" s="577"/>
      <c r="CJI6" s="577"/>
      <c r="CJJ6" s="577"/>
      <c r="CJK6" s="577"/>
      <c r="CJL6" s="577"/>
      <c r="CJM6" s="577"/>
      <c r="CJN6" s="577"/>
      <c r="CJO6" s="577"/>
      <c r="CJP6" s="577"/>
      <c r="CJQ6" s="577"/>
      <c r="CJR6" s="577"/>
      <c r="CJS6" s="577"/>
      <c r="CJT6" s="577"/>
      <c r="CJU6" s="577"/>
      <c r="CJV6" s="577"/>
      <c r="CJW6" s="577"/>
      <c r="CJX6" s="577"/>
      <c r="CJY6" s="577"/>
      <c r="CJZ6" s="577"/>
      <c r="CKA6" s="577"/>
      <c r="CKB6" s="577"/>
      <c r="CKC6" s="577"/>
      <c r="CKD6" s="577"/>
      <c r="CKE6" s="577"/>
      <c r="CKF6" s="577"/>
      <c r="CKG6" s="577"/>
      <c r="CKH6" s="577"/>
      <c r="CKI6" s="577"/>
      <c r="CKJ6" s="577"/>
      <c r="CKK6" s="577"/>
      <c r="CKL6" s="577"/>
      <c r="CKM6" s="577"/>
      <c r="CKN6" s="577"/>
      <c r="CKO6" s="577"/>
      <c r="CKP6" s="577"/>
      <c r="CKQ6" s="577"/>
      <c r="CKR6" s="577"/>
      <c r="CKS6" s="577"/>
      <c r="CKT6" s="577"/>
      <c r="CKU6" s="577"/>
      <c r="CKV6" s="577"/>
      <c r="CKW6" s="577"/>
      <c r="CKX6" s="577"/>
      <c r="CKY6" s="577"/>
      <c r="CKZ6" s="577"/>
      <c r="CLA6" s="577"/>
      <c r="CLB6" s="577"/>
      <c r="CLC6" s="577"/>
      <c r="CLD6" s="577"/>
      <c r="CLE6" s="577"/>
      <c r="CLF6" s="577"/>
      <c r="CLG6" s="577"/>
      <c r="CLH6" s="577"/>
      <c r="CLI6" s="577"/>
      <c r="CLJ6" s="577"/>
      <c r="CLK6" s="577"/>
      <c r="CLL6" s="577"/>
      <c r="CLM6" s="577"/>
      <c r="CLN6" s="577"/>
      <c r="CLO6" s="577"/>
      <c r="CLP6" s="577"/>
      <c r="CLQ6" s="577"/>
      <c r="CLR6" s="577"/>
      <c r="CLS6" s="577"/>
      <c r="CLT6" s="577"/>
      <c r="CLU6" s="577"/>
      <c r="CLV6" s="577"/>
      <c r="CLW6" s="577"/>
      <c r="CLX6" s="577"/>
      <c r="CLY6" s="577"/>
      <c r="CLZ6" s="577"/>
      <c r="CMA6" s="577"/>
      <c r="CMB6" s="577"/>
      <c r="CMC6" s="577"/>
      <c r="CMD6" s="577"/>
      <c r="CME6" s="577"/>
      <c r="CMF6" s="577"/>
      <c r="CMG6" s="577"/>
      <c r="CMH6" s="577"/>
      <c r="CMI6" s="577"/>
      <c r="CMJ6" s="577"/>
      <c r="CMK6" s="577"/>
      <c r="CML6" s="577"/>
      <c r="CMM6" s="577"/>
      <c r="CMN6" s="577"/>
      <c r="CMO6" s="577"/>
      <c r="CMP6" s="577"/>
      <c r="CMQ6" s="577"/>
      <c r="CMR6" s="577"/>
      <c r="CMS6" s="577"/>
      <c r="CMT6" s="577"/>
      <c r="CMU6" s="577"/>
      <c r="CMV6" s="577"/>
      <c r="CMW6" s="577"/>
      <c r="CMX6" s="577"/>
      <c r="CMY6" s="577"/>
      <c r="CMZ6" s="577"/>
      <c r="CNA6" s="577"/>
      <c r="CNB6" s="577"/>
      <c r="CNC6" s="577"/>
      <c r="CND6" s="577"/>
      <c r="CNE6" s="577"/>
      <c r="CNF6" s="577"/>
      <c r="CNG6" s="577"/>
      <c r="CNH6" s="577"/>
      <c r="CNI6" s="577"/>
      <c r="CNJ6" s="577"/>
      <c r="CNK6" s="577"/>
      <c r="CNL6" s="577"/>
      <c r="CNM6" s="577"/>
      <c r="CNN6" s="577"/>
      <c r="CNO6" s="577"/>
      <c r="CNP6" s="577"/>
      <c r="CNQ6" s="577"/>
      <c r="CNR6" s="577"/>
      <c r="CNS6" s="577"/>
      <c r="CNT6" s="577"/>
      <c r="CNU6" s="577"/>
      <c r="CNV6" s="577"/>
      <c r="CNW6" s="577"/>
      <c r="CNX6" s="577"/>
      <c r="CNY6" s="577"/>
      <c r="CNZ6" s="577"/>
      <c r="COA6" s="577"/>
      <c r="COB6" s="577"/>
      <c r="COC6" s="577"/>
      <c r="COD6" s="577"/>
      <c r="COE6" s="577"/>
      <c r="COF6" s="577"/>
      <c r="COG6" s="577"/>
      <c r="COH6" s="577"/>
      <c r="COI6" s="577"/>
      <c r="COJ6" s="577"/>
      <c r="COK6" s="577"/>
      <c r="COL6" s="577"/>
      <c r="COM6" s="577"/>
      <c r="CON6" s="577"/>
      <c r="COO6" s="577"/>
      <c r="COP6" s="577"/>
      <c r="COQ6" s="577"/>
      <c r="COR6" s="577"/>
      <c r="COS6" s="577"/>
      <c r="COT6" s="577"/>
      <c r="COU6" s="577"/>
      <c r="COV6" s="577"/>
      <c r="COW6" s="577"/>
      <c r="COX6" s="577"/>
      <c r="COY6" s="577"/>
      <c r="COZ6" s="577"/>
      <c r="CPA6" s="577"/>
      <c r="CPB6" s="577"/>
      <c r="CPC6" s="577"/>
      <c r="CPD6" s="577"/>
      <c r="CPE6" s="577"/>
      <c r="CPF6" s="577"/>
      <c r="CPG6" s="577"/>
      <c r="CPH6" s="577"/>
      <c r="CPI6" s="577"/>
      <c r="CPJ6" s="577"/>
      <c r="CPK6" s="577"/>
      <c r="CPL6" s="577"/>
      <c r="CPM6" s="577"/>
      <c r="CPN6" s="577"/>
      <c r="CPO6" s="577"/>
      <c r="CPP6" s="577"/>
      <c r="CPQ6" s="577"/>
      <c r="CPR6" s="577"/>
      <c r="CPS6" s="577"/>
      <c r="CPT6" s="577"/>
      <c r="CPU6" s="577"/>
      <c r="CPV6" s="577"/>
      <c r="CPW6" s="577"/>
      <c r="CPX6" s="577"/>
      <c r="CPY6" s="577"/>
      <c r="CPZ6" s="577"/>
      <c r="CQA6" s="577"/>
      <c r="CQB6" s="577"/>
      <c r="CQC6" s="577"/>
      <c r="CQD6" s="577"/>
      <c r="CQE6" s="577"/>
      <c r="CQF6" s="577"/>
      <c r="CQG6" s="577"/>
      <c r="CQH6" s="577"/>
      <c r="CQI6" s="577"/>
      <c r="CQJ6" s="577"/>
      <c r="CQK6" s="577"/>
      <c r="CQL6" s="577"/>
      <c r="CQM6" s="577"/>
      <c r="CQN6" s="577"/>
      <c r="CQO6" s="577"/>
      <c r="CQP6" s="577"/>
      <c r="CQQ6" s="577"/>
      <c r="CQR6" s="577"/>
      <c r="CQS6" s="577"/>
      <c r="CQT6" s="577"/>
      <c r="CQU6" s="577"/>
      <c r="CQV6" s="577"/>
      <c r="CQW6" s="577"/>
      <c r="CQX6" s="577"/>
      <c r="CQY6" s="577"/>
      <c r="CQZ6" s="577"/>
      <c r="CRA6" s="577"/>
      <c r="CRB6" s="577"/>
      <c r="CRC6" s="577"/>
      <c r="CRD6" s="577"/>
      <c r="CRE6" s="577"/>
      <c r="CRF6" s="577"/>
      <c r="CRG6" s="577"/>
      <c r="CRH6" s="577"/>
      <c r="CRI6" s="577"/>
      <c r="CRJ6" s="577"/>
      <c r="CRK6" s="577"/>
      <c r="CRL6" s="577"/>
      <c r="CRM6" s="577"/>
      <c r="CRN6" s="577"/>
      <c r="CRO6" s="577"/>
      <c r="CRP6" s="577"/>
      <c r="CRQ6" s="577"/>
      <c r="CRR6" s="577"/>
      <c r="CRS6" s="577"/>
      <c r="CRT6" s="577"/>
      <c r="CRU6" s="577"/>
      <c r="CRV6" s="577"/>
      <c r="CRW6" s="577"/>
      <c r="CRX6" s="577"/>
      <c r="CRY6" s="577"/>
      <c r="CRZ6" s="577"/>
      <c r="CSA6" s="577"/>
      <c r="CSB6" s="577"/>
      <c r="CSC6" s="577"/>
      <c r="CSD6" s="577"/>
      <c r="CSE6" s="577"/>
      <c r="CSF6" s="577"/>
      <c r="CSG6" s="577"/>
      <c r="CSH6" s="577"/>
      <c r="CSI6" s="577"/>
      <c r="CSJ6" s="577"/>
      <c r="CSK6" s="577"/>
      <c r="CSL6" s="577"/>
      <c r="CSM6" s="577"/>
      <c r="CSN6" s="577"/>
      <c r="CSO6" s="577"/>
      <c r="CSP6" s="577"/>
      <c r="CSQ6" s="577"/>
      <c r="CSR6" s="577"/>
      <c r="CSS6" s="577"/>
      <c r="CST6" s="577"/>
      <c r="CSU6" s="577"/>
      <c r="CSV6" s="577"/>
      <c r="CSW6" s="577"/>
      <c r="CSX6" s="577"/>
      <c r="CSY6" s="577"/>
      <c r="CSZ6" s="577"/>
      <c r="CTA6" s="577"/>
      <c r="CTB6" s="577"/>
      <c r="CTC6" s="577"/>
      <c r="CTD6" s="577"/>
      <c r="CTE6" s="577"/>
      <c r="CTF6" s="577"/>
      <c r="CTG6" s="577"/>
      <c r="CTH6" s="577"/>
      <c r="CTI6" s="577"/>
      <c r="CTJ6" s="577"/>
      <c r="CTK6" s="577"/>
      <c r="CTL6" s="577"/>
      <c r="CTM6" s="577"/>
      <c r="CTN6" s="577"/>
      <c r="CTO6" s="577"/>
      <c r="CTP6" s="577"/>
      <c r="CTQ6" s="577"/>
      <c r="CTR6" s="577"/>
      <c r="CTS6" s="577"/>
      <c r="CTT6" s="577"/>
      <c r="CTU6" s="577"/>
      <c r="CTV6" s="577"/>
      <c r="CTW6" s="577"/>
      <c r="CTX6" s="577"/>
      <c r="CTY6" s="577"/>
      <c r="CTZ6" s="577"/>
      <c r="CUA6" s="577"/>
      <c r="CUB6" s="577"/>
      <c r="CUC6" s="577"/>
      <c r="CUD6" s="577"/>
      <c r="CUE6" s="577"/>
      <c r="CUF6" s="577"/>
      <c r="CUG6" s="577"/>
      <c r="CUH6" s="577"/>
      <c r="CUI6" s="577"/>
      <c r="CUJ6" s="577"/>
      <c r="CUK6" s="577"/>
      <c r="CUL6" s="577"/>
      <c r="CUM6" s="577"/>
      <c r="CUN6" s="577"/>
      <c r="CUO6" s="577"/>
      <c r="CUP6" s="577"/>
      <c r="CUQ6" s="577"/>
      <c r="CUR6" s="577"/>
      <c r="CUS6" s="577"/>
      <c r="CUT6" s="577"/>
      <c r="CUU6" s="577"/>
      <c r="CUV6" s="577"/>
      <c r="CUW6" s="577"/>
      <c r="CUX6" s="577"/>
      <c r="CUY6" s="577"/>
      <c r="CUZ6" s="577"/>
      <c r="CVA6" s="577"/>
      <c r="CVB6" s="577"/>
      <c r="CVC6" s="577"/>
      <c r="CVD6" s="577"/>
      <c r="CVE6" s="577"/>
      <c r="CVF6" s="577"/>
      <c r="CVG6" s="577"/>
      <c r="CVH6" s="577"/>
      <c r="CVI6" s="577"/>
      <c r="CVJ6" s="577"/>
      <c r="CVK6" s="577"/>
      <c r="CVL6" s="577"/>
      <c r="CVM6" s="577"/>
      <c r="CVN6" s="577"/>
      <c r="CVO6" s="577"/>
      <c r="CVP6" s="577"/>
      <c r="CVQ6" s="577"/>
      <c r="CVR6" s="577"/>
      <c r="CVS6" s="577"/>
      <c r="CVT6" s="577"/>
      <c r="CVU6" s="577"/>
      <c r="CVV6" s="577"/>
      <c r="CVW6" s="577"/>
      <c r="CVX6" s="577"/>
      <c r="CVY6" s="577"/>
      <c r="CVZ6" s="577"/>
      <c r="CWA6" s="577"/>
      <c r="CWB6" s="577"/>
      <c r="CWC6" s="577"/>
      <c r="CWD6" s="577"/>
      <c r="CWE6" s="577"/>
      <c r="CWF6" s="577"/>
      <c r="CWG6" s="577"/>
      <c r="CWH6" s="577"/>
      <c r="CWI6" s="577"/>
      <c r="CWJ6" s="577"/>
      <c r="CWK6" s="577"/>
      <c r="CWL6" s="577"/>
      <c r="CWM6" s="577"/>
      <c r="CWN6" s="577"/>
      <c r="CWO6" s="577"/>
      <c r="CWP6" s="577"/>
      <c r="CWQ6" s="577"/>
      <c r="CWR6" s="577"/>
      <c r="CWS6" s="577"/>
      <c r="CWT6" s="577"/>
      <c r="CWU6" s="577"/>
      <c r="CWV6" s="577"/>
      <c r="CWW6" s="577"/>
      <c r="CWX6" s="577"/>
      <c r="CWY6" s="577"/>
      <c r="CWZ6" s="577"/>
      <c r="CXA6" s="577"/>
      <c r="CXB6" s="577"/>
      <c r="CXC6" s="577"/>
      <c r="CXD6" s="577"/>
      <c r="CXE6" s="577"/>
      <c r="CXF6" s="577"/>
      <c r="CXG6" s="577"/>
      <c r="CXH6" s="577"/>
      <c r="CXI6" s="577"/>
      <c r="CXJ6" s="577"/>
      <c r="CXK6" s="577"/>
      <c r="CXL6" s="577"/>
      <c r="CXM6" s="577"/>
      <c r="CXN6" s="577"/>
      <c r="CXO6" s="577"/>
      <c r="CXP6" s="577"/>
      <c r="CXQ6" s="577"/>
      <c r="CXR6" s="577"/>
      <c r="CXS6" s="577"/>
      <c r="CXT6" s="577"/>
      <c r="CXU6" s="577"/>
      <c r="CXV6" s="577"/>
      <c r="CXW6" s="577"/>
      <c r="CXX6" s="577"/>
      <c r="CXY6" s="577"/>
      <c r="CXZ6" s="577"/>
      <c r="CYA6" s="577"/>
      <c r="CYB6" s="577"/>
      <c r="CYC6" s="577"/>
      <c r="CYD6" s="577"/>
      <c r="CYE6" s="577"/>
      <c r="CYF6" s="577"/>
      <c r="CYG6" s="577"/>
      <c r="CYH6" s="577"/>
      <c r="CYI6" s="577"/>
      <c r="CYJ6" s="577"/>
      <c r="CYK6" s="577"/>
      <c r="CYL6" s="577"/>
      <c r="CYM6" s="577"/>
      <c r="CYN6" s="577"/>
      <c r="CYO6" s="577"/>
      <c r="CYP6" s="577"/>
      <c r="CYQ6" s="577"/>
      <c r="CYR6" s="577"/>
      <c r="CYS6" s="577"/>
      <c r="CYT6" s="577"/>
      <c r="CYU6" s="577"/>
      <c r="CYV6" s="577"/>
      <c r="CYW6" s="577"/>
      <c r="CYX6" s="577"/>
      <c r="CYY6" s="577"/>
      <c r="CYZ6" s="577"/>
      <c r="CZA6" s="577"/>
      <c r="CZB6" s="577"/>
      <c r="CZC6" s="577"/>
      <c r="CZD6" s="577"/>
      <c r="CZE6" s="577"/>
      <c r="CZF6" s="577"/>
      <c r="CZG6" s="577"/>
      <c r="CZH6" s="577"/>
      <c r="CZI6" s="577"/>
      <c r="CZJ6" s="577"/>
      <c r="CZK6" s="577"/>
      <c r="CZL6" s="577"/>
      <c r="CZM6" s="577"/>
      <c r="CZN6" s="577"/>
      <c r="CZO6" s="577"/>
      <c r="CZP6" s="577"/>
      <c r="CZQ6" s="577"/>
      <c r="CZR6" s="577"/>
      <c r="CZS6" s="577"/>
      <c r="CZT6" s="577"/>
      <c r="CZU6" s="577"/>
      <c r="CZV6" s="577"/>
      <c r="CZW6" s="577"/>
      <c r="CZX6" s="577"/>
      <c r="CZY6" s="577"/>
      <c r="CZZ6" s="577"/>
      <c r="DAA6" s="577"/>
      <c r="DAB6" s="577"/>
      <c r="DAC6" s="577"/>
      <c r="DAD6" s="577"/>
      <c r="DAE6" s="577"/>
      <c r="DAF6" s="577"/>
      <c r="DAG6" s="577"/>
      <c r="DAH6" s="577"/>
      <c r="DAI6" s="577"/>
      <c r="DAJ6" s="577"/>
      <c r="DAK6" s="577"/>
      <c r="DAL6" s="577"/>
      <c r="DAM6" s="577"/>
      <c r="DAN6" s="577"/>
      <c r="DAO6" s="577"/>
      <c r="DAP6" s="577"/>
      <c r="DAQ6" s="577"/>
      <c r="DAR6" s="577"/>
      <c r="DAS6" s="577"/>
      <c r="DAT6" s="577"/>
      <c r="DAU6" s="577"/>
      <c r="DAV6" s="577"/>
      <c r="DAW6" s="577"/>
      <c r="DAX6" s="577"/>
      <c r="DAY6" s="577"/>
      <c r="DAZ6" s="577"/>
      <c r="DBA6" s="577"/>
      <c r="DBB6" s="577"/>
      <c r="DBC6" s="577"/>
      <c r="DBD6" s="577"/>
      <c r="DBE6" s="577"/>
      <c r="DBF6" s="577"/>
      <c r="DBG6" s="577"/>
      <c r="DBH6" s="577"/>
      <c r="DBI6" s="577"/>
      <c r="DBJ6" s="577"/>
      <c r="DBK6" s="577"/>
      <c r="DBL6" s="577"/>
      <c r="DBM6" s="577"/>
      <c r="DBN6" s="577"/>
      <c r="DBO6" s="577"/>
      <c r="DBP6" s="577"/>
      <c r="DBQ6" s="577"/>
      <c r="DBR6" s="577"/>
      <c r="DBS6" s="577"/>
      <c r="DBT6" s="577"/>
      <c r="DBU6" s="577"/>
      <c r="DBV6" s="577"/>
      <c r="DBW6" s="577"/>
      <c r="DBX6" s="577"/>
      <c r="DBY6" s="577"/>
      <c r="DBZ6" s="577"/>
      <c r="DCA6" s="577"/>
      <c r="DCB6" s="577"/>
      <c r="DCC6" s="577"/>
      <c r="DCD6" s="577"/>
      <c r="DCE6" s="577"/>
      <c r="DCF6" s="577"/>
      <c r="DCG6" s="577"/>
      <c r="DCH6" s="577"/>
      <c r="DCI6" s="577"/>
      <c r="DCJ6" s="577"/>
      <c r="DCK6" s="577"/>
      <c r="DCL6" s="577"/>
      <c r="DCM6" s="577"/>
      <c r="DCN6" s="577"/>
      <c r="DCO6" s="577"/>
      <c r="DCP6" s="577"/>
      <c r="DCQ6" s="577"/>
      <c r="DCR6" s="577"/>
      <c r="DCS6" s="577"/>
      <c r="DCT6" s="577"/>
      <c r="DCU6" s="577"/>
      <c r="DCV6" s="577"/>
      <c r="DCW6" s="577"/>
      <c r="DCX6" s="577"/>
      <c r="DCY6" s="577"/>
      <c r="DCZ6" s="577"/>
      <c r="DDA6" s="577"/>
      <c r="DDB6" s="577"/>
      <c r="DDC6" s="577"/>
      <c r="DDD6" s="577"/>
      <c r="DDE6" s="577"/>
      <c r="DDF6" s="577"/>
      <c r="DDG6" s="577"/>
      <c r="DDH6" s="577"/>
      <c r="DDI6" s="577"/>
      <c r="DDJ6" s="577"/>
      <c r="DDK6" s="577"/>
      <c r="DDL6" s="577"/>
      <c r="DDM6" s="577"/>
      <c r="DDN6" s="577"/>
      <c r="DDO6" s="577"/>
      <c r="DDP6" s="577"/>
      <c r="DDQ6" s="577"/>
      <c r="DDR6" s="577"/>
      <c r="DDS6" s="577"/>
      <c r="DDT6" s="577"/>
      <c r="DDU6" s="577"/>
      <c r="DDV6" s="577"/>
      <c r="DDW6" s="577"/>
      <c r="DDX6" s="577"/>
      <c r="DDY6" s="577"/>
      <c r="DDZ6" s="577"/>
      <c r="DEA6" s="577"/>
      <c r="DEB6" s="577"/>
      <c r="DEC6" s="577"/>
      <c r="DED6" s="577"/>
      <c r="DEE6" s="577"/>
      <c r="DEF6" s="577"/>
      <c r="DEG6" s="577"/>
      <c r="DEH6" s="577"/>
      <c r="DEI6" s="577"/>
      <c r="DEJ6" s="577"/>
      <c r="DEK6" s="577"/>
      <c r="DEL6" s="577"/>
      <c r="DEM6" s="577"/>
      <c r="DEN6" s="577"/>
      <c r="DEO6" s="577"/>
      <c r="DEP6" s="577"/>
      <c r="DEQ6" s="577"/>
      <c r="DER6" s="577"/>
      <c r="DES6" s="577"/>
      <c r="DET6" s="577"/>
      <c r="DEU6" s="577"/>
      <c r="DEV6" s="577"/>
      <c r="DEW6" s="577"/>
      <c r="DEX6" s="577"/>
      <c r="DEY6" s="577"/>
      <c r="DEZ6" s="577"/>
      <c r="DFA6" s="577"/>
      <c r="DFB6" s="577"/>
      <c r="DFC6" s="577"/>
      <c r="DFD6" s="577"/>
      <c r="DFE6" s="577"/>
      <c r="DFF6" s="577"/>
      <c r="DFG6" s="577"/>
      <c r="DFH6" s="577"/>
      <c r="DFI6" s="577"/>
      <c r="DFJ6" s="577"/>
      <c r="DFK6" s="577"/>
      <c r="DFL6" s="577"/>
      <c r="DFM6" s="577"/>
      <c r="DFN6" s="577"/>
      <c r="DFO6" s="577"/>
      <c r="DFP6" s="577"/>
      <c r="DFQ6" s="577"/>
      <c r="DFR6" s="577"/>
      <c r="DFS6" s="577"/>
      <c r="DFT6" s="577"/>
      <c r="DFU6" s="577"/>
      <c r="DFV6" s="577"/>
      <c r="DFW6" s="577"/>
      <c r="DFX6" s="577"/>
      <c r="DFY6" s="577"/>
      <c r="DFZ6" s="577"/>
      <c r="DGA6" s="577"/>
      <c r="DGB6" s="577"/>
      <c r="DGC6" s="577"/>
      <c r="DGD6" s="577"/>
      <c r="DGE6" s="577"/>
      <c r="DGF6" s="577"/>
      <c r="DGG6" s="577"/>
      <c r="DGH6" s="577"/>
      <c r="DGI6" s="577"/>
      <c r="DGJ6" s="577"/>
      <c r="DGK6" s="577"/>
      <c r="DGL6" s="577"/>
      <c r="DGM6" s="577"/>
      <c r="DGN6" s="577"/>
      <c r="DGO6" s="577"/>
      <c r="DGP6" s="577"/>
      <c r="DGQ6" s="577"/>
      <c r="DGR6" s="577"/>
      <c r="DGS6" s="577"/>
      <c r="DGT6" s="577"/>
      <c r="DGU6" s="577"/>
      <c r="DGV6" s="577"/>
      <c r="DGW6" s="577"/>
      <c r="DGX6" s="577"/>
      <c r="DGY6" s="577"/>
      <c r="DGZ6" s="577"/>
      <c r="DHA6" s="577"/>
      <c r="DHB6" s="577"/>
      <c r="DHC6" s="577"/>
      <c r="DHD6" s="577"/>
      <c r="DHE6" s="577"/>
      <c r="DHF6" s="577"/>
      <c r="DHG6" s="577"/>
      <c r="DHH6" s="577"/>
      <c r="DHI6" s="577"/>
      <c r="DHJ6" s="577"/>
      <c r="DHK6" s="577"/>
      <c r="DHL6" s="577"/>
      <c r="DHM6" s="577"/>
      <c r="DHN6" s="577"/>
      <c r="DHO6" s="577"/>
      <c r="DHP6" s="577"/>
      <c r="DHQ6" s="577"/>
      <c r="DHR6" s="577"/>
      <c r="DHS6" s="577"/>
      <c r="DHT6" s="577"/>
      <c r="DHU6" s="577"/>
      <c r="DHV6" s="577"/>
      <c r="DHW6" s="577"/>
      <c r="DHX6" s="577"/>
      <c r="DHY6" s="577"/>
      <c r="DHZ6" s="577"/>
      <c r="DIA6" s="577"/>
      <c r="DIB6" s="577"/>
      <c r="DIC6" s="577"/>
      <c r="DID6" s="577"/>
      <c r="DIE6" s="577"/>
      <c r="DIF6" s="577"/>
      <c r="DIG6" s="577"/>
      <c r="DIH6" s="577"/>
      <c r="DII6" s="577"/>
      <c r="DIJ6" s="577"/>
      <c r="DIK6" s="577"/>
      <c r="DIL6" s="577"/>
      <c r="DIM6" s="577"/>
      <c r="DIN6" s="577"/>
      <c r="DIO6" s="577"/>
      <c r="DIP6" s="577"/>
      <c r="DIQ6" s="577"/>
      <c r="DIR6" s="577"/>
      <c r="DIS6" s="577"/>
      <c r="DIT6" s="577"/>
      <c r="DIU6" s="577"/>
      <c r="DIV6" s="577"/>
      <c r="DIW6" s="577"/>
      <c r="DIX6" s="577"/>
      <c r="DIY6" s="577"/>
      <c r="DIZ6" s="577"/>
      <c r="DJA6" s="577"/>
      <c r="DJB6" s="577"/>
      <c r="DJC6" s="577"/>
      <c r="DJD6" s="577"/>
      <c r="DJE6" s="577"/>
      <c r="DJF6" s="577"/>
      <c r="DJG6" s="577"/>
      <c r="DJH6" s="577"/>
      <c r="DJI6" s="577"/>
      <c r="DJJ6" s="577"/>
      <c r="DJK6" s="577"/>
      <c r="DJL6" s="577"/>
      <c r="DJM6" s="577"/>
      <c r="DJN6" s="577"/>
      <c r="DJO6" s="577"/>
      <c r="DJP6" s="577"/>
      <c r="DJQ6" s="577"/>
      <c r="DJR6" s="577"/>
      <c r="DJS6" s="577"/>
      <c r="DJT6" s="577"/>
      <c r="DJU6" s="577"/>
      <c r="DJV6" s="577"/>
      <c r="DJW6" s="577"/>
      <c r="DJX6" s="577"/>
      <c r="DJY6" s="577"/>
      <c r="DJZ6" s="577"/>
      <c r="DKA6" s="577"/>
      <c r="DKB6" s="577"/>
      <c r="DKC6" s="577"/>
      <c r="DKD6" s="577"/>
      <c r="DKE6" s="577"/>
      <c r="DKF6" s="577"/>
      <c r="DKG6" s="577"/>
      <c r="DKH6" s="577"/>
      <c r="DKI6" s="577"/>
      <c r="DKJ6" s="577"/>
      <c r="DKK6" s="577"/>
      <c r="DKL6" s="577"/>
      <c r="DKM6" s="577"/>
      <c r="DKN6" s="577"/>
      <c r="DKO6" s="577"/>
      <c r="DKP6" s="577"/>
      <c r="DKQ6" s="577"/>
      <c r="DKR6" s="577"/>
      <c r="DKS6" s="577"/>
      <c r="DKT6" s="577"/>
      <c r="DKU6" s="577"/>
      <c r="DKV6" s="577"/>
      <c r="DKW6" s="577"/>
      <c r="DKX6" s="577"/>
      <c r="DKY6" s="577"/>
      <c r="DKZ6" s="577"/>
      <c r="DLA6" s="577"/>
      <c r="DLB6" s="577"/>
      <c r="DLC6" s="577"/>
      <c r="DLD6" s="577"/>
      <c r="DLE6" s="577"/>
      <c r="DLF6" s="577"/>
      <c r="DLG6" s="577"/>
      <c r="DLH6" s="577"/>
      <c r="DLI6" s="577"/>
      <c r="DLJ6" s="577"/>
      <c r="DLK6" s="577"/>
      <c r="DLL6" s="577"/>
      <c r="DLM6" s="577"/>
      <c r="DLN6" s="577"/>
      <c r="DLO6" s="577"/>
      <c r="DLP6" s="577"/>
      <c r="DLQ6" s="577"/>
      <c r="DLR6" s="577"/>
      <c r="DLS6" s="577"/>
      <c r="DLT6" s="577"/>
      <c r="DLU6" s="577"/>
      <c r="DLV6" s="577"/>
      <c r="DLW6" s="577"/>
      <c r="DLX6" s="577"/>
      <c r="DLY6" s="577"/>
      <c r="DLZ6" s="577"/>
      <c r="DMA6" s="577"/>
      <c r="DMB6" s="577"/>
      <c r="DMC6" s="577"/>
      <c r="DMD6" s="577"/>
      <c r="DME6" s="577"/>
      <c r="DMF6" s="577"/>
      <c r="DMG6" s="577"/>
      <c r="DMH6" s="577"/>
      <c r="DMI6" s="577"/>
      <c r="DMJ6" s="577"/>
      <c r="DMK6" s="577"/>
      <c r="DML6" s="577"/>
      <c r="DMM6" s="577"/>
      <c r="DMN6" s="577"/>
      <c r="DMO6" s="577"/>
      <c r="DMP6" s="577"/>
      <c r="DMQ6" s="577"/>
      <c r="DMR6" s="577"/>
      <c r="DMS6" s="577"/>
      <c r="DMT6" s="577"/>
      <c r="DMU6" s="577"/>
      <c r="DMV6" s="577"/>
      <c r="DMW6" s="577"/>
      <c r="DMX6" s="577"/>
      <c r="DMY6" s="577"/>
      <c r="DMZ6" s="577"/>
      <c r="DNA6" s="577"/>
      <c r="DNB6" s="577"/>
      <c r="DNC6" s="577"/>
      <c r="DND6" s="577"/>
      <c r="DNE6" s="577"/>
      <c r="DNF6" s="577"/>
      <c r="DNG6" s="577"/>
      <c r="DNH6" s="577"/>
      <c r="DNI6" s="577"/>
      <c r="DNJ6" s="577"/>
      <c r="DNK6" s="577"/>
      <c r="DNL6" s="577"/>
      <c r="DNM6" s="577"/>
      <c r="DNN6" s="577"/>
      <c r="DNO6" s="577"/>
      <c r="DNP6" s="577"/>
      <c r="DNQ6" s="577"/>
      <c r="DNR6" s="577"/>
      <c r="DNS6" s="577"/>
      <c r="DNT6" s="577"/>
      <c r="DNU6" s="577"/>
      <c r="DNV6" s="577"/>
      <c r="DNW6" s="577"/>
      <c r="DNX6" s="577"/>
      <c r="DNY6" s="577"/>
      <c r="DNZ6" s="577"/>
      <c r="DOA6" s="577"/>
      <c r="DOB6" s="577"/>
      <c r="DOC6" s="577"/>
      <c r="DOD6" s="577"/>
      <c r="DOE6" s="577"/>
      <c r="DOF6" s="577"/>
      <c r="DOG6" s="577"/>
      <c r="DOH6" s="577"/>
      <c r="DOI6" s="577"/>
      <c r="DOJ6" s="577"/>
      <c r="DOK6" s="577"/>
      <c r="DOL6" s="577"/>
      <c r="DOM6" s="577"/>
      <c r="DON6" s="577"/>
      <c r="DOO6" s="577"/>
      <c r="DOP6" s="577"/>
      <c r="DOQ6" s="577"/>
      <c r="DOR6" s="577"/>
      <c r="DOS6" s="577"/>
      <c r="DOT6" s="577"/>
      <c r="DOU6" s="577"/>
      <c r="DOV6" s="577"/>
      <c r="DOW6" s="577"/>
      <c r="DOX6" s="577"/>
      <c r="DOY6" s="577"/>
      <c r="DOZ6" s="577"/>
      <c r="DPA6" s="577"/>
      <c r="DPB6" s="577"/>
      <c r="DPC6" s="577"/>
      <c r="DPD6" s="577"/>
      <c r="DPE6" s="577"/>
      <c r="DPF6" s="577"/>
      <c r="DPG6" s="577"/>
      <c r="DPH6" s="577"/>
      <c r="DPI6" s="577"/>
      <c r="DPJ6" s="577"/>
      <c r="DPK6" s="577"/>
      <c r="DPL6" s="577"/>
      <c r="DPM6" s="577"/>
      <c r="DPN6" s="577"/>
      <c r="DPO6" s="577"/>
      <c r="DPP6" s="577"/>
      <c r="DPQ6" s="577"/>
      <c r="DPR6" s="577"/>
      <c r="DPS6" s="577"/>
      <c r="DPT6" s="577"/>
      <c r="DPU6" s="577"/>
      <c r="DPV6" s="577"/>
      <c r="DPW6" s="577"/>
      <c r="DPX6" s="577"/>
      <c r="DPY6" s="577"/>
      <c r="DPZ6" s="577"/>
      <c r="DQA6" s="577"/>
      <c r="DQB6" s="577"/>
      <c r="DQC6" s="577"/>
      <c r="DQD6" s="577"/>
      <c r="DQE6" s="577"/>
      <c r="DQF6" s="577"/>
      <c r="DQG6" s="577"/>
      <c r="DQH6" s="577"/>
      <c r="DQI6" s="577"/>
      <c r="DQJ6" s="577"/>
      <c r="DQK6" s="577"/>
      <c r="DQL6" s="577"/>
      <c r="DQM6" s="577"/>
      <c r="DQN6" s="577"/>
      <c r="DQO6" s="577"/>
      <c r="DQP6" s="577"/>
      <c r="DQQ6" s="577"/>
      <c r="DQR6" s="577"/>
      <c r="DQS6" s="577"/>
      <c r="DQT6" s="577"/>
      <c r="DQU6" s="577"/>
      <c r="DQV6" s="577"/>
      <c r="DQW6" s="577"/>
      <c r="DQX6" s="577"/>
      <c r="DQY6" s="577"/>
      <c r="DQZ6" s="577"/>
      <c r="DRA6" s="577"/>
      <c r="DRB6" s="577"/>
      <c r="DRC6" s="577"/>
      <c r="DRD6" s="577"/>
      <c r="DRE6" s="577"/>
      <c r="DRF6" s="577"/>
      <c r="DRG6" s="577"/>
      <c r="DRH6" s="577"/>
      <c r="DRI6" s="577"/>
      <c r="DRJ6" s="577"/>
      <c r="DRK6" s="577"/>
      <c r="DRL6" s="577"/>
      <c r="DRM6" s="577"/>
      <c r="DRN6" s="577"/>
      <c r="DRO6" s="577"/>
      <c r="DRP6" s="577"/>
      <c r="DRQ6" s="577"/>
      <c r="DRR6" s="577"/>
      <c r="DRS6" s="577"/>
      <c r="DRT6" s="577"/>
      <c r="DRU6" s="577"/>
      <c r="DRV6" s="577"/>
      <c r="DRW6" s="577"/>
      <c r="DRX6" s="577"/>
      <c r="DRY6" s="577"/>
      <c r="DRZ6" s="577"/>
      <c r="DSA6" s="577"/>
      <c r="DSB6" s="577"/>
      <c r="DSC6" s="577"/>
      <c r="DSD6" s="577"/>
      <c r="DSE6" s="577"/>
      <c r="DSF6" s="577"/>
      <c r="DSG6" s="577"/>
      <c r="DSH6" s="577"/>
      <c r="DSI6" s="577"/>
      <c r="DSJ6" s="577"/>
      <c r="DSK6" s="577"/>
      <c r="DSL6" s="577"/>
      <c r="DSM6" s="577"/>
      <c r="DSN6" s="577"/>
      <c r="DSO6" s="577"/>
      <c r="DSP6" s="577"/>
      <c r="DSQ6" s="577"/>
      <c r="DSR6" s="577"/>
      <c r="DSS6" s="577"/>
      <c r="DST6" s="577"/>
      <c r="DSU6" s="577"/>
      <c r="DSV6" s="577"/>
      <c r="DSW6" s="577"/>
      <c r="DSX6" s="577"/>
      <c r="DSY6" s="577"/>
      <c r="DSZ6" s="577"/>
      <c r="DTA6" s="577"/>
      <c r="DTB6" s="577"/>
      <c r="DTC6" s="577"/>
      <c r="DTD6" s="577"/>
      <c r="DTE6" s="577"/>
      <c r="DTF6" s="577"/>
      <c r="DTG6" s="577"/>
      <c r="DTH6" s="577"/>
      <c r="DTI6" s="577"/>
      <c r="DTJ6" s="577"/>
      <c r="DTK6" s="577"/>
      <c r="DTL6" s="577"/>
      <c r="DTM6" s="577"/>
      <c r="DTN6" s="577"/>
      <c r="DTO6" s="577"/>
      <c r="DTP6" s="577"/>
      <c r="DTQ6" s="577"/>
      <c r="DTR6" s="577"/>
      <c r="DTS6" s="577"/>
      <c r="DTT6" s="577"/>
      <c r="DTU6" s="577"/>
      <c r="DTV6" s="577"/>
      <c r="DTW6" s="577"/>
      <c r="DTX6" s="577"/>
      <c r="DTY6" s="577"/>
      <c r="DTZ6" s="577"/>
      <c r="DUA6" s="577"/>
      <c r="DUB6" s="577"/>
      <c r="DUC6" s="577"/>
      <c r="DUD6" s="577"/>
      <c r="DUE6" s="577"/>
      <c r="DUF6" s="577"/>
      <c r="DUG6" s="577"/>
      <c r="DUH6" s="577"/>
      <c r="DUI6" s="577"/>
      <c r="DUJ6" s="577"/>
      <c r="DUK6" s="577"/>
      <c r="DUL6" s="577"/>
      <c r="DUM6" s="577"/>
      <c r="DUN6" s="577"/>
      <c r="DUO6" s="577"/>
      <c r="DUP6" s="577"/>
      <c r="DUQ6" s="577"/>
      <c r="DUR6" s="577"/>
      <c r="DUS6" s="577"/>
      <c r="DUT6" s="577"/>
      <c r="DUU6" s="577"/>
      <c r="DUV6" s="577"/>
      <c r="DUW6" s="577"/>
      <c r="DUX6" s="577"/>
      <c r="DUY6" s="577"/>
      <c r="DUZ6" s="577"/>
      <c r="DVA6" s="577"/>
      <c r="DVB6" s="577"/>
      <c r="DVC6" s="577"/>
      <c r="DVD6" s="577"/>
      <c r="DVE6" s="577"/>
      <c r="DVF6" s="577"/>
      <c r="DVG6" s="577"/>
      <c r="DVH6" s="577"/>
      <c r="DVI6" s="577"/>
      <c r="DVJ6" s="577"/>
      <c r="DVK6" s="577"/>
      <c r="DVL6" s="577"/>
      <c r="DVM6" s="577"/>
      <c r="DVN6" s="577"/>
      <c r="DVO6" s="577"/>
      <c r="DVP6" s="577"/>
      <c r="DVQ6" s="577"/>
      <c r="DVR6" s="577"/>
      <c r="DVS6" s="577"/>
      <c r="DVT6" s="577"/>
      <c r="DVU6" s="577"/>
      <c r="DVV6" s="577"/>
      <c r="DVW6" s="577"/>
      <c r="DVX6" s="577"/>
      <c r="DVY6" s="577"/>
      <c r="DVZ6" s="577"/>
      <c r="DWA6" s="577"/>
      <c r="DWB6" s="577"/>
      <c r="DWC6" s="577"/>
      <c r="DWD6" s="577"/>
      <c r="DWE6" s="577"/>
      <c r="DWF6" s="577"/>
      <c r="DWG6" s="577"/>
      <c r="DWH6" s="577"/>
      <c r="DWI6" s="577"/>
      <c r="DWJ6" s="577"/>
      <c r="DWK6" s="577"/>
      <c r="DWL6" s="577"/>
      <c r="DWM6" s="577"/>
      <c r="DWN6" s="577"/>
      <c r="DWO6" s="577"/>
      <c r="DWP6" s="577"/>
      <c r="DWQ6" s="577"/>
      <c r="DWR6" s="577"/>
      <c r="DWS6" s="577"/>
      <c r="DWT6" s="577"/>
      <c r="DWU6" s="577"/>
      <c r="DWV6" s="577"/>
      <c r="DWW6" s="577"/>
      <c r="DWX6" s="577"/>
      <c r="DWY6" s="577"/>
      <c r="DWZ6" s="577"/>
      <c r="DXA6" s="577"/>
      <c r="DXB6" s="577"/>
      <c r="DXC6" s="577"/>
      <c r="DXD6" s="577"/>
      <c r="DXE6" s="577"/>
      <c r="DXF6" s="577"/>
      <c r="DXG6" s="577"/>
      <c r="DXH6" s="577"/>
      <c r="DXI6" s="577"/>
      <c r="DXJ6" s="577"/>
      <c r="DXK6" s="577"/>
      <c r="DXL6" s="577"/>
      <c r="DXM6" s="577"/>
      <c r="DXN6" s="577"/>
      <c r="DXO6" s="577"/>
      <c r="DXP6" s="577"/>
      <c r="DXQ6" s="577"/>
      <c r="DXR6" s="577"/>
      <c r="DXS6" s="577"/>
      <c r="DXT6" s="577"/>
      <c r="DXU6" s="577"/>
      <c r="DXV6" s="577"/>
      <c r="DXW6" s="577"/>
      <c r="DXX6" s="577"/>
      <c r="DXY6" s="577"/>
      <c r="DXZ6" s="577"/>
      <c r="DYA6" s="577"/>
      <c r="DYB6" s="577"/>
      <c r="DYC6" s="577"/>
      <c r="DYD6" s="577"/>
      <c r="DYE6" s="577"/>
      <c r="DYF6" s="577"/>
      <c r="DYG6" s="577"/>
      <c r="DYH6" s="577"/>
      <c r="DYI6" s="577"/>
      <c r="DYJ6" s="577"/>
      <c r="DYK6" s="577"/>
      <c r="DYL6" s="577"/>
      <c r="DYM6" s="577"/>
      <c r="DYN6" s="577"/>
      <c r="DYO6" s="577"/>
      <c r="DYP6" s="577"/>
      <c r="DYQ6" s="577"/>
      <c r="DYR6" s="577"/>
      <c r="DYS6" s="577"/>
      <c r="DYT6" s="577"/>
      <c r="DYU6" s="577"/>
      <c r="DYV6" s="577"/>
      <c r="DYW6" s="577"/>
      <c r="DYX6" s="577"/>
      <c r="DYY6" s="577"/>
      <c r="DYZ6" s="577"/>
      <c r="DZA6" s="577"/>
      <c r="DZB6" s="577"/>
      <c r="DZC6" s="577"/>
      <c r="DZD6" s="577"/>
      <c r="DZE6" s="577"/>
      <c r="DZF6" s="577"/>
      <c r="DZG6" s="577"/>
      <c r="DZH6" s="577"/>
      <c r="DZI6" s="577"/>
      <c r="DZJ6" s="577"/>
      <c r="DZK6" s="577"/>
      <c r="DZL6" s="577"/>
      <c r="DZM6" s="577"/>
      <c r="DZN6" s="577"/>
      <c r="DZO6" s="577"/>
      <c r="DZP6" s="577"/>
      <c r="DZQ6" s="577"/>
      <c r="DZR6" s="577"/>
      <c r="DZS6" s="577"/>
      <c r="DZT6" s="577"/>
      <c r="DZU6" s="577"/>
      <c r="DZV6" s="577"/>
      <c r="DZW6" s="577"/>
      <c r="DZX6" s="577"/>
      <c r="DZY6" s="577"/>
      <c r="DZZ6" s="577"/>
      <c r="EAA6" s="577"/>
      <c r="EAB6" s="577"/>
      <c r="EAC6" s="577"/>
      <c r="EAD6" s="577"/>
      <c r="EAE6" s="577"/>
      <c r="EAF6" s="577"/>
      <c r="EAG6" s="577"/>
      <c r="EAH6" s="577"/>
      <c r="EAI6" s="577"/>
      <c r="EAJ6" s="577"/>
      <c r="EAK6" s="577"/>
      <c r="EAL6" s="577"/>
      <c r="EAM6" s="577"/>
      <c r="EAN6" s="577"/>
      <c r="EAO6" s="577"/>
      <c r="EAP6" s="577"/>
      <c r="EAQ6" s="577"/>
      <c r="EAR6" s="577"/>
      <c r="EAS6" s="577"/>
      <c r="EAT6" s="577"/>
      <c r="EAU6" s="577"/>
      <c r="EAV6" s="577"/>
      <c r="EAW6" s="577"/>
      <c r="EAX6" s="577"/>
      <c r="EAY6" s="577"/>
      <c r="EAZ6" s="577"/>
      <c r="EBA6" s="577"/>
      <c r="EBB6" s="577"/>
      <c r="EBC6" s="577"/>
      <c r="EBD6" s="577"/>
      <c r="EBE6" s="577"/>
      <c r="EBF6" s="577"/>
      <c r="EBG6" s="577"/>
      <c r="EBH6" s="577"/>
      <c r="EBI6" s="577"/>
      <c r="EBJ6" s="577"/>
      <c r="EBK6" s="577"/>
      <c r="EBL6" s="577"/>
      <c r="EBM6" s="577"/>
      <c r="EBN6" s="577"/>
      <c r="EBO6" s="577"/>
      <c r="EBP6" s="577"/>
      <c r="EBQ6" s="577"/>
      <c r="EBR6" s="577"/>
      <c r="EBS6" s="577"/>
      <c r="EBT6" s="577"/>
      <c r="EBU6" s="577"/>
      <c r="EBV6" s="577"/>
      <c r="EBW6" s="577"/>
      <c r="EBX6" s="577"/>
      <c r="EBY6" s="577"/>
      <c r="EBZ6" s="577"/>
      <c r="ECA6" s="577"/>
      <c r="ECB6" s="577"/>
      <c r="ECC6" s="577"/>
      <c r="ECD6" s="577"/>
      <c r="ECE6" s="577"/>
      <c r="ECF6" s="577"/>
      <c r="ECG6" s="577"/>
      <c r="ECH6" s="577"/>
      <c r="ECI6" s="577"/>
      <c r="ECJ6" s="577"/>
      <c r="ECK6" s="577"/>
      <c r="ECL6" s="577"/>
      <c r="ECM6" s="577"/>
      <c r="ECN6" s="577"/>
      <c r="ECO6" s="577"/>
      <c r="ECP6" s="577"/>
      <c r="ECQ6" s="577"/>
      <c r="ECR6" s="577"/>
      <c r="ECS6" s="577"/>
      <c r="ECT6" s="577"/>
      <c r="ECU6" s="577"/>
      <c r="ECV6" s="577"/>
      <c r="ECW6" s="577"/>
      <c r="ECX6" s="577"/>
      <c r="ECY6" s="577"/>
      <c r="ECZ6" s="577"/>
      <c r="EDA6" s="577"/>
      <c r="EDB6" s="577"/>
      <c r="EDC6" s="577"/>
      <c r="EDD6" s="577"/>
      <c r="EDE6" s="577"/>
      <c r="EDF6" s="577"/>
      <c r="EDG6" s="577"/>
      <c r="EDH6" s="577"/>
      <c r="EDI6" s="577"/>
      <c r="EDJ6" s="577"/>
      <c r="EDK6" s="577"/>
      <c r="EDL6" s="577"/>
      <c r="EDM6" s="577"/>
      <c r="EDN6" s="577"/>
      <c r="EDO6" s="577"/>
      <c r="EDP6" s="577"/>
      <c r="EDQ6" s="577"/>
      <c r="EDR6" s="577"/>
      <c r="EDS6" s="577"/>
      <c r="EDT6" s="577"/>
      <c r="EDU6" s="577"/>
      <c r="EDV6" s="577"/>
      <c r="EDW6" s="577"/>
      <c r="EDX6" s="577"/>
      <c r="EDY6" s="577"/>
      <c r="EDZ6" s="577"/>
      <c r="EEA6" s="577"/>
      <c r="EEB6" s="577"/>
      <c r="EEC6" s="577"/>
      <c r="EED6" s="577"/>
      <c r="EEE6" s="577"/>
      <c r="EEF6" s="577"/>
      <c r="EEG6" s="577"/>
      <c r="EEH6" s="577"/>
      <c r="EEI6" s="577"/>
      <c r="EEJ6" s="577"/>
      <c r="EEK6" s="577"/>
      <c r="EEL6" s="577"/>
      <c r="EEM6" s="577"/>
      <c r="EEN6" s="577"/>
      <c r="EEO6" s="577"/>
      <c r="EEP6" s="577"/>
      <c r="EEQ6" s="577"/>
      <c r="EER6" s="577"/>
      <c r="EES6" s="577"/>
      <c r="EET6" s="577"/>
      <c r="EEU6" s="577"/>
      <c r="EEV6" s="577"/>
      <c r="EEW6" s="577"/>
      <c r="EEX6" s="577"/>
      <c r="EEY6" s="577"/>
      <c r="EEZ6" s="577"/>
      <c r="EFA6" s="577"/>
      <c r="EFB6" s="577"/>
      <c r="EFC6" s="577"/>
      <c r="EFD6" s="577"/>
      <c r="EFE6" s="577"/>
      <c r="EFF6" s="577"/>
      <c r="EFG6" s="577"/>
      <c r="EFH6" s="577"/>
      <c r="EFI6" s="577"/>
      <c r="EFJ6" s="577"/>
      <c r="EFK6" s="577"/>
      <c r="EFL6" s="577"/>
      <c r="EFM6" s="577"/>
      <c r="EFN6" s="577"/>
      <c r="EFO6" s="577"/>
      <c r="EFP6" s="577"/>
      <c r="EFQ6" s="577"/>
      <c r="EFR6" s="577"/>
      <c r="EFS6" s="577"/>
      <c r="EFT6" s="577"/>
      <c r="EFU6" s="577"/>
      <c r="EFV6" s="577"/>
      <c r="EFW6" s="577"/>
      <c r="EFX6" s="577"/>
      <c r="EFY6" s="577"/>
      <c r="EFZ6" s="577"/>
      <c r="EGA6" s="577"/>
      <c r="EGB6" s="577"/>
      <c r="EGC6" s="577"/>
      <c r="EGD6" s="577"/>
      <c r="EGE6" s="577"/>
      <c r="EGF6" s="577"/>
      <c r="EGG6" s="577"/>
      <c r="EGH6" s="577"/>
      <c r="EGI6" s="577"/>
      <c r="EGJ6" s="577"/>
      <c r="EGK6" s="577"/>
      <c r="EGL6" s="577"/>
      <c r="EGM6" s="577"/>
      <c r="EGN6" s="577"/>
      <c r="EGO6" s="577"/>
      <c r="EGP6" s="577"/>
      <c r="EGQ6" s="577"/>
      <c r="EGR6" s="577"/>
      <c r="EGS6" s="577"/>
      <c r="EGT6" s="577"/>
      <c r="EGU6" s="577"/>
      <c r="EGV6" s="577"/>
      <c r="EGW6" s="577"/>
      <c r="EGX6" s="577"/>
      <c r="EGY6" s="577"/>
      <c r="EGZ6" s="577"/>
      <c r="EHA6" s="577"/>
      <c r="EHB6" s="577"/>
      <c r="EHC6" s="577"/>
      <c r="EHD6" s="577"/>
      <c r="EHE6" s="577"/>
      <c r="EHF6" s="577"/>
      <c r="EHG6" s="577"/>
      <c r="EHH6" s="577"/>
      <c r="EHI6" s="577"/>
      <c r="EHJ6" s="577"/>
      <c r="EHK6" s="577"/>
      <c r="EHL6" s="577"/>
      <c r="EHM6" s="577"/>
      <c r="EHN6" s="577"/>
      <c r="EHO6" s="577"/>
      <c r="EHP6" s="577"/>
      <c r="EHQ6" s="577"/>
      <c r="EHR6" s="577"/>
      <c r="EHS6" s="577"/>
      <c r="EHT6" s="577"/>
      <c r="EHU6" s="577"/>
      <c r="EHV6" s="577"/>
      <c r="EHW6" s="577"/>
      <c r="EHX6" s="577"/>
      <c r="EHY6" s="577"/>
      <c r="EHZ6" s="577"/>
      <c r="EIA6" s="577"/>
      <c r="EIB6" s="577"/>
      <c r="EIC6" s="577"/>
      <c r="EID6" s="577"/>
      <c r="EIE6" s="577"/>
      <c r="EIF6" s="577"/>
      <c r="EIG6" s="577"/>
      <c r="EIH6" s="577"/>
      <c r="EII6" s="577"/>
      <c r="EIJ6" s="577"/>
      <c r="EIK6" s="577"/>
      <c r="EIL6" s="577"/>
      <c r="EIM6" s="577"/>
      <c r="EIN6" s="577"/>
      <c r="EIO6" s="577"/>
      <c r="EIP6" s="577"/>
      <c r="EIQ6" s="577"/>
      <c r="EIR6" s="577"/>
      <c r="EIS6" s="577"/>
      <c r="EIT6" s="577"/>
      <c r="EIU6" s="577"/>
      <c r="EIV6" s="577"/>
      <c r="EIW6" s="577"/>
      <c r="EIX6" s="577"/>
      <c r="EIY6" s="577"/>
      <c r="EIZ6" s="577"/>
      <c r="EJA6" s="577"/>
      <c r="EJB6" s="577"/>
      <c r="EJC6" s="577"/>
      <c r="EJD6" s="577"/>
      <c r="EJE6" s="577"/>
      <c r="EJF6" s="577"/>
      <c r="EJG6" s="577"/>
      <c r="EJH6" s="577"/>
      <c r="EJI6" s="577"/>
      <c r="EJJ6" s="577"/>
      <c r="EJK6" s="577"/>
      <c r="EJL6" s="577"/>
      <c r="EJM6" s="577"/>
      <c r="EJN6" s="577"/>
      <c r="EJO6" s="577"/>
      <c r="EJP6" s="577"/>
      <c r="EJQ6" s="577"/>
      <c r="EJR6" s="577"/>
      <c r="EJS6" s="577"/>
      <c r="EJT6" s="577"/>
      <c r="EJU6" s="577"/>
      <c r="EJV6" s="577"/>
      <c r="EJW6" s="577"/>
      <c r="EJX6" s="577"/>
      <c r="EJY6" s="577"/>
      <c r="EJZ6" s="577"/>
      <c r="EKA6" s="577"/>
      <c r="EKB6" s="577"/>
      <c r="EKC6" s="577"/>
      <c r="EKD6" s="577"/>
      <c r="EKE6" s="577"/>
      <c r="EKF6" s="577"/>
      <c r="EKG6" s="577"/>
      <c r="EKH6" s="577"/>
      <c r="EKI6" s="577"/>
      <c r="EKJ6" s="577"/>
      <c r="EKK6" s="577"/>
      <c r="EKL6" s="577"/>
      <c r="EKM6" s="577"/>
      <c r="EKN6" s="577"/>
      <c r="EKO6" s="577"/>
      <c r="EKP6" s="577"/>
      <c r="EKQ6" s="577"/>
      <c r="EKR6" s="577"/>
      <c r="EKS6" s="577"/>
      <c r="EKT6" s="577"/>
      <c r="EKU6" s="577"/>
      <c r="EKV6" s="577"/>
      <c r="EKW6" s="577"/>
      <c r="EKX6" s="577"/>
      <c r="EKY6" s="577"/>
      <c r="EKZ6" s="577"/>
      <c r="ELA6" s="577"/>
      <c r="ELB6" s="577"/>
      <c r="ELC6" s="577"/>
      <c r="ELD6" s="577"/>
      <c r="ELE6" s="577"/>
      <c r="ELF6" s="577"/>
      <c r="ELG6" s="577"/>
      <c r="ELH6" s="577"/>
      <c r="ELI6" s="577"/>
      <c r="ELJ6" s="577"/>
      <c r="ELK6" s="577"/>
      <c r="ELL6" s="577"/>
      <c r="ELM6" s="577"/>
      <c r="ELN6" s="577"/>
      <c r="ELO6" s="577"/>
      <c r="ELP6" s="577"/>
      <c r="ELQ6" s="577"/>
      <c r="ELR6" s="577"/>
      <c r="ELS6" s="577"/>
      <c r="ELT6" s="577"/>
      <c r="ELU6" s="577"/>
      <c r="ELV6" s="577"/>
      <c r="ELW6" s="577"/>
      <c r="ELX6" s="577"/>
      <c r="ELY6" s="577"/>
      <c r="ELZ6" s="577"/>
      <c r="EMA6" s="577"/>
      <c r="EMB6" s="577"/>
      <c r="EMC6" s="577"/>
      <c r="EMD6" s="577"/>
      <c r="EME6" s="577"/>
      <c r="EMF6" s="577"/>
      <c r="EMG6" s="577"/>
      <c r="EMH6" s="577"/>
      <c r="EMI6" s="577"/>
      <c r="EMJ6" s="577"/>
      <c r="EMK6" s="577"/>
      <c r="EML6" s="577"/>
      <c r="EMM6" s="577"/>
      <c r="EMN6" s="577"/>
      <c r="EMO6" s="577"/>
      <c r="EMP6" s="577"/>
      <c r="EMQ6" s="577"/>
      <c r="EMR6" s="577"/>
      <c r="EMS6" s="577"/>
      <c r="EMT6" s="577"/>
      <c r="EMU6" s="577"/>
      <c r="EMV6" s="577"/>
      <c r="EMW6" s="577"/>
      <c r="EMX6" s="577"/>
      <c r="EMY6" s="577"/>
      <c r="EMZ6" s="577"/>
      <c r="ENA6" s="577"/>
      <c r="ENB6" s="577"/>
      <c r="ENC6" s="577"/>
      <c r="END6" s="577"/>
      <c r="ENE6" s="577"/>
      <c r="ENF6" s="577"/>
      <c r="ENG6" s="577"/>
      <c r="ENH6" s="577"/>
      <c r="ENI6" s="577"/>
      <c r="ENJ6" s="577"/>
      <c r="ENK6" s="577"/>
      <c r="ENL6" s="577"/>
      <c r="ENM6" s="577"/>
      <c r="ENN6" s="577"/>
      <c r="ENO6" s="577"/>
      <c r="ENP6" s="577"/>
      <c r="ENQ6" s="577"/>
      <c r="ENR6" s="577"/>
      <c r="ENS6" s="577"/>
      <c r="ENT6" s="577"/>
      <c r="ENU6" s="577"/>
      <c r="ENV6" s="577"/>
      <c r="ENW6" s="577"/>
      <c r="ENX6" s="577"/>
      <c r="ENY6" s="577"/>
      <c r="ENZ6" s="577"/>
      <c r="EOA6" s="577"/>
      <c r="EOB6" s="577"/>
      <c r="EOC6" s="577"/>
      <c r="EOD6" s="577"/>
      <c r="EOE6" s="577"/>
      <c r="EOF6" s="577"/>
      <c r="EOG6" s="577"/>
      <c r="EOH6" s="577"/>
      <c r="EOI6" s="577"/>
      <c r="EOJ6" s="577"/>
      <c r="EOK6" s="577"/>
      <c r="EOL6" s="577"/>
      <c r="EOM6" s="577"/>
      <c r="EON6" s="577"/>
      <c r="EOO6" s="577"/>
      <c r="EOP6" s="577"/>
      <c r="EOQ6" s="577"/>
      <c r="EOR6" s="577"/>
      <c r="EOS6" s="577"/>
      <c r="EOT6" s="577"/>
      <c r="EOU6" s="577"/>
      <c r="EOV6" s="577"/>
      <c r="EOW6" s="577"/>
      <c r="EOX6" s="577"/>
      <c r="EOY6" s="577"/>
      <c r="EOZ6" s="577"/>
      <c r="EPA6" s="577"/>
      <c r="EPB6" s="577"/>
      <c r="EPC6" s="577"/>
      <c r="EPD6" s="577"/>
      <c r="EPE6" s="577"/>
      <c r="EPF6" s="577"/>
      <c r="EPG6" s="577"/>
      <c r="EPH6" s="577"/>
      <c r="EPI6" s="577"/>
      <c r="EPJ6" s="577"/>
      <c r="EPK6" s="577"/>
      <c r="EPL6" s="577"/>
      <c r="EPM6" s="577"/>
      <c r="EPN6" s="577"/>
      <c r="EPO6" s="577"/>
      <c r="EPP6" s="577"/>
      <c r="EPQ6" s="577"/>
      <c r="EPR6" s="577"/>
      <c r="EPS6" s="577"/>
      <c r="EPT6" s="577"/>
      <c r="EPU6" s="577"/>
      <c r="EPV6" s="577"/>
      <c r="EPW6" s="577"/>
      <c r="EPX6" s="577"/>
      <c r="EPY6" s="577"/>
      <c r="EPZ6" s="577"/>
      <c r="EQA6" s="577"/>
      <c r="EQB6" s="577"/>
      <c r="EQC6" s="577"/>
      <c r="EQD6" s="577"/>
      <c r="EQE6" s="577"/>
      <c r="EQF6" s="577"/>
      <c r="EQG6" s="577"/>
      <c r="EQH6" s="577"/>
      <c r="EQI6" s="577"/>
      <c r="EQJ6" s="577"/>
      <c r="EQK6" s="577"/>
      <c r="EQL6" s="577"/>
      <c r="EQM6" s="577"/>
      <c r="EQN6" s="577"/>
      <c r="EQO6" s="577"/>
      <c r="EQP6" s="577"/>
      <c r="EQQ6" s="577"/>
      <c r="EQR6" s="577"/>
      <c r="EQS6" s="577"/>
      <c r="EQT6" s="577"/>
      <c r="EQU6" s="577"/>
      <c r="EQV6" s="577"/>
      <c r="EQW6" s="577"/>
      <c r="EQX6" s="577"/>
      <c r="EQY6" s="577"/>
      <c r="EQZ6" s="577"/>
      <c r="ERA6" s="577"/>
      <c r="ERB6" s="577"/>
      <c r="ERC6" s="577"/>
      <c r="ERD6" s="577"/>
      <c r="ERE6" s="577"/>
      <c r="ERF6" s="577"/>
      <c r="ERG6" s="577"/>
      <c r="ERH6" s="577"/>
      <c r="ERI6" s="577"/>
      <c r="ERJ6" s="577"/>
      <c r="ERK6" s="577"/>
      <c r="ERL6" s="577"/>
      <c r="ERM6" s="577"/>
      <c r="ERN6" s="577"/>
      <c r="ERO6" s="577"/>
      <c r="ERP6" s="577"/>
      <c r="ERQ6" s="577"/>
      <c r="ERR6" s="577"/>
      <c r="ERS6" s="577"/>
      <c r="ERT6" s="577"/>
      <c r="ERU6" s="577"/>
      <c r="ERV6" s="577"/>
      <c r="ERW6" s="577"/>
      <c r="ERX6" s="577"/>
      <c r="ERY6" s="577"/>
      <c r="ERZ6" s="577"/>
      <c r="ESA6" s="577"/>
      <c r="ESB6" s="577"/>
      <c r="ESC6" s="577"/>
      <c r="ESD6" s="577"/>
      <c r="ESE6" s="577"/>
      <c r="ESF6" s="577"/>
      <c r="ESG6" s="577"/>
      <c r="ESH6" s="577"/>
      <c r="ESI6" s="577"/>
      <c r="ESJ6" s="577"/>
      <c r="ESK6" s="577"/>
      <c r="ESL6" s="577"/>
      <c r="ESM6" s="577"/>
      <c r="ESN6" s="577"/>
      <c r="ESO6" s="577"/>
      <c r="ESP6" s="577"/>
      <c r="ESQ6" s="577"/>
      <c r="ESR6" s="577"/>
      <c r="ESS6" s="577"/>
      <c r="EST6" s="577"/>
      <c r="ESU6" s="577"/>
      <c r="ESV6" s="577"/>
      <c r="ESW6" s="577"/>
      <c r="ESX6" s="577"/>
      <c r="ESY6" s="577"/>
      <c r="ESZ6" s="577"/>
      <c r="ETA6" s="577"/>
      <c r="ETB6" s="577"/>
      <c r="ETC6" s="577"/>
      <c r="ETD6" s="577"/>
      <c r="ETE6" s="577"/>
      <c r="ETF6" s="577"/>
      <c r="ETG6" s="577"/>
      <c r="ETH6" s="577"/>
      <c r="ETI6" s="577"/>
      <c r="ETJ6" s="577"/>
      <c r="ETK6" s="577"/>
      <c r="ETL6" s="577"/>
      <c r="ETM6" s="577"/>
      <c r="ETN6" s="577"/>
      <c r="ETO6" s="577"/>
      <c r="ETP6" s="577"/>
      <c r="ETQ6" s="577"/>
      <c r="ETR6" s="577"/>
      <c r="ETS6" s="577"/>
      <c r="ETT6" s="577"/>
      <c r="ETU6" s="577"/>
      <c r="ETV6" s="577"/>
      <c r="ETW6" s="577"/>
      <c r="ETX6" s="577"/>
      <c r="ETY6" s="577"/>
      <c r="ETZ6" s="577"/>
      <c r="EUA6" s="577"/>
      <c r="EUB6" s="577"/>
      <c r="EUC6" s="577"/>
      <c r="EUD6" s="577"/>
      <c r="EUE6" s="577"/>
      <c r="EUF6" s="577"/>
      <c r="EUG6" s="577"/>
      <c r="EUH6" s="577"/>
      <c r="EUI6" s="577"/>
      <c r="EUJ6" s="577"/>
      <c r="EUK6" s="577"/>
      <c r="EUL6" s="577"/>
      <c r="EUM6" s="577"/>
      <c r="EUN6" s="577"/>
      <c r="EUO6" s="577"/>
      <c r="EUP6" s="577"/>
      <c r="EUQ6" s="577"/>
      <c r="EUR6" s="577"/>
      <c r="EUS6" s="577"/>
      <c r="EUT6" s="577"/>
      <c r="EUU6" s="577"/>
      <c r="EUV6" s="577"/>
      <c r="EUW6" s="577"/>
      <c r="EUX6" s="577"/>
      <c r="EUY6" s="577"/>
      <c r="EUZ6" s="577"/>
      <c r="EVA6" s="577"/>
      <c r="EVB6" s="577"/>
      <c r="EVC6" s="577"/>
      <c r="EVD6" s="577"/>
      <c r="EVE6" s="577"/>
      <c r="EVF6" s="577"/>
      <c r="EVG6" s="577"/>
      <c r="EVH6" s="577"/>
      <c r="EVI6" s="577"/>
      <c r="EVJ6" s="577"/>
      <c r="EVK6" s="577"/>
      <c r="EVL6" s="577"/>
      <c r="EVM6" s="577"/>
      <c r="EVN6" s="577"/>
      <c r="EVO6" s="577"/>
      <c r="EVP6" s="577"/>
      <c r="EVQ6" s="577"/>
      <c r="EVR6" s="577"/>
      <c r="EVS6" s="577"/>
      <c r="EVT6" s="577"/>
      <c r="EVU6" s="577"/>
      <c r="EVV6" s="577"/>
      <c r="EVW6" s="577"/>
      <c r="EVX6" s="577"/>
      <c r="EVY6" s="577"/>
      <c r="EVZ6" s="577"/>
      <c r="EWA6" s="577"/>
      <c r="EWB6" s="577"/>
      <c r="EWC6" s="577"/>
      <c r="EWD6" s="577"/>
      <c r="EWE6" s="577"/>
      <c r="EWF6" s="577"/>
      <c r="EWG6" s="577"/>
      <c r="EWH6" s="577"/>
      <c r="EWI6" s="577"/>
      <c r="EWJ6" s="577"/>
      <c r="EWK6" s="577"/>
      <c r="EWL6" s="577"/>
      <c r="EWM6" s="577"/>
      <c r="EWN6" s="577"/>
      <c r="EWO6" s="577"/>
      <c r="EWP6" s="577"/>
      <c r="EWQ6" s="577"/>
      <c r="EWR6" s="577"/>
      <c r="EWS6" s="577"/>
      <c r="EWT6" s="577"/>
      <c r="EWU6" s="577"/>
      <c r="EWV6" s="577"/>
      <c r="EWW6" s="577"/>
      <c r="EWX6" s="577"/>
      <c r="EWY6" s="577"/>
      <c r="EWZ6" s="577"/>
      <c r="EXA6" s="577"/>
      <c r="EXB6" s="577"/>
      <c r="EXC6" s="577"/>
      <c r="EXD6" s="577"/>
      <c r="EXE6" s="577"/>
      <c r="EXF6" s="577"/>
      <c r="EXG6" s="577"/>
      <c r="EXH6" s="577"/>
      <c r="EXI6" s="577"/>
      <c r="EXJ6" s="577"/>
      <c r="EXK6" s="577"/>
      <c r="EXL6" s="577"/>
      <c r="EXM6" s="577"/>
      <c r="EXN6" s="577"/>
      <c r="EXO6" s="577"/>
      <c r="EXP6" s="577"/>
      <c r="EXQ6" s="577"/>
      <c r="EXR6" s="577"/>
      <c r="EXS6" s="577"/>
      <c r="EXT6" s="577"/>
      <c r="EXU6" s="577"/>
      <c r="EXV6" s="577"/>
      <c r="EXW6" s="577"/>
      <c r="EXX6" s="577"/>
      <c r="EXY6" s="577"/>
      <c r="EXZ6" s="577"/>
      <c r="EYA6" s="577"/>
      <c r="EYB6" s="577"/>
      <c r="EYC6" s="577"/>
      <c r="EYD6" s="577"/>
      <c r="EYE6" s="577"/>
      <c r="EYF6" s="577"/>
      <c r="EYG6" s="577"/>
      <c r="EYH6" s="577"/>
      <c r="EYI6" s="577"/>
      <c r="EYJ6" s="577"/>
      <c r="EYK6" s="577"/>
      <c r="EYL6" s="577"/>
      <c r="EYM6" s="577"/>
      <c r="EYN6" s="577"/>
      <c r="EYO6" s="577"/>
      <c r="EYP6" s="577"/>
      <c r="EYQ6" s="577"/>
      <c r="EYR6" s="577"/>
      <c r="EYS6" s="577"/>
      <c r="EYT6" s="577"/>
      <c r="EYU6" s="577"/>
      <c r="EYV6" s="577"/>
      <c r="EYW6" s="577"/>
      <c r="EYX6" s="577"/>
      <c r="EYY6" s="577"/>
      <c r="EYZ6" s="577"/>
      <c r="EZA6" s="577"/>
      <c r="EZB6" s="577"/>
      <c r="EZC6" s="577"/>
      <c r="EZD6" s="577"/>
      <c r="EZE6" s="577"/>
      <c r="EZF6" s="577"/>
      <c r="EZG6" s="577"/>
      <c r="EZH6" s="577"/>
      <c r="EZI6" s="577"/>
      <c r="EZJ6" s="577"/>
      <c r="EZK6" s="577"/>
      <c r="EZL6" s="577"/>
      <c r="EZM6" s="577"/>
      <c r="EZN6" s="577"/>
      <c r="EZO6" s="577"/>
      <c r="EZP6" s="577"/>
      <c r="EZQ6" s="577"/>
      <c r="EZR6" s="577"/>
      <c r="EZS6" s="577"/>
      <c r="EZT6" s="577"/>
      <c r="EZU6" s="577"/>
      <c r="EZV6" s="577"/>
      <c r="EZW6" s="577"/>
      <c r="EZX6" s="577"/>
      <c r="EZY6" s="577"/>
      <c r="EZZ6" s="577"/>
      <c r="FAA6" s="577"/>
      <c r="FAB6" s="577"/>
      <c r="FAC6" s="577"/>
      <c r="FAD6" s="577"/>
      <c r="FAE6" s="577"/>
      <c r="FAF6" s="577"/>
      <c r="FAG6" s="577"/>
      <c r="FAH6" s="577"/>
      <c r="FAI6" s="577"/>
      <c r="FAJ6" s="577"/>
      <c r="FAK6" s="577"/>
      <c r="FAL6" s="577"/>
      <c r="FAM6" s="577"/>
      <c r="FAN6" s="577"/>
      <c r="FAO6" s="577"/>
      <c r="FAP6" s="577"/>
      <c r="FAQ6" s="577"/>
      <c r="FAR6" s="577"/>
      <c r="FAS6" s="577"/>
      <c r="FAT6" s="577"/>
      <c r="FAU6" s="577"/>
      <c r="FAV6" s="577"/>
      <c r="FAW6" s="577"/>
      <c r="FAX6" s="577"/>
      <c r="FAY6" s="577"/>
      <c r="FAZ6" s="577"/>
      <c r="FBA6" s="577"/>
      <c r="FBB6" s="577"/>
      <c r="FBC6" s="577"/>
      <c r="FBD6" s="577"/>
      <c r="FBE6" s="577"/>
      <c r="FBF6" s="577"/>
      <c r="FBG6" s="577"/>
      <c r="FBH6" s="577"/>
      <c r="FBI6" s="577"/>
      <c r="FBJ6" s="577"/>
      <c r="FBK6" s="577"/>
      <c r="FBL6" s="577"/>
      <c r="FBM6" s="577"/>
      <c r="FBN6" s="577"/>
      <c r="FBO6" s="577"/>
      <c r="FBP6" s="577"/>
      <c r="FBQ6" s="577"/>
      <c r="FBR6" s="577"/>
      <c r="FBS6" s="577"/>
      <c r="FBT6" s="577"/>
      <c r="FBU6" s="577"/>
      <c r="FBV6" s="577"/>
      <c r="FBW6" s="577"/>
      <c r="FBX6" s="577"/>
      <c r="FBY6" s="577"/>
      <c r="FBZ6" s="577"/>
      <c r="FCA6" s="577"/>
      <c r="FCB6" s="577"/>
      <c r="FCC6" s="577"/>
      <c r="FCD6" s="577"/>
      <c r="FCE6" s="577"/>
      <c r="FCF6" s="577"/>
      <c r="FCG6" s="577"/>
      <c r="FCH6" s="577"/>
      <c r="FCI6" s="577"/>
      <c r="FCJ6" s="577"/>
      <c r="FCK6" s="577"/>
      <c r="FCL6" s="577"/>
      <c r="FCM6" s="577"/>
      <c r="FCN6" s="577"/>
      <c r="FCO6" s="577"/>
      <c r="FCP6" s="577"/>
      <c r="FCQ6" s="577"/>
      <c r="FCR6" s="577"/>
      <c r="FCS6" s="577"/>
      <c r="FCT6" s="577"/>
      <c r="FCU6" s="577"/>
      <c r="FCV6" s="577"/>
      <c r="FCW6" s="577"/>
      <c r="FCX6" s="577"/>
      <c r="FCY6" s="577"/>
      <c r="FCZ6" s="577"/>
      <c r="FDA6" s="577"/>
      <c r="FDB6" s="577"/>
      <c r="FDC6" s="577"/>
      <c r="FDD6" s="577"/>
      <c r="FDE6" s="577"/>
      <c r="FDF6" s="577"/>
      <c r="FDG6" s="577"/>
      <c r="FDH6" s="577"/>
      <c r="FDI6" s="577"/>
      <c r="FDJ6" s="577"/>
      <c r="FDK6" s="577"/>
      <c r="FDL6" s="577"/>
      <c r="FDM6" s="577"/>
      <c r="FDN6" s="577"/>
      <c r="FDO6" s="577"/>
      <c r="FDP6" s="577"/>
      <c r="FDQ6" s="577"/>
      <c r="FDR6" s="577"/>
      <c r="FDS6" s="577"/>
      <c r="FDT6" s="577"/>
      <c r="FDU6" s="577"/>
      <c r="FDV6" s="577"/>
      <c r="FDW6" s="577"/>
      <c r="FDX6" s="577"/>
      <c r="FDY6" s="577"/>
      <c r="FDZ6" s="577"/>
      <c r="FEA6" s="577"/>
      <c r="FEB6" s="577"/>
      <c r="FEC6" s="577"/>
      <c r="FED6" s="577"/>
      <c r="FEE6" s="577"/>
      <c r="FEF6" s="577"/>
      <c r="FEG6" s="577"/>
      <c r="FEH6" s="577"/>
      <c r="FEI6" s="577"/>
      <c r="FEJ6" s="577"/>
      <c r="FEK6" s="577"/>
      <c r="FEL6" s="577"/>
      <c r="FEM6" s="577"/>
      <c r="FEN6" s="577"/>
      <c r="FEO6" s="577"/>
      <c r="FEP6" s="577"/>
      <c r="FEQ6" s="577"/>
      <c r="FER6" s="577"/>
      <c r="FES6" s="577"/>
      <c r="FET6" s="577"/>
      <c r="FEU6" s="577"/>
      <c r="FEV6" s="577"/>
      <c r="FEW6" s="577"/>
      <c r="FEX6" s="577"/>
      <c r="FEY6" s="577"/>
      <c r="FEZ6" s="577"/>
      <c r="FFA6" s="577"/>
      <c r="FFB6" s="577"/>
      <c r="FFC6" s="577"/>
      <c r="FFD6" s="577"/>
      <c r="FFE6" s="577"/>
      <c r="FFF6" s="577"/>
      <c r="FFG6" s="577"/>
      <c r="FFH6" s="577"/>
      <c r="FFI6" s="577"/>
      <c r="FFJ6" s="577"/>
      <c r="FFK6" s="577"/>
      <c r="FFL6" s="577"/>
      <c r="FFM6" s="577"/>
      <c r="FFN6" s="577"/>
      <c r="FFO6" s="577"/>
      <c r="FFP6" s="577"/>
      <c r="FFQ6" s="577"/>
      <c r="FFR6" s="577"/>
      <c r="FFS6" s="577"/>
      <c r="FFT6" s="577"/>
      <c r="FFU6" s="577"/>
      <c r="FFV6" s="577"/>
      <c r="FFW6" s="577"/>
      <c r="FFX6" s="577"/>
      <c r="FFY6" s="577"/>
      <c r="FFZ6" s="577"/>
      <c r="FGA6" s="577"/>
      <c r="FGB6" s="577"/>
      <c r="FGC6" s="577"/>
      <c r="FGD6" s="577"/>
      <c r="FGE6" s="577"/>
      <c r="FGF6" s="577"/>
      <c r="FGG6" s="577"/>
      <c r="FGH6" s="577"/>
      <c r="FGI6" s="577"/>
      <c r="FGJ6" s="577"/>
      <c r="FGK6" s="577"/>
      <c r="FGL6" s="577"/>
      <c r="FGM6" s="577"/>
      <c r="FGN6" s="577"/>
      <c r="FGO6" s="577"/>
      <c r="FGP6" s="577"/>
      <c r="FGQ6" s="577"/>
      <c r="FGR6" s="577"/>
      <c r="FGS6" s="577"/>
      <c r="FGT6" s="577"/>
      <c r="FGU6" s="577"/>
      <c r="FGV6" s="577"/>
      <c r="FGW6" s="577"/>
      <c r="FGX6" s="577"/>
      <c r="FGY6" s="577"/>
      <c r="FGZ6" s="577"/>
      <c r="FHA6" s="577"/>
      <c r="FHB6" s="577"/>
      <c r="FHC6" s="577"/>
      <c r="FHD6" s="577"/>
      <c r="FHE6" s="577"/>
      <c r="FHF6" s="577"/>
      <c r="FHG6" s="577"/>
      <c r="FHH6" s="577"/>
      <c r="FHI6" s="577"/>
      <c r="FHJ6" s="577"/>
      <c r="FHK6" s="577"/>
      <c r="FHL6" s="577"/>
      <c r="FHM6" s="577"/>
      <c r="FHN6" s="577"/>
      <c r="FHO6" s="577"/>
      <c r="FHP6" s="577"/>
      <c r="FHQ6" s="577"/>
      <c r="FHR6" s="577"/>
      <c r="FHS6" s="577"/>
      <c r="FHT6" s="577"/>
      <c r="FHU6" s="577"/>
      <c r="FHV6" s="577"/>
      <c r="FHW6" s="577"/>
      <c r="FHX6" s="577"/>
      <c r="FHY6" s="577"/>
      <c r="FHZ6" s="577"/>
      <c r="FIA6" s="577"/>
      <c r="FIB6" s="577"/>
      <c r="FIC6" s="577"/>
      <c r="FID6" s="577"/>
      <c r="FIE6" s="577"/>
      <c r="FIF6" s="577"/>
      <c r="FIG6" s="577"/>
      <c r="FIH6" s="577"/>
      <c r="FII6" s="577"/>
      <c r="FIJ6" s="577"/>
      <c r="FIK6" s="577"/>
      <c r="FIL6" s="577"/>
      <c r="FIM6" s="577"/>
      <c r="FIN6" s="577"/>
      <c r="FIO6" s="577"/>
      <c r="FIP6" s="577"/>
      <c r="FIQ6" s="577"/>
      <c r="FIR6" s="577"/>
      <c r="FIS6" s="577"/>
      <c r="FIT6" s="577"/>
      <c r="FIU6" s="577"/>
      <c r="FIV6" s="577"/>
      <c r="FIW6" s="577"/>
      <c r="FIX6" s="577"/>
      <c r="FIY6" s="577"/>
      <c r="FIZ6" s="577"/>
      <c r="FJA6" s="577"/>
      <c r="FJB6" s="577"/>
      <c r="FJC6" s="577"/>
      <c r="FJD6" s="577"/>
      <c r="FJE6" s="577"/>
      <c r="FJF6" s="577"/>
      <c r="FJG6" s="577"/>
      <c r="FJH6" s="577"/>
      <c r="FJI6" s="577"/>
      <c r="FJJ6" s="577"/>
      <c r="FJK6" s="577"/>
      <c r="FJL6" s="577"/>
      <c r="FJM6" s="577"/>
      <c r="FJN6" s="577"/>
      <c r="FJO6" s="577"/>
      <c r="FJP6" s="577"/>
      <c r="FJQ6" s="577"/>
      <c r="FJR6" s="577"/>
      <c r="FJS6" s="577"/>
      <c r="FJT6" s="577"/>
      <c r="FJU6" s="577"/>
      <c r="FJV6" s="577"/>
      <c r="FJW6" s="577"/>
      <c r="FJX6" s="577"/>
      <c r="FJY6" s="577"/>
      <c r="FJZ6" s="577"/>
      <c r="FKA6" s="577"/>
      <c r="FKB6" s="577"/>
      <c r="FKC6" s="577"/>
      <c r="FKD6" s="577"/>
      <c r="FKE6" s="577"/>
      <c r="FKF6" s="577"/>
      <c r="FKG6" s="577"/>
      <c r="FKH6" s="577"/>
      <c r="FKI6" s="577"/>
      <c r="FKJ6" s="577"/>
      <c r="FKK6" s="577"/>
      <c r="FKL6" s="577"/>
      <c r="FKM6" s="577"/>
      <c r="FKN6" s="577"/>
      <c r="FKO6" s="577"/>
      <c r="FKP6" s="577"/>
      <c r="FKQ6" s="577"/>
      <c r="FKR6" s="577"/>
      <c r="FKS6" s="577"/>
      <c r="FKT6" s="577"/>
      <c r="FKU6" s="577"/>
      <c r="FKV6" s="577"/>
      <c r="FKW6" s="577"/>
      <c r="FKX6" s="577"/>
      <c r="FKY6" s="577"/>
      <c r="FKZ6" s="577"/>
      <c r="FLA6" s="577"/>
      <c r="FLB6" s="577"/>
      <c r="FLC6" s="577"/>
      <c r="FLD6" s="577"/>
      <c r="FLE6" s="577"/>
      <c r="FLF6" s="577"/>
      <c r="FLG6" s="577"/>
      <c r="FLH6" s="577"/>
      <c r="FLI6" s="577"/>
      <c r="FLJ6" s="577"/>
      <c r="FLK6" s="577"/>
      <c r="FLL6" s="577"/>
      <c r="FLM6" s="577"/>
      <c r="FLN6" s="577"/>
      <c r="FLO6" s="577"/>
      <c r="FLP6" s="577"/>
      <c r="FLQ6" s="577"/>
      <c r="FLR6" s="577"/>
      <c r="FLS6" s="577"/>
      <c r="FLT6" s="577"/>
      <c r="FLU6" s="577"/>
      <c r="FLV6" s="577"/>
      <c r="FLW6" s="577"/>
      <c r="FLX6" s="577"/>
      <c r="FLY6" s="577"/>
      <c r="FLZ6" s="577"/>
      <c r="FMA6" s="577"/>
      <c r="FMB6" s="577"/>
      <c r="FMC6" s="577"/>
      <c r="FMD6" s="577"/>
      <c r="FME6" s="577"/>
      <c r="FMF6" s="577"/>
      <c r="FMG6" s="577"/>
      <c r="FMH6" s="577"/>
      <c r="FMI6" s="577"/>
      <c r="FMJ6" s="577"/>
      <c r="FMK6" s="577"/>
      <c r="FML6" s="577"/>
      <c r="FMM6" s="577"/>
      <c r="FMN6" s="577"/>
      <c r="FMO6" s="577"/>
      <c r="FMP6" s="577"/>
      <c r="FMQ6" s="577"/>
      <c r="FMR6" s="577"/>
      <c r="FMS6" s="577"/>
      <c r="FMT6" s="577"/>
      <c r="FMU6" s="577"/>
      <c r="FMV6" s="577"/>
      <c r="FMW6" s="577"/>
      <c r="FMX6" s="577"/>
      <c r="FMY6" s="577"/>
      <c r="FMZ6" s="577"/>
      <c r="FNA6" s="577"/>
      <c r="FNB6" s="577"/>
      <c r="FNC6" s="577"/>
      <c r="FND6" s="577"/>
      <c r="FNE6" s="577"/>
      <c r="FNF6" s="577"/>
      <c r="FNG6" s="577"/>
      <c r="FNH6" s="577"/>
      <c r="FNI6" s="577"/>
      <c r="FNJ6" s="577"/>
      <c r="FNK6" s="577"/>
      <c r="FNL6" s="577"/>
      <c r="FNM6" s="577"/>
      <c r="FNN6" s="577"/>
      <c r="FNO6" s="577"/>
      <c r="FNP6" s="577"/>
      <c r="FNQ6" s="577"/>
      <c r="FNR6" s="577"/>
      <c r="FNS6" s="577"/>
      <c r="FNT6" s="577"/>
      <c r="FNU6" s="577"/>
      <c r="FNV6" s="577"/>
      <c r="FNW6" s="577"/>
      <c r="FNX6" s="577"/>
      <c r="FNY6" s="577"/>
      <c r="FNZ6" s="577"/>
      <c r="FOA6" s="577"/>
      <c r="FOB6" s="577"/>
      <c r="FOC6" s="577"/>
      <c r="FOD6" s="577"/>
      <c r="FOE6" s="577"/>
      <c r="FOF6" s="577"/>
      <c r="FOG6" s="577"/>
      <c r="FOH6" s="577"/>
      <c r="FOI6" s="577"/>
      <c r="FOJ6" s="577"/>
      <c r="FOK6" s="577"/>
      <c r="FOL6" s="577"/>
      <c r="FOM6" s="577"/>
      <c r="FON6" s="577"/>
      <c r="FOO6" s="577"/>
      <c r="FOP6" s="577"/>
      <c r="FOQ6" s="577"/>
      <c r="FOR6" s="577"/>
      <c r="FOS6" s="577"/>
      <c r="FOT6" s="577"/>
      <c r="FOU6" s="577"/>
      <c r="FOV6" s="577"/>
      <c r="FOW6" s="577"/>
      <c r="FOX6" s="577"/>
      <c r="FOY6" s="577"/>
      <c r="FOZ6" s="577"/>
      <c r="FPA6" s="577"/>
      <c r="FPB6" s="577"/>
      <c r="FPC6" s="577"/>
      <c r="FPD6" s="577"/>
      <c r="FPE6" s="577"/>
      <c r="FPF6" s="577"/>
      <c r="FPG6" s="577"/>
      <c r="FPH6" s="577"/>
      <c r="FPI6" s="577"/>
      <c r="FPJ6" s="577"/>
      <c r="FPK6" s="577"/>
      <c r="FPL6" s="577"/>
      <c r="FPM6" s="577"/>
      <c r="FPN6" s="577"/>
      <c r="FPO6" s="577"/>
      <c r="FPP6" s="577"/>
      <c r="FPQ6" s="577"/>
      <c r="FPR6" s="577"/>
      <c r="FPS6" s="577"/>
      <c r="FPT6" s="577"/>
      <c r="FPU6" s="577"/>
      <c r="FPV6" s="577"/>
      <c r="FPW6" s="577"/>
      <c r="FPX6" s="577"/>
      <c r="FPY6" s="577"/>
      <c r="FPZ6" s="577"/>
      <c r="FQA6" s="577"/>
      <c r="FQB6" s="577"/>
      <c r="FQC6" s="577"/>
      <c r="FQD6" s="577"/>
      <c r="FQE6" s="577"/>
      <c r="FQF6" s="577"/>
      <c r="FQG6" s="577"/>
      <c r="FQH6" s="577"/>
      <c r="FQI6" s="577"/>
      <c r="FQJ6" s="577"/>
      <c r="FQK6" s="577"/>
      <c r="FQL6" s="577"/>
      <c r="FQM6" s="577"/>
      <c r="FQN6" s="577"/>
      <c r="FQO6" s="577"/>
      <c r="FQP6" s="577"/>
      <c r="FQQ6" s="577"/>
      <c r="FQR6" s="577"/>
      <c r="FQS6" s="577"/>
      <c r="FQT6" s="577"/>
      <c r="FQU6" s="577"/>
      <c r="FQV6" s="577"/>
      <c r="FQW6" s="577"/>
      <c r="FQX6" s="577"/>
      <c r="FQY6" s="577"/>
      <c r="FQZ6" s="577"/>
      <c r="FRA6" s="577"/>
      <c r="FRB6" s="577"/>
      <c r="FRC6" s="577"/>
      <c r="FRD6" s="577"/>
      <c r="FRE6" s="577"/>
      <c r="FRF6" s="577"/>
      <c r="FRG6" s="577"/>
      <c r="FRH6" s="577"/>
      <c r="FRI6" s="577"/>
      <c r="FRJ6" s="577"/>
      <c r="FRK6" s="577"/>
      <c r="FRL6" s="577"/>
      <c r="FRM6" s="577"/>
      <c r="FRN6" s="577"/>
      <c r="FRO6" s="577"/>
      <c r="FRP6" s="577"/>
      <c r="FRQ6" s="577"/>
      <c r="FRR6" s="577"/>
      <c r="FRS6" s="577"/>
      <c r="FRT6" s="577"/>
      <c r="FRU6" s="577"/>
      <c r="FRV6" s="577"/>
      <c r="FRW6" s="577"/>
      <c r="FRX6" s="577"/>
      <c r="FRY6" s="577"/>
      <c r="FRZ6" s="577"/>
      <c r="FSA6" s="577"/>
      <c r="FSB6" s="577"/>
      <c r="FSC6" s="577"/>
      <c r="FSD6" s="577"/>
      <c r="FSE6" s="577"/>
      <c r="FSF6" s="577"/>
      <c r="FSG6" s="577"/>
      <c r="FSH6" s="577"/>
      <c r="FSI6" s="577"/>
      <c r="FSJ6" s="577"/>
      <c r="FSK6" s="577"/>
      <c r="FSL6" s="577"/>
      <c r="FSM6" s="577"/>
      <c r="FSN6" s="577"/>
      <c r="FSO6" s="577"/>
      <c r="FSP6" s="577"/>
      <c r="FSQ6" s="577"/>
      <c r="FSR6" s="577"/>
      <c r="FSS6" s="577"/>
      <c r="FST6" s="577"/>
      <c r="FSU6" s="577"/>
      <c r="FSV6" s="577"/>
      <c r="FSW6" s="577"/>
      <c r="FSX6" s="577"/>
      <c r="FSY6" s="577"/>
      <c r="FSZ6" s="577"/>
      <c r="FTA6" s="577"/>
      <c r="FTB6" s="577"/>
      <c r="FTC6" s="577"/>
      <c r="FTD6" s="577"/>
      <c r="FTE6" s="577"/>
      <c r="FTF6" s="577"/>
      <c r="FTG6" s="577"/>
      <c r="FTH6" s="577"/>
      <c r="FTI6" s="577"/>
      <c r="FTJ6" s="577"/>
      <c r="FTK6" s="577"/>
      <c r="FTL6" s="577"/>
      <c r="FTM6" s="577"/>
      <c r="FTN6" s="577"/>
      <c r="FTO6" s="577"/>
      <c r="FTP6" s="577"/>
      <c r="FTQ6" s="577"/>
      <c r="FTR6" s="577"/>
      <c r="FTS6" s="577"/>
      <c r="FTT6" s="577"/>
      <c r="FTU6" s="577"/>
      <c r="FTV6" s="577"/>
      <c r="FTW6" s="577"/>
      <c r="FTX6" s="577"/>
      <c r="FTY6" s="577"/>
      <c r="FTZ6" s="577"/>
      <c r="FUA6" s="577"/>
      <c r="FUB6" s="577"/>
      <c r="FUC6" s="577"/>
      <c r="FUD6" s="577"/>
      <c r="FUE6" s="577"/>
      <c r="FUF6" s="577"/>
      <c r="FUG6" s="577"/>
      <c r="FUH6" s="577"/>
      <c r="FUI6" s="577"/>
      <c r="FUJ6" s="577"/>
      <c r="FUK6" s="577"/>
      <c r="FUL6" s="577"/>
      <c r="FUM6" s="577"/>
      <c r="FUN6" s="577"/>
      <c r="FUO6" s="577"/>
      <c r="FUP6" s="577"/>
      <c r="FUQ6" s="577"/>
      <c r="FUR6" s="577"/>
      <c r="FUS6" s="577"/>
      <c r="FUT6" s="577"/>
      <c r="FUU6" s="577"/>
      <c r="FUV6" s="577"/>
      <c r="FUW6" s="577"/>
      <c r="FUX6" s="577"/>
      <c r="FUY6" s="577"/>
      <c r="FUZ6" s="577"/>
      <c r="FVA6" s="577"/>
      <c r="FVB6" s="577"/>
      <c r="FVC6" s="577"/>
      <c r="FVD6" s="577"/>
      <c r="FVE6" s="577"/>
      <c r="FVF6" s="577"/>
      <c r="FVG6" s="577"/>
      <c r="FVH6" s="577"/>
      <c r="FVI6" s="577"/>
      <c r="FVJ6" s="577"/>
      <c r="FVK6" s="577"/>
      <c r="FVL6" s="577"/>
      <c r="FVM6" s="577"/>
      <c r="FVN6" s="577"/>
      <c r="FVO6" s="577"/>
      <c r="FVP6" s="577"/>
      <c r="FVQ6" s="577"/>
      <c r="FVR6" s="577"/>
      <c r="FVS6" s="577"/>
      <c r="FVT6" s="577"/>
      <c r="FVU6" s="577"/>
      <c r="FVV6" s="577"/>
      <c r="FVW6" s="577"/>
      <c r="FVX6" s="577"/>
      <c r="FVY6" s="577"/>
      <c r="FVZ6" s="577"/>
      <c r="FWA6" s="577"/>
      <c r="FWB6" s="577"/>
      <c r="FWC6" s="577"/>
      <c r="FWD6" s="577"/>
      <c r="FWE6" s="577"/>
      <c r="FWF6" s="577"/>
      <c r="FWG6" s="577"/>
      <c r="FWH6" s="577"/>
      <c r="FWI6" s="577"/>
      <c r="FWJ6" s="577"/>
      <c r="FWK6" s="577"/>
      <c r="FWL6" s="577"/>
      <c r="FWM6" s="577"/>
      <c r="FWN6" s="577"/>
      <c r="FWO6" s="577"/>
      <c r="FWP6" s="577"/>
      <c r="FWQ6" s="577"/>
      <c r="FWR6" s="577"/>
      <c r="FWS6" s="577"/>
      <c r="FWT6" s="577"/>
      <c r="FWU6" s="577"/>
      <c r="FWV6" s="577"/>
      <c r="FWW6" s="577"/>
      <c r="FWX6" s="577"/>
      <c r="FWY6" s="577"/>
      <c r="FWZ6" s="577"/>
      <c r="FXA6" s="577"/>
      <c r="FXB6" s="577"/>
      <c r="FXC6" s="577"/>
      <c r="FXD6" s="577"/>
      <c r="FXE6" s="577"/>
      <c r="FXF6" s="577"/>
      <c r="FXG6" s="577"/>
      <c r="FXH6" s="577"/>
      <c r="FXI6" s="577"/>
      <c r="FXJ6" s="577"/>
      <c r="FXK6" s="577"/>
      <c r="FXL6" s="577"/>
      <c r="FXM6" s="577"/>
      <c r="FXN6" s="577"/>
      <c r="FXO6" s="577"/>
      <c r="FXP6" s="577"/>
      <c r="FXQ6" s="577"/>
      <c r="FXR6" s="577"/>
      <c r="FXS6" s="577"/>
      <c r="FXT6" s="577"/>
      <c r="FXU6" s="577"/>
      <c r="FXV6" s="577"/>
      <c r="FXW6" s="577"/>
      <c r="FXX6" s="577"/>
      <c r="FXY6" s="577"/>
      <c r="FXZ6" s="577"/>
      <c r="FYA6" s="577"/>
      <c r="FYB6" s="577"/>
      <c r="FYC6" s="577"/>
      <c r="FYD6" s="577"/>
      <c r="FYE6" s="577"/>
      <c r="FYF6" s="577"/>
      <c r="FYG6" s="577"/>
      <c r="FYH6" s="577"/>
      <c r="FYI6" s="577"/>
      <c r="FYJ6" s="577"/>
      <c r="FYK6" s="577"/>
      <c r="FYL6" s="577"/>
      <c r="FYM6" s="577"/>
      <c r="FYN6" s="577"/>
      <c r="FYO6" s="577"/>
      <c r="FYP6" s="577"/>
      <c r="FYQ6" s="577"/>
      <c r="FYR6" s="577"/>
      <c r="FYS6" s="577"/>
      <c r="FYT6" s="577"/>
      <c r="FYU6" s="577"/>
      <c r="FYV6" s="577"/>
      <c r="FYW6" s="577"/>
      <c r="FYX6" s="577"/>
      <c r="FYY6" s="577"/>
      <c r="FYZ6" s="577"/>
      <c r="FZA6" s="577"/>
      <c r="FZB6" s="577"/>
      <c r="FZC6" s="577"/>
      <c r="FZD6" s="577"/>
      <c r="FZE6" s="577"/>
      <c r="FZF6" s="577"/>
      <c r="FZG6" s="577"/>
      <c r="FZH6" s="577"/>
      <c r="FZI6" s="577"/>
      <c r="FZJ6" s="577"/>
      <c r="FZK6" s="577"/>
      <c r="FZL6" s="577"/>
      <c r="FZM6" s="577"/>
      <c r="FZN6" s="577"/>
      <c r="FZO6" s="577"/>
      <c r="FZP6" s="577"/>
      <c r="FZQ6" s="577"/>
      <c r="FZR6" s="577"/>
      <c r="FZS6" s="577"/>
      <c r="FZT6" s="577"/>
      <c r="FZU6" s="577"/>
      <c r="FZV6" s="577"/>
      <c r="FZW6" s="577"/>
      <c r="FZX6" s="577"/>
      <c r="FZY6" s="577"/>
      <c r="FZZ6" s="577"/>
      <c r="GAA6" s="577"/>
      <c r="GAB6" s="577"/>
      <c r="GAC6" s="577"/>
      <c r="GAD6" s="577"/>
      <c r="GAE6" s="577"/>
      <c r="GAF6" s="577"/>
      <c r="GAG6" s="577"/>
      <c r="GAH6" s="577"/>
      <c r="GAI6" s="577"/>
      <c r="GAJ6" s="577"/>
      <c r="GAK6" s="577"/>
      <c r="GAL6" s="577"/>
      <c r="GAM6" s="577"/>
      <c r="GAN6" s="577"/>
      <c r="GAO6" s="577"/>
      <c r="GAP6" s="577"/>
      <c r="GAQ6" s="577"/>
      <c r="GAR6" s="577"/>
      <c r="GAS6" s="577"/>
      <c r="GAT6" s="577"/>
      <c r="GAU6" s="577"/>
      <c r="GAV6" s="577"/>
      <c r="GAW6" s="577"/>
      <c r="GAX6" s="577"/>
      <c r="GAY6" s="577"/>
      <c r="GAZ6" s="577"/>
      <c r="GBA6" s="577"/>
      <c r="GBB6" s="577"/>
      <c r="GBC6" s="577"/>
      <c r="GBD6" s="577"/>
      <c r="GBE6" s="577"/>
      <c r="GBF6" s="577"/>
      <c r="GBG6" s="577"/>
      <c r="GBH6" s="577"/>
      <c r="GBI6" s="577"/>
      <c r="GBJ6" s="577"/>
      <c r="GBK6" s="577"/>
      <c r="GBL6" s="577"/>
      <c r="GBM6" s="577"/>
      <c r="GBN6" s="577"/>
      <c r="GBO6" s="577"/>
      <c r="GBP6" s="577"/>
      <c r="GBQ6" s="577"/>
      <c r="GBR6" s="577"/>
      <c r="GBS6" s="577"/>
      <c r="GBT6" s="577"/>
      <c r="GBU6" s="577"/>
      <c r="GBV6" s="577"/>
      <c r="GBW6" s="577"/>
      <c r="GBX6" s="577"/>
      <c r="GBY6" s="577"/>
      <c r="GBZ6" s="577"/>
      <c r="GCA6" s="577"/>
      <c r="GCB6" s="577"/>
      <c r="GCC6" s="577"/>
      <c r="GCD6" s="577"/>
      <c r="GCE6" s="577"/>
      <c r="GCF6" s="577"/>
      <c r="GCG6" s="577"/>
      <c r="GCH6" s="577"/>
      <c r="GCI6" s="577"/>
      <c r="GCJ6" s="577"/>
      <c r="GCK6" s="577"/>
      <c r="GCL6" s="577"/>
      <c r="GCM6" s="577"/>
      <c r="GCN6" s="577"/>
      <c r="GCO6" s="577"/>
      <c r="GCP6" s="577"/>
      <c r="GCQ6" s="577"/>
      <c r="GCR6" s="577"/>
      <c r="GCS6" s="577"/>
      <c r="GCT6" s="577"/>
      <c r="GCU6" s="577"/>
      <c r="GCV6" s="577"/>
      <c r="GCW6" s="577"/>
      <c r="GCX6" s="577"/>
      <c r="GCY6" s="577"/>
      <c r="GCZ6" s="577"/>
      <c r="GDA6" s="577"/>
      <c r="GDB6" s="577"/>
      <c r="GDC6" s="577"/>
      <c r="GDD6" s="577"/>
      <c r="GDE6" s="577"/>
      <c r="GDF6" s="577"/>
      <c r="GDG6" s="577"/>
      <c r="GDH6" s="577"/>
      <c r="GDI6" s="577"/>
      <c r="GDJ6" s="577"/>
      <c r="GDK6" s="577"/>
      <c r="GDL6" s="577"/>
      <c r="GDM6" s="577"/>
      <c r="GDN6" s="577"/>
      <c r="GDO6" s="577"/>
      <c r="GDP6" s="577"/>
      <c r="GDQ6" s="577"/>
      <c r="GDR6" s="577"/>
      <c r="GDS6" s="577"/>
      <c r="GDT6" s="577"/>
      <c r="GDU6" s="577"/>
      <c r="GDV6" s="577"/>
      <c r="GDW6" s="577"/>
      <c r="GDX6" s="577"/>
      <c r="GDY6" s="577"/>
      <c r="GDZ6" s="577"/>
      <c r="GEA6" s="577"/>
      <c r="GEB6" s="577"/>
      <c r="GEC6" s="577"/>
      <c r="GED6" s="577"/>
      <c r="GEE6" s="577"/>
      <c r="GEF6" s="577"/>
      <c r="GEG6" s="577"/>
      <c r="GEH6" s="577"/>
      <c r="GEI6" s="577"/>
      <c r="GEJ6" s="577"/>
      <c r="GEK6" s="577"/>
      <c r="GEL6" s="577"/>
      <c r="GEM6" s="577"/>
      <c r="GEN6" s="577"/>
      <c r="GEO6" s="577"/>
      <c r="GEP6" s="577"/>
      <c r="GEQ6" s="577"/>
      <c r="GER6" s="577"/>
      <c r="GES6" s="577"/>
      <c r="GET6" s="577"/>
      <c r="GEU6" s="577"/>
      <c r="GEV6" s="577"/>
      <c r="GEW6" s="577"/>
      <c r="GEX6" s="577"/>
      <c r="GEY6" s="577"/>
      <c r="GEZ6" s="577"/>
      <c r="GFA6" s="577"/>
      <c r="GFB6" s="577"/>
      <c r="GFC6" s="577"/>
      <c r="GFD6" s="577"/>
      <c r="GFE6" s="577"/>
      <c r="GFF6" s="577"/>
      <c r="GFG6" s="577"/>
      <c r="GFH6" s="577"/>
      <c r="GFI6" s="577"/>
      <c r="GFJ6" s="577"/>
      <c r="GFK6" s="577"/>
      <c r="GFL6" s="577"/>
      <c r="GFM6" s="577"/>
      <c r="GFN6" s="577"/>
      <c r="GFO6" s="577"/>
      <c r="GFP6" s="577"/>
      <c r="GFQ6" s="577"/>
      <c r="GFR6" s="577"/>
      <c r="GFS6" s="577"/>
      <c r="GFT6" s="577"/>
      <c r="GFU6" s="577"/>
      <c r="GFV6" s="577"/>
      <c r="GFW6" s="577"/>
      <c r="GFX6" s="577"/>
      <c r="GFY6" s="577"/>
      <c r="GFZ6" s="577"/>
      <c r="GGA6" s="577"/>
      <c r="GGB6" s="577"/>
      <c r="GGC6" s="577"/>
      <c r="GGD6" s="577"/>
      <c r="GGE6" s="577"/>
      <c r="GGF6" s="577"/>
      <c r="GGG6" s="577"/>
      <c r="GGH6" s="577"/>
      <c r="GGI6" s="577"/>
      <c r="GGJ6" s="577"/>
      <c r="GGK6" s="577"/>
      <c r="GGL6" s="577"/>
      <c r="GGM6" s="577"/>
      <c r="GGN6" s="577"/>
      <c r="GGO6" s="577"/>
      <c r="GGP6" s="577"/>
      <c r="GGQ6" s="577"/>
      <c r="GGR6" s="577"/>
      <c r="GGS6" s="577"/>
      <c r="GGT6" s="577"/>
      <c r="GGU6" s="577"/>
      <c r="GGV6" s="577"/>
      <c r="GGW6" s="577"/>
      <c r="GGX6" s="577"/>
      <c r="GGY6" s="577"/>
      <c r="GGZ6" s="577"/>
      <c r="GHA6" s="577"/>
      <c r="GHB6" s="577"/>
      <c r="GHC6" s="577"/>
      <c r="GHD6" s="577"/>
      <c r="GHE6" s="577"/>
      <c r="GHF6" s="577"/>
      <c r="GHG6" s="577"/>
      <c r="GHH6" s="577"/>
      <c r="GHI6" s="577"/>
      <c r="GHJ6" s="577"/>
      <c r="GHK6" s="577"/>
      <c r="GHL6" s="577"/>
      <c r="GHM6" s="577"/>
      <c r="GHN6" s="577"/>
      <c r="GHO6" s="577"/>
      <c r="GHP6" s="577"/>
      <c r="GHQ6" s="577"/>
      <c r="GHR6" s="577"/>
      <c r="GHS6" s="577"/>
      <c r="GHT6" s="577"/>
      <c r="GHU6" s="577"/>
      <c r="GHV6" s="577"/>
      <c r="GHW6" s="577"/>
      <c r="GHX6" s="577"/>
      <c r="GHY6" s="577"/>
      <c r="GHZ6" s="577"/>
      <c r="GIA6" s="577"/>
      <c r="GIB6" s="577"/>
      <c r="GIC6" s="577"/>
      <c r="GID6" s="577"/>
      <c r="GIE6" s="577"/>
      <c r="GIF6" s="577"/>
      <c r="GIG6" s="577"/>
      <c r="GIH6" s="577"/>
      <c r="GII6" s="577"/>
      <c r="GIJ6" s="577"/>
      <c r="GIK6" s="577"/>
      <c r="GIL6" s="577"/>
      <c r="GIM6" s="577"/>
      <c r="GIN6" s="577"/>
      <c r="GIO6" s="577"/>
      <c r="GIP6" s="577"/>
      <c r="GIQ6" s="577"/>
      <c r="GIR6" s="577"/>
      <c r="GIS6" s="577"/>
      <c r="GIT6" s="577"/>
      <c r="GIU6" s="577"/>
      <c r="GIV6" s="577"/>
      <c r="GIW6" s="577"/>
      <c r="GIX6" s="577"/>
      <c r="GIY6" s="577"/>
      <c r="GIZ6" s="577"/>
      <c r="GJA6" s="577"/>
      <c r="GJB6" s="577"/>
      <c r="GJC6" s="577"/>
      <c r="GJD6" s="577"/>
      <c r="GJE6" s="577"/>
      <c r="GJF6" s="577"/>
      <c r="GJG6" s="577"/>
      <c r="GJH6" s="577"/>
      <c r="GJI6" s="577"/>
      <c r="GJJ6" s="577"/>
      <c r="GJK6" s="577"/>
      <c r="GJL6" s="577"/>
      <c r="GJM6" s="577"/>
      <c r="GJN6" s="577"/>
      <c r="GJO6" s="577"/>
      <c r="GJP6" s="577"/>
      <c r="GJQ6" s="577"/>
      <c r="GJR6" s="577"/>
      <c r="GJS6" s="577"/>
      <c r="GJT6" s="577"/>
      <c r="GJU6" s="577"/>
      <c r="GJV6" s="577"/>
      <c r="GJW6" s="577"/>
      <c r="GJX6" s="577"/>
      <c r="GJY6" s="577"/>
      <c r="GJZ6" s="577"/>
      <c r="GKA6" s="577"/>
      <c r="GKB6" s="577"/>
      <c r="GKC6" s="577"/>
      <c r="GKD6" s="577"/>
      <c r="GKE6" s="577"/>
      <c r="GKF6" s="577"/>
      <c r="GKG6" s="577"/>
      <c r="GKH6" s="577"/>
      <c r="GKI6" s="577"/>
      <c r="GKJ6" s="577"/>
      <c r="GKK6" s="577"/>
      <c r="GKL6" s="577"/>
      <c r="GKM6" s="577"/>
      <c r="GKN6" s="577"/>
      <c r="GKO6" s="577"/>
      <c r="GKP6" s="577"/>
      <c r="GKQ6" s="577"/>
      <c r="GKR6" s="577"/>
      <c r="GKS6" s="577"/>
      <c r="GKT6" s="577"/>
      <c r="GKU6" s="577"/>
      <c r="GKV6" s="577"/>
      <c r="GKW6" s="577"/>
      <c r="GKX6" s="577"/>
      <c r="GKY6" s="577"/>
      <c r="GKZ6" s="577"/>
      <c r="GLA6" s="577"/>
      <c r="GLB6" s="577"/>
      <c r="GLC6" s="577"/>
      <c r="GLD6" s="577"/>
      <c r="GLE6" s="577"/>
      <c r="GLF6" s="577"/>
      <c r="GLG6" s="577"/>
      <c r="GLH6" s="577"/>
      <c r="GLI6" s="577"/>
      <c r="GLJ6" s="577"/>
      <c r="GLK6" s="577"/>
      <c r="GLL6" s="577"/>
      <c r="GLM6" s="577"/>
      <c r="GLN6" s="577"/>
      <c r="GLO6" s="577"/>
      <c r="GLP6" s="577"/>
      <c r="GLQ6" s="577"/>
      <c r="GLR6" s="577"/>
      <c r="GLS6" s="577"/>
      <c r="GLT6" s="577"/>
      <c r="GLU6" s="577"/>
      <c r="GLV6" s="577"/>
      <c r="GLW6" s="577"/>
      <c r="GLX6" s="577"/>
      <c r="GLY6" s="577"/>
      <c r="GLZ6" s="577"/>
      <c r="GMA6" s="577"/>
      <c r="GMB6" s="577"/>
      <c r="GMC6" s="577"/>
      <c r="GMD6" s="577"/>
      <c r="GME6" s="577"/>
      <c r="GMF6" s="577"/>
      <c r="GMG6" s="577"/>
      <c r="GMH6" s="577"/>
      <c r="GMI6" s="577"/>
      <c r="GMJ6" s="577"/>
      <c r="GMK6" s="577"/>
      <c r="GML6" s="577"/>
      <c r="GMM6" s="577"/>
      <c r="GMN6" s="577"/>
      <c r="GMO6" s="577"/>
      <c r="GMP6" s="577"/>
      <c r="GMQ6" s="577"/>
      <c r="GMR6" s="577"/>
      <c r="GMS6" s="577"/>
      <c r="GMT6" s="577"/>
      <c r="GMU6" s="577"/>
      <c r="GMV6" s="577"/>
      <c r="GMW6" s="577"/>
      <c r="GMX6" s="577"/>
      <c r="GMY6" s="577"/>
      <c r="GMZ6" s="577"/>
      <c r="GNA6" s="577"/>
      <c r="GNB6" s="577"/>
      <c r="GNC6" s="577"/>
      <c r="GND6" s="577"/>
      <c r="GNE6" s="577"/>
      <c r="GNF6" s="577"/>
      <c r="GNG6" s="577"/>
      <c r="GNH6" s="577"/>
      <c r="GNI6" s="577"/>
      <c r="GNJ6" s="577"/>
      <c r="GNK6" s="577"/>
      <c r="GNL6" s="577"/>
      <c r="GNM6" s="577"/>
      <c r="GNN6" s="577"/>
      <c r="GNO6" s="577"/>
      <c r="GNP6" s="577"/>
      <c r="GNQ6" s="577"/>
      <c r="GNR6" s="577"/>
      <c r="GNS6" s="577"/>
      <c r="GNT6" s="577"/>
      <c r="GNU6" s="577"/>
      <c r="GNV6" s="577"/>
      <c r="GNW6" s="577"/>
      <c r="GNX6" s="577"/>
      <c r="GNY6" s="577"/>
      <c r="GNZ6" s="577"/>
      <c r="GOA6" s="577"/>
      <c r="GOB6" s="577"/>
      <c r="GOC6" s="577"/>
      <c r="GOD6" s="577"/>
      <c r="GOE6" s="577"/>
      <c r="GOF6" s="577"/>
      <c r="GOG6" s="577"/>
      <c r="GOH6" s="577"/>
      <c r="GOI6" s="577"/>
      <c r="GOJ6" s="577"/>
      <c r="GOK6" s="577"/>
      <c r="GOL6" s="577"/>
      <c r="GOM6" s="577"/>
      <c r="GON6" s="577"/>
      <c r="GOO6" s="577"/>
      <c r="GOP6" s="577"/>
      <c r="GOQ6" s="577"/>
      <c r="GOR6" s="577"/>
      <c r="GOS6" s="577"/>
      <c r="GOT6" s="577"/>
      <c r="GOU6" s="577"/>
      <c r="GOV6" s="577"/>
      <c r="GOW6" s="577"/>
      <c r="GOX6" s="577"/>
      <c r="GOY6" s="577"/>
      <c r="GOZ6" s="577"/>
      <c r="GPA6" s="577"/>
      <c r="GPB6" s="577"/>
      <c r="GPC6" s="577"/>
      <c r="GPD6" s="577"/>
      <c r="GPE6" s="577"/>
      <c r="GPF6" s="577"/>
      <c r="GPG6" s="577"/>
      <c r="GPH6" s="577"/>
      <c r="GPI6" s="577"/>
      <c r="GPJ6" s="577"/>
      <c r="GPK6" s="577"/>
      <c r="GPL6" s="577"/>
      <c r="GPM6" s="577"/>
      <c r="GPN6" s="577"/>
      <c r="GPO6" s="577"/>
      <c r="GPP6" s="577"/>
      <c r="GPQ6" s="577"/>
      <c r="GPR6" s="577"/>
      <c r="GPS6" s="577"/>
      <c r="GPT6" s="577"/>
      <c r="GPU6" s="577"/>
      <c r="GPV6" s="577"/>
      <c r="GPW6" s="577"/>
      <c r="GPX6" s="577"/>
      <c r="GPY6" s="577"/>
      <c r="GPZ6" s="577"/>
      <c r="GQA6" s="577"/>
      <c r="GQB6" s="577"/>
      <c r="GQC6" s="577"/>
      <c r="GQD6" s="577"/>
      <c r="GQE6" s="577"/>
      <c r="GQF6" s="577"/>
      <c r="GQG6" s="577"/>
      <c r="GQH6" s="577"/>
      <c r="GQI6" s="577"/>
      <c r="GQJ6" s="577"/>
      <c r="GQK6" s="577"/>
      <c r="GQL6" s="577"/>
      <c r="GQM6" s="577"/>
      <c r="GQN6" s="577"/>
      <c r="GQO6" s="577"/>
      <c r="GQP6" s="577"/>
      <c r="GQQ6" s="577"/>
      <c r="GQR6" s="577"/>
      <c r="GQS6" s="577"/>
      <c r="GQT6" s="577"/>
      <c r="GQU6" s="577"/>
      <c r="GQV6" s="577"/>
      <c r="GQW6" s="577"/>
      <c r="GQX6" s="577"/>
      <c r="GQY6" s="577"/>
      <c r="GQZ6" s="577"/>
      <c r="GRA6" s="577"/>
      <c r="GRB6" s="577"/>
      <c r="GRC6" s="577"/>
      <c r="GRD6" s="577"/>
      <c r="GRE6" s="577"/>
      <c r="GRF6" s="577"/>
      <c r="GRG6" s="577"/>
      <c r="GRH6" s="577"/>
      <c r="GRI6" s="577"/>
      <c r="GRJ6" s="577"/>
      <c r="GRK6" s="577"/>
      <c r="GRL6" s="577"/>
      <c r="GRM6" s="577"/>
      <c r="GRN6" s="577"/>
      <c r="GRO6" s="577"/>
      <c r="GRP6" s="577"/>
      <c r="GRQ6" s="577"/>
      <c r="GRR6" s="577"/>
      <c r="GRS6" s="577"/>
      <c r="GRT6" s="577"/>
      <c r="GRU6" s="577"/>
      <c r="GRV6" s="577"/>
      <c r="GRW6" s="577"/>
      <c r="GRX6" s="577"/>
      <c r="GRY6" s="577"/>
      <c r="GRZ6" s="577"/>
      <c r="GSA6" s="577"/>
      <c r="GSB6" s="577"/>
      <c r="GSC6" s="577"/>
      <c r="GSD6" s="577"/>
      <c r="GSE6" s="577"/>
      <c r="GSF6" s="577"/>
      <c r="GSG6" s="577"/>
      <c r="GSH6" s="577"/>
      <c r="GSI6" s="577"/>
      <c r="GSJ6" s="577"/>
      <c r="GSK6" s="577"/>
      <c r="GSL6" s="577"/>
      <c r="GSM6" s="577"/>
      <c r="GSN6" s="577"/>
      <c r="GSO6" s="577"/>
      <c r="GSP6" s="577"/>
      <c r="GSQ6" s="577"/>
      <c r="GSR6" s="577"/>
      <c r="GSS6" s="577"/>
      <c r="GST6" s="577"/>
      <c r="GSU6" s="577"/>
      <c r="GSV6" s="577"/>
      <c r="GSW6" s="577"/>
      <c r="GSX6" s="577"/>
      <c r="GSY6" s="577"/>
      <c r="GSZ6" s="577"/>
      <c r="GTA6" s="577"/>
      <c r="GTB6" s="577"/>
      <c r="GTC6" s="577"/>
      <c r="GTD6" s="577"/>
      <c r="GTE6" s="577"/>
      <c r="GTF6" s="577"/>
      <c r="GTG6" s="577"/>
      <c r="GTH6" s="577"/>
      <c r="GTI6" s="577"/>
      <c r="GTJ6" s="577"/>
      <c r="GTK6" s="577"/>
      <c r="GTL6" s="577"/>
      <c r="GTM6" s="577"/>
      <c r="GTN6" s="577"/>
      <c r="GTO6" s="577"/>
      <c r="GTP6" s="577"/>
      <c r="GTQ6" s="577"/>
      <c r="GTR6" s="577"/>
      <c r="GTS6" s="577"/>
      <c r="GTT6" s="577"/>
      <c r="GTU6" s="577"/>
      <c r="GTV6" s="577"/>
      <c r="GTW6" s="577"/>
      <c r="GTX6" s="577"/>
      <c r="GTY6" s="577"/>
      <c r="GTZ6" s="577"/>
      <c r="GUA6" s="577"/>
      <c r="GUB6" s="577"/>
      <c r="GUC6" s="577"/>
      <c r="GUD6" s="577"/>
      <c r="GUE6" s="577"/>
      <c r="GUF6" s="577"/>
      <c r="GUG6" s="577"/>
      <c r="GUH6" s="577"/>
      <c r="GUI6" s="577"/>
      <c r="GUJ6" s="577"/>
      <c r="GUK6" s="577"/>
      <c r="GUL6" s="577"/>
      <c r="GUM6" s="577"/>
      <c r="GUN6" s="577"/>
      <c r="GUO6" s="577"/>
      <c r="GUP6" s="577"/>
      <c r="GUQ6" s="577"/>
      <c r="GUR6" s="577"/>
      <c r="GUS6" s="577"/>
      <c r="GUT6" s="577"/>
      <c r="GUU6" s="577"/>
      <c r="GUV6" s="577"/>
      <c r="GUW6" s="577"/>
      <c r="GUX6" s="577"/>
      <c r="GUY6" s="577"/>
      <c r="GUZ6" s="577"/>
      <c r="GVA6" s="577"/>
      <c r="GVB6" s="577"/>
      <c r="GVC6" s="577"/>
      <c r="GVD6" s="577"/>
      <c r="GVE6" s="577"/>
      <c r="GVF6" s="577"/>
      <c r="GVG6" s="577"/>
      <c r="GVH6" s="577"/>
      <c r="GVI6" s="577"/>
      <c r="GVJ6" s="577"/>
      <c r="GVK6" s="577"/>
      <c r="GVL6" s="577"/>
      <c r="GVM6" s="577"/>
      <c r="GVN6" s="577"/>
      <c r="GVO6" s="577"/>
      <c r="GVP6" s="577"/>
      <c r="GVQ6" s="577"/>
      <c r="GVR6" s="577"/>
      <c r="GVS6" s="577"/>
      <c r="GVT6" s="577"/>
      <c r="GVU6" s="577"/>
      <c r="GVV6" s="577"/>
      <c r="GVW6" s="577"/>
      <c r="GVX6" s="577"/>
      <c r="GVY6" s="577"/>
      <c r="GVZ6" s="577"/>
      <c r="GWA6" s="577"/>
      <c r="GWB6" s="577"/>
      <c r="GWC6" s="577"/>
      <c r="GWD6" s="577"/>
      <c r="GWE6" s="577"/>
      <c r="GWF6" s="577"/>
      <c r="GWG6" s="577"/>
      <c r="GWH6" s="577"/>
      <c r="GWI6" s="577"/>
      <c r="GWJ6" s="577"/>
      <c r="GWK6" s="577"/>
      <c r="GWL6" s="577"/>
      <c r="GWM6" s="577"/>
      <c r="GWN6" s="577"/>
      <c r="GWO6" s="577"/>
      <c r="GWP6" s="577"/>
      <c r="GWQ6" s="577"/>
      <c r="GWR6" s="577"/>
      <c r="GWS6" s="577"/>
      <c r="GWT6" s="577"/>
      <c r="GWU6" s="577"/>
      <c r="GWV6" s="577"/>
      <c r="GWW6" s="577"/>
      <c r="GWX6" s="577"/>
      <c r="GWY6" s="577"/>
      <c r="GWZ6" s="577"/>
      <c r="GXA6" s="577"/>
      <c r="GXB6" s="577"/>
      <c r="GXC6" s="577"/>
      <c r="GXD6" s="577"/>
      <c r="GXE6" s="577"/>
      <c r="GXF6" s="577"/>
      <c r="GXG6" s="577"/>
      <c r="GXH6" s="577"/>
      <c r="GXI6" s="577"/>
      <c r="GXJ6" s="577"/>
      <c r="GXK6" s="577"/>
      <c r="GXL6" s="577"/>
      <c r="GXM6" s="577"/>
      <c r="GXN6" s="577"/>
      <c r="GXO6" s="577"/>
      <c r="GXP6" s="577"/>
      <c r="GXQ6" s="577"/>
      <c r="GXR6" s="577"/>
      <c r="GXS6" s="577"/>
      <c r="GXT6" s="577"/>
      <c r="GXU6" s="577"/>
      <c r="GXV6" s="577"/>
      <c r="GXW6" s="577"/>
      <c r="GXX6" s="577"/>
      <c r="GXY6" s="577"/>
      <c r="GXZ6" s="577"/>
      <c r="GYA6" s="577"/>
      <c r="GYB6" s="577"/>
      <c r="GYC6" s="577"/>
      <c r="GYD6" s="577"/>
      <c r="GYE6" s="577"/>
      <c r="GYF6" s="577"/>
      <c r="GYG6" s="577"/>
      <c r="GYH6" s="577"/>
      <c r="GYI6" s="577"/>
      <c r="GYJ6" s="577"/>
      <c r="GYK6" s="577"/>
      <c r="GYL6" s="577"/>
      <c r="GYM6" s="577"/>
      <c r="GYN6" s="577"/>
      <c r="GYO6" s="577"/>
      <c r="GYP6" s="577"/>
      <c r="GYQ6" s="577"/>
      <c r="GYR6" s="577"/>
      <c r="GYS6" s="577"/>
      <c r="GYT6" s="577"/>
      <c r="GYU6" s="577"/>
      <c r="GYV6" s="577"/>
      <c r="GYW6" s="577"/>
      <c r="GYX6" s="577"/>
      <c r="GYY6" s="577"/>
      <c r="GYZ6" s="577"/>
      <c r="GZA6" s="577"/>
      <c r="GZB6" s="577"/>
      <c r="GZC6" s="577"/>
      <c r="GZD6" s="577"/>
      <c r="GZE6" s="577"/>
      <c r="GZF6" s="577"/>
      <c r="GZG6" s="577"/>
      <c r="GZH6" s="577"/>
      <c r="GZI6" s="577"/>
      <c r="GZJ6" s="577"/>
      <c r="GZK6" s="577"/>
      <c r="GZL6" s="577"/>
      <c r="GZM6" s="577"/>
      <c r="GZN6" s="577"/>
      <c r="GZO6" s="577"/>
      <c r="GZP6" s="577"/>
      <c r="GZQ6" s="577"/>
      <c r="GZR6" s="577"/>
      <c r="GZS6" s="577"/>
      <c r="GZT6" s="577"/>
      <c r="GZU6" s="577"/>
      <c r="GZV6" s="577"/>
      <c r="GZW6" s="577"/>
      <c r="GZX6" s="577"/>
      <c r="GZY6" s="577"/>
      <c r="GZZ6" s="577"/>
      <c r="HAA6" s="577"/>
      <c r="HAB6" s="577"/>
      <c r="HAC6" s="577"/>
      <c r="HAD6" s="577"/>
      <c r="HAE6" s="577"/>
      <c r="HAF6" s="577"/>
      <c r="HAG6" s="577"/>
      <c r="HAH6" s="577"/>
      <c r="HAI6" s="577"/>
      <c r="HAJ6" s="577"/>
      <c r="HAK6" s="577"/>
      <c r="HAL6" s="577"/>
      <c r="HAM6" s="577"/>
      <c r="HAN6" s="577"/>
      <c r="HAO6" s="577"/>
      <c r="HAP6" s="577"/>
      <c r="HAQ6" s="577"/>
      <c r="HAR6" s="577"/>
      <c r="HAS6" s="577"/>
      <c r="HAT6" s="577"/>
      <c r="HAU6" s="577"/>
      <c r="HAV6" s="577"/>
      <c r="HAW6" s="577"/>
      <c r="HAX6" s="577"/>
      <c r="HAY6" s="577"/>
      <c r="HAZ6" s="577"/>
      <c r="HBA6" s="577"/>
      <c r="HBB6" s="577"/>
      <c r="HBC6" s="577"/>
      <c r="HBD6" s="577"/>
      <c r="HBE6" s="577"/>
      <c r="HBF6" s="577"/>
      <c r="HBG6" s="577"/>
      <c r="HBH6" s="577"/>
      <c r="HBI6" s="577"/>
      <c r="HBJ6" s="577"/>
      <c r="HBK6" s="577"/>
      <c r="HBL6" s="577"/>
      <c r="HBM6" s="577"/>
      <c r="HBN6" s="577"/>
      <c r="HBO6" s="577"/>
      <c r="HBP6" s="577"/>
      <c r="HBQ6" s="577"/>
      <c r="HBR6" s="577"/>
      <c r="HBS6" s="577"/>
      <c r="HBT6" s="577"/>
      <c r="HBU6" s="577"/>
      <c r="HBV6" s="577"/>
      <c r="HBW6" s="577"/>
      <c r="HBX6" s="577"/>
      <c r="HBY6" s="577"/>
      <c r="HBZ6" s="577"/>
      <c r="HCA6" s="577"/>
      <c r="HCB6" s="577"/>
      <c r="HCC6" s="577"/>
      <c r="HCD6" s="577"/>
      <c r="HCE6" s="577"/>
      <c r="HCF6" s="577"/>
      <c r="HCG6" s="577"/>
      <c r="HCH6" s="577"/>
      <c r="HCI6" s="577"/>
      <c r="HCJ6" s="577"/>
      <c r="HCK6" s="577"/>
      <c r="HCL6" s="577"/>
      <c r="HCM6" s="577"/>
      <c r="HCN6" s="577"/>
      <c r="HCO6" s="577"/>
      <c r="HCP6" s="577"/>
      <c r="HCQ6" s="577"/>
      <c r="HCR6" s="577"/>
      <c r="HCS6" s="577"/>
      <c r="HCT6" s="577"/>
      <c r="HCU6" s="577"/>
      <c r="HCV6" s="577"/>
      <c r="HCW6" s="577"/>
      <c r="HCX6" s="577"/>
      <c r="HCY6" s="577"/>
      <c r="HCZ6" s="577"/>
      <c r="HDA6" s="577"/>
      <c r="HDB6" s="577"/>
      <c r="HDC6" s="577"/>
      <c r="HDD6" s="577"/>
      <c r="HDE6" s="577"/>
      <c r="HDF6" s="577"/>
      <c r="HDG6" s="577"/>
      <c r="HDH6" s="577"/>
      <c r="HDI6" s="577"/>
      <c r="HDJ6" s="577"/>
      <c r="HDK6" s="577"/>
      <c r="HDL6" s="577"/>
      <c r="HDM6" s="577"/>
      <c r="HDN6" s="577"/>
      <c r="HDO6" s="577"/>
      <c r="HDP6" s="577"/>
      <c r="HDQ6" s="577"/>
      <c r="HDR6" s="577"/>
      <c r="HDS6" s="577"/>
      <c r="HDT6" s="577"/>
      <c r="HDU6" s="577"/>
      <c r="HDV6" s="577"/>
      <c r="HDW6" s="577"/>
      <c r="HDX6" s="577"/>
      <c r="HDY6" s="577"/>
      <c r="HDZ6" s="577"/>
      <c r="HEA6" s="577"/>
      <c r="HEB6" s="577"/>
      <c r="HEC6" s="577"/>
      <c r="HED6" s="577"/>
      <c r="HEE6" s="577"/>
      <c r="HEF6" s="577"/>
      <c r="HEG6" s="577"/>
      <c r="HEH6" s="577"/>
      <c r="HEI6" s="577"/>
      <c r="HEJ6" s="577"/>
      <c r="HEK6" s="577"/>
      <c r="HEL6" s="577"/>
      <c r="HEM6" s="577"/>
      <c r="HEN6" s="577"/>
      <c r="HEO6" s="577"/>
      <c r="HEP6" s="577"/>
      <c r="HEQ6" s="577"/>
      <c r="HER6" s="577"/>
      <c r="HES6" s="577"/>
      <c r="HET6" s="577"/>
      <c r="HEU6" s="577"/>
      <c r="HEV6" s="577"/>
      <c r="HEW6" s="577"/>
      <c r="HEX6" s="577"/>
      <c r="HEY6" s="577"/>
      <c r="HEZ6" s="577"/>
      <c r="HFA6" s="577"/>
      <c r="HFB6" s="577"/>
      <c r="HFC6" s="577"/>
      <c r="HFD6" s="577"/>
      <c r="HFE6" s="577"/>
      <c r="HFF6" s="577"/>
      <c r="HFG6" s="577"/>
      <c r="HFH6" s="577"/>
      <c r="HFI6" s="577"/>
      <c r="HFJ6" s="577"/>
      <c r="HFK6" s="577"/>
      <c r="HFL6" s="577"/>
      <c r="HFM6" s="577"/>
      <c r="HFN6" s="577"/>
      <c r="HFO6" s="577"/>
      <c r="HFP6" s="577"/>
      <c r="HFQ6" s="577"/>
      <c r="HFR6" s="577"/>
      <c r="HFS6" s="577"/>
      <c r="HFT6" s="577"/>
      <c r="HFU6" s="577"/>
      <c r="HFV6" s="577"/>
      <c r="HFW6" s="577"/>
      <c r="HFX6" s="577"/>
      <c r="HFY6" s="577"/>
      <c r="HFZ6" s="577"/>
      <c r="HGA6" s="577"/>
      <c r="HGB6" s="577"/>
      <c r="HGC6" s="577"/>
      <c r="HGD6" s="577"/>
      <c r="HGE6" s="577"/>
      <c r="HGF6" s="577"/>
      <c r="HGG6" s="577"/>
      <c r="HGH6" s="577"/>
      <c r="HGI6" s="577"/>
      <c r="HGJ6" s="577"/>
      <c r="HGK6" s="577"/>
      <c r="HGL6" s="577"/>
      <c r="HGM6" s="577"/>
      <c r="HGN6" s="577"/>
      <c r="HGO6" s="577"/>
      <c r="HGP6" s="577"/>
      <c r="HGQ6" s="577"/>
      <c r="HGR6" s="577"/>
      <c r="HGS6" s="577"/>
      <c r="HGT6" s="577"/>
      <c r="HGU6" s="577"/>
      <c r="HGV6" s="577"/>
      <c r="HGW6" s="577"/>
      <c r="HGX6" s="577"/>
      <c r="HGY6" s="577"/>
      <c r="HGZ6" s="577"/>
      <c r="HHA6" s="577"/>
      <c r="HHB6" s="577"/>
      <c r="HHC6" s="577"/>
      <c r="HHD6" s="577"/>
      <c r="HHE6" s="577"/>
      <c r="HHF6" s="577"/>
      <c r="HHG6" s="577"/>
      <c r="HHH6" s="577"/>
      <c r="HHI6" s="577"/>
      <c r="HHJ6" s="577"/>
      <c r="HHK6" s="577"/>
      <c r="HHL6" s="577"/>
      <c r="HHM6" s="577"/>
      <c r="HHN6" s="577"/>
      <c r="HHO6" s="577"/>
      <c r="HHP6" s="577"/>
      <c r="HHQ6" s="577"/>
      <c r="HHR6" s="577"/>
      <c r="HHS6" s="577"/>
      <c r="HHT6" s="577"/>
      <c r="HHU6" s="577"/>
      <c r="HHV6" s="577"/>
      <c r="HHW6" s="577"/>
      <c r="HHX6" s="577"/>
      <c r="HHY6" s="577"/>
      <c r="HHZ6" s="577"/>
      <c r="HIA6" s="577"/>
      <c r="HIB6" s="577"/>
      <c r="HIC6" s="577"/>
      <c r="HID6" s="577"/>
      <c r="HIE6" s="577"/>
      <c r="HIF6" s="577"/>
      <c r="HIG6" s="577"/>
      <c r="HIH6" s="577"/>
      <c r="HII6" s="577"/>
      <c r="HIJ6" s="577"/>
      <c r="HIK6" s="577"/>
      <c r="HIL6" s="577"/>
      <c r="HIM6" s="577"/>
      <c r="HIN6" s="577"/>
      <c r="HIO6" s="577"/>
      <c r="HIP6" s="577"/>
      <c r="HIQ6" s="577"/>
      <c r="HIR6" s="577"/>
      <c r="HIS6" s="577"/>
      <c r="HIT6" s="577"/>
      <c r="HIU6" s="577"/>
      <c r="HIV6" s="577"/>
      <c r="HIW6" s="577"/>
      <c r="HIX6" s="577"/>
      <c r="HIY6" s="577"/>
      <c r="HIZ6" s="577"/>
      <c r="HJA6" s="577"/>
      <c r="HJB6" s="577"/>
      <c r="HJC6" s="577"/>
      <c r="HJD6" s="577"/>
      <c r="HJE6" s="577"/>
      <c r="HJF6" s="577"/>
      <c r="HJG6" s="577"/>
      <c r="HJH6" s="577"/>
      <c r="HJI6" s="577"/>
      <c r="HJJ6" s="577"/>
      <c r="HJK6" s="577"/>
      <c r="HJL6" s="577"/>
      <c r="HJM6" s="577"/>
      <c r="HJN6" s="577"/>
      <c r="HJO6" s="577"/>
      <c r="HJP6" s="577"/>
      <c r="HJQ6" s="577"/>
      <c r="HJR6" s="577"/>
      <c r="HJS6" s="577"/>
      <c r="HJT6" s="577"/>
      <c r="HJU6" s="577"/>
      <c r="HJV6" s="577"/>
      <c r="HJW6" s="577"/>
      <c r="HJX6" s="577"/>
      <c r="HJY6" s="577"/>
      <c r="HJZ6" s="577"/>
      <c r="HKA6" s="577"/>
      <c r="HKB6" s="577"/>
      <c r="HKC6" s="577"/>
      <c r="HKD6" s="577"/>
      <c r="HKE6" s="577"/>
      <c r="HKF6" s="577"/>
      <c r="HKG6" s="577"/>
      <c r="HKH6" s="577"/>
      <c r="HKI6" s="577"/>
      <c r="HKJ6" s="577"/>
      <c r="HKK6" s="577"/>
      <c r="HKL6" s="577"/>
      <c r="HKM6" s="577"/>
      <c r="HKN6" s="577"/>
      <c r="HKO6" s="577"/>
      <c r="HKP6" s="577"/>
      <c r="HKQ6" s="577"/>
      <c r="HKR6" s="577"/>
      <c r="HKS6" s="577"/>
      <c r="HKT6" s="577"/>
      <c r="HKU6" s="577"/>
      <c r="HKV6" s="577"/>
      <c r="HKW6" s="577"/>
      <c r="HKX6" s="577"/>
      <c r="HKY6" s="577"/>
      <c r="HKZ6" s="577"/>
      <c r="HLA6" s="577"/>
      <c r="HLB6" s="577"/>
      <c r="HLC6" s="577"/>
      <c r="HLD6" s="577"/>
      <c r="HLE6" s="577"/>
      <c r="HLF6" s="577"/>
      <c r="HLG6" s="577"/>
      <c r="HLH6" s="577"/>
      <c r="HLI6" s="577"/>
      <c r="HLJ6" s="577"/>
      <c r="HLK6" s="577"/>
      <c r="HLL6" s="577"/>
      <c r="HLM6" s="577"/>
      <c r="HLN6" s="577"/>
      <c r="HLO6" s="577"/>
      <c r="HLP6" s="577"/>
      <c r="HLQ6" s="577"/>
      <c r="HLR6" s="577"/>
      <c r="HLS6" s="577"/>
      <c r="HLT6" s="577"/>
      <c r="HLU6" s="577"/>
      <c r="HLV6" s="577"/>
      <c r="HLW6" s="577"/>
      <c r="HLX6" s="577"/>
      <c r="HLY6" s="577"/>
      <c r="HLZ6" s="577"/>
      <c r="HMA6" s="577"/>
      <c r="HMB6" s="577"/>
      <c r="HMC6" s="577"/>
      <c r="HMD6" s="577"/>
      <c r="HME6" s="577"/>
      <c r="HMF6" s="577"/>
      <c r="HMG6" s="577"/>
      <c r="HMH6" s="577"/>
      <c r="HMI6" s="577"/>
      <c r="HMJ6" s="577"/>
      <c r="HMK6" s="577"/>
      <c r="HML6" s="577"/>
      <c r="HMM6" s="577"/>
      <c r="HMN6" s="577"/>
      <c r="HMO6" s="577"/>
      <c r="HMP6" s="577"/>
      <c r="HMQ6" s="577"/>
      <c r="HMR6" s="577"/>
      <c r="HMS6" s="577"/>
      <c r="HMT6" s="577"/>
      <c r="HMU6" s="577"/>
      <c r="HMV6" s="577"/>
      <c r="HMW6" s="577"/>
      <c r="HMX6" s="577"/>
      <c r="HMY6" s="577"/>
      <c r="HMZ6" s="577"/>
      <c r="HNA6" s="577"/>
      <c r="HNB6" s="577"/>
      <c r="HNC6" s="577"/>
      <c r="HND6" s="577"/>
      <c r="HNE6" s="577"/>
      <c r="HNF6" s="577"/>
      <c r="HNG6" s="577"/>
      <c r="HNH6" s="577"/>
      <c r="HNI6" s="577"/>
      <c r="HNJ6" s="577"/>
      <c r="HNK6" s="577"/>
      <c r="HNL6" s="577"/>
      <c r="HNM6" s="577"/>
      <c r="HNN6" s="577"/>
      <c r="HNO6" s="577"/>
      <c r="HNP6" s="577"/>
      <c r="HNQ6" s="577"/>
      <c r="HNR6" s="577"/>
      <c r="HNS6" s="577"/>
      <c r="HNT6" s="577"/>
      <c r="HNU6" s="577"/>
      <c r="HNV6" s="577"/>
      <c r="HNW6" s="577"/>
      <c r="HNX6" s="577"/>
      <c r="HNY6" s="577"/>
      <c r="HNZ6" s="577"/>
      <c r="HOA6" s="577"/>
      <c r="HOB6" s="577"/>
      <c r="HOC6" s="577"/>
      <c r="HOD6" s="577"/>
      <c r="HOE6" s="577"/>
      <c r="HOF6" s="577"/>
      <c r="HOG6" s="577"/>
      <c r="HOH6" s="577"/>
      <c r="HOI6" s="577"/>
      <c r="HOJ6" s="577"/>
      <c r="HOK6" s="577"/>
      <c r="HOL6" s="577"/>
      <c r="HOM6" s="577"/>
      <c r="HON6" s="577"/>
      <c r="HOO6" s="577"/>
      <c r="HOP6" s="577"/>
      <c r="HOQ6" s="577"/>
      <c r="HOR6" s="577"/>
      <c r="HOS6" s="577"/>
      <c r="HOT6" s="577"/>
      <c r="HOU6" s="577"/>
      <c r="HOV6" s="577"/>
      <c r="HOW6" s="577"/>
      <c r="HOX6" s="577"/>
      <c r="HOY6" s="577"/>
      <c r="HOZ6" s="577"/>
      <c r="HPA6" s="577"/>
      <c r="HPB6" s="577"/>
      <c r="HPC6" s="577"/>
      <c r="HPD6" s="577"/>
      <c r="HPE6" s="577"/>
      <c r="HPF6" s="577"/>
      <c r="HPG6" s="577"/>
      <c r="HPH6" s="577"/>
      <c r="HPI6" s="577"/>
      <c r="HPJ6" s="577"/>
      <c r="HPK6" s="577"/>
      <c r="HPL6" s="577"/>
      <c r="HPM6" s="577"/>
      <c r="HPN6" s="577"/>
      <c r="HPO6" s="577"/>
      <c r="HPP6" s="577"/>
      <c r="HPQ6" s="577"/>
      <c r="HPR6" s="577"/>
      <c r="HPS6" s="577"/>
      <c r="HPT6" s="577"/>
      <c r="HPU6" s="577"/>
      <c r="HPV6" s="577"/>
      <c r="HPW6" s="577"/>
      <c r="HPX6" s="577"/>
      <c r="HPY6" s="577"/>
      <c r="HPZ6" s="577"/>
      <c r="HQA6" s="577"/>
      <c r="HQB6" s="577"/>
      <c r="HQC6" s="577"/>
      <c r="HQD6" s="577"/>
      <c r="HQE6" s="577"/>
      <c r="HQF6" s="577"/>
      <c r="HQG6" s="577"/>
      <c r="HQH6" s="577"/>
      <c r="HQI6" s="577"/>
      <c r="HQJ6" s="577"/>
      <c r="HQK6" s="577"/>
      <c r="HQL6" s="577"/>
      <c r="HQM6" s="577"/>
      <c r="HQN6" s="577"/>
      <c r="HQO6" s="577"/>
      <c r="HQP6" s="577"/>
      <c r="HQQ6" s="577"/>
      <c r="HQR6" s="577"/>
      <c r="HQS6" s="577"/>
      <c r="HQT6" s="577"/>
      <c r="HQU6" s="577"/>
      <c r="HQV6" s="577"/>
      <c r="HQW6" s="577"/>
      <c r="HQX6" s="577"/>
      <c r="HQY6" s="577"/>
      <c r="HQZ6" s="577"/>
      <c r="HRA6" s="577"/>
      <c r="HRB6" s="577"/>
      <c r="HRC6" s="577"/>
      <c r="HRD6" s="577"/>
      <c r="HRE6" s="577"/>
      <c r="HRF6" s="577"/>
      <c r="HRG6" s="577"/>
      <c r="HRH6" s="577"/>
      <c r="HRI6" s="577"/>
      <c r="HRJ6" s="577"/>
      <c r="HRK6" s="577"/>
      <c r="HRL6" s="577"/>
      <c r="HRM6" s="577"/>
      <c r="HRN6" s="577"/>
      <c r="HRO6" s="577"/>
      <c r="HRP6" s="577"/>
      <c r="HRQ6" s="577"/>
      <c r="HRR6" s="577"/>
      <c r="HRS6" s="577"/>
      <c r="HRT6" s="577"/>
      <c r="HRU6" s="577"/>
      <c r="HRV6" s="577"/>
      <c r="HRW6" s="577"/>
      <c r="HRX6" s="577"/>
      <c r="HRY6" s="577"/>
      <c r="HRZ6" s="577"/>
      <c r="HSA6" s="577"/>
      <c r="HSB6" s="577"/>
      <c r="HSC6" s="577"/>
      <c r="HSD6" s="577"/>
      <c r="HSE6" s="577"/>
      <c r="HSF6" s="577"/>
      <c r="HSG6" s="577"/>
      <c r="HSH6" s="577"/>
      <c r="HSI6" s="577"/>
      <c r="HSJ6" s="577"/>
      <c r="HSK6" s="577"/>
      <c r="HSL6" s="577"/>
      <c r="HSM6" s="577"/>
      <c r="HSN6" s="577"/>
      <c r="HSO6" s="577"/>
      <c r="HSP6" s="577"/>
      <c r="HSQ6" s="577"/>
      <c r="HSR6" s="577"/>
      <c r="HSS6" s="577"/>
      <c r="HST6" s="577"/>
      <c r="HSU6" s="577"/>
      <c r="HSV6" s="577"/>
      <c r="HSW6" s="577"/>
      <c r="HSX6" s="577"/>
      <c r="HSY6" s="577"/>
      <c r="HSZ6" s="577"/>
      <c r="HTA6" s="577"/>
      <c r="HTB6" s="577"/>
      <c r="HTC6" s="577"/>
      <c r="HTD6" s="577"/>
      <c r="HTE6" s="577"/>
      <c r="HTF6" s="577"/>
      <c r="HTG6" s="577"/>
      <c r="HTH6" s="577"/>
      <c r="HTI6" s="577"/>
      <c r="HTJ6" s="577"/>
      <c r="HTK6" s="577"/>
      <c r="HTL6" s="577"/>
      <c r="HTM6" s="577"/>
      <c r="HTN6" s="577"/>
      <c r="HTO6" s="577"/>
      <c r="HTP6" s="577"/>
      <c r="HTQ6" s="577"/>
      <c r="HTR6" s="577"/>
      <c r="HTS6" s="577"/>
      <c r="HTT6" s="577"/>
      <c r="HTU6" s="577"/>
      <c r="HTV6" s="577"/>
      <c r="HTW6" s="577"/>
      <c r="HTX6" s="577"/>
      <c r="HTY6" s="577"/>
      <c r="HTZ6" s="577"/>
      <c r="HUA6" s="577"/>
      <c r="HUB6" s="577"/>
      <c r="HUC6" s="577"/>
      <c r="HUD6" s="577"/>
      <c r="HUE6" s="577"/>
      <c r="HUF6" s="577"/>
      <c r="HUG6" s="577"/>
      <c r="HUH6" s="577"/>
      <c r="HUI6" s="577"/>
      <c r="HUJ6" s="577"/>
      <c r="HUK6" s="577"/>
      <c r="HUL6" s="577"/>
      <c r="HUM6" s="577"/>
      <c r="HUN6" s="577"/>
      <c r="HUO6" s="577"/>
      <c r="HUP6" s="577"/>
      <c r="HUQ6" s="577"/>
      <c r="HUR6" s="577"/>
      <c r="HUS6" s="577"/>
      <c r="HUT6" s="577"/>
      <c r="HUU6" s="577"/>
      <c r="HUV6" s="577"/>
      <c r="HUW6" s="577"/>
      <c r="HUX6" s="577"/>
      <c r="HUY6" s="577"/>
      <c r="HUZ6" s="577"/>
      <c r="HVA6" s="577"/>
      <c r="HVB6" s="577"/>
      <c r="HVC6" s="577"/>
      <c r="HVD6" s="577"/>
      <c r="HVE6" s="577"/>
      <c r="HVF6" s="577"/>
      <c r="HVG6" s="577"/>
      <c r="HVH6" s="577"/>
      <c r="HVI6" s="577"/>
      <c r="HVJ6" s="577"/>
      <c r="HVK6" s="577"/>
      <c r="HVL6" s="577"/>
      <c r="HVM6" s="577"/>
      <c r="HVN6" s="577"/>
      <c r="HVO6" s="577"/>
      <c r="HVP6" s="577"/>
      <c r="HVQ6" s="577"/>
      <c r="HVR6" s="577"/>
      <c r="HVS6" s="577"/>
      <c r="HVT6" s="577"/>
      <c r="HVU6" s="577"/>
      <c r="HVV6" s="577"/>
      <c r="HVW6" s="577"/>
      <c r="HVX6" s="577"/>
      <c r="HVY6" s="577"/>
      <c r="HVZ6" s="577"/>
      <c r="HWA6" s="577"/>
      <c r="HWB6" s="577"/>
      <c r="HWC6" s="577"/>
      <c r="HWD6" s="577"/>
      <c r="HWE6" s="577"/>
      <c r="HWF6" s="577"/>
      <c r="HWG6" s="577"/>
      <c r="HWH6" s="577"/>
      <c r="HWI6" s="577"/>
      <c r="HWJ6" s="577"/>
      <c r="HWK6" s="577"/>
      <c r="HWL6" s="577"/>
      <c r="HWM6" s="577"/>
      <c r="HWN6" s="577"/>
      <c r="HWO6" s="577"/>
      <c r="HWP6" s="577"/>
      <c r="HWQ6" s="577"/>
      <c r="HWR6" s="577"/>
      <c r="HWS6" s="577"/>
      <c r="HWT6" s="577"/>
      <c r="HWU6" s="577"/>
      <c r="HWV6" s="577"/>
      <c r="HWW6" s="577"/>
      <c r="HWX6" s="577"/>
      <c r="HWY6" s="577"/>
      <c r="HWZ6" s="577"/>
      <c r="HXA6" s="577"/>
      <c r="HXB6" s="577"/>
      <c r="HXC6" s="577"/>
      <c r="HXD6" s="577"/>
      <c r="HXE6" s="577"/>
      <c r="HXF6" s="577"/>
      <c r="HXG6" s="577"/>
      <c r="HXH6" s="577"/>
      <c r="HXI6" s="577"/>
      <c r="HXJ6" s="577"/>
      <c r="HXK6" s="577"/>
      <c r="HXL6" s="577"/>
      <c r="HXM6" s="577"/>
      <c r="HXN6" s="577"/>
      <c r="HXO6" s="577"/>
      <c r="HXP6" s="577"/>
      <c r="HXQ6" s="577"/>
      <c r="HXR6" s="577"/>
      <c r="HXS6" s="577"/>
      <c r="HXT6" s="577"/>
      <c r="HXU6" s="577"/>
      <c r="HXV6" s="577"/>
      <c r="HXW6" s="577"/>
      <c r="HXX6" s="577"/>
      <c r="HXY6" s="577"/>
      <c r="HXZ6" s="577"/>
      <c r="HYA6" s="577"/>
      <c r="HYB6" s="577"/>
      <c r="HYC6" s="577"/>
      <c r="HYD6" s="577"/>
      <c r="HYE6" s="577"/>
      <c r="HYF6" s="577"/>
      <c r="HYG6" s="577"/>
      <c r="HYH6" s="577"/>
      <c r="HYI6" s="577"/>
      <c r="HYJ6" s="577"/>
      <c r="HYK6" s="577"/>
      <c r="HYL6" s="577"/>
      <c r="HYM6" s="577"/>
      <c r="HYN6" s="577"/>
      <c r="HYO6" s="577"/>
      <c r="HYP6" s="577"/>
      <c r="HYQ6" s="577"/>
      <c r="HYR6" s="577"/>
      <c r="HYS6" s="577"/>
      <c r="HYT6" s="577"/>
      <c r="HYU6" s="577"/>
      <c r="HYV6" s="577"/>
      <c r="HYW6" s="577"/>
      <c r="HYX6" s="577"/>
      <c r="HYY6" s="577"/>
      <c r="HYZ6" s="577"/>
      <c r="HZA6" s="577"/>
      <c r="HZB6" s="577"/>
      <c r="HZC6" s="577"/>
      <c r="HZD6" s="577"/>
      <c r="HZE6" s="577"/>
      <c r="HZF6" s="577"/>
      <c r="HZG6" s="577"/>
      <c r="HZH6" s="577"/>
      <c r="HZI6" s="577"/>
      <c r="HZJ6" s="577"/>
      <c r="HZK6" s="577"/>
      <c r="HZL6" s="577"/>
      <c r="HZM6" s="577"/>
      <c r="HZN6" s="577"/>
      <c r="HZO6" s="577"/>
      <c r="HZP6" s="577"/>
      <c r="HZQ6" s="577"/>
      <c r="HZR6" s="577"/>
      <c r="HZS6" s="577"/>
      <c r="HZT6" s="577"/>
      <c r="HZU6" s="577"/>
      <c r="HZV6" s="577"/>
      <c r="HZW6" s="577"/>
      <c r="HZX6" s="577"/>
      <c r="HZY6" s="577"/>
      <c r="HZZ6" s="577"/>
      <c r="IAA6" s="577"/>
      <c r="IAB6" s="577"/>
      <c r="IAC6" s="577"/>
      <c r="IAD6" s="577"/>
      <c r="IAE6" s="577"/>
      <c r="IAF6" s="577"/>
      <c r="IAG6" s="577"/>
      <c r="IAH6" s="577"/>
      <c r="IAI6" s="577"/>
      <c r="IAJ6" s="577"/>
      <c r="IAK6" s="577"/>
      <c r="IAL6" s="577"/>
      <c r="IAM6" s="577"/>
      <c r="IAN6" s="577"/>
      <c r="IAO6" s="577"/>
      <c r="IAP6" s="577"/>
      <c r="IAQ6" s="577"/>
      <c r="IAR6" s="577"/>
      <c r="IAS6" s="577"/>
      <c r="IAT6" s="577"/>
      <c r="IAU6" s="577"/>
      <c r="IAV6" s="577"/>
      <c r="IAW6" s="577"/>
      <c r="IAX6" s="577"/>
      <c r="IAY6" s="577"/>
      <c r="IAZ6" s="577"/>
      <c r="IBA6" s="577"/>
      <c r="IBB6" s="577"/>
      <c r="IBC6" s="577"/>
      <c r="IBD6" s="577"/>
      <c r="IBE6" s="577"/>
      <c r="IBF6" s="577"/>
      <c r="IBG6" s="577"/>
      <c r="IBH6" s="577"/>
      <c r="IBI6" s="577"/>
      <c r="IBJ6" s="577"/>
      <c r="IBK6" s="577"/>
      <c r="IBL6" s="577"/>
      <c r="IBM6" s="577"/>
      <c r="IBN6" s="577"/>
      <c r="IBO6" s="577"/>
      <c r="IBP6" s="577"/>
      <c r="IBQ6" s="577"/>
      <c r="IBR6" s="577"/>
      <c r="IBS6" s="577"/>
      <c r="IBT6" s="577"/>
      <c r="IBU6" s="577"/>
      <c r="IBV6" s="577"/>
      <c r="IBW6" s="577"/>
      <c r="IBX6" s="577"/>
      <c r="IBY6" s="577"/>
      <c r="IBZ6" s="577"/>
      <c r="ICA6" s="577"/>
      <c r="ICB6" s="577"/>
      <c r="ICC6" s="577"/>
      <c r="ICD6" s="577"/>
      <c r="ICE6" s="577"/>
      <c r="ICF6" s="577"/>
      <c r="ICG6" s="577"/>
      <c r="ICH6" s="577"/>
      <c r="ICI6" s="577"/>
      <c r="ICJ6" s="577"/>
      <c r="ICK6" s="577"/>
      <c r="ICL6" s="577"/>
      <c r="ICM6" s="577"/>
      <c r="ICN6" s="577"/>
      <c r="ICO6" s="577"/>
      <c r="ICP6" s="577"/>
      <c r="ICQ6" s="577"/>
      <c r="ICR6" s="577"/>
      <c r="ICS6" s="577"/>
      <c r="ICT6" s="577"/>
      <c r="ICU6" s="577"/>
      <c r="ICV6" s="577"/>
      <c r="ICW6" s="577"/>
      <c r="ICX6" s="577"/>
      <c r="ICY6" s="577"/>
      <c r="ICZ6" s="577"/>
      <c r="IDA6" s="577"/>
      <c r="IDB6" s="577"/>
      <c r="IDC6" s="577"/>
      <c r="IDD6" s="577"/>
      <c r="IDE6" s="577"/>
      <c r="IDF6" s="577"/>
      <c r="IDG6" s="577"/>
      <c r="IDH6" s="577"/>
      <c r="IDI6" s="577"/>
      <c r="IDJ6" s="577"/>
      <c r="IDK6" s="577"/>
      <c r="IDL6" s="577"/>
      <c r="IDM6" s="577"/>
      <c r="IDN6" s="577"/>
      <c r="IDO6" s="577"/>
      <c r="IDP6" s="577"/>
      <c r="IDQ6" s="577"/>
      <c r="IDR6" s="577"/>
      <c r="IDS6" s="577"/>
      <c r="IDT6" s="577"/>
      <c r="IDU6" s="577"/>
      <c r="IDV6" s="577"/>
      <c r="IDW6" s="577"/>
      <c r="IDX6" s="577"/>
      <c r="IDY6" s="577"/>
      <c r="IDZ6" s="577"/>
      <c r="IEA6" s="577"/>
      <c r="IEB6" s="577"/>
      <c r="IEC6" s="577"/>
      <c r="IED6" s="577"/>
      <c r="IEE6" s="577"/>
      <c r="IEF6" s="577"/>
      <c r="IEG6" s="577"/>
      <c r="IEH6" s="577"/>
      <c r="IEI6" s="577"/>
      <c r="IEJ6" s="577"/>
      <c r="IEK6" s="577"/>
      <c r="IEL6" s="577"/>
      <c r="IEM6" s="577"/>
      <c r="IEN6" s="577"/>
      <c r="IEO6" s="577"/>
      <c r="IEP6" s="577"/>
      <c r="IEQ6" s="577"/>
      <c r="IER6" s="577"/>
      <c r="IES6" s="577"/>
      <c r="IET6" s="577"/>
      <c r="IEU6" s="577"/>
      <c r="IEV6" s="577"/>
      <c r="IEW6" s="577"/>
      <c r="IEX6" s="577"/>
      <c r="IEY6" s="577"/>
      <c r="IEZ6" s="577"/>
      <c r="IFA6" s="577"/>
      <c r="IFB6" s="577"/>
      <c r="IFC6" s="577"/>
      <c r="IFD6" s="577"/>
      <c r="IFE6" s="577"/>
      <c r="IFF6" s="577"/>
      <c r="IFG6" s="577"/>
      <c r="IFH6" s="577"/>
      <c r="IFI6" s="577"/>
      <c r="IFJ6" s="577"/>
      <c r="IFK6" s="577"/>
      <c r="IFL6" s="577"/>
      <c r="IFM6" s="577"/>
      <c r="IFN6" s="577"/>
      <c r="IFO6" s="577"/>
      <c r="IFP6" s="577"/>
      <c r="IFQ6" s="577"/>
      <c r="IFR6" s="577"/>
      <c r="IFS6" s="577"/>
      <c r="IFT6" s="577"/>
      <c r="IFU6" s="577"/>
      <c r="IFV6" s="577"/>
      <c r="IFW6" s="577"/>
      <c r="IFX6" s="577"/>
      <c r="IFY6" s="577"/>
      <c r="IFZ6" s="577"/>
      <c r="IGA6" s="577"/>
      <c r="IGB6" s="577"/>
      <c r="IGC6" s="577"/>
      <c r="IGD6" s="577"/>
      <c r="IGE6" s="577"/>
      <c r="IGF6" s="577"/>
      <c r="IGG6" s="577"/>
      <c r="IGH6" s="577"/>
      <c r="IGI6" s="577"/>
      <c r="IGJ6" s="577"/>
      <c r="IGK6" s="577"/>
      <c r="IGL6" s="577"/>
      <c r="IGM6" s="577"/>
      <c r="IGN6" s="577"/>
      <c r="IGO6" s="577"/>
      <c r="IGP6" s="577"/>
      <c r="IGQ6" s="577"/>
      <c r="IGR6" s="577"/>
      <c r="IGS6" s="577"/>
      <c r="IGT6" s="577"/>
      <c r="IGU6" s="577"/>
      <c r="IGV6" s="577"/>
      <c r="IGW6" s="577"/>
      <c r="IGX6" s="577"/>
      <c r="IGY6" s="577"/>
      <c r="IGZ6" s="577"/>
      <c r="IHA6" s="577"/>
      <c r="IHB6" s="577"/>
      <c r="IHC6" s="577"/>
      <c r="IHD6" s="577"/>
      <c r="IHE6" s="577"/>
      <c r="IHF6" s="577"/>
      <c r="IHG6" s="577"/>
      <c r="IHH6" s="577"/>
      <c r="IHI6" s="577"/>
      <c r="IHJ6" s="577"/>
      <c r="IHK6" s="577"/>
      <c r="IHL6" s="577"/>
      <c r="IHM6" s="577"/>
      <c r="IHN6" s="577"/>
      <c r="IHO6" s="577"/>
      <c r="IHP6" s="577"/>
      <c r="IHQ6" s="577"/>
      <c r="IHR6" s="577"/>
      <c r="IHS6" s="577"/>
      <c r="IHT6" s="577"/>
      <c r="IHU6" s="577"/>
      <c r="IHV6" s="577"/>
      <c r="IHW6" s="577"/>
      <c r="IHX6" s="577"/>
      <c r="IHY6" s="577"/>
      <c r="IHZ6" s="577"/>
      <c r="IIA6" s="577"/>
      <c r="IIB6" s="577"/>
      <c r="IIC6" s="577"/>
      <c r="IID6" s="577"/>
      <c r="IIE6" s="577"/>
      <c r="IIF6" s="577"/>
      <c r="IIG6" s="577"/>
      <c r="IIH6" s="577"/>
      <c r="III6" s="577"/>
      <c r="IIJ6" s="577"/>
      <c r="IIK6" s="577"/>
      <c r="IIL6" s="577"/>
      <c r="IIM6" s="577"/>
      <c r="IIN6" s="577"/>
      <c r="IIO6" s="577"/>
      <c r="IIP6" s="577"/>
      <c r="IIQ6" s="577"/>
      <c r="IIR6" s="577"/>
      <c r="IIS6" s="577"/>
      <c r="IIT6" s="577"/>
      <c r="IIU6" s="577"/>
      <c r="IIV6" s="577"/>
      <c r="IIW6" s="577"/>
      <c r="IIX6" s="577"/>
      <c r="IIY6" s="577"/>
      <c r="IIZ6" s="577"/>
      <c r="IJA6" s="577"/>
      <c r="IJB6" s="577"/>
      <c r="IJC6" s="577"/>
      <c r="IJD6" s="577"/>
      <c r="IJE6" s="577"/>
      <c r="IJF6" s="577"/>
      <c r="IJG6" s="577"/>
      <c r="IJH6" s="577"/>
      <c r="IJI6" s="577"/>
      <c r="IJJ6" s="577"/>
      <c r="IJK6" s="577"/>
      <c r="IJL6" s="577"/>
      <c r="IJM6" s="577"/>
      <c r="IJN6" s="577"/>
      <c r="IJO6" s="577"/>
      <c r="IJP6" s="577"/>
      <c r="IJQ6" s="577"/>
      <c r="IJR6" s="577"/>
      <c r="IJS6" s="577"/>
      <c r="IJT6" s="577"/>
      <c r="IJU6" s="577"/>
      <c r="IJV6" s="577"/>
      <c r="IJW6" s="577"/>
      <c r="IJX6" s="577"/>
      <c r="IJY6" s="577"/>
      <c r="IJZ6" s="577"/>
      <c r="IKA6" s="577"/>
      <c r="IKB6" s="577"/>
      <c r="IKC6" s="577"/>
      <c r="IKD6" s="577"/>
      <c r="IKE6" s="577"/>
      <c r="IKF6" s="577"/>
      <c r="IKG6" s="577"/>
      <c r="IKH6" s="577"/>
      <c r="IKI6" s="577"/>
      <c r="IKJ6" s="577"/>
      <c r="IKK6" s="577"/>
      <c r="IKL6" s="577"/>
      <c r="IKM6" s="577"/>
      <c r="IKN6" s="577"/>
      <c r="IKO6" s="577"/>
      <c r="IKP6" s="577"/>
      <c r="IKQ6" s="577"/>
      <c r="IKR6" s="577"/>
      <c r="IKS6" s="577"/>
      <c r="IKT6" s="577"/>
      <c r="IKU6" s="577"/>
      <c r="IKV6" s="577"/>
      <c r="IKW6" s="577"/>
      <c r="IKX6" s="577"/>
      <c r="IKY6" s="577"/>
      <c r="IKZ6" s="577"/>
      <c r="ILA6" s="577"/>
      <c r="ILB6" s="577"/>
      <c r="ILC6" s="577"/>
      <c r="ILD6" s="577"/>
      <c r="ILE6" s="577"/>
      <c r="ILF6" s="577"/>
      <c r="ILG6" s="577"/>
      <c r="ILH6" s="577"/>
      <c r="ILI6" s="577"/>
      <c r="ILJ6" s="577"/>
      <c r="ILK6" s="577"/>
      <c r="ILL6" s="577"/>
      <c r="ILM6" s="577"/>
      <c r="ILN6" s="577"/>
      <c r="ILO6" s="577"/>
      <c r="ILP6" s="577"/>
      <c r="ILQ6" s="577"/>
      <c r="ILR6" s="577"/>
      <c r="ILS6" s="577"/>
      <c r="ILT6" s="577"/>
      <c r="ILU6" s="577"/>
      <c r="ILV6" s="577"/>
      <c r="ILW6" s="577"/>
      <c r="ILX6" s="577"/>
      <c r="ILY6" s="577"/>
      <c r="ILZ6" s="577"/>
      <c r="IMA6" s="577"/>
      <c r="IMB6" s="577"/>
      <c r="IMC6" s="577"/>
      <c r="IMD6" s="577"/>
      <c r="IME6" s="577"/>
      <c r="IMF6" s="577"/>
      <c r="IMG6" s="577"/>
      <c r="IMH6" s="577"/>
      <c r="IMI6" s="577"/>
      <c r="IMJ6" s="577"/>
      <c r="IMK6" s="577"/>
      <c r="IML6" s="577"/>
      <c r="IMM6" s="577"/>
      <c r="IMN6" s="577"/>
      <c r="IMO6" s="577"/>
      <c r="IMP6" s="577"/>
      <c r="IMQ6" s="577"/>
      <c r="IMR6" s="577"/>
      <c r="IMS6" s="577"/>
      <c r="IMT6" s="577"/>
      <c r="IMU6" s="577"/>
      <c r="IMV6" s="577"/>
      <c r="IMW6" s="577"/>
      <c r="IMX6" s="577"/>
      <c r="IMY6" s="577"/>
      <c r="IMZ6" s="577"/>
      <c r="INA6" s="577"/>
      <c r="INB6" s="577"/>
      <c r="INC6" s="577"/>
      <c r="IND6" s="577"/>
      <c r="INE6" s="577"/>
      <c r="INF6" s="577"/>
      <c r="ING6" s="577"/>
      <c r="INH6" s="577"/>
      <c r="INI6" s="577"/>
      <c r="INJ6" s="577"/>
      <c r="INK6" s="577"/>
      <c r="INL6" s="577"/>
      <c r="INM6" s="577"/>
      <c r="INN6" s="577"/>
      <c r="INO6" s="577"/>
      <c r="INP6" s="577"/>
      <c r="INQ6" s="577"/>
      <c r="INR6" s="577"/>
      <c r="INS6" s="577"/>
      <c r="INT6" s="577"/>
      <c r="INU6" s="577"/>
      <c r="INV6" s="577"/>
      <c r="INW6" s="577"/>
      <c r="INX6" s="577"/>
      <c r="INY6" s="577"/>
      <c r="INZ6" s="577"/>
      <c r="IOA6" s="577"/>
      <c r="IOB6" s="577"/>
      <c r="IOC6" s="577"/>
      <c r="IOD6" s="577"/>
      <c r="IOE6" s="577"/>
      <c r="IOF6" s="577"/>
      <c r="IOG6" s="577"/>
      <c r="IOH6" s="577"/>
      <c r="IOI6" s="577"/>
      <c r="IOJ6" s="577"/>
      <c r="IOK6" s="577"/>
      <c r="IOL6" s="577"/>
      <c r="IOM6" s="577"/>
      <c r="ION6" s="577"/>
      <c r="IOO6" s="577"/>
      <c r="IOP6" s="577"/>
      <c r="IOQ6" s="577"/>
      <c r="IOR6" s="577"/>
      <c r="IOS6" s="577"/>
      <c r="IOT6" s="577"/>
      <c r="IOU6" s="577"/>
      <c r="IOV6" s="577"/>
      <c r="IOW6" s="577"/>
      <c r="IOX6" s="577"/>
      <c r="IOY6" s="577"/>
      <c r="IOZ6" s="577"/>
      <c r="IPA6" s="577"/>
      <c r="IPB6" s="577"/>
      <c r="IPC6" s="577"/>
      <c r="IPD6" s="577"/>
      <c r="IPE6" s="577"/>
      <c r="IPF6" s="577"/>
      <c r="IPG6" s="577"/>
      <c r="IPH6" s="577"/>
      <c r="IPI6" s="577"/>
      <c r="IPJ6" s="577"/>
      <c r="IPK6" s="577"/>
      <c r="IPL6" s="577"/>
      <c r="IPM6" s="577"/>
      <c r="IPN6" s="577"/>
      <c r="IPO6" s="577"/>
      <c r="IPP6" s="577"/>
      <c r="IPQ6" s="577"/>
      <c r="IPR6" s="577"/>
      <c r="IPS6" s="577"/>
      <c r="IPT6" s="577"/>
      <c r="IPU6" s="577"/>
      <c r="IPV6" s="577"/>
      <c r="IPW6" s="577"/>
      <c r="IPX6" s="577"/>
      <c r="IPY6" s="577"/>
      <c r="IPZ6" s="577"/>
      <c r="IQA6" s="577"/>
      <c r="IQB6" s="577"/>
      <c r="IQC6" s="577"/>
      <c r="IQD6" s="577"/>
      <c r="IQE6" s="577"/>
      <c r="IQF6" s="577"/>
      <c r="IQG6" s="577"/>
      <c r="IQH6" s="577"/>
      <c r="IQI6" s="577"/>
      <c r="IQJ6" s="577"/>
      <c r="IQK6" s="577"/>
      <c r="IQL6" s="577"/>
      <c r="IQM6" s="577"/>
      <c r="IQN6" s="577"/>
      <c r="IQO6" s="577"/>
      <c r="IQP6" s="577"/>
      <c r="IQQ6" s="577"/>
      <c r="IQR6" s="577"/>
      <c r="IQS6" s="577"/>
      <c r="IQT6" s="577"/>
      <c r="IQU6" s="577"/>
      <c r="IQV6" s="577"/>
      <c r="IQW6" s="577"/>
      <c r="IQX6" s="577"/>
      <c r="IQY6" s="577"/>
      <c r="IQZ6" s="577"/>
      <c r="IRA6" s="577"/>
      <c r="IRB6" s="577"/>
      <c r="IRC6" s="577"/>
      <c r="IRD6" s="577"/>
      <c r="IRE6" s="577"/>
      <c r="IRF6" s="577"/>
      <c r="IRG6" s="577"/>
      <c r="IRH6" s="577"/>
      <c r="IRI6" s="577"/>
      <c r="IRJ6" s="577"/>
      <c r="IRK6" s="577"/>
      <c r="IRL6" s="577"/>
      <c r="IRM6" s="577"/>
      <c r="IRN6" s="577"/>
      <c r="IRO6" s="577"/>
      <c r="IRP6" s="577"/>
      <c r="IRQ6" s="577"/>
      <c r="IRR6" s="577"/>
      <c r="IRS6" s="577"/>
      <c r="IRT6" s="577"/>
      <c r="IRU6" s="577"/>
      <c r="IRV6" s="577"/>
      <c r="IRW6" s="577"/>
      <c r="IRX6" s="577"/>
      <c r="IRY6" s="577"/>
      <c r="IRZ6" s="577"/>
      <c r="ISA6" s="577"/>
      <c r="ISB6" s="577"/>
      <c r="ISC6" s="577"/>
      <c r="ISD6" s="577"/>
      <c r="ISE6" s="577"/>
      <c r="ISF6" s="577"/>
      <c r="ISG6" s="577"/>
      <c r="ISH6" s="577"/>
      <c r="ISI6" s="577"/>
      <c r="ISJ6" s="577"/>
      <c r="ISK6" s="577"/>
      <c r="ISL6" s="577"/>
      <c r="ISM6" s="577"/>
      <c r="ISN6" s="577"/>
      <c r="ISO6" s="577"/>
      <c r="ISP6" s="577"/>
      <c r="ISQ6" s="577"/>
      <c r="ISR6" s="577"/>
      <c r="ISS6" s="577"/>
      <c r="IST6" s="577"/>
      <c r="ISU6" s="577"/>
      <c r="ISV6" s="577"/>
      <c r="ISW6" s="577"/>
      <c r="ISX6" s="577"/>
      <c r="ISY6" s="577"/>
      <c r="ISZ6" s="577"/>
      <c r="ITA6" s="577"/>
      <c r="ITB6" s="577"/>
      <c r="ITC6" s="577"/>
      <c r="ITD6" s="577"/>
      <c r="ITE6" s="577"/>
      <c r="ITF6" s="577"/>
      <c r="ITG6" s="577"/>
      <c r="ITH6" s="577"/>
      <c r="ITI6" s="577"/>
      <c r="ITJ6" s="577"/>
      <c r="ITK6" s="577"/>
      <c r="ITL6" s="577"/>
      <c r="ITM6" s="577"/>
      <c r="ITN6" s="577"/>
      <c r="ITO6" s="577"/>
      <c r="ITP6" s="577"/>
      <c r="ITQ6" s="577"/>
      <c r="ITR6" s="577"/>
      <c r="ITS6" s="577"/>
      <c r="ITT6" s="577"/>
      <c r="ITU6" s="577"/>
      <c r="ITV6" s="577"/>
      <c r="ITW6" s="577"/>
      <c r="ITX6" s="577"/>
      <c r="ITY6" s="577"/>
      <c r="ITZ6" s="577"/>
      <c r="IUA6" s="577"/>
      <c r="IUB6" s="577"/>
      <c r="IUC6" s="577"/>
      <c r="IUD6" s="577"/>
      <c r="IUE6" s="577"/>
      <c r="IUF6" s="577"/>
      <c r="IUG6" s="577"/>
      <c r="IUH6" s="577"/>
      <c r="IUI6" s="577"/>
      <c r="IUJ6" s="577"/>
      <c r="IUK6" s="577"/>
      <c r="IUL6" s="577"/>
      <c r="IUM6" s="577"/>
      <c r="IUN6" s="577"/>
      <c r="IUO6" s="577"/>
      <c r="IUP6" s="577"/>
      <c r="IUQ6" s="577"/>
      <c r="IUR6" s="577"/>
      <c r="IUS6" s="577"/>
      <c r="IUT6" s="577"/>
      <c r="IUU6" s="577"/>
      <c r="IUV6" s="577"/>
      <c r="IUW6" s="577"/>
      <c r="IUX6" s="577"/>
      <c r="IUY6" s="577"/>
      <c r="IUZ6" s="577"/>
      <c r="IVA6" s="577"/>
      <c r="IVB6" s="577"/>
      <c r="IVC6" s="577"/>
      <c r="IVD6" s="577"/>
      <c r="IVE6" s="577"/>
      <c r="IVF6" s="577"/>
      <c r="IVG6" s="577"/>
      <c r="IVH6" s="577"/>
      <c r="IVI6" s="577"/>
      <c r="IVJ6" s="577"/>
      <c r="IVK6" s="577"/>
      <c r="IVL6" s="577"/>
      <c r="IVM6" s="577"/>
      <c r="IVN6" s="577"/>
      <c r="IVO6" s="577"/>
      <c r="IVP6" s="577"/>
      <c r="IVQ6" s="577"/>
      <c r="IVR6" s="577"/>
      <c r="IVS6" s="577"/>
      <c r="IVT6" s="577"/>
      <c r="IVU6" s="577"/>
      <c r="IVV6" s="577"/>
      <c r="IVW6" s="577"/>
      <c r="IVX6" s="577"/>
      <c r="IVY6" s="577"/>
      <c r="IVZ6" s="577"/>
      <c r="IWA6" s="577"/>
      <c r="IWB6" s="577"/>
      <c r="IWC6" s="577"/>
      <c r="IWD6" s="577"/>
      <c r="IWE6" s="577"/>
      <c r="IWF6" s="577"/>
      <c r="IWG6" s="577"/>
      <c r="IWH6" s="577"/>
      <c r="IWI6" s="577"/>
      <c r="IWJ6" s="577"/>
      <c r="IWK6" s="577"/>
      <c r="IWL6" s="577"/>
      <c r="IWM6" s="577"/>
      <c r="IWN6" s="577"/>
      <c r="IWO6" s="577"/>
      <c r="IWP6" s="577"/>
      <c r="IWQ6" s="577"/>
      <c r="IWR6" s="577"/>
      <c r="IWS6" s="577"/>
      <c r="IWT6" s="577"/>
      <c r="IWU6" s="577"/>
      <c r="IWV6" s="577"/>
      <c r="IWW6" s="577"/>
      <c r="IWX6" s="577"/>
      <c r="IWY6" s="577"/>
      <c r="IWZ6" s="577"/>
      <c r="IXA6" s="577"/>
      <c r="IXB6" s="577"/>
      <c r="IXC6" s="577"/>
      <c r="IXD6" s="577"/>
      <c r="IXE6" s="577"/>
      <c r="IXF6" s="577"/>
      <c r="IXG6" s="577"/>
      <c r="IXH6" s="577"/>
      <c r="IXI6" s="577"/>
      <c r="IXJ6" s="577"/>
      <c r="IXK6" s="577"/>
      <c r="IXL6" s="577"/>
      <c r="IXM6" s="577"/>
      <c r="IXN6" s="577"/>
      <c r="IXO6" s="577"/>
      <c r="IXP6" s="577"/>
      <c r="IXQ6" s="577"/>
      <c r="IXR6" s="577"/>
      <c r="IXS6" s="577"/>
      <c r="IXT6" s="577"/>
      <c r="IXU6" s="577"/>
      <c r="IXV6" s="577"/>
      <c r="IXW6" s="577"/>
      <c r="IXX6" s="577"/>
      <c r="IXY6" s="577"/>
      <c r="IXZ6" s="577"/>
      <c r="IYA6" s="577"/>
      <c r="IYB6" s="577"/>
      <c r="IYC6" s="577"/>
      <c r="IYD6" s="577"/>
      <c r="IYE6" s="577"/>
      <c r="IYF6" s="577"/>
      <c r="IYG6" s="577"/>
      <c r="IYH6" s="577"/>
      <c r="IYI6" s="577"/>
      <c r="IYJ6" s="577"/>
      <c r="IYK6" s="577"/>
      <c r="IYL6" s="577"/>
      <c r="IYM6" s="577"/>
      <c r="IYN6" s="577"/>
      <c r="IYO6" s="577"/>
      <c r="IYP6" s="577"/>
      <c r="IYQ6" s="577"/>
      <c r="IYR6" s="577"/>
      <c r="IYS6" s="577"/>
      <c r="IYT6" s="577"/>
      <c r="IYU6" s="577"/>
      <c r="IYV6" s="577"/>
      <c r="IYW6" s="577"/>
      <c r="IYX6" s="577"/>
      <c r="IYY6" s="577"/>
      <c r="IYZ6" s="577"/>
      <c r="IZA6" s="577"/>
      <c r="IZB6" s="577"/>
      <c r="IZC6" s="577"/>
      <c r="IZD6" s="577"/>
      <c r="IZE6" s="577"/>
      <c r="IZF6" s="577"/>
      <c r="IZG6" s="577"/>
      <c r="IZH6" s="577"/>
      <c r="IZI6" s="577"/>
      <c r="IZJ6" s="577"/>
      <c r="IZK6" s="577"/>
      <c r="IZL6" s="577"/>
      <c r="IZM6" s="577"/>
      <c r="IZN6" s="577"/>
      <c r="IZO6" s="577"/>
      <c r="IZP6" s="577"/>
      <c r="IZQ6" s="577"/>
      <c r="IZR6" s="577"/>
      <c r="IZS6" s="577"/>
      <c r="IZT6" s="577"/>
      <c r="IZU6" s="577"/>
      <c r="IZV6" s="577"/>
      <c r="IZW6" s="577"/>
      <c r="IZX6" s="577"/>
      <c r="IZY6" s="577"/>
      <c r="IZZ6" s="577"/>
      <c r="JAA6" s="577"/>
      <c r="JAB6" s="577"/>
      <c r="JAC6" s="577"/>
      <c r="JAD6" s="577"/>
      <c r="JAE6" s="577"/>
      <c r="JAF6" s="577"/>
      <c r="JAG6" s="577"/>
      <c r="JAH6" s="577"/>
      <c r="JAI6" s="577"/>
      <c r="JAJ6" s="577"/>
      <c r="JAK6" s="577"/>
      <c r="JAL6" s="577"/>
      <c r="JAM6" s="577"/>
      <c r="JAN6" s="577"/>
      <c r="JAO6" s="577"/>
      <c r="JAP6" s="577"/>
      <c r="JAQ6" s="577"/>
      <c r="JAR6" s="577"/>
      <c r="JAS6" s="577"/>
      <c r="JAT6" s="577"/>
      <c r="JAU6" s="577"/>
      <c r="JAV6" s="577"/>
      <c r="JAW6" s="577"/>
      <c r="JAX6" s="577"/>
      <c r="JAY6" s="577"/>
      <c r="JAZ6" s="577"/>
      <c r="JBA6" s="577"/>
      <c r="JBB6" s="577"/>
      <c r="JBC6" s="577"/>
      <c r="JBD6" s="577"/>
      <c r="JBE6" s="577"/>
      <c r="JBF6" s="577"/>
      <c r="JBG6" s="577"/>
      <c r="JBH6" s="577"/>
      <c r="JBI6" s="577"/>
      <c r="JBJ6" s="577"/>
      <c r="JBK6" s="577"/>
      <c r="JBL6" s="577"/>
      <c r="JBM6" s="577"/>
      <c r="JBN6" s="577"/>
      <c r="JBO6" s="577"/>
      <c r="JBP6" s="577"/>
      <c r="JBQ6" s="577"/>
      <c r="JBR6" s="577"/>
      <c r="JBS6" s="577"/>
      <c r="JBT6" s="577"/>
      <c r="JBU6" s="577"/>
      <c r="JBV6" s="577"/>
      <c r="JBW6" s="577"/>
      <c r="JBX6" s="577"/>
      <c r="JBY6" s="577"/>
      <c r="JBZ6" s="577"/>
      <c r="JCA6" s="577"/>
      <c r="JCB6" s="577"/>
      <c r="JCC6" s="577"/>
      <c r="JCD6" s="577"/>
      <c r="JCE6" s="577"/>
      <c r="JCF6" s="577"/>
      <c r="JCG6" s="577"/>
      <c r="JCH6" s="577"/>
      <c r="JCI6" s="577"/>
      <c r="JCJ6" s="577"/>
      <c r="JCK6" s="577"/>
      <c r="JCL6" s="577"/>
      <c r="JCM6" s="577"/>
      <c r="JCN6" s="577"/>
      <c r="JCO6" s="577"/>
      <c r="JCP6" s="577"/>
      <c r="JCQ6" s="577"/>
      <c r="JCR6" s="577"/>
      <c r="JCS6" s="577"/>
      <c r="JCT6" s="577"/>
      <c r="JCU6" s="577"/>
      <c r="JCV6" s="577"/>
      <c r="JCW6" s="577"/>
      <c r="JCX6" s="577"/>
      <c r="JCY6" s="577"/>
      <c r="JCZ6" s="577"/>
      <c r="JDA6" s="577"/>
      <c r="JDB6" s="577"/>
      <c r="JDC6" s="577"/>
      <c r="JDD6" s="577"/>
      <c r="JDE6" s="577"/>
      <c r="JDF6" s="577"/>
      <c r="JDG6" s="577"/>
      <c r="JDH6" s="577"/>
      <c r="JDI6" s="577"/>
      <c r="JDJ6" s="577"/>
      <c r="JDK6" s="577"/>
      <c r="JDL6" s="577"/>
      <c r="JDM6" s="577"/>
      <c r="JDN6" s="577"/>
      <c r="JDO6" s="577"/>
      <c r="JDP6" s="577"/>
      <c r="JDQ6" s="577"/>
      <c r="JDR6" s="577"/>
      <c r="JDS6" s="577"/>
      <c r="JDT6" s="577"/>
      <c r="JDU6" s="577"/>
      <c r="JDV6" s="577"/>
      <c r="JDW6" s="577"/>
      <c r="JDX6" s="577"/>
      <c r="JDY6" s="577"/>
      <c r="JDZ6" s="577"/>
      <c r="JEA6" s="577"/>
      <c r="JEB6" s="577"/>
      <c r="JEC6" s="577"/>
      <c r="JED6" s="577"/>
      <c r="JEE6" s="577"/>
      <c r="JEF6" s="577"/>
      <c r="JEG6" s="577"/>
      <c r="JEH6" s="577"/>
      <c r="JEI6" s="577"/>
      <c r="JEJ6" s="577"/>
      <c r="JEK6" s="577"/>
      <c r="JEL6" s="577"/>
      <c r="JEM6" s="577"/>
      <c r="JEN6" s="577"/>
      <c r="JEO6" s="577"/>
      <c r="JEP6" s="577"/>
      <c r="JEQ6" s="577"/>
      <c r="JER6" s="577"/>
      <c r="JES6" s="577"/>
      <c r="JET6" s="577"/>
      <c r="JEU6" s="577"/>
      <c r="JEV6" s="577"/>
      <c r="JEW6" s="577"/>
      <c r="JEX6" s="577"/>
      <c r="JEY6" s="577"/>
      <c r="JEZ6" s="577"/>
      <c r="JFA6" s="577"/>
      <c r="JFB6" s="577"/>
      <c r="JFC6" s="577"/>
      <c r="JFD6" s="577"/>
      <c r="JFE6" s="577"/>
      <c r="JFF6" s="577"/>
      <c r="JFG6" s="577"/>
      <c r="JFH6" s="577"/>
      <c r="JFI6" s="577"/>
      <c r="JFJ6" s="577"/>
      <c r="JFK6" s="577"/>
      <c r="JFL6" s="577"/>
      <c r="JFM6" s="577"/>
      <c r="JFN6" s="577"/>
      <c r="JFO6" s="577"/>
      <c r="JFP6" s="577"/>
      <c r="JFQ6" s="577"/>
      <c r="JFR6" s="577"/>
      <c r="JFS6" s="577"/>
      <c r="JFT6" s="577"/>
      <c r="JFU6" s="577"/>
      <c r="JFV6" s="577"/>
      <c r="JFW6" s="577"/>
      <c r="JFX6" s="577"/>
      <c r="JFY6" s="577"/>
      <c r="JFZ6" s="577"/>
      <c r="JGA6" s="577"/>
      <c r="JGB6" s="577"/>
      <c r="JGC6" s="577"/>
      <c r="JGD6" s="577"/>
      <c r="JGE6" s="577"/>
      <c r="JGF6" s="577"/>
      <c r="JGG6" s="577"/>
      <c r="JGH6" s="577"/>
      <c r="JGI6" s="577"/>
      <c r="JGJ6" s="577"/>
      <c r="JGK6" s="577"/>
      <c r="JGL6" s="577"/>
      <c r="JGM6" s="577"/>
      <c r="JGN6" s="577"/>
      <c r="JGO6" s="577"/>
      <c r="JGP6" s="577"/>
      <c r="JGQ6" s="577"/>
      <c r="JGR6" s="577"/>
      <c r="JGS6" s="577"/>
      <c r="JGT6" s="577"/>
      <c r="JGU6" s="577"/>
      <c r="JGV6" s="577"/>
      <c r="JGW6" s="577"/>
      <c r="JGX6" s="577"/>
      <c r="JGY6" s="577"/>
      <c r="JGZ6" s="577"/>
      <c r="JHA6" s="577"/>
      <c r="JHB6" s="577"/>
      <c r="JHC6" s="577"/>
      <c r="JHD6" s="577"/>
      <c r="JHE6" s="577"/>
      <c r="JHF6" s="577"/>
      <c r="JHG6" s="577"/>
      <c r="JHH6" s="577"/>
      <c r="JHI6" s="577"/>
      <c r="JHJ6" s="577"/>
      <c r="JHK6" s="577"/>
      <c r="JHL6" s="577"/>
      <c r="JHM6" s="577"/>
      <c r="JHN6" s="577"/>
      <c r="JHO6" s="577"/>
      <c r="JHP6" s="577"/>
      <c r="JHQ6" s="577"/>
      <c r="JHR6" s="577"/>
      <c r="JHS6" s="577"/>
      <c r="JHT6" s="577"/>
      <c r="JHU6" s="577"/>
      <c r="JHV6" s="577"/>
      <c r="JHW6" s="577"/>
      <c r="JHX6" s="577"/>
      <c r="JHY6" s="577"/>
      <c r="JHZ6" s="577"/>
      <c r="JIA6" s="577"/>
      <c r="JIB6" s="577"/>
      <c r="JIC6" s="577"/>
      <c r="JID6" s="577"/>
      <c r="JIE6" s="577"/>
      <c r="JIF6" s="577"/>
      <c r="JIG6" s="577"/>
      <c r="JIH6" s="577"/>
      <c r="JII6" s="577"/>
      <c r="JIJ6" s="577"/>
      <c r="JIK6" s="577"/>
      <c r="JIL6" s="577"/>
      <c r="JIM6" s="577"/>
      <c r="JIN6" s="577"/>
      <c r="JIO6" s="577"/>
      <c r="JIP6" s="577"/>
      <c r="JIQ6" s="577"/>
      <c r="JIR6" s="577"/>
      <c r="JIS6" s="577"/>
      <c r="JIT6" s="577"/>
      <c r="JIU6" s="577"/>
      <c r="JIV6" s="577"/>
      <c r="JIW6" s="577"/>
      <c r="JIX6" s="577"/>
      <c r="JIY6" s="577"/>
      <c r="JIZ6" s="577"/>
      <c r="JJA6" s="577"/>
      <c r="JJB6" s="577"/>
      <c r="JJC6" s="577"/>
      <c r="JJD6" s="577"/>
      <c r="JJE6" s="577"/>
      <c r="JJF6" s="577"/>
      <c r="JJG6" s="577"/>
      <c r="JJH6" s="577"/>
      <c r="JJI6" s="577"/>
      <c r="JJJ6" s="577"/>
      <c r="JJK6" s="577"/>
      <c r="JJL6" s="577"/>
      <c r="JJM6" s="577"/>
      <c r="JJN6" s="577"/>
      <c r="JJO6" s="577"/>
      <c r="JJP6" s="577"/>
      <c r="JJQ6" s="577"/>
      <c r="JJR6" s="577"/>
      <c r="JJS6" s="577"/>
      <c r="JJT6" s="577"/>
      <c r="JJU6" s="577"/>
      <c r="JJV6" s="577"/>
      <c r="JJW6" s="577"/>
      <c r="JJX6" s="577"/>
      <c r="JJY6" s="577"/>
      <c r="JJZ6" s="577"/>
      <c r="JKA6" s="577"/>
      <c r="JKB6" s="577"/>
      <c r="JKC6" s="577"/>
      <c r="JKD6" s="577"/>
      <c r="JKE6" s="577"/>
      <c r="JKF6" s="577"/>
      <c r="JKG6" s="577"/>
      <c r="JKH6" s="577"/>
      <c r="JKI6" s="577"/>
      <c r="JKJ6" s="577"/>
      <c r="JKK6" s="577"/>
      <c r="JKL6" s="577"/>
      <c r="JKM6" s="577"/>
      <c r="JKN6" s="577"/>
      <c r="JKO6" s="577"/>
      <c r="JKP6" s="577"/>
      <c r="JKQ6" s="577"/>
      <c r="JKR6" s="577"/>
      <c r="JKS6" s="577"/>
      <c r="JKT6" s="577"/>
      <c r="JKU6" s="577"/>
      <c r="JKV6" s="577"/>
      <c r="JKW6" s="577"/>
      <c r="JKX6" s="577"/>
      <c r="JKY6" s="577"/>
      <c r="JKZ6" s="577"/>
      <c r="JLA6" s="577"/>
      <c r="JLB6" s="577"/>
      <c r="JLC6" s="577"/>
      <c r="JLD6" s="577"/>
      <c r="JLE6" s="577"/>
      <c r="JLF6" s="577"/>
      <c r="JLG6" s="577"/>
      <c r="JLH6" s="577"/>
      <c r="JLI6" s="577"/>
      <c r="JLJ6" s="577"/>
      <c r="JLK6" s="577"/>
      <c r="JLL6" s="577"/>
      <c r="JLM6" s="577"/>
      <c r="JLN6" s="577"/>
      <c r="JLO6" s="577"/>
      <c r="JLP6" s="577"/>
      <c r="JLQ6" s="577"/>
      <c r="JLR6" s="577"/>
      <c r="JLS6" s="577"/>
      <c r="JLT6" s="577"/>
      <c r="JLU6" s="577"/>
      <c r="JLV6" s="577"/>
      <c r="JLW6" s="577"/>
      <c r="JLX6" s="577"/>
      <c r="JLY6" s="577"/>
      <c r="JLZ6" s="577"/>
      <c r="JMA6" s="577"/>
      <c r="JMB6" s="577"/>
      <c r="JMC6" s="577"/>
      <c r="JMD6" s="577"/>
      <c r="JME6" s="577"/>
      <c r="JMF6" s="577"/>
      <c r="JMG6" s="577"/>
      <c r="JMH6" s="577"/>
      <c r="JMI6" s="577"/>
      <c r="JMJ6" s="577"/>
      <c r="JMK6" s="577"/>
      <c r="JML6" s="577"/>
      <c r="JMM6" s="577"/>
      <c r="JMN6" s="577"/>
      <c r="JMO6" s="577"/>
      <c r="JMP6" s="577"/>
      <c r="JMQ6" s="577"/>
      <c r="JMR6" s="577"/>
      <c r="JMS6" s="577"/>
      <c r="JMT6" s="577"/>
      <c r="JMU6" s="577"/>
      <c r="JMV6" s="577"/>
      <c r="JMW6" s="577"/>
      <c r="JMX6" s="577"/>
      <c r="JMY6" s="577"/>
      <c r="JMZ6" s="577"/>
      <c r="JNA6" s="577"/>
      <c r="JNB6" s="577"/>
      <c r="JNC6" s="577"/>
      <c r="JND6" s="577"/>
      <c r="JNE6" s="577"/>
      <c r="JNF6" s="577"/>
      <c r="JNG6" s="577"/>
      <c r="JNH6" s="577"/>
      <c r="JNI6" s="577"/>
      <c r="JNJ6" s="577"/>
      <c r="JNK6" s="577"/>
      <c r="JNL6" s="577"/>
      <c r="JNM6" s="577"/>
      <c r="JNN6" s="577"/>
      <c r="JNO6" s="577"/>
      <c r="JNP6" s="577"/>
      <c r="JNQ6" s="577"/>
      <c r="JNR6" s="577"/>
      <c r="JNS6" s="577"/>
      <c r="JNT6" s="577"/>
      <c r="JNU6" s="577"/>
      <c r="JNV6" s="577"/>
      <c r="JNW6" s="577"/>
      <c r="JNX6" s="577"/>
      <c r="JNY6" s="577"/>
      <c r="JNZ6" s="577"/>
      <c r="JOA6" s="577"/>
      <c r="JOB6" s="577"/>
      <c r="JOC6" s="577"/>
      <c r="JOD6" s="577"/>
      <c r="JOE6" s="577"/>
      <c r="JOF6" s="577"/>
      <c r="JOG6" s="577"/>
      <c r="JOH6" s="577"/>
      <c r="JOI6" s="577"/>
      <c r="JOJ6" s="577"/>
      <c r="JOK6" s="577"/>
      <c r="JOL6" s="577"/>
      <c r="JOM6" s="577"/>
      <c r="JON6" s="577"/>
      <c r="JOO6" s="577"/>
      <c r="JOP6" s="577"/>
      <c r="JOQ6" s="577"/>
      <c r="JOR6" s="577"/>
      <c r="JOS6" s="577"/>
      <c r="JOT6" s="577"/>
      <c r="JOU6" s="577"/>
      <c r="JOV6" s="577"/>
      <c r="JOW6" s="577"/>
      <c r="JOX6" s="577"/>
      <c r="JOY6" s="577"/>
      <c r="JOZ6" s="577"/>
      <c r="JPA6" s="577"/>
      <c r="JPB6" s="577"/>
      <c r="JPC6" s="577"/>
      <c r="JPD6" s="577"/>
      <c r="JPE6" s="577"/>
      <c r="JPF6" s="577"/>
      <c r="JPG6" s="577"/>
      <c r="JPH6" s="577"/>
      <c r="JPI6" s="577"/>
      <c r="JPJ6" s="577"/>
      <c r="JPK6" s="577"/>
      <c r="JPL6" s="577"/>
      <c r="JPM6" s="577"/>
      <c r="JPN6" s="577"/>
      <c r="JPO6" s="577"/>
      <c r="JPP6" s="577"/>
      <c r="JPQ6" s="577"/>
      <c r="JPR6" s="577"/>
      <c r="JPS6" s="577"/>
      <c r="JPT6" s="577"/>
      <c r="JPU6" s="577"/>
      <c r="JPV6" s="577"/>
      <c r="JPW6" s="577"/>
      <c r="JPX6" s="577"/>
      <c r="JPY6" s="577"/>
      <c r="JPZ6" s="577"/>
      <c r="JQA6" s="577"/>
      <c r="JQB6" s="577"/>
      <c r="JQC6" s="577"/>
      <c r="JQD6" s="577"/>
      <c r="JQE6" s="577"/>
      <c r="JQF6" s="577"/>
      <c r="JQG6" s="577"/>
      <c r="JQH6" s="577"/>
      <c r="JQI6" s="577"/>
      <c r="JQJ6" s="577"/>
      <c r="JQK6" s="577"/>
      <c r="JQL6" s="577"/>
      <c r="JQM6" s="577"/>
      <c r="JQN6" s="577"/>
      <c r="JQO6" s="577"/>
      <c r="JQP6" s="577"/>
      <c r="JQQ6" s="577"/>
      <c r="JQR6" s="577"/>
      <c r="JQS6" s="577"/>
      <c r="JQT6" s="577"/>
      <c r="JQU6" s="577"/>
      <c r="JQV6" s="577"/>
      <c r="JQW6" s="577"/>
      <c r="JQX6" s="577"/>
      <c r="JQY6" s="577"/>
      <c r="JQZ6" s="577"/>
      <c r="JRA6" s="577"/>
      <c r="JRB6" s="577"/>
      <c r="JRC6" s="577"/>
      <c r="JRD6" s="577"/>
      <c r="JRE6" s="577"/>
      <c r="JRF6" s="577"/>
      <c r="JRG6" s="577"/>
      <c r="JRH6" s="577"/>
      <c r="JRI6" s="577"/>
      <c r="JRJ6" s="577"/>
      <c r="JRK6" s="577"/>
      <c r="JRL6" s="577"/>
      <c r="JRM6" s="577"/>
      <c r="JRN6" s="577"/>
      <c r="JRO6" s="577"/>
      <c r="JRP6" s="577"/>
      <c r="JRQ6" s="577"/>
      <c r="JRR6" s="577"/>
      <c r="JRS6" s="577"/>
      <c r="JRT6" s="577"/>
      <c r="JRU6" s="577"/>
      <c r="JRV6" s="577"/>
      <c r="JRW6" s="577"/>
      <c r="JRX6" s="577"/>
      <c r="JRY6" s="577"/>
      <c r="JRZ6" s="577"/>
      <c r="JSA6" s="577"/>
      <c r="JSB6" s="577"/>
      <c r="JSC6" s="577"/>
      <c r="JSD6" s="577"/>
      <c r="JSE6" s="577"/>
      <c r="JSF6" s="577"/>
      <c r="JSG6" s="577"/>
      <c r="JSH6" s="577"/>
      <c r="JSI6" s="577"/>
      <c r="JSJ6" s="577"/>
      <c r="JSK6" s="577"/>
      <c r="JSL6" s="577"/>
      <c r="JSM6" s="577"/>
      <c r="JSN6" s="577"/>
      <c r="JSO6" s="577"/>
      <c r="JSP6" s="577"/>
      <c r="JSQ6" s="577"/>
      <c r="JSR6" s="577"/>
      <c r="JSS6" s="577"/>
      <c r="JST6" s="577"/>
      <c r="JSU6" s="577"/>
      <c r="JSV6" s="577"/>
      <c r="JSW6" s="577"/>
      <c r="JSX6" s="577"/>
      <c r="JSY6" s="577"/>
      <c r="JSZ6" s="577"/>
      <c r="JTA6" s="577"/>
      <c r="JTB6" s="577"/>
      <c r="JTC6" s="577"/>
      <c r="JTD6" s="577"/>
      <c r="JTE6" s="577"/>
      <c r="JTF6" s="577"/>
      <c r="JTG6" s="577"/>
      <c r="JTH6" s="577"/>
      <c r="JTI6" s="577"/>
      <c r="JTJ6" s="577"/>
      <c r="JTK6" s="577"/>
      <c r="JTL6" s="577"/>
      <c r="JTM6" s="577"/>
      <c r="JTN6" s="577"/>
      <c r="JTO6" s="577"/>
      <c r="JTP6" s="577"/>
      <c r="JTQ6" s="577"/>
      <c r="JTR6" s="577"/>
      <c r="JTS6" s="577"/>
      <c r="JTT6" s="577"/>
      <c r="JTU6" s="577"/>
      <c r="JTV6" s="577"/>
      <c r="JTW6" s="577"/>
      <c r="JTX6" s="577"/>
      <c r="JTY6" s="577"/>
      <c r="JTZ6" s="577"/>
      <c r="JUA6" s="577"/>
      <c r="JUB6" s="577"/>
      <c r="JUC6" s="577"/>
      <c r="JUD6" s="577"/>
      <c r="JUE6" s="577"/>
      <c r="JUF6" s="577"/>
      <c r="JUG6" s="577"/>
      <c r="JUH6" s="577"/>
      <c r="JUI6" s="577"/>
      <c r="JUJ6" s="577"/>
      <c r="JUK6" s="577"/>
      <c r="JUL6" s="577"/>
      <c r="JUM6" s="577"/>
      <c r="JUN6" s="577"/>
      <c r="JUO6" s="577"/>
      <c r="JUP6" s="577"/>
      <c r="JUQ6" s="577"/>
      <c r="JUR6" s="577"/>
      <c r="JUS6" s="577"/>
      <c r="JUT6" s="577"/>
      <c r="JUU6" s="577"/>
      <c r="JUV6" s="577"/>
      <c r="JUW6" s="577"/>
      <c r="JUX6" s="577"/>
      <c r="JUY6" s="577"/>
      <c r="JUZ6" s="577"/>
      <c r="JVA6" s="577"/>
      <c r="JVB6" s="577"/>
      <c r="JVC6" s="577"/>
      <c r="JVD6" s="577"/>
      <c r="JVE6" s="577"/>
      <c r="JVF6" s="577"/>
      <c r="JVG6" s="577"/>
      <c r="JVH6" s="577"/>
      <c r="JVI6" s="577"/>
      <c r="JVJ6" s="577"/>
      <c r="JVK6" s="577"/>
      <c r="JVL6" s="577"/>
      <c r="JVM6" s="577"/>
      <c r="JVN6" s="577"/>
      <c r="JVO6" s="577"/>
      <c r="JVP6" s="577"/>
      <c r="JVQ6" s="577"/>
      <c r="JVR6" s="577"/>
      <c r="JVS6" s="577"/>
      <c r="JVT6" s="577"/>
      <c r="JVU6" s="577"/>
      <c r="JVV6" s="577"/>
      <c r="JVW6" s="577"/>
      <c r="JVX6" s="577"/>
      <c r="JVY6" s="577"/>
      <c r="JVZ6" s="577"/>
      <c r="JWA6" s="577"/>
      <c r="JWB6" s="577"/>
      <c r="JWC6" s="577"/>
      <c r="JWD6" s="577"/>
      <c r="JWE6" s="577"/>
      <c r="JWF6" s="577"/>
      <c r="JWG6" s="577"/>
      <c r="JWH6" s="577"/>
      <c r="JWI6" s="577"/>
      <c r="JWJ6" s="577"/>
      <c r="JWK6" s="577"/>
      <c r="JWL6" s="577"/>
      <c r="JWM6" s="577"/>
      <c r="JWN6" s="577"/>
      <c r="JWO6" s="577"/>
      <c r="JWP6" s="577"/>
      <c r="JWQ6" s="577"/>
      <c r="JWR6" s="577"/>
      <c r="JWS6" s="577"/>
      <c r="JWT6" s="577"/>
      <c r="JWU6" s="577"/>
      <c r="JWV6" s="577"/>
      <c r="JWW6" s="577"/>
      <c r="JWX6" s="577"/>
      <c r="JWY6" s="577"/>
      <c r="JWZ6" s="577"/>
      <c r="JXA6" s="577"/>
      <c r="JXB6" s="577"/>
      <c r="JXC6" s="577"/>
      <c r="JXD6" s="577"/>
      <c r="JXE6" s="577"/>
      <c r="JXF6" s="577"/>
      <c r="JXG6" s="577"/>
      <c r="JXH6" s="577"/>
      <c r="JXI6" s="577"/>
      <c r="JXJ6" s="577"/>
      <c r="JXK6" s="577"/>
      <c r="JXL6" s="577"/>
      <c r="JXM6" s="577"/>
      <c r="JXN6" s="577"/>
      <c r="JXO6" s="577"/>
      <c r="JXP6" s="577"/>
      <c r="JXQ6" s="577"/>
      <c r="JXR6" s="577"/>
      <c r="JXS6" s="577"/>
      <c r="JXT6" s="577"/>
      <c r="JXU6" s="577"/>
      <c r="JXV6" s="577"/>
      <c r="JXW6" s="577"/>
      <c r="JXX6" s="577"/>
      <c r="JXY6" s="577"/>
      <c r="JXZ6" s="577"/>
      <c r="JYA6" s="577"/>
      <c r="JYB6" s="577"/>
      <c r="JYC6" s="577"/>
      <c r="JYD6" s="577"/>
      <c r="JYE6" s="577"/>
      <c r="JYF6" s="577"/>
      <c r="JYG6" s="577"/>
      <c r="JYH6" s="577"/>
      <c r="JYI6" s="577"/>
      <c r="JYJ6" s="577"/>
      <c r="JYK6" s="577"/>
      <c r="JYL6" s="577"/>
      <c r="JYM6" s="577"/>
      <c r="JYN6" s="577"/>
      <c r="JYO6" s="577"/>
      <c r="JYP6" s="577"/>
      <c r="JYQ6" s="577"/>
      <c r="JYR6" s="577"/>
      <c r="JYS6" s="577"/>
      <c r="JYT6" s="577"/>
      <c r="JYU6" s="577"/>
      <c r="JYV6" s="577"/>
      <c r="JYW6" s="577"/>
      <c r="JYX6" s="577"/>
      <c r="JYY6" s="577"/>
      <c r="JYZ6" s="577"/>
      <c r="JZA6" s="577"/>
      <c r="JZB6" s="577"/>
      <c r="JZC6" s="577"/>
      <c r="JZD6" s="577"/>
      <c r="JZE6" s="577"/>
      <c r="JZF6" s="577"/>
      <c r="JZG6" s="577"/>
      <c r="JZH6" s="577"/>
      <c r="JZI6" s="577"/>
      <c r="JZJ6" s="577"/>
      <c r="JZK6" s="577"/>
      <c r="JZL6" s="577"/>
      <c r="JZM6" s="577"/>
      <c r="JZN6" s="577"/>
      <c r="JZO6" s="577"/>
      <c r="JZP6" s="577"/>
      <c r="JZQ6" s="577"/>
      <c r="JZR6" s="577"/>
      <c r="JZS6" s="577"/>
      <c r="JZT6" s="577"/>
      <c r="JZU6" s="577"/>
      <c r="JZV6" s="577"/>
      <c r="JZW6" s="577"/>
      <c r="JZX6" s="577"/>
      <c r="JZY6" s="577"/>
      <c r="JZZ6" s="577"/>
      <c r="KAA6" s="577"/>
      <c r="KAB6" s="577"/>
      <c r="KAC6" s="577"/>
      <c r="KAD6" s="577"/>
      <c r="KAE6" s="577"/>
      <c r="KAF6" s="577"/>
      <c r="KAG6" s="577"/>
      <c r="KAH6" s="577"/>
      <c r="KAI6" s="577"/>
      <c r="KAJ6" s="577"/>
      <c r="KAK6" s="577"/>
      <c r="KAL6" s="577"/>
      <c r="KAM6" s="577"/>
      <c r="KAN6" s="577"/>
      <c r="KAO6" s="577"/>
      <c r="KAP6" s="577"/>
      <c r="KAQ6" s="577"/>
      <c r="KAR6" s="577"/>
      <c r="KAS6" s="577"/>
      <c r="KAT6" s="577"/>
      <c r="KAU6" s="577"/>
      <c r="KAV6" s="577"/>
      <c r="KAW6" s="577"/>
      <c r="KAX6" s="577"/>
      <c r="KAY6" s="577"/>
      <c r="KAZ6" s="577"/>
      <c r="KBA6" s="577"/>
      <c r="KBB6" s="577"/>
      <c r="KBC6" s="577"/>
      <c r="KBD6" s="577"/>
      <c r="KBE6" s="577"/>
      <c r="KBF6" s="577"/>
      <c r="KBG6" s="577"/>
      <c r="KBH6" s="577"/>
      <c r="KBI6" s="577"/>
      <c r="KBJ6" s="577"/>
      <c r="KBK6" s="577"/>
      <c r="KBL6" s="577"/>
      <c r="KBM6" s="577"/>
      <c r="KBN6" s="577"/>
      <c r="KBO6" s="577"/>
      <c r="KBP6" s="577"/>
      <c r="KBQ6" s="577"/>
      <c r="KBR6" s="577"/>
      <c r="KBS6" s="577"/>
      <c r="KBT6" s="577"/>
      <c r="KBU6" s="577"/>
      <c r="KBV6" s="577"/>
      <c r="KBW6" s="577"/>
      <c r="KBX6" s="577"/>
      <c r="KBY6" s="577"/>
      <c r="KBZ6" s="577"/>
      <c r="KCA6" s="577"/>
      <c r="KCB6" s="577"/>
      <c r="KCC6" s="577"/>
      <c r="KCD6" s="577"/>
      <c r="KCE6" s="577"/>
      <c r="KCF6" s="577"/>
      <c r="KCG6" s="577"/>
      <c r="KCH6" s="577"/>
      <c r="KCI6" s="577"/>
      <c r="KCJ6" s="577"/>
      <c r="KCK6" s="577"/>
      <c r="KCL6" s="577"/>
      <c r="KCM6" s="577"/>
      <c r="KCN6" s="577"/>
      <c r="KCO6" s="577"/>
      <c r="KCP6" s="577"/>
      <c r="KCQ6" s="577"/>
      <c r="KCR6" s="577"/>
      <c r="KCS6" s="577"/>
      <c r="KCT6" s="577"/>
      <c r="KCU6" s="577"/>
      <c r="KCV6" s="577"/>
      <c r="KCW6" s="577"/>
      <c r="KCX6" s="577"/>
      <c r="KCY6" s="577"/>
      <c r="KCZ6" s="577"/>
      <c r="KDA6" s="577"/>
      <c r="KDB6" s="577"/>
      <c r="KDC6" s="577"/>
      <c r="KDD6" s="577"/>
      <c r="KDE6" s="577"/>
      <c r="KDF6" s="577"/>
      <c r="KDG6" s="577"/>
      <c r="KDH6" s="577"/>
      <c r="KDI6" s="577"/>
      <c r="KDJ6" s="577"/>
      <c r="KDK6" s="577"/>
      <c r="KDL6" s="577"/>
      <c r="KDM6" s="577"/>
      <c r="KDN6" s="577"/>
      <c r="KDO6" s="577"/>
      <c r="KDP6" s="577"/>
      <c r="KDQ6" s="577"/>
      <c r="KDR6" s="577"/>
      <c r="KDS6" s="577"/>
      <c r="KDT6" s="577"/>
      <c r="KDU6" s="577"/>
      <c r="KDV6" s="577"/>
      <c r="KDW6" s="577"/>
      <c r="KDX6" s="577"/>
      <c r="KDY6" s="577"/>
      <c r="KDZ6" s="577"/>
      <c r="KEA6" s="577"/>
      <c r="KEB6" s="577"/>
      <c r="KEC6" s="577"/>
      <c r="KED6" s="577"/>
      <c r="KEE6" s="577"/>
      <c r="KEF6" s="577"/>
      <c r="KEG6" s="577"/>
      <c r="KEH6" s="577"/>
      <c r="KEI6" s="577"/>
      <c r="KEJ6" s="577"/>
      <c r="KEK6" s="577"/>
      <c r="KEL6" s="577"/>
      <c r="KEM6" s="577"/>
      <c r="KEN6" s="577"/>
      <c r="KEO6" s="577"/>
      <c r="KEP6" s="577"/>
      <c r="KEQ6" s="577"/>
      <c r="KER6" s="577"/>
      <c r="KES6" s="577"/>
      <c r="KET6" s="577"/>
      <c r="KEU6" s="577"/>
      <c r="KEV6" s="577"/>
      <c r="KEW6" s="577"/>
      <c r="KEX6" s="577"/>
      <c r="KEY6" s="577"/>
      <c r="KEZ6" s="577"/>
      <c r="KFA6" s="577"/>
      <c r="KFB6" s="577"/>
      <c r="KFC6" s="577"/>
      <c r="KFD6" s="577"/>
      <c r="KFE6" s="577"/>
      <c r="KFF6" s="577"/>
      <c r="KFG6" s="577"/>
      <c r="KFH6" s="577"/>
      <c r="KFI6" s="577"/>
      <c r="KFJ6" s="577"/>
      <c r="KFK6" s="577"/>
      <c r="KFL6" s="577"/>
      <c r="KFM6" s="577"/>
      <c r="KFN6" s="577"/>
      <c r="KFO6" s="577"/>
      <c r="KFP6" s="577"/>
      <c r="KFQ6" s="577"/>
      <c r="KFR6" s="577"/>
      <c r="KFS6" s="577"/>
      <c r="KFT6" s="577"/>
      <c r="KFU6" s="577"/>
      <c r="KFV6" s="577"/>
      <c r="KFW6" s="577"/>
      <c r="KFX6" s="577"/>
      <c r="KFY6" s="577"/>
      <c r="KFZ6" s="577"/>
      <c r="KGA6" s="577"/>
      <c r="KGB6" s="577"/>
      <c r="KGC6" s="577"/>
      <c r="KGD6" s="577"/>
      <c r="KGE6" s="577"/>
      <c r="KGF6" s="577"/>
      <c r="KGG6" s="577"/>
      <c r="KGH6" s="577"/>
      <c r="KGI6" s="577"/>
      <c r="KGJ6" s="577"/>
      <c r="KGK6" s="577"/>
      <c r="KGL6" s="577"/>
      <c r="KGM6" s="577"/>
      <c r="KGN6" s="577"/>
      <c r="KGO6" s="577"/>
      <c r="KGP6" s="577"/>
      <c r="KGQ6" s="577"/>
      <c r="KGR6" s="577"/>
      <c r="KGS6" s="577"/>
      <c r="KGT6" s="577"/>
      <c r="KGU6" s="577"/>
      <c r="KGV6" s="577"/>
      <c r="KGW6" s="577"/>
      <c r="KGX6" s="577"/>
      <c r="KGY6" s="577"/>
      <c r="KGZ6" s="577"/>
      <c r="KHA6" s="577"/>
      <c r="KHB6" s="577"/>
      <c r="KHC6" s="577"/>
      <c r="KHD6" s="577"/>
      <c r="KHE6" s="577"/>
      <c r="KHF6" s="577"/>
      <c r="KHG6" s="577"/>
      <c r="KHH6" s="577"/>
      <c r="KHI6" s="577"/>
      <c r="KHJ6" s="577"/>
      <c r="KHK6" s="577"/>
      <c r="KHL6" s="577"/>
      <c r="KHM6" s="577"/>
      <c r="KHN6" s="577"/>
      <c r="KHO6" s="577"/>
      <c r="KHP6" s="577"/>
      <c r="KHQ6" s="577"/>
      <c r="KHR6" s="577"/>
      <c r="KHS6" s="577"/>
      <c r="KHT6" s="577"/>
      <c r="KHU6" s="577"/>
      <c r="KHV6" s="577"/>
      <c r="KHW6" s="577"/>
      <c r="KHX6" s="577"/>
      <c r="KHY6" s="577"/>
      <c r="KHZ6" s="577"/>
      <c r="KIA6" s="577"/>
      <c r="KIB6" s="577"/>
      <c r="KIC6" s="577"/>
      <c r="KID6" s="577"/>
      <c r="KIE6" s="577"/>
      <c r="KIF6" s="577"/>
      <c r="KIG6" s="577"/>
      <c r="KIH6" s="577"/>
      <c r="KII6" s="577"/>
      <c r="KIJ6" s="577"/>
      <c r="KIK6" s="577"/>
      <c r="KIL6" s="577"/>
      <c r="KIM6" s="577"/>
      <c r="KIN6" s="577"/>
      <c r="KIO6" s="577"/>
      <c r="KIP6" s="577"/>
      <c r="KIQ6" s="577"/>
      <c r="KIR6" s="577"/>
      <c r="KIS6" s="577"/>
      <c r="KIT6" s="577"/>
      <c r="KIU6" s="577"/>
      <c r="KIV6" s="577"/>
      <c r="KIW6" s="577"/>
      <c r="KIX6" s="577"/>
      <c r="KIY6" s="577"/>
      <c r="KIZ6" s="577"/>
      <c r="KJA6" s="577"/>
      <c r="KJB6" s="577"/>
      <c r="KJC6" s="577"/>
      <c r="KJD6" s="577"/>
      <c r="KJE6" s="577"/>
      <c r="KJF6" s="577"/>
      <c r="KJG6" s="577"/>
      <c r="KJH6" s="577"/>
      <c r="KJI6" s="577"/>
      <c r="KJJ6" s="577"/>
      <c r="KJK6" s="577"/>
      <c r="KJL6" s="577"/>
      <c r="KJM6" s="577"/>
      <c r="KJN6" s="577"/>
      <c r="KJO6" s="577"/>
      <c r="KJP6" s="577"/>
      <c r="KJQ6" s="577"/>
      <c r="KJR6" s="577"/>
      <c r="KJS6" s="577"/>
      <c r="KJT6" s="577"/>
      <c r="KJU6" s="577"/>
      <c r="KJV6" s="577"/>
      <c r="KJW6" s="577"/>
      <c r="KJX6" s="577"/>
      <c r="KJY6" s="577"/>
      <c r="KJZ6" s="577"/>
      <c r="KKA6" s="577"/>
      <c r="KKB6" s="577"/>
      <c r="KKC6" s="577"/>
      <c r="KKD6" s="577"/>
      <c r="KKE6" s="577"/>
      <c r="KKF6" s="577"/>
      <c r="KKG6" s="577"/>
      <c r="KKH6" s="577"/>
      <c r="KKI6" s="577"/>
      <c r="KKJ6" s="577"/>
      <c r="KKK6" s="577"/>
      <c r="KKL6" s="577"/>
      <c r="KKM6" s="577"/>
      <c r="KKN6" s="577"/>
      <c r="KKO6" s="577"/>
      <c r="KKP6" s="577"/>
      <c r="KKQ6" s="577"/>
      <c r="KKR6" s="577"/>
      <c r="KKS6" s="577"/>
      <c r="KKT6" s="577"/>
      <c r="KKU6" s="577"/>
      <c r="KKV6" s="577"/>
      <c r="KKW6" s="577"/>
      <c r="KKX6" s="577"/>
      <c r="KKY6" s="577"/>
      <c r="KKZ6" s="577"/>
      <c r="KLA6" s="577"/>
      <c r="KLB6" s="577"/>
      <c r="KLC6" s="577"/>
      <c r="KLD6" s="577"/>
      <c r="KLE6" s="577"/>
      <c r="KLF6" s="577"/>
      <c r="KLG6" s="577"/>
      <c r="KLH6" s="577"/>
      <c r="KLI6" s="577"/>
      <c r="KLJ6" s="577"/>
      <c r="KLK6" s="577"/>
      <c r="KLL6" s="577"/>
      <c r="KLM6" s="577"/>
      <c r="KLN6" s="577"/>
      <c r="KLO6" s="577"/>
      <c r="KLP6" s="577"/>
      <c r="KLQ6" s="577"/>
      <c r="KLR6" s="577"/>
      <c r="KLS6" s="577"/>
      <c r="KLT6" s="577"/>
      <c r="KLU6" s="577"/>
      <c r="KLV6" s="577"/>
      <c r="KLW6" s="577"/>
      <c r="KLX6" s="577"/>
      <c r="KLY6" s="577"/>
      <c r="KLZ6" s="577"/>
      <c r="KMA6" s="577"/>
      <c r="KMB6" s="577"/>
      <c r="KMC6" s="577"/>
      <c r="KMD6" s="577"/>
      <c r="KME6" s="577"/>
      <c r="KMF6" s="577"/>
      <c r="KMG6" s="577"/>
      <c r="KMH6" s="577"/>
      <c r="KMI6" s="577"/>
      <c r="KMJ6" s="577"/>
      <c r="KMK6" s="577"/>
      <c r="KML6" s="577"/>
      <c r="KMM6" s="577"/>
      <c r="KMN6" s="577"/>
      <c r="KMO6" s="577"/>
      <c r="KMP6" s="577"/>
      <c r="KMQ6" s="577"/>
      <c r="KMR6" s="577"/>
      <c r="KMS6" s="577"/>
      <c r="KMT6" s="577"/>
      <c r="KMU6" s="577"/>
      <c r="KMV6" s="577"/>
      <c r="KMW6" s="577"/>
      <c r="KMX6" s="577"/>
      <c r="KMY6" s="577"/>
      <c r="KMZ6" s="577"/>
      <c r="KNA6" s="577"/>
      <c r="KNB6" s="577"/>
      <c r="KNC6" s="577"/>
      <c r="KND6" s="577"/>
      <c r="KNE6" s="577"/>
      <c r="KNF6" s="577"/>
      <c r="KNG6" s="577"/>
      <c r="KNH6" s="577"/>
      <c r="KNI6" s="577"/>
      <c r="KNJ6" s="577"/>
      <c r="KNK6" s="577"/>
      <c r="KNL6" s="577"/>
      <c r="KNM6" s="577"/>
      <c r="KNN6" s="577"/>
      <c r="KNO6" s="577"/>
      <c r="KNP6" s="577"/>
      <c r="KNQ6" s="577"/>
      <c r="KNR6" s="577"/>
      <c r="KNS6" s="577"/>
      <c r="KNT6" s="577"/>
      <c r="KNU6" s="577"/>
      <c r="KNV6" s="577"/>
      <c r="KNW6" s="577"/>
      <c r="KNX6" s="577"/>
      <c r="KNY6" s="577"/>
      <c r="KNZ6" s="577"/>
      <c r="KOA6" s="577"/>
      <c r="KOB6" s="577"/>
      <c r="KOC6" s="577"/>
      <c r="KOD6" s="577"/>
      <c r="KOE6" s="577"/>
      <c r="KOF6" s="577"/>
      <c r="KOG6" s="577"/>
      <c r="KOH6" s="577"/>
      <c r="KOI6" s="577"/>
      <c r="KOJ6" s="577"/>
      <c r="KOK6" s="577"/>
      <c r="KOL6" s="577"/>
      <c r="KOM6" s="577"/>
      <c r="KON6" s="577"/>
      <c r="KOO6" s="577"/>
      <c r="KOP6" s="577"/>
      <c r="KOQ6" s="577"/>
      <c r="KOR6" s="577"/>
      <c r="KOS6" s="577"/>
      <c r="KOT6" s="577"/>
      <c r="KOU6" s="577"/>
      <c r="KOV6" s="577"/>
      <c r="KOW6" s="577"/>
      <c r="KOX6" s="577"/>
      <c r="KOY6" s="577"/>
      <c r="KOZ6" s="577"/>
      <c r="KPA6" s="577"/>
      <c r="KPB6" s="577"/>
      <c r="KPC6" s="577"/>
      <c r="KPD6" s="577"/>
      <c r="KPE6" s="577"/>
      <c r="KPF6" s="577"/>
      <c r="KPG6" s="577"/>
      <c r="KPH6" s="577"/>
      <c r="KPI6" s="577"/>
      <c r="KPJ6" s="577"/>
      <c r="KPK6" s="577"/>
      <c r="KPL6" s="577"/>
      <c r="KPM6" s="577"/>
      <c r="KPN6" s="577"/>
      <c r="KPO6" s="577"/>
      <c r="KPP6" s="577"/>
      <c r="KPQ6" s="577"/>
      <c r="KPR6" s="577"/>
      <c r="KPS6" s="577"/>
      <c r="KPT6" s="577"/>
      <c r="KPU6" s="577"/>
      <c r="KPV6" s="577"/>
      <c r="KPW6" s="577"/>
      <c r="KPX6" s="577"/>
      <c r="KPY6" s="577"/>
      <c r="KPZ6" s="577"/>
      <c r="KQA6" s="577"/>
      <c r="KQB6" s="577"/>
      <c r="KQC6" s="577"/>
      <c r="KQD6" s="577"/>
      <c r="KQE6" s="577"/>
      <c r="KQF6" s="577"/>
      <c r="KQG6" s="577"/>
      <c r="KQH6" s="577"/>
      <c r="KQI6" s="577"/>
      <c r="KQJ6" s="577"/>
      <c r="KQK6" s="577"/>
      <c r="KQL6" s="577"/>
      <c r="KQM6" s="577"/>
      <c r="KQN6" s="577"/>
      <c r="KQO6" s="577"/>
      <c r="KQP6" s="577"/>
      <c r="KQQ6" s="577"/>
      <c r="KQR6" s="577"/>
      <c r="KQS6" s="577"/>
      <c r="KQT6" s="577"/>
      <c r="KQU6" s="577"/>
      <c r="KQV6" s="577"/>
      <c r="KQW6" s="577"/>
      <c r="KQX6" s="577"/>
      <c r="KQY6" s="577"/>
      <c r="KQZ6" s="577"/>
      <c r="KRA6" s="577"/>
      <c r="KRB6" s="577"/>
      <c r="KRC6" s="577"/>
      <c r="KRD6" s="577"/>
      <c r="KRE6" s="577"/>
      <c r="KRF6" s="577"/>
      <c r="KRG6" s="577"/>
      <c r="KRH6" s="577"/>
      <c r="KRI6" s="577"/>
      <c r="KRJ6" s="577"/>
      <c r="KRK6" s="577"/>
      <c r="KRL6" s="577"/>
      <c r="KRM6" s="577"/>
      <c r="KRN6" s="577"/>
      <c r="KRO6" s="577"/>
      <c r="KRP6" s="577"/>
      <c r="KRQ6" s="577"/>
      <c r="KRR6" s="577"/>
      <c r="KRS6" s="577"/>
      <c r="KRT6" s="577"/>
      <c r="KRU6" s="577"/>
      <c r="KRV6" s="577"/>
      <c r="KRW6" s="577"/>
      <c r="KRX6" s="577"/>
      <c r="KRY6" s="577"/>
      <c r="KRZ6" s="577"/>
      <c r="KSA6" s="577"/>
      <c r="KSB6" s="577"/>
      <c r="KSC6" s="577"/>
      <c r="KSD6" s="577"/>
      <c r="KSE6" s="577"/>
      <c r="KSF6" s="577"/>
      <c r="KSG6" s="577"/>
      <c r="KSH6" s="577"/>
      <c r="KSI6" s="577"/>
      <c r="KSJ6" s="577"/>
      <c r="KSK6" s="577"/>
      <c r="KSL6" s="577"/>
      <c r="KSM6" s="577"/>
      <c r="KSN6" s="577"/>
      <c r="KSO6" s="577"/>
      <c r="KSP6" s="577"/>
      <c r="KSQ6" s="577"/>
      <c r="KSR6" s="577"/>
      <c r="KSS6" s="577"/>
      <c r="KST6" s="577"/>
      <c r="KSU6" s="577"/>
      <c r="KSV6" s="577"/>
      <c r="KSW6" s="577"/>
      <c r="KSX6" s="577"/>
      <c r="KSY6" s="577"/>
      <c r="KSZ6" s="577"/>
      <c r="KTA6" s="577"/>
      <c r="KTB6" s="577"/>
      <c r="KTC6" s="577"/>
      <c r="KTD6" s="577"/>
      <c r="KTE6" s="577"/>
      <c r="KTF6" s="577"/>
      <c r="KTG6" s="577"/>
      <c r="KTH6" s="577"/>
      <c r="KTI6" s="577"/>
      <c r="KTJ6" s="577"/>
      <c r="KTK6" s="577"/>
      <c r="KTL6" s="577"/>
      <c r="KTM6" s="577"/>
      <c r="KTN6" s="577"/>
      <c r="KTO6" s="577"/>
      <c r="KTP6" s="577"/>
      <c r="KTQ6" s="577"/>
      <c r="KTR6" s="577"/>
      <c r="KTS6" s="577"/>
      <c r="KTT6" s="577"/>
      <c r="KTU6" s="577"/>
      <c r="KTV6" s="577"/>
      <c r="KTW6" s="577"/>
      <c r="KTX6" s="577"/>
      <c r="KTY6" s="577"/>
      <c r="KTZ6" s="577"/>
      <c r="KUA6" s="577"/>
      <c r="KUB6" s="577"/>
      <c r="KUC6" s="577"/>
      <c r="KUD6" s="577"/>
      <c r="KUE6" s="577"/>
      <c r="KUF6" s="577"/>
      <c r="KUG6" s="577"/>
      <c r="KUH6" s="577"/>
      <c r="KUI6" s="577"/>
      <c r="KUJ6" s="577"/>
      <c r="KUK6" s="577"/>
      <c r="KUL6" s="577"/>
      <c r="KUM6" s="577"/>
      <c r="KUN6" s="577"/>
      <c r="KUO6" s="577"/>
      <c r="KUP6" s="577"/>
      <c r="KUQ6" s="577"/>
      <c r="KUR6" s="577"/>
      <c r="KUS6" s="577"/>
      <c r="KUT6" s="577"/>
      <c r="KUU6" s="577"/>
      <c r="KUV6" s="577"/>
      <c r="KUW6" s="577"/>
      <c r="KUX6" s="577"/>
      <c r="KUY6" s="577"/>
      <c r="KUZ6" s="577"/>
      <c r="KVA6" s="577"/>
      <c r="KVB6" s="577"/>
      <c r="KVC6" s="577"/>
      <c r="KVD6" s="577"/>
      <c r="KVE6" s="577"/>
      <c r="KVF6" s="577"/>
      <c r="KVG6" s="577"/>
      <c r="KVH6" s="577"/>
      <c r="KVI6" s="577"/>
      <c r="KVJ6" s="577"/>
      <c r="KVK6" s="577"/>
      <c r="KVL6" s="577"/>
      <c r="KVM6" s="577"/>
      <c r="KVN6" s="577"/>
      <c r="KVO6" s="577"/>
      <c r="KVP6" s="577"/>
      <c r="KVQ6" s="577"/>
      <c r="KVR6" s="577"/>
      <c r="KVS6" s="577"/>
      <c r="KVT6" s="577"/>
      <c r="KVU6" s="577"/>
      <c r="KVV6" s="577"/>
      <c r="KVW6" s="577"/>
      <c r="KVX6" s="577"/>
      <c r="KVY6" s="577"/>
      <c r="KVZ6" s="577"/>
      <c r="KWA6" s="577"/>
      <c r="KWB6" s="577"/>
      <c r="KWC6" s="577"/>
      <c r="KWD6" s="577"/>
      <c r="KWE6" s="577"/>
      <c r="KWF6" s="577"/>
      <c r="KWG6" s="577"/>
      <c r="KWH6" s="577"/>
      <c r="KWI6" s="577"/>
      <c r="KWJ6" s="577"/>
      <c r="KWK6" s="577"/>
      <c r="KWL6" s="577"/>
      <c r="KWM6" s="577"/>
      <c r="KWN6" s="577"/>
      <c r="KWO6" s="577"/>
      <c r="KWP6" s="577"/>
      <c r="KWQ6" s="577"/>
      <c r="KWR6" s="577"/>
      <c r="KWS6" s="577"/>
      <c r="KWT6" s="577"/>
      <c r="KWU6" s="577"/>
      <c r="KWV6" s="577"/>
      <c r="KWW6" s="577"/>
      <c r="KWX6" s="577"/>
      <c r="KWY6" s="577"/>
      <c r="KWZ6" s="577"/>
      <c r="KXA6" s="577"/>
      <c r="KXB6" s="577"/>
      <c r="KXC6" s="577"/>
      <c r="KXD6" s="577"/>
      <c r="KXE6" s="577"/>
      <c r="KXF6" s="577"/>
      <c r="KXG6" s="577"/>
      <c r="KXH6" s="577"/>
      <c r="KXI6" s="577"/>
      <c r="KXJ6" s="577"/>
      <c r="KXK6" s="577"/>
      <c r="KXL6" s="577"/>
      <c r="KXM6" s="577"/>
      <c r="KXN6" s="577"/>
      <c r="KXO6" s="577"/>
      <c r="KXP6" s="577"/>
      <c r="KXQ6" s="577"/>
      <c r="KXR6" s="577"/>
      <c r="KXS6" s="577"/>
      <c r="KXT6" s="577"/>
      <c r="KXU6" s="577"/>
      <c r="KXV6" s="577"/>
      <c r="KXW6" s="577"/>
      <c r="KXX6" s="577"/>
      <c r="KXY6" s="577"/>
      <c r="KXZ6" s="577"/>
      <c r="KYA6" s="577"/>
      <c r="KYB6" s="577"/>
      <c r="KYC6" s="577"/>
      <c r="KYD6" s="577"/>
      <c r="KYE6" s="577"/>
      <c r="KYF6" s="577"/>
      <c r="KYG6" s="577"/>
      <c r="KYH6" s="577"/>
      <c r="KYI6" s="577"/>
      <c r="KYJ6" s="577"/>
      <c r="KYK6" s="577"/>
      <c r="KYL6" s="577"/>
      <c r="KYM6" s="577"/>
      <c r="KYN6" s="577"/>
      <c r="KYO6" s="577"/>
      <c r="KYP6" s="577"/>
      <c r="KYQ6" s="577"/>
      <c r="KYR6" s="577"/>
      <c r="KYS6" s="577"/>
      <c r="KYT6" s="577"/>
      <c r="KYU6" s="577"/>
      <c r="KYV6" s="577"/>
      <c r="KYW6" s="577"/>
      <c r="KYX6" s="577"/>
      <c r="KYY6" s="577"/>
      <c r="KYZ6" s="577"/>
      <c r="KZA6" s="577"/>
      <c r="KZB6" s="577"/>
      <c r="KZC6" s="577"/>
      <c r="KZD6" s="577"/>
      <c r="KZE6" s="577"/>
      <c r="KZF6" s="577"/>
      <c r="KZG6" s="577"/>
      <c r="KZH6" s="577"/>
      <c r="KZI6" s="577"/>
      <c r="KZJ6" s="577"/>
      <c r="KZK6" s="577"/>
      <c r="KZL6" s="577"/>
      <c r="KZM6" s="577"/>
      <c r="KZN6" s="577"/>
      <c r="KZO6" s="577"/>
      <c r="KZP6" s="577"/>
      <c r="KZQ6" s="577"/>
      <c r="KZR6" s="577"/>
      <c r="KZS6" s="577"/>
      <c r="KZT6" s="577"/>
      <c r="KZU6" s="577"/>
      <c r="KZV6" s="577"/>
      <c r="KZW6" s="577"/>
      <c r="KZX6" s="577"/>
      <c r="KZY6" s="577"/>
      <c r="KZZ6" s="577"/>
      <c r="LAA6" s="577"/>
      <c r="LAB6" s="577"/>
      <c r="LAC6" s="577"/>
      <c r="LAD6" s="577"/>
      <c r="LAE6" s="577"/>
      <c r="LAF6" s="577"/>
      <c r="LAG6" s="577"/>
      <c r="LAH6" s="577"/>
      <c r="LAI6" s="577"/>
      <c r="LAJ6" s="577"/>
      <c r="LAK6" s="577"/>
      <c r="LAL6" s="577"/>
      <c r="LAM6" s="577"/>
      <c r="LAN6" s="577"/>
      <c r="LAO6" s="577"/>
      <c r="LAP6" s="577"/>
      <c r="LAQ6" s="577"/>
      <c r="LAR6" s="577"/>
      <c r="LAS6" s="577"/>
      <c r="LAT6" s="577"/>
      <c r="LAU6" s="577"/>
      <c r="LAV6" s="577"/>
      <c r="LAW6" s="577"/>
      <c r="LAX6" s="577"/>
      <c r="LAY6" s="577"/>
      <c r="LAZ6" s="577"/>
      <c r="LBA6" s="577"/>
      <c r="LBB6" s="577"/>
      <c r="LBC6" s="577"/>
      <c r="LBD6" s="577"/>
      <c r="LBE6" s="577"/>
      <c r="LBF6" s="577"/>
      <c r="LBG6" s="577"/>
      <c r="LBH6" s="577"/>
      <c r="LBI6" s="577"/>
      <c r="LBJ6" s="577"/>
      <c r="LBK6" s="577"/>
      <c r="LBL6" s="577"/>
      <c r="LBM6" s="577"/>
      <c r="LBN6" s="577"/>
      <c r="LBO6" s="577"/>
      <c r="LBP6" s="577"/>
      <c r="LBQ6" s="577"/>
      <c r="LBR6" s="577"/>
      <c r="LBS6" s="577"/>
      <c r="LBT6" s="577"/>
      <c r="LBU6" s="577"/>
      <c r="LBV6" s="577"/>
      <c r="LBW6" s="577"/>
      <c r="LBX6" s="577"/>
      <c r="LBY6" s="577"/>
      <c r="LBZ6" s="577"/>
      <c r="LCA6" s="577"/>
      <c r="LCB6" s="577"/>
      <c r="LCC6" s="577"/>
      <c r="LCD6" s="577"/>
      <c r="LCE6" s="577"/>
      <c r="LCF6" s="577"/>
      <c r="LCG6" s="577"/>
      <c r="LCH6" s="577"/>
      <c r="LCI6" s="577"/>
      <c r="LCJ6" s="577"/>
      <c r="LCK6" s="577"/>
      <c r="LCL6" s="577"/>
      <c r="LCM6" s="577"/>
      <c r="LCN6" s="577"/>
      <c r="LCO6" s="577"/>
      <c r="LCP6" s="577"/>
      <c r="LCQ6" s="577"/>
      <c r="LCR6" s="577"/>
      <c r="LCS6" s="577"/>
      <c r="LCT6" s="577"/>
      <c r="LCU6" s="577"/>
      <c r="LCV6" s="577"/>
      <c r="LCW6" s="577"/>
      <c r="LCX6" s="577"/>
      <c r="LCY6" s="577"/>
      <c r="LCZ6" s="577"/>
      <c r="LDA6" s="577"/>
      <c r="LDB6" s="577"/>
      <c r="LDC6" s="577"/>
      <c r="LDD6" s="577"/>
      <c r="LDE6" s="577"/>
      <c r="LDF6" s="577"/>
      <c r="LDG6" s="577"/>
      <c r="LDH6" s="577"/>
      <c r="LDI6" s="577"/>
      <c r="LDJ6" s="577"/>
      <c r="LDK6" s="577"/>
      <c r="LDL6" s="577"/>
      <c r="LDM6" s="577"/>
      <c r="LDN6" s="577"/>
      <c r="LDO6" s="577"/>
      <c r="LDP6" s="577"/>
      <c r="LDQ6" s="577"/>
      <c r="LDR6" s="577"/>
      <c r="LDS6" s="577"/>
      <c r="LDT6" s="577"/>
      <c r="LDU6" s="577"/>
      <c r="LDV6" s="577"/>
      <c r="LDW6" s="577"/>
      <c r="LDX6" s="577"/>
      <c r="LDY6" s="577"/>
      <c r="LDZ6" s="577"/>
      <c r="LEA6" s="577"/>
      <c r="LEB6" s="577"/>
      <c r="LEC6" s="577"/>
      <c r="LED6" s="577"/>
      <c r="LEE6" s="577"/>
      <c r="LEF6" s="577"/>
      <c r="LEG6" s="577"/>
      <c r="LEH6" s="577"/>
      <c r="LEI6" s="577"/>
      <c r="LEJ6" s="577"/>
      <c r="LEK6" s="577"/>
      <c r="LEL6" s="577"/>
      <c r="LEM6" s="577"/>
      <c r="LEN6" s="577"/>
      <c r="LEO6" s="577"/>
      <c r="LEP6" s="577"/>
      <c r="LEQ6" s="577"/>
      <c r="LER6" s="577"/>
      <c r="LES6" s="577"/>
      <c r="LET6" s="577"/>
      <c r="LEU6" s="577"/>
      <c r="LEV6" s="577"/>
      <c r="LEW6" s="577"/>
      <c r="LEX6" s="577"/>
      <c r="LEY6" s="577"/>
      <c r="LEZ6" s="577"/>
      <c r="LFA6" s="577"/>
      <c r="LFB6" s="577"/>
      <c r="LFC6" s="577"/>
      <c r="LFD6" s="577"/>
      <c r="LFE6" s="577"/>
      <c r="LFF6" s="577"/>
      <c r="LFG6" s="577"/>
      <c r="LFH6" s="577"/>
      <c r="LFI6" s="577"/>
      <c r="LFJ6" s="577"/>
      <c r="LFK6" s="577"/>
      <c r="LFL6" s="577"/>
      <c r="LFM6" s="577"/>
      <c r="LFN6" s="577"/>
      <c r="LFO6" s="577"/>
      <c r="LFP6" s="577"/>
      <c r="LFQ6" s="577"/>
      <c r="LFR6" s="577"/>
      <c r="LFS6" s="577"/>
      <c r="LFT6" s="577"/>
      <c r="LFU6" s="577"/>
      <c r="LFV6" s="577"/>
      <c r="LFW6" s="577"/>
      <c r="LFX6" s="577"/>
      <c r="LFY6" s="577"/>
      <c r="LFZ6" s="577"/>
      <c r="LGA6" s="577"/>
      <c r="LGB6" s="577"/>
      <c r="LGC6" s="577"/>
      <c r="LGD6" s="577"/>
      <c r="LGE6" s="577"/>
      <c r="LGF6" s="577"/>
      <c r="LGG6" s="577"/>
      <c r="LGH6" s="577"/>
      <c r="LGI6" s="577"/>
      <c r="LGJ6" s="577"/>
      <c r="LGK6" s="577"/>
      <c r="LGL6" s="577"/>
      <c r="LGM6" s="577"/>
      <c r="LGN6" s="577"/>
      <c r="LGO6" s="577"/>
      <c r="LGP6" s="577"/>
      <c r="LGQ6" s="577"/>
      <c r="LGR6" s="577"/>
      <c r="LGS6" s="577"/>
      <c r="LGT6" s="577"/>
      <c r="LGU6" s="577"/>
      <c r="LGV6" s="577"/>
      <c r="LGW6" s="577"/>
      <c r="LGX6" s="577"/>
      <c r="LGY6" s="577"/>
      <c r="LGZ6" s="577"/>
      <c r="LHA6" s="577"/>
      <c r="LHB6" s="577"/>
      <c r="LHC6" s="577"/>
      <c r="LHD6" s="577"/>
      <c r="LHE6" s="577"/>
      <c r="LHF6" s="577"/>
      <c r="LHG6" s="577"/>
      <c r="LHH6" s="577"/>
      <c r="LHI6" s="577"/>
      <c r="LHJ6" s="577"/>
      <c r="LHK6" s="577"/>
      <c r="LHL6" s="577"/>
      <c r="LHM6" s="577"/>
      <c r="LHN6" s="577"/>
      <c r="LHO6" s="577"/>
      <c r="LHP6" s="577"/>
      <c r="LHQ6" s="577"/>
      <c r="LHR6" s="577"/>
      <c r="LHS6" s="577"/>
      <c r="LHT6" s="577"/>
      <c r="LHU6" s="577"/>
      <c r="LHV6" s="577"/>
      <c r="LHW6" s="577"/>
      <c r="LHX6" s="577"/>
      <c r="LHY6" s="577"/>
      <c r="LHZ6" s="577"/>
      <c r="LIA6" s="577"/>
      <c r="LIB6" s="577"/>
      <c r="LIC6" s="577"/>
      <c r="LID6" s="577"/>
      <c r="LIE6" s="577"/>
      <c r="LIF6" s="577"/>
      <c r="LIG6" s="577"/>
      <c r="LIH6" s="577"/>
      <c r="LII6" s="577"/>
      <c r="LIJ6" s="577"/>
      <c r="LIK6" s="577"/>
      <c r="LIL6" s="577"/>
      <c r="LIM6" s="577"/>
      <c r="LIN6" s="577"/>
      <c r="LIO6" s="577"/>
      <c r="LIP6" s="577"/>
      <c r="LIQ6" s="577"/>
      <c r="LIR6" s="577"/>
      <c r="LIS6" s="577"/>
      <c r="LIT6" s="577"/>
      <c r="LIU6" s="577"/>
      <c r="LIV6" s="577"/>
      <c r="LIW6" s="577"/>
      <c r="LIX6" s="577"/>
      <c r="LIY6" s="577"/>
      <c r="LIZ6" s="577"/>
      <c r="LJA6" s="577"/>
      <c r="LJB6" s="577"/>
      <c r="LJC6" s="577"/>
      <c r="LJD6" s="577"/>
      <c r="LJE6" s="577"/>
      <c r="LJF6" s="577"/>
      <c r="LJG6" s="577"/>
      <c r="LJH6" s="577"/>
      <c r="LJI6" s="577"/>
      <c r="LJJ6" s="577"/>
      <c r="LJK6" s="577"/>
      <c r="LJL6" s="577"/>
      <c r="LJM6" s="577"/>
      <c r="LJN6" s="577"/>
      <c r="LJO6" s="577"/>
      <c r="LJP6" s="577"/>
      <c r="LJQ6" s="577"/>
      <c r="LJR6" s="577"/>
      <c r="LJS6" s="577"/>
      <c r="LJT6" s="577"/>
      <c r="LJU6" s="577"/>
      <c r="LJV6" s="577"/>
      <c r="LJW6" s="577"/>
      <c r="LJX6" s="577"/>
      <c r="LJY6" s="577"/>
      <c r="LJZ6" s="577"/>
      <c r="LKA6" s="577"/>
      <c r="LKB6" s="577"/>
      <c r="LKC6" s="577"/>
      <c r="LKD6" s="577"/>
      <c r="LKE6" s="577"/>
      <c r="LKF6" s="577"/>
      <c r="LKG6" s="577"/>
      <c r="LKH6" s="577"/>
      <c r="LKI6" s="577"/>
      <c r="LKJ6" s="577"/>
      <c r="LKK6" s="577"/>
      <c r="LKL6" s="577"/>
      <c r="LKM6" s="577"/>
      <c r="LKN6" s="577"/>
      <c r="LKO6" s="577"/>
      <c r="LKP6" s="577"/>
      <c r="LKQ6" s="577"/>
      <c r="LKR6" s="577"/>
      <c r="LKS6" s="577"/>
      <c r="LKT6" s="577"/>
      <c r="LKU6" s="577"/>
      <c r="LKV6" s="577"/>
      <c r="LKW6" s="577"/>
      <c r="LKX6" s="577"/>
      <c r="LKY6" s="577"/>
      <c r="LKZ6" s="577"/>
      <c r="LLA6" s="577"/>
      <c r="LLB6" s="577"/>
      <c r="LLC6" s="577"/>
      <c r="LLD6" s="577"/>
      <c r="LLE6" s="577"/>
      <c r="LLF6" s="577"/>
      <c r="LLG6" s="577"/>
      <c r="LLH6" s="577"/>
      <c r="LLI6" s="577"/>
      <c r="LLJ6" s="577"/>
      <c r="LLK6" s="577"/>
      <c r="LLL6" s="577"/>
      <c r="LLM6" s="577"/>
      <c r="LLN6" s="577"/>
      <c r="LLO6" s="577"/>
      <c r="LLP6" s="577"/>
      <c r="LLQ6" s="577"/>
      <c r="LLR6" s="577"/>
      <c r="LLS6" s="577"/>
      <c r="LLT6" s="577"/>
      <c r="LLU6" s="577"/>
      <c r="LLV6" s="577"/>
      <c r="LLW6" s="577"/>
      <c r="LLX6" s="577"/>
      <c r="LLY6" s="577"/>
      <c r="LLZ6" s="577"/>
      <c r="LMA6" s="577"/>
      <c r="LMB6" s="577"/>
      <c r="LMC6" s="577"/>
      <c r="LMD6" s="577"/>
      <c r="LME6" s="577"/>
      <c r="LMF6" s="577"/>
      <c r="LMG6" s="577"/>
      <c r="LMH6" s="577"/>
      <c r="LMI6" s="577"/>
      <c r="LMJ6" s="577"/>
      <c r="LMK6" s="577"/>
      <c r="LML6" s="577"/>
      <c r="LMM6" s="577"/>
      <c r="LMN6" s="577"/>
      <c r="LMO6" s="577"/>
      <c r="LMP6" s="577"/>
      <c r="LMQ6" s="577"/>
      <c r="LMR6" s="577"/>
      <c r="LMS6" s="577"/>
      <c r="LMT6" s="577"/>
      <c r="LMU6" s="577"/>
      <c r="LMV6" s="577"/>
      <c r="LMW6" s="577"/>
      <c r="LMX6" s="577"/>
      <c r="LMY6" s="577"/>
      <c r="LMZ6" s="577"/>
      <c r="LNA6" s="577"/>
      <c r="LNB6" s="577"/>
      <c r="LNC6" s="577"/>
      <c r="LND6" s="577"/>
      <c r="LNE6" s="577"/>
      <c r="LNF6" s="577"/>
      <c r="LNG6" s="577"/>
      <c r="LNH6" s="577"/>
      <c r="LNI6" s="577"/>
      <c r="LNJ6" s="577"/>
      <c r="LNK6" s="577"/>
      <c r="LNL6" s="577"/>
      <c r="LNM6" s="577"/>
      <c r="LNN6" s="577"/>
      <c r="LNO6" s="577"/>
      <c r="LNP6" s="577"/>
      <c r="LNQ6" s="577"/>
      <c r="LNR6" s="577"/>
      <c r="LNS6" s="577"/>
      <c r="LNT6" s="577"/>
      <c r="LNU6" s="577"/>
      <c r="LNV6" s="577"/>
      <c r="LNW6" s="577"/>
      <c r="LNX6" s="577"/>
      <c r="LNY6" s="577"/>
      <c r="LNZ6" s="577"/>
      <c r="LOA6" s="577"/>
      <c r="LOB6" s="577"/>
      <c r="LOC6" s="577"/>
      <c r="LOD6" s="577"/>
      <c r="LOE6" s="577"/>
      <c r="LOF6" s="577"/>
      <c r="LOG6" s="577"/>
      <c r="LOH6" s="577"/>
      <c r="LOI6" s="577"/>
      <c r="LOJ6" s="577"/>
      <c r="LOK6" s="577"/>
      <c r="LOL6" s="577"/>
      <c r="LOM6" s="577"/>
      <c r="LON6" s="577"/>
      <c r="LOO6" s="577"/>
      <c r="LOP6" s="577"/>
      <c r="LOQ6" s="577"/>
      <c r="LOR6" s="577"/>
      <c r="LOS6" s="577"/>
      <c r="LOT6" s="577"/>
      <c r="LOU6" s="577"/>
      <c r="LOV6" s="577"/>
      <c r="LOW6" s="577"/>
      <c r="LOX6" s="577"/>
      <c r="LOY6" s="577"/>
      <c r="LOZ6" s="577"/>
      <c r="LPA6" s="577"/>
      <c r="LPB6" s="577"/>
      <c r="LPC6" s="577"/>
      <c r="LPD6" s="577"/>
      <c r="LPE6" s="577"/>
      <c r="LPF6" s="577"/>
      <c r="LPG6" s="577"/>
      <c r="LPH6" s="577"/>
      <c r="LPI6" s="577"/>
      <c r="LPJ6" s="577"/>
      <c r="LPK6" s="577"/>
      <c r="LPL6" s="577"/>
      <c r="LPM6" s="577"/>
      <c r="LPN6" s="577"/>
      <c r="LPO6" s="577"/>
      <c r="LPP6" s="577"/>
      <c r="LPQ6" s="577"/>
      <c r="LPR6" s="577"/>
      <c r="LPS6" s="577"/>
      <c r="LPT6" s="577"/>
      <c r="LPU6" s="577"/>
      <c r="LPV6" s="577"/>
      <c r="LPW6" s="577"/>
      <c r="LPX6" s="577"/>
      <c r="LPY6" s="577"/>
      <c r="LPZ6" s="577"/>
      <c r="LQA6" s="577"/>
      <c r="LQB6" s="577"/>
      <c r="LQC6" s="577"/>
      <c r="LQD6" s="577"/>
      <c r="LQE6" s="577"/>
      <c r="LQF6" s="577"/>
      <c r="LQG6" s="577"/>
      <c r="LQH6" s="577"/>
      <c r="LQI6" s="577"/>
      <c r="LQJ6" s="577"/>
      <c r="LQK6" s="577"/>
      <c r="LQL6" s="577"/>
      <c r="LQM6" s="577"/>
      <c r="LQN6" s="577"/>
      <c r="LQO6" s="577"/>
      <c r="LQP6" s="577"/>
      <c r="LQQ6" s="577"/>
      <c r="LQR6" s="577"/>
      <c r="LQS6" s="577"/>
      <c r="LQT6" s="577"/>
      <c r="LQU6" s="577"/>
      <c r="LQV6" s="577"/>
      <c r="LQW6" s="577"/>
      <c r="LQX6" s="577"/>
      <c r="LQY6" s="577"/>
      <c r="LQZ6" s="577"/>
      <c r="LRA6" s="577"/>
      <c r="LRB6" s="577"/>
      <c r="LRC6" s="577"/>
      <c r="LRD6" s="577"/>
      <c r="LRE6" s="577"/>
      <c r="LRF6" s="577"/>
      <c r="LRG6" s="577"/>
      <c r="LRH6" s="577"/>
      <c r="LRI6" s="577"/>
      <c r="LRJ6" s="577"/>
      <c r="LRK6" s="577"/>
      <c r="LRL6" s="577"/>
      <c r="LRM6" s="577"/>
      <c r="LRN6" s="577"/>
      <c r="LRO6" s="577"/>
      <c r="LRP6" s="577"/>
      <c r="LRQ6" s="577"/>
      <c r="LRR6" s="577"/>
      <c r="LRS6" s="577"/>
      <c r="LRT6" s="577"/>
      <c r="LRU6" s="577"/>
      <c r="LRV6" s="577"/>
      <c r="LRW6" s="577"/>
      <c r="LRX6" s="577"/>
      <c r="LRY6" s="577"/>
      <c r="LRZ6" s="577"/>
      <c r="LSA6" s="577"/>
      <c r="LSB6" s="577"/>
      <c r="LSC6" s="577"/>
      <c r="LSD6" s="577"/>
      <c r="LSE6" s="577"/>
      <c r="LSF6" s="577"/>
      <c r="LSG6" s="577"/>
      <c r="LSH6" s="577"/>
      <c r="LSI6" s="577"/>
      <c r="LSJ6" s="577"/>
      <c r="LSK6" s="577"/>
      <c r="LSL6" s="577"/>
      <c r="LSM6" s="577"/>
      <c r="LSN6" s="577"/>
      <c r="LSO6" s="577"/>
      <c r="LSP6" s="577"/>
      <c r="LSQ6" s="577"/>
      <c r="LSR6" s="577"/>
      <c r="LSS6" s="577"/>
      <c r="LST6" s="577"/>
      <c r="LSU6" s="577"/>
      <c r="LSV6" s="577"/>
      <c r="LSW6" s="577"/>
      <c r="LSX6" s="577"/>
      <c r="LSY6" s="577"/>
      <c r="LSZ6" s="577"/>
      <c r="LTA6" s="577"/>
      <c r="LTB6" s="577"/>
      <c r="LTC6" s="577"/>
      <c r="LTD6" s="577"/>
      <c r="LTE6" s="577"/>
      <c r="LTF6" s="577"/>
      <c r="LTG6" s="577"/>
      <c r="LTH6" s="577"/>
      <c r="LTI6" s="577"/>
      <c r="LTJ6" s="577"/>
      <c r="LTK6" s="577"/>
      <c r="LTL6" s="577"/>
      <c r="LTM6" s="577"/>
      <c r="LTN6" s="577"/>
      <c r="LTO6" s="577"/>
      <c r="LTP6" s="577"/>
      <c r="LTQ6" s="577"/>
      <c r="LTR6" s="577"/>
      <c r="LTS6" s="577"/>
      <c r="LTT6" s="577"/>
      <c r="LTU6" s="577"/>
      <c r="LTV6" s="577"/>
      <c r="LTW6" s="577"/>
      <c r="LTX6" s="577"/>
      <c r="LTY6" s="577"/>
      <c r="LTZ6" s="577"/>
      <c r="LUA6" s="577"/>
      <c r="LUB6" s="577"/>
      <c r="LUC6" s="577"/>
      <c r="LUD6" s="577"/>
      <c r="LUE6" s="577"/>
      <c r="LUF6" s="577"/>
      <c r="LUG6" s="577"/>
      <c r="LUH6" s="577"/>
      <c r="LUI6" s="577"/>
      <c r="LUJ6" s="577"/>
      <c r="LUK6" s="577"/>
      <c r="LUL6" s="577"/>
      <c r="LUM6" s="577"/>
      <c r="LUN6" s="577"/>
      <c r="LUO6" s="577"/>
      <c r="LUP6" s="577"/>
      <c r="LUQ6" s="577"/>
      <c r="LUR6" s="577"/>
      <c r="LUS6" s="577"/>
      <c r="LUT6" s="577"/>
      <c r="LUU6" s="577"/>
      <c r="LUV6" s="577"/>
      <c r="LUW6" s="577"/>
      <c r="LUX6" s="577"/>
      <c r="LUY6" s="577"/>
      <c r="LUZ6" s="577"/>
      <c r="LVA6" s="577"/>
      <c r="LVB6" s="577"/>
      <c r="LVC6" s="577"/>
      <c r="LVD6" s="577"/>
      <c r="LVE6" s="577"/>
      <c r="LVF6" s="577"/>
      <c r="LVG6" s="577"/>
      <c r="LVH6" s="577"/>
      <c r="LVI6" s="577"/>
      <c r="LVJ6" s="577"/>
      <c r="LVK6" s="577"/>
      <c r="LVL6" s="577"/>
      <c r="LVM6" s="577"/>
      <c r="LVN6" s="577"/>
      <c r="LVO6" s="577"/>
      <c r="LVP6" s="577"/>
      <c r="LVQ6" s="577"/>
      <c r="LVR6" s="577"/>
      <c r="LVS6" s="577"/>
      <c r="LVT6" s="577"/>
      <c r="LVU6" s="577"/>
      <c r="LVV6" s="577"/>
      <c r="LVW6" s="577"/>
      <c r="LVX6" s="577"/>
      <c r="LVY6" s="577"/>
      <c r="LVZ6" s="577"/>
      <c r="LWA6" s="577"/>
      <c r="LWB6" s="577"/>
      <c r="LWC6" s="577"/>
      <c r="LWD6" s="577"/>
      <c r="LWE6" s="577"/>
      <c r="LWF6" s="577"/>
      <c r="LWG6" s="577"/>
      <c r="LWH6" s="577"/>
      <c r="LWI6" s="577"/>
      <c r="LWJ6" s="577"/>
      <c r="LWK6" s="577"/>
      <c r="LWL6" s="577"/>
      <c r="LWM6" s="577"/>
      <c r="LWN6" s="577"/>
      <c r="LWO6" s="577"/>
      <c r="LWP6" s="577"/>
      <c r="LWQ6" s="577"/>
      <c r="LWR6" s="577"/>
      <c r="LWS6" s="577"/>
      <c r="LWT6" s="577"/>
      <c r="LWU6" s="577"/>
      <c r="LWV6" s="577"/>
      <c r="LWW6" s="577"/>
      <c r="LWX6" s="577"/>
      <c r="LWY6" s="577"/>
      <c r="LWZ6" s="577"/>
      <c r="LXA6" s="577"/>
      <c r="LXB6" s="577"/>
      <c r="LXC6" s="577"/>
      <c r="LXD6" s="577"/>
      <c r="LXE6" s="577"/>
      <c r="LXF6" s="577"/>
      <c r="LXG6" s="577"/>
      <c r="LXH6" s="577"/>
      <c r="LXI6" s="577"/>
      <c r="LXJ6" s="577"/>
      <c r="LXK6" s="577"/>
      <c r="LXL6" s="577"/>
      <c r="LXM6" s="577"/>
      <c r="LXN6" s="577"/>
      <c r="LXO6" s="577"/>
      <c r="LXP6" s="577"/>
      <c r="LXQ6" s="577"/>
      <c r="LXR6" s="577"/>
      <c r="LXS6" s="577"/>
      <c r="LXT6" s="577"/>
      <c r="LXU6" s="577"/>
      <c r="LXV6" s="577"/>
      <c r="LXW6" s="577"/>
      <c r="LXX6" s="577"/>
      <c r="LXY6" s="577"/>
      <c r="LXZ6" s="577"/>
      <c r="LYA6" s="577"/>
      <c r="LYB6" s="577"/>
      <c r="LYC6" s="577"/>
      <c r="LYD6" s="577"/>
      <c r="LYE6" s="577"/>
      <c r="LYF6" s="577"/>
      <c r="LYG6" s="577"/>
      <c r="LYH6" s="577"/>
      <c r="LYI6" s="577"/>
      <c r="LYJ6" s="577"/>
      <c r="LYK6" s="577"/>
      <c r="LYL6" s="577"/>
      <c r="LYM6" s="577"/>
      <c r="LYN6" s="577"/>
      <c r="LYO6" s="577"/>
      <c r="LYP6" s="577"/>
      <c r="LYQ6" s="577"/>
      <c r="LYR6" s="577"/>
      <c r="LYS6" s="577"/>
      <c r="LYT6" s="577"/>
      <c r="LYU6" s="577"/>
      <c r="LYV6" s="577"/>
      <c r="LYW6" s="577"/>
      <c r="LYX6" s="577"/>
      <c r="LYY6" s="577"/>
      <c r="LYZ6" s="577"/>
      <c r="LZA6" s="577"/>
      <c r="LZB6" s="577"/>
      <c r="LZC6" s="577"/>
      <c r="LZD6" s="577"/>
      <c r="LZE6" s="577"/>
      <c r="LZF6" s="577"/>
      <c r="LZG6" s="577"/>
      <c r="LZH6" s="577"/>
      <c r="LZI6" s="577"/>
      <c r="LZJ6" s="577"/>
      <c r="LZK6" s="577"/>
      <c r="LZL6" s="577"/>
      <c r="LZM6" s="577"/>
      <c r="LZN6" s="577"/>
      <c r="LZO6" s="577"/>
      <c r="LZP6" s="577"/>
      <c r="LZQ6" s="577"/>
      <c r="LZR6" s="577"/>
      <c r="LZS6" s="577"/>
      <c r="LZT6" s="577"/>
      <c r="LZU6" s="577"/>
      <c r="LZV6" s="577"/>
      <c r="LZW6" s="577"/>
      <c r="LZX6" s="577"/>
      <c r="LZY6" s="577"/>
      <c r="LZZ6" s="577"/>
      <c r="MAA6" s="577"/>
      <c r="MAB6" s="577"/>
      <c r="MAC6" s="577"/>
      <c r="MAD6" s="577"/>
      <c r="MAE6" s="577"/>
      <c r="MAF6" s="577"/>
      <c r="MAG6" s="577"/>
      <c r="MAH6" s="577"/>
      <c r="MAI6" s="577"/>
      <c r="MAJ6" s="577"/>
      <c r="MAK6" s="577"/>
      <c r="MAL6" s="577"/>
      <c r="MAM6" s="577"/>
      <c r="MAN6" s="577"/>
      <c r="MAO6" s="577"/>
      <c r="MAP6" s="577"/>
      <c r="MAQ6" s="577"/>
      <c r="MAR6" s="577"/>
      <c r="MAS6" s="577"/>
      <c r="MAT6" s="577"/>
      <c r="MAU6" s="577"/>
      <c r="MAV6" s="577"/>
      <c r="MAW6" s="577"/>
      <c r="MAX6" s="577"/>
      <c r="MAY6" s="577"/>
      <c r="MAZ6" s="577"/>
      <c r="MBA6" s="577"/>
      <c r="MBB6" s="577"/>
      <c r="MBC6" s="577"/>
      <c r="MBD6" s="577"/>
      <c r="MBE6" s="577"/>
      <c r="MBF6" s="577"/>
      <c r="MBG6" s="577"/>
      <c r="MBH6" s="577"/>
      <c r="MBI6" s="577"/>
      <c r="MBJ6" s="577"/>
      <c r="MBK6" s="577"/>
      <c r="MBL6" s="577"/>
      <c r="MBM6" s="577"/>
      <c r="MBN6" s="577"/>
      <c r="MBO6" s="577"/>
      <c r="MBP6" s="577"/>
      <c r="MBQ6" s="577"/>
      <c r="MBR6" s="577"/>
      <c r="MBS6" s="577"/>
      <c r="MBT6" s="577"/>
      <c r="MBU6" s="577"/>
      <c r="MBV6" s="577"/>
      <c r="MBW6" s="577"/>
      <c r="MBX6" s="577"/>
      <c r="MBY6" s="577"/>
      <c r="MBZ6" s="577"/>
      <c r="MCA6" s="577"/>
      <c r="MCB6" s="577"/>
      <c r="MCC6" s="577"/>
      <c r="MCD6" s="577"/>
      <c r="MCE6" s="577"/>
      <c r="MCF6" s="577"/>
      <c r="MCG6" s="577"/>
      <c r="MCH6" s="577"/>
      <c r="MCI6" s="577"/>
      <c r="MCJ6" s="577"/>
      <c r="MCK6" s="577"/>
      <c r="MCL6" s="577"/>
      <c r="MCM6" s="577"/>
      <c r="MCN6" s="577"/>
      <c r="MCO6" s="577"/>
      <c r="MCP6" s="577"/>
      <c r="MCQ6" s="577"/>
      <c r="MCR6" s="577"/>
      <c r="MCS6" s="577"/>
      <c r="MCT6" s="577"/>
      <c r="MCU6" s="577"/>
      <c r="MCV6" s="577"/>
      <c r="MCW6" s="577"/>
      <c r="MCX6" s="577"/>
      <c r="MCY6" s="577"/>
      <c r="MCZ6" s="577"/>
      <c r="MDA6" s="577"/>
      <c r="MDB6" s="577"/>
      <c r="MDC6" s="577"/>
      <c r="MDD6" s="577"/>
      <c r="MDE6" s="577"/>
      <c r="MDF6" s="577"/>
      <c r="MDG6" s="577"/>
      <c r="MDH6" s="577"/>
      <c r="MDI6" s="577"/>
      <c r="MDJ6" s="577"/>
      <c r="MDK6" s="577"/>
      <c r="MDL6" s="577"/>
      <c r="MDM6" s="577"/>
      <c r="MDN6" s="577"/>
      <c r="MDO6" s="577"/>
      <c r="MDP6" s="577"/>
      <c r="MDQ6" s="577"/>
      <c r="MDR6" s="577"/>
      <c r="MDS6" s="577"/>
      <c r="MDT6" s="577"/>
      <c r="MDU6" s="577"/>
      <c r="MDV6" s="577"/>
      <c r="MDW6" s="577"/>
      <c r="MDX6" s="577"/>
      <c r="MDY6" s="577"/>
      <c r="MDZ6" s="577"/>
      <c r="MEA6" s="577"/>
      <c r="MEB6" s="577"/>
      <c r="MEC6" s="577"/>
      <c r="MED6" s="577"/>
      <c r="MEE6" s="577"/>
      <c r="MEF6" s="577"/>
      <c r="MEG6" s="577"/>
      <c r="MEH6" s="577"/>
      <c r="MEI6" s="577"/>
      <c r="MEJ6" s="577"/>
      <c r="MEK6" s="577"/>
      <c r="MEL6" s="577"/>
      <c r="MEM6" s="577"/>
      <c r="MEN6" s="577"/>
      <c r="MEO6" s="577"/>
      <c r="MEP6" s="577"/>
      <c r="MEQ6" s="577"/>
      <c r="MER6" s="577"/>
      <c r="MES6" s="577"/>
      <c r="MET6" s="577"/>
      <c r="MEU6" s="577"/>
      <c r="MEV6" s="577"/>
      <c r="MEW6" s="577"/>
      <c r="MEX6" s="577"/>
      <c r="MEY6" s="577"/>
      <c r="MEZ6" s="577"/>
      <c r="MFA6" s="577"/>
      <c r="MFB6" s="577"/>
      <c r="MFC6" s="577"/>
      <c r="MFD6" s="577"/>
      <c r="MFE6" s="577"/>
      <c r="MFF6" s="577"/>
      <c r="MFG6" s="577"/>
      <c r="MFH6" s="577"/>
      <c r="MFI6" s="577"/>
      <c r="MFJ6" s="577"/>
      <c r="MFK6" s="577"/>
      <c r="MFL6" s="577"/>
      <c r="MFM6" s="577"/>
      <c r="MFN6" s="577"/>
      <c r="MFO6" s="577"/>
      <c r="MFP6" s="577"/>
      <c r="MFQ6" s="577"/>
      <c r="MFR6" s="577"/>
      <c r="MFS6" s="577"/>
      <c r="MFT6" s="577"/>
      <c r="MFU6" s="577"/>
      <c r="MFV6" s="577"/>
      <c r="MFW6" s="577"/>
      <c r="MFX6" s="577"/>
      <c r="MFY6" s="577"/>
      <c r="MFZ6" s="577"/>
      <c r="MGA6" s="577"/>
      <c r="MGB6" s="577"/>
      <c r="MGC6" s="577"/>
      <c r="MGD6" s="577"/>
      <c r="MGE6" s="577"/>
      <c r="MGF6" s="577"/>
      <c r="MGG6" s="577"/>
      <c r="MGH6" s="577"/>
      <c r="MGI6" s="577"/>
      <c r="MGJ6" s="577"/>
      <c r="MGK6" s="577"/>
      <c r="MGL6" s="577"/>
      <c r="MGM6" s="577"/>
      <c r="MGN6" s="577"/>
      <c r="MGO6" s="577"/>
      <c r="MGP6" s="577"/>
      <c r="MGQ6" s="577"/>
      <c r="MGR6" s="577"/>
      <c r="MGS6" s="577"/>
      <c r="MGT6" s="577"/>
      <c r="MGU6" s="577"/>
      <c r="MGV6" s="577"/>
      <c r="MGW6" s="577"/>
      <c r="MGX6" s="577"/>
      <c r="MGY6" s="577"/>
      <c r="MGZ6" s="577"/>
      <c r="MHA6" s="577"/>
      <c r="MHB6" s="577"/>
      <c r="MHC6" s="577"/>
      <c r="MHD6" s="577"/>
      <c r="MHE6" s="577"/>
      <c r="MHF6" s="577"/>
      <c r="MHG6" s="577"/>
      <c r="MHH6" s="577"/>
      <c r="MHI6" s="577"/>
      <c r="MHJ6" s="577"/>
      <c r="MHK6" s="577"/>
      <c r="MHL6" s="577"/>
      <c r="MHM6" s="577"/>
      <c r="MHN6" s="577"/>
      <c r="MHO6" s="577"/>
      <c r="MHP6" s="577"/>
      <c r="MHQ6" s="577"/>
      <c r="MHR6" s="577"/>
      <c r="MHS6" s="577"/>
      <c r="MHT6" s="577"/>
      <c r="MHU6" s="577"/>
      <c r="MHV6" s="577"/>
      <c r="MHW6" s="577"/>
      <c r="MHX6" s="577"/>
      <c r="MHY6" s="577"/>
      <c r="MHZ6" s="577"/>
      <c r="MIA6" s="577"/>
      <c r="MIB6" s="577"/>
      <c r="MIC6" s="577"/>
      <c r="MID6" s="577"/>
      <c r="MIE6" s="577"/>
      <c r="MIF6" s="577"/>
      <c r="MIG6" s="577"/>
      <c r="MIH6" s="577"/>
      <c r="MII6" s="577"/>
      <c r="MIJ6" s="577"/>
      <c r="MIK6" s="577"/>
      <c r="MIL6" s="577"/>
      <c r="MIM6" s="577"/>
      <c r="MIN6" s="577"/>
      <c r="MIO6" s="577"/>
      <c r="MIP6" s="577"/>
      <c r="MIQ6" s="577"/>
      <c r="MIR6" s="577"/>
      <c r="MIS6" s="577"/>
      <c r="MIT6" s="577"/>
      <c r="MIU6" s="577"/>
      <c r="MIV6" s="577"/>
      <c r="MIW6" s="577"/>
      <c r="MIX6" s="577"/>
      <c r="MIY6" s="577"/>
      <c r="MIZ6" s="577"/>
      <c r="MJA6" s="577"/>
      <c r="MJB6" s="577"/>
      <c r="MJC6" s="577"/>
      <c r="MJD6" s="577"/>
      <c r="MJE6" s="577"/>
      <c r="MJF6" s="577"/>
      <c r="MJG6" s="577"/>
      <c r="MJH6" s="577"/>
      <c r="MJI6" s="577"/>
      <c r="MJJ6" s="577"/>
      <c r="MJK6" s="577"/>
      <c r="MJL6" s="577"/>
      <c r="MJM6" s="577"/>
      <c r="MJN6" s="577"/>
      <c r="MJO6" s="577"/>
      <c r="MJP6" s="577"/>
      <c r="MJQ6" s="577"/>
      <c r="MJR6" s="577"/>
      <c r="MJS6" s="577"/>
      <c r="MJT6" s="577"/>
      <c r="MJU6" s="577"/>
      <c r="MJV6" s="577"/>
      <c r="MJW6" s="577"/>
      <c r="MJX6" s="577"/>
      <c r="MJY6" s="577"/>
      <c r="MJZ6" s="577"/>
      <c r="MKA6" s="577"/>
      <c r="MKB6" s="577"/>
      <c r="MKC6" s="577"/>
      <c r="MKD6" s="577"/>
      <c r="MKE6" s="577"/>
      <c r="MKF6" s="577"/>
      <c r="MKG6" s="577"/>
      <c r="MKH6" s="577"/>
      <c r="MKI6" s="577"/>
      <c r="MKJ6" s="577"/>
      <c r="MKK6" s="577"/>
      <c r="MKL6" s="577"/>
      <c r="MKM6" s="577"/>
      <c r="MKN6" s="577"/>
      <c r="MKO6" s="577"/>
      <c r="MKP6" s="577"/>
      <c r="MKQ6" s="577"/>
      <c r="MKR6" s="577"/>
      <c r="MKS6" s="577"/>
      <c r="MKT6" s="577"/>
      <c r="MKU6" s="577"/>
      <c r="MKV6" s="577"/>
      <c r="MKW6" s="577"/>
      <c r="MKX6" s="577"/>
      <c r="MKY6" s="577"/>
      <c r="MKZ6" s="577"/>
      <c r="MLA6" s="577"/>
      <c r="MLB6" s="577"/>
      <c r="MLC6" s="577"/>
      <c r="MLD6" s="577"/>
      <c r="MLE6" s="577"/>
      <c r="MLF6" s="577"/>
      <c r="MLG6" s="577"/>
      <c r="MLH6" s="577"/>
      <c r="MLI6" s="577"/>
      <c r="MLJ6" s="577"/>
      <c r="MLK6" s="577"/>
      <c r="MLL6" s="577"/>
      <c r="MLM6" s="577"/>
      <c r="MLN6" s="577"/>
      <c r="MLO6" s="577"/>
      <c r="MLP6" s="577"/>
      <c r="MLQ6" s="577"/>
      <c r="MLR6" s="577"/>
      <c r="MLS6" s="577"/>
      <c r="MLT6" s="577"/>
      <c r="MLU6" s="577"/>
      <c r="MLV6" s="577"/>
      <c r="MLW6" s="577"/>
      <c r="MLX6" s="577"/>
      <c r="MLY6" s="577"/>
      <c r="MLZ6" s="577"/>
      <c r="MMA6" s="577"/>
      <c r="MMB6" s="577"/>
      <c r="MMC6" s="577"/>
      <c r="MMD6" s="577"/>
      <c r="MME6" s="577"/>
      <c r="MMF6" s="577"/>
      <c r="MMG6" s="577"/>
      <c r="MMH6" s="577"/>
      <c r="MMI6" s="577"/>
      <c r="MMJ6" s="577"/>
      <c r="MMK6" s="577"/>
      <c r="MML6" s="577"/>
      <c r="MMM6" s="577"/>
      <c r="MMN6" s="577"/>
      <c r="MMO6" s="577"/>
      <c r="MMP6" s="577"/>
      <c r="MMQ6" s="577"/>
      <c r="MMR6" s="577"/>
      <c r="MMS6" s="577"/>
      <c r="MMT6" s="577"/>
      <c r="MMU6" s="577"/>
      <c r="MMV6" s="577"/>
      <c r="MMW6" s="577"/>
      <c r="MMX6" s="577"/>
      <c r="MMY6" s="577"/>
      <c r="MMZ6" s="577"/>
      <c r="MNA6" s="577"/>
      <c r="MNB6" s="577"/>
      <c r="MNC6" s="577"/>
      <c r="MND6" s="577"/>
      <c r="MNE6" s="577"/>
      <c r="MNF6" s="577"/>
      <c r="MNG6" s="577"/>
      <c r="MNH6" s="577"/>
      <c r="MNI6" s="577"/>
      <c r="MNJ6" s="577"/>
      <c r="MNK6" s="577"/>
      <c r="MNL6" s="577"/>
      <c r="MNM6" s="577"/>
      <c r="MNN6" s="577"/>
      <c r="MNO6" s="577"/>
      <c r="MNP6" s="577"/>
      <c r="MNQ6" s="577"/>
      <c r="MNR6" s="577"/>
      <c r="MNS6" s="577"/>
      <c r="MNT6" s="577"/>
      <c r="MNU6" s="577"/>
      <c r="MNV6" s="577"/>
      <c r="MNW6" s="577"/>
      <c r="MNX6" s="577"/>
      <c r="MNY6" s="577"/>
      <c r="MNZ6" s="577"/>
      <c r="MOA6" s="577"/>
      <c r="MOB6" s="577"/>
      <c r="MOC6" s="577"/>
      <c r="MOD6" s="577"/>
      <c r="MOE6" s="577"/>
      <c r="MOF6" s="577"/>
      <c r="MOG6" s="577"/>
      <c r="MOH6" s="577"/>
      <c r="MOI6" s="577"/>
      <c r="MOJ6" s="577"/>
      <c r="MOK6" s="577"/>
      <c r="MOL6" s="577"/>
      <c r="MOM6" s="577"/>
      <c r="MON6" s="577"/>
      <c r="MOO6" s="577"/>
      <c r="MOP6" s="577"/>
      <c r="MOQ6" s="577"/>
      <c r="MOR6" s="577"/>
      <c r="MOS6" s="577"/>
      <c r="MOT6" s="577"/>
      <c r="MOU6" s="577"/>
      <c r="MOV6" s="577"/>
      <c r="MOW6" s="577"/>
      <c r="MOX6" s="577"/>
      <c r="MOY6" s="577"/>
      <c r="MOZ6" s="577"/>
      <c r="MPA6" s="577"/>
      <c r="MPB6" s="577"/>
      <c r="MPC6" s="577"/>
      <c r="MPD6" s="577"/>
      <c r="MPE6" s="577"/>
      <c r="MPF6" s="577"/>
      <c r="MPG6" s="577"/>
      <c r="MPH6" s="577"/>
      <c r="MPI6" s="577"/>
      <c r="MPJ6" s="577"/>
      <c r="MPK6" s="577"/>
      <c r="MPL6" s="577"/>
      <c r="MPM6" s="577"/>
      <c r="MPN6" s="577"/>
      <c r="MPO6" s="577"/>
      <c r="MPP6" s="577"/>
      <c r="MPQ6" s="577"/>
      <c r="MPR6" s="577"/>
      <c r="MPS6" s="577"/>
      <c r="MPT6" s="577"/>
      <c r="MPU6" s="577"/>
      <c r="MPV6" s="577"/>
      <c r="MPW6" s="577"/>
      <c r="MPX6" s="577"/>
      <c r="MPY6" s="577"/>
      <c r="MPZ6" s="577"/>
      <c r="MQA6" s="577"/>
      <c r="MQB6" s="577"/>
      <c r="MQC6" s="577"/>
      <c r="MQD6" s="577"/>
      <c r="MQE6" s="577"/>
      <c r="MQF6" s="577"/>
      <c r="MQG6" s="577"/>
      <c r="MQH6" s="577"/>
      <c r="MQI6" s="577"/>
      <c r="MQJ6" s="577"/>
      <c r="MQK6" s="577"/>
      <c r="MQL6" s="577"/>
      <c r="MQM6" s="577"/>
      <c r="MQN6" s="577"/>
      <c r="MQO6" s="577"/>
      <c r="MQP6" s="577"/>
      <c r="MQQ6" s="577"/>
      <c r="MQR6" s="577"/>
      <c r="MQS6" s="577"/>
      <c r="MQT6" s="577"/>
      <c r="MQU6" s="577"/>
      <c r="MQV6" s="577"/>
      <c r="MQW6" s="577"/>
      <c r="MQX6" s="577"/>
      <c r="MQY6" s="577"/>
      <c r="MQZ6" s="577"/>
      <c r="MRA6" s="577"/>
      <c r="MRB6" s="577"/>
      <c r="MRC6" s="577"/>
      <c r="MRD6" s="577"/>
      <c r="MRE6" s="577"/>
      <c r="MRF6" s="577"/>
      <c r="MRG6" s="577"/>
      <c r="MRH6" s="577"/>
      <c r="MRI6" s="577"/>
      <c r="MRJ6" s="577"/>
      <c r="MRK6" s="577"/>
      <c r="MRL6" s="577"/>
      <c r="MRM6" s="577"/>
      <c r="MRN6" s="577"/>
      <c r="MRO6" s="577"/>
      <c r="MRP6" s="577"/>
      <c r="MRQ6" s="577"/>
      <c r="MRR6" s="577"/>
      <c r="MRS6" s="577"/>
      <c r="MRT6" s="577"/>
      <c r="MRU6" s="577"/>
      <c r="MRV6" s="577"/>
      <c r="MRW6" s="577"/>
      <c r="MRX6" s="577"/>
      <c r="MRY6" s="577"/>
      <c r="MRZ6" s="577"/>
      <c r="MSA6" s="577"/>
      <c r="MSB6" s="577"/>
      <c r="MSC6" s="577"/>
      <c r="MSD6" s="577"/>
      <c r="MSE6" s="577"/>
      <c r="MSF6" s="577"/>
      <c r="MSG6" s="577"/>
      <c r="MSH6" s="577"/>
      <c r="MSI6" s="577"/>
      <c r="MSJ6" s="577"/>
      <c r="MSK6" s="577"/>
      <c r="MSL6" s="577"/>
      <c r="MSM6" s="577"/>
      <c r="MSN6" s="577"/>
      <c r="MSO6" s="577"/>
      <c r="MSP6" s="577"/>
      <c r="MSQ6" s="577"/>
      <c r="MSR6" s="577"/>
      <c r="MSS6" s="577"/>
      <c r="MST6" s="577"/>
      <c r="MSU6" s="577"/>
      <c r="MSV6" s="577"/>
      <c r="MSW6" s="577"/>
      <c r="MSX6" s="577"/>
      <c r="MSY6" s="577"/>
      <c r="MSZ6" s="577"/>
      <c r="MTA6" s="577"/>
      <c r="MTB6" s="577"/>
      <c r="MTC6" s="577"/>
      <c r="MTD6" s="577"/>
      <c r="MTE6" s="577"/>
      <c r="MTF6" s="577"/>
      <c r="MTG6" s="577"/>
      <c r="MTH6" s="577"/>
      <c r="MTI6" s="577"/>
      <c r="MTJ6" s="577"/>
      <c r="MTK6" s="577"/>
      <c r="MTL6" s="577"/>
      <c r="MTM6" s="577"/>
      <c r="MTN6" s="577"/>
      <c r="MTO6" s="577"/>
      <c r="MTP6" s="577"/>
      <c r="MTQ6" s="577"/>
      <c r="MTR6" s="577"/>
      <c r="MTS6" s="577"/>
      <c r="MTT6" s="577"/>
      <c r="MTU6" s="577"/>
      <c r="MTV6" s="577"/>
      <c r="MTW6" s="577"/>
      <c r="MTX6" s="577"/>
      <c r="MTY6" s="577"/>
      <c r="MTZ6" s="577"/>
      <c r="MUA6" s="577"/>
      <c r="MUB6" s="577"/>
      <c r="MUC6" s="577"/>
      <c r="MUD6" s="577"/>
      <c r="MUE6" s="577"/>
      <c r="MUF6" s="577"/>
      <c r="MUG6" s="577"/>
      <c r="MUH6" s="577"/>
      <c r="MUI6" s="577"/>
      <c r="MUJ6" s="577"/>
      <c r="MUK6" s="577"/>
      <c r="MUL6" s="577"/>
      <c r="MUM6" s="577"/>
      <c r="MUN6" s="577"/>
      <c r="MUO6" s="577"/>
      <c r="MUP6" s="577"/>
      <c r="MUQ6" s="577"/>
      <c r="MUR6" s="577"/>
      <c r="MUS6" s="577"/>
      <c r="MUT6" s="577"/>
      <c r="MUU6" s="577"/>
      <c r="MUV6" s="577"/>
      <c r="MUW6" s="577"/>
      <c r="MUX6" s="577"/>
      <c r="MUY6" s="577"/>
      <c r="MUZ6" s="577"/>
      <c r="MVA6" s="577"/>
      <c r="MVB6" s="577"/>
      <c r="MVC6" s="577"/>
      <c r="MVD6" s="577"/>
      <c r="MVE6" s="577"/>
      <c r="MVF6" s="577"/>
      <c r="MVG6" s="577"/>
      <c r="MVH6" s="577"/>
      <c r="MVI6" s="577"/>
      <c r="MVJ6" s="577"/>
      <c r="MVK6" s="577"/>
      <c r="MVL6" s="577"/>
      <c r="MVM6" s="577"/>
      <c r="MVN6" s="577"/>
      <c r="MVO6" s="577"/>
      <c r="MVP6" s="577"/>
      <c r="MVQ6" s="577"/>
      <c r="MVR6" s="577"/>
      <c r="MVS6" s="577"/>
      <c r="MVT6" s="577"/>
      <c r="MVU6" s="577"/>
      <c r="MVV6" s="577"/>
      <c r="MVW6" s="577"/>
      <c r="MVX6" s="577"/>
      <c r="MVY6" s="577"/>
      <c r="MVZ6" s="577"/>
      <c r="MWA6" s="577"/>
      <c r="MWB6" s="577"/>
      <c r="MWC6" s="577"/>
      <c r="MWD6" s="577"/>
      <c r="MWE6" s="577"/>
      <c r="MWF6" s="577"/>
      <c r="MWG6" s="577"/>
      <c r="MWH6" s="577"/>
      <c r="MWI6" s="577"/>
      <c r="MWJ6" s="577"/>
      <c r="MWK6" s="577"/>
      <c r="MWL6" s="577"/>
      <c r="MWM6" s="577"/>
      <c r="MWN6" s="577"/>
      <c r="MWO6" s="577"/>
      <c r="MWP6" s="577"/>
      <c r="MWQ6" s="577"/>
      <c r="MWR6" s="577"/>
      <c r="MWS6" s="577"/>
      <c r="MWT6" s="577"/>
      <c r="MWU6" s="577"/>
      <c r="MWV6" s="577"/>
      <c r="MWW6" s="577"/>
      <c r="MWX6" s="577"/>
      <c r="MWY6" s="577"/>
      <c r="MWZ6" s="577"/>
      <c r="MXA6" s="577"/>
      <c r="MXB6" s="577"/>
      <c r="MXC6" s="577"/>
      <c r="MXD6" s="577"/>
      <c r="MXE6" s="577"/>
      <c r="MXF6" s="577"/>
      <c r="MXG6" s="577"/>
      <c r="MXH6" s="577"/>
      <c r="MXI6" s="577"/>
      <c r="MXJ6" s="577"/>
      <c r="MXK6" s="577"/>
      <c r="MXL6" s="577"/>
      <c r="MXM6" s="577"/>
      <c r="MXN6" s="577"/>
      <c r="MXO6" s="577"/>
      <c r="MXP6" s="577"/>
      <c r="MXQ6" s="577"/>
      <c r="MXR6" s="577"/>
      <c r="MXS6" s="577"/>
      <c r="MXT6" s="577"/>
      <c r="MXU6" s="577"/>
      <c r="MXV6" s="577"/>
      <c r="MXW6" s="577"/>
      <c r="MXX6" s="577"/>
      <c r="MXY6" s="577"/>
      <c r="MXZ6" s="577"/>
      <c r="MYA6" s="577"/>
      <c r="MYB6" s="577"/>
      <c r="MYC6" s="577"/>
      <c r="MYD6" s="577"/>
      <c r="MYE6" s="577"/>
      <c r="MYF6" s="577"/>
      <c r="MYG6" s="577"/>
      <c r="MYH6" s="577"/>
      <c r="MYI6" s="577"/>
      <c r="MYJ6" s="577"/>
      <c r="MYK6" s="577"/>
      <c r="MYL6" s="577"/>
      <c r="MYM6" s="577"/>
      <c r="MYN6" s="577"/>
      <c r="MYO6" s="577"/>
      <c r="MYP6" s="577"/>
      <c r="MYQ6" s="577"/>
      <c r="MYR6" s="577"/>
      <c r="MYS6" s="577"/>
      <c r="MYT6" s="577"/>
      <c r="MYU6" s="577"/>
      <c r="MYV6" s="577"/>
      <c r="MYW6" s="577"/>
      <c r="MYX6" s="577"/>
      <c r="MYY6" s="577"/>
      <c r="MYZ6" s="577"/>
      <c r="MZA6" s="577"/>
      <c r="MZB6" s="577"/>
      <c r="MZC6" s="577"/>
      <c r="MZD6" s="577"/>
      <c r="MZE6" s="577"/>
      <c r="MZF6" s="577"/>
      <c r="MZG6" s="577"/>
      <c r="MZH6" s="577"/>
      <c r="MZI6" s="577"/>
      <c r="MZJ6" s="577"/>
      <c r="MZK6" s="577"/>
      <c r="MZL6" s="577"/>
      <c r="MZM6" s="577"/>
      <c r="MZN6" s="577"/>
      <c r="MZO6" s="577"/>
      <c r="MZP6" s="577"/>
      <c r="MZQ6" s="577"/>
      <c r="MZR6" s="577"/>
      <c r="MZS6" s="577"/>
      <c r="MZT6" s="577"/>
      <c r="MZU6" s="577"/>
      <c r="MZV6" s="577"/>
      <c r="MZW6" s="577"/>
      <c r="MZX6" s="577"/>
      <c r="MZY6" s="577"/>
      <c r="MZZ6" s="577"/>
      <c r="NAA6" s="577"/>
      <c r="NAB6" s="577"/>
      <c r="NAC6" s="577"/>
      <c r="NAD6" s="577"/>
      <c r="NAE6" s="577"/>
      <c r="NAF6" s="577"/>
      <c r="NAG6" s="577"/>
      <c r="NAH6" s="577"/>
      <c r="NAI6" s="577"/>
      <c r="NAJ6" s="577"/>
      <c r="NAK6" s="577"/>
      <c r="NAL6" s="577"/>
      <c r="NAM6" s="577"/>
      <c r="NAN6" s="577"/>
      <c r="NAO6" s="577"/>
      <c r="NAP6" s="577"/>
      <c r="NAQ6" s="577"/>
      <c r="NAR6" s="577"/>
      <c r="NAS6" s="577"/>
      <c r="NAT6" s="577"/>
      <c r="NAU6" s="577"/>
      <c r="NAV6" s="577"/>
      <c r="NAW6" s="577"/>
      <c r="NAX6" s="577"/>
      <c r="NAY6" s="577"/>
      <c r="NAZ6" s="577"/>
      <c r="NBA6" s="577"/>
      <c r="NBB6" s="577"/>
      <c r="NBC6" s="577"/>
      <c r="NBD6" s="577"/>
      <c r="NBE6" s="577"/>
      <c r="NBF6" s="577"/>
      <c r="NBG6" s="577"/>
      <c r="NBH6" s="577"/>
      <c r="NBI6" s="577"/>
      <c r="NBJ6" s="577"/>
      <c r="NBK6" s="577"/>
      <c r="NBL6" s="577"/>
      <c r="NBM6" s="577"/>
      <c r="NBN6" s="577"/>
      <c r="NBO6" s="577"/>
      <c r="NBP6" s="577"/>
      <c r="NBQ6" s="577"/>
      <c r="NBR6" s="577"/>
      <c r="NBS6" s="577"/>
      <c r="NBT6" s="577"/>
      <c r="NBU6" s="577"/>
      <c r="NBV6" s="577"/>
      <c r="NBW6" s="577"/>
      <c r="NBX6" s="577"/>
      <c r="NBY6" s="577"/>
      <c r="NBZ6" s="577"/>
      <c r="NCA6" s="577"/>
      <c r="NCB6" s="577"/>
      <c r="NCC6" s="577"/>
      <c r="NCD6" s="577"/>
      <c r="NCE6" s="577"/>
      <c r="NCF6" s="577"/>
      <c r="NCG6" s="577"/>
      <c r="NCH6" s="577"/>
      <c r="NCI6" s="577"/>
      <c r="NCJ6" s="577"/>
      <c r="NCK6" s="577"/>
      <c r="NCL6" s="577"/>
      <c r="NCM6" s="577"/>
      <c r="NCN6" s="577"/>
      <c r="NCO6" s="577"/>
      <c r="NCP6" s="577"/>
      <c r="NCQ6" s="577"/>
      <c r="NCR6" s="577"/>
      <c r="NCS6" s="577"/>
      <c r="NCT6" s="577"/>
      <c r="NCU6" s="577"/>
      <c r="NCV6" s="577"/>
      <c r="NCW6" s="577"/>
      <c r="NCX6" s="577"/>
      <c r="NCY6" s="577"/>
      <c r="NCZ6" s="577"/>
      <c r="NDA6" s="577"/>
      <c r="NDB6" s="577"/>
      <c r="NDC6" s="577"/>
      <c r="NDD6" s="577"/>
      <c r="NDE6" s="577"/>
      <c r="NDF6" s="577"/>
      <c r="NDG6" s="577"/>
      <c r="NDH6" s="577"/>
      <c r="NDI6" s="577"/>
      <c r="NDJ6" s="577"/>
      <c r="NDK6" s="577"/>
      <c r="NDL6" s="577"/>
      <c r="NDM6" s="577"/>
      <c r="NDN6" s="577"/>
      <c r="NDO6" s="577"/>
      <c r="NDP6" s="577"/>
      <c r="NDQ6" s="577"/>
      <c r="NDR6" s="577"/>
      <c r="NDS6" s="577"/>
      <c r="NDT6" s="577"/>
      <c r="NDU6" s="577"/>
      <c r="NDV6" s="577"/>
      <c r="NDW6" s="577"/>
      <c r="NDX6" s="577"/>
      <c r="NDY6" s="577"/>
      <c r="NDZ6" s="577"/>
      <c r="NEA6" s="577"/>
      <c r="NEB6" s="577"/>
      <c r="NEC6" s="577"/>
      <c r="NED6" s="577"/>
      <c r="NEE6" s="577"/>
      <c r="NEF6" s="577"/>
      <c r="NEG6" s="577"/>
      <c r="NEH6" s="577"/>
      <c r="NEI6" s="577"/>
      <c r="NEJ6" s="577"/>
      <c r="NEK6" s="577"/>
      <c r="NEL6" s="577"/>
      <c r="NEM6" s="577"/>
      <c r="NEN6" s="577"/>
      <c r="NEO6" s="577"/>
      <c r="NEP6" s="577"/>
      <c r="NEQ6" s="577"/>
      <c r="NER6" s="577"/>
      <c r="NES6" s="577"/>
      <c r="NET6" s="577"/>
      <c r="NEU6" s="577"/>
      <c r="NEV6" s="577"/>
      <c r="NEW6" s="577"/>
      <c r="NEX6" s="577"/>
      <c r="NEY6" s="577"/>
      <c r="NEZ6" s="577"/>
      <c r="NFA6" s="577"/>
      <c r="NFB6" s="577"/>
      <c r="NFC6" s="577"/>
      <c r="NFD6" s="577"/>
      <c r="NFE6" s="577"/>
      <c r="NFF6" s="577"/>
      <c r="NFG6" s="577"/>
      <c r="NFH6" s="577"/>
      <c r="NFI6" s="577"/>
      <c r="NFJ6" s="577"/>
      <c r="NFK6" s="577"/>
      <c r="NFL6" s="577"/>
      <c r="NFM6" s="577"/>
      <c r="NFN6" s="577"/>
      <c r="NFO6" s="577"/>
      <c r="NFP6" s="577"/>
      <c r="NFQ6" s="577"/>
      <c r="NFR6" s="577"/>
      <c r="NFS6" s="577"/>
      <c r="NFT6" s="577"/>
      <c r="NFU6" s="577"/>
      <c r="NFV6" s="577"/>
      <c r="NFW6" s="577"/>
      <c r="NFX6" s="577"/>
      <c r="NFY6" s="577"/>
      <c r="NFZ6" s="577"/>
      <c r="NGA6" s="577"/>
      <c r="NGB6" s="577"/>
      <c r="NGC6" s="577"/>
      <c r="NGD6" s="577"/>
      <c r="NGE6" s="577"/>
      <c r="NGF6" s="577"/>
      <c r="NGG6" s="577"/>
      <c r="NGH6" s="577"/>
      <c r="NGI6" s="577"/>
      <c r="NGJ6" s="577"/>
      <c r="NGK6" s="577"/>
      <c r="NGL6" s="577"/>
      <c r="NGM6" s="577"/>
      <c r="NGN6" s="577"/>
      <c r="NGO6" s="577"/>
      <c r="NGP6" s="577"/>
      <c r="NGQ6" s="577"/>
      <c r="NGR6" s="577"/>
      <c r="NGS6" s="577"/>
      <c r="NGT6" s="577"/>
      <c r="NGU6" s="577"/>
      <c r="NGV6" s="577"/>
      <c r="NGW6" s="577"/>
      <c r="NGX6" s="577"/>
      <c r="NGY6" s="577"/>
      <c r="NGZ6" s="577"/>
      <c r="NHA6" s="577"/>
      <c r="NHB6" s="577"/>
      <c r="NHC6" s="577"/>
      <c r="NHD6" s="577"/>
      <c r="NHE6" s="577"/>
      <c r="NHF6" s="577"/>
      <c r="NHG6" s="577"/>
      <c r="NHH6" s="577"/>
      <c r="NHI6" s="577"/>
      <c r="NHJ6" s="577"/>
      <c r="NHK6" s="577"/>
      <c r="NHL6" s="577"/>
      <c r="NHM6" s="577"/>
      <c r="NHN6" s="577"/>
      <c r="NHO6" s="577"/>
      <c r="NHP6" s="577"/>
      <c r="NHQ6" s="577"/>
      <c r="NHR6" s="577"/>
      <c r="NHS6" s="577"/>
      <c r="NHT6" s="577"/>
      <c r="NHU6" s="577"/>
      <c r="NHV6" s="577"/>
      <c r="NHW6" s="577"/>
      <c r="NHX6" s="577"/>
      <c r="NHY6" s="577"/>
      <c r="NHZ6" s="577"/>
      <c r="NIA6" s="577"/>
      <c r="NIB6" s="577"/>
      <c r="NIC6" s="577"/>
      <c r="NID6" s="577"/>
      <c r="NIE6" s="577"/>
      <c r="NIF6" s="577"/>
      <c r="NIG6" s="577"/>
      <c r="NIH6" s="577"/>
      <c r="NII6" s="577"/>
      <c r="NIJ6" s="577"/>
      <c r="NIK6" s="577"/>
      <c r="NIL6" s="577"/>
      <c r="NIM6" s="577"/>
      <c r="NIN6" s="577"/>
      <c r="NIO6" s="577"/>
      <c r="NIP6" s="577"/>
      <c r="NIQ6" s="577"/>
      <c r="NIR6" s="577"/>
      <c r="NIS6" s="577"/>
      <c r="NIT6" s="577"/>
      <c r="NIU6" s="577"/>
      <c r="NIV6" s="577"/>
      <c r="NIW6" s="577"/>
      <c r="NIX6" s="577"/>
      <c r="NIY6" s="577"/>
      <c r="NIZ6" s="577"/>
      <c r="NJA6" s="577"/>
      <c r="NJB6" s="577"/>
      <c r="NJC6" s="577"/>
      <c r="NJD6" s="577"/>
      <c r="NJE6" s="577"/>
      <c r="NJF6" s="577"/>
      <c r="NJG6" s="577"/>
      <c r="NJH6" s="577"/>
      <c r="NJI6" s="577"/>
      <c r="NJJ6" s="577"/>
      <c r="NJK6" s="577"/>
      <c r="NJL6" s="577"/>
      <c r="NJM6" s="577"/>
      <c r="NJN6" s="577"/>
      <c r="NJO6" s="577"/>
      <c r="NJP6" s="577"/>
      <c r="NJQ6" s="577"/>
      <c r="NJR6" s="577"/>
      <c r="NJS6" s="577"/>
      <c r="NJT6" s="577"/>
      <c r="NJU6" s="577"/>
      <c r="NJV6" s="577"/>
      <c r="NJW6" s="577"/>
      <c r="NJX6" s="577"/>
      <c r="NJY6" s="577"/>
      <c r="NJZ6" s="577"/>
      <c r="NKA6" s="577"/>
      <c r="NKB6" s="577"/>
      <c r="NKC6" s="577"/>
      <c r="NKD6" s="577"/>
      <c r="NKE6" s="577"/>
      <c r="NKF6" s="577"/>
      <c r="NKG6" s="577"/>
      <c r="NKH6" s="577"/>
      <c r="NKI6" s="577"/>
      <c r="NKJ6" s="577"/>
      <c r="NKK6" s="577"/>
      <c r="NKL6" s="577"/>
      <c r="NKM6" s="577"/>
      <c r="NKN6" s="577"/>
      <c r="NKO6" s="577"/>
      <c r="NKP6" s="577"/>
      <c r="NKQ6" s="577"/>
      <c r="NKR6" s="577"/>
      <c r="NKS6" s="577"/>
      <c r="NKT6" s="577"/>
      <c r="NKU6" s="577"/>
      <c r="NKV6" s="577"/>
      <c r="NKW6" s="577"/>
      <c r="NKX6" s="577"/>
      <c r="NKY6" s="577"/>
      <c r="NKZ6" s="577"/>
      <c r="NLA6" s="577"/>
      <c r="NLB6" s="577"/>
      <c r="NLC6" s="577"/>
      <c r="NLD6" s="577"/>
      <c r="NLE6" s="577"/>
      <c r="NLF6" s="577"/>
      <c r="NLG6" s="577"/>
      <c r="NLH6" s="577"/>
      <c r="NLI6" s="577"/>
      <c r="NLJ6" s="577"/>
      <c r="NLK6" s="577"/>
      <c r="NLL6" s="577"/>
      <c r="NLM6" s="577"/>
      <c r="NLN6" s="577"/>
      <c r="NLO6" s="577"/>
      <c r="NLP6" s="577"/>
      <c r="NLQ6" s="577"/>
      <c r="NLR6" s="577"/>
      <c r="NLS6" s="577"/>
      <c r="NLT6" s="577"/>
      <c r="NLU6" s="577"/>
      <c r="NLV6" s="577"/>
      <c r="NLW6" s="577"/>
      <c r="NLX6" s="577"/>
      <c r="NLY6" s="577"/>
      <c r="NLZ6" s="577"/>
      <c r="NMA6" s="577"/>
      <c r="NMB6" s="577"/>
      <c r="NMC6" s="577"/>
      <c r="NMD6" s="577"/>
      <c r="NME6" s="577"/>
      <c r="NMF6" s="577"/>
      <c r="NMG6" s="577"/>
      <c r="NMH6" s="577"/>
      <c r="NMI6" s="577"/>
      <c r="NMJ6" s="577"/>
      <c r="NMK6" s="577"/>
      <c r="NML6" s="577"/>
      <c r="NMM6" s="577"/>
      <c r="NMN6" s="577"/>
      <c r="NMO6" s="577"/>
      <c r="NMP6" s="577"/>
      <c r="NMQ6" s="577"/>
      <c r="NMR6" s="577"/>
      <c r="NMS6" s="577"/>
      <c r="NMT6" s="577"/>
      <c r="NMU6" s="577"/>
      <c r="NMV6" s="577"/>
      <c r="NMW6" s="577"/>
      <c r="NMX6" s="577"/>
      <c r="NMY6" s="577"/>
      <c r="NMZ6" s="577"/>
      <c r="NNA6" s="577"/>
      <c r="NNB6" s="577"/>
      <c r="NNC6" s="577"/>
      <c r="NND6" s="577"/>
      <c r="NNE6" s="577"/>
      <c r="NNF6" s="577"/>
      <c r="NNG6" s="577"/>
      <c r="NNH6" s="577"/>
      <c r="NNI6" s="577"/>
      <c r="NNJ6" s="577"/>
      <c r="NNK6" s="577"/>
      <c r="NNL6" s="577"/>
      <c r="NNM6" s="577"/>
      <c r="NNN6" s="577"/>
      <c r="NNO6" s="577"/>
      <c r="NNP6" s="577"/>
      <c r="NNQ6" s="577"/>
      <c r="NNR6" s="577"/>
      <c r="NNS6" s="577"/>
      <c r="NNT6" s="577"/>
      <c r="NNU6" s="577"/>
      <c r="NNV6" s="577"/>
      <c r="NNW6" s="577"/>
      <c r="NNX6" s="577"/>
      <c r="NNY6" s="577"/>
      <c r="NNZ6" s="577"/>
      <c r="NOA6" s="577"/>
      <c r="NOB6" s="577"/>
      <c r="NOC6" s="577"/>
      <c r="NOD6" s="577"/>
      <c r="NOE6" s="577"/>
      <c r="NOF6" s="577"/>
      <c r="NOG6" s="577"/>
      <c r="NOH6" s="577"/>
      <c r="NOI6" s="577"/>
      <c r="NOJ6" s="577"/>
      <c r="NOK6" s="577"/>
      <c r="NOL6" s="577"/>
      <c r="NOM6" s="577"/>
      <c r="NON6" s="577"/>
      <c r="NOO6" s="577"/>
      <c r="NOP6" s="577"/>
      <c r="NOQ6" s="577"/>
      <c r="NOR6" s="577"/>
      <c r="NOS6" s="577"/>
      <c r="NOT6" s="577"/>
      <c r="NOU6" s="577"/>
      <c r="NOV6" s="577"/>
      <c r="NOW6" s="577"/>
      <c r="NOX6" s="577"/>
      <c r="NOY6" s="577"/>
      <c r="NOZ6" s="577"/>
      <c r="NPA6" s="577"/>
      <c r="NPB6" s="577"/>
      <c r="NPC6" s="577"/>
      <c r="NPD6" s="577"/>
      <c r="NPE6" s="577"/>
      <c r="NPF6" s="577"/>
      <c r="NPG6" s="577"/>
      <c r="NPH6" s="577"/>
      <c r="NPI6" s="577"/>
      <c r="NPJ6" s="577"/>
      <c r="NPK6" s="577"/>
      <c r="NPL6" s="577"/>
      <c r="NPM6" s="577"/>
      <c r="NPN6" s="577"/>
      <c r="NPO6" s="577"/>
      <c r="NPP6" s="577"/>
      <c r="NPQ6" s="577"/>
      <c r="NPR6" s="577"/>
      <c r="NPS6" s="577"/>
      <c r="NPT6" s="577"/>
      <c r="NPU6" s="577"/>
      <c r="NPV6" s="577"/>
      <c r="NPW6" s="577"/>
      <c r="NPX6" s="577"/>
      <c r="NPY6" s="577"/>
      <c r="NPZ6" s="577"/>
      <c r="NQA6" s="577"/>
      <c r="NQB6" s="577"/>
      <c r="NQC6" s="577"/>
      <c r="NQD6" s="577"/>
      <c r="NQE6" s="577"/>
      <c r="NQF6" s="577"/>
      <c r="NQG6" s="577"/>
      <c r="NQH6" s="577"/>
      <c r="NQI6" s="577"/>
      <c r="NQJ6" s="577"/>
      <c r="NQK6" s="577"/>
      <c r="NQL6" s="577"/>
      <c r="NQM6" s="577"/>
      <c r="NQN6" s="577"/>
      <c r="NQO6" s="577"/>
      <c r="NQP6" s="577"/>
      <c r="NQQ6" s="577"/>
      <c r="NQR6" s="577"/>
      <c r="NQS6" s="577"/>
      <c r="NQT6" s="577"/>
      <c r="NQU6" s="577"/>
      <c r="NQV6" s="577"/>
      <c r="NQW6" s="577"/>
      <c r="NQX6" s="577"/>
      <c r="NQY6" s="577"/>
      <c r="NQZ6" s="577"/>
      <c r="NRA6" s="577"/>
      <c r="NRB6" s="577"/>
      <c r="NRC6" s="577"/>
      <c r="NRD6" s="577"/>
      <c r="NRE6" s="577"/>
      <c r="NRF6" s="577"/>
      <c r="NRG6" s="577"/>
      <c r="NRH6" s="577"/>
      <c r="NRI6" s="577"/>
      <c r="NRJ6" s="577"/>
      <c r="NRK6" s="577"/>
      <c r="NRL6" s="577"/>
      <c r="NRM6" s="577"/>
      <c r="NRN6" s="577"/>
      <c r="NRO6" s="577"/>
      <c r="NRP6" s="577"/>
      <c r="NRQ6" s="577"/>
      <c r="NRR6" s="577"/>
      <c r="NRS6" s="577"/>
      <c r="NRT6" s="577"/>
      <c r="NRU6" s="577"/>
      <c r="NRV6" s="577"/>
      <c r="NRW6" s="577"/>
      <c r="NRX6" s="577"/>
      <c r="NRY6" s="577"/>
      <c r="NRZ6" s="577"/>
      <c r="NSA6" s="577"/>
      <c r="NSB6" s="577"/>
      <c r="NSC6" s="577"/>
      <c r="NSD6" s="577"/>
      <c r="NSE6" s="577"/>
      <c r="NSF6" s="577"/>
      <c r="NSG6" s="577"/>
      <c r="NSH6" s="577"/>
      <c r="NSI6" s="577"/>
      <c r="NSJ6" s="577"/>
      <c r="NSK6" s="577"/>
      <c r="NSL6" s="577"/>
      <c r="NSM6" s="577"/>
      <c r="NSN6" s="577"/>
      <c r="NSO6" s="577"/>
      <c r="NSP6" s="577"/>
      <c r="NSQ6" s="577"/>
      <c r="NSR6" s="577"/>
      <c r="NSS6" s="577"/>
      <c r="NST6" s="577"/>
      <c r="NSU6" s="577"/>
      <c r="NSV6" s="577"/>
      <c r="NSW6" s="577"/>
      <c r="NSX6" s="577"/>
      <c r="NSY6" s="577"/>
      <c r="NSZ6" s="577"/>
      <c r="NTA6" s="577"/>
      <c r="NTB6" s="577"/>
      <c r="NTC6" s="577"/>
      <c r="NTD6" s="577"/>
      <c r="NTE6" s="577"/>
      <c r="NTF6" s="577"/>
      <c r="NTG6" s="577"/>
      <c r="NTH6" s="577"/>
      <c r="NTI6" s="577"/>
      <c r="NTJ6" s="577"/>
      <c r="NTK6" s="577"/>
      <c r="NTL6" s="577"/>
      <c r="NTM6" s="577"/>
      <c r="NTN6" s="577"/>
      <c r="NTO6" s="577"/>
      <c r="NTP6" s="577"/>
      <c r="NTQ6" s="577"/>
      <c r="NTR6" s="577"/>
      <c r="NTS6" s="577"/>
      <c r="NTT6" s="577"/>
      <c r="NTU6" s="577"/>
      <c r="NTV6" s="577"/>
      <c r="NTW6" s="577"/>
      <c r="NTX6" s="577"/>
      <c r="NTY6" s="577"/>
      <c r="NTZ6" s="577"/>
      <c r="NUA6" s="577"/>
      <c r="NUB6" s="577"/>
      <c r="NUC6" s="577"/>
      <c r="NUD6" s="577"/>
      <c r="NUE6" s="577"/>
      <c r="NUF6" s="577"/>
      <c r="NUG6" s="577"/>
      <c r="NUH6" s="577"/>
      <c r="NUI6" s="577"/>
      <c r="NUJ6" s="577"/>
      <c r="NUK6" s="577"/>
      <c r="NUL6" s="577"/>
      <c r="NUM6" s="577"/>
      <c r="NUN6" s="577"/>
      <c r="NUO6" s="577"/>
      <c r="NUP6" s="577"/>
      <c r="NUQ6" s="577"/>
      <c r="NUR6" s="577"/>
      <c r="NUS6" s="577"/>
      <c r="NUT6" s="577"/>
      <c r="NUU6" s="577"/>
      <c r="NUV6" s="577"/>
      <c r="NUW6" s="577"/>
      <c r="NUX6" s="577"/>
      <c r="NUY6" s="577"/>
      <c r="NUZ6" s="577"/>
      <c r="NVA6" s="577"/>
      <c r="NVB6" s="577"/>
      <c r="NVC6" s="577"/>
      <c r="NVD6" s="577"/>
      <c r="NVE6" s="577"/>
      <c r="NVF6" s="577"/>
      <c r="NVG6" s="577"/>
      <c r="NVH6" s="577"/>
      <c r="NVI6" s="577"/>
      <c r="NVJ6" s="577"/>
      <c r="NVK6" s="577"/>
      <c r="NVL6" s="577"/>
      <c r="NVM6" s="577"/>
      <c r="NVN6" s="577"/>
      <c r="NVO6" s="577"/>
      <c r="NVP6" s="577"/>
      <c r="NVQ6" s="577"/>
      <c r="NVR6" s="577"/>
      <c r="NVS6" s="577"/>
      <c r="NVT6" s="577"/>
      <c r="NVU6" s="577"/>
      <c r="NVV6" s="577"/>
      <c r="NVW6" s="577"/>
      <c r="NVX6" s="577"/>
      <c r="NVY6" s="577"/>
      <c r="NVZ6" s="577"/>
      <c r="NWA6" s="577"/>
      <c r="NWB6" s="577"/>
      <c r="NWC6" s="577"/>
      <c r="NWD6" s="577"/>
      <c r="NWE6" s="577"/>
      <c r="NWF6" s="577"/>
      <c r="NWG6" s="577"/>
      <c r="NWH6" s="577"/>
      <c r="NWI6" s="577"/>
      <c r="NWJ6" s="577"/>
      <c r="NWK6" s="577"/>
      <c r="NWL6" s="577"/>
      <c r="NWM6" s="577"/>
      <c r="NWN6" s="577"/>
      <c r="NWO6" s="577"/>
      <c r="NWP6" s="577"/>
      <c r="NWQ6" s="577"/>
      <c r="NWR6" s="577"/>
      <c r="NWS6" s="577"/>
      <c r="NWT6" s="577"/>
      <c r="NWU6" s="577"/>
      <c r="NWV6" s="577"/>
      <c r="NWW6" s="577"/>
      <c r="NWX6" s="577"/>
      <c r="NWY6" s="577"/>
      <c r="NWZ6" s="577"/>
      <c r="NXA6" s="577"/>
      <c r="NXB6" s="577"/>
      <c r="NXC6" s="577"/>
      <c r="NXD6" s="577"/>
      <c r="NXE6" s="577"/>
      <c r="NXF6" s="577"/>
      <c r="NXG6" s="577"/>
      <c r="NXH6" s="577"/>
      <c r="NXI6" s="577"/>
      <c r="NXJ6" s="577"/>
      <c r="NXK6" s="577"/>
      <c r="NXL6" s="577"/>
      <c r="NXM6" s="577"/>
      <c r="NXN6" s="577"/>
      <c r="NXO6" s="577"/>
      <c r="NXP6" s="577"/>
      <c r="NXQ6" s="577"/>
      <c r="NXR6" s="577"/>
      <c r="NXS6" s="577"/>
      <c r="NXT6" s="577"/>
      <c r="NXU6" s="577"/>
      <c r="NXV6" s="577"/>
      <c r="NXW6" s="577"/>
      <c r="NXX6" s="577"/>
      <c r="NXY6" s="577"/>
      <c r="NXZ6" s="577"/>
      <c r="NYA6" s="577"/>
      <c r="NYB6" s="577"/>
      <c r="NYC6" s="577"/>
      <c r="NYD6" s="577"/>
      <c r="NYE6" s="577"/>
      <c r="NYF6" s="577"/>
      <c r="NYG6" s="577"/>
      <c r="NYH6" s="577"/>
      <c r="NYI6" s="577"/>
      <c r="NYJ6" s="577"/>
      <c r="NYK6" s="577"/>
      <c r="NYL6" s="577"/>
      <c r="NYM6" s="577"/>
      <c r="NYN6" s="577"/>
      <c r="NYO6" s="577"/>
      <c r="NYP6" s="577"/>
      <c r="NYQ6" s="577"/>
      <c r="NYR6" s="577"/>
      <c r="NYS6" s="577"/>
      <c r="NYT6" s="577"/>
      <c r="NYU6" s="577"/>
      <c r="NYV6" s="577"/>
      <c r="NYW6" s="577"/>
      <c r="NYX6" s="577"/>
      <c r="NYY6" s="577"/>
      <c r="NYZ6" s="577"/>
      <c r="NZA6" s="577"/>
      <c r="NZB6" s="577"/>
      <c r="NZC6" s="577"/>
      <c r="NZD6" s="577"/>
      <c r="NZE6" s="577"/>
      <c r="NZF6" s="577"/>
      <c r="NZG6" s="577"/>
      <c r="NZH6" s="577"/>
      <c r="NZI6" s="577"/>
      <c r="NZJ6" s="577"/>
      <c r="NZK6" s="577"/>
      <c r="NZL6" s="577"/>
      <c r="NZM6" s="577"/>
      <c r="NZN6" s="577"/>
      <c r="NZO6" s="577"/>
      <c r="NZP6" s="577"/>
      <c r="NZQ6" s="577"/>
      <c r="NZR6" s="577"/>
      <c r="NZS6" s="577"/>
      <c r="NZT6" s="577"/>
      <c r="NZU6" s="577"/>
      <c r="NZV6" s="577"/>
      <c r="NZW6" s="577"/>
      <c r="NZX6" s="577"/>
      <c r="NZY6" s="577"/>
      <c r="NZZ6" s="577"/>
      <c r="OAA6" s="577"/>
      <c r="OAB6" s="577"/>
      <c r="OAC6" s="577"/>
      <c r="OAD6" s="577"/>
      <c r="OAE6" s="577"/>
      <c r="OAF6" s="577"/>
      <c r="OAG6" s="577"/>
      <c r="OAH6" s="577"/>
      <c r="OAI6" s="577"/>
      <c r="OAJ6" s="577"/>
      <c r="OAK6" s="577"/>
      <c r="OAL6" s="577"/>
      <c r="OAM6" s="577"/>
      <c r="OAN6" s="577"/>
      <c r="OAO6" s="577"/>
      <c r="OAP6" s="577"/>
      <c r="OAQ6" s="577"/>
      <c r="OAR6" s="577"/>
      <c r="OAS6" s="577"/>
      <c r="OAT6" s="577"/>
      <c r="OAU6" s="577"/>
      <c r="OAV6" s="577"/>
      <c r="OAW6" s="577"/>
      <c r="OAX6" s="577"/>
      <c r="OAY6" s="577"/>
      <c r="OAZ6" s="577"/>
      <c r="OBA6" s="577"/>
      <c r="OBB6" s="577"/>
      <c r="OBC6" s="577"/>
      <c r="OBD6" s="577"/>
      <c r="OBE6" s="577"/>
      <c r="OBF6" s="577"/>
      <c r="OBG6" s="577"/>
      <c r="OBH6" s="577"/>
      <c r="OBI6" s="577"/>
      <c r="OBJ6" s="577"/>
      <c r="OBK6" s="577"/>
      <c r="OBL6" s="577"/>
      <c r="OBM6" s="577"/>
      <c r="OBN6" s="577"/>
      <c r="OBO6" s="577"/>
      <c r="OBP6" s="577"/>
      <c r="OBQ6" s="577"/>
      <c r="OBR6" s="577"/>
      <c r="OBS6" s="577"/>
      <c r="OBT6" s="577"/>
      <c r="OBU6" s="577"/>
      <c r="OBV6" s="577"/>
      <c r="OBW6" s="577"/>
      <c r="OBX6" s="577"/>
      <c r="OBY6" s="577"/>
      <c r="OBZ6" s="577"/>
      <c r="OCA6" s="577"/>
      <c r="OCB6" s="577"/>
      <c r="OCC6" s="577"/>
      <c r="OCD6" s="577"/>
      <c r="OCE6" s="577"/>
      <c r="OCF6" s="577"/>
      <c r="OCG6" s="577"/>
      <c r="OCH6" s="577"/>
      <c r="OCI6" s="577"/>
      <c r="OCJ6" s="577"/>
      <c r="OCK6" s="577"/>
      <c r="OCL6" s="577"/>
      <c r="OCM6" s="577"/>
      <c r="OCN6" s="577"/>
      <c r="OCO6" s="577"/>
      <c r="OCP6" s="577"/>
      <c r="OCQ6" s="577"/>
      <c r="OCR6" s="577"/>
      <c r="OCS6" s="577"/>
      <c r="OCT6" s="577"/>
      <c r="OCU6" s="577"/>
      <c r="OCV6" s="577"/>
      <c r="OCW6" s="577"/>
      <c r="OCX6" s="577"/>
      <c r="OCY6" s="577"/>
      <c r="OCZ6" s="577"/>
      <c r="ODA6" s="577"/>
      <c r="ODB6" s="577"/>
      <c r="ODC6" s="577"/>
      <c r="ODD6" s="577"/>
      <c r="ODE6" s="577"/>
      <c r="ODF6" s="577"/>
      <c r="ODG6" s="577"/>
      <c r="ODH6" s="577"/>
      <c r="ODI6" s="577"/>
      <c r="ODJ6" s="577"/>
      <c r="ODK6" s="577"/>
      <c r="ODL6" s="577"/>
      <c r="ODM6" s="577"/>
      <c r="ODN6" s="577"/>
      <c r="ODO6" s="577"/>
      <c r="ODP6" s="577"/>
      <c r="ODQ6" s="577"/>
      <c r="ODR6" s="577"/>
      <c r="ODS6" s="577"/>
      <c r="ODT6" s="577"/>
      <c r="ODU6" s="577"/>
      <c r="ODV6" s="577"/>
      <c r="ODW6" s="577"/>
      <c r="ODX6" s="577"/>
      <c r="ODY6" s="577"/>
      <c r="ODZ6" s="577"/>
      <c r="OEA6" s="577"/>
      <c r="OEB6" s="577"/>
      <c r="OEC6" s="577"/>
      <c r="OED6" s="577"/>
      <c r="OEE6" s="577"/>
      <c r="OEF6" s="577"/>
      <c r="OEG6" s="577"/>
      <c r="OEH6" s="577"/>
      <c r="OEI6" s="577"/>
      <c r="OEJ6" s="577"/>
      <c r="OEK6" s="577"/>
      <c r="OEL6" s="577"/>
      <c r="OEM6" s="577"/>
      <c r="OEN6" s="577"/>
      <c r="OEO6" s="577"/>
      <c r="OEP6" s="577"/>
      <c r="OEQ6" s="577"/>
      <c r="OER6" s="577"/>
      <c r="OES6" s="577"/>
      <c r="OET6" s="577"/>
      <c r="OEU6" s="577"/>
      <c r="OEV6" s="577"/>
      <c r="OEW6" s="577"/>
      <c r="OEX6" s="577"/>
      <c r="OEY6" s="577"/>
      <c r="OEZ6" s="577"/>
      <c r="OFA6" s="577"/>
      <c r="OFB6" s="577"/>
      <c r="OFC6" s="577"/>
      <c r="OFD6" s="577"/>
      <c r="OFE6" s="577"/>
      <c r="OFF6" s="577"/>
      <c r="OFG6" s="577"/>
      <c r="OFH6" s="577"/>
      <c r="OFI6" s="577"/>
      <c r="OFJ6" s="577"/>
      <c r="OFK6" s="577"/>
      <c r="OFL6" s="577"/>
      <c r="OFM6" s="577"/>
      <c r="OFN6" s="577"/>
      <c r="OFO6" s="577"/>
      <c r="OFP6" s="577"/>
      <c r="OFQ6" s="577"/>
      <c r="OFR6" s="577"/>
      <c r="OFS6" s="577"/>
      <c r="OFT6" s="577"/>
      <c r="OFU6" s="577"/>
      <c r="OFV6" s="577"/>
      <c r="OFW6" s="577"/>
      <c r="OFX6" s="577"/>
      <c r="OFY6" s="577"/>
      <c r="OFZ6" s="577"/>
      <c r="OGA6" s="577"/>
      <c r="OGB6" s="577"/>
      <c r="OGC6" s="577"/>
      <c r="OGD6" s="577"/>
      <c r="OGE6" s="577"/>
      <c r="OGF6" s="577"/>
      <c r="OGG6" s="577"/>
      <c r="OGH6" s="577"/>
      <c r="OGI6" s="577"/>
      <c r="OGJ6" s="577"/>
      <c r="OGK6" s="577"/>
      <c r="OGL6" s="577"/>
      <c r="OGM6" s="577"/>
      <c r="OGN6" s="577"/>
      <c r="OGO6" s="577"/>
      <c r="OGP6" s="577"/>
      <c r="OGQ6" s="577"/>
      <c r="OGR6" s="577"/>
      <c r="OGS6" s="577"/>
      <c r="OGT6" s="577"/>
      <c r="OGU6" s="577"/>
      <c r="OGV6" s="577"/>
      <c r="OGW6" s="577"/>
      <c r="OGX6" s="577"/>
      <c r="OGY6" s="577"/>
      <c r="OGZ6" s="577"/>
      <c r="OHA6" s="577"/>
      <c r="OHB6" s="577"/>
      <c r="OHC6" s="577"/>
      <c r="OHD6" s="577"/>
      <c r="OHE6" s="577"/>
      <c r="OHF6" s="577"/>
      <c r="OHG6" s="577"/>
      <c r="OHH6" s="577"/>
      <c r="OHI6" s="577"/>
      <c r="OHJ6" s="577"/>
      <c r="OHK6" s="577"/>
      <c r="OHL6" s="577"/>
      <c r="OHM6" s="577"/>
      <c r="OHN6" s="577"/>
      <c r="OHO6" s="577"/>
      <c r="OHP6" s="577"/>
      <c r="OHQ6" s="577"/>
      <c r="OHR6" s="577"/>
      <c r="OHS6" s="577"/>
      <c r="OHT6" s="577"/>
      <c r="OHU6" s="577"/>
      <c r="OHV6" s="577"/>
      <c r="OHW6" s="577"/>
      <c r="OHX6" s="577"/>
      <c r="OHY6" s="577"/>
      <c r="OHZ6" s="577"/>
      <c r="OIA6" s="577"/>
      <c r="OIB6" s="577"/>
      <c r="OIC6" s="577"/>
      <c r="OID6" s="577"/>
      <c r="OIE6" s="577"/>
      <c r="OIF6" s="577"/>
      <c r="OIG6" s="577"/>
      <c r="OIH6" s="577"/>
      <c r="OII6" s="577"/>
      <c r="OIJ6" s="577"/>
      <c r="OIK6" s="577"/>
      <c r="OIL6" s="577"/>
      <c r="OIM6" s="577"/>
      <c r="OIN6" s="577"/>
      <c r="OIO6" s="577"/>
      <c r="OIP6" s="577"/>
      <c r="OIQ6" s="577"/>
      <c r="OIR6" s="577"/>
      <c r="OIS6" s="577"/>
      <c r="OIT6" s="577"/>
      <c r="OIU6" s="577"/>
      <c r="OIV6" s="577"/>
      <c r="OIW6" s="577"/>
      <c r="OIX6" s="577"/>
      <c r="OIY6" s="577"/>
      <c r="OIZ6" s="577"/>
      <c r="OJA6" s="577"/>
      <c r="OJB6" s="577"/>
      <c r="OJC6" s="577"/>
      <c r="OJD6" s="577"/>
      <c r="OJE6" s="577"/>
      <c r="OJF6" s="577"/>
      <c r="OJG6" s="577"/>
      <c r="OJH6" s="577"/>
      <c r="OJI6" s="577"/>
      <c r="OJJ6" s="577"/>
      <c r="OJK6" s="577"/>
      <c r="OJL6" s="577"/>
      <c r="OJM6" s="577"/>
      <c r="OJN6" s="577"/>
      <c r="OJO6" s="577"/>
      <c r="OJP6" s="577"/>
      <c r="OJQ6" s="577"/>
      <c r="OJR6" s="577"/>
      <c r="OJS6" s="577"/>
      <c r="OJT6" s="577"/>
      <c r="OJU6" s="577"/>
      <c r="OJV6" s="577"/>
      <c r="OJW6" s="577"/>
      <c r="OJX6" s="577"/>
      <c r="OJY6" s="577"/>
      <c r="OJZ6" s="577"/>
      <c r="OKA6" s="577"/>
      <c r="OKB6" s="577"/>
      <c r="OKC6" s="577"/>
      <c r="OKD6" s="577"/>
      <c r="OKE6" s="577"/>
      <c r="OKF6" s="577"/>
      <c r="OKG6" s="577"/>
      <c r="OKH6" s="577"/>
      <c r="OKI6" s="577"/>
      <c r="OKJ6" s="577"/>
      <c r="OKK6" s="577"/>
      <c r="OKL6" s="577"/>
      <c r="OKM6" s="577"/>
      <c r="OKN6" s="577"/>
      <c r="OKO6" s="577"/>
      <c r="OKP6" s="577"/>
      <c r="OKQ6" s="577"/>
      <c r="OKR6" s="577"/>
      <c r="OKS6" s="577"/>
      <c r="OKT6" s="577"/>
      <c r="OKU6" s="577"/>
      <c r="OKV6" s="577"/>
      <c r="OKW6" s="577"/>
      <c r="OKX6" s="577"/>
      <c r="OKY6" s="577"/>
      <c r="OKZ6" s="577"/>
      <c r="OLA6" s="577"/>
      <c r="OLB6" s="577"/>
      <c r="OLC6" s="577"/>
      <c r="OLD6" s="577"/>
      <c r="OLE6" s="577"/>
      <c r="OLF6" s="577"/>
      <c r="OLG6" s="577"/>
      <c r="OLH6" s="577"/>
      <c r="OLI6" s="577"/>
      <c r="OLJ6" s="577"/>
      <c r="OLK6" s="577"/>
      <c r="OLL6" s="577"/>
      <c r="OLM6" s="577"/>
      <c r="OLN6" s="577"/>
      <c r="OLO6" s="577"/>
      <c r="OLP6" s="577"/>
      <c r="OLQ6" s="577"/>
      <c r="OLR6" s="577"/>
      <c r="OLS6" s="577"/>
      <c r="OLT6" s="577"/>
      <c r="OLU6" s="577"/>
      <c r="OLV6" s="577"/>
      <c r="OLW6" s="577"/>
      <c r="OLX6" s="577"/>
      <c r="OLY6" s="577"/>
      <c r="OLZ6" s="577"/>
      <c r="OMA6" s="577"/>
      <c r="OMB6" s="577"/>
      <c r="OMC6" s="577"/>
      <c r="OMD6" s="577"/>
      <c r="OME6" s="577"/>
      <c r="OMF6" s="577"/>
      <c r="OMG6" s="577"/>
      <c r="OMH6" s="577"/>
      <c r="OMI6" s="577"/>
      <c r="OMJ6" s="577"/>
      <c r="OMK6" s="577"/>
      <c r="OML6" s="577"/>
      <c r="OMM6" s="577"/>
      <c r="OMN6" s="577"/>
      <c r="OMO6" s="577"/>
      <c r="OMP6" s="577"/>
      <c r="OMQ6" s="577"/>
      <c r="OMR6" s="577"/>
      <c r="OMS6" s="577"/>
      <c r="OMT6" s="577"/>
      <c r="OMU6" s="577"/>
      <c r="OMV6" s="577"/>
      <c r="OMW6" s="577"/>
      <c r="OMX6" s="577"/>
      <c r="OMY6" s="577"/>
      <c r="OMZ6" s="577"/>
      <c r="ONA6" s="577"/>
      <c r="ONB6" s="577"/>
      <c r="ONC6" s="577"/>
      <c r="OND6" s="577"/>
      <c r="ONE6" s="577"/>
      <c r="ONF6" s="577"/>
      <c r="ONG6" s="577"/>
      <c r="ONH6" s="577"/>
      <c r="ONI6" s="577"/>
      <c r="ONJ6" s="577"/>
      <c r="ONK6" s="577"/>
      <c r="ONL6" s="577"/>
      <c r="ONM6" s="577"/>
      <c r="ONN6" s="577"/>
      <c r="ONO6" s="577"/>
      <c r="ONP6" s="577"/>
      <c r="ONQ6" s="577"/>
      <c r="ONR6" s="577"/>
      <c r="ONS6" s="577"/>
      <c r="ONT6" s="577"/>
      <c r="ONU6" s="577"/>
      <c r="ONV6" s="577"/>
      <c r="ONW6" s="577"/>
      <c r="ONX6" s="577"/>
      <c r="ONY6" s="577"/>
      <c r="ONZ6" s="577"/>
      <c r="OOA6" s="577"/>
      <c r="OOB6" s="577"/>
      <c r="OOC6" s="577"/>
      <c r="OOD6" s="577"/>
      <c r="OOE6" s="577"/>
      <c r="OOF6" s="577"/>
      <c r="OOG6" s="577"/>
      <c r="OOH6" s="577"/>
      <c r="OOI6" s="577"/>
      <c r="OOJ6" s="577"/>
      <c r="OOK6" s="577"/>
      <c r="OOL6" s="577"/>
      <c r="OOM6" s="577"/>
      <c r="OON6" s="577"/>
      <c r="OOO6" s="577"/>
      <c r="OOP6" s="577"/>
      <c r="OOQ6" s="577"/>
      <c r="OOR6" s="577"/>
      <c r="OOS6" s="577"/>
      <c r="OOT6" s="577"/>
      <c r="OOU6" s="577"/>
      <c r="OOV6" s="577"/>
      <c r="OOW6" s="577"/>
      <c r="OOX6" s="577"/>
      <c r="OOY6" s="577"/>
      <c r="OOZ6" s="577"/>
      <c r="OPA6" s="577"/>
      <c r="OPB6" s="577"/>
      <c r="OPC6" s="577"/>
      <c r="OPD6" s="577"/>
      <c r="OPE6" s="577"/>
      <c r="OPF6" s="577"/>
      <c r="OPG6" s="577"/>
      <c r="OPH6" s="577"/>
      <c r="OPI6" s="577"/>
      <c r="OPJ6" s="577"/>
      <c r="OPK6" s="577"/>
      <c r="OPL6" s="577"/>
      <c r="OPM6" s="577"/>
      <c r="OPN6" s="577"/>
      <c r="OPO6" s="577"/>
      <c r="OPP6" s="577"/>
      <c r="OPQ6" s="577"/>
      <c r="OPR6" s="577"/>
      <c r="OPS6" s="577"/>
      <c r="OPT6" s="577"/>
      <c r="OPU6" s="577"/>
      <c r="OPV6" s="577"/>
      <c r="OPW6" s="577"/>
      <c r="OPX6" s="577"/>
      <c r="OPY6" s="577"/>
      <c r="OPZ6" s="577"/>
      <c r="OQA6" s="577"/>
      <c r="OQB6" s="577"/>
      <c r="OQC6" s="577"/>
      <c r="OQD6" s="577"/>
      <c r="OQE6" s="577"/>
      <c r="OQF6" s="577"/>
      <c r="OQG6" s="577"/>
      <c r="OQH6" s="577"/>
      <c r="OQI6" s="577"/>
      <c r="OQJ6" s="577"/>
      <c r="OQK6" s="577"/>
      <c r="OQL6" s="577"/>
      <c r="OQM6" s="577"/>
      <c r="OQN6" s="577"/>
      <c r="OQO6" s="577"/>
      <c r="OQP6" s="577"/>
      <c r="OQQ6" s="577"/>
      <c r="OQR6" s="577"/>
      <c r="OQS6" s="577"/>
      <c r="OQT6" s="577"/>
      <c r="OQU6" s="577"/>
      <c r="OQV6" s="577"/>
      <c r="OQW6" s="577"/>
      <c r="OQX6" s="577"/>
      <c r="OQY6" s="577"/>
      <c r="OQZ6" s="577"/>
      <c r="ORA6" s="577"/>
      <c r="ORB6" s="577"/>
      <c r="ORC6" s="577"/>
      <c r="ORD6" s="577"/>
      <c r="ORE6" s="577"/>
      <c r="ORF6" s="577"/>
      <c r="ORG6" s="577"/>
      <c r="ORH6" s="577"/>
      <c r="ORI6" s="577"/>
      <c r="ORJ6" s="577"/>
      <c r="ORK6" s="577"/>
      <c r="ORL6" s="577"/>
      <c r="ORM6" s="577"/>
      <c r="ORN6" s="577"/>
      <c r="ORO6" s="577"/>
      <c r="ORP6" s="577"/>
      <c r="ORQ6" s="577"/>
      <c r="ORR6" s="577"/>
      <c r="ORS6" s="577"/>
      <c r="ORT6" s="577"/>
      <c r="ORU6" s="577"/>
      <c r="ORV6" s="577"/>
      <c r="ORW6" s="577"/>
      <c r="ORX6" s="577"/>
      <c r="ORY6" s="577"/>
      <c r="ORZ6" s="577"/>
      <c r="OSA6" s="577"/>
      <c r="OSB6" s="577"/>
      <c r="OSC6" s="577"/>
      <c r="OSD6" s="577"/>
      <c r="OSE6" s="577"/>
      <c r="OSF6" s="577"/>
      <c r="OSG6" s="577"/>
      <c r="OSH6" s="577"/>
      <c r="OSI6" s="577"/>
      <c r="OSJ6" s="577"/>
      <c r="OSK6" s="577"/>
      <c r="OSL6" s="577"/>
      <c r="OSM6" s="577"/>
      <c r="OSN6" s="577"/>
      <c r="OSO6" s="577"/>
      <c r="OSP6" s="577"/>
      <c r="OSQ6" s="577"/>
      <c r="OSR6" s="577"/>
      <c r="OSS6" s="577"/>
      <c r="OST6" s="577"/>
      <c r="OSU6" s="577"/>
      <c r="OSV6" s="577"/>
      <c r="OSW6" s="577"/>
      <c r="OSX6" s="577"/>
      <c r="OSY6" s="577"/>
      <c r="OSZ6" s="577"/>
      <c r="OTA6" s="577"/>
      <c r="OTB6" s="577"/>
      <c r="OTC6" s="577"/>
      <c r="OTD6" s="577"/>
      <c r="OTE6" s="577"/>
      <c r="OTF6" s="577"/>
      <c r="OTG6" s="577"/>
      <c r="OTH6" s="577"/>
      <c r="OTI6" s="577"/>
      <c r="OTJ6" s="577"/>
      <c r="OTK6" s="577"/>
      <c r="OTL6" s="577"/>
      <c r="OTM6" s="577"/>
      <c r="OTN6" s="577"/>
      <c r="OTO6" s="577"/>
      <c r="OTP6" s="577"/>
      <c r="OTQ6" s="577"/>
      <c r="OTR6" s="577"/>
      <c r="OTS6" s="577"/>
      <c r="OTT6" s="577"/>
      <c r="OTU6" s="577"/>
      <c r="OTV6" s="577"/>
      <c r="OTW6" s="577"/>
      <c r="OTX6" s="577"/>
      <c r="OTY6" s="577"/>
      <c r="OTZ6" s="577"/>
      <c r="OUA6" s="577"/>
      <c r="OUB6" s="577"/>
      <c r="OUC6" s="577"/>
      <c r="OUD6" s="577"/>
      <c r="OUE6" s="577"/>
      <c r="OUF6" s="577"/>
      <c r="OUG6" s="577"/>
      <c r="OUH6" s="577"/>
      <c r="OUI6" s="577"/>
      <c r="OUJ6" s="577"/>
      <c r="OUK6" s="577"/>
      <c r="OUL6" s="577"/>
      <c r="OUM6" s="577"/>
      <c r="OUN6" s="577"/>
      <c r="OUO6" s="577"/>
      <c r="OUP6" s="577"/>
      <c r="OUQ6" s="577"/>
      <c r="OUR6" s="577"/>
      <c r="OUS6" s="577"/>
      <c r="OUT6" s="577"/>
      <c r="OUU6" s="577"/>
      <c r="OUV6" s="577"/>
      <c r="OUW6" s="577"/>
      <c r="OUX6" s="577"/>
      <c r="OUY6" s="577"/>
      <c r="OUZ6" s="577"/>
      <c r="OVA6" s="577"/>
      <c r="OVB6" s="577"/>
      <c r="OVC6" s="577"/>
      <c r="OVD6" s="577"/>
      <c r="OVE6" s="577"/>
      <c r="OVF6" s="577"/>
      <c r="OVG6" s="577"/>
      <c r="OVH6" s="577"/>
      <c r="OVI6" s="577"/>
      <c r="OVJ6" s="577"/>
      <c r="OVK6" s="577"/>
      <c r="OVL6" s="577"/>
      <c r="OVM6" s="577"/>
      <c r="OVN6" s="577"/>
      <c r="OVO6" s="577"/>
      <c r="OVP6" s="577"/>
      <c r="OVQ6" s="577"/>
      <c r="OVR6" s="577"/>
      <c r="OVS6" s="577"/>
      <c r="OVT6" s="577"/>
      <c r="OVU6" s="577"/>
      <c r="OVV6" s="577"/>
      <c r="OVW6" s="577"/>
      <c r="OVX6" s="577"/>
      <c r="OVY6" s="577"/>
      <c r="OVZ6" s="577"/>
      <c r="OWA6" s="577"/>
      <c r="OWB6" s="577"/>
      <c r="OWC6" s="577"/>
      <c r="OWD6" s="577"/>
      <c r="OWE6" s="577"/>
      <c r="OWF6" s="577"/>
      <c r="OWG6" s="577"/>
      <c r="OWH6" s="577"/>
      <c r="OWI6" s="577"/>
      <c r="OWJ6" s="577"/>
      <c r="OWK6" s="577"/>
      <c r="OWL6" s="577"/>
      <c r="OWM6" s="577"/>
      <c r="OWN6" s="577"/>
      <c r="OWO6" s="577"/>
      <c r="OWP6" s="577"/>
      <c r="OWQ6" s="577"/>
      <c r="OWR6" s="577"/>
      <c r="OWS6" s="577"/>
      <c r="OWT6" s="577"/>
      <c r="OWU6" s="577"/>
      <c r="OWV6" s="577"/>
      <c r="OWW6" s="577"/>
      <c r="OWX6" s="577"/>
      <c r="OWY6" s="577"/>
      <c r="OWZ6" s="577"/>
      <c r="OXA6" s="577"/>
      <c r="OXB6" s="577"/>
      <c r="OXC6" s="577"/>
      <c r="OXD6" s="577"/>
      <c r="OXE6" s="577"/>
      <c r="OXF6" s="577"/>
      <c r="OXG6" s="577"/>
      <c r="OXH6" s="577"/>
      <c r="OXI6" s="577"/>
      <c r="OXJ6" s="577"/>
      <c r="OXK6" s="577"/>
      <c r="OXL6" s="577"/>
      <c r="OXM6" s="577"/>
      <c r="OXN6" s="577"/>
      <c r="OXO6" s="577"/>
      <c r="OXP6" s="577"/>
      <c r="OXQ6" s="577"/>
      <c r="OXR6" s="577"/>
      <c r="OXS6" s="577"/>
      <c r="OXT6" s="577"/>
      <c r="OXU6" s="577"/>
      <c r="OXV6" s="577"/>
      <c r="OXW6" s="577"/>
      <c r="OXX6" s="577"/>
      <c r="OXY6" s="577"/>
      <c r="OXZ6" s="577"/>
      <c r="OYA6" s="577"/>
      <c r="OYB6" s="577"/>
      <c r="OYC6" s="577"/>
      <c r="OYD6" s="577"/>
      <c r="OYE6" s="577"/>
      <c r="OYF6" s="577"/>
      <c r="OYG6" s="577"/>
      <c r="OYH6" s="577"/>
      <c r="OYI6" s="577"/>
      <c r="OYJ6" s="577"/>
      <c r="OYK6" s="577"/>
      <c r="OYL6" s="577"/>
      <c r="OYM6" s="577"/>
      <c r="OYN6" s="577"/>
      <c r="OYO6" s="577"/>
      <c r="OYP6" s="577"/>
      <c r="OYQ6" s="577"/>
      <c r="OYR6" s="577"/>
      <c r="OYS6" s="577"/>
      <c r="OYT6" s="577"/>
      <c r="OYU6" s="577"/>
      <c r="OYV6" s="577"/>
      <c r="OYW6" s="577"/>
      <c r="OYX6" s="577"/>
      <c r="OYY6" s="577"/>
      <c r="OYZ6" s="577"/>
      <c r="OZA6" s="577"/>
      <c r="OZB6" s="577"/>
      <c r="OZC6" s="577"/>
      <c r="OZD6" s="577"/>
      <c r="OZE6" s="577"/>
      <c r="OZF6" s="577"/>
      <c r="OZG6" s="577"/>
      <c r="OZH6" s="577"/>
      <c r="OZI6" s="577"/>
      <c r="OZJ6" s="577"/>
      <c r="OZK6" s="577"/>
      <c r="OZL6" s="577"/>
      <c r="OZM6" s="577"/>
      <c r="OZN6" s="577"/>
      <c r="OZO6" s="577"/>
      <c r="OZP6" s="577"/>
      <c r="OZQ6" s="577"/>
      <c r="OZR6" s="577"/>
      <c r="OZS6" s="577"/>
      <c r="OZT6" s="577"/>
      <c r="OZU6" s="577"/>
      <c r="OZV6" s="577"/>
      <c r="OZW6" s="577"/>
      <c r="OZX6" s="577"/>
      <c r="OZY6" s="577"/>
      <c r="OZZ6" s="577"/>
      <c r="PAA6" s="577"/>
      <c r="PAB6" s="577"/>
      <c r="PAC6" s="577"/>
      <c r="PAD6" s="577"/>
      <c r="PAE6" s="577"/>
      <c r="PAF6" s="577"/>
      <c r="PAG6" s="577"/>
      <c r="PAH6" s="577"/>
      <c r="PAI6" s="577"/>
      <c r="PAJ6" s="577"/>
      <c r="PAK6" s="577"/>
      <c r="PAL6" s="577"/>
      <c r="PAM6" s="577"/>
      <c r="PAN6" s="577"/>
      <c r="PAO6" s="577"/>
      <c r="PAP6" s="577"/>
      <c r="PAQ6" s="577"/>
      <c r="PAR6" s="577"/>
      <c r="PAS6" s="577"/>
      <c r="PAT6" s="577"/>
      <c r="PAU6" s="577"/>
      <c r="PAV6" s="577"/>
      <c r="PAW6" s="577"/>
      <c r="PAX6" s="577"/>
      <c r="PAY6" s="577"/>
      <c r="PAZ6" s="577"/>
      <c r="PBA6" s="577"/>
      <c r="PBB6" s="577"/>
      <c r="PBC6" s="577"/>
      <c r="PBD6" s="577"/>
      <c r="PBE6" s="577"/>
      <c r="PBF6" s="577"/>
      <c r="PBG6" s="577"/>
      <c r="PBH6" s="577"/>
      <c r="PBI6" s="577"/>
      <c r="PBJ6" s="577"/>
      <c r="PBK6" s="577"/>
      <c r="PBL6" s="577"/>
      <c r="PBM6" s="577"/>
      <c r="PBN6" s="577"/>
      <c r="PBO6" s="577"/>
      <c r="PBP6" s="577"/>
      <c r="PBQ6" s="577"/>
      <c r="PBR6" s="577"/>
      <c r="PBS6" s="577"/>
      <c r="PBT6" s="577"/>
      <c r="PBU6" s="577"/>
      <c r="PBV6" s="577"/>
      <c r="PBW6" s="577"/>
      <c r="PBX6" s="577"/>
      <c r="PBY6" s="577"/>
      <c r="PBZ6" s="577"/>
      <c r="PCA6" s="577"/>
      <c r="PCB6" s="577"/>
      <c r="PCC6" s="577"/>
      <c r="PCD6" s="577"/>
      <c r="PCE6" s="577"/>
      <c r="PCF6" s="577"/>
      <c r="PCG6" s="577"/>
      <c r="PCH6" s="577"/>
      <c r="PCI6" s="577"/>
      <c r="PCJ6" s="577"/>
      <c r="PCK6" s="577"/>
      <c r="PCL6" s="577"/>
      <c r="PCM6" s="577"/>
      <c r="PCN6" s="577"/>
      <c r="PCO6" s="577"/>
      <c r="PCP6" s="577"/>
      <c r="PCQ6" s="577"/>
      <c r="PCR6" s="577"/>
      <c r="PCS6" s="577"/>
      <c r="PCT6" s="577"/>
      <c r="PCU6" s="577"/>
      <c r="PCV6" s="577"/>
      <c r="PCW6" s="577"/>
      <c r="PCX6" s="577"/>
      <c r="PCY6" s="577"/>
      <c r="PCZ6" s="577"/>
      <c r="PDA6" s="577"/>
      <c r="PDB6" s="577"/>
      <c r="PDC6" s="577"/>
      <c r="PDD6" s="577"/>
      <c r="PDE6" s="577"/>
      <c r="PDF6" s="577"/>
      <c r="PDG6" s="577"/>
      <c r="PDH6" s="577"/>
      <c r="PDI6" s="577"/>
      <c r="PDJ6" s="577"/>
      <c r="PDK6" s="577"/>
      <c r="PDL6" s="577"/>
      <c r="PDM6" s="577"/>
      <c r="PDN6" s="577"/>
      <c r="PDO6" s="577"/>
      <c r="PDP6" s="577"/>
      <c r="PDQ6" s="577"/>
      <c r="PDR6" s="577"/>
      <c r="PDS6" s="577"/>
      <c r="PDT6" s="577"/>
      <c r="PDU6" s="577"/>
      <c r="PDV6" s="577"/>
      <c r="PDW6" s="577"/>
      <c r="PDX6" s="577"/>
      <c r="PDY6" s="577"/>
      <c r="PDZ6" s="577"/>
      <c r="PEA6" s="577"/>
      <c r="PEB6" s="577"/>
      <c r="PEC6" s="577"/>
      <c r="PED6" s="577"/>
      <c r="PEE6" s="577"/>
      <c r="PEF6" s="577"/>
      <c r="PEG6" s="577"/>
      <c r="PEH6" s="577"/>
      <c r="PEI6" s="577"/>
      <c r="PEJ6" s="577"/>
      <c r="PEK6" s="577"/>
      <c r="PEL6" s="577"/>
      <c r="PEM6" s="577"/>
      <c r="PEN6" s="577"/>
      <c r="PEO6" s="577"/>
      <c r="PEP6" s="577"/>
      <c r="PEQ6" s="577"/>
      <c r="PER6" s="577"/>
      <c r="PES6" s="577"/>
      <c r="PET6" s="577"/>
      <c r="PEU6" s="577"/>
      <c r="PEV6" s="577"/>
      <c r="PEW6" s="577"/>
      <c r="PEX6" s="577"/>
      <c r="PEY6" s="577"/>
      <c r="PEZ6" s="577"/>
      <c r="PFA6" s="577"/>
      <c r="PFB6" s="577"/>
      <c r="PFC6" s="577"/>
      <c r="PFD6" s="577"/>
      <c r="PFE6" s="577"/>
      <c r="PFF6" s="577"/>
      <c r="PFG6" s="577"/>
      <c r="PFH6" s="577"/>
      <c r="PFI6" s="577"/>
      <c r="PFJ6" s="577"/>
      <c r="PFK6" s="577"/>
      <c r="PFL6" s="577"/>
      <c r="PFM6" s="577"/>
      <c r="PFN6" s="577"/>
      <c r="PFO6" s="577"/>
      <c r="PFP6" s="577"/>
      <c r="PFQ6" s="577"/>
      <c r="PFR6" s="577"/>
      <c r="PFS6" s="577"/>
      <c r="PFT6" s="577"/>
      <c r="PFU6" s="577"/>
      <c r="PFV6" s="577"/>
      <c r="PFW6" s="577"/>
      <c r="PFX6" s="577"/>
      <c r="PFY6" s="577"/>
      <c r="PFZ6" s="577"/>
      <c r="PGA6" s="577"/>
      <c r="PGB6" s="577"/>
      <c r="PGC6" s="577"/>
      <c r="PGD6" s="577"/>
      <c r="PGE6" s="577"/>
      <c r="PGF6" s="577"/>
      <c r="PGG6" s="577"/>
      <c r="PGH6" s="577"/>
      <c r="PGI6" s="577"/>
      <c r="PGJ6" s="577"/>
      <c r="PGK6" s="577"/>
      <c r="PGL6" s="577"/>
      <c r="PGM6" s="577"/>
      <c r="PGN6" s="577"/>
      <c r="PGO6" s="577"/>
      <c r="PGP6" s="577"/>
      <c r="PGQ6" s="577"/>
      <c r="PGR6" s="577"/>
      <c r="PGS6" s="577"/>
      <c r="PGT6" s="577"/>
      <c r="PGU6" s="577"/>
      <c r="PGV6" s="577"/>
      <c r="PGW6" s="577"/>
      <c r="PGX6" s="577"/>
      <c r="PGY6" s="577"/>
      <c r="PGZ6" s="577"/>
      <c r="PHA6" s="577"/>
      <c r="PHB6" s="577"/>
      <c r="PHC6" s="577"/>
      <c r="PHD6" s="577"/>
      <c r="PHE6" s="577"/>
      <c r="PHF6" s="577"/>
      <c r="PHG6" s="577"/>
      <c r="PHH6" s="577"/>
      <c r="PHI6" s="577"/>
      <c r="PHJ6" s="577"/>
      <c r="PHK6" s="577"/>
      <c r="PHL6" s="577"/>
      <c r="PHM6" s="577"/>
      <c r="PHN6" s="577"/>
      <c r="PHO6" s="577"/>
      <c r="PHP6" s="577"/>
      <c r="PHQ6" s="577"/>
      <c r="PHR6" s="577"/>
      <c r="PHS6" s="577"/>
      <c r="PHT6" s="577"/>
      <c r="PHU6" s="577"/>
      <c r="PHV6" s="577"/>
      <c r="PHW6" s="577"/>
      <c r="PHX6" s="577"/>
      <c r="PHY6" s="577"/>
      <c r="PHZ6" s="577"/>
      <c r="PIA6" s="577"/>
      <c r="PIB6" s="577"/>
      <c r="PIC6" s="577"/>
      <c r="PID6" s="577"/>
      <c r="PIE6" s="577"/>
      <c r="PIF6" s="577"/>
      <c r="PIG6" s="577"/>
      <c r="PIH6" s="577"/>
      <c r="PII6" s="577"/>
      <c r="PIJ6" s="577"/>
      <c r="PIK6" s="577"/>
      <c r="PIL6" s="577"/>
      <c r="PIM6" s="577"/>
      <c r="PIN6" s="577"/>
      <c r="PIO6" s="577"/>
      <c r="PIP6" s="577"/>
      <c r="PIQ6" s="577"/>
      <c r="PIR6" s="577"/>
      <c r="PIS6" s="577"/>
      <c r="PIT6" s="577"/>
      <c r="PIU6" s="577"/>
      <c r="PIV6" s="577"/>
      <c r="PIW6" s="577"/>
      <c r="PIX6" s="577"/>
      <c r="PIY6" s="577"/>
      <c r="PIZ6" s="577"/>
      <c r="PJA6" s="577"/>
      <c r="PJB6" s="577"/>
      <c r="PJC6" s="577"/>
      <c r="PJD6" s="577"/>
      <c r="PJE6" s="577"/>
      <c r="PJF6" s="577"/>
      <c r="PJG6" s="577"/>
      <c r="PJH6" s="577"/>
      <c r="PJI6" s="577"/>
      <c r="PJJ6" s="577"/>
      <c r="PJK6" s="577"/>
      <c r="PJL6" s="577"/>
      <c r="PJM6" s="577"/>
      <c r="PJN6" s="577"/>
      <c r="PJO6" s="577"/>
      <c r="PJP6" s="577"/>
      <c r="PJQ6" s="577"/>
      <c r="PJR6" s="577"/>
      <c r="PJS6" s="577"/>
      <c r="PJT6" s="577"/>
      <c r="PJU6" s="577"/>
      <c r="PJV6" s="577"/>
      <c r="PJW6" s="577"/>
      <c r="PJX6" s="577"/>
      <c r="PJY6" s="577"/>
      <c r="PJZ6" s="577"/>
      <c r="PKA6" s="577"/>
      <c r="PKB6" s="577"/>
      <c r="PKC6" s="577"/>
      <c r="PKD6" s="577"/>
      <c r="PKE6" s="577"/>
      <c r="PKF6" s="577"/>
      <c r="PKG6" s="577"/>
      <c r="PKH6" s="577"/>
      <c r="PKI6" s="577"/>
      <c r="PKJ6" s="577"/>
      <c r="PKK6" s="577"/>
      <c r="PKL6" s="577"/>
      <c r="PKM6" s="577"/>
      <c r="PKN6" s="577"/>
      <c r="PKO6" s="577"/>
      <c r="PKP6" s="577"/>
      <c r="PKQ6" s="577"/>
      <c r="PKR6" s="577"/>
      <c r="PKS6" s="577"/>
      <c r="PKT6" s="577"/>
      <c r="PKU6" s="577"/>
      <c r="PKV6" s="577"/>
      <c r="PKW6" s="577"/>
      <c r="PKX6" s="577"/>
      <c r="PKY6" s="577"/>
      <c r="PKZ6" s="577"/>
      <c r="PLA6" s="577"/>
      <c r="PLB6" s="577"/>
      <c r="PLC6" s="577"/>
      <c r="PLD6" s="577"/>
      <c r="PLE6" s="577"/>
      <c r="PLF6" s="577"/>
      <c r="PLG6" s="577"/>
      <c r="PLH6" s="577"/>
      <c r="PLI6" s="577"/>
      <c r="PLJ6" s="577"/>
      <c r="PLK6" s="577"/>
      <c r="PLL6" s="577"/>
      <c r="PLM6" s="577"/>
      <c r="PLN6" s="577"/>
      <c r="PLO6" s="577"/>
      <c r="PLP6" s="577"/>
      <c r="PLQ6" s="577"/>
      <c r="PLR6" s="577"/>
      <c r="PLS6" s="577"/>
      <c r="PLT6" s="577"/>
      <c r="PLU6" s="577"/>
      <c r="PLV6" s="577"/>
      <c r="PLW6" s="577"/>
      <c r="PLX6" s="577"/>
      <c r="PLY6" s="577"/>
      <c r="PLZ6" s="577"/>
      <c r="PMA6" s="577"/>
      <c r="PMB6" s="577"/>
      <c r="PMC6" s="577"/>
      <c r="PMD6" s="577"/>
      <c r="PME6" s="577"/>
      <c r="PMF6" s="577"/>
      <c r="PMG6" s="577"/>
      <c r="PMH6" s="577"/>
      <c r="PMI6" s="577"/>
      <c r="PMJ6" s="577"/>
      <c r="PMK6" s="577"/>
      <c r="PML6" s="577"/>
      <c r="PMM6" s="577"/>
      <c r="PMN6" s="577"/>
      <c r="PMO6" s="577"/>
      <c r="PMP6" s="577"/>
      <c r="PMQ6" s="577"/>
      <c r="PMR6" s="577"/>
      <c r="PMS6" s="577"/>
      <c r="PMT6" s="577"/>
      <c r="PMU6" s="577"/>
      <c r="PMV6" s="577"/>
      <c r="PMW6" s="577"/>
      <c r="PMX6" s="577"/>
      <c r="PMY6" s="577"/>
      <c r="PMZ6" s="577"/>
      <c r="PNA6" s="577"/>
      <c r="PNB6" s="577"/>
      <c r="PNC6" s="577"/>
      <c r="PND6" s="577"/>
      <c r="PNE6" s="577"/>
      <c r="PNF6" s="577"/>
      <c r="PNG6" s="577"/>
      <c r="PNH6" s="577"/>
      <c r="PNI6" s="577"/>
      <c r="PNJ6" s="577"/>
      <c r="PNK6" s="577"/>
      <c r="PNL6" s="577"/>
      <c r="PNM6" s="577"/>
      <c r="PNN6" s="577"/>
      <c r="PNO6" s="577"/>
      <c r="PNP6" s="577"/>
      <c r="PNQ6" s="577"/>
      <c r="PNR6" s="577"/>
      <c r="PNS6" s="577"/>
      <c r="PNT6" s="577"/>
      <c r="PNU6" s="577"/>
      <c r="PNV6" s="577"/>
      <c r="PNW6" s="577"/>
      <c r="PNX6" s="577"/>
      <c r="PNY6" s="577"/>
      <c r="PNZ6" s="577"/>
      <c r="POA6" s="577"/>
      <c r="POB6" s="577"/>
      <c r="POC6" s="577"/>
      <c r="POD6" s="577"/>
      <c r="POE6" s="577"/>
      <c r="POF6" s="577"/>
      <c r="POG6" s="577"/>
      <c r="POH6" s="577"/>
      <c r="POI6" s="577"/>
      <c r="POJ6" s="577"/>
      <c r="POK6" s="577"/>
      <c r="POL6" s="577"/>
      <c r="POM6" s="577"/>
      <c r="PON6" s="577"/>
      <c r="POO6" s="577"/>
      <c r="POP6" s="577"/>
      <c r="POQ6" s="577"/>
      <c r="POR6" s="577"/>
      <c r="POS6" s="577"/>
      <c r="POT6" s="577"/>
      <c r="POU6" s="577"/>
      <c r="POV6" s="577"/>
      <c r="POW6" s="577"/>
      <c r="POX6" s="577"/>
      <c r="POY6" s="577"/>
      <c r="POZ6" s="577"/>
      <c r="PPA6" s="577"/>
      <c r="PPB6" s="577"/>
      <c r="PPC6" s="577"/>
      <c r="PPD6" s="577"/>
      <c r="PPE6" s="577"/>
      <c r="PPF6" s="577"/>
      <c r="PPG6" s="577"/>
      <c r="PPH6" s="577"/>
      <c r="PPI6" s="577"/>
      <c r="PPJ6" s="577"/>
      <c r="PPK6" s="577"/>
      <c r="PPL6" s="577"/>
      <c r="PPM6" s="577"/>
      <c r="PPN6" s="577"/>
      <c r="PPO6" s="577"/>
      <c r="PPP6" s="577"/>
      <c r="PPQ6" s="577"/>
      <c r="PPR6" s="577"/>
      <c r="PPS6" s="577"/>
      <c r="PPT6" s="577"/>
      <c r="PPU6" s="577"/>
      <c r="PPV6" s="577"/>
      <c r="PPW6" s="577"/>
      <c r="PPX6" s="577"/>
      <c r="PPY6" s="577"/>
      <c r="PPZ6" s="577"/>
      <c r="PQA6" s="577"/>
      <c r="PQB6" s="577"/>
      <c r="PQC6" s="577"/>
      <c r="PQD6" s="577"/>
      <c r="PQE6" s="577"/>
      <c r="PQF6" s="577"/>
      <c r="PQG6" s="577"/>
      <c r="PQH6" s="577"/>
      <c r="PQI6" s="577"/>
      <c r="PQJ6" s="577"/>
      <c r="PQK6" s="577"/>
      <c r="PQL6" s="577"/>
      <c r="PQM6" s="577"/>
      <c r="PQN6" s="577"/>
      <c r="PQO6" s="577"/>
      <c r="PQP6" s="577"/>
      <c r="PQQ6" s="577"/>
      <c r="PQR6" s="577"/>
      <c r="PQS6" s="577"/>
      <c r="PQT6" s="577"/>
      <c r="PQU6" s="577"/>
      <c r="PQV6" s="577"/>
      <c r="PQW6" s="577"/>
      <c r="PQX6" s="577"/>
      <c r="PQY6" s="577"/>
      <c r="PQZ6" s="577"/>
      <c r="PRA6" s="577"/>
      <c r="PRB6" s="577"/>
      <c r="PRC6" s="577"/>
      <c r="PRD6" s="577"/>
      <c r="PRE6" s="577"/>
      <c r="PRF6" s="577"/>
      <c r="PRG6" s="577"/>
      <c r="PRH6" s="577"/>
      <c r="PRI6" s="577"/>
      <c r="PRJ6" s="577"/>
      <c r="PRK6" s="577"/>
      <c r="PRL6" s="577"/>
      <c r="PRM6" s="577"/>
      <c r="PRN6" s="577"/>
      <c r="PRO6" s="577"/>
      <c r="PRP6" s="577"/>
      <c r="PRQ6" s="577"/>
      <c r="PRR6" s="577"/>
      <c r="PRS6" s="577"/>
      <c r="PRT6" s="577"/>
      <c r="PRU6" s="577"/>
      <c r="PRV6" s="577"/>
      <c r="PRW6" s="577"/>
      <c r="PRX6" s="577"/>
      <c r="PRY6" s="577"/>
      <c r="PRZ6" s="577"/>
      <c r="PSA6" s="577"/>
      <c r="PSB6" s="577"/>
      <c r="PSC6" s="577"/>
      <c r="PSD6" s="577"/>
      <c r="PSE6" s="577"/>
      <c r="PSF6" s="577"/>
      <c r="PSG6" s="577"/>
      <c r="PSH6" s="577"/>
      <c r="PSI6" s="577"/>
      <c r="PSJ6" s="577"/>
      <c r="PSK6" s="577"/>
      <c r="PSL6" s="577"/>
      <c r="PSM6" s="577"/>
      <c r="PSN6" s="577"/>
      <c r="PSO6" s="577"/>
      <c r="PSP6" s="577"/>
      <c r="PSQ6" s="577"/>
      <c r="PSR6" s="577"/>
      <c r="PSS6" s="577"/>
      <c r="PST6" s="577"/>
      <c r="PSU6" s="577"/>
      <c r="PSV6" s="577"/>
      <c r="PSW6" s="577"/>
      <c r="PSX6" s="577"/>
      <c r="PSY6" s="577"/>
      <c r="PSZ6" s="577"/>
      <c r="PTA6" s="577"/>
      <c r="PTB6" s="577"/>
      <c r="PTC6" s="577"/>
      <c r="PTD6" s="577"/>
      <c r="PTE6" s="577"/>
      <c r="PTF6" s="577"/>
      <c r="PTG6" s="577"/>
      <c r="PTH6" s="577"/>
      <c r="PTI6" s="577"/>
      <c r="PTJ6" s="577"/>
      <c r="PTK6" s="577"/>
      <c r="PTL6" s="577"/>
      <c r="PTM6" s="577"/>
      <c r="PTN6" s="577"/>
      <c r="PTO6" s="577"/>
      <c r="PTP6" s="577"/>
      <c r="PTQ6" s="577"/>
      <c r="PTR6" s="577"/>
      <c r="PTS6" s="577"/>
      <c r="PTT6" s="577"/>
      <c r="PTU6" s="577"/>
      <c r="PTV6" s="577"/>
      <c r="PTW6" s="577"/>
      <c r="PTX6" s="577"/>
      <c r="PTY6" s="577"/>
      <c r="PTZ6" s="577"/>
      <c r="PUA6" s="577"/>
      <c r="PUB6" s="577"/>
      <c r="PUC6" s="577"/>
      <c r="PUD6" s="577"/>
      <c r="PUE6" s="577"/>
      <c r="PUF6" s="577"/>
      <c r="PUG6" s="577"/>
      <c r="PUH6" s="577"/>
      <c r="PUI6" s="577"/>
      <c r="PUJ6" s="577"/>
      <c r="PUK6" s="577"/>
      <c r="PUL6" s="577"/>
      <c r="PUM6" s="577"/>
      <c r="PUN6" s="577"/>
      <c r="PUO6" s="577"/>
      <c r="PUP6" s="577"/>
      <c r="PUQ6" s="577"/>
      <c r="PUR6" s="577"/>
      <c r="PUS6" s="577"/>
      <c r="PUT6" s="577"/>
      <c r="PUU6" s="577"/>
      <c r="PUV6" s="577"/>
      <c r="PUW6" s="577"/>
      <c r="PUX6" s="577"/>
      <c r="PUY6" s="577"/>
      <c r="PUZ6" s="577"/>
      <c r="PVA6" s="577"/>
      <c r="PVB6" s="577"/>
      <c r="PVC6" s="577"/>
      <c r="PVD6" s="577"/>
      <c r="PVE6" s="577"/>
      <c r="PVF6" s="577"/>
      <c r="PVG6" s="577"/>
      <c r="PVH6" s="577"/>
      <c r="PVI6" s="577"/>
      <c r="PVJ6" s="577"/>
      <c r="PVK6" s="577"/>
      <c r="PVL6" s="577"/>
      <c r="PVM6" s="577"/>
      <c r="PVN6" s="577"/>
      <c r="PVO6" s="577"/>
      <c r="PVP6" s="577"/>
      <c r="PVQ6" s="577"/>
      <c r="PVR6" s="577"/>
      <c r="PVS6" s="577"/>
      <c r="PVT6" s="577"/>
      <c r="PVU6" s="577"/>
      <c r="PVV6" s="577"/>
      <c r="PVW6" s="577"/>
      <c r="PVX6" s="577"/>
      <c r="PVY6" s="577"/>
      <c r="PVZ6" s="577"/>
      <c r="PWA6" s="577"/>
      <c r="PWB6" s="577"/>
      <c r="PWC6" s="577"/>
      <c r="PWD6" s="577"/>
      <c r="PWE6" s="577"/>
      <c r="PWF6" s="577"/>
      <c r="PWG6" s="577"/>
      <c r="PWH6" s="577"/>
      <c r="PWI6" s="577"/>
      <c r="PWJ6" s="577"/>
      <c r="PWK6" s="577"/>
      <c r="PWL6" s="577"/>
      <c r="PWM6" s="577"/>
      <c r="PWN6" s="577"/>
      <c r="PWO6" s="577"/>
      <c r="PWP6" s="577"/>
      <c r="PWQ6" s="577"/>
      <c r="PWR6" s="577"/>
      <c r="PWS6" s="577"/>
      <c r="PWT6" s="577"/>
      <c r="PWU6" s="577"/>
      <c r="PWV6" s="577"/>
      <c r="PWW6" s="577"/>
      <c r="PWX6" s="577"/>
      <c r="PWY6" s="577"/>
      <c r="PWZ6" s="577"/>
      <c r="PXA6" s="577"/>
      <c r="PXB6" s="577"/>
      <c r="PXC6" s="577"/>
      <c r="PXD6" s="577"/>
      <c r="PXE6" s="577"/>
      <c r="PXF6" s="577"/>
      <c r="PXG6" s="577"/>
      <c r="PXH6" s="577"/>
      <c r="PXI6" s="577"/>
      <c r="PXJ6" s="577"/>
      <c r="PXK6" s="577"/>
      <c r="PXL6" s="577"/>
      <c r="PXM6" s="577"/>
      <c r="PXN6" s="577"/>
      <c r="PXO6" s="577"/>
      <c r="PXP6" s="577"/>
      <c r="PXQ6" s="577"/>
      <c r="PXR6" s="577"/>
      <c r="PXS6" s="577"/>
      <c r="PXT6" s="577"/>
      <c r="PXU6" s="577"/>
      <c r="PXV6" s="577"/>
      <c r="PXW6" s="577"/>
      <c r="PXX6" s="577"/>
      <c r="PXY6" s="577"/>
      <c r="PXZ6" s="577"/>
      <c r="PYA6" s="577"/>
      <c r="PYB6" s="577"/>
      <c r="PYC6" s="577"/>
      <c r="PYD6" s="577"/>
      <c r="PYE6" s="577"/>
      <c r="PYF6" s="577"/>
      <c r="PYG6" s="577"/>
      <c r="PYH6" s="577"/>
      <c r="PYI6" s="577"/>
      <c r="PYJ6" s="577"/>
      <c r="PYK6" s="577"/>
      <c r="PYL6" s="577"/>
      <c r="PYM6" s="577"/>
      <c r="PYN6" s="577"/>
      <c r="PYO6" s="577"/>
      <c r="PYP6" s="577"/>
      <c r="PYQ6" s="577"/>
      <c r="PYR6" s="577"/>
      <c r="PYS6" s="577"/>
      <c r="PYT6" s="577"/>
      <c r="PYU6" s="577"/>
      <c r="PYV6" s="577"/>
      <c r="PYW6" s="577"/>
      <c r="PYX6" s="577"/>
      <c r="PYY6" s="577"/>
      <c r="PYZ6" s="577"/>
      <c r="PZA6" s="577"/>
      <c r="PZB6" s="577"/>
      <c r="PZC6" s="577"/>
      <c r="PZD6" s="577"/>
      <c r="PZE6" s="577"/>
      <c r="PZF6" s="577"/>
      <c r="PZG6" s="577"/>
      <c r="PZH6" s="577"/>
      <c r="PZI6" s="577"/>
      <c r="PZJ6" s="577"/>
      <c r="PZK6" s="577"/>
      <c r="PZL6" s="577"/>
      <c r="PZM6" s="577"/>
      <c r="PZN6" s="577"/>
      <c r="PZO6" s="577"/>
      <c r="PZP6" s="577"/>
      <c r="PZQ6" s="577"/>
      <c r="PZR6" s="577"/>
      <c r="PZS6" s="577"/>
      <c r="PZT6" s="577"/>
      <c r="PZU6" s="577"/>
      <c r="PZV6" s="577"/>
      <c r="PZW6" s="577"/>
      <c r="PZX6" s="577"/>
      <c r="PZY6" s="577"/>
      <c r="PZZ6" s="577"/>
      <c r="QAA6" s="577"/>
      <c r="QAB6" s="577"/>
      <c r="QAC6" s="577"/>
      <c r="QAD6" s="577"/>
      <c r="QAE6" s="577"/>
      <c r="QAF6" s="577"/>
      <c r="QAG6" s="577"/>
      <c r="QAH6" s="577"/>
      <c r="QAI6" s="577"/>
      <c r="QAJ6" s="577"/>
      <c r="QAK6" s="577"/>
      <c r="QAL6" s="577"/>
      <c r="QAM6" s="577"/>
      <c r="QAN6" s="577"/>
      <c r="QAO6" s="577"/>
      <c r="QAP6" s="577"/>
      <c r="QAQ6" s="577"/>
      <c r="QAR6" s="577"/>
      <c r="QAS6" s="577"/>
      <c r="QAT6" s="577"/>
      <c r="QAU6" s="577"/>
      <c r="QAV6" s="577"/>
      <c r="QAW6" s="577"/>
      <c r="QAX6" s="577"/>
      <c r="QAY6" s="577"/>
      <c r="QAZ6" s="577"/>
      <c r="QBA6" s="577"/>
      <c r="QBB6" s="577"/>
      <c r="QBC6" s="577"/>
      <c r="QBD6" s="577"/>
      <c r="QBE6" s="577"/>
      <c r="QBF6" s="577"/>
      <c r="QBG6" s="577"/>
      <c r="QBH6" s="577"/>
      <c r="QBI6" s="577"/>
      <c r="QBJ6" s="577"/>
      <c r="QBK6" s="577"/>
      <c r="QBL6" s="577"/>
      <c r="QBM6" s="577"/>
      <c r="QBN6" s="577"/>
      <c r="QBO6" s="577"/>
      <c r="QBP6" s="577"/>
      <c r="QBQ6" s="577"/>
      <c r="QBR6" s="577"/>
      <c r="QBS6" s="577"/>
      <c r="QBT6" s="577"/>
      <c r="QBU6" s="577"/>
      <c r="QBV6" s="577"/>
      <c r="QBW6" s="577"/>
      <c r="QBX6" s="577"/>
      <c r="QBY6" s="577"/>
      <c r="QBZ6" s="577"/>
      <c r="QCA6" s="577"/>
      <c r="QCB6" s="577"/>
      <c r="QCC6" s="577"/>
      <c r="QCD6" s="577"/>
      <c r="QCE6" s="577"/>
      <c r="QCF6" s="577"/>
      <c r="QCG6" s="577"/>
      <c r="QCH6" s="577"/>
      <c r="QCI6" s="577"/>
      <c r="QCJ6" s="577"/>
      <c r="QCK6" s="577"/>
      <c r="QCL6" s="577"/>
      <c r="QCM6" s="577"/>
      <c r="QCN6" s="577"/>
      <c r="QCO6" s="577"/>
      <c r="QCP6" s="577"/>
      <c r="QCQ6" s="577"/>
      <c r="QCR6" s="577"/>
      <c r="QCS6" s="577"/>
      <c r="QCT6" s="577"/>
      <c r="QCU6" s="577"/>
      <c r="QCV6" s="577"/>
      <c r="QCW6" s="577"/>
      <c r="QCX6" s="577"/>
      <c r="QCY6" s="577"/>
      <c r="QCZ6" s="577"/>
      <c r="QDA6" s="577"/>
      <c r="QDB6" s="577"/>
      <c r="QDC6" s="577"/>
      <c r="QDD6" s="577"/>
      <c r="QDE6" s="577"/>
      <c r="QDF6" s="577"/>
      <c r="QDG6" s="577"/>
      <c r="QDH6" s="577"/>
      <c r="QDI6" s="577"/>
      <c r="QDJ6" s="577"/>
      <c r="QDK6" s="577"/>
      <c r="QDL6" s="577"/>
      <c r="QDM6" s="577"/>
      <c r="QDN6" s="577"/>
      <c r="QDO6" s="577"/>
      <c r="QDP6" s="577"/>
      <c r="QDQ6" s="577"/>
      <c r="QDR6" s="577"/>
      <c r="QDS6" s="577"/>
      <c r="QDT6" s="577"/>
      <c r="QDU6" s="577"/>
      <c r="QDV6" s="577"/>
      <c r="QDW6" s="577"/>
      <c r="QDX6" s="577"/>
      <c r="QDY6" s="577"/>
      <c r="QDZ6" s="577"/>
      <c r="QEA6" s="577"/>
      <c r="QEB6" s="577"/>
      <c r="QEC6" s="577"/>
      <c r="QED6" s="577"/>
      <c r="QEE6" s="577"/>
      <c r="QEF6" s="577"/>
      <c r="QEG6" s="577"/>
      <c r="QEH6" s="577"/>
      <c r="QEI6" s="577"/>
      <c r="QEJ6" s="577"/>
      <c r="QEK6" s="577"/>
      <c r="QEL6" s="577"/>
      <c r="QEM6" s="577"/>
      <c r="QEN6" s="577"/>
      <c r="QEO6" s="577"/>
      <c r="QEP6" s="577"/>
      <c r="QEQ6" s="577"/>
      <c r="QER6" s="577"/>
      <c r="QES6" s="577"/>
      <c r="QET6" s="577"/>
      <c r="QEU6" s="577"/>
      <c r="QEV6" s="577"/>
      <c r="QEW6" s="577"/>
      <c r="QEX6" s="577"/>
      <c r="QEY6" s="577"/>
      <c r="QEZ6" s="577"/>
      <c r="QFA6" s="577"/>
      <c r="QFB6" s="577"/>
      <c r="QFC6" s="577"/>
      <c r="QFD6" s="577"/>
      <c r="QFE6" s="577"/>
      <c r="QFF6" s="577"/>
      <c r="QFG6" s="577"/>
      <c r="QFH6" s="577"/>
      <c r="QFI6" s="577"/>
      <c r="QFJ6" s="577"/>
      <c r="QFK6" s="577"/>
      <c r="QFL6" s="577"/>
      <c r="QFM6" s="577"/>
      <c r="QFN6" s="577"/>
      <c r="QFO6" s="577"/>
      <c r="QFP6" s="577"/>
      <c r="QFQ6" s="577"/>
      <c r="QFR6" s="577"/>
      <c r="QFS6" s="577"/>
      <c r="QFT6" s="577"/>
      <c r="QFU6" s="577"/>
      <c r="QFV6" s="577"/>
      <c r="QFW6" s="577"/>
      <c r="QFX6" s="577"/>
      <c r="QFY6" s="577"/>
      <c r="QFZ6" s="577"/>
      <c r="QGA6" s="577"/>
      <c r="QGB6" s="577"/>
      <c r="QGC6" s="577"/>
      <c r="QGD6" s="577"/>
      <c r="QGE6" s="577"/>
      <c r="QGF6" s="577"/>
      <c r="QGG6" s="577"/>
      <c r="QGH6" s="577"/>
      <c r="QGI6" s="577"/>
      <c r="QGJ6" s="577"/>
      <c r="QGK6" s="577"/>
      <c r="QGL6" s="577"/>
      <c r="QGM6" s="577"/>
      <c r="QGN6" s="577"/>
      <c r="QGO6" s="577"/>
      <c r="QGP6" s="577"/>
      <c r="QGQ6" s="577"/>
      <c r="QGR6" s="577"/>
      <c r="QGS6" s="577"/>
      <c r="QGT6" s="577"/>
      <c r="QGU6" s="577"/>
      <c r="QGV6" s="577"/>
      <c r="QGW6" s="577"/>
      <c r="QGX6" s="577"/>
      <c r="QGY6" s="577"/>
      <c r="QGZ6" s="577"/>
      <c r="QHA6" s="577"/>
      <c r="QHB6" s="577"/>
      <c r="QHC6" s="577"/>
      <c r="QHD6" s="577"/>
      <c r="QHE6" s="577"/>
      <c r="QHF6" s="577"/>
      <c r="QHG6" s="577"/>
      <c r="QHH6" s="577"/>
      <c r="QHI6" s="577"/>
      <c r="QHJ6" s="577"/>
      <c r="QHK6" s="577"/>
      <c r="QHL6" s="577"/>
      <c r="QHM6" s="577"/>
      <c r="QHN6" s="577"/>
      <c r="QHO6" s="577"/>
      <c r="QHP6" s="577"/>
      <c r="QHQ6" s="577"/>
      <c r="QHR6" s="577"/>
      <c r="QHS6" s="577"/>
      <c r="QHT6" s="577"/>
      <c r="QHU6" s="577"/>
      <c r="QHV6" s="577"/>
      <c r="QHW6" s="577"/>
      <c r="QHX6" s="577"/>
      <c r="QHY6" s="577"/>
      <c r="QHZ6" s="577"/>
      <c r="QIA6" s="577"/>
      <c r="QIB6" s="577"/>
      <c r="QIC6" s="577"/>
      <c r="QID6" s="577"/>
      <c r="QIE6" s="577"/>
      <c r="QIF6" s="577"/>
      <c r="QIG6" s="577"/>
      <c r="QIH6" s="577"/>
      <c r="QII6" s="577"/>
      <c r="QIJ6" s="577"/>
      <c r="QIK6" s="577"/>
      <c r="QIL6" s="577"/>
      <c r="QIM6" s="577"/>
      <c r="QIN6" s="577"/>
      <c r="QIO6" s="577"/>
      <c r="QIP6" s="577"/>
      <c r="QIQ6" s="577"/>
      <c r="QIR6" s="577"/>
      <c r="QIS6" s="577"/>
      <c r="QIT6" s="577"/>
      <c r="QIU6" s="577"/>
      <c r="QIV6" s="577"/>
      <c r="QIW6" s="577"/>
      <c r="QIX6" s="577"/>
      <c r="QIY6" s="577"/>
      <c r="QIZ6" s="577"/>
      <c r="QJA6" s="577"/>
      <c r="QJB6" s="577"/>
      <c r="QJC6" s="577"/>
      <c r="QJD6" s="577"/>
      <c r="QJE6" s="577"/>
      <c r="QJF6" s="577"/>
      <c r="QJG6" s="577"/>
      <c r="QJH6" s="577"/>
      <c r="QJI6" s="577"/>
      <c r="QJJ6" s="577"/>
      <c r="QJK6" s="577"/>
      <c r="QJL6" s="577"/>
      <c r="QJM6" s="577"/>
      <c r="QJN6" s="577"/>
      <c r="QJO6" s="577"/>
      <c r="QJP6" s="577"/>
      <c r="QJQ6" s="577"/>
      <c r="QJR6" s="577"/>
      <c r="QJS6" s="577"/>
      <c r="QJT6" s="577"/>
      <c r="QJU6" s="577"/>
      <c r="QJV6" s="577"/>
      <c r="QJW6" s="577"/>
      <c r="QJX6" s="577"/>
      <c r="QJY6" s="577"/>
      <c r="QJZ6" s="577"/>
      <c r="QKA6" s="577"/>
      <c r="QKB6" s="577"/>
      <c r="QKC6" s="577"/>
      <c r="QKD6" s="577"/>
      <c r="QKE6" s="577"/>
      <c r="QKF6" s="577"/>
      <c r="QKG6" s="577"/>
      <c r="QKH6" s="577"/>
      <c r="QKI6" s="577"/>
      <c r="QKJ6" s="577"/>
      <c r="QKK6" s="577"/>
      <c r="QKL6" s="577"/>
      <c r="QKM6" s="577"/>
      <c r="QKN6" s="577"/>
      <c r="QKO6" s="577"/>
      <c r="QKP6" s="577"/>
      <c r="QKQ6" s="577"/>
      <c r="QKR6" s="577"/>
      <c r="QKS6" s="577"/>
      <c r="QKT6" s="577"/>
      <c r="QKU6" s="577"/>
      <c r="QKV6" s="577"/>
      <c r="QKW6" s="577"/>
      <c r="QKX6" s="577"/>
      <c r="QKY6" s="577"/>
      <c r="QKZ6" s="577"/>
      <c r="QLA6" s="577"/>
      <c r="QLB6" s="577"/>
      <c r="QLC6" s="577"/>
      <c r="QLD6" s="577"/>
      <c r="QLE6" s="577"/>
      <c r="QLF6" s="577"/>
      <c r="QLG6" s="577"/>
      <c r="QLH6" s="577"/>
      <c r="QLI6" s="577"/>
      <c r="QLJ6" s="577"/>
      <c r="QLK6" s="577"/>
      <c r="QLL6" s="577"/>
      <c r="QLM6" s="577"/>
      <c r="QLN6" s="577"/>
      <c r="QLO6" s="577"/>
      <c r="QLP6" s="577"/>
      <c r="QLQ6" s="577"/>
      <c r="QLR6" s="577"/>
      <c r="QLS6" s="577"/>
      <c r="QLT6" s="577"/>
      <c r="QLU6" s="577"/>
      <c r="QLV6" s="577"/>
      <c r="QLW6" s="577"/>
      <c r="QLX6" s="577"/>
      <c r="QLY6" s="577"/>
      <c r="QLZ6" s="577"/>
      <c r="QMA6" s="577"/>
      <c r="QMB6" s="577"/>
      <c r="QMC6" s="577"/>
      <c r="QMD6" s="577"/>
      <c r="QME6" s="577"/>
      <c r="QMF6" s="577"/>
      <c r="QMG6" s="577"/>
      <c r="QMH6" s="577"/>
      <c r="QMI6" s="577"/>
      <c r="QMJ6" s="577"/>
      <c r="QMK6" s="577"/>
      <c r="QML6" s="577"/>
      <c r="QMM6" s="577"/>
      <c r="QMN6" s="577"/>
      <c r="QMO6" s="577"/>
      <c r="QMP6" s="577"/>
      <c r="QMQ6" s="577"/>
      <c r="QMR6" s="577"/>
      <c r="QMS6" s="577"/>
      <c r="QMT6" s="577"/>
      <c r="QMU6" s="577"/>
      <c r="QMV6" s="577"/>
      <c r="QMW6" s="577"/>
      <c r="QMX6" s="577"/>
      <c r="QMY6" s="577"/>
      <c r="QMZ6" s="577"/>
      <c r="QNA6" s="577"/>
      <c r="QNB6" s="577"/>
      <c r="QNC6" s="577"/>
      <c r="QND6" s="577"/>
      <c r="QNE6" s="577"/>
      <c r="QNF6" s="577"/>
      <c r="QNG6" s="577"/>
      <c r="QNH6" s="577"/>
      <c r="QNI6" s="577"/>
      <c r="QNJ6" s="577"/>
      <c r="QNK6" s="577"/>
      <c r="QNL6" s="577"/>
      <c r="QNM6" s="577"/>
      <c r="QNN6" s="577"/>
      <c r="QNO6" s="577"/>
      <c r="QNP6" s="577"/>
      <c r="QNQ6" s="577"/>
      <c r="QNR6" s="577"/>
      <c r="QNS6" s="577"/>
      <c r="QNT6" s="577"/>
      <c r="QNU6" s="577"/>
      <c r="QNV6" s="577"/>
      <c r="QNW6" s="577"/>
      <c r="QNX6" s="577"/>
      <c r="QNY6" s="577"/>
      <c r="QNZ6" s="577"/>
      <c r="QOA6" s="577"/>
      <c r="QOB6" s="577"/>
      <c r="QOC6" s="577"/>
      <c r="QOD6" s="577"/>
      <c r="QOE6" s="577"/>
      <c r="QOF6" s="577"/>
      <c r="QOG6" s="577"/>
      <c r="QOH6" s="577"/>
      <c r="QOI6" s="577"/>
      <c r="QOJ6" s="577"/>
      <c r="QOK6" s="577"/>
      <c r="QOL6" s="577"/>
      <c r="QOM6" s="577"/>
      <c r="QON6" s="577"/>
      <c r="QOO6" s="577"/>
      <c r="QOP6" s="577"/>
      <c r="QOQ6" s="577"/>
      <c r="QOR6" s="577"/>
      <c r="QOS6" s="577"/>
      <c r="QOT6" s="577"/>
      <c r="QOU6" s="577"/>
      <c r="QOV6" s="577"/>
      <c r="QOW6" s="577"/>
      <c r="QOX6" s="577"/>
      <c r="QOY6" s="577"/>
      <c r="QOZ6" s="577"/>
      <c r="QPA6" s="577"/>
      <c r="QPB6" s="577"/>
      <c r="QPC6" s="577"/>
      <c r="QPD6" s="577"/>
      <c r="QPE6" s="577"/>
      <c r="QPF6" s="577"/>
      <c r="QPG6" s="577"/>
      <c r="QPH6" s="577"/>
      <c r="QPI6" s="577"/>
      <c r="QPJ6" s="577"/>
      <c r="QPK6" s="577"/>
      <c r="QPL6" s="577"/>
      <c r="QPM6" s="577"/>
      <c r="QPN6" s="577"/>
      <c r="QPO6" s="577"/>
      <c r="QPP6" s="577"/>
      <c r="QPQ6" s="577"/>
      <c r="QPR6" s="577"/>
      <c r="QPS6" s="577"/>
      <c r="QPT6" s="577"/>
      <c r="QPU6" s="577"/>
      <c r="QPV6" s="577"/>
      <c r="QPW6" s="577"/>
      <c r="QPX6" s="577"/>
      <c r="QPY6" s="577"/>
      <c r="QPZ6" s="577"/>
      <c r="QQA6" s="577"/>
      <c r="QQB6" s="577"/>
      <c r="QQC6" s="577"/>
      <c r="QQD6" s="577"/>
      <c r="QQE6" s="577"/>
      <c r="QQF6" s="577"/>
      <c r="QQG6" s="577"/>
      <c r="QQH6" s="577"/>
      <c r="QQI6" s="577"/>
      <c r="QQJ6" s="577"/>
      <c r="QQK6" s="577"/>
      <c r="QQL6" s="577"/>
      <c r="QQM6" s="577"/>
      <c r="QQN6" s="577"/>
      <c r="QQO6" s="577"/>
      <c r="QQP6" s="577"/>
      <c r="QQQ6" s="577"/>
      <c r="QQR6" s="577"/>
      <c r="QQS6" s="577"/>
      <c r="QQT6" s="577"/>
      <c r="QQU6" s="577"/>
      <c r="QQV6" s="577"/>
      <c r="QQW6" s="577"/>
      <c r="QQX6" s="577"/>
      <c r="QQY6" s="577"/>
      <c r="QQZ6" s="577"/>
      <c r="QRA6" s="577"/>
      <c r="QRB6" s="577"/>
      <c r="QRC6" s="577"/>
      <c r="QRD6" s="577"/>
      <c r="QRE6" s="577"/>
      <c r="QRF6" s="577"/>
      <c r="QRG6" s="577"/>
      <c r="QRH6" s="577"/>
      <c r="QRI6" s="577"/>
      <c r="QRJ6" s="577"/>
      <c r="QRK6" s="577"/>
      <c r="QRL6" s="577"/>
      <c r="QRM6" s="577"/>
      <c r="QRN6" s="577"/>
      <c r="QRO6" s="577"/>
      <c r="QRP6" s="577"/>
      <c r="QRQ6" s="577"/>
      <c r="QRR6" s="577"/>
      <c r="QRS6" s="577"/>
      <c r="QRT6" s="577"/>
      <c r="QRU6" s="577"/>
      <c r="QRV6" s="577"/>
      <c r="QRW6" s="577"/>
      <c r="QRX6" s="577"/>
      <c r="QRY6" s="577"/>
      <c r="QRZ6" s="577"/>
      <c r="QSA6" s="577"/>
      <c r="QSB6" s="577"/>
      <c r="QSC6" s="577"/>
      <c r="QSD6" s="577"/>
      <c r="QSE6" s="577"/>
      <c r="QSF6" s="577"/>
      <c r="QSG6" s="577"/>
      <c r="QSH6" s="577"/>
      <c r="QSI6" s="577"/>
      <c r="QSJ6" s="577"/>
      <c r="QSK6" s="577"/>
      <c r="QSL6" s="577"/>
      <c r="QSM6" s="577"/>
      <c r="QSN6" s="577"/>
      <c r="QSO6" s="577"/>
      <c r="QSP6" s="577"/>
      <c r="QSQ6" s="577"/>
      <c r="QSR6" s="577"/>
      <c r="QSS6" s="577"/>
      <c r="QST6" s="577"/>
      <c r="QSU6" s="577"/>
      <c r="QSV6" s="577"/>
      <c r="QSW6" s="577"/>
      <c r="QSX6" s="577"/>
      <c r="QSY6" s="577"/>
      <c r="QSZ6" s="577"/>
      <c r="QTA6" s="577"/>
      <c r="QTB6" s="577"/>
      <c r="QTC6" s="577"/>
      <c r="QTD6" s="577"/>
      <c r="QTE6" s="577"/>
      <c r="QTF6" s="577"/>
      <c r="QTG6" s="577"/>
      <c r="QTH6" s="577"/>
      <c r="QTI6" s="577"/>
      <c r="QTJ6" s="577"/>
      <c r="QTK6" s="577"/>
      <c r="QTL6" s="577"/>
      <c r="QTM6" s="577"/>
      <c r="QTN6" s="577"/>
      <c r="QTO6" s="577"/>
      <c r="QTP6" s="577"/>
      <c r="QTQ6" s="577"/>
      <c r="QTR6" s="577"/>
      <c r="QTS6" s="577"/>
      <c r="QTT6" s="577"/>
      <c r="QTU6" s="577"/>
      <c r="QTV6" s="577"/>
      <c r="QTW6" s="577"/>
      <c r="QTX6" s="577"/>
      <c r="QTY6" s="577"/>
      <c r="QTZ6" s="577"/>
      <c r="QUA6" s="577"/>
      <c r="QUB6" s="577"/>
      <c r="QUC6" s="577"/>
      <c r="QUD6" s="577"/>
      <c r="QUE6" s="577"/>
      <c r="QUF6" s="577"/>
      <c r="QUG6" s="577"/>
      <c r="QUH6" s="577"/>
      <c r="QUI6" s="577"/>
      <c r="QUJ6" s="577"/>
      <c r="QUK6" s="577"/>
      <c r="QUL6" s="577"/>
      <c r="QUM6" s="577"/>
      <c r="QUN6" s="577"/>
      <c r="QUO6" s="577"/>
      <c r="QUP6" s="577"/>
      <c r="QUQ6" s="577"/>
      <c r="QUR6" s="577"/>
      <c r="QUS6" s="577"/>
      <c r="QUT6" s="577"/>
      <c r="QUU6" s="577"/>
      <c r="QUV6" s="577"/>
      <c r="QUW6" s="577"/>
      <c r="QUX6" s="577"/>
      <c r="QUY6" s="577"/>
      <c r="QUZ6" s="577"/>
      <c r="QVA6" s="577"/>
      <c r="QVB6" s="577"/>
      <c r="QVC6" s="577"/>
      <c r="QVD6" s="577"/>
      <c r="QVE6" s="577"/>
      <c r="QVF6" s="577"/>
      <c r="QVG6" s="577"/>
      <c r="QVH6" s="577"/>
      <c r="QVI6" s="577"/>
      <c r="QVJ6" s="577"/>
      <c r="QVK6" s="577"/>
      <c r="QVL6" s="577"/>
      <c r="QVM6" s="577"/>
      <c r="QVN6" s="577"/>
      <c r="QVO6" s="577"/>
      <c r="QVP6" s="577"/>
      <c r="QVQ6" s="577"/>
      <c r="QVR6" s="577"/>
      <c r="QVS6" s="577"/>
      <c r="QVT6" s="577"/>
      <c r="QVU6" s="577"/>
      <c r="QVV6" s="577"/>
      <c r="QVW6" s="577"/>
      <c r="QVX6" s="577"/>
      <c r="QVY6" s="577"/>
      <c r="QVZ6" s="577"/>
      <c r="QWA6" s="577"/>
      <c r="QWB6" s="577"/>
      <c r="QWC6" s="577"/>
      <c r="QWD6" s="577"/>
      <c r="QWE6" s="577"/>
      <c r="QWF6" s="577"/>
      <c r="QWG6" s="577"/>
      <c r="QWH6" s="577"/>
      <c r="QWI6" s="577"/>
      <c r="QWJ6" s="577"/>
      <c r="QWK6" s="577"/>
      <c r="QWL6" s="577"/>
      <c r="QWM6" s="577"/>
      <c r="QWN6" s="577"/>
      <c r="QWO6" s="577"/>
      <c r="QWP6" s="577"/>
      <c r="QWQ6" s="577"/>
      <c r="QWR6" s="577"/>
      <c r="QWS6" s="577"/>
      <c r="QWT6" s="577"/>
      <c r="QWU6" s="577"/>
      <c r="QWV6" s="577"/>
      <c r="QWW6" s="577"/>
      <c r="QWX6" s="577"/>
      <c r="QWY6" s="577"/>
      <c r="QWZ6" s="577"/>
      <c r="QXA6" s="577"/>
      <c r="QXB6" s="577"/>
      <c r="QXC6" s="577"/>
      <c r="QXD6" s="577"/>
      <c r="QXE6" s="577"/>
      <c r="QXF6" s="577"/>
      <c r="QXG6" s="577"/>
      <c r="QXH6" s="577"/>
      <c r="QXI6" s="577"/>
      <c r="QXJ6" s="577"/>
      <c r="QXK6" s="577"/>
      <c r="QXL6" s="577"/>
      <c r="QXM6" s="577"/>
      <c r="QXN6" s="577"/>
      <c r="QXO6" s="577"/>
      <c r="QXP6" s="577"/>
      <c r="QXQ6" s="577"/>
      <c r="QXR6" s="577"/>
      <c r="QXS6" s="577"/>
      <c r="QXT6" s="577"/>
      <c r="QXU6" s="577"/>
      <c r="QXV6" s="577"/>
      <c r="QXW6" s="577"/>
      <c r="QXX6" s="577"/>
      <c r="QXY6" s="577"/>
      <c r="QXZ6" s="577"/>
      <c r="QYA6" s="577"/>
      <c r="QYB6" s="577"/>
      <c r="QYC6" s="577"/>
      <c r="QYD6" s="577"/>
      <c r="QYE6" s="577"/>
      <c r="QYF6" s="577"/>
      <c r="QYG6" s="577"/>
      <c r="QYH6" s="577"/>
      <c r="QYI6" s="577"/>
      <c r="QYJ6" s="577"/>
      <c r="QYK6" s="577"/>
      <c r="QYL6" s="577"/>
      <c r="QYM6" s="577"/>
      <c r="QYN6" s="577"/>
      <c r="QYO6" s="577"/>
      <c r="QYP6" s="577"/>
      <c r="QYQ6" s="577"/>
      <c r="QYR6" s="577"/>
      <c r="QYS6" s="577"/>
      <c r="QYT6" s="577"/>
      <c r="QYU6" s="577"/>
      <c r="QYV6" s="577"/>
      <c r="QYW6" s="577"/>
      <c r="QYX6" s="577"/>
      <c r="QYY6" s="577"/>
      <c r="QYZ6" s="577"/>
      <c r="QZA6" s="577"/>
      <c r="QZB6" s="577"/>
      <c r="QZC6" s="577"/>
      <c r="QZD6" s="577"/>
      <c r="QZE6" s="577"/>
      <c r="QZF6" s="577"/>
      <c r="QZG6" s="577"/>
      <c r="QZH6" s="577"/>
      <c r="QZI6" s="577"/>
      <c r="QZJ6" s="577"/>
      <c r="QZK6" s="577"/>
      <c r="QZL6" s="577"/>
      <c r="QZM6" s="577"/>
      <c r="QZN6" s="577"/>
      <c r="QZO6" s="577"/>
      <c r="QZP6" s="577"/>
      <c r="QZQ6" s="577"/>
      <c r="QZR6" s="577"/>
      <c r="QZS6" s="577"/>
      <c r="QZT6" s="577"/>
      <c r="QZU6" s="577"/>
      <c r="QZV6" s="577"/>
      <c r="QZW6" s="577"/>
      <c r="QZX6" s="577"/>
      <c r="QZY6" s="577"/>
      <c r="QZZ6" s="577"/>
      <c r="RAA6" s="577"/>
      <c r="RAB6" s="577"/>
      <c r="RAC6" s="577"/>
      <c r="RAD6" s="577"/>
      <c r="RAE6" s="577"/>
      <c r="RAF6" s="577"/>
      <c r="RAG6" s="577"/>
      <c r="RAH6" s="577"/>
      <c r="RAI6" s="577"/>
      <c r="RAJ6" s="577"/>
      <c r="RAK6" s="577"/>
      <c r="RAL6" s="577"/>
      <c r="RAM6" s="577"/>
      <c r="RAN6" s="577"/>
      <c r="RAO6" s="577"/>
      <c r="RAP6" s="577"/>
      <c r="RAQ6" s="577"/>
      <c r="RAR6" s="577"/>
      <c r="RAS6" s="577"/>
      <c r="RAT6" s="577"/>
      <c r="RAU6" s="577"/>
      <c r="RAV6" s="577"/>
      <c r="RAW6" s="577"/>
      <c r="RAX6" s="577"/>
      <c r="RAY6" s="577"/>
      <c r="RAZ6" s="577"/>
      <c r="RBA6" s="577"/>
      <c r="RBB6" s="577"/>
      <c r="RBC6" s="577"/>
      <c r="RBD6" s="577"/>
      <c r="RBE6" s="577"/>
      <c r="RBF6" s="577"/>
      <c r="RBG6" s="577"/>
      <c r="RBH6" s="577"/>
      <c r="RBI6" s="577"/>
      <c r="RBJ6" s="577"/>
      <c r="RBK6" s="577"/>
      <c r="RBL6" s="577"/>
      <c r="RBM6" s="577"/>
      <c r="RBN6" s="577"/>
      <c r="RBO6" s="577"/>
      <c r="RBP6" s="577"/>
      <c r="RBQ6" s="577"/>
      <c r="RBR6" s="577"/>
      <c r="RBS6" s="577"/>
      <c r="RBT6" s="577"/>
      <c r="RBU6" s="577"/>
      <c r="RBV6" s="577"/>
      <c r="RBW6" s="577"/>
      <c r="RBX6" s="577"/>
      <c r="RBY6" s="577"/>
      <c r="RBZ6" s="577"/>
      <c r="RCA6" s="577"/>
      <c r="RCB6" s="577"/>
      <c r="RCC6" s="577"/>
      <c r="RCD6" s="577"/>
      <c r="RCE6" s="577"/>
      <c r="RCF6" s="577"/>
      <c r="RCG6" s="577"/>
      <c r="RCH6" s="577"/>
      <c r="RCI6" s="577"/>
      <c r="RCJ6" s="577"/>
      <c r="RCK6" s="577"/>
      <c r="RCL6" s="577"/>
      <c r="RCM6" s="577"/>
      <c r="RCN6" s="577"/>
      <c r="RCO6" s="577"/>
      <c r="RCP6" s="577"/>
      <c r="RCQ6" s="577"/>
      <c r="RCR6" s="577"/>
      <c r="RCS6" s="577"/>
      <c r="RCT6" s="577"/>
      <c r="RCU6" s="577"/>
      <c r="RCV6" s="577"/>
      <c r="RCW6" s="577"/>
      <c r="RCX6" s="577"/>
      <c r="RCY6" s="577"/>
      <c r="RCZ6" s="577"/>
      <c r="RDA6" s="577"/>
      <c r="RDB6" s="577"/>
      <c r="RDC6" s="577"/>
      <c r="RDD6" s="577"/>
      <c r="RDE6" s="577"/>
      <c r="RDF6" s="577"/>
      <c r="RDG6" s="577"/>
      <c r="RDH6" s="577"/>
      <c r="RDI6" s="577"/>
      <c r="RDJ6" s="577"/>
      <c r="RDK6" s="577"/>
      <c r="RDL6" s="577"/>
      <c r="RDM6" s="577"/>
      <c r="RDN6" s="577"/>
      <c r="RDO6" s="577"/>
      <c r="RDP6" s="577"/>
      <c r="RDQ6" s="577"/>
      <c r="RDR6" s="577"/>
      <c r="RDS6" s="577"/>
      <c r="RDT6" s="577"/>
      <c r="RDU6" s="577"/>
      <c r="RDV6" s="577"/>
      <c r="RDW6" s="577"/>
      <c r="RDX6" s="577"/>
      <c r="RDY6" s="577"/>
      <c r="RDZ6" s="577"/>
      <c r="REA6" s="577"/>
      <c r="REB6" s="577"/>
      <c r="REC6" s="577"/>
      <c r="RED6" s="577"/>
      <c r="REE6" s="577"/>
      <c r="REF6" s="577"/>
      <c r="REG6" s="577"/>
      <c r="REH6" s="577"/>
      <c r="REI6" s="577"/>
      <c r="REJ6" s="577"/>
      <c r="REK6" s="577"/>
      <c r="REL6" s="577"/>
      <c r="REM6" s="577"/>
      <c r="REN6" s="577"/>
      <c r="REO6" s="577"/>
      <c r="REP6" s="577"/>
      <c r="REQ6" s="577"/>
      <c r="RER6" s="577"/>
      <c r="RES6" s="577"/>
      <c r="RET6" s="577"/>
      <c r="REU6" s="577"/>
      <c r="REV6" s="577"/>
      <c r="REW6" s="577"/>
      <c r="REX6" s="577"/>
      <c r="REY6" s="577"/>
      <c r="REZ6" s="577"/>
      <c r="RFA6" s="577"/>
      <c r="RFB6" s="577"/>
      <c r="RFC6" s="577"/>
      <c r="RFD6" s="577"/>
      <c r="RFE6" s="577"/>
      <c r="RFF6" s="577"/>
      <c r="RFG6" s="577"/>
      <c r="RFH6" s="577"/>
      <c r="RFI6" s="577"/>
      <c r="RFJ6" s="577"/>
      <c r="RFK6" s="577"/>
      <c r="RFL6" s="577"/>
      <c r="RFM6" s="577"/>
      <c r="RFN6" s="577"/>
      <c r="RFO6" s="577"/>
      <c r="RFP6" s="577"/>
      <c r="RFQ6" s="577"/>
      <c r="RFR6" s="577"/>
      <c r="RFS6" s="577"/>
      <c r="RFT6" s="577"/>
      <c r="RFU6" s="577"/>
      <c r="RFV6" s="577"/>
      <c r="RFW6" s="577"/>
      <c r="RFX6" s="577"/>
      <c r="RFY6" s="577"/>
      <c r="RFZ6" s="577"/>
      <c r="RGA6" s="577"/>
      <c r="RGB6" s="577"/>
      <c r="RGC6" s="577"/>
      <c r="RGD6" s="577"/>
      <c r="RGE6" s="577"/>
      <c r="RGF6" s="577"/>
      <c r="RGG6" s="577"/>
      <c r="RGH6" s="577"/>
      <c r="RGI6" s="577"/>
      <c r="RGJ6" s="577"/>
      <c r="RGK6" s="577"/>
      <c r="RGL6" s="577"/>
      <c r="RGM6" s="577"/>
      <c r="RGN6" s="577"/>
      <c r="RGO6" s="577"/>
      <c r="RGP6" s="577"/>
      <c r="RGQ6" s="577"/>
      <c r="RGR6" s="577"/>
      <c r="RGS6" s="577"/>
      <c r="RGT6" s="577"/>
      <c r="RGU6" s="577"/>
      <c r="RGV6" s="577"/>
      <c r="RGW6" s="577"/>
      <c r="RGX6" s="577"/>
      <c r="RGY6" s="577"/>
      <c r="RGZ6" s="577"/>
      <c r="RHA6" s="577"/>
      <c r="RHB6" s="577"/>
      <c r="RHC6" s="577"/>
      <c r="RHD6" s="577"/>
      <c r="RHE6" s="577"/>
      <c r="RHF6" s="577"/>
      <c r="RHG6" s="577"/>
      <c r="RHH6" s="577"/>
      <c r="RHI6" s="577"/>
      <c r="RHJ6" s="577"/>
      <c r="RHK6" s="577"/>
      <c r="RHL6" s="577"/>
      <c r="RHM6" s="577"/>
      <c r="RHN6" s="577"/>
      <c r="RHO6" s="577"/>
      <c r="RHP6" s="577"/>
      <c r="RHQ6" s="577"/>
      <c r="RHR6" s="577"/>
      <c r="RHS6" s="577"/>
      <c r="RHT6" s="577"/>
      <c r="RHU6" s="577"/>
      <c r="RHV6" s="577"/>
      <c r="RHW6" s="577"/>
      <c r="RHX6" s="577"/>
      <c r="RHY6" s="577"/>
      <c r="RHZ6" s="577"/>
      <c r="RIA6" s="577"/>
      <c r="RIB6" s="577"/>
      <c r="RIC6" s="577"/>
      <c r="RID6" s="577"/>
      <c r="RIE6" s="577"/>
      <c r="RIF6" s="577"/>
      <c r="RIG6" s="577"/>
      <c r="RIH6" s="577"/>
      <c r="RII6" s="577"/>
      <c r="RIJ6" s="577"/>
      <c r="RIK6" s="577"/>
      <c r="RIL6" s="577"/>
      <c r="RIM6" s="577"/>
      <c r="RIN6" s="577"/>
      <c r="RIO6" s="577"/>
      <c r="RIP6" s="577"/>
      <c r="RIQ6" s="577"/>
      <c r="RIR6" s="577"/>
      <c r="RIS6" s="577"/>
      <c r="RIT6" s="577"/>
      <c r="RIU6" s="577"/>
      <c r="RIV6" s="577"/>
      <c r="RIW6" s="577"/>
      <c r="RIX6" s="577"/>
      <c r="RIY6" s="577"/>
      <c r="RIZ6" s="577"/>
      <c r="RJA6" s="577"/>
      <c r="RJB6" s="577"/>
      <c r="RJC6" s="577"/>
      <c r="RJD6" s="577"/>
      <c r="RJE6" s="577"/>
      <c r="RJF6" s="577"/>
      <c r="RJG6" s="577"/>
      <c r="RJH6" s="577"/>
      <c r="RJI6" s="577"/>
      <c r="RJJ6" s="577"/>
      <c r="RJK6" s="577"/>
      <c r="RJL6" s="577"/>
      <c r="RJM6" s="577"/>
      <c r="RJN6" s="577"/>
      <c r="RJO6" s="577"/>
      <c r="RJP6" s="577"/>
      <c r="RJQ6" s="577"/>
      <c r="RJR6" s="577"/>
      <c r="RJS6" s="577"/>
      <c r="RJT6" s="577"/>
      <c r="RJU6" s="577"/>
      <c r="RJV6" s="577"/>
      <c r="RJW6" s="577"/>
      <c r="RJX6" s="577"/>
      <c r="RJY6" s="577"/>
      <c r="RJZ6" s="577"/>
      <c r="RKA6" s="577"/>
      <c r="RKB6" s="577"/>
      <c r="RKC6" s="577"/>
      <c r="RKD6" s="577"/>
      <c r="RKE6" s="577"/>
      <c r="RKF6" s="577"/>
      <c r="RKG6" s="577"/>
      <c r="RKH6" s="577"/>
      <c r="RKI6" s="577"/>
      <c r="RKJ6" s="577"/>
      <c r="RKK6" s="577"/>
      <c r="RKL6" s="577"/>
      <c r="RKM6" s="577"/>
      <c r="RKN6" s="577"/>
      <c r="RKO6" s="577"/>
      <c r="RKP6" s="577"/>
      <c r="RKQ6" s="577"/>
      <c r="RKR6" s="577"/>
      <c r="RKS6" s="577"/>
      <c r="RKT6" s="577"/>
      <c r="RKU6" s="577"/>
      <c r="RKV6" s="577"/>
      <c r="RKW6" s="577"/>
      <c r="RKX6" s="577"/>
      <c r="RKY6" s="577"/>
      <c r="RKZ6" s="577"/>
      <c r="RLA6" s="577"/>
      <c r="RLB6" s="577"/>
      <c r="RLC6" s="577"/>
      <c r="RLD6" s="577"/>
      <c r="RLE6" s="577"/>
      <c r="RLF6" s="577"/>
      <c r="RLG6" s="577"/>
      <c r="RLH6" s="577"/>
      <c r="RLI6" s="577"/>
      <c r="RLJ6" s="577"/>
      <c r="RLK6" s="577"/>
      <c r="RLL6" s="577"/>
      <c r="RLM6" s="577"/>
      <c r="RLN6" s="577"/>
      <c r="RLO6" s="577"/>
      <c r="RLP6" s="577"/>
      <c r="RLQ6" s="577"/>
      <c r="RLR6" s="577"/>
      <c r="RLS6" s="577"/>
      <c r="RLT6" s="577"/>
      <c r="RLU6" s="577"/>
      <c r="RLV6" s="577"/>
      <c r="RLW6" s="577"/>
      <c r="RLX6" s="577"/>
      <c r="RLY6" s="577"/>
      <c r="RLZ6" s="577"/>
      <c r="RMA6" s="577"/>
      <c r="RMB6" s="577"/>
      <c r="RMC6" s="577"/>
      <c r="RMD6" s="577"/>
      <c r="RME6" s="577"/>
      <c r="RMF6" s="577"/>
      <c r="RMG6" s="577"/>
      <c r="RMH6" s="577"/>
      <c r="RMI6" s="577"/>
      <c r="RMJ6" s="577"/>
      <c r="RMK6" s="577"/>
      <c r="RML6" s="577"/>
      <c r="RMM6" s="577"/>
      <c r="RMN6" s="577"/>
      <c r="RMO6" s="577"/>
      <c r="RMP6" s="577"/>
      <c r="RMQ6" s="577"/>
      <c r="RMR6" s="577"/>
      <c r="RMS6" s="577"/>
      <c r="RMT6" s="577"/>
      <c r="RMU6" s="577"/>
      <c r="RMV6" s="577"/>
      <c r="RMW6" s="577"/>
      <c r="RMX6" s="577"/>
      <c r="RMY6" s="577"/>
      <c r="RMZ6" s="577"/>
      <c r="RNA6" s="577"/>
      <c r="RNB6" s="577"/>
      <c r="RNC6" s="577"/>
      <c r="RND6" s="577"/>
      <c r="RNE6" s="577"/>
      <c r="RNF6" s="577"/>
      <c r="RNG6" s="577"/>
      <c r="RNH6" s="577"/>
      <c r="RNI6" s="577"/>
      <c r="RNJ6" s="577"/>
      <c r="RNK6" s="577"/>
      <c r="RNL6" s="577"/>
      <c r="RNM6" s="577"/>
      <c r="RNN6" s="577"/>
      <c r="RNO6" s="577"/>
      <c r="RNP6" s="577"/>
      <c r="RNQ6" s="577"/>
      <c r="RNR6" s="577"/>
      <c r="RNS6" s="577"/>
      <c r="RNT6" s="577"/>
      <c r="RNU6" s="577"/>
      <c r="RNV6" s="577"/>
      <c r="RNW6" s="577"/>
      <c r="RNX6" s="577"/>
      <c r="RNY6" s="577"/>
      <c r="RNZ6" s="577"/>
      <c r="ROA6" s="577"/>
      <c r="ROB6" s="577"/>
      <c r="ROC6" s="577"/>
      <c r="ROD6" s="577"/>
      <c r="ROE6" s="577"/>
      <c r="ROF6" s="577"/>
      <c r="ROG6" s="577"/>
      <c r="ROH6" s="577"/>
      <c r="ROI6" s="577"/>
      <c r="ROJ6" s="577"/>
      <c r="ROK6" s="577"/>
      <c r="ROL6" s="577"/>
      <c r="ROM6" s="577"/>
      <c r="RON6" s="577"/>
      <c r="ROO6" s="577"/>
      <c r="ROP6" s="577"/>
      <c r="ROQ6" s="577"/>
      <c r="ROR6" s="577"/>
      <c r="ROS6" s="577"/>
      <c r="ROT6" s="577"/>
      <c r="ROU6" s="577"/>
      <c r="ROV6" s="577"/>
      <c r="ROW6" s="577"/>
      <c r="ROX6" s="577"/>
      <c r="ROY6" s="577"/>
      <c r="ROZ6" s="577"/>
      <c r="RPA6" s="577"/>
      <c r="RPB6" s="577"/>
      <c r="RPC6" s="577"/>
      <c r="RPD6" s="577"/>
      <c r="RPE6" s="577"/>
      <c r="RPF6" s="577"/>
      <c r="RPG6" s="577"/>
      <c r="RPH6" s="577"/>
      <c r="RPI6" s="577"/>
      <c r="RPJ6" s="577"/>
      <c r="RPK6" s="577"/>
      <c r="RPL6" s="577"/>
      <c r="RPM6" s="577"/>
      <c r="RPN6" s="577"/>
      <c r="RPO6" s="577"/>
      <c r="RPP6" s="577"/>
      <c r="RPQ6" s="577"/>
      <c r="RPR6" s="577"/>
      <c r="RPS6" s="577"/>
      <c r="RPT6" s="577"/>
      <c r="RPU6" s="577"/>
      <c r="RPV6" s="577"/>
      <c r="RPW6" s="577"/>
      <c r="RPX6" s="577"/>
      <c r="RPY6" s="577"/>
      <c r="RPZ6" s="577"/>
      <c r="RQA6" s="577"/>
      <c r="RQB6" s="577"/>
      <c r="RQC6" s="577"/>
      <c r="RQD6" s="577"/>
      <c r="RQE6" s="577"/>
      <c r="RQF6" s="577"/>
      <c r="RQG6" s="577"/>
      <c r="RQH6" s="577"/>
      <c r="RQI6" s="577"/>
      <c r="RQJ6" s="577"/>
      <c r="RQK6" s="577"/>
      <c r="RQL6" s="577"/>
      <c r="RQM6" s="577"/>
      <c r="RQN6" s="577"/>
      <c r="RQO6" s="577"/>
      <c r="RQP6" s="577"/>
      <c r="RQQ6" s="577"/>
      <c r="RQR6" s="577"/>
      <c r="RQS6" s="577"/>
      <c r="RQT6" s="577"/>
      <c r="RQU6" s="577"/>
      <c r="RQV6" s="577"/>
      <c r="RQW6" s="577"/>
      <c r="RQX6" s="577"/>
      <c r="RQY6" s="577"/>
      <c r="RQZ6" s="577"/>
      <c r="RRA6" s="577"/>
      <c r="RRB6" s="577"/>
      <c r="RRC6" s="577"/>
      <c r="RRD6" s="577"/>
      <c r="RRE6" s="577"/>
      <c r="RRF6" s="577"/>
      <c r="RRG6" s="577"/>
      <c r="RRH6" s="577"/>
      <c r="RRI6" s="577"/>
      <c r="RRJ6" s="577"/>
      <c r="RRK6" s="577"/>
      <c r="RRL6" s="577"/>
      <c r="RRM6" s="577"/>
      <c r="RRN6" s="577"/>
      <c r="RRO6" s="577"/>
      <c r="RRP6" s="577"/>
      <c r="RRQ6" s="577"/>
      <c r="RRR6" s="577"/>
      <c r="RRS6" s="577"/>
      <c r="RRT6" s="577"/>
      <c r="RRU6" s="577"/>
      <c r="RRV6" s="577"/>
      <c r="RRW6" s="577"/>
      <c r="RRX6" s="577"/>
      <c r="RRY6" s="577"/>
      <c r="RRZ6" s="577"/>
      <c r="RSA6" s="577"/>
      <c r="RSB6" s="577"/>
      <c r="RSC6" s="577"/>
      <c r="RSD6" s="577"/>
      <c r="RSE6" s="577"/>
      <c r="RSF6" s="577"/>
      <c r="RSG6" s="577"/>
      <c r="RSH6" s="577"/>
      <c r="RSI6" s="577"/>
      <c r="RSJ6" s="577"/>
      <c r="RSK6" s="577"/>
      <c r="RSL6" s="577"/>
      <c r="RSM6" s="577"/>
      <c r="RSN6" s="577"/>
      <c r="RSO6" s="577"/>
      <c r="RSP6" s="577"/>
      <c r="RSQ6" s="577"/>
      <c r="RSR6" s="577"/>
      <c r="RSS6" s="577"/>
      <c r="RST6" s="577"/>
      <c r="RSU6" s="577"/>
      <c r="RSV6" s="577"/>
      <c r="RSW6" s="577"/>
      <c r="RSX6" s="577"/>
      <c r="RSY6" s="577"/>
      <c r="RSZ6" s="577"/>
      <c r="RTA6" s="577"/>
      <c r="RTB6" s="577"/>
      <c r="RTC6" s="577"/>
      <c r="RTD6" s="577"/>
      <c r="RTE6" s="577"/>
      <c r="RTF6" s="577"/>
      <c r="RTG6" s="577"/>
      <c r="RTH6" s="577"/>
      <c r="RTI6" s="577"/>
      <c r="RTJ6" s="577"/>
      <c r="RTK6" s="577"/>
      <c r="RTL6" s="577"/>
      <c r="RTM6" s="577"/>
      <c r="RTN6" s="577"/>
      <c r="RTO6" s="577"/>
      <c r="RTP6" s="577"/>
      <c r="RTQ6" s="577"/>
      <c r="RTR6" s="577"/>
      <c r="RTS6" s="577"/>
      <c r="RTT6" s="577"/>
      <c r="RTU6" s="577"/>
      <c r="RTV6" s="577"/>
      <c r="RTW6" s="577"/>
      <c r="RTX6" s="577"/>
      <c r="RTY6" s="577"/>
      <c r="RTZ6" s="577"/>
      <c r="RUA6" s="577"/>
      <c r="RUB6" s="577"/>
      <c r="RUC6" s="577"/>
      <c r="RUD6" s="577"/>
      <c r="RUE6" s="577"/>
      <c r="RUF6" s="577"/>
      <c r="RUG6" s="577"/>
      <c r="RUH6" s="577"/>
      <c r="RUI6" s="577"/>
      <c r="RUJ6" s="577"/>
      <c r="RUK6" s="577"/>
      <c r="RUL6" s="577"/>
      <c r="RUM6" s="577"/>
      <c r="RUN6" s="577"/>
      <c r="RUO6" s="577"/>
      <c r="RUP6" s="577"/>
      <c r="RUQ6" s="577"/>
      <c r="RUR6" s="577"/>
      <c r="RUS6" s="577"/>
      <c r="RUT6" s="577"/>
      <c r="RUU6" s="577"/>
      <c r="RUV6" s="577"/>
      <c r="RUW6" s="577"/>
      <c r="RUX6" s="577"/>
      <c r="RUY6" s="577"/>
      <c r="RUZ6" s="577"/>
      <c r="RVA6" s="577"/>
      <c r="RVB6" s="577"/>
      <c r="RVC6" s="577"/>
      <c r="RVD6" s="577"/>
      <c r="RVE6" s="577"/>
      <c r="RVF6" s="577"/>
      <c r="RVG6" s="577"/>
      <c r="RVH6" s="577"/>
      <c r="RVI6" s="577"/>
      <c r="RVJ6" s="577"/>
      <c r="RVK6" s="577"/>
      <c r="RVL6" s="577"/>
      <c r="RVM6" s="577"/>
      <c r="RVN6" s="577"/>
      <c r="RVO6" s="577"/>
      <c r="RVP6" s="577"/>
      <c r="RVQ6" s="577"/>
      <c r="RVR6" s="577"/>
      <c r="RVS6" s="577"/>
      <c r="RVT6" s="577"/>
      <c r="RVU6" s="577"/>
      <c r="RVV6" s="577"/>
      <c r="RVW6" s="577"/>
      <c r="RVX6" s="577"/>
      <c r="RVY6" s="577"/>
      <c r="RVZ6" s="577"/>
      <c r="RWA6" s="577"/>
      <c r="RWB6" s="577"/>
      <c r="RWC6" s="577"/>
      <c r="RWD6" s="577"/>
      <c r="RWE6" s="577"/>
      <c r="RWF6" s="577"/>
      <c r="RWG6" s="577"/>
      <c r="RWH6" s="577"/>
      <c r="RWI6" s="577"/>
      <c r="RWJ6" s="577"/>
      <c r="RWK6" s="577"/>
      <c r="RWL6" s="577"/>
      <c r="RWM6" s="577"/>
      <c r="RWN6" s="577"/>
      <c r="RWO6" s="577"/>
      <c r="RWP6" s="577"/>
      <c r="RWQ6" s="577"/>
      <c r="RWR6" s="577"/>
      <c r="RWS6" s="577"/>
      <c r="RWT6" s="577"/>
      <c r="RWU6" s="577"/>
      <c r="RWV6" s="577"/>
      <c r="RWW6" s="577"/>
      <c r="RWX6" s="577"/>
      <c r="RWY6" s="577"/>
      <c r="RWZ6" s="577"/>
      <c r="RXA6" s="577"/>
      <c r="RXB6" s="577"/>
      <c r="RXC6" s="577"/>
      <c r="RXD6" s="577"/>
      <c r="RXE6" s="577"/>
      <c r="RXF6" s="577"/>
      <c r="RXG6" s="577"/>
      <c r="RXH6" s="577"/>
      <c r="RXI6" s="577"/>
      <c r="RXJ6" s="577"/>
      <c r="RXK6" s="577"/>
      <c r="RXL6" s="577"/>
      <c r="RXM6" s="577"/>
      <c r="RXN6" s="577"/>
      <c r="RXO6" s="577"/>
      <c r="RXP6" s="577"/>
      <c r="RXQ6" s="577"/>
      <c r="RXR6" s="577"/>
      <c r="RXS6" s="577"/>
      <c r="RXT6" s="577"/>
      <c r="RXU6" s="577"/>
      <c r="RXV6" s="577"/>
      <c r="RXW6" s="577"/>
      <c r="RXX6" s="577"/>
      <c r="RXY6" s="577"/>
      <c r="RXZ6" s="577"/>
      <c r="RYA6" s="577"/>
      <c r="RYB6" s="577"/>
      <c r="RYC6" s="577"/>
      <c r="RYD6" s="577"/>
      <c r="RYE6" s="577"/>
      <c r="RYF6" s="577"/>
      <c r="RYG6" s="577"/>
      <c r="RYH6" s="577"/>
      <c r="RYI6" s="577"/>
      <c r="RYJ6" s="577"/>
      <c r="RYK6" s="577"/>
      <c r="RYL6" s="577"/>
      <c r="RYM6" s="577"/>
      <c r="RYN6" s="577"/>
      <c r="RYO6" s="577"/>
      <c r="RYP6" s="577"/>
      <c r="RYQ6" s="577"/>
      <c r="RYR6" s="577"/>
      <c r="RYS6" s="577"/>
      <c r="RYT6" s="577"/>
      <c r="RYU6" s="577"/>
      <c r="RYV6" s="577"/>
      <c r="RYW6" s="577"/>
      <c r="RYX6" s="577"/>
      <c r="RYY6" s="577"/>
      <c r="RYZ6" s="577"/>
      <c r="RZA6" s="577"/>
      <c r="RZB6" s="577"/>
      <c r="RZC6" s="577"/>
      <c r="RZD6" s="577"/>
      <c r="RZE6" s="577"/>
      <c r="RZF6" s="577"/>
      <c r="RZG6" s="577"/>
      <c r="RZH6" s="577"/>
      <c r="RZI6" s="577"/>
      <c r="RZJ6" s="577"/>
      <c r="RZK6" s="577"/>
      <c r="RZL6" s="577"/>
      <c r="RZM6" s="577"/>
      <c r="RZN6" s="577"/>
      <c r="RZO6" s="577"/>
      <c r="RZP6" s="577"/>
      <c r="RZQ6" s="577"/>
      <c r="RZR6" s="577"/>
      <c r="RZS6" s="577"/>
      <c r="RZT6" s="577"/>
      <c r="RZU6" s="577"/>
      <c r="RZV6" s="577"/>
      <c r="RZW6" s="577"/>
      <c r="RZX6" s="577"/>
      <c r="RZY6" s="577"/>
      <c r="RZZ6" s="577"/>
      <c r="SAA6" s="577"/>
      <c r="SAB6" s="577"/>
      <c r="SAC6" s="577"/>
      <c r="SAD6" s="577"/>
      <c r="SAE6" s="577"/>
      <c r="SAF6" s="577"/>
      <c r="SAG6" s="577"/>
      <c r="SAH6" s="577"/>
      <c r="SAI6" s="577"/>
      <c r="SAJ6" s="577"/>
      <c r="SAK6" s="577"/>
      <c r="SAL6" s="577"/>
      <c r="SAM6" s="577"/>
      <c r="SAN6" s="577"/>
      <c r="SAO6" s="577"/>
      <c r="SAP6" s="577"/>
      <c r="SAQ6" s="577"/>
      <c r="SAR6" s="577"/>
      <c r="SAS6" s="577"/>
      <c r="SAT6" s="577"/>
      <c r="SAU6" s="577"/>
      <c r="SAV6" s="577"/>
      <c r="SAW6" s="577"/>
      <c r="SAX6" s="577"/>
      <c r="SAY6" s="577"/>
      <c r="SAZ6" s="577"/>
      <c r="SBA6" s="577"/>
      <c r="SBB6" s="577"/>
      <c r="SBC6" s="577"/>
      <c r="SBD6" s="577"/>
      <c r="SBE6" s="577"/>
      <c r="SBF6" s="577"/>
      <c r="SBG6" s="577"/>
      <c r="SBH6" s="577"/>
      <c r="SBI6" s="577"/>
      <c r="SBJ6" s="577"/>
      <c r="SBK6" s="577"/>
      <c r="SBL6" s="577"/>
      <c r="SBM6" s="577"/>
      <c r="SBN6" s="577"/>
      <c r="SBO6" s="577"/>
      <c r="SBP6" s="577"/>
      <c r="SBQ6" s="577"/>
      <c r="SBR6" s="577"/>
      <c r="SBS6" s="577"/>
      <c r="SBT6" s="577"/>
      <c r="SBU6" s="577"/>
      <c r="SBV6" s="577"/>
      <c r="SBW6" s="577"/>
      <c r="SBX6" s="577"/>
      <c r="SBY6" s="577"/>
      <c r="SBZ6" s="577"/>
      <c r="SCA6" s="577"/>
      <c r="SCB6" s="577"/>
      <c r="SCC6" s="577"/>
      <c r="SCD6" s="577"/>
      <c r="SCE6" s="577"/>
      <c r="SCF6" s="577"/>
      <c r="SCG6" s="577"/>
      <c r="SCH6" s="577"/>
      <c r="SCI6" s="577"/>
      <c r="SCJ6" s="577"/>
      <c r="SCK6" s="577"/>
      <c r="SCL6" s="577"/>
      <c r="SCM6" s="577"/>
      <c r="SCN6" s="577"/>
      <c r="SCO6" s="577"/>
      <c r="SCP6" s="577"/>
      <c r="SCQ6" s="577"/>
      <c r="SCR6" s="577"/>
      <c r="SCS6" s="577"/>
      <c r="SCT6" s="577"/>
      <c r="SCU6" s="577"/>
      <c r="SCV6" s="577"/>
      <c r="SCW6" s="577"/>
      <c r="SCX6" s="577"/>
      <c r="SCY6" s="577"/>
      <c r="SCZ6" s="577"/>
      <c r="SDA6" s="577"/>
      <c r="SDB6" s="577"/>
      <c r="SDC6" s="577"/>
      <c r="SDD6" s="577"/>
      <c r="SDE6" s="577"/>
      <c r="SDF6" s="577"/>
      <c r="SDG6" s="577"/>
      <c r="SDH6" s="577"/>
      <c r="SDI6" s="577"/>
      <c r="SDJ6" s="577"/>
      <c r="SDK6" s="577"/>
      <c r="SDL6" s="577"/>
      <c r="SDM6" s="577"/>
      <c r="SDN6" s="577"/>
      <c r="SDO6" s="577"/>
      <c r="SDP6" s="577"/>
      <c r="SDQ6" s="577"/>
      <c r="SDR6" s="577"/>
      <c r="SDS6" s="577"/>
      <c r="SDT6" s="577"/>
      <c r="SDU6" s="577"/>
      <c r="SDV6" s="577"/>
      <c r="SDW6" s="577"/>
      <c r="SDX6" s="577"/>
      <c r="SDY6" s="577"/>
      <c r="SDZ6" s="577"/>
      <c r="SEA6" s="577"/>
      <c r="SEB6" s="577"/>
      <c r="SEC6" s="577"/>
      <c r="SED6" s="577"/>
      <c r="SEE6" s="577"/>
      <c r="SEF6" s="577"/>
      <c r="SEG6" s="577"/>
      <c r="SEH6" s="577"/>
      <c r="SEI6" s="577"/>
      <c r="SEJ6" s="577"/>
      <c r="SEK6" s="577"/>
      <c r="SEL6" s="577"/>
      <c r="SEM6" s="577"/>
      <c r="SEN6" s="577"/>
      <c r="SEO6" s="577"/>
      <c r="SEP6" s="577"/>
      <c r="SEQ6" s="577"/>
      <c r="SER6" s="577"/>
      <c r="SES6" s="577"/>
      <c r="SET6" s="577"/>
      <c r="SEU6" s="577"/>
      <c r="SEV6" s="577"/>
      <c r="SEW6" s="577"/>
      <c r="SEX6" s="577"/>
      <c r="SEY6" s="577"/>
      <c r="SEZ6" s="577"/>
      <c r="SFA6" s="577"/>
      <c r="SFB6" s="577"/>
      <c r="SFC6" s="577"/>
      <c r="SFD6" s="577"/>
      <c r="SFE6" s="577"/>
      <c r="SFF6" s="577"/>
      <c r="SFG6" s="577"/>
      <c r="SFH6" s="577"/>
      <c r="SFI6" s="577"/>
      <c r="SFJ6" s="577"/>
      <c r="SFK6" s="577"/>
      <c r="SFL6" s="577"/>
      <c r="SFM6" s="577"/>
      <c r="SFN6" s="577"/>
      <c r="SFO6" s="577"/>
      <c r="SFP6" s="577"/>
      <c r="SFQ6" s="577"/>
      <c r="SFR6" s="577"/>
      <c r="SFS6" s="577"/>
      <c r="SFT6" s="577"/>
      <c r="SFU6" s="577"/>
      <c r="SFV6" s="577"/>
      <c r="SFW6" s="577"/>
      <c r="SFX6" s="577"/>
      <c r="SFY6" s="577"/>
      <c r="SFZ6" s="577"/>
      <c r="SGA6" s="577"/>
      <c r="SGB6" s="577"/>
      <c r="SGC6" s="577"/>
      <c r="SGD6" s="577"/>
      <c r="SGE6" s="577"/>
      <c r="SGF6" s="577"/>
      <c r="SGG6" s="577"/>
      <c r="SGH6" s="577"/>
      <c r="SGI6" s="577"/>
      <c r="SGJ6" s="577"/>
      <c r="SGK6" s="577"/>
      <c r="SGL6" s="577"/>
      <c r="SGM6" s="577"/>
      <c r="SGN6" s="577"/>
      <c r="SGO6" s="577"/>
      <c r="SGP6" s="577"/>
      <c r="SGQ6" s="577"/>
      <c r="SGR6" s="577"/>
      <c r="SGS6" s="577"/>
      <c r="SGT6" s="577"/>
      <c r="SGU6" s="577"/>
      <c r="SGV6" s="577"/>
      <c r="SGW6" s="577"/>
      <c r="SGX6" s="577"/>
      <c r="SGY6" s="577"/>
      <c r="SGZ6" s="577"/>
      <c r="SHA6" s="577"/>
      <c r="SHB6" s="577"/>
      <c r="SHC6" s="577"/>
      <c r="SHD6" s="577"/>
      <c r="SHE6" s="577"/>
      <c r="SHF6" s="577"/>
      <c r="SHG6" s="577"/>
      <c r="SHH6" s="577"/>
      <c r="SHI6" s="577"/>
      <c r="SHJ6" s="577"/>
      <c r="SHK6" s="577"/>
      <c r="SHL6" s="577"/>
      <c r="SHM6" s="577"/>
      <c r="SHN6" s="577"/>
      <c r="SHO6" s="577"/>
      <c r="SHP6" s="577"/>
      <c r="SHQ6" s="577"/>
      <c r="SHR6" s="577"/>
      <c r="SHS6" s="577"/>
      <c r="SHT6" s="577"/>
      <c r="SHU6" s="577"/>
      <c r="SHV6" s="577"/>
      <c r="SHW6" s="577"/>
      <c r="SHX6" s="577"/>
      <c r="SHY6" s="577"/>
      <c r="SHZ6" s="577"/>
      <c r="SIA6" s="577"/>
      <c r="SIB6" s="577"/>
      <c r="SIC6" s="577"/>
      <c r="SID6" s="577"/>
      <c r="SIE6" s="577"/>
      <c r="SIF6" s="577"/>
      <c r="SIG6" s="577"/>
      <c r="SIH6" s="577"/>
      <c r="SII6" s="577"/>
      <c r="SIJ6" s="577"/>
      <c r="SIK6" s="577"/>
      <c r="SIL6" s="577"/>
      <c r="SIM6" s="577"/>
      <c r="SIN6" s="577"/>
      <c r="SIO6" s="577"/>
      <c r="SIP6" s="577"/>
      <c r="SIQ6" s="577"/>
      <c r="SIR6" s="577"/>
      <c r="SIS6" s="577"/>
      <c r="SIT6" s="577"/>
      <c r="SIU6" s="577"/>
      <c r="SIV6" s="577"/>
      <c r="SIW6" s="577"/>
      <c r="SIX6" s="577"/>
      <c r="SIY6" s="577"/>
      <c r="SIZ6" s="577"/>
      <c r="SJA6" s="577"/>
      <c r="SJB6" s="577"/>
      <c r="SJC6" s="577"/>
      <c r="SJD6" s="577"/>
      <c r="SJE6" s="577"/>
      <c r="SJF6" s="577"/>
      <c r="SJG6" s="577"/>
      <c r="SJH6" s="577"/>
      <c r="SJI6" s="577"/>
      <c r="SJJ6" s="577"/>
      <c r="SJK6" s="577"/>
      <c r="SJL6" s="577"/>
      <c r="SJM6" s="577"/>
      <c r="SJN6" s="577"/>
      <c r="SJO6" s="577"/>
      <c r="SJP6" s="577"/>
      <c r="SJQ6" s="577"/>
      <c r="SJR6" s="577"/>
      <c r="SJS6" s="577"/>
      <c r="SJT6" s="577"/>
      <c r="SJU6" s="577"/>
      <c r="SJV6" s="577"/>
      <c r="SJW6" s="577"/>
      <c r="SJX6" s="577"/>
      <c r="SJY6" s="577"/>
      <c r="SJZ6" s="577"/>
      <c r="SKA6" s="577"/>
      <c r="SKB6" s="577"/>
      <c r="SKC6" s="577"/>
      <c r="SKD6" s="577"/>
      <c r="SKE6" s="577"/>
      <c r="SKF6" s="577"/>
      <c r="SKG6" s="577"/>
      <c r="SKH6" s="577"/>
      <c r="SKI6" s="577"/>
      <c r="SKJ6" s="577"/>
      <c r="SKK6" s="577"/>
      <c r="SKL6" s="577"/>
      <c r="SKM6" s="577"/>
      <c r="SKN6" s="577"/>
      <c r="SKO6" s="577"/>
      <c r="SKP6" s="577"/>
      <c r="SKQ6" s="577"/>
      <c r="SKR6" s="577"/>
      <c r="SKS6" s="577"/>
      <c r="SKT6" s="577"/>
      <c r="SKU6" s="577"/>
      <c r="SKV6" s="577"/>
      <c r="SKW6" s="577"/>
      <c r="SKX6" s="577"/>
      <c r="SKY6" s="577"/>
      <c r="SKZ6" s="577"/>
      <c r="SLA6" s="577"/>
      <c r="SLB6" s="577"/>
      <c r="SLC6" s="577"/>
      <c r="SLD6" s="577"/>
      <c r="SLE6" s="577"/>
      <c r="SLF6" s="577"/>
      <c r="SLG6" s="577"/>
      <c r="SLH6" s="577"/>
      <c r="SLI6" s="577"/>
      <c r="SLJ6" s="577"/>
      <c r="SLK6" s="577"/>
      <c r="SLL6" s="577"/>
      <c r="SLM6" s="577"/>
      <c r="SLN6" s="577"/>
      <c r="SLO6" s="577"/>
      <c r="SLP6" s="577"/>
      <c r="SLQ6" s="577"/>
      <c r="SLR6" s="577"/>
      <c r="SLS6" s="577"/>
      <c r="SLT6" s="577"/>
      <c r="SLU6" s="577"/>
      <c r="SLV6" s="577"/>
      <c r="SLW6" s="577"/>
      <c r="SLX6" s="577"/>
      <c r="SLY6" s="577"/>
      <c r="SLZ6" s="577"/>
      <c r="SMA6" s="577"/>
      <c r="SMB6" s="577"/>
      <c r="SMC6" s="577"/>
      <c r="SMD6" s="577"/>
      <c r="SME6" s="577"/>
      <c r="SMF6" s="577"/>
      <c r="SMG6" s="577"/>
      <c r="SMH6" s="577"/>
      <c r="SMI6" s="577"/>
      <c r="SMJ6" s="577"/>
      <c r="SMK6" s="577"/>
      <c r="SML6" s="577"/>
      <c r="SMM6" s="577"/>
      <c r="SMN6" s="577"/>
      <c r="SMO6" s="577"/>
      <c r="SMP6" s="577"/>
      <c r="SMQ6" s="577"/>
      <c r="SMR6" s="577"/>
      <c r="SMS6" s="577"/>
      <c r="SMT6" s="577"/>
      <c r="SMU6" s="577"/>
      <c r="SMV6" s="577"/>
      <c r="SMW6" s="577"/>
      <c r="SMX6" s="577"/>
      <c r="SMY6" s="577"/>
      <c r="SMZ6" s="577"/>
      <c r="SNA6" s="577"/>
      <c r="SNB6" s="577"/>
      <c r="SNC6" s="577"/>
      <c r="SND6" s="577"/>
      <c r="SNE6" s="577"/>
      <c r="SNF6" s="577"/>
      <c r="SNG6" s="577"/>
      <c r="SNH6" s="577"/>
      <c r="SNI6" s="577"/>
      <c r="SNJ6" s="577"/>
      <c r="SNK6" s="577"/>
      <c r="SNL6" s="577"/>
      <c r="SNM6" s="577"/>
      <c r="SNN6" s="577"/>
      <c r="SNO6" s="577"/>
      <c r="SNP6" s="577"/>
      <c r="SNQ6" s="577"/>
      <c r="SNR6" s="577"/>
      <c r="SNS6" s="577"/>
      <c r="SNT6" s="577"/>
      <c r="SNU6" s="577"/>
      <c r="SNV6" s="577"/>
      <c r="SNW6" s="577"/>
      <c r="SNX6" s="577"/>
      <c r="SNY6" s="577"/>
      <c r="SNZ6" s="577"/>
      <c r="SOA6" s="577"/>
      <c r="SOB6" s="577"/>
      <c r="SOC6" s="577"/>
      <c r="SOD6" s="577"/>
      <c r="SOE6" s="577"/>
      <c r="SOF6" s="577"/>
      <c r="SOG6" s="577"/>
      <c r="SOH6" s="577"/>
      <c r="SOI6" s="577"/>
      <c r="SOJ6" s="577"/>
      <c r="SOK6" s="577"/>
      <c r="SOL6" s="577"/>
      <c r="SOM6" s="577"/>
      <c r="SON6" s="577"/>
      <c r="SOO6" s="577"/>
      <c r="SOP6" s="577"/>
      <c r="SOQ6" s="577"/>
      <c r="SOR6" s="577"/>
      <c r="SOS6" s="577"/>
      <c r="SOT6" s="577"/>
      <c r="SOU6" s="577"/>
      <c r="SOV6" s="577"/>
      <c r="SOW6" s="577"/>
      <c r="SOX6" s="577"/>
      <c r="SOY6" s="577"/>
      <c r="SOZ6" s="577"/>
      <c r="SPA6" s="577"/>
      <c r="SPB6" s="577"/>
      <c r="SPC6" s="577"/>
      <c r="SPD6" s="577"/>
      <c r="SPE6" s="577"/>
      <c r="SPF6" s="577"/>
      <c r="SPG6" s="577"/>
      <c r="SPH6" s="577"/>
      <c r="SPI6" s="577"/>
      <c r="SPJ6" s="577"/>
      <c r="SPK6" s="577"/>
      <c r="SPL6" s="577"/>
      <c r="SPM6" s="577"/>
      <c r="SPN6" s="577"/>
      <c r="SPO6" s="577"/>
      <c r="SPP6" s="577"/>
      <c r="SPQ6" s="577"/>
      <c r="SPR6" s="577"/>
      <c r="SPS6" s="577"/>
      <c r="SPT6" s="577"/>
      <c r="SPU6" s="577"/>
      <c r="SPV6" s="577"/>
      <c r="SPW6" s="577"/>
      <c r="SPX6" s="577"/>
      <c r="SPY6" s="577"/>
      <c r="SPZ6" s="577"/>
      <c r="SQA6" s="577"/>
      <c r="SQB6" s="577"/>
      <c r="SQC6" s="577"/>
      <c r="SQD6" s="577"/>
      <c r="SQE6" s="577"/>
      <c r="SQF6" s="577"/>
      <c r="SQG6" s="577"/>
      <c r="SQH6" s="577"/>
      <c r="SQI6" s="577"/>
      <c r="SQJ6" s="577"/>
      <c r="SQK6" s="577"/>
      <c r="SQL6" s="577"/>
      <c r="SQM6" s="577"/>
      <c r="SQN6" s="577"/>
      <c r="SQO6" s="577"/>
      <c r="SQP6" s="577"/>
      <c r="SQQ6" s="577"/>
      <c r="SQR6" s="577"/>
      <c r="SQS6" s="577"/>
      <c r="SQT6" s="577"/>
      <c r="SQU6" s="577"/>
      <c r="SQV6" s="577"/>
      <c r="SQW6" s="577"/>
      <c r="SQX6" s="577"/>
      <c r="SQY6" s="577"/>
      <c r="SQZ6" s="577"/>
      <c r="SRA6" s="577"/>
      <c r="SRB6" s="577"/>
      <c r="SRC6" s="577"/>
      <c r="SRD6" s="577"/>
      <c r="SRE6" s="577"/>
      <c r="SRF6" s="577"/>
      <c r="SRG6" s="577"/>
      <c r="SRH6" s="577"/>
      <c r="SRI6" s="577"/>
      <c r="SRJ6" s="577"/>
      <c r="SRK6" s="577"/>
      <c r="SRL6" s="577"/>
      <c r="SRM6" s="577"/>
      <c r="SRN6" s="577"/>
      <c r="SRO6" s="577"/>
      <c r="SRP6" s="577"/>
      <c r="SRQ6" s="577"/>
      <c r="SRR6" s="577"/>
      <c r="SRS6" s="577"/>
      <c r="SRT6" s="577"/>
      <c r="SRU6" s="577"/>
      <c r="SRV6" s="577"/>
      <c r="SRW6" s="577"/>
      <c r="SRX6" s="577"/>
      <c r="SRY6" s="577"/>
      <c r="SRZ6" s="577"/>
      <c r="SSA6" s="577"/>
      <c r="SSB6" s="577"/>
      <c r="SSC6" s="577"/>
      <c r="SSD6" s="577"/>
      <c r="SSE6" s="577"/>
      <c r="SSF6" s="577"/>
      <c r="SSG6" s="577"/>
      <c r="SSH6" s="577"/>
      <c r="SSI6" s="577"/>
      <c r="SSJ6" s="577"/>
      <c r="SSK6" s="577"/>
      <c r="SSL6" s="577"/>
      <c r="SSM6" s="577"/>
      <c r="SSN6" s="577"/>
      <c r="SSO6" s="577"/>
      <c r="SSP6" s="577"/>
      <c r="SSQ6" s="577"/>
      <c r="SSR6" s="577"/>
      <c r="SSS6" s="577"/>
      <c r="SST6" s="577"/>
      <c r="SSU6" s="577"/>
      <c r="SSV6" s="577"/>
      <c r="SSW6" s="577"/>
      <c r="SSX6" s="577"/>
      <c r="SSY6" s="577"/>
      <c r="SSZ6" s="577"/>
      <c r="STA6" s="577"/>
      <c r="STB6" s="577"/>
      <c r="STC6" s="577"/>
      <c r="STD6" s="577"/>
      <c r="STE6" s="577"/>
      <c r="STF6" s="577"/>
      <c r="STG6" s="577"/>
      <c r="STH6" s="577"/>
      <c r="STI6" s="577"/>
      <c r="STJ6" s="577"/>
      <c r="STK6" s="577"/>
      <c r="STL6" s="577"/>
      <c r="STM6" s="577"/>
      <c r="STN6" s="577"/>
      <c r="STO6" s="577"/>
      <c r="STP6" s="577"/>
      <c r="STQ6" s="577"/>
      <c r="STR6" s="577"/>
      <c r="STS6" s="577"/>
      <c r="STT6" s="577"/>
      <c r="STU6" s="577"/>
      <c r="STV6" s="577"/>
      <c r="STW6" s="577"/>
      <c r="STX6" s="577"/>
      <c r="STY6" s="577"/>
      <c r="STZ6" s="577"/>
      <c r="SUA6" s="577"/>
      <c r="SUB6" s="577"/>
      <c r="SUC6" s="577"/>
      <c r="SUD6" s="577"/>
      <c r="SUE6" s="577"/>
      <c r="SUF6" s="577"/>
      <c r="SUG6" s="577"/>
      <c r="SUH6" s="577"/>
      <c r="SUI6" s="577"/>
      <c r="SUJ6" s="577"/>
      <c r="SUK6" s="577"/>
      <c r="SUL6" s="577"/>
      <c r="SUM6" s="577"/>
      <c r="SUN6" s="577"/>
      <c r="SUO6" s="577"/>
      <c r="SUP6" s="577"/>
      <c r="SUQ6" s="577"/>
      <c r="SUR6" s="577"/>
      <c r="SUS6" s="577"/>
      <c r="SUT6" s="577"/>
      <c r="SUU6" s="577"/>
      <c r="SUV6" s="577"/>
      <c r="SUW6" s="577"/>
      <c r="SUX6" s="577"/>
      <c r="SUY6" s="577"/>
      <c r="SUZ6" s="577"/>
      <c r="SVA6" s="577"/>
      <c r="SVB6" s="577"/>
      <c r="SVC6" s="577"/>
      <c r="SVD6" s="577"/>
      <c r="SVE6" s="577"/>
      <c r="SVF6" s="577"/>
      <c r="SVG6" s="577"/>
      <c r="SVH6" s="577"/>
      <c r="SVI6" s="577"/>
      <c r="SVJ6" s="577"/>
      <c r="SVK6" s="577"/>
      <c r="SVL6" s="577"/>
      <c r="SVM6" s="577"/>
      <c r="SVN6" s="577"/>
      <c r="SVO6" s="577"/>
      <c r="SVP6" s="577"/>
      <c r="SVQ6" s="577"/>
      <c r="SVR6" s="577"/>
      <c r="SVS6" s="577"/>
      <c r="SVT6" s="577"/>
      <c r="SVU6" s="577"/>
      <c r="SVV6" s="577"/>
      <c r="SVW6" s="577"/>
      <c r="SVX6" s="577"/>
      <c r="SVY6" s="577"/>
      <c r="SVZ6" s="577"/>
      <c r="SWA6" s="577"/>
      <c r="SWB6" s="577"/>
      <c r="SWC6" s="577"/>
      <c r="SWD6" s="577"/>
      <c r="SWE6" s="577"/>
      <c r="SWF6" s="577"/>
      <c r="SWG6" s="577"/>
      <c r="SWH6" s="577"/>
      <c r="SWI6" s="577"/>
      <c r="SWJ6" s="577"/>
      <c r="SWK6" s="577"/>
      <c r="SWL6" s="577"/>
      <c r="SWM6" s="577"/>
      <c r="SWN6" s="577"/>
      <c r="SWO6" s="577"/>
      <c r="SWP6" s="577"/>
      <c r="SWQ6" s="577"/>
      <c r="SWR6" s="577"/>
      <c r="SWS6" s="577"/>
      <c r="SWT6" s="577"/>
      <c r="SWU6" s="577"/>
      <c r="SWV6" s="577"/>
      <c r="SWW6" s="577"/>
      <c r="SWX6" s="577"/>
      <c r="SWY6" s="577"/>
      <c r="SWZ6" s="577"/>
      <c r="SXA6" s="577"/>
      <c r="SXB6" s="577"/>
      <c r="SXC6" s="577"/>
      <c r="SXD6" s="577"/>
      <c r="SXE6" s="577"/>
      <c r="SXF6" s="577"/>
      <c r="SXG6" s="577"/>
      <c r="SXH6" s="577"/>
      <c r="SXI6" s="577"/>
      <c r="SXJ6" s="577"/>
      <c r="SXK6" s="577"/>
      <c r="SXL6" s="577"/>
      <c r="SXM6" s="577"/>
      <c r="SXN6" s="577"/>
      <c r="SXO6" s="577"/>
      <c r="SXP6" s="577"/>
      <c r="SXQ6" s="577"/>
      <c r="SXR6" s="577"/>
      <c r="SXS6" s="577"/>
      <c r="SXT6" s="577"/>
      <c r="SXU6" s="577"/>
      <c r="SXV6" s="577"/>
      <c r="SXW6" s="577"/>
      <c r="SXX6" s="577"/>
      <c r="SXY6" s="577"/>
      <c r="SXZ6" s="577"/>
      <c r="SYA6" s="577"/>
      <c r="SYB6" s="577"/>
      <c r="SYC6" s="577"/>
      <c r="SYD6" s="577"/>
      <c r="SYE6" s="577"/>
      <c r="SYF6" s="577"/>
      <c r="SYG6" s="577"/>
      <c r="SYH6" s="577"/>
      <c r="SYI6" s="577"/>
      <c r="SYJ6" s="577"/>
      <c r="SYK6" s="577"/>
      <c r="SYL6" s="577"/>
      <c r="SYM6" s="577"/>
      <c r="SYN6" s="577"/>
      <c r="SYO6" s="577"/>
      <c r="SYP6" s="577"/>
      <c r="SYQ6" s="577"/>
      <c r="SYR6" s="577"/>
      <c r="SYS6" s="577"/>
      <c r="SYT6" s="577"/>
      <c r="SYU6" s="577"/>
      <c r="SYV6" s="577"/>
      <c r="SYW6" s="577"/>
      <c r="SYX6" s="577"/>
      <c r="SYY6" s="577"/>
      <c r="SYZ6" s="577"/>
      <c r="SZA6" s="577"/>
      <c r="SZB6" s="577"/>
      <c r="SZC6" s="577"/>
      <c r="SZD6" s="577"/>
      <c r="SZE6" s="577"/>
      <c r="SZF6" s="577"/>
      <c r="SZG6" s="577"/>
      <c r="SZH6" s="577"/>
      <c r="SZI6" s="577"/>
      <c r="SZJ6" s="577"/>
      <c r="SZK6" s="577"/>
      <c r="SZL6" s="577"/>
      <c r="SZM6" s="577"/>
      <c r="SZN6" s="577"/>
      <c r="SZO6" s="577"/>
      <c r="SZP6" s="577"/>
      <c r="SZQ6" s="577"/>
      <c r="SZR6" s="577"/>
      <c r="SZS6" s="577"/>
      <c r="SZT6" s="577"/>
      <c r="SZU6" s="577"/>
      <c r="SZV6" s="577"/>
      <c r="SZW6" s="577"/>
      <c r="SZX6" s="577"/>
      <c r="SZY6" s="577"/>
      <c r="SZZ6" s="577"/>
      <c r="TAA6" s="577"/>
      <c r="TAB6" s="577"/>
      <c r="TAC6" s="577"/>
      <c r="TAD6" s="577"/>
      <c r="TAE6" s="577"/>
      <c r="TAF6" s="577"/>
      <c r="TAG6" s="577"/>
      <c r="TAH6" s="577"/>
      <c r="TAI6" s="577"/>
      <c r="TAJ6" s="577"/>
      <c r="TAK6" s="577"/>
      <c r="TAL6" s="577"/>
      <c r="TAM6" s="577"/>
      <c r="TAN6" s="577"/>
      <c r="TAO6" s="577"/>
      <c r="TAP6" s="577"/>
      <c r="TAQ6" s="577"/>
      <c r="TAR6" s="577"/>
      <c r="TAS6" s="577"/>
      <c r="TAT6" s="577"/>
      <c r="TAU6" s="577"/>
      <c r="TAV6" s="577"/>
      <c r="TAW6" s="577"/>
      <c r="TAX6" s="577"/>
      <c r="TAY6" s="577"/>
      <c r="TAZ6" s="577"/>
      <c r="TBA6" s="577"/>
      <c r="TBB6" s="577"/>
      <c r="TBC6" s="577"/>
      <c r="TBD6" s="577"/>
      <c r="TBE6" s="577"/>
      <c r="TBF6" s="577"/>
      <c r="TBG6" s="577"/>
      <c r="TBH6" s="577"/>
      <c r="TBI6" s="577"/>
      <c r="TBJ6" s="577"/>
      <c r="TBK6" s="577"/>
      <c r="TBL6" s="577"/>
      <c r="TBM6" s="577"/>
      <c r="TBN6" s="577"/>
      <c r="TBO6" s="577"/>
      <c r="TBP6" s="577"/>
      <c r="TBQ6" s="577"/>
      <c r="TBR6" s="577"/>
      <c r="TBS6" s="577"/>
      <c r="TBT6" s="577"/>
      <c r="TBU6" s="577"/>
      <c r="TBV6" s="577"/>
      <c r="TBW6" s="577"/>
      <c r="TBX6" s="577"/>
      <c r="TBY6" s="577"/>
      <c r="TBZ6" s="577"/>
      <c r="TCA6" s="577"/>
      <c r="TCB6" s="577"/>
      <c r="TCC6" s="577"/>
      <c r="TCD6" s="577"/>
      <c r="TCE6" s="577"/>
      <c r="TCF6" s="577"/>
      <c r="TCG6" s="577"/>
      <c r="TCH6" s="577"/>
      <c r="TCI6" s="577"/>
      <c r="TCJ6" s="577"/>
      <c r="TCK6" s="577"/>
      <c r="TCL6" s="577"/>
      <c r="TCM6" s="577"/>
      <c r="TCN6" s="577"/>
      <c r="TCO6" s="577"/>
      <c r="TCP6" s="577"/>
      <c r="TCQ6" s="577"/>
      <c r="TCR6" s="577"/>
      <c r="TCS6" s="577"/>
      <c r="TCT6" s="577"/>
      <c r="TCU6" s="577"/>
      <c r="TCV6" s="577"/>
      <c r="TCW6" s="577"/>
      <c r="TCX6" s="577"/>
      <c r="TCY6" s="577"/>
      <c r="TCZ6" s="577"/>
      <c r="TDA6" s="577"/>
      <c r="TDB6" s="577"/>
      <c r="TDC6" s="577"/>
      <c r="TDD6" s="577"/>
      <c r="TDE6" s="577"/>
      <c r="TDF6" s="577"/>
      <c r="TDG6" s="577"/>
      <c r="TDH6" s="577"/>
      <c r="TDI6" s="577"/>
      <c r="TDJ6" s="577"/>
      <c r="TDK6" s="577"/>
      <c r="TDL6" s="577"/>
      <c r="TDM6" s="577"/>
      <c r="TDN6" s="577"/>
      <c r="TDO6" s="577"/>
      <c r="TDP6" s="577"/>
      <c r="TDQ6" s="577"/>
      <c r="TDR6" s="577"/>
      <c r="TDS6" s="577"/>
      <c r="TDT6" s="577"/>
      <c r="TDU6" s="577"/>
      <c r="TDV6" s="577"/>
      <c r="TDW6" s="577"/>
      <c r="TDX6" s="577"/>
      <c r="TDY6" s="577"/>
      <c r="TDZ6" s="577"/>
      <c r="TEA6" s="577"/>
      <c r="TEB6" s="577"/>
      <c r="TEC6" s="577"/>
      <c r="TED6" s="577"/>
      <c r="TEE6" s="577"/>
      <c r="TEF6" s="577"/>
      <c r="TEG6" s="577"/>
      <c r="TEH6" s="577"/>
      <c r="TEI6" s="577"/>
      <c r="TEJ6" s="577"/>
      <c r="TEK6" s="577"/>
      <c r="TEL6" s="577"/>
      <c r="TEM6" s="577"/>
      <c r="TEN6" s="577"/>
      <c r="TEO6" s="577"/>
      <c r="TEP6" s="577"/>
      <c r="TEQ6" s="577"/>
      <c r="TER6" s="577"/>
      <c r="TES6" s="577"/>
      <c r="TET6" s="577"/>
      <c r="TEU6" s="577"/>
      <c r="TEV6" s="577"/>
      <c r="TEW6" s="577"/>
      <c r="TEX6" s="577"/>
      <c r="TEY6" s="577"/>
      <c r="TEZ6" s="577"/>
      <c r="TFA6" s="577"/>
      <c r="TFB6" s="577"/>
      <c r="TFC6" s="577"/>
      <c r="TFD6" s="577"/>
      <c r="TFE6" s="577"/>
      <c r="TFF6" s="577"/>
      <c r="TFG6" s="577"/>
      <c r="TFH6" s="577"/>
      <c r="TFI6" s="577"/>
      <c r="TFJ6" s="577"/>
      <c r="TFK6" s="577"/>
      <c r="TFL6" s="577"/>
      <c r="TFM6" s="577"/>
      <c r="TFN6" s="577"/>
      <c r="TFO6" s="577"/>
      <c r="TFP6" s="577"/>
      <c r="TFQ6" s="577"/>
      <c r="TFR6" s="577"/>
      <c r="TFS6" s="577"/>
      <c r="TFT6" s="577"/>
      <c r="TFU6" s="577"/>
      <c r="TFV6" s="577"/>
      <c r="TFW6" s="577"/>
      <c r="TFX6" s="577"/>
      <c r="TFY6" s="577"/>
      <c r="TFZ6" s="577"/>
      <c r="TGA6" s="577"/>
      <c r="TGB6" s="577"/>
      <c r="TGC6" s="577"/>
      <c r="TGD6" s="577"/>
      <c r="TGE6" s="577"/>
      <c r="TGF6" s="577"/>
      <c r="TGG6" s="577"/>
      <c r="TGH6" s="577"/>
      <c r="TGI6" s="577"/>
      <c r="TGJ6" s="577"/>
      <c r="TGK6" s="577"/>
      <c r="TGL6" s="577"/>
      <c r="TGM6" s="577"/>
      <c r="TGN6" s="577"/>
      <c r="TGO6" s="577"/>
      <c r="TGP6" s="577"/>
      <c r="TGQ6" s="577"/>
      <c r="TGR6" s="577"/>
      <c r="TGS6" s="577"/>
      <c r="TGT6" s="577"/>
      <c r="TGU6" s="577"/>
      <c r="TGV6" s="577"/>
      <c r="TGW6" s="577"/>
      <c r="TGX6" s="577"/>
      <c r="TGY6" s="577"/>
      <c r="TGZ6" s="577"/>
      <c r="THA6" s="577"/>
      <c r="THB6" s="577"/>
      <c r="THC6" s="577"/>
      <c r="THD6" s="577"/>
      <c r="THE6" s="577"/>
      <c r="THF6" s="577"/>
      <c r="THG6" s="577"/>
      <c r="THH6" s="577"/>
      <c r="THI6" s="577"/>
      <c r="THJ6" s="577"/>
      <c r="THK6" s="577"/>
      <c r="THL6" s="577"/>
      <c r="THM6" s="577"/>
      <c r="THN6" s="577"/>
      <c r="THO6" s="577"/>
      <c r="THP6" s="577"/>
      <c r="THQ6" s="577"/>
      <c r="THR6" s="577"/>
      <c r="THS6" s="577"/>
      <c r="THT6" s="577"/>
      <c r="THU6" s="577"/>
      <c r="THV6" s="577"/>
      <c r="THW6" s="577"/>
      <c r="THX6" s="577"/>
      <c r="THY6" s="577"/>
      <c r="THZ6" s="577"/>
      <c r="TIA6" s="577"/>
      <c r="TIB6" s="577"/>
      <c r="TIC6" s="577"/>
      <c r="TID6" s="577"/>
      <c r="TIE6" s="577"/>
      <c r="TIF6" s="577"/>
      <c r="TIG6" s="577"/>
      <c r="TIH6" s="577"/>
      <c r="TII6" s="577"/>
      <c r="TIJ6" s="577"/>
      <c r="TIK6" s="577"/>
      <c r="TIL6" s="577"/>
      <c r="TIM6" s="577"/>
      <c r="TIN6" s="577"/>
      <c r="TIO6" s="577"/>
      <c r="TIP6" s="577"/>
      <c r="TIQ6" s="577"/>
      <c r="TIR6" s="577"/>
      <c r="TIS6" s="577"/>
      <c r="TIT6" s="577"/>
      <c r="TIU6" s="577"/>
      <c r="TIV6" s="577"/>
      <c r="TIW6" s="577"/>
      <c r="TIX6" s="577"/>
      <c r="TIY6" s="577"/>
      <c r="TIZ6" s="577"/>
      <c r="TJA6" s="577"/>
      <c r="TJB6" s="577"/>
      <c r="TJC6" s="577"/>
      <c r="TJD6" s="577"/>
      <c r="TJE6" s="577"/>
      <c r="TJF6" s="577"/>
      <c r="TJG6" s="577"/>
      <c r="TJH6" s="577"/>
      <c r="TJI6" s="577"/>
      <c r="TJJ6" s="577"/>
      <c r="TJK6" s="577"/>
      <c r="TJL6" s="577"/>
      <c r="TJM6" s="577"/>
      <c r="TJN6" s="577"/>
      <c r="TJO6" s="577"/>
      <c r="TJP6" s="577"/>
      <c r="TJQ6" s="577"/>
      <c r="TJR6" s="577"/>
      <c r="TJS6" s="577"/>
      <c r="TJT6" s="577"/>
      <c r="TJU6" s="577"/>
      <c r="TJV6" s="577"/>
      <c r="TJW6" s="577"/>
      <c r="TJX6" s="577"/>
      <c r="TJY6" s="577"/>
      <c r="TJZ6" s="577"/>
      <c r="TKA6" s="577"/>
      <c r="TKB6" s="577"/>
      <c r="TKC6" s="577"/>
      <c r="TKD6" s="577"/>
      <c r="TKE6" s="577"/>
      <c r="TKF6" s="577"/>
      <c r="TKG6" s="577"/>
      <c r="TKH6" s="577"/>
      <c r="TKI6" s="577"/>
      <c r="TKJ6" s="577"/>
      <c r="TKK6" s="577"/>
      <c r="TKL6" s="577"/>
      <c r="TKM6" s="577"/>
      <c r="TKN6" s="577"/>
      <c r="TKO6" s="577"/>
      <c r="TKP6" s="577"/>
      <c r="TKQ6" s="577"/>
      <c r="TKR6" s="577"/>
      <c r="TKS6" s="577"/>
      <c r="TKT6" s="577"/>
      <c r="TKU6" s="577"/>
      <c r="TKV6" s="577"/>
      <c r="TKW6" s="577"/>
      <c r="TKX6" s="577"/>
      <c r="TKY6" s="577"/>
      <c r="TKZ6" s="577"/>
      <c r="TLA6" s="577"/>
      <c r="TLB6" s="577"/>
      <c r="TLC6" s="577"/>
      <c r="TLD6" s="577"/>
      <c r="TLE6" s="577"/>
      <c r="TLF6" s="577"/>
      <c r="TLG6" s="577"/>
      <c r="TLH6" s="577"/>
      <c r="TLI6" s="577"/>
      <c r="TLJ6" s="577"/>
      <c r="TLK6" s="577"/>
      <c r="TLL6" s="577"/>
      <c r="TLM6" s="577"/>
      <c r="TLN6" s="577"/>
      <c r="TLO6" s="577"/>
      <c r="TLP6" s="577"/>
      <c r="TLQ6" s="577"/>
      <c r="TLR6" s="577"/>
      <c r="TLS6" s="577"/>
      <c r="TLT6" s="577"/>
      <c r="TLU6" s="577"/>
      <c r="TLV6" s="577"/>
      <c r="TLW6" s="577"/>
      <c r="TLX6" s="577"/>
      <c r="TLY6" s="577"/>
      <c r="TLZ6" s="577"/>
      <c r="TMA6" s="577"/>
      <c r="TMB6" s="577"/>
      <c r="TMC6" s="577"/>
      <c r="TMD6" s="577"/>
      <c r="TME6" s="577"/>
      <c r="TMF6" s="577"/>
      <c r="TMG6" s="577"/>
      <c r="TMH6" s="577"/>
      <c r="TMI6" s="577"/>
      <c r="TMJ6" s="577"/>
      <c r="TMK6" s="577"/>
      <c r="TML6" s="577"/>
      <c r="TMM6" s="577"/>
      <c r="TMN6" s="577"/>
      <c r="TMO6" s="577"/>
      <c r="TMP6" s="577"/>
      <c r="TMQ6" s="577"/>
      <c r="TMR6" s="577"/>
      <c r="TMS6" s="577"/>
      <c r="TMT6" s="577"/>
      <c r="TMU6" s="577"/>
      <c r="TMV6" s="577"/>
      <c r="TMW6" s="577"/>
      <c r="TMX6" s="577"/>
      <c r="TMY6" s="577"/>
      <c r="TMZ6" s="577"/>
      <c r="TNA6" s="577"/>
      <c r="TNB6" s="577"/>
      <c r="TNC6" s="577"/>
      <c r="TND6" s="577"/>
      <c r="TNE6" s="577"/>
      <c r="TNF6" s="577"/>
      <c r="TNG6" s="577"/>
      <c r="TNH6" s="577"/>
      <c r="TNI6" s="577"/>
      <c r="TNJ6" s="577"/>
      <c r="TNK6" s="577"/>
      <c r="TNL6" s="577"/>
      <c r="TNM6" s="577"/>
      <c r="TNN6" s="577"/>
      <c r="TNO6" s="577"/>
      <c r="TNP6" s="577"/>
      <c r="TNQ6" s="577"/>
      <c r="TNR6" s="577"/>
      <c r="TNS6" s="577"/>
      <c r="TNT6" s="577"/>
      <c r="TNU6" s="577"/>
      <c r="TNV6" s="577"/>
      <c r="TNW6" s="577"/>
      <c r="TNX6" s="577"/>
      <c r="TNY6" s="577"/>
      <c r="TNZ6" s="577"/>
      <c r="TOA6" s="577"/>
      <c r="TOB6" s="577"/>
      <c r="TOC6" s="577"/>
      <c r="TOD6" s="577"/>
      <c r="TOE6" s="577"/>
      <c r="TOF6" s="577"/>
      <c r="TOG6" s="577"/>
      <c r="TOH6" s="577"/>
      <c r="TOI6" s="577"/>
      <c r="TOJ6" s="577"/>
      <c r="TOK6" s="577"/>
      <c r="TOL6" s="577"/>
      <c r="TOM6" s="577"/>
      <c r="TON6" s="577"/>
      <c r="TOO6" s="577"/>
      <c r="TOP6" s="577"/>
      <c r="TOQ6" s="577"/>
      <c r="TOR6" s="577"/>
      <c r="TOS6" s="577"/>
      <c r="TOT6" s="577"/>
      <c r="TOU6" s="577"/>
      <c r="TOV6" s="577"/>
      <c r="TOW6" s="577"/>
      <c r="TOX6" s="577"/>
      <c r="TOY6" s="577"/>
      <c r="TOZ6" s="577"/>
      <c r="TPA6" s="577"/>
      <c r="TPB6" s="577"/>
      <c r="TPC6" s="577"/>
      <c r="TPD6" s="577"/>
      <c r="TPE6" s="577"/>
      <c r="TPF6" s="577"/>
      <c r="TPG6" s="577"/>
      <c r="TPH6" s="577"/>
      <c r="TPI6" s="577"/>
      <c r="TPJ6" s="577"/>
      <c r="TPK6" s="577"/>
      <c r="TPL6" s="577"/>
      <c r="TPM6" s="577"/>
      <c r="TPN6" s="577"/>
      <c r="TPO6" s="577"/>
      <c r="TPP6" s="577"/>
      <c r="TPQ6" s="577"/>
      <c r="TPR6" s="577"/>
      <c r="TPS6" s="577"/>
      <c r="TPT6" s="577"/>
      <c r="TPU6" s="577"/>
      <c r="TPV6" s="577"/>
      <c r="TPW6" s="577"/>
      <c r="TPX6" s="577"/>
      <c r="TPY6" s="577"/>
      <c r="TPZ6" s="577"/>
      <c r="TQA6" s="577"/>
      <c r="TQB6" s="577"/>
      <c r="TQC6" s="577"/>
      <c r="TQD6" s="577"/>
      <c r="TQE6" s="577"/>
      <c r="TQF6" s="577"/>
      <c r="TQG6" s="577"/>
      <c r="TQH6" s="577"/>
      <c r="TQI6" s="577"/>
      <c r="TQJ6" s="577"/>
      <c r="TQK6" s="577"/>
      <c r="TQL6" s="577"/>
      <c r="TQM6" s="577"/>
      <c r="TQN6" s="577"/>
      <c r="TQO6" s="577"/>
      <c r="TQP6" s="577"/>
      <c r="TQQ6" s="577"/>
      <c r="TQR6" s="577"/>
      <c r="TQS6" s="577"/>
      <c r="TQT6" s="577"/>
      <c r="TQU6" s="577"/>
      <c r="TQV6" s="577"/>
      <c r="TQW6" s="577"/>
      <c r="TQX6" s="577"/>
      <c r="TQY6" s="577"/>
      <c r="TQZ6" s="577"/>
      <c r="TRA6" s="577"/>
      <c r="TRB6" s="577"/>
      <c r="TRC6" s="577"/>
      <c r="TRD6" s="577"/>
      <c r="TRE6" s="577"/>
      <c r="TRF6" s="577"/>
      <c r="TRG6" s="577"/>
      <c r="TRH6" s="577"/>
      <c r="TRI6" s="577"/>
      <c r="TRJ6" s="577"/>
      <c r="TRK6" s="577"/>
      <c r="TRL6" s="577"/>
      <c r="TRM6" s="577"/>
      <c r="TRN6" s="577"/>
      <c r="TRO6" s="577"/>
      <c r="TRP6" s="577"/>
      <c r="TRQ6" s="577"/>
      <c r="TRR6" s="577"/>
      <c r="TRS6" s="577"/>
      <c r="TRT6" s="577"/>
      <c r="TRU6" s="577"/>
      <c r="TRV6" s="577"/>
      <c r="TRW6" s="577"/>
      <c r="TRX6" s="577"/>
      <c r="TRY6" s="577"/>
      <c r="TRZ6" s="577"/>
      <c r="TSA6" s="577"/>
      <c r="TSB6" s="577"/>
      <c r="TSC6" s="577"/>
      <c r="TSD6" s="577"/>
      <c r="TSE6" s="577"/>
      <c r="TSF6" s="577"/>
      <c r="TSG6" s="577"/>
      <c r="TSH6" s="577"/>
      <c r="TSI6" s="577"/>
      <c r="TSJ6" s="577"/>
      <c r="TSK6" s="577"/>
      <c r="TSL6" s="577"/>
      <c r="TSM6" s="577"/>
      <c r="TSN6" s="577"/>
      <c r="TSO6" s="577"/>
      <c r="TSP6" s="577"/>
      <c r="TSQ6" s="577"/>
      <c r="TSR6" s="577"/>
      <c r="TSS6" s="577"/>
      <c r="TST6" s="577"/>
      <c r="TSU6" s="577"/>
      <c r="TSV6" s="577"/>
      <c r="TSW6" s="577"/>
      <c r="TSX6" s="577"/>
      <c r="TSY6" s="577"/>
      <c r="TSZ6" s="577"/>
      <c r="TTA6" s="577"/>
      <c r="TTB6" s="577"/>
      <c r="TTC6" s="577"/>
      <c r="TTD6" s="577"/>
      <c r="TTE6" s="577"/>
      <c r="TTF6" s="577"/>
      <c r="TTG6" s="577"/>
      <c r="TTH6" s="577"/>
      <c r="TTI6" s="577"/>
      <c r="TTJ6" s="577"/>
      <c r="TTK6" s="577"/>
      <c r="TTL6" s="577"/>
      <c r="TTM6" s="577"/>
      <c r="TTN6" s="577"/>
      <c r="TTO6" s="577"/>
      <c r="TTP6" s="577"/>
      <c r="TTQ6" s="577"/>
      <c r="TTR6" s="577"/>
      <c r="TTS6" s="577"/>
      <c r="TTT6" s="577"/>
      <c r="TTU6" s="577"/>
      <c r="TTV6" s="577"/>
      <c r="TTW6" s="577"/>
      <c r="TTX6" s="577"/>
      <c r="TTY6" s="577"/>
      <c r="TTZ6" s="577"/>
      <c r="TUA6" s="577"/>
      <c r="TUB6" s="577"/>
      <c r="TUC6" s="577"/>
      <c r="TUD6" s="577"/>
      <c r="TUE6" s="577"/>
      <c r="TUF6" s="577"/>
      <c r="TUG6" s="577"/>
      <c r="TUH6" s="577"/>
      <c r="TUI6" s="577"/>
      <c r="TUJ6" s="577"/>
      <c r="TUK6" s="577"/>
      <c r="TUL6" s="577"/>
      <c r="TUM6" s="577"/>
      <c r="TUN6" s="577"/>
      <c r="TUO6" s="577"/>
      <c r="TUP6" s="577"/>
      <c r="TUQ6" s="577"/>
      <c r="TUR6" s="577"/>
      <c r="TUS6" s="577"/>
      <c r="TUT6" s="577"/>
      <c r="TUU6" s="577"/>
      <c r="TUV6" s="577"/>
      <c r="TUW6" s="577"/>
      <c r="TUX6" s="577"/>
      <c r="TUY6" s="577"/>
      <c r="TUZ6" s="577"/>
      <c r="TVA6" s="577"/>
      <c r="TVB6" s="577"/>
      <c r="TVC6" s="577"/>
      <c r="TVD6" s="577"/>
      <c r="TVE6" s="577"/>
      <c r="TVF6" s="577"/>
      <c r="TVG6" s="577"/>
      <c r="TVH6" s="577"/>
      <c r="TVI6" s="577"/>
      <c r="TVJ6" s="577"/>
      <c r="TVK6" s="577"/>
      <c r="TVL6" s="577"/>
      <c r="TVM6" s="577"/>
      <c r="TVN6" s="577"/>
      <c r="TVO6" s="577"/>
      <c r="TVP6" s="577"/>
      <c r="TVQ6" s="577"/>
      <c r="TVR6" s="577"/>
      <c r="TVS6" s="577"/>
      <c r="TVT6" s="577"/>
      <c r="TVU6" s="577"/>
      <c r="TVV6" s="577"/>
      <c r="TVW6" s="577"/>
      <c r="TVX6" s="577"/>
      <c r="TVY6" s="577"/>
      <c r="TVZ6" s="577"/>
      <c r="TWA6" s="577"/>
      <c r="TWB6" s="577"/>
      <c r="TWC6" s="577"/>
      <c r="TWD6" s="577"/>
      <c r="TWE6" s="577"/>
      <c r="TWF6" s="577"/>
      <c r="TWG6" s="577"/>
      <c r="TWH6" s="577"/>
      <c r="TWI6" s="577"/>
      <c r="TWJ6" s="577"/>
      <c r="TWK6" s="577"/>
      <c r="TWL6" s="577"/>
      <c r="TWM6" s="577"/>
      <c r="TWN6" s="577"/>
      <c r="TWO6" s="577"/>
      <c r="TWP6" s="577"/>
      <c r="TWQ6" s="577"/>
      <c r="TWR6" s="577"/>
      <c r="TWS6" s="577"/>
      <c r="TWT6" s="577"/>
      <c r="TWU6" s="577"/>
      <c r="TWV6" s="577"/>
      <c r="TWW6" s="577"/>
      <c r="TWX6" s="577"/>
      <c r="TWY6" s="577"/>
      <c r="TWZ6" s="577"/>
      <c r="TXA6" s="577"/>
      <c r="TXB6" s="577"/>
      <c r="TXC6" s="577"/>
      <c r="TXD6" s="577"/>
      <c r="TXE6" s="577"/>
      <c r="TXF6" s="577"/>
      <c r="TXG6" s="577"/>
      <c r="TXH6" s="577"/>
      <c r="TXI6" s="577"/>
      <c r="TXJ6" s="577"/>
      <c r="TXK6" s="577"/>
      <c r="TXL6" s="577"/>
      <c r="TXM6" s="577"/>
      <c r="TXN6" s="577"/>
      <c r="TXO6" s="577"/>
      <c r="TXP6" s="577"/>
      <c r="TXQ6" s="577"/>
      <c r="TXR6" s="577"/>
      <c r="TXS6" s="577"/>
      <c r="TXT6" s="577"/>
      <c r="TXU6" s="577"/>
      <c r="TXV6" s="577"/>
      <c r="TXW6" s="577"/>
      <c r="TXX6" s="577"/>
      <c r="TXY6" s="577"/>
      <c r="TXZ6" s="577"/>
      <c r="TYA6" s="577"/>
      <c r="TYB6" s="577"/>
      <c r="TYC6" s="577"/>
      <c r="TYD6" s="577"/>
      <c r="TYE6" s="577"/>
      <c r="TYF6" s="577"/>
      <c r="TYG6" s="577"/>
      <c r="TYH6" s="577"/>
      <c r="TYI6" s="577"/>
      <c r="TYJ6" s="577"/>
      <c r="TYK6" s="577"/>
      <c r="TYL6" s="577"/>
      <c r="TYM6" s="577"/>
      <c r="TYN6" s="577"/>
      <c r="TYO6" s="577"/>
      <c r="TYP6" s="577"/>
      <c r="TYQ6" s="577"/>
      <c r="TYR6" s="577"/>
      <c r="TYS6" s="577"/>
      <c r="TYT6" s="577"/>
      <c r="TYU6" s="577"/>
      <c r="TYV6" s="577"/>
      <c r="TYW6" s="577"/>
      <c r="TYX6" s="577"/>
      <c r="TYY6" s="577"/>
      <c r="TYZ6" s="577"/>
      <c r="TZA6" s="577"/>
      <c r="TZB6" s="577"/>
      <c r="TZC6" s="577"/>
      <c r="TZD6" s="577"/>
      <c r="TZE6" s="577"/>
      <c r="TZF6" s="577"/>
      <c r="TZG6" s="577"/>
      <c r="TZH6" s="577"/>
      <c r="TZI6" s="577"/>
      <c r="TZJ6" s="577"/>
      <c r="TZK6" s="577"/>
      <c r="TZL6" s="577"/>
      <c r="TZM6" s="577"/>
      <c r="TZN6" s="577"/>
      <c r="TZO6" s="577"/>
      <c r="TZP6" s="577"/>
      <c r="TZQ6" s="577"/>
      <c r="TZR6" s="577"/>
      <c r="TZS6" s="577"/>
      <c r="TZT6" s="577"/>
      <c r="TZU6" s="577"/>
      <c r="TZV6" s="577"/>
      <c r="TZW6" s="577"/>
      <c r="TZX6" s="577"/>
      <c r="TZY6" s="577"/>
      <c r="TZZ6" s="577"/>
      <c r="UAA6" s="577"/>
      <c r="UAB6" s="577"/>
      <c r="UAC6" s="577"/>
      <c r="UAD6" s="577"/>
      <c r="UAE6" s="577"/>
      <c r="UAF6" s="577"/>
      <c r="UAG6" s="577"/>
      <c r="UAH6" s="577"/>
      <c r="UAI6" s="577"/>
      <c r="UAJ6" s="577"/>
      <c r="UAK6" s="577"/>
      <c r="UAL6" s="577"/>
      <c r="UAM6" s="577"/>
      <c r="UAN6" s="577"/>
      <c r="UAO6" s="577"/>
      <c r="UAP6" s="577"/>
      <c r="UAQ6" s="577"/>
      <c r="UAR6" s="577"/>
      <c r="UAS6" s="577"/>
      <c r="UAT6" s="577"/>
      <c r="UAU6" s="577"/>
      <c r="UAV6" s="577"/>
      <c r="UAW6" s="577"/>
      <c r="UAX6" s="577"/>
      <c r="UAY6" s="577"/>
      <c r="UAZ6" s="577"/>
      <c r="UBA6" s="577"/>
      <c r="UBB6" s="577"/>
      <c r="UBC6" s="577"/>
      <c r="UBD6" s="577"/>
      <c r="UBE6" s="577"/>
      <c r="UBF6" s="577"/>
      <c r="UBG6" s="577"/>
      <c r="UBH6" s="577"/>
      <c r="UBI6" s="577"/>
      <c r="UBJ6" s="577"/>
      <c r="UBK6" s="577"/>
      <c r="UBL6" s="577"/>
      <c r="UBM6" s="577"/>
      <c r="UBN6" s="577"/>
      <c r="UBO6" s="577"/>
      <c r="UBP6" s="577"/>
      <c r="UBQ6" s="577"/>
      <c r="UBR6" s="577"/>
      <c r="UBS6" s="577"/>
      <c r="UBT6" s="577"/>
      <c r="UBU6" s="577"/>
      <c r="UBV6" s="577"/>
      <c r="UBW6" s="577"/>
      <c r="UBX6" s="577"/>
      <c r="UBY6" s="577"/>
      <c r="UBZ6" s="577"/>
      <c r="UCA6" s="577"/>
      <c r="UCB6" s="577"/>
      <c r="UCC6" s="577"/>
      <c r="UCD6" s="577"/>
      <c r="UCE6" s="577"/>
      <c r="UCF6" s="577"/>
      <c r="UCG6" s="577"/>
      <c r="UCH6" s="577"/>
      <c r="UCI6" s="577"/>
      <c r="UCJ6" s="577"/>
      <c r="UCK6" s="577"/>
      <c r="UCL6" s="577"/>
      <c r="UCM6" s="577"/>
      <c r="UCN6" s="577"/>
      <c r="UCO6" s="577"/>
      <c r="UCP6" s="577"/>
      <c r="UCQ6" s="577"/>
      <c r="UCR6" s="577"/>
      <c r="UCS6" s="577"/>
      <c r="UCT6" s="577"/>
      <c r="UCU6" s="577"/>
      <c r="UCV6" s="577"/>
      <c r="UCW6" s="577"/>
      <c r="UCX6" s="577"/>
      <c r="UCY6" s="577"/>
      <c r="UCZ6" s="577"/>
      <c r="UDA6" s="577"/>
      <c r="UDB6" s="577"/>
      <c r="UDC6" s="577"/>
      <c r="UDD6" s="577"/>
      <c r="UDE6" s="577"/>
      <c r="UDF6" s="577"/>
      <c r="UDG6" s="577"/>
      <c r="UDH6" s="577"/>
      <c r="UDI6" s="577"/>
      <c r="UDJ6" s="577"/>
      <c r="UDK6" s="577"/>
      <c r="UDL6" s="577"/>
      <c r="UDM6" s="577"/>
      <c r="UDN6" s="577"/>
      <c r="UDO6" s="577"/>
      <c r="UDP6" s="577"/>
      <c r="UDQ6" s="577"/>
      <c r="UDR6" s="577"/>
      <c r="UDS6" s="577"/>
      <c r="UDT6" s="577"/>
      <c r="UDU6" s="577"/>
      <c r="UDV6" s="577"/>
      <c r="UDW6" s="577"/>
      <c r="UDX6" s="577"/>
      <c r="UDY6" s="577"/>
      <c r="UDZ6" s="577"/>
      <c r="UEA6" s="577"/>
      <c r="UEB6" s="577"/>
      <c r="UEC6" s="577"/>
      <c r="UED6" s="577"/>
      <c r="UEE6" s="577"/>
      <c r="UEF6" s="577"/>
      <c r="UEG6" s="577"/>
      <c r="UEH6" s="577"/>
      <c r="UEI6" s="577"/>
      <c r="UEJ6" s="577"/>
      <c r="UEK6" s="577"/>
      <c r="UEL6" s="577"/>
      <c r="UEM6" s="577"/>
      <c r="UEN6" s="577"/>
      <c r="UEO6" s="577"/>
      <c r="UEP6" s="577"/>
      <c r="UEQ6" s="577"/>
      <c r="UER6" s="577"/>
      <c r="UES6" s="577"/>
      <c r="UET6" s="577"/>
      <c r="UEU6" s="577"/>
      <c r="UEV6" s="577"/>
      <c r="UEW6" s="577"/>
      <c r="UEX6" s="577"/>
      <c r="UEY6" s="577"/>
      <c r="UEZ6" s="577"/>
      <c r="UFA6" s="577"/>
      <c r="UFB6" s="577"/>
      <c r="UFC6" s="577"/>
      <c r="UFD6" s="577"/>
      <c r="UFE6" s="577"/>
      <c r="UFF6" s="577"/>
      <c r="UFG6" s="577"/>
      <c r="UFH6" s="577"/>
      <c r="UFI6" s="577"/>
      <c r="UFJ6" s="577"/>
      <c r="UFK6" s="577"/>
      <c r="UFL6" s="577"/>
      <c r="UFM6" s="577"/>
      <c r="UFN6" s="577"/>
      <c r="UFO6" s="577"/>
      <c r="UFP6" s="577"/>
      <c r="UFQ6" s="577"/>
      <c r="UFR6" s="577"/>
      <c r="UFS6" s="577"/>
      <c r="UFT6" s="577"/>
      <c r="UFU6" s="577"/>
      <c r="UFV6" s="577"/>
      <c r="UFW6" s="577"/>
      <c r="UFX6" s="577"/>
      <c r="UFY6" s="577"/>
      <c r="UFZ6" s="577"/>
      <c r="UGA6" s="577"/>
      <c r="UGB6" s="577"/>
      <c r="UGC6" s="577"/>
      <c r="UGD6" s="577"/>
      <c r="UGE6" s="577"/>
      <c r="UGF6" s="577"/>
      <c r="UGG6" s="577"/>
      <c r="UGH6" s="577"/>
      <c r="UGI6" s="577"/>
      <c r="UGJ6" s="577"/>
      <c r="UGK6" s="577"/>
      <c r="UGL6" s="577"/>
      <c r="UGM6" s="577"/>
      <c r="UGN6" s="577"/>
      <c r="UGO6" s="577"/>
      <c r="UGP6" s="577"/>
      <c r="UGQ6" s="577"/>
      <c r="UGR6" s="577"/>
      <c r="UGS6" s="577"/>
      <c r="UGT6" s="577"/>
      <c r="UGU6" s="577"/>
      <c r="UGV6" s="577"/>
      <c r="UGW6" s="577"/>
      <c r="UGX6" s="577"/>
      <c r="UGY6" s="577"/>
      <c r="UGZ6" s="577"/>
      <c r="UHA6" s="577"/>
      <c r="UHB6" s="577"/>
      <c r="UHC6" s="577"/>
      <c r="UHD6" s="577"/>
      <c r="UHE6" s="577"/>
      <c r="UHF6" s="577"/>
      <c r="UHG6" s="577"/>
      <c r="UHH6" s="577"/>
      <c r="UHI6" s="577"/>
      <c r="UHJ6" s="577"/>
      <c r="UHK6" s="577"/>
      <c r="UHL6" s="577"/>
      <c r="UHM6" s="577"/>
      <c r="UHN6" s="577"/>
      <c r="UHO6" s="577"/>
      <c r="UHP6" s="577"/>
      <c r="UHQ6" s="577"/>
      <c r="UHR6" s="577"/>
      <c r="UHS6" s="577"/>
      <c r="UHT6" s="577"/>
      <c r="UHU6" s="577"/>
      <c r="UHV6" s="577"/>
      <c r="UHW6" s="577"/>
      <c r="UHX6" s="577"/>
      <c r="UHY6" s="577"/>
      <c r="UHZ6" s="577"/>
      <c r="UIA6" s="577"/>
      <c r="UIB6" s="577"/>
      <c r="UIC6" s="577"/>
      <c r="UID6" s="577"/>
      <c r="UIE6" s="577"/>
      <c r="UIF6" s="577"/>
      <c r="UIG6" s="577"/>
      <c r="UIH6" s="577"/>
      <c r="UII6" s="577"/>
      <c r="UIJ6" s="577"/>
      <c r="UIK6" s="577"/>
      <c r="UIL6" s="577"/>
      <c r="UIM6" s="577"/>
      <c r="UIN6" s="577"/>
      <c r="UIO6" s="577"/>
      <c r="UIP6" s="577"/>
      <c r="UIQ6" s="577"/>
      <c r="UIR6" s="577"/>
      <c r="UIS6" s="577"/>
      <c r="UIT6" s="577"/>
      <c r="UIU6" s="577"/>
      <c r="UIV6" s="577"/>
      <c r="UIW6" s="577"/>
      <c r="UIX6" s="577"/>
      <c r="UIY6" s="577"/>
      <c r="UIZ6" s="577"/>
      <c r="UJA6" s="577"/>
      <c r="UJB6" s="577"/>
      <c r="UJC6" s="577"/>
      <c r="UJD6" s="577"/>
      <c r="UJE6" s="577"/>
      <c r="UJF6" s="577"/>
      <c r="UJG6" s="577"/>
      <c r="UJH6" s="577"/>
      <c r="UJI6" s="577"/>
      <c r="UJJ6" s="577"/>
      <c r="UJK6" s="577"/>
      <c r="UJL6" s="577"/>
      <c r="UJM6" s="577"/>
      <c r="UJN6" s="577"/>
      <c r="UJO6" s="577"/>
      <c r="UJP6" s="577"/>
      <c r="UJQ6" s="577"/>
      <c r="UJR6" s="577"/>
      <c r="UJS6" s="577"/>
      <c r="UJT6" s="577"/>
      <c r="UJU6" s="577"/>
      <c r="UJV6" s="577"/>
      <c r="UJW6" s="577"/>
      <c r="UJX6" s="577"/>
      <c r="UJY6" s="577"/>
      <c r="UJZ6" s="577"/>
      <c r="UKA6" s="577"/>
      <c r="UKB6" s="577"/>
      <c r="UKC6" s="577"/>
      <c r="UKD6" s="577"/>
      <c r="UKE6" s="577"/>
      <c r="UKF6" s="577"/>
      <c r="UKG6" s="577"/>
      <c r="UKH6" s="577"/>
      <c r="UKI6" s="577"/>
      <c r="UKJ6" s="577"/>
      <c r="UKK6" s="577"/>
      <c r="UKL6" s="577"/>
      <c r="UKM6" s="577"/>
      <c r="UKN6" s="577"/>
      <c r="UKO6" s="577"/>
      <c r="UKP6" s="577"/>
      <c r="UKQ6" s="577"/>
      <c r="UKR6" s="577"/>
      <c r="UKS6" s="577"/>
      <c r="UKT6" s="577"/>
      <c r="UKU6" s="577"/>
      <c r="UKV6" s="577"/>
      <c r="UKW6" s="577"/>
      <c r="UKX6" s="577"/>
      <c r="UKY6" s="577"/>
      <c r="UKZ6" s="577"/>
      <c r="ULA6" s="577"/>
      <c r="ULB6" s="577"/>
      <c r="ULC6" s="577"/>
      <c r="ULD6" s="577"/>
      <c r="ULE6" s="577"/>
      <c r="ULF6" s="577"/>
      <c r="ULG6" s="577"/>
      <c r="ULH6" s="577"/>
      <c r="ULI6" s="577"/>
      <c r="ULJ6" s="577"/>
      <c r="ULK6" s="577"/>
      <c r="ULL6" s="577"/>
      <c r="ULM6" s="577"/>
      <c r="ULN6" s="577"/>
      <c r="ULO6" s="577"/>
      <c r="ULP6" s="577"/>
      <c r="ULQ6" s="577"/>
      <c r="ULR6" s="577"/>
      <c r="ULS6" s="577"/>
      <c r="ULT6" s="577"/>
      <c r="ULU6" s="577"/>
      <c r="ULV6" s="577"/>
      <c r="ULW6" s="577"/>
      <c r="ULX6" s="577"/>
      <c r="ULY6" s="577"/>
      <c r="ULZ6" s="577"/>
      <c r="UMA6" s="577"/>
      <c r="UMB6" s="577"/>
      <c r="UMC6" s="577"/>
      <c r="UMD6" s="577"/>
      <c r="UME6" s="577"/>
      <c r="UMF6" s="577"/>
      <c r="UMG6" s="577"/>
      <c r="UMH6" s="577"/>
      <c r="UMI6" s="577"/>
      <c r="UMJ6" s="577"/>
      <c r="UMK6" s="577"/>
      <c r="UML6" s="577"/>
      <c r="UMM6" s="577"/>
      <c r="UMN6" s="577"/>
      <c r="UMO6" s="577"/>
      <c r="UMP6" s="577"/>
      <c r="UMQ6" s="577"/>
      <c r="UMR6" s="577"/>
      <c r="UMS6" s="577"/>
      <c r="UMT6" s="577"/>
      <c r="UMU6" s="577"/>
      <c r="UMV6" s="577"/>
      <c r="UMW6" s="577"/>
      <c r="UMX6" s="577"/>
      <c r="UMY6" s="577"/>
      <c r="UMZ6" s="577"/>
      <c r="UNA6" s="577"/>
      <c r="UNB6" s="577"/>
      <c r="UNC6" s="577"/>
      <c r="UND6" s="577"/>
      <c r="UNE6" s="577"/>
      <c r="UNF6" s="577"/>
      <c r="UNG6" s="577"/>
      <c r="UNH6" s="577"/>
      <c r="UNI6" s="577"/>
      <c r="UNJ6" s="577"/>
      <c r="UNK6" s="577"/>
      <c r="UNL6" s="577"/>
      <c r="UNM6" s="577"/>
      <c r="UNN6" s="577"/>
      <c r="UNO6" s="577"/>
      <c r="UNP6" s="577"/>
      <c r="UNQ6" s="577"/>
      <c r="UNR6" s="577"/>
      <c r="UNS6" s="577"/>
      <c r="UNT6" s="577"/>
      <c r="UNU6" s="577"/>
      <c r="UNV6" s="577"/>
      <c r="UNW6" s="577"/>
      <c r="UNX6" s="577"/>
      <c r="UNY6" s="577"/>
      <c r="UNZ6" s="577"/>
      <c r="UOA6" s="577"/>
      <c r="UOB6" s="577"/>
      <c r="UOC6" s="577"/>
      <c r="UOD6" s="577"/>
      <c r="UOE6" s="577"/>
      <c r="UOF6" s="577"/>
      <c r="UOG6" s="577"/>
      <c r="UOH6" s="577"/>
      <c r="UOI6" s="577"/>
      <c r="UOJ6" s="577"/>
      <c r="UOK6" s="577"/>
      <c r="UOL6" s="577"/>
      <c r="UOM6" s="577"/>
      <c r="UON6" s="577"/>
      <c r="UOO6" s="577"/>
      <c r="UOP6" s="577"/>
      <c r="UOQ6" s="577"/>
      <c r="UOR6" s="577"/>
      <c r="UOS6" s="577"/>
      <c r="UOT6" s="577"/>
      <c r="UOU6" s="577"/>
      <c r="UOV6" s="577"/>
      <c r="UOW6" s="577"/>
      <c r="UOX6" s="577"/>
      <c r="UOY6" s="577"/>
      <c r="UOZ6" s="577"/>
      <c r="UPA6" s="577"/>
      <c r="UPB6" s="577"/>
      <c r="UPC6" s="577"/>
      <c r="UPD6" s="577"/>
      <c r="UPE6" s="577"/>
      <c r="UPF6" s="577"/>
      <c r="UPG6" s="577"/>
      <c r="UPH6" s="577"/>
      <c r="UPI6" s="577"/>
      <c r="UPJ6" s="577"/>
      <c r="UPK6" s="577"/>
      <c r="UPL6" s="577"/>
      <c r="UPM6" s="577"/>
      <c r="UPN6" s="577"/>
      <c r="UPO6" s="577"/>
      <c r="UPP6" s="577"/>
      <c r="UPQ6" s="577"/>
      <c r="UPR6" s="577"/>
      <c r="UPS6" s="577"/>
      <c r="UPT6" s="577"/>
      <c r="UPU6" s="577"/>
      <c r="UPV6" s="577"/>
      <c r="UPW6" s="577"/>
      <c r="UPX6" s="577"/>
      <c r="UPY6" s="577"/>
      <c r="UPZ6" s="577"/>
      <c r="UQA6" s="577"/>
      <c r="UQB6" s="577"/>
      <c r="UQC6" s="577"/>
      <c r="UQD6" s="577"/>
      <c r="UQE6" s="577"/>
      <c r="UQF6" s="577"/>
      <c r="UQG6" s="577"/>
      <c r="UQH6" s="577"/>
      <c r="UQI6" s="577"/>
      <c r="UQJ6" s="577"/>
      <c r="UQK6" s="577"/>
      <c r="UQL6" s="577"/>
      <c r="UQM6" s="577"/>
      <c r="UQN6" s="577"/>
      <c r="UQO6" s="577"/>
      <c r="UQP6" s="577"/>
      <c r="UQQ6" s="577"/>
      <c r="UQR6" s="577"/>
      <c r="UQS6" s="577"/>
      <c r="UQT6" s="577"/>
      <c r="UQU6" s="577"/>
      <c r="UQV6" s="577"/>
      <c r="UQW6" s="577"/>
      <c r="UQX6" s="577"/>
      <c r="UQY6" s="577"/>
      <c r="UQZ6" s="577"/>
      <c r="URA6" s="577"/>
      <c r="URB6" s="577"/>
      <c r="URC6" s="577"/>
      <c r="URD6" s="577"/>
      <c r="URE6" s="577"/>
      <c r="URF6" s="577"/>
      <c r="URG6" s="577"/>
      <c r="URH6" s="577"/>
      <c r="URI6" s="577"/>
      <c r="URJ6" s="577"/>
      <c r="URK6" s="577"/>
      <c r="URL6" s="577"/>
      <c r="URM6" s="577"/>
      <c r="URN6" s="577"/>
      <c r="URO6" s="577"/>
      <c r="URP6" s="577"/>
      <c r="URQ6" s="577"/>
      <c r="URR6" s="577"/>
      <c r="URS6" s="577"/>
      <c r="URT6" s="577"/>
      <c r="URU6" s="577"/>
      <c r="URV6" s="577"/>
      <c r="URW6" s="577"/>
      <c r="URX6" s="577"/>
      <c r="URY6" s="577"/>
      <c r="URZ6" s="577"/>
      <c r="USA6" s="577"/>
      <c r="USB6" s="577"/>
      <c r="USC6" s="577"/>
      <c r="USD6" s="577"/>
      <c r="USE6" s="577"/>
      <c r="USF6" s="577"/>
      <c r="USG6" s="577"/>
      <c r="USH6" s="577"/>
      <c r="USI6" s="577"/>
      <c r="USJ6" s="577"/>
      <c r="USK6" s="577"/>
      <c r="USL6" s="577"/>
      <c r="USM6" s="577"/>
      <c r="USN6" s="577"/>
      <c r="USO6" s="577"/>
      <c r="USP6" s="577"/>
      <c r="USQ6" s="577"/>
      <c r="USR6" s="577"/>
      <c r="USS6" s="577"/>
      <c r="UST6" s="577"/>
      <c r="USU6" s="577"/>
      <c r="USV6" s="577"/>
      <c r="USW6" s="577"/>
      <c r="USX6" s="577"/>
      <c r="USY6" s="577"/>
      <c r="USZ6" s="577"/>
      <c r="UTA6" s="577"/>
      <c r="UTB6" s="577"/>
      <c r="UTC6" s="577"/>
      <c r="UTD6" s="577"/>
      <c r="UTE6" s="577"/>
      <c r="UTF6" s="577"/>
      <c r="UTG6" s="577"/>
      <c r="UTH6" s="577"/>
      <c r="UTI6" s="577"/>
      <c r="UTJ6" s="577"/>
      <c r="UTK6" s="577"/>
      <c r="UTL6" s="577"/>
      <c r="UTM6" s="577"/>
      <c r="UTN6" s="577"/>
      <c r="UTO6" s="577"/>
      <c r="UTP6" s="577"/>
      <c r="UTQ6" s="577"/>
      <c r="UTR6" s="577"/>
      <c r="UTS6" s="577"/>
      <c r="UTT6" s="577"/>
      <c r="UTU6" s="577"/>
      <c r="UTV6" s="577"/>
      <c r="UTW6" s="577"/>
      <c r="UTX6" s="577"/>
      <c r="UTY6" s="577"/>
      <c r="UTZ6" s="577"/>
      <c r="UUA6" s="577"/>
      <c r="UUB6" s="577"/>
      <c r="UUC6" s="577"/>
      <c r="UUD6" s="577"/>
      <c r="UUE6" s="577"/>
      <c r="UUF6" s="577"/>
      <c r="UUG6" s="577"/>
      <c r="UUH6" s="577"/>
      <c r="UUI6" s="577"/>
      <c r="UUJ6" s="577"/>
      <c r="UUK6" s="577"/>
      <c r="UUL6" s="577"/>
      <c r="UUM6" s="577"/>
      <c r="UUN6" s="577"/>
      <c r="UUO6" s="577"/>
      <c r="UUP6" s="577"/>
      <c r="UUQ6" s="577"/>
      <c r="UUR6" s="577"/>
      <c r="UUS6" s="577"/>
      <c r="UUT6" s="577"/>
      <c r="UUU6" s="577"/>
      <c r="UUV6" s="577"/>
      <c r="UUW6" s="577"/>
      <c r="UUX6" s="577"/>
      <c r="UUY6" s="577"/>
      <c r="UUZ6" s="577"/>
      <c r="UVA6" s="577"/>
      <c r="UVB6" s="577"/>
      <c r="UVC6" s="577"/>
      <c r="UVD6" s="577"/>
      <c r="UVE6" s="577"/>
      <c r="UVF6" s="577"/>
      <c r="UVG6" s="577"/>
      <c r="UVH6" s="577"/>
      <c r="UVI6" s="577"/>
      <c r="UVJ6" s="577"/>
      <c r="UVK6" s="577"/>
      <c r="UVL6" s="577"/>
      <c r="UVM6" s="577"/>
      <c r="UVN6" s="577"/>
      <c r="UVO6" s="577"/>
      <c r="UVP6" s="577"/>
      <c r="UVQ6" s="577"/>
      <c r="UVR6" s="577"/>
      <c r="UVS6" s="577"/>
      <c r="UVT6" s="577"/>
      <c r="UVU6" s="577"/>
      <c r="UVV6" s="577"/>
      <c r="UVW6" s="577"/>
      <c r="UVX6" s="577"/>
      <c r="UVY6" s="577"/>
      <c r="UVZ6" s="577"/>
      <c r="UWA6" s="577"/>
      <c r="UWB6" s="577"/>
      <c r="UWC6" s="577"/>
      <c r="UWD6" s="577"/>
      <c r="UWE6" s="577"/>
      <c r="UWF6" s="577"/>
      <c r="UWG6" s="577"/>
      <c r="UWH6" s="577"/>
      <c r="UWI6" s="577"/>
      <c r="UWJ6" s="577"/>
      <c r="UWK6" s="577"/>
      <c r="UWL6" s="577"/>
      <c r="UWM6" s="577"/>
      <c r="UWN6" s="577"/>
      <c r="UWO6" s="577"/>
      <c r="UWP6" s="577"/>
      <c r="UWQ6" s="577"/>
      <c r="UWR6" s="577"/>
      <c r="UWS6" s="577"/>
      <c r="UWT6" s="577"/>
      <c r="UWU6" s="577"/>
      <c r="UWV6" s="577"/>
      <c r="UWW6" s="577"/>
      <c r="UWX6" s="577"/>
      <c r="UWY6" s="577"/>
      <c r="UWZ6" s="577"/>
      <c r="UXA6" s="577"/>
      <c r="UXB6" s="577"/>
      <c r="UXC6" s="577"/>
      <c r="UXD6" s="577"/>
      <c r="UXE6" s="577"/>
      <c r="UXF6" s="577"/>
      <c r="UXG6" s="577"/>
      <c r="UXH6" s="577"/>
      <c r="UXI6" s="577"/>
      <c r="UXJ6" s="577"/>
      <c r="UXK6" s="577"/>
      <c r="UXL6" s="577"/>
      <c r="UXM6" s="577"/>
      <c r="UXN6" s="577"/>
      <c r="UXO6" s="577"/>
      <c r="UXP6" s="577"/>
      <c r="UXQ6" s="577"/>
      <c r="UXR6" s="577"/>
      <c r="UXS6" s="577"/>
      <c r="UXT6" s="577"/>
      <c r="UXU6" s="577"/>
      <c r="UXV6" s="577"/>
      <c r="UXW6" s="577"/>
      <c r="UXX6" s="577"/>
      <c r="UXY6" s="577"/>
      <c r="UXZ6" s="577"/>
      <c r="UYA6" s="577"/>
      <c r="UYB6" s="577"/>
      <c r="UYC6" s="577"/>
      <c r="UYD6" s="577"/>
      <c r="UYE6" s="577"/>
      <c r="UYF6" s="577"/>
      <c r="UYG6" s="577"/>
      <c r="UYH6" s="577"/>
      <c r="UYI6" s="577"/>
      <c r="UYJ6" s="577"/>
      <c r="UYK6" s="577"/>
      <c r="UYL6" s="577"/>
      <c r="UYM6" s="577"/>
      <c r="UYN6" s="577"/>
      <c r="UYO6" s="577"/>
      <c r="UYP6" s="577"/>
      <c r="UYQ6" s="577"/>
      <c r="UYR6" s="577"/>
      <c r="UYS6" s="577"/>
      <c r="UYT6" s="577"/>
      <c r="UYU6" s="577"/>
      <c r="UYV6" s="577"/>
      <c r="UYW6" s="577"/>
      <c r="UYX6" s="577"/>
      <c r="UYY6" s="577"/>
      <c r="UYZ6" s="577"/>
      <c r="UZA6" s="577"/>
      <c r="UZB6" s="577"/>
      <c r="UZC6" s="577"/>
      <c r="UZD6" s="577"/>
      <c r="UZE6" s="577"/>
      <c r="UZF6" s="577"/>
      <c r="UZG6" s="577"/>
      <c r="UZH6" s="577"/>
      <c r="UZI6" s="577"/>
      <c r="UZJ6" s="577"/>
      <c r="UZK6" s="577"/>
      <c r="UZL6" s="577"/>
      <c r="UZM6" s="577"/>
      <c r="UZN6" s="577"/>
      <c r="UZO6" s="577"/>
      <c r="UZP6" s="577"/>
      <c r="UZQ6" s="577"/>
      <c r="UZR6" s="577"/>
      <c r="UZS6" s="577"/>
      <c r="UZT6" s="577"/>
      <c r="UZU6" s="577"/>
      <c r="UZV6" s="577"/>
      <c r="UZW6" s="577"/>
      <c r="UZX6" s="577"/>
      <c r="UZY6" s="577"/>
      <c r="UZZ6" s="577"/>
      <c r="VAA6" s="577"/>
      <c r="VAB6" s="577"/>
      <c r="VAC6" s="577"/>
      <c r="VAD6" s="577"/>
      <c r="VAE6" s="577"/>
      <c r="VAF6" s="577"/>
      <c r="VAG6" s="577"/>
      <c r="VAH6" s="577"/>
      <c r="VAI6" s="577"/>
      <c r="VAJ6" s="577"/>
      <c r="VAK6" s="577"/>
      <c r="VAL6" s="577"/>
      <c r="VAM6" s="577"/>
      <c r="VAN6" s="577"/>
      <c r="VAO6" s="577"/>
      <c r="VAP6" s="577"/>
      <c r="VAQ6" s="577"/>
      <c r="VAR6" s="577"/>
      <c r="VAS6" s="577"/>
      <c r="VAT6" s="577"/>
      <c r="VAU6" s="577"/>
      <c r="VAV6" s="577"/>
      <c r="VAW6" s="577"/>
      <c r="VAX6" s="577"/>
      <c r="VAY6" s="577"/>
      <c r="VAZ6" s="577"/>
      <c r="VBA6" s="577"/>
      <c r="VBB6" s="577"/>
      <c r="VBC6" s="577"/>
      <c r="VBD6" s="577"/>
      <c r="VBE6" s="577"/>
      <c r="VBF6" s="577"/>
      <c r="VBG6" s="577"/>
      <c r="VBH6" s="577"/>
      <c r="VBI6" s="577"/>
      <c r="VBJ6" s="577"/>
      <c r="VBK6" s="577"/>
      <c r="VBL6" s="577"/>
      <c r="VBM6" s="577"/>
      <c r="VBN6" s="577"/>
      <c r="VBO6" s="577"/>
      <c r="VBP6" s="577"/>
      <c r="VBQ6" s="577"/>
      <c r="VBR6" s="577"/>
      <c r="VBS6" s="577"/>
      <c r="VBT6" s="577"/>
      <c r="VBU6" s="577"/>
      <c r="VBV6" s="577"/>
      <c r="VBW6" s="577"/>
      <c r="VBX6" s="577"/>
      <c r="VBY6" s="577"/>
      <c r="VBZ6" s="577"/>
      <c r="VCA6" s="577"/>
      <c r="VCB6" s="577"/>
      <c r="VCC6" s="577"/>
      <c r="VCD6" s="577"/>
      <c r="VCE6" s="577"/>
      <c r="VCF6" s="577"/>
      <c r="VCG6" s="577"/>
      <c r="VCH6" s="577"/>
      <c r="VCI6" s="577"/>
      <c r="VCJ6" s="577"/>
      <c r="VCK6" s="577"/>
      <c r="VCL6" s="577"/>
      <c r="VCM6" s="577"/>
      <c r="VCN6" s="577"/>
      <c r="VCO6" s="577"/>
      <c r="VCP6" s="577"/>
      <c r="VCQ6" s="577"/>
      <c r="VCR6" s="577"/>
      <c r="VCS6" s="577"/>
      <c r="VCT6" s="577"/>
      <c r="VCU6" s="577"/>
      <c r="VCV6" s="577"/>
      <c r="VCW6" s="577"/>
      <c r="VCX6" s="577"/>
      <c r="VCY6" s="577"/>
      <c r="VCZ6" s="577"/>
      <c r="VDA6" s="577"/>
      <c r="VDB6" s="577"/>
      <c r="VDC6" s="577"/>
      <c r="VDD6" s="577"/>
      <c r="VDE6" s="577"/>
      <c r="VDF6" s="577"/>
      <c r="VDG6" s="577"/>
      <c r="VDH6" s="577"/>
      <c r="VDI6" s="577"/>
      <c r="VDJ6" s="577"/>
      <c r="VDK6" s="577"/>
      <c r="VDL6" s="577"/>
      <c r="VDM6" s="577"/>
      <c r="VDN6" s="577"/>
      <c r="VDO6" s="577"/>
      <c r="VDP6" s="577"/>
      <c r="VDQ6" s="577"/>
      <c r="VDR6" s="577"/>
      <c r="VDS6" s="577"/>
      <c r="VDT6" s="577"/>
      <c r="VDU6" s="577"/>
      <c r="VDV6" s="577"/>
      <c r="VDW6" s="577"/>
      <c r="VDX6" s="577"/>
      <c r="VDY6" s="577"/>
      <c r="VDZ6" s="577"/>
      <c r="VEA6" s="577"/>
      <c r="VEB6" s="577"/>
      <c r="VEC6" s="577"/>
      <c r="VED6" s="577"/>
      <c r="VEE6" s="577"/>
      <c r="VEF6" s="577"/>
      <c r="VEG6" s="577"/>
      <c r="VEH6" s="577"/>
      <c r="VEI6" s="577"/>
      <c r="VEJ6" s="577"/>
      <c r="VEK6" s="577"/>
      <c r="VEL6" s="577"/>
      <c r="VEM6" s="577"/>
      <c r="VEN6" s="577"/>
      <c r="VEO6" s="577"/>
      <c r="VEP6" s="577"/>
      <c r="VEQ6" s="577"/>
      <c r="VER6" s="577"/>
      <c r="VES6" s="577"/>
      <c r="VET6" s="577"/>
      <c r="VEU6" s="577"/>
      <c r="VEV6" s="577"/>
      <c r="VEW6" s="577"/>
      <c r="VEX6" s="577"/>
      <c r="VEY6" s="577"/>
      <c r="VEZ6" s="577"/>
      <c r="VFA6" s="577"/>
      <c r="VFB6" s="577"/>
      <c r="VFC6" s="577"/>
      <c r="VFD6" s="577"/>
      <c r="VFE6" s="577"/>
      <c r="VFF6" s="577"/>
      <c r="VFG6" s="577"/>
      <c r="VFH6" s="577"/>
      <c r="VFI6" s="577"/>
      <c r="VFJ6" s="577"/>
      <c r="VFK6" s="577"/>
      <c r="VFL6" s="577"/>
      <c r="VFM6" s="577"/>
      <c r="VFN6" s="577"/>
      <c r="VFO6" s="577"/>
      <c r="VFP6" s="577"/>
      <c r="VFQ6" s="577"/>
      <c r="VFR6" s="577"/>
      <c r="VFS6" s="577"/>
      <c r="VFT6" s="577"/>
      <c r="VFU6" s="577"/>
      <c r="VFV6" s="577"/>
      <c r="VFW6" s="577"/>
      <c r="VFX6" s="577"/>
      <c r="VFY6" s="577"/>
      <c r="VFZ6" s="577"/>
      <c r="VGA6" s="577"/>
      <c r="VGB6" s="577"/>
      <c r="VGC6" s="577"/>
      <c r="VGD6" s="577"/>
      <c r="VGE6" s="577"/>
      <c r="VGF6" s="577"/>
      <c r="VGG6" s="577"/>
      <c r="VGH6" s="577"/>
      <c r="VGI6" s="577"/>
      <c r="VGJ6" s="577"/>
      <c r="VGK6" s="577"/>
      <c r="VGL6" s="577"/>
      <c r="VGM6" s="577"/>
      <c r="VGN6" s="577"/>
      <c r="VGO6" s="577"/>
      <c r="VGP6" s="577"/>
      <c r="VGQ6" s="577"/>
      <c r="VGR6" s="577"/>
      <c r="VGS6" s="577"/>
      <c r="VGT6" s="577"/>
      <c r="VGU6" s="577"/>
      <c r="VGV6" s="577"/>
      <c r="VGW6" s="577"/>
      <c r="VGX6" s="577"/>
      <c r="VGY6" s="577"/>
      <c r="VGZ6" s="577"/>
      <c r="VHA6" s="577"/>
      <c r="VHB6" s="577"/>
      <c r="VHC6" s="577"/>
      <c r="VHD6" s="577"/>
      <c r="VHE6" s="577"/>
      <c r="VHF6" s="577"/>
      <c r="VHG6" s="577"/>
      <c r="VHH6" s="577"/>
      <c r="VHI6" s="577"/>
      <c r="VHJ6" s="577"/>
      <c r="VHK6" s="577"/>
      <c r="VHL6" s="577"/>
      <c r="VHM6" s="577"/>
      <c r="VHN6" s="577"/>
      <c r="VHO6" s="577"/>
      <c r="VHP6" s="577"/>
      <c r="VHQ6" s="577"/>
      <c r="VHR6" s="577"/>
      <c r="VHS6" s="577"/>
      <c r="VHT6" s="577"/>
      <c r="VHU6" s="577"/>
      <c r="VHV6" s="577"/>
      <c r="VHW6" s="577"/>
      <c r="VHX6" s="577"/>
      <c r="VHY6" s="577"/>
      <c r="VHZ6" s="577"/>
      <c r="VIA6" s="577"/>
      <c r="VIB6" s="577"/>
      <c r="VIC6" s="577"/>
      <c r="VID6" s="577"/>
      <c r="VIE6" s="577"/>
      <c r="VIF6" s="577"/>
      <c r="VIG6" s="577"/>
      <c r="VIH6" s="577"/>
      <c r="VII6" s="577"/>
      <c r="VIJ6" s="577"/>
      <c r="VIK6" s="577"/>
      <c r="VIL6" s="577"/>
      <c r="VIM6" s="577"/>
      <c r="VIN6" s="577"/>
      <c r="VIO6" s="577"/>
      <c r="VIP6" s="577"/>
      <c r="VIQ6" s="577"/>
      <c r="VIR6" s="577"/>
      <c r="VIS6" s="577"/>
      <c r="VIT6" s="577"/>
      <c r="VIU6" s="577"/>
      <c r="VIV6" s="577"/>
      <c r="VIW6" s="577"/>
      <c r="VIX6" s="577"/>
      <c r="VIY6" s="577"/>
      <c r="VIZ6" s="577"/>
      <c r="VJA6" s="577"/>
      <c r="VJB6" s="577"/>
      <c r="VJC6" s="577"/>
      <c r="VJD6" s="577"/>
      <c r="VJE6" s="577"/>
      <c r="VJF6" s="577"/>
      <c r="VJG6" s="577"/>
      <c r="VJH6" s="577"/>
      <c r="VJI6" s="577"/>
      <c r="VJJ6" s="577"/>
      <c r="VJK6" s="577"/>
      <c r="VJL6" s="577"/>
      <c r="VJM6" s="577"/>
      <c r="VJN6" s="577"/>
      <c r="VJO6" s="577"/>
      <c r="VJP6" s="577"/>
      <c r="VJQ6" s="577"/>
      <c r="VJR6" s="577"/>
      <c r="VJS6" s="577"/>
      <c r="VJT6" s="577"/>
      <c r="VJU6" s="577"/>
      <c r="VJV6" s="577"/>
      <c r="VJW6" s="577"/>
      <c r="VJX6" s="577"/>
      <c r="VJY6" s="577"/>
      <c r="VJZ6" s="577"/>
      <c r="VKA6" s="577"/>
      <c r="VKB6" s="577"/>
      <c r="VKC6" s="577"/>
      <c r="VKD6" s="577"/>
      <c r="VKE6" s="577"/>
      <c r="VKF6" s="577"/>
      <c r="VKG6" s="577"/>
      <c r="VKH6" s="577"/>
      <c r="VKI6" s="577"/>
      <c r="VKJ6" s="577"/>
      <c r="VKK6" s="577"/>
      <c r="VKL6" s="577"/>
      <c r="VKM6" s="577"/>
      <c r="VKN6" s="577"/>
      <c r="VKO6" s="577"/>
      <c r="VKP6" s="577"/>
      <c r="VKQ6" s="577"/>
      <c r="VKR6" s="577"/>
      <c r="VKS6" s="577"/>
      <c r="VKT6" s="577"/>
      <c r="VKU6" s="577"/>
      <c r="VKV6" s="577"/>
      <c r="VKW6" s="577"/>
      <c r="VKX6" s="577"/>
      <c r="VKY6" s="577"/>
      <c r="VKZ6" s="577"/>
      <c r="VLA6" s="577"/>
      <c r="VLB6" s="577"/>
      <c r="VLC6" s="577"/>
      <c r="VLD6" s="577"/>
      <c r="VLE6" s="577"/>
      <c r="VLF6" s="577"/>
      <c r="VLG6" s="577"/>
      <c r="VLH6" s="577"/>
      <c r="VLI6" s="577"/>
      <c r="VLJ6" s="577"/>
      <c r="VLK6" s="577"/>
      <c r="VLL6" s="577"/>
      <c r="VLM6" s="577"/>
      <c r="VLN6" s="577"/>
      <c r="VLO6" s="577"/>
      <c r="VLP6" s="577"/>
      <c r="VLQ6" s="577"/>
      <c r="VLR6" s="577"/>
      <c r="VLS6" s="577"/>
      <c r="VLT6" s="577"/>
      <c r="VLU6" s="577"/>
      <c r="VLV6" s="577"/>
      <c r="VLW6" s="577"/>
      <c r="VLX6" s="577"/>
      <c r="VLY6" s="577"/>
      <c r="VLZ6" s="577"/>
      <c r="VMA6" s="577"/>
      <c r="VMB6" s="577"/>
      <c r="VMC6" s="577"/>
      <c r="VMD6" s="577"/>
      <c r="VME6" s="577"/>
      <c r="VMF6" s="577"/>
      <c r="VMG6" s="577"/>
      <c r="VMH6" s="577"/>
      <c r="VMI6" s="577"/>
      <c r="VMJ6" s="577"/>
      <c r="VMK6" s="577"/>
      <c r="VML6" s="577"/>
      <c r="VMM6" s="577"/>
      <c r="VMN6" s="577"/>
      <c r="VMO6" s="577"/>
      <c r="VMP6" s="577"/>
      <c r="VMQ6" s="577"/>
      <c r="VMR6" s="577"/>
      <c r="VMS6" s="577"/>
      <c r="VMT6" s="577"/>
      <c r="VMU6" s="577"/>
      <c r="VMV6" s="577"/>
      <c r="VMW6" s="577"/>
      <c r="VMX6" s="577"/>
      <c r="VMY6" s="577"/>
      <c r="VMZ6" s="577"/>
      <c r="VNA6" s="577"/>
      <c r="VNB6" s="577"/>
      <c r="VNC6" s="577"/>
      <c r="VND6" s="577"/>
      <c r="VNE6" s="577"/>
      <c r="VNF6" s="577"/>
      <c r="VNG6" s="577"/>
      <c r="VNH6" s="577"/>
      <c r="VNI6" s="577"/>
      <c r="VNJ6" s="577"/>
      <c r="VNK6" s="577"/>
      <c r="VNL6" s="577"/>
      <c r="VNM6" s="577"/>
      <c r="VNN6" s="577"/>
      <c r="VNO6" s="577"/>
      <c r="VNP6" s="577"/>
      <c r="VNQ6" s="577"/>
      <c r="VNR6" s="577"/>
      <c r="VNS6" s="577"/>
      <c r="VNT6" s="577"/>
      <c r="VNU6" s="577"/>
      <c r="VNV6" s="577"/>
      <c r="VNW6" s="577"/>
      <c r="VNX6" s="577"/>
      <c r="VNY6" s="577"/>
      <c r="VNZ6" s="577"/>
      <c r="VOA6" s="577"/>
      <c r="VOB6" s="577"/>
      <c r="VOC6" s="577"/>
      <c r="VOD6" s="577"/>
      <c r="VOE6" s="577"/>
      <c r="VOF6" s="577"/>
      <c r="VOG6" s="577"/>
      <c r="VOH6" s="577"/>
      <c r="VOI6" s="577"/>
      <c r="VOJ6" s="577"/>
      <c r="VOK6" s="577"/>
      <c r="VOL6" s="577"/>
      <c r="VOM6" s="577"/>
      <c r="VON6" s="577"/>
      <c r="VOO6" s="577"/>
      <c r="VOP6" s="577"/>
      <c r="VOQ6" s="577"/>
      <c r="VOR6" s="577"/>
      <c r="VOS6" s="577"/>
      <c r="VOT6" s="577"/>
      <c r="VOU6" s="577"/>
      <c r="VOV6" s="577"/>
      <c r="VOW6" s="577"/>
      <c r="VOX6" s="577"/>
      <c r="VOY6" s="577"/>
      <c r="VOZ6" s="577"/>
      <c r="VPA6" s="577"/>
      <c r="VPB6" s="577"/>
      <c r="VPC6" s="577"/>
      <c r="VPD6" s="577"/>
      <c r="VPE6" s="577"/>
      <c r="VPF6" s="577"/>
      <c r="VPG6" s="577"/>
      <c r="VPH6" s="577"/>
      <c r="VPI6" s="577"/>
      <c r="VPJ6" s="577"/>
      <c r="VPK6" s="577"/>
      <c r="VPL6" s="577"/>
      <c r="VPM6" s="577"/>
      <c r="VPN6" s="577"/>
      <c r="VPO6" s="577"/>
      <c r="VPP6" s="577"/>
      <c r="VPQ6" s="577"/>
      <c r="VPR6" s="577"/>
      <c r="VPS6" s="577"/>
      <c r="VPT6" s="577"/>
      <c r="VPU6" s="577"/>
      <c r="VPV6" s="577"/>
      <c r="VPW6" s="577"/>
      <c r="VPX6" s="577"/>
      <c r="VPY6" s="577"/>
      <c r="VPZ6" s="577"/>
      <c r="VQA6" s="577"/>
      <c r="VQB6" s="577"/>
      <c r="VQC6" s="577"/>
      <c r="VQD6" s="577"/>
      <c r="VQE6" s="577"/>
      <c r="VQF6" s="577"/>
      <c r="VQG6" s="577"/>
      <c r="VQH6" s="577"/>
      <c r="VQI6" s="577"/>
      <c r="VQJ6" s="577"/>
      <c r="VQK6" s="577"/>
      <c r="VQL6" s="577"/>
      <c r="VQM6" s="577"/>
      <c r="VQN6" s="577"/>
      <c r="VQO6" s="577"/>
      <c r="VQP6" s="577"/>
      <c r="VQQ6" s="577"/>
      <c r="VQR6" s="577"/>
      <c r="VQS6" s="577"/>
      <c r="VQT6" s="577"/>
      <c r="VQU6" s="577"/>
      <c r="VQV6" s="577"/>
      <c r="VQW6" s="577"/>
      <c r="VQX6" s="577"/>
      <c r="VQY6" s="577"/>
      <c r="VQZ6" s="577"/>
      <c r="VRA6" s="577"/>
      <c r="VRB6" s="577"/>
      <c r="VRC6" s="577"/>
      <c r="VRD6" s="577"/>
      <c r="VRE6" s="577"/>
      <c r="VRF6" s="577"/>
      <c r="VRG6" s="577"/>
      <c r="VRH6" s="577"/>
      <c r="VRI6" s="577"/>
      <c r="VRJ6" s="577"/>
      <c r="VRK6" s="577"/>
      <c r="VRL6" s="577"/>
      <c r="VRM6" s="577"/>
      <c r="VRN6" s="577"/>
      <c r="VRO6" s="577"/>
      <c r="VRP6" s="577"/>
      <c r="VRQ6" s="577"/>
      <c r="VRR6" s="577"/>
      <c r="VRS6" s="577"/>
      <c r="VRT6" s="577"/>
      <c r="VRU6" s="577"/>
      <c r="VRV6" s="577"/>
      <c r="VRW6" s="577"/>
      <c r="VRX6" s="577"/>
      <c r="VRY6" s="577"/>
      <c r="VRZ6" s="577"/>
      <c r="VSA6" s="577"/>
      <c r="VSB6" s="577"/>
      <c r="VSC6" s="577"/>
      <c r="VSD6" s="577"/>
      <c r="VSE6" s="577"/>
      <c r="VSF6" s="577"/>
      <c r="VSG6" s="577"/>
      <c r="VSH6" s="577"/>
      <c r="VSI6" s="577"/>
      <c r="VSJ6" s="577"/>
      <c r="VSK6" s="577"/>
      <c r="VSL6" s="577"/>
      <c r="VSM6" s="577"/>
      <c r="VSN6" s="577"/>
      <c r="VSO6" s="577"/>
      <c r="VSP6" s="577"/>
      <c r="VSQ6" s="577"/>
      <c r="VSR6" s="577"/>
      <c r="VSS6" s="577"/>
      <c r="VST6" s="577"/>
      <c r="VSU6" s="577"/>
      <c r="VSV6" s="577"/>
      <c r="VSW6" s="577"/>
      <c r="VSX6" s="577"/>
      <c r="VSY6" s="577"/>
      <c r="VSZ6" s="577"/>
      <c r="VTA6" s="577"/>
      <c r="VTB6" s="577"/>
      <c r="VTC6" s="577"/>
      <c r="VTD6" s="577"/>
      <c r="VTE6" s="577"/>
      <c r="VTF6" s="577"/>
      <c r="VTG6" s="577"/>
      <c r="VTH6" s="577"/>
      <c r="VTI6" s="577"/>
      <c r="VTJ6" s="577"/>
      <c r="VTK6" s="577"/>
      <c r="VTL6" s="577"/>
      <c r="VTM6" s="577"/>
      <c r="VTN6" s="577"/>
      <c r="VTO6" s="577"/>
      <c r="VTP6" s="577"/>
      <c r="VTQ6" s="577"/>
      <c r="VTR6" s="577"/>
      <c r="VTS6" s="577"/>
      <c r="VTT6" s="577"/>
      <c r="VTU6" s="577"/>
      <c r="VTV6" s="577"/>
      <c r="VTW6" s="577"/>
      <c r="VTX6" s="577"/>
      <c r="VTY6" s="577"/>
      <c r="VTZ6" s="577"/>
      <c r="VUA6" s="577"/>
      <c r="VUB6" s="577"/>
      <c r="VUC6" s="577"/>
      <c r="VUD6" s="577"/>
      <c r="VUE6" s="577"/>
      <c r="VUF6" s="577"/>
      <c r="VUG6" s="577"/>
      <c r="VUH6" s="577"/>
      <c r="VUI6" s="577"/>
      <c r="VUJ6" s="577"/>
      <c r="VUK6" s="577"/>
      <c r="VUL6" s="577"/>
      <c r="VUM6" s="577"/>
      <c r="VUN6" s="577"/>
      <c r="VUO6" s="577"/>
      <c r="VUP6" s="577"/>
      <c r="VUQ6" s="577"/>
      <c r="VUR6" s="577"/>
      <c r="VUS6" s="577"/>
      <c r="VUT6" s="577"/>
      <c r="VUU6" s="577"/>
      <c r="VUV6" s="577"/>
      <c r="VUW6" s="577"/>
      <c r="VUX6" s="577"/>
      <c r="VUY6" s="577"/>
      <c r="VUZ6" s="577"/>
      <c r="VVA6" s="577"/>
      <c r="VVB6" s="577"/>
      <c r="VVC6" s="577"/>
      <c r="VVD6" s="577"/>
      <c r="VVE6" s="577"/>
      <c r="VVF6" s="577"/>
      <c r="VVG6" s="577"/>
      <c r="VVH6" s="577"/>
      <c r="VVI6" s="577"/>
      <c r="VVJ6" s="577"/>
      <c r="VVK6" s="577"/>
      <c r="VVL6" s="577"/>
      <c r="VVM6" s="577"/>
      <c r="VVN6" s="577"/>
      <c r="VVO6" s="577"/>
      <c r="VVP6" s="577"/>
      <c r="VVQ6" s="577"/>
      <c r="VVR6" s="577"/>
      <c r="VVS6" s="577"/>
      <c r="VVT6" s="577"/>
      <c r="VVU6" s="577"/>
      <c r="VVV6" s="577"/>
      <c r="VVW6" s="577"/>
      <c r="VVX6" s="577"/>
      <c r="VVY6" s="577"/>
      <c r="VVZ6" s="577"/>
      <c r="VWA6" s="577"/>
      <c r="VWB6" s="577"/>
      <c r="VWC6" s="577"/>
      <c r="VWD6" s="577"/>
      <c r="VWE6" s="577"/>
      <c r="VWF6" s="577"/>
      <c r="VWG6" s="577"/>
      <c r="VWH6" s="577"/>
      <c r="VWI6" s="577"/>
      <c r="VWJ6" s="577"/>
      <c r="VWK6" s="577"/>
      <c r="VWL6" s="577"/>
      <c r="VWM6" s="577"/>
      <c r="VWN6" s="577"/>
      <c r="VWO6" s="577"/>
      <c r="VWP6" s="577"/>
      <c r="VWQ6" s="577"/>
      <c r="VWR6" s="577"/>
      <c r="VWS6" s="577"/>
      <c r="VWT6" s="577"/>
      <c r="VWU6" s="577"/>
      <c r="VWV6" s="577"/>
      <c r="VWW6" s="577"/>
      <c r="VWX6" s="577"/>
      <c r="VWY6" s="577"/>
      <c r="VWZ6" s="577"/>
      <c r="VXA6" s="577"/>
      <c r="VXB6" s="577"/>
      <c r="VXC6" s="577"/>
      <c r="VXD6" s="577"/>
      <c r="VXE6" s="577"/>
      <c r="VXF6" s="577"/>
      <c r="VXG6" s="577"/>
      <c r="VXH6" s="577"/>
      <c r="VXI6" s="577"/>
      <c r="VXJ6" s="577"/>
      <c r="VXK6" s="577"/>
      <c r="VXL6" s="577"/>
      <c r="VXM6" s="577"/>
      <c r="VXN6" s="577"/>
      <c r="VXO6" s="577"/>
      <c r="VXP6" s="577"/>
      <c r="VXQ6" s="577"/>
      <c r="VXR6" s="577"/>
      <c r="VXS6" s="577"/>
      <c r="VXT6" s="577"/>
      <c r="VXU6" s="577"/>
      <c r="VXV6" s="577"/>
      <c r="VXW6" s="577"/>
      <c r="VXX6" s="577"/>
      <c r="VXY6" s="577"/>
      <c r="VXZ6" s="577"/>
      <c r="VYA6" s="577"/>
      <c r="VYB6" s="577"/>
      <c r="VYC6" s="577"/>
      <c r="VYD6" s="577"/>
      <c r="VYE6" s="577"/>
      <c r="VYF6" s="577"/>
      <c r="VYG6" s="577"/>
      <c r="VYH6" s="577"/>
      <c r="VYI6" s="577"/>
      <c r="VYJ6" s="577"/>
      <c r="VYK6" s="577"/>
      <c r="VYL6" s="577"/>
      <c r="VYM6" s="577"/>
      <c r="VYN6" s="577"/>
      <c r="VYO6" s="577"/>
      <c r="VYP6" s="577"/>
      <c r="VYQ6" s="577"/>
      <c r="VYR6" s="577"/>
      <c r="VYS6" s="577"/>
      <c r="VYT6" s="577"/>
      <c r="VYU6" s="577"/>
      <c r="VYV6" s="577"/>
      <c r="VYW6" s="577"/>
      <c r="VYX6" s="577"/>
      <c r="VYY6" s="577"/>
      <c r="VYZ6" s="577"/>
      <c r="VZA6" s="577"/>
      <c r="VZB6" s="577"/>
      <c r="VZC6" s="577"/>
      <c r="VZD6" s="577"/>
      <c r="VZE6" s="577"/>
      <c r="VZF6" s="577"/>
      <c r="VZG6" s="577"/>
      <c r="VZH6" s="577"/>
      <c r="VZI6" s="577"/>
      <c r="VZJ6" s="577"/>
      <c r="VZK6" s="577"/>
      <c r="VZL6" s="577"/>
      <c r="VZM6" s="577"/>
      <c r="VZN6" s="577"/>
      <c r="VZO6" s="577"/>
      <c r="VZP6" s="577"/>
      <c r="VZQ6" s="577"/>
      <c r="VZR6" s="577"/>
      <c r="VZS6" s="577"/>
      <c r="VZT6" s="577"/>
      <c r="VZU6" s="577"/>
      <c r="VZV6" s="577"/>
      <c r="VZW6" s="577"/>
      <c r="VZX6" s="577"/>
      <c r="VZY6" s="577"/>
      <c r="VZZ6" s="577"/>
      <c r="WAA6" s="577"/>
      <c r="WAB6" s="577"/>
      <c r="WAC6" s="577"/>
      <c r="WAD6" s="577"/>
      <c r="WAE6" s="577"/>
      <c r="WAF6" s="577"/>
      <c r="WAG6" s="577"/>
      <c r="WAH6" s="577"/>
      <c r="WAI6" s="577"/>
      <c r="WAJ6" s="577"/>
      <c r="WAK6" s="577"/>
      <c r="WAL6" s="577"/>
      <c r="WAM6" s="577"/>
      <c r="WAN6" s="577"/>
      <c r="WAO6" s="577"/>
      <c r="WAP6" s="577"/>
      <c r="WAQ6" s="577"/>
      <c r="WAR6" s="577"/>
      <c r="WAS6" s="577"/>
      <c r="WAT6" s="577"/>
      <c r="WAU6" s="577"/>
      <c r="WAV6" s="577"/>
      <c r="WAW6" s="577"/>
      <c r="WAX6" s="577"/>
      <c r="WAY6" s="577"/>
      <c r="WAZ6" s="577"/>
      <c r="WBA6" s="577"/>
      <c r="WBB6" s="577"/>
      <c r="WBC6" s="577"/>
      <c r="WBD6" s="577"/>
      <c r="WBE6" s="577"/>
      <c r="WBF6" s="577"/>
      <c r="WBG6" s="577"/>
      <c r="WBH6" s="577"/>
      <c r="WBI6" s="577"/>
      <c r="WBJ6" s="577"/>
      <c r="WBK6" s="577"/>
      <c r="WBL6" s="577"/>
      <c r="WBM6" s="577"/>
      <c r="WBN6" s="577"/>
      <c r="WBO6" s="577"/>
      <c r="WBP6" s="577"/>
      <c r="WBQ6" s="577"/>
      <c r="WBR6" s="577"/>
      <c r="WBS6" s="577"/>
      <c r="WBT6" s="577"/>
      <c r="WBU6" s="577"/>
      <c r="WBV6" s="577"/>
      <c r="WBW6" s="577"/>
      <c r="WBX6" s="577"/>
      <c r="WBY6" s="577"/>
      <c r="WBZ6" s="577"/>
      <c r="WCA6" s="577"/>
      <c r="WCB6" s="577"/>
      <c r="WCC6" s="577"/>
      <c r="WCD6" s="577"/>
      <c r="WCE6" s="577"/>
      <c r="WCF6" s="577"/>
      <c r="WCG6" s="577"/>
      <c r="WCH6" s="577"/>
      <c r="WCI6" s="577"/>
      <c r="WCJ6" s="577"/>
      <c r="WCK6" s="577"/>
      <c r="WCL6" s="577"/>
      <c r="WCM6" s="577"/>
      <c r="WCN6" s="577"/>
      <c r="WCO6" s="577"/>
      <c r="WCP6" s="577"/>
      <c r="WCQ6" s="577"/>
      <c r="WCR6" s="577"/>
      <c r="WCS6" s="577"/>
      <c r="WCT6" s="577"/>
      <c r="WCU6" s="577"/>
      <c r="WCV6" s="577"/>
      <c r="WCW6" s="577"/>
      <c r="WCX6" s="577"/>
      <c r="WCY6" s="577"/>
      <c r="WCZ6" s="577"/>
      <c r="WDA6" s="577"/>
      <c r="WDB6" s="577"/>
      <c r="WDC6" s="577"/>
      <c r="WDD6" s="577"/>
      <c r="WDE6" s="577"/>
      <c r="WDF6" s="577"/>
      <c r="WDG6" s="577"/>
      <c r="WDH6" s="577"/>
      <c r="WDI6" s="577"/>
      <c r="WDJ6" s="577"/>
      <c r="WDK6" s="577"/>
      <c r="WDL6" s="577"/>
      <c r="WDM6" s="577"/>
      <c r="WDN6" s="577"/>
      <c r="WDO6" s="577"/>
      <c r="WDP6" s="577"/>
      <c r="WDQ6" s="577"/>
      <c r="WDR6" s="577"/>
      <c r="WDS6" s="577"/>
      <c r="WDT6" s="577"/>
      <c r="WDU6" s="577"/>
      <c r="WDV6" s="577"/>
      <c r="WDW6" s="577"/>
      <c r="WDX6" s="577"/>
      <c r="WDY6" s="577"/>
      <c r="WDZ6" s="577"/>
      <c r="WEA6" s="577"/>
      <c r="WEB6" s="577"/>
      <c r="WEC6" s="577"/>
      <c r="WED6" s="577"/>
      <c r="WEE6" s="577"/>
      <c r="WEF6" s="577"/>
      <c r="WEG6" s="577"/>
      <c r="WEH6" s="577"/>
      <c r="WEI6" s="577"/>
      <c r="WEJ6" s="577"/>
      <c r="WEK6" s="577"/>
      <c r="WEL6" s="577"/>
      <c r="WEM6" s="577"/>
      <c r="WEN6" s="577"/>
      <c r="WEO6" s="577"/>
      <c r="WEP6" s="577"/>
      <c r="WEQ6" s="577"/>
      <c r="WER6" s="577"/>
      <c r="WES6" s="577"/>
      <c r="WET6" s="577"/>
      <c r="WEU6" s="577"/>
      <c r="WEV6" s="577"/>
      <c r="WEW6" s="577"/>
      <c r="WEX6" s="577"/>
      <c r="WEY6" s="577"/>
      <c r="WEZ6" s="577"/>
      <c r="WFA6" s="577"/>
      <c r="WFB6" s="577"/>
      <c r="WFC6" s="577"/>
      <c r="WFD6" s="577"/>
      <c r="WFE6" s="577"/>
      <c r="WFF6" s="577"/>
      <c r="WFG6" s="577"/>
      <c r="WFH6" s="577"/>
      <c r="WFI6" s="577"/>
      <c r="WFJ6" s="577"/>
      <c r="WFK6" s="577"/>
      <c r="WFL6" s="577"/>
      <c r="WFM6" s="577"/>
      <c r="WFN6" s="577"/>
      <c r="WFO6" s="577"/>
      <c r="WFP6" s="577"/>
      <c r="WFQ6" s="577"/>
      <c r="WFR6" s="577"/>
      <c r="WFS6" s="577"/>
      <c r="WFT6" s="577"/>
      <c r="WFU6" s="577"/>
      <c r="WFV6" s="577"/>
      <c r="WFW6" s="577"/>
      <c r="WFX6" s="577"/>
      <c r="WFY6" s="577"/>
      <c r="WFZ6" s="577"/>
      <c r="WGA6" s="577"/>
      <c r="WGB6" s="577"/>
      <c r="WGC6" s="577"/>
      <c r="WGD6" s="577"/>
      <c r="WGE6" s="577"/>
      <c r="WGF6" s="577"/>
      <c r="WGG6" s="577"/>
      <c r="WGH6" s="577"/>
      <c r="WGI6" s="577"/>
      <c r="WGJ6" s="577"/>
      <c r="WGK6" s="577"/>
      <c r="WGL6" s="577"/>
      <c r="WGM6" s="577"/>
      <c r="WGN6" s="577"/>
      <c r="WGO6" s="577"/>
      <c r="WGP6" s="577"/>
      <c r="WGQ6" s="577"/>
      <c r="WGR6" s="577"/>
      <c r="WGS6" s="577"/>
      <c r="WGT6" s="577"/>
      <c r="WGU6" s="577"/>
      <c r="WGV6" s="577"/>
      <c r="WGW6" s="577"/>
      <c r="WGX6" s="577"/>
      <c r="WGY6" s="577"/>
      <c r="WGZ6" s="577"/>
      <c r="WHA6" s="577"/>
      <c r="WHB6" s="577"/>
      <c r="WHC6" s="577"/>
      <c r="WHD6" s="577"/>
      <c r="WHE6" s="577"/>
      <c r="WHF6" s="577"/>
      <c r="WHG6" s="577"/>
      <c r="WHH6" s="577"/>
      <c r="WHI6" s="577"/>
      <c r="WHJ6" s="577"/>
      <c r="WHK6" s="577"/>
      <c r="WHL6" s="577"/>
      <c r="WHM6" s="577"/>
      <c r="WHN6" s="577"/>
      <c r="WHO6" s="577"/>
      <c r="WHP6" s="577"/>
      <c r="WHQ6" s="577"/>
      <c r="WHR6" s="577"/>
      <c r="WHS6" s="577"/>
      <c r="WHT6" s="577"/>
      <c r="WHU6" s="577"/>
      <c r="WHV6" s="577"/>
      <c r="WHW6" s="577"/>
      <c r="WHX6" s="577"/>
      <c r="WHY6" s="577"/>
      <c r="WHZ6" s="577"/>
      <c r="WIA6" s="577"/>
      <c r="WIB6" s="577"/>
      <c r="WIC6" s="577"/>
      <c r="WID6" s="577"/>
      <c r="WIE6" s="577"/>
      <c r="WIF6" s="577"/>
      <c r="WIG6" s="577"/>
      <c r="WIH6" s="577"/>
      <c r="WII6" s="577"/>
      <c r="WIJ6" s="577"/>
      <c r="WIK6" s="577"/>
      <c r="WIL6" s="577"/>
      <c r="WIM6" s="577"/>
      <c r="WIN6" s="577"/>
      <c r="WIO6" s="577"/>
      <c r="WIP6" s="577"/>
      <c r="WIQ6" s="577"/>
      <c r="WIR6" s="577"/>
      <c r="WIS6" s="577"/>
      <c r="WIT6" s="577"/>
      <c r="WIU6" s="577"/>
      <c r="WIV6" s="577"/>
      <c r="WIW6" s="577"/>
      <c r="WIX6" s="577"/>
      <c r="WIY6" s="577"/>
      <c r="WIZ6" s="577"/>
      <c r="WJA6" s="577"/>
      <c r="WJB6" s="577"/>
      <c r="WJC6" s="577"/>
      <c r="WJD6" s="577"/>
      <c r="WJE6" s="577"/>
      <c r="WJF6" s="577"/>
      <c r="WJG6" s="577"/>
      <c r="WJH6" s="577"/>
      <c r="WJI6" s="577"/>
      <c r="WJJ6" s="577"/>
      <c r="WJK6" s="577"/>
      <c r="WJL6" s="577"/>
      <c r="WJM6" s="577"/>
      <c r="WJN6" s="577"/>
      <c r="WJO6" s="577"/>
      <c r="WJP6" s="577"/>
      <c r="WJQ6" s="577"/>
      <c r="WJR6" s="577"/>
      <c r="WJS6" s="577"/>
      <c r="WJT6" s="577"/>
      <c r="WJU6" s="577"/>
      <c r="WJV6" s="577"/>
      <c r="WJW6" s="577"/>
      <c r="WJX6" s="577"/>
      <c r="WJY6" s="577"/>
      <c r="WJZ6" s="577"/>
      <c r="WKA6" s="577"/>
      <c r="WKB6" s="577"/>
      <c r="WKC6" s="577"/>
      <c r="WKD6" s="577"/>
      <c r="WKE6" s="577"/>
      <c r="WKF6" s="577"/>
      <c r="WKG6" s="577"/>
      <c r="WKH6" s="577"/>
      <c r="WKI6" s="577"/>
      <c r="WKJ6" s="577"/>
      <c r="WKK6" s="577"/>
      <c r="WKL6" s="577"/>
      <c r="WKM6" s="577"/>
      <c r="WKN6" s="577"/>
      <c r="WKO6" s="577"/>
      <c r="WKP6" s="577"/>
      <c r="WKQ6" s="577"/>
      <c r="WKR6" s="577"/>
      <c r="WKS6" s="577"/>
      <c r="WKT6" s="577"/>
      <c r="WKU6" s="577"/>
      <c r="WKV6" s="577"/>
      <c r="WKW6" s="577"/>
      <c r="WKX6" s="577"/>
      <c r="WKY6" s="577"/>
      <c r="WKZ6" s="577"/>
      <c r="WLA6" s="577"/>
      <c r="WLB6" s="577"/>
      <c r="WLC6" s="577"/>
      <c r="WLD6" s="577"/>
      <c r="WLE6" s="577"/>
      <c r="WLF6" s="577"/>
      <c r="WLG6" s="577"/>
      <c r="WLH6" s="577"/>
      <c r="WLI6" s="577"/>
      <c r="WLJ6" s="577"/>
      <c r="WLK6" s="577"/>
      <c r="WLL6" s="577"/>
      <c r="WLM6" s="577"/>
      <c r="WLN6" s="577"/>
      <c r="WLO6" s="577"/>
      <c r="WLP6" s="577"/>
      <c r="WLQ6" s="577"/>
      <c r="WLR6" s="577"/>
      <c r="WLS6" s="577"/>
      <c r="WLT6" s="577"/>
      <c r="WLU6" s="577"/>
      <c r="WLV6" s="577"/>
      <c r="WLW6" s="577"/>
      <c r="WLX6" s="577"/>
      <c r="WLY6" s="577"/>
      <c r="WLZ6" s="577"/>
      <c r="WMA6" s="577"/>
      <c r="WMB6" s="577"/>
      <c r="WMC6" s="577"/>
      <c r="WMD6" s="577"/>
      <c r="WME6" s="577"/>
      <c r="WMF6" s="577"/>
      <c r="WMG6" s="577"/>
      <c r="WMH6" s="577"/>
      <c r="WMI6" s="577"/>
      <c r="WMJ6" s="577"/>
      <c r="WMK6" s="577"/>
      <c r="WML6" s="577"/>
      <c r="WMM6" s="577"/>
      <c r="WMN6" s="577"/>
      <c r="WMO6" s="577"/>
      <c r="WMP6" s="577"/>
      <c r="WMQ6" s="577"/>
      <c r="WMR6" s="577"/>
      <c r="WMS6" s="577"/>
      <c r="WMT6" s="577"/>
      <c r="WMU6" s="577"/>
      <c r="WMV6" s="577"/>
      <c r="WMW6" s="577"/>
      <c r="WMX6" s="577"/>
      <c r="WMY6" s="577"/>
      <c r="WMZ6" s="577"/>
      <c r="WNA6" s="577"/>
      <c r="WNB6" s="577"/>
      <c r="WNC6" s="577"/>
      <c r="WND6" s="577"/>
      <c r="WNE6" s="577"/>
      <c r="WNF6" s="577"/>
      <c r="WNG6" s="577"/>
      <c r="WNH6" s="577"/>
      <c r="WNI6" s="577"/>
      <c r="WNJ6" s="577"/>
      <c r="WNK6" s="577"/>
      <c r="WNL6" s="577"/>
      <c r="WNM6" s="577"/>
      <c r="WNN6" s="577"/>
      <c r="WNO6" s="577"/>
      <c r="WNP6" s="577"/>
      <c r="WNQ6" s="577"/>
      <c r="WNR6" s="577"/>
      <c r="WNS6" s="577"/>
      <c r="WNT6" s="577"/>
      <c r="WNU6" s="577"/>
      <c r="WNV6" s="577"/>
      <c r="WNW6" s="577"/>
      <c r="WNX6" s="577"/>
      <c r="WNY6" s="577"/>
      <c r="WNZ6" s="577"/>
      <c r="WOA6" s="577"/>
      <c r="WOB6" s="577"/>
      <c r="WOC6" s="577"/>
      <c r="WOD6" s="577"/>
      <c r="WOE6" s="577"/>
      <c r="WOF6" s="577"/>
      <c r="WOG6" s="577"/>
      <c r="WOH6" s="577"/>
      <c r="WOI6" s="577"/>
      <c r="WOJ6" s="577"/>
      <c r="WOK6" s="577"/>
      <c r="WOL6" s="577"/>
      <c r="WOM6" s="577"/>
      <c r="WON6" s="577"/>
      <c r="WOO6" s="577"/>
      <c r="WOP6" s="577"/>
      <c r="WOQ6" s="577"/>
      <c r="WOR6" s="577"/>
      <c r="WOS6" s="577"/>
      <c r="WOT6" s="577"/>
      <c r="WOU6" s="577"/>
      <c r="WOV6" s="577"/>
      <c r="WOW6" s="577"/>
      <c r="WOX6" s="577"/>
      <c r="WOY6" s="577"/>
      <c r="WOZ6" s="577"/>
      <c r="WPA6" s="577"/>
      <c r="WPB6" s="577"/>
      <c r="WPC6" s="577"/>
      <c r="WPD6" s="577"/>
      <c r="WPE6" s="577"/>
      <c r="WPF6" s="577"/>
      <c r="WPG6" s="577"/>
      <c r="WPH6" s="577"/>
      <c r="WPI6" s="577"/>
      <c r="WPJ6" s="577"/>
      <c r="WPK6" s="577"/>
      <c r="WPL6" s="577"/>
      <c r="WPM6" s="577"/>
      <c r="WPN6" s="577"/>
      <c r="WPO6" s="577"/>
      <c r="WPP6" s="577"/>
      <c r="WPQ6" s="577"/>
      <c r="WPR6" s="577"/>
      <c r="WPS6" s="577"/>
      <c r="WPT6" s="577"/>
      <c r="WPU6" s="577"/>
      <c r="WPV6" s="577"/>
      <c r="WPW6" s="577"/>
      <c r="WPX6" s="577"/>
      <c r="WPY6" s="577"/>
      <c r="WPZ6" s="577"/>
      <c r="WQA6" s="577"/>
      <c r="WQB6" s="577"/>
      <c r="WQC6" s="577"/>
      <c r="WQD6" s="577"/>
      <c r="WQE6" s="577"/>
      <c r="WQF6" s="577"/>
      <c r="WQG6" s="577"/>
      <c r="WQH6" s="577"/>
      <c r="WQI6" s="577"/>
      <c r="WQJ6" s="577"/>
      <c r="WQK6" s="577"/>
      <c r="WQL6" s="577"/>
      <c r="WQM6" s="577"/>
      <c r="WQN6" s="577"/>
      <c r="WQO6" s="577"/>
      <c r="WQP6" s="577"/>
      <c r="WQQ6" s="577"/>
      <c r="WQR6" s="577"/>
      <c r="WQS6" s="577"/>
      <c r="WQT6" s="577"/>
      <c r="WQU6" s="577"/>
      <c r="WQV6" s="577"/>
      <c r="WQW6" s="577"/>
      <c r="WQX6" s="577"/>
      <c r="WQY6" s="577"/>
      <c r="WQZ6" s="577"/>
      <c r="WRA6" s="577"/>
      <c r="WRB6" s="577"/>
      <c r="WRC6" s="577"/>
      <c r="WRD6" s="577"/>
      <c r="WRE6" s="577"/>
      <c r="WRF6" s="577"/>
      <c r="WRG6" s="577"/>
      <c r="WRH6" s="577"/>
      <c r="WRI6" s="577"/>
      <c r="WRJ6" s="577"/>
      <c r="WRK6" s="577"/>
      <c r="WRL6" s="577"/>
      <c r="WRM6" s="577"/>
      <c r="WRN6" s="577"/>
      <c r="WRO6" s="577"/>
      <c r="WRP6" s="577"/>
      <c r="WRQ6" s="577"/>
      <c r="WRR6" s="577"/>
      <c r="WRS6" s="577"/>
      <c r="WRT6" s="577"/>
      <c r="WRU6" s="577"/>
      <c r="WRV6" s="577"/>
      <c r="WRW6" s="577"/>
      <c r="WRX6" s="577"/>
      <c r="WRY6" s="577"/>
      <c r="WRZ6" s="577"/>
      <c r="WSA6" s="577"/>
      <c r="WSB6" s="577"/>
      <c r="WSC6" s="577"/>
      <c r="WSD6" s="577"/>
      <c r="WSE6" s="577"/>
      <c r="WSF6" s="577"/>
      <c r="WSG6" s="577"/>
      <c r="WSH6" s="577"/>
      <c r="WSI6" s="577"/>
      <c r="WSJ6" s="577"/>
      <c r="WSK6" s="577"/>
      <c r="WSL6" s="577"/>
      <c r="WSM6" s="577"/>
      <c r="WSN6" s="577"/>
      <c r="WSO6" s="577"/>
      <c r="WSP6" s="577"/>
      <c r="WSQ6" s="577"/>
      <c r="WSR6" s="577"/>
      <c r="WSS6" s="577"/>
      <c r="WST6" s="577"/>
      <c r="WSU6" s="577"/>
      <c r="WSV6" s="577"/>
      <c r="WSW6" s="577"/>
      <c r="WSX6" s="577"/>
      <c r="WSY6" s="577"/>
      <c r="WSZ6" s="577"/>
      <c r="WTA6" s="577"/>
      <c r="WTB6" s="577"/>
      <c r="WTC6" s="577"/>
      <c r="WTD6" s="577"/>
      <c r="WTE6" s="577"/>
      <c r="WTF6" s="577"/>
      <c r="WTG6" s="577"/>
      <c r="WTH6" s="577"/>
      <c r="WTI6" s="577"/>
      <c r="WTJ6" s="577"/>
      <c r="WTK6" s="577"/>
      <c r="WTL6" s="577"/>
      <c r="WTM6" s="577"/>
      <c r="WTN6" s="577"/>
      <c r="WTO6" s="577"/>
      <c r="WTP6" s="577"/>
      <c r="WTQ6" s="577"/>
      <c r="WTR6" s="577"/>
      <c r="WTS6" s="577"/>
      <c r="WTT6" s="577"/>
      <c r="WTU6" s="577"/>
      <c r="WTV6" s="577"/>
      <c r="WTW6" s="577"/>
      <c r="WTX6" s="577"/>
      <c r="WTY6" s="577"/>
      <c r="WTZ6" s="577"/>
      <c r="WUA6" s="577"/>
      <c r="WUB6" s="577"/>
      <c r="WUC6" s="577"/>
      <c r="WUD6" s="577"/>
      <c r="WUE6" s="577"/>
      <c r="WUF6" s="577"/>
      <c r="WUG6" s="577"/>
      <c r="WUH6" s="577"/>
      <c r="WUI6" s="577"/>
      <c r="WUJ6" s="577"/>
      <c r="WUK6" s="577"/>
      <c r="WUL6" s="577"/>
      <c r="WUM6" s="577"/>
      <c r="WUN6" s="577"/>
      <c r="WUO6" s="577"/>
      <c r="WUP6" s="577"/>
      <c r="WUQ6" s="577"/>
      <c r="WUR6" s="577"/>
      <c r="WUS6" s="577"/>
      <c r="WUT6" s="577"/>
      <c r="WUU6" s="577"/>
      <c r="WUV6" s="577"/>
      <c r="WUW6" s="577"/>
      <c r="WUX6" s="577"/>
      <c r="WUY6" s="577"/>
      <c r="WUZ6" s="577"/>
      <c r="WVA6" s="577"/>
      <c r="WVB6" s="577"/>
      <c r="WVC6" s="577"/>
      <c r="WVD6" s="577"/>
      <c r="WVE6" s="577"/>
      <c r="WVF6" s="577"/>
      <c r="WVG6" s="577"/>
      <c r="WVH6" s="577"/>
      <c r="WVI6" s="577"/>
      <c r="WVJ6" s="577"/>
      <c r="WVK6" s="577"/>
      <c r="WVL6" s="577"/>
      <c r="WVM6" s="577"/>
      <c r="WVN6" s="577"/>
      <c r="WVO6" s="577"/>
      <c r="WVP6" s="577"/>
      <c r="WVQ6" s="577"/>
      <c r="WVR6" s="577"/>
      <c r="WVS6" s="577"/>
      <c r="WVT6" s="577"/>
      <c r="WVU6" s="577"/>
      <c r="WVV6" s="577"/>
      <c r="WVW6" s="577"/>
      <c r="WVX6" s="577"/>
      <c r="WVY6" s="577"/>
      <c r="WVZ6" s="577"/>
      <c r="WWA6" s="577"/>
      <c r="WWB6" s="577"/>
      <c r="WWC6" s="577"/>
      <c r="WWD6" s="577"/>
      <c r="WWE6" s="577"/>
      <c r="WWF6" s="577"/>
      <c r="WWG6" s="577"/>
      <c r="WWH6" s="577"/>
      <c r="WWI6" s="577"/>
      <c r="WWJ6" s="577"/>
      <c r="WWK6" s="577"/>
      <c r="WWL6" s="577"/>
      <c r="WWM6" s="577"/>
      <c r="WWN6" s="577"/>
      <c r="WWO6" s="577"/>
      <c r="WWP6" s="577"/>
      <c r="WWQ6" s="577"/>
      <c r="WWR6" s="577"/>
      <c r="WWS6" s="577"/>
      <c r="WWT6" s="577"/>
      <c r="WWU6" s="577"/>
      <c r="WWV6" s="577"/>
      <c r="WWW6" s="577"/>
      <c r="WWX6" s="577"/>
      <c r="WWY6" s="577"/>
      <c r="WWZ6" s="577"/>
      <c r="WXA6" s="577"/>
      <c r="WXB6" s="577"/>
      <c r="WXC6" s="577"/>
      <c r="WXD6" s="577"/>
      <c r="WXE6" s="577"/>
      <c r="WXF6" s="577"/>
      <c r="WXG6" s="577"/>
      <c r="WXH6" s="577"/>
      <c r="WXI6" s="577"/>
      <c r="WXJ6" s="577"/>
      <c r="WXK6" s="577"/>
      <c r="WXL6" s="577"/>
      <c r="WXM6" s="577"/>
      <c r="WXN6" s="577"/>
      <c r="WXO6" s="577"/>
      <c r="WXP6" s="577"/>
      <c r="WXQ6" s="577"/>
      <c r="WXR6" s="577"/>
      <c r="WXS6" s="577"/>
      <c r="WXT6" s="577"/>
      <c r="WXU6" s="577"/>
      <c r="WXV6" s="577"/>
      <c r="WXW6" s="577"/>
      <c r="WXX6" s="577"/>
      <c r="WXY6" s="577"/>
      <c r="WXZ6" s="577"/>
      <c r="WYA6" s="577"/>
      <c r="WYB6" s="577"/>
      <c r="WYC6" s="577"/>
      <c r="WYD6" s="577"/>
      <c r="WYE6" s="577"/>
      <c r="WYF6" s="577"/>
      <c r="WYG6" s="577"/>
      <c r="WYH6" s="577"/>
      <c r="WYI6" s="577"/>
      <c r="WYJ6" s="577"/>
      <c r="WYK6" s="577"/>
      <c r="WYL6" s="577"/>
      <c r="WYM6" s="577"/>
      <c r="WYN6" s="577"/>
      <c r="WYO6" s="577"/>
      <c r="WYP6" s="577"/>
      <c r="WYQ6" s="577"/>
      <c r="WYR6" s="577"/>
      <c r="WYS6" s="577"/>
      <c r="WYT6" s="577"/>
      <c r="WYU6" s="577"/>
      <c r="WYV6" s="577"/>
      <c r="WYW6" s="577"/>
      <c r="WYX6" s="577"/>
      <c r="WYY6" s="577"/>
      <c r="WYZ6" s="577"/>
      <c r="WZA6" s="577"/>
      <c r="WZB6" s="577"/>
      <c r="WZC6" s="577"/>
      <c r="WZD6" s="577"/>
      <c r="WZE6" s="577"/>
      <c r="WZF6" s="577"/>
      <c r="WZG6" s="577"/>
      <c r="WZH6" s="577"/>
      <c r="WZI6" s="577"/>
      <c r="WZJ6" s="577"/>
      <c r="WZK6" s="577"/>
      <c r="WZL6" s="577"/>
      <c r="WZM6" s="577"/>
      <c r="WZN6" s="577"/>
      <c r="WZO6" s="577"/>
      <c r="WZP6" s="577"/>
      <c r="WZQ6" s="577"/>
      <c r="WZR6" s="577"/>
      <c r="WZS6" s="577"/>
      <c r="WZT6" s="577"/>
      <c r="WZU6" s="577"/>
      <c r="WZV6" s="577"/>
      <c r="WZW6" s="577"/>
      <c r="WZX6" s="577"/>
      <c r="WZY6" s="577"/>
      <c r="WZZ6" s="577"/>
      <c r="XAA6" s="577"/>
      <c r="XAB6" s="577"/>
      <c r="XAC6" s="577"/>
      <c r="XAD6" s="577"/>
      <c r="XAE6" s="577"/>
      <c r="XAF6" s="577"/>
      <c r="XAG6" s="577"/>
      <c r="XAH6" s="577"/>
      <c r="XAI6" s="577"/>
      <c r="XAJ6" s="577"/>
      <c r="XAK6" s="577"/>
      <c r="XAL6" s="577"/>
      <c r="XAM6" s="577"/>
      <c r="XAN6" s="577"/>
      <c r="XAO6" s="577"/>
      <c r="XAP6" s="577"/>
      <c r="XAQ6" s="577"/>
      <c r="XAR6" s="577"/>
      <c r="XAS6" s="577"/>
      <c r="XAT6" s="577"/>
      <c r="XAU6" s="577"/>
      <c r="XAV6" s="577"/>
      <c r="XAW6" s="577"/>
      <c r="XAX6" s="577"/>
      <c r="XAY6" s="577"/>
      <c r="XAZ6" s="577"/>
      <c r="XBA6" s="577"/>
      <c r="XBB6" s="577"/>
      <c r="XBC6" s="577"/>
      <c r="XBD6" s="577"/>
      <c r="XBE6" s="577"/>
      <c r="XBF6" s="577"/>
      <c r="XBG6" s="577"/>
      <c r="XBH6" s="577"/>
      <c r="XBI6" s="577"/>
      <c r="XBJ6" s="577"/>
      <c r="XBK6" s="577"/>
      <c r="XBL6" s="577"/>
      <c r="XBM6" s="577"/>
      <c r="XBN6" s="577"/>
      <c r="XBO6" s="577"/>
      <c r="XBP6" s="577"/>
      <c r="XBQ6" s="577"/>
      <c r="XBR6" s="577"/>
      <c r="XBS6" s="577"/>
      <c r="XBT6" s="577"/>
      <c r="XBU6" s="577"/>
      <c r="XBV6" s="577"/>
      <c r="XBW6" s="577"/>
      <c r="XBX6" s="577"/>
      <c r="XBY6" s="577"/>
      <c r="XBZ6" s="577"/>
      <c r="XCA6" s="577"/>
      <c r="XCB6" s="577"/>
      <c r="XCC6" s="577"/>
      <c r="XCD6" s="577"/>
      <c r="XCE6" s="577"/>
      <c r="XCF6" s="577"/>
      <c r="XCG6" s="577"/>
      <c r="XCH6" s="577"/>
      <c r="XCI6" s="577"/>
      <c r="XCJ6" s="577"/>
      <c r="XCK6" s="577"/>
      <c r="XCL6" s="577"/>
      <c r="XCM6" s="577"/>
      <c r="XCN6" s="577"/>
      <c r="XCO6" s="577"/>
      <c r="XCP6" s="577"/>
      <c r="XCQ6" s="577"/>
      <c r="XCR6" s="577"/>
      <c r="XCS6" s="577"/>
      <c r="XCT6" s="577"/>
      <c r="XCU6" s="577"/>
      <c r="XCV6" s="577"/>
      <c r="XCW6" s="577"/>
      <c r="XCX6" s="577"/>
      <c r="XCY6" s="577"/>
      <c r="XCZ6" s="577"/>
      <c r="XDA6" s="577"/>
      <c r="XDB6" s="577"/>
      <c r="XDC6" s="577"/>
      <c r="XDD6" s="577"/>
      <c r="XDE6" s="577"/>
      <c r="XDF6" s="577"/>
      <c r="XDG6" s="577"/>
      <c r="XDH6" s="577"/>
      <c r="XDI6" s="577"/>
      <c r="XDJ6" s="577"/>
      <c r="XDK6" s="577"/>
      <c r="XDL6" s="577"/>
      <c r="XDM6" s="577"/>
      <c r="XDN6" s="577"/>
      <c r="XDO6" s="577"/>
      <c r="XDP6" s="577"/>
      <c r="XDQ6" s="577"/>
      <c r="XDR6" s="577"/>
      <c r="XDS6" s="577"/>
      <c r="XDT6" s="577"/>
      <c r="XDU6" s="577"/>
      <c r="XDV6" s="577"/>
      <c r="XDW6" s="577"/>
      <c r="XDX6" s="577"/>
      <c r="XDY6" s="577"/>
      <c r="XDZ6" s="577"/>
      <c r="XEA6" s="577"/>
      <c r="XEB6" s="577"/>
      <c r="XEC6" s="577"/>
      <c r="XED6" s="577"/>
      <c r="XEE6" s="577"/>
      <c r="XEF6" s="577"/>
      <c r="XEG6" s="577"/>
      <c r="XEH6" s="577"/>
      <c r="XEI6" s="577"/>
      <c r="XEJ6" s="577"/>
      <c r="XEK6" s="577"/>
      <c r="XEL6" s="577"/>
      <c r="XEM6" s="577"/>
      <c r="XEN6" s="577"/>
    </row>
    <row r="7" spans="1:16368" s="577" customFormat="1" ht="16.149999999999999" customHeight="1" x14ac:dyDescent="0.25">
      <c r="A7" s="567">
        <f t="shared" si="0"/>
        <v>2.5333333333333332</v>
      </c>
      <c r="B7" s="532">
        <v>42495</v>
      </c>
      <c r="C7" s="533" t="s">
        <v>453</v>
      </c>
      <c r="D7" s="533" t="s">
        <v>1385</v>
      </c>
      <c r="E7" s="533" t="s">
        <v>380</v>
      </c>
      <c r="F7" s="533" t="s">
        <v>173</v>
      </c>
      <c r="G7" s="533" t="s">
        <v>1271</v>
      </c>
      <c r="H7" s="569"/>
      <c r="I7" s="569">
        <v>7</v>
      </c>
      <c r="J7" s="569">
        <v>7</v>
      </c>
      <c r="K7" s="569">
        <v>13</v>
      </c>
      <c r="L7" s="569">
        <v>7</v>
      </c>
      <c r="M7" s="569">
        <v>13</v>
      </c>
      <c r="N7" s="569">
        <v>7</v>
      </c>
      <c r="O7" s="569">
        <v>7</v>
      </c>
      <c r="P7" s="570">
        <v>13</v>
      </c>
      <c r="Q7" s="570"/>
      <c r="R7" s="570"/>
      <c r="S7" s="570"/>
      <c r="T7" s="570"/>
      <c r="U7" s="570"/>
      <c r="V7" s="572">
        <v>7</v>
      </c>
      <c r="W7" s="570"/>
      <c r="X7" s="570"/>
      <c r="Y7" s="570">
        <f>IF(NFI_Expiration=1,IF($A7&lt;VLOOKUP(H$5,NFI,5,0),1,0)*Table_NFI[[#This Row],[Hygiene Kit]],Table_NFI[Hygiene Kit])</f>
        <v>0</v>
      </c>
      <c r="Z7" s="570">
        <f>IF(NFI_Expiration=1,IF($A7&lt;VLOOKUP(I$5,NFI,5,0),1,0)*Table_NFI[[#This Row],[NFI Core Kit]],Table_NFI[NFI Core Kit])</f>
        <v>7</v>
      </c>
      <c r="AA7" s="570">
        <f>IF(NFI_Expiration=1,IF($A7&lt;VLOOKUP(J$5,NFI,5,0),1,0)*Table_NFI[[#This Row],[Sanitary Kit]],Table_NFI[Sanitary Kit])</f>
        <v>7</v>
      </c>
      <c r="AB7" s="570">
        <f>IF(NFI_Expiration=1,IF($A7&lt;VLOOKUP(K$5,NFI,5,0),1,0)*Table_NFI[[#This Row],[Mosquito net]],Table_NFI[Mosquito net])</f>
        <v>13</v>
      </c>
      <c r="AC7" s="570">
        <f>IF(NFI_Expiration=1,IF($A7&lt;VLOOKUP(L$5,NFI,5,0),1,0)*Table_NFI[[#This Row],[Tarpaulin]],Table_NFI[[#This Row],[Tarpaulin]])</f>
        <v>7</v>
      </c>
      <c r="AD7" s="570">
        <f>IF(NFI_Expiration=1,IF($A7&lt;VLOOKUP(M$5,NFI,5,0),1,0)*Table_NFI[[#This Row],[Blanket]],Table_NFI[[#This Row],[Blanket]])</f>
        <v>13</v>
      </c>
      <c r="AE7" s="570">
        <f>IF(NFI_Expiration=1,IF($A7&lt;VLOOKUP(N$5,NFI,5,0),1,0)*Table_NFI[[#This Row],[Kitchen Set]],Table_NFI[Kitchen Set])</f>
        <v>7</v>
      </c>
      <c r="AF7" s="570">
        <f>IF(NFI_Expiration=1,IF($A7&lt;VLOOKUP(O$5,NFI,5,0),1,0)*Table_NFI[[#This Row],[Clothes Kit]],Table_NFI[Clothes Kit])</f>
        <v>7</v>
      </c>
      <c r="AG7" s="570">
        <f>IF(NFI_Expiration=1,IF($A7&lt;VLOOKUP(P$5,NFI,5,0),1,0)*Table_NFI[[#This Row],[Plastic Bucket]],Table_NFI[Plastic Bucket])</f>
        <v>13</v>
      </c>
      <c r="AH7" s="570">
        <f>IF(NFI_Expiration=1,IF($A7&lt;VLOOKUP(Q$5,NFI,5,0),1,0)*Table_NFI[[#This Row],[Plastic Mat]],Table_NFI[Plastic Mat])*IF(Table_NFI[[#This Row],[Distribution Date]]&gt;"2014-04-01",1,2.5)</f>
        <v>0</v>
      </c>
      <c r="AI7" s="570">
        <f>IF(NFI_Expiration=1,IF($A7&lt;VLOOKUP(R$5,NFI,5,0),1,0)*Table_NFI[[#This Row],[Winter Clothes Adult]],Table_NFI[Winter Clothes Adult])</f>
        <v>0</v>
      </c>
      <c r="AJ7" s="570">
        <f>IF(NFI_Expiration=1,IF($A7&lt;VLOOKUP(S$5,NFI,5,0),1,0)*Table_NFI[[#This Row],[Winter Clothes Children]],Table_NFI[Winter Clothes Children])</f>
        <v>0</v>
      </c>
      <c r="AK7" s="570">
        <f>IF(NFI_Expiration=1,IF($A7&lt;VLOOKUP(T$5,NFI,5,0),1,0)*Table_NFI[[#This Row],[Winter Items Other]],Table_NFI[Winter Items Other])</f>
        <v>0</v>
      </c>
      <c r="AL7" s="570">
        <f>IF(NFI_Expiration=1,IF($A7&lt;VLOOKUP(M$5,NFI,5,0),1,0)*Table_NFI[[#This Row],[Winter Blanket]],Table_NFI[[#This Row],[Winter Blanket]])</f>
        <v>0</v>
      </c>
      <c r="AM7" s="570">
        <f>IF(Table_NFI[[#This Row],[Winter Clothes Adult]]+Table_NFI[[#This Row],[Winter Clothes Children]]+Table_NFI[[#This Row],[Winter Items Other]]+Table_NFI[[#This Row],[Winter Blanket]]&gt;0,1,0)</f>
        <v>0</v>
      </c>
      <c r="AN7" s="572">
        <f>IF(NFI_Expiration=1,IF($A7&lt;VLOOKUP(V$5,NFI,5,0),1,0)*Table_NFI[[#This Row],[Jerry Can]],Table_NFI[Jerry Can])</f>
        <v>7</v>
      </c>
      <c r="AO7" s="573" t="str">
        <f>IFERROR(VLOOKUP(Table_NFI[[#This Row],[Camp Name]],CL,2,0),"")</f>
        <v>MMR001CMP237</v>
      </c>
      <c r="AP7" s="574">
        <f ca="1">IF(Table_NFI[[#This Row],[Pcode]]="","",IF(OFFSET(CampList[Opening Date],MATCH(Table_NFI[[#This Row],[Pcode]],CampList[CP_Pcode],0)-1,0,1,1)&gt;=NFI_Monitor_Date,1,0))</f>
        <v>1</v>
      </c>
      <c r="AQ7" s="573" t="str">
        <f>IFERROR(VLOOKUP(Table_NFI[[#This Row],[Camp Name]],CL,3,0),"")</f>
        <v>Open</v>
      </c>
      <c r="AR7" s="570">
        <f ca="1">IF(Table_NFI[[#This Row],[Pcode]]="","",OFFSET(CampList[Priority],MATCH(Table_NFI[[#This Row],[Pcode]],CampList[CP_Pcode],0)-1,0,1,1))</f>
        <v>0</v>
      </c>
      <c r="AS7" s="575">
        <f>IFERROR(Table_NFI[[#This Row],[Kitchen Set]]/VLOOKUP(Table_NFI[[#This Row],[Camp Name]],CL,4,0),"")</f>
        <v>1</v>
      </c>
      <c r="AT7" s="568"/>
      <c r="AU7" s="576"/>
    </row>
    <row r="8" spans="1:16368" s="577" customFormat="1" ht="16.149999999999999" customHeight="1" x14ac:dyDescent="0.25">
      <c r="A8" s="567">
        <f t="shared" si="0"/>
        <v>3.3333333333333335</v>
      </c>
      <c r="B8" s="532">
        <v>42471</v>
      </c>
      <c r="C8" s="538" t="s">
        <v>453</v>
      </c>
      <c r="D8" s="538" t="s">
        <v>461</v>
      </c>
      <c r="E8" s="533" t="s">
        <v>554</v>
      </c>
      <c r="F8" s="533" t="s">
        <v>289</v>
      </c>
      <c r="G8" s="538" t="s">
        <v>1417</v>
      </c>
      <c r="H8" s="569"/>
      <c r="I8" s="569"/>
      <c r="J8" s="569"/>
      <c r="K8" s="569">
        <v>126</v>
      </c>
      <c r="L8" s="569"/>
      <c r="M8" s="569">
        <v>126</v>
      </c>
      <c r="N8" s="569">
        <v>64</v>
      </c>
      <c r="O8" s="569"/>
      <c r="P8" s="570"/>
      <c r="Q8" s="570">
        <v>122</v>
      </c>
      <c r="R8" s="570"/>
      <c r="S8" s="570"/>
      <c r="T8" s="570"/>
      <c r="U8" s="570"/>
      <c r="V8" s="572">
        <v>64</v>
      </c>
      <c r="W8" s="570"/>
      <c r="X8" s="570"/>
      <c r="Y8" s="570">
        <f>IF(NFI_Expiration=1,IF($A8&lt;VLOOKUP(H$5,NFI,5,0),1,0)*Table_NFI[[#This Row],[Hygiene Kit]],Table_NFI[Hygiene Kit])</f>
        <v>0</v>
      </c>
      <c r="Z8" s="570">
        <f>IF(NFI_Expiration=1,IF($A8&lt;VLOOKUP(I$5,NFI,5,0),1,0)*Table_NFI[[#This Row],[NFI Core Kit]],Table_NFI[NFI Core Kit])</f>
        <v>0</v>
      </c>
      <c r="AA8" s="570">
        <f>IF(NFI_Expiration=1,IF($A8&lt;VLOOKUP(J$5,NFI,5,0),1,0)*Table_NFI[[#This Row],[Sanitary Kit]],Table_NFI[Sanitary Kit])</f>
        <v>0</v>
      </c>
      <c r="AB8" s="570">
        <f>IF(NFI_Expiration=1,IF($A8&lt;VLOOKUP(K$5,NFI,5,0),1,0)*Table_NFI[[#This Row],[Mosquito net]],Table_NFI[Mosquito net])</f>
        <v>126</v>
      </c>
      <c r="AC8" s="570">
        <f>IF(NFI_Expiration=1,IF($A8&lt;VLOOKUP(L$5,NFI,5,0),1,0)*Table_NFI[[#This Row],[Tarpaulin]],Table_NFI[[#This Row],[Tarpaulin]])</f>
        <v>0</v>
      </c>
      <c r="AD8" s="570">
        <f>IF(NFI_Expiration=1,IF($A8&lt;VLOOKUP(M$5,NFI,5,0),1,0)*Table_NFI[[#This Row],[Blanket]],Table_NFI[[#This Row],[Blanket]])</f>
        <v>126</v>
      </c>
      <c r="AE8" s="570">
        <f>IF(NFI_Expiration=1,IF($A8&lt;VLOOKUP(N$5,NFI,5,0),1,0)*Table_NFI[[#This Row],[Kitchen Set]],Table_NFI[Kitchen Set])</f>
        <v>64</v>
      </c>
      <c r="AF8" s="570">
        <f>IF(NFI_Expiration=1,IF($A8&lt;VLOOKUP(O$5,NFI,5,0),1,0)*Table_NFI[[#This Row],[Clothes Kit]],Table_NFI[Clothes Kit])</f>
        <v>0</v>
      </c>
      <c r="AG8" s="570">
        <f>IF(NFI_Expiration=1,IF($A8&lt;VLOOKUP(P$5,NFI,5,0),1,0)*Table_NFI[[#This Row],[Plastic Bucket]],Table_NFI[Plastic Bucket])</f>
        <v>0</v>
      </c>
      <c r="AH8" s="570">
        <f>IF(NFI_Expiration=1,IF($A8&lt;VLOOKUP(Q$5,NFI,5,0),1,0)*Table_NFI[[#This Row],[Plastic Mat]],Table_NFI[Plastic Mat])*IF(Table_NFI[[#This Row],[Distribution Date]]&gt;"2014-04-01",1,2.5)</f>
        <v>305</v>
      </c>
      <c r="AI8" s="570">
        <f>IF(NFI_Expiration=1,IF($A8&lt;VLOOKUP(R$5,NFI,5,0),1,0)*Table_NFI[[#This Row],[Winter Clothes Adult]],Table_NFI[Winter Clothes Adult])</f>
        <v>0</v>
      </c>
      <c r="AJ8" s="570">
        <f>IF(NFI_Expiration=1,IF($A8&lt;VLOOKUP(S$5,NFI,5,0),1,0)*Table_NFI[[#This Row],[Winter Clothes Children]],Table_NFI[Winter Clothes Children])</f>
        <v>0</v>
      </c>
      <c r="AK8" s="570">
        <f>IF(NFI_Expiration=1,IF($A8&lt;VLOOKUP(T$5,NFI,5,0),1,0)*Table_NFI[[#This Row],[Winter Items Other]],Table_NFI[Winter Items Other])</f>
        <v>0</v>
      </c>
      <c r="AL8" s="570">
        <f>IF(NFI_Expiration=1,IF($A8&lt;VLOOKUP(M$5,NFI,5,0),1,0)*Table_NFI[[#This Row],[Winter Blanket]],Table_NFI[[#This Row],[Winter Blanket]])</f>
        <v>0</v>
      </c>
      <c r="AM8" s="570">
        <f>IF(Table_NFI[[#This Row],[Winter Clothes Adult]]+Table_NFI[[#This Row],[Winter Clothes Children]]+Table_NFI[[#This Row],[Winter Items Other]]+Table_NFI[[#This Row],[Winter Blanket]]&gt;0,1,0)</f>
        <v>0</v>
      </c>
      <c r="AN8" s="572">
        <f>IF(NFI_Expiration=1,IF($A8&lt;VLOOKUP(V$5,NFI,5,0),1,0)*Table_NFI[[#This Row],[Jerry Can]],Table_NFI[Jerry Can])</f>
        <v>64</v>
      </c>
      <c r="AO8" s="573" t="str">
        <f>IFERROR(VLOOKUP(Table_NFI[[#This Row],[Camp Name]],CL,2,0),"")</f>
        <v/>
      </c>
      <c r="AP8" s="574" t="str">
        <f ca="1">IF(Table_NFI[[#This Row],[Pcode]]="","",IF(OFFSET(CampList[Opening Date],MATCH(Table_NFI[[#This Row],[Pcode]],CampList[CP_Pcode],0)-1,0,1,1)&gt;=NFI_Monitor_Date,1,0))</f>
        <v/>
      </c>
      <c r="AQ8" s="573" t="str">
        <f>IFERROR(VLOOKUP(Table_NFI[[#This Row],[Camp Name]],CL,3,0),"")</f>
        <v/>
      </c>
      <c r="AR8" s="570" t="str">
        <f ca="1">IF(Table_NFI[[#This Row],[Pcode]]="","",OFFSET(CampList[Priority],MATCH(Table_NFI[[#This Row],[Pcode]],CampList[CP_Pcode],0)-1,0,1,1))</f>
        <v/>
      </c>
      <c r="AS8" s="575" t="str">
        <f>IFERROR(Table_NFI[[#This Row],[Kitchen Set]]/VLOOKUP(Table_NFI[[#This Row],[Camp Name]],CL,4,0),"")</f>
        <v/>
      </c>
      <c r="AT8" s="568"/>
      <c r="AU8" s="579"/>
    </row>
    <row r="9" spans="1:16368" s="577" customFormat="1" ht="16.149999999999999" hidden="1" customHeight="1" x14ac:dyDescent="0.25">
      <c r="A9" s="355">
        <f t="shared" si="0"/>
        <v>21.133333333333333</v>
      </c>
      <c r="B9" s="532">
        <v>41937</v>
      </c>
      <c r="C9" s="533" t="s">
        <v>1096</v>
      </c>
      <c r="D9" s="533" t="s">
        <v>902</v>
      </c>
      <c r="E9" s="533" t="s">
        <v>380</v>
      </c>
      <c r="F9" s="533" t="s">
        <v>528</v>
      </c>
      <c r="G9" s="533" t="s">
        <v>62</v>
      </c>
      <c r="H9" s="349"/>
      <c r="I9" s="349"/>
      <c r="J9" s="349"/>
      <c r="K9" s="349"/>
      <c r="L9" s="350"/>
      <c r="M9" s="350"/>
      <c r="N9" s="350"/>
      <c r="O9" s="350"/>
      <c r="P9" s="352"/>
      <c r="Q9" s="352"/>
      <c r="R9" s="352">
        <v>229</v>
      </c>
      <c r="S9" s="352">
        <v>126</v>
      </c>
      <c r="T9" s="352"/>
      <c r="U9" s="352"/>
      <c r="V9" s="497"/>
      <c r="W9" s="352"/>
      <c r="X9" s="352"/>
      <c r="Y9" s="352">
        <f>IF(NFI_Expiration=1,IF($A9&lt;VLOOKUP(H$5,NFI,5,0),1,0)*Table_NFI[[#This Row],[Hygiene Kit]],Table_NFI[Hygiene Kit])</f>
        <v>0</v>
      </c>
      <c r="Z9" s="352">
        <f>IF(NFI_Expiration=1,IF($A9&lt;VLOOKUP(I$5,NFI,5,0),1,0)*Table_NFI[[#This Row],[NFI Core Kit]],Table_NFI[NFI Core Kit])</f>
        <v>0</v>
      </c>
      <c r="AA9" s="352">
        <f>IF(NFI_Expiration=1,IF($A9&lt;VLOOKUP(J$5,NFI,5,0),1,0)*Table_NFI[[#This Row],[Sanitary Kit]],Table_NFI[Sanitary Kit])</f>
        <v>0</v>
      </c>
      <c r="AB9" s="352">
        <f>IF(NFI_Expiration=1,IF($A9&lt;VLOOKUP(K$5,NFI,5,0),1,0)*Table_NFI[[#This Row],[Mosquito net]],Table_NFI[Mosquito net])</f>
        <v>0</v>
      </c>
      <c r="AC9" s="352">
        <f>IF(NFI_Expiration=1,IF($A9&lt;VLOOKUP(L$5,NFI,5,0),1,0)*Table_NFI[[#This Row],[Tarpaulin]],Table_NFI[[#This Row],[Tarpaulin]])</f>
        <v>0</v>
      </c>
      <c r="AD9" s="352">
        <f>IF(NFI_Expiration=1,IF($A9&lt;VLOOKUP(M$5,NFI,5,0),1,0)*Table_NFI[[#This Row],[Blanket]],Table_NFI[[#This Row],[Blanket]])</f>
        <v>0</v>
      </c>
      <c r="AE9" s="352">
        <f>IF(NFI_Expiration=1,IF($A9&lt;VLOOKUP(N$5,NFI,5,0),1,0)*Table_NFI[[#This Row],[Kitchen Set]],Table_NFI[Kitchen Set])</f>
        <v>0</v>
      </c>
      <c r="AF9" s="352">
        <f>IF(NFI_Expiration=1,IF($A9&lt;VLOOKUP(O$5,NFI,5,0),1,0)*Table_NFI[[#This Row],[Clothes Kit]],Table_NFI[Clothes Kit])</f>
        <v>0</v>
      </c>
      <c r="AG9" s="352">
        <f>IF(NFI_Expiration=1,IF($A9&lt;VLOOKUP(P$5,NFI,5,0),1,0)*Table_NFI[[#This Row],[Plastic Bucket]],Table_NFI[Plastic Bucket])</f>
        <v>0</v>
      </c>
      <c r="AH9" s="352">
        <f>IF(NFI_Expiration=1,IF($A9&lt;VLOOKUP(Q$5,NFI,5,0),1,0)*Table_NFI[[#This Row],[Plastic Mat]],Table_NFI[Plastic Mat])*IF(Table_NFI[[#This Row],[Distribution Date]]&gt;"2014-04-01",1,2.5)</f>
        <v>0</v>
      </c>
      <c r="AI9" s="352">
        <f>IF(NFI_Expiration=1,IF($A9&lt;VLOOKUP(R$5,NFI,5,0),1,0)*Table_NFI[[#This Row],[Winter Clothes Adult]],Table_NFI[Winter Clothes Adult])</f>
        <v>0</v>
      </c>
      <c r="AJ9" s="352">
        <f>IF(NFI_Expiration=1,IF($A9&lt;VLOOKUP(S$5,NFI,5,0),1,0)*Table_NFI[[#This Row],[Winter Clothes Children]],Table_NFI[Winter Clothes Children])</f>
        <v>0</v>
      </c>
      <c r="AK9" s="352">
        <f>IF(NFI_Expiration=1,IF($A9&lt;VLOOKUP(T$5,NFI,5,0),1,0)*Table_NFI[[#This Row],[Winter Items Other]],Table_NFI[Winter Items Other])</f>
        <v>0</v>
      </c>
      <c r="AL9" s="352">
        <f>IF(NFI_Expiration=1,IF($A9&lt;VLOOKUP(M$5,NFI,5,0),1,0)*Table_NFI[[#This Row],[Winter Blanket]],Table_NFI[[#This Row],[Winter Blanket]])</f>
        <v>0</v>
      </c>
      <c r="AM9" s="352">
        <f>IF(Table_NFI[[#This Row],[Winter Clothes Adult]]+Table_NFI[[#This Row],[Winter Clothes Children]]+Table_NFI[[#This Row],[Winter Items Other]]+Table_NFI[[#This Row],[Winter Blanket]]&gt;0,1,0)</f>
        <v>1</v>
      </c>
      <c r="AN9" s="392">
        <f>IF(NFI_Expiration=1,IF($A9&lt;VLOOKUP(V$5,NFI,5,0),1,0)*Table_NFI[[#This Row],[Jerry Can]],Table_NFI[Jerry Can])</f>
        <v>0</v>
      </c>
      <c r="AO9" s="540" t="str">
        <f>IFERROR(VLOOKUP(Table_NFI[[#This Row],[Camp Name]],CL,2,0),"")</f>
        <v>MMR001CMP179</v>
      </c>
      <c r="AP9" s="535">
        <f ca="1">IF(Table_NFI[[#This Row],[Pcode]]="","",IF(OFFSET(CampList[Opening Date],MATCH(Table_NFI[[#This Row],[Pcode]],CampList[CP_Pcode],0)-1,0,1,1)&gt;=NFI_Monitor_Date,1,0))</f>
        <v>0</v>
      </c>
      <c r="AQ9" s="540" t="str">
        <f>IFERROR(VLOOKUP(Table_NFI[[#This Row],[Camp Name]],CL,3,0),"")</f>
        <v>Open</v>
      </c>
      <c r="AR9" s="352" t="str">
        <f ca="1">IF(Table_NFI[[#This Row],[Pcode]]="","",OFFSET(CampList[Priority],MATCH(Table_NFI[[#This Row],[Pcode]],CampList[CP_Pcode],0)-1,0,1,1))</f>
        <v>P4</v>
      </c>
      <c r="AS9" s="351">
        <f>IFERROR(Table_NFI[[#This Row],[Kitchen Set]]/VLOOKUP(Table_NFI[[#This Row],[Camp Name]],CL,4,0),"")</f>
        <v>0</v>
      </c>
      <c r="AT9" s="533"/>
      <c r="AU9" s="536"/>
    </row>
    <row r="10" spans="1:16368" s="577" customFormat="1" ht="16.149999999999999" customHeight="1" x14ac:dyDescent="0.25">
      <c r="A10" s="567">
        <f t="shared" si="0"/>
        <v>3.4333333333333331</v>
      </c>
      <c r="B10" s="532">
        <v>42468</v>
      </c>
      <c r="C10" s="533" t="s">
        <v>453</v>
      </c>
      <c r="D10" s="533" t="s">
        <v>461</v>
      </c>
      <c r="E10" s="543" t="s">
        <v>380</v>
      </c>
      <c r="F10" s="543" t="s">
        <v>5</v>
      </c>
      <c r="G10" s="533" t="s">
        <v>18</v>
      </c>
      <c r="H10" s="569"/>
      <c r="I10" s="569"/>
      <c r="J10" s="569"/>
      <c r="K10" s="569"/>
      <c r="L10" s="569">
        <v>10</v>
      </c>
      <c r="M10" s="569"/>
      <c r="N10" s="569"/>
      <c r="O10" s="569"/>
      <c r="P10" s="570"/>
      <c r="Q10" s="572"/>
      <c r="R10" s="572"/>
      <c r="S10" s="572"/>
      <c r="T10" s="572"/>
      <c r="U10" s="572"/>
      <c r="V10" s="571"/>
      <c r="W10" s="572"/>
      <c r="X10" s="572"/>
      <c r="Y10" s="570">
        <f>IF(NFI_Expiration=1,IF($A10&lt;VLOOKUP(H$5,NFI,5,0),1,0)*Table_NFI[[#This Row],[Hygiene Kit]],Table_NFI[Hygiene Kit])</f>
        <v>0</v>
      </c>
      <c r="Z10" s="570">
        <f>IF(NFI_Expiration=1,IF($A10&lt;VLOOKUP(I$5,NFI,5,0),1,0)*Table_NFI[[#This Row],[NFI Core Kit]],Table_NFI[NFI Core Kit])</f>
        <v>0</v>
      </c>
      <c r="AA10" s="570">
        <f>IF(NFI_Expiration=1,IF($A10&lt;VLOOKUP(J$5,NFI,5,0),1,0)*Table_NFI[[#This Row],[Sanitary Kit]],Table_NFI[Sanitary Kit])</f>
        <v>0</v>
      </c>
      <c r="AB10" s="570">
        <f>IF(NFI_Expiration=1,IF($A10&lt;VLOOKUP(K$5,NFI,5,0),1,0)*Table_NFI[[#This Row],[Mosquito net]],Table_NFI[Mosquito net])</f>
        <v>0</v>
      </c>
      <c r="AC10" s="570">
        <f>IF(NFI_Expiration=1,IF($A10&lt;VLOOKUP(L$5,NFI,5,0),1,0)*Table_NFI[[#This Row],[Tarpaulin]],Table_NFI[[#This Row],[Tarpaulin]])</f>
        <v>10</v>
      </c>
      <c r="AD10" s="570">
        <f>IF(NFI_Expiration=1,IF($A10&lt;VLOOKUP(M$5,NFI,5,0),1,0)*Table_NFI[[#This Row],[Blanket]],Table_NFI[[#This Row],[Blanket]])</f>
        <v>0</v>
      </c>
      <c r="AE10" s="570">
        <f>IF(NFI_Expiration=1,IF($A10&lt;VLOOKUP(N$5,NFI,5,0),1,0)*Table_NFI[[#This Row],[Kitchen Set]],Table_NFI[Kitchen Set])</f>
        <v>0</v>
      </c>
      <c r="AF10" s="570">
        <f>IF(NFI_Expiration=1,IF($A10&lt;VLOOKUP(O$5,NFI,5,0),1,0)*Table_NFI[[#This Row],[Clothes Kit]],Table_NFI[Clothes Kit])</f>
        <v>0</v>
      </c>
      <c r="AG10" s="570">
        <f>IF(NFI_Expiration=1,IF($A10&lt;VLOOKUP(P$5,NFI,5,0),1,0)*Table_NFI[[#This Row],[Plastic Bucket]],Table_NFI[Plastic Bucket])</f>
        <v>0</v>
      </c>
      <c r="AH10" s="570">
        <f>IF(NFI_Expiration=1,IF($A10&lt;VLOOKUP(Q$5,NFI,5,0),1,0)*Table_NFI[[#This Row],[Plastic Mat]],Table_NFI[Plastic Mat])*IF(Table_NFI[[#This Row],[Distribution Date]]&gt;"2014-04-01",1,2.5)</f>
        <v>0</v>
      </c>
      <c r="AI10" s="570">
        <f>IF(NFI_Expiration=1,IF($A10&lt;VLOOKUP(R$5,NFI,5,0),1,0)*Table_NFI[[#This Row],[Winter Clothes Adult]],Table_NFI[Winter Clothes Adult])</f>
        <v>0</v>
      </c>
      <c r="AJ10" s="570">
        <f>IF(NFI_Expiration=1,IF($A10&lt;VLOOKUP(S$5,NFI,5,0),1,0)*Table_NFI[[#This Row],[Winter Clothes Children]],Table_NFI[Winter Clothes Children])</f>
        <v>0</v>
      </c>
      <c r="AK10" s="570">
        <f>IF(NFI_Expiration=1,IF($A10&lt;VLOOKUP(T$5,NFI,5,0),1,0)*Table_NFI[[#This Row],[Winter Items Other]],Table_NFI[Winter Items Other])</f>
        <v>0</v>
      </c>
      <c r="AL10" s="570">
        <f>IF(NFI_Expiration=1,IF($A10&lt;VLOOKUP(M$5,NFI,5,0),1,0)*Table_NFI[[#This Row],[Winter Blanket]],Table_NFI[[#This Row],[Winter Blanket]])</f>
        <v>0</v>
      </c>
      <c r="AM10" s="570">
        <f>IF(Table_NFI[[#This Row],[Winter Clothes Adult]]+Table_NFI[[#This Row],[Winter Clothes Children]]+Table_NFI[[#This Row],[Winter Items Other]]+Table_NFI[[#This Row],[Winter Blanket]]&gt;0,1,0)</f>
        <v>0</v>
      </c>
      <c r="AN10" s="572">
        <f>IF(NFI_Expiration=1,IF($A10&lt;VLOOKUP(V$5,NFI,5,0),1,0)*Table_NFI[[#This Row],[Jerry Can]],Table_NFI[Jerry Can])</f>
        <v>0</v>
      </c>
      <c r="AO10" s="573" t="str">
        <f>IFERROR(VLOOKUP(Table_NFI[[#This Row],[Camp Name]],CL,2,0),"")</f>
        <v>MMR001CMP049</v>
      </c>
      <c r="AP10" s="574">
        <f ca="1">IF(Table_NFI[[#This Row],[Pcode]]="","",IF(OFFSET(CampList[Opening Date],MATCH(Table_NFI[[#This Row],[Pcode]],CampList[CP_Pcode],0)-1,0,1,1)&gt;=NFI_Monitor_Date,1,0))</f>
        <v>0</v>
      </c>
      <c r="AQ10" s="573" t="str">
        <f>IFERROR(VLOOKUP(Table_NFI[[#This Row],[Camp Name]],CL,3,0),"")</f>
        <v>Open</v>
      </c>
      <c r="AR10" s="570" t="str">
        <f ca="1">IF(Table_NFI[[#This Row],[Pcode]]="","",OFFSET(CampList[Priority],MATCH(Table_NFI[[#This Row],[Pcode]],CampList[CP_Pcode],0)-1,0,1,1))</f>
        <v>P4</v>
      </c>
      <c r="AS10" s="575">
        <f>IFERROR(Table_NFI[[#This Row],[Kitchen Set]]/VLOOKUP(Table_NFI[[#This Row],[Camp Name]],CL,4,0),"")</f>
        <v>0</v>
      </c>
      <c r="AT10" s="568"/>
      <c r="AU10" s="576"/>
    </row>
    <row r="11" spans="1:16368" s="577" customFormat="1" ht="16.149999999999999" hidden="1" customHeight="1" x14ac:dyDescent="0.25">
      <c r="A11" s="355">
        <f t="shared" si="0"/>
        <v>42.06666666666667</v>
      </c>
      <c r="B11" s="532">
        <v>41309</v>
      </c>
      <c r="C11" s="533" t="s">
        <v>902</v>
      </c>
      <c r="D11" s="533" t="s">
        <v>902</v>
      </c>
      <c r="E11" s="533" t="s">
        <v>380</v>
      </c>
      <c r="F11" s="533" t="s">
        <v>528</v>
      </c>
      <c r="G11" s="348" t="s">
        <v>62</v>
      </c>
      <c r="H11" s="349"/>
      <c r="I11" s="349"/>
      <c r="J11" s="349"/>
      <c r="K11" s="349"/>
      <c r="L11" s="350"/>
      <c r="M11" s="350"/>
      <c r="N11" s="350">
        <v>162</v>
      </c>
      <c r="O11" s="350"/>
      <c r="P11" s="352">
        <v>0</v>
      </c>
      <c r="Q11" s="392">
        <v>0</v>
      </c>
      <c r="R11" s="392"/>
      <c r="S11" s="392"/>
      <c r="T11" s="392"/>
      <c r="U11" s="392"/>
      <c r="V11" s="497"/>
      <c r="W11" s="392"/>
      <c r="X11" s="392"/>
      <c r="Y11" s="352">
        <f>IF(NFI_Expiration=1,IF($A11&lt;VLOOKUP(H$5,NFI,5,0),1,0)*Table_NFI[[#This Row],[Hygiene Kit]],Table_NFI[Hygiene Kit])</f>
        <v>0</v>
      </c>
      <c r="Z11" s="352">
        <f>IF(NFI_Expiration=1,IF($A11&lt;VLOOKUP(I$5,NFI,5,0),1,0)*Table_NFI[[#This Row],[NFI Core Kit]],Table_NFI[NFI Core Kit])</f>
        <v>0</v>
      </c>
      <c r="AA11" s="352">
        <f>IF(NFI_Expiration=1,IF($A11&lt;VLOOKUP(J$5,NFI,5,0),1,0)*Table_NFI[[#This Row],[Sanitary Kit]],Table_NFI[Sanitary Kit])</f>
        <v>0</v>
      </c>
      <c r="AB11" s="352">
        <f>IF(NFI_Expiration=1,IF($A11&lt;VLOOKUP(K$5,NFI,5,0),1,0)*Table_NFI[[#This Row],[Mosquito net]],Table_NFI[Mosquito net])</f>
        <v>0</v>
      </c>
      <c r="AC11" s="352">
        <f>IF(NFI_Expiration=1,IF($A11&lt;VLOOKUP(L$5,NFI,5,0),1,0)*Table_NFI[[#This Row],[Tarpaulin]],Table_NFI[[#This Row],[Tarpaulin]])</f>
        <v>0</v>
      </c>
      <c r="AD11" s="352">
        <f>IF(NFI_Expiration=1,IF($A11&lt;VLOOKUP(M$5,NFI,5,0),1,0)*Table_NFI[[#This Row],[Blanket]],Table_NFI[[#This Row],[Blanket]])</f>
        <v>0</v>
      </c>
      <c r="AE11" s="352">
        <f>IF(NFI_Expiration=1,IF($A11&lt;VLOOKUP(N$5,NFI,5,0),1,0)*Table_NFI[[#This Row],[Kitchen Set]],Table_NFI[Kitchen Set])</f>
        <v>0</v>
      </c>
      <c r="AF11" s="352">
        <f>IF(NFI_Expiration=1,IF($A11&lt;VLOOKUP(O$5,NFI,5,0),1,0)*Table_NFI[[#This Row],[Clothes Kit]],Table_NFI[Clothes Kit])</f>
        <v>0</v>
      </c>
      <c r="AG11" s="352">
        <f>IF(NFI_Expiration=1,IF($A11&lt;VLOOKUP(P$5,NFI,5,0),1,0)*Table_NFI[[#This Row],[Plastic Bucket]],Table_NFI[Plastic Bucket])</f>
        <v>0</v>
      </c>
      <c r="AH11" s="352">
        <f>IF(NFI_Expiration=1,IF($A11&lt;VLOOKUP(Q$5,NFI,5,0),1,0)*Table_NFI[[#This Row],[Plastic Mat]],Table_NFI[Plastic Mat])*IF(Table_NFI[[#This Row],[Distribution Date]]&gt;"2014-04-01",1,2.5)</f>
        <v>0</v>
      </c>
      <c r="AI11" s="352">
        <f>IF(NFI_Expiration=1,IF($A11&lt;VLOOKUP(R$5,NFI,5,0),1,0)*Table_NFI[[#This Row],[Winter Clothes Adult]],Table_NFI[Winter Clothes Adult])</f>
        <v>0</v>
      </c>
      <c r="AJ11" s="352">
        <f>IF(NFI_Expiration=1,IF($A11&lt;VLOOKUP(S$5,NFI,5,0),1,0)*Table_NFI[[#This Row],[Winter Clothes Children]],Table_NFI[Winter Clothes Children])</f>
        <v>0</v>
      </c>
      <c r="AK11" s="352">
        <f>IF(NFI_Expiration=1,IF($A11&lt;VLOOKUP(T$5,NFI,5,0),1,0)*Table_NFI[[#This Row],[Winter Items Other]],Table_NFI[Winter Items Other])</f>
        <v>0</v>
      </c>
      <c r="AL11" s="352">
        <f>IF(NFI_Expiration=1,IF($A11&lt;VLOOKUP(M$5,NFI,5,0),1,0)*Table_NFI[[#This Row],[Winter Blanket]],Table_NFI[[#This Row],[Winter Blanket]])</f>
        <v>0</v>
      </c>
      <c r="AM11" s="352">
        <f>IF(Table_NFI[[#This Row],[Winter Clothes Adult]]+Table_NFI[[#This Row],[Winter Clothes Children]]+Table_NFI[[#This Row],[Winter Items Other]]+Table_NFI[[#This Row],[Winter Blanket]]&gt;0,1,0)</f>
        <v>0</v>
      </c>
      <c r="AN11" s="392">
        <f>IF(NFI_Expiration=1,IF($A11&lt;VLOOKUP(V$5,NFI,5,0),1,0)*Table_NFI[[#This Row],[Jerry Can]],Table_NFI[Jerry Can])</f>
        <v>0</v>
      </c>
      <c r="AO11" s="540" t="str">
        <f>IFERROR(VLOOKUP(Table_NFI[[#This Row],[Camp Name]],CL,2,0),"")</f>
        <v>MMR001CMP179</v>
      </c>
      <c r="AP11" s="535">
        <f ca="1">IF(Table_NFI[[#This Row],[Pcode]]="","",IF(OFFSET(CampList[Opening Date],MATCH(Table_NFI[[#This Row],[Pcode]],CampList[CP_Pcode],0)-1,0,1,1)&gt;=NFI_Monitor_Date,1,0))</f>
        <v>0</v>
      </c>
      <c r="AQ11" s="540" t="str">
        <f>IFERROR(VLOOKUP(Table_NFI[[#This Row],[Camp Name]],CL,3,0),"")</f>
        <v>Open</v>
      </c>
      <c r="AR11" s="352" t="str">
        <f ca="1">IF(Table_NFI[[#This Row],[Pcode]]="","",OFFSET(CampList[Priority],MATCH(Table_NFI[[#This Row],[Pcode]],CampList[CP_Pcode],0)-1,0,1,1))</f>
        <v>P4</v>
      </c>
      <c r="AS11" s="351">
        <f>IFERROR(Table_NFI[[#This Row],[Kitchen Set]]/VLOOKUP(Table_NFI[[#This Row],[Camp Name]],CL,4,0),"")</f>
        <v>2.2191780821917808</v>
      </c>
      <c r="AT11" s="533" t="s">
        <v>1094</v>
      </c>
      <c r="AU11" s="536"/>
    </row>
    <row r="12" spans="1:16368" s="550" customFormat="1" ht="15" hidden="1" customHeight="1" x14ac:dyDescent="0.25">
      <c r="A12" s="355">
        <f t="shared" si="0"/>
        <v>43.233333333333334</v>
      </c>
      <c r="B12" s="532">
        <v>41274</v>
      </c>
      <c r="C12" s="533" t="s">
        <v>454</v>
      </c>
      <c r="D12" s="534" t="s">
        <v>454</v>
      </c>
      <c r="E12" s="533" t="s">
        <v>380</v>
      </c>
      <c r="F12" s="348" t="s">
        <v>528</v>
      </c>
      <c r="G12" s="348" t="s">
        <v>62</v>
      </c>
      <c r="H12" s="349">
        <v>12</v>
      </c>
      <c r="I12" s="349"/>
      <c r="J12" s="349"/>
      <c r="K12" s="349"/>
      <c r="L12" s="350"/>
      <c r="M12" s="350"/>
      <c r="N12" s="350"/>
      <c r="O12" s="350"/>
      <c r="P12" s="352">
        <v>0</v>
      </c>
      <c r="Q12" s="352">
        <v>0</v>
      </c>
      <c r="R12" s="352"/>
      <c r="S12" s="352"/>
      <c r="T12" s="352"/>
      <c r="U12" s="352"/>
      <c r="V12" s="497"/>
      <c r="W12" s="352"/>
      <c r="X12" s="352"/>
      <c r="Y12" s="352">
        <f>IF(NFI_Expiration=1,IF($A12&lt;VLOOKUP(H$5,NFI,5,0),1,0)*Table_NFI[[#This Row],[Hygiene Kit]],Table_NFI[Hygiene Kit])</f>
        <v>0</v>
      </c>
      <c r="Z12" s="352">
        <f>IF(NFI_Expiration=1,IF($A12&lt;VLOOKUP(I$5,NFI,5,0),1,0)*Table_NFI[[#This Row],[NFI Core Kit]],Table_NFI[NFI Core Kit])</f>
        <v>0</v>
      </c>
      <c r="AA12" s="352">
        <f>IF(NFI_Expiration=1,IF($A12&lt;VLOOKUP(J$5,NFI,5,0),1,0)*Table_NFI[[#This Row],[Sanitary Kit]],Table_NFI[Sanitary Kit])</f>
        <v>0</v>
      </c>
      <c r="AB12" s="352">
        <f>IF(NFI_Expiration=1,IF($A12&lt;VLOOKUP(K$5,NFI,5,0),1,0)*Table_NFI[[#This Row],[Mosquito net]],Table_NFI[Mosquito net])</f>
        <v>0</v>
      </c>
      <c r="AC12" s="352">
        <f>IF(NFI_Expiration=1,IF($A12&lt;VLOOKUP(L$5,NFI,5,0),1,0)*Table_NFI[[#This Row],[Tarpaulin]],Table_NFI[[#This Row],[Tarpaulin]])</f>
        <v>0</v>
      </c>
      <c r="AD12" s="352">
        <f>IF(NFI_Expiration=1,IF($A12&lt;VLOOKUP(M$5,NFI,5,0),1,0)*Table_NFI[[#This Row],[Blanket]],Table_NFI[[#This Row],[Blanket]])</f>
        <v>0</v>
      </c>
      <c r="AE12" s="352">
        <f>IF(NFI_Expiration=1,IF($A12&lt;VLOOKUP(N$5,NFI,5,0),1,0)*Table_NFI[[#This Row],[Kitchen Set]],Table_NFI[Kitchen Set])</f>
        <v>0</v>
      </c>
      <c r="AF12" s="352">
        <f>IF(NFI_Expiration=1,IF($A12&lt;VLOOKUP(O$5,NFI,5,0),1,0)*Table_NFI[[#This Row],[Clothes Kit]],Table_NFI[Clothes Kit])</f>
        <v>0</v>
      </c>
      <c r="AG12" s="352">
        <f>IF(NFI_Expiration=1,IF($A12&lt;VLOOKUP(P$5,NFI,5,0),1,0)*Table_NFI[[#This Row],[Plastic Bucket]],Table_NFI[Plastic Bucket])</f>
        <v>0</v>
      </c>
      <c r="AH12" s="352">
        <f>IF(NFI_Expiration=1,IF($A12&lt;VLOOKUP(Q$5,NFI,5,0),1,0)*Table_NFI[[#This Row],[Plastic Mat]],Table_NFI[Plastic Mat])*IF(Table_NFI[[#This Row],[Distribution Date]]&gt;"2014-04-01",1,2.5)</f>
        <v>0</v>
      </c>
      <c r="AI12" s="352">
        <f>IF(NFI_Expiration=1,IF($A12&lt;VLOOKUP(R$5,NFI,5,0),1,0)*Table_NFI[[#This Row],[Winter Clothes Adult]],Table_NFI[Winter Clothes Adult])</f>
        <v>0</v>
      </c>
      <c r="AJ12" s="352">
        <f>IF(NFI_Expiration=1,IF($A12&lt;VLOOKUP(S$5,NFI,5,0),1,0)*Table_NFI[[#This Row],[Winter Clothes Children]],Table_NFI[Winter Clothes Children])</f>
        <v>0</v>
      </c>
      <c r="AK12" s="352">
        <f>IF(NFI_Expiration=1,IF($A12&lt;VLOOKUP(T$5,NFI,5,0),1,0)*Table_NFI[[#This Row],[Winter Items Other]],Table_NFI[Winter Items Other])</f>
        <v>0</v>
      </c>
      <c r="AL12" s="352">
        <f>IF(NFI_Expiration=1,IF($A12&lt;VLOOKUP(M$5,NFI,5,0),1,0)*Table_NFI[[#This Row],[Winter Blanket]],Table_NFI[[#This Row],[Winter Blanket]])</f>
        <v>0</v>
      </c>
      <c r="AM12" s="352">
        <f>IF(Table_NFI[[#This Row],[Winter Clothes Adult]]+Table_NFI[[#This Row],[Winter Clothes Children]]+Table_NFI[[#This Row],[Winter Items Other]]+Table_NFI[[#This Row],[Winter Blanket]]&gt;0,1,0)</f>
        <v>0</v>
      </c>
      <c r="AN12" s="392">
        <f>IF(NFI_Expiration=1,IF($A12&lt;VLOOKUP(V$5,NFI,5,0),1,0)*Table_NFI[[#This Row],[Jerry Can]],Table_NFI[Jerry Can])</f>
        <v>0</v>
      </c>
      <c r="AO12" s="540" t="str">
        <f>IFERROR(VLOOKUP(Table_NFI[[#This Row],[Camp Name]],CL,2,0),"")</f>
        <v>MMR001CMP179</v>
      </c>
      <c r="AP12" s="535">
        <f ca="1">IF(Table_NFI[[#This Row],[Pcode]]="","",IF(OFFSET(CampList[Opening Date],MATCH(Table_NFI[[#This Row],[Pcode]],CampList[CP_Pcode],0)-1,0,1,1)&gt;=NFI_Monitor_Date,1,0))</f>
        <v>0</v>
      </c>
      <c r="AQ12" s="540" t="str">
        <f>IFERROR(VLOOKUP(Table_NFI[[#This Row],[Camp Name]],CL,3,0),"")</f>
        <v>Open</v>
      </c>
      <c r="AR12" s="352" t="str">
        <f ca="1">IF(Table_NFI[[#This Row],[Pcode]]="","",OFFSET(CampList[Priority],MATCH(Table_NFI[[#This Row],[Pcode]],CampList[CP_Pcode],0)-1,0,1,1))</f>
        <v>P4</v>
      </c>
      <c r="AS12" s="351">
        <f>IFERROR(Table_NFI[[#This Row],[Kitchen Set]]/VLOOKUP(Table_NFI[[#This Row],[Camp Name]],CL,4,0),"")</f>
        <v>0</v>
      </c>
      <c r="AT12" s="533" t="s">
        <v>1094</v>
      </c>
      <c r="AU12" s="536"/>
    </row>
    <row r="13" spans="1:16368" s="550" customFormat="1" ht="15" customHeight="1" x14ac:dyDescent="0.25">
      <c r="A13" s="567">
        <f t="shared" si="0"/>
        <v>3.7</v>
      </c>
      <c r="B13" s="532">
        <v>42460</v>
      </c>
      <c r="C13" s="533" t="s">
        <v>453</v>
      </c>
      <c r="D13" s="533" t="s">
        <v>506</v>
      </c>
      <c r="E13" s="533" t="s">
        <v>380</v>
      </c>
      <c r="F13" s="533" t="s">
        <v>5</v>
      </c>
      <c r="G13" s="533" t="s">
        <v>8</v>
      </c>
      <c r="H13" s="569"/>
      <c r="I13" s="569"/>
      <c r="J13" s="569"/>
      <c r="K13" s="569"/>
      <c r="L13" s="569">
        <v>4</v>
      </c>
      <c r="M13" s="569"/>
      <c r="N13" s="569"/>
      <c r="O13" s="569"/>
      <c r="P13" s="570"/>
      <c r="Q13" s="570"/>
      <c r="R13" s="570"/>
      <c r="S13" s="570"/>
      <c r="T13" s="570"/>
      <c r="U13" s="570"/>
      <c r="V13" s="571"/>
      <c r="W13" s="570"/>
      <c r="X13" s="570"/>
      <c r="Y13" s="570">
        <f>IF(NFI_Expiration=1,IF($A13&lt;VLOOKUP(H$5,NFI,5,0),1,0)*Table_NFI[[#This Row],[Hygiene Kit]],Table_NFI[Hygiene Kit])</f>
        <v>0</v>
      </c>
      <c r="Z13" s="570">
        <f>IF(NFI_Expiration=1,IF($A13&lt;VLOOKUP(I$5,NFI,5,0),1,0)*Table_NFI[[#This Row],[NFI Core Kit]],Table_NFI[NFI Core Kit])</f>
        <v>0</v>
      </c>
      <c r="AA13" s="570">
        <f>IF(NFI_Expiration=1,IF($A13&lt;VLOOKUP(J$5,NFI,5,0),1,0)*Table_NFI[[#This Row],[Sanitary Kit]],Table_NFI[Sanitary Kit])</f>
        <v>0</v>
      </c>
      <c r="AB13" s="570">
        <f>IF(NFI_Expiration=1,IF($A13&lt;VLOOKUP(K$5,NFI,5,0),1,0)*Table_NFI[[#This Row],[Mosquito net]],Table_NFI[Mosquito net])</f>
        <v>0</v>
      </c>
      <c r="AC13" s="570">
        <f>IF(NFI_Expiration=1,IF($A13&lt;VLOOKUP(L$5,NFI,5,0),1,0)*Table_NFI[[#This Row],[Tarpaulin]],Table_NFI[[#This Row],[Tarpaulin]])</f>
        <v>4</v>
      </c>
      <c r="AD13" s="570">
        <f>IF(NFI_Expiration=1,IF($A13&lt;VLOOKUP(M$5,NFI,5,0),1,0)*Table_NFI[[#This Row],[Blanket]],Table_NFI[[#This Row],[Blanket]])</f>
        <v>0</v>
      </c>
      <c r="AE13" s="570">
        <f>IF(NFI_Expiration=1,IF($A13&lt;VLOOKUP(N$5,NFI,5,0),1,0)*Table_NFI[[#This Row],[Kitchen Set]],Table_NFI[Kitchen Set])</f>
        <v>0</v>
      </c>
      <c r="AF13" s="570">
        <f>IF(NFI_Expiration=1,IF($A13&lt;VLOOKUP(O$5,NFI,5,0),1,0)*Table_NFI[[#This Row],[Clothes Kit]],Table_NFI[Clothes Kit])</f>
        <v>0</v>
      </c>
      <c r="AG13" s="570">
        <f>IF(NFI_Expiration=1,IF($A13&lt;VLOOKUP(P$5,NFI,5,0),1,0)*Table_NFI[[#This Row],[Plastic Bucket]],Table_NFI[Plastic Bucket])</f>
        <v>0</v>
      </c>
      <c r="AH13" s="570">
        <f>IF(NFI_Expiration=1,IF($A13&lt;VLOOKUP(Q$5,NFI,5,0),1,0)*Table_NFI[[#This Row],[Plastic Mat]],Table_NFI[Plastic Mat])*IF(Table_NFI[[#This Row],[Distribution Date]]&gt;"2014-04-01",1,2.5)</f>
        <v>0</v>
      </c>
      <c r="AI13" s="570">
        <f>IF(NFI_Expiration=1,IF($A13&lt;VLOOKUP(R$5,NFI,5,0),1,0)*Table_NFI[[#This Row],[Winter Clothes Adult]],Table_NFI[Winter Clothes Adult])</f>
        <v>0</v>
      </c>
      <c r="AJ13" s="570">
        <f>IF(NFI_Expiration=1,IF($A13&lt;VLOOKUP(S$5,NFI,5,0),1,0)*Table_NFI[[#This Row],[Winter Clothes Children]],Table_NFI[Winter Clothes Children])</f>
        <v>0</v>
      </c>
      <c r="AK13" s="570">
        <f>IF(NFI_Expiration=1,IF($A13&lt;VLOOKUP(T$5,NFI,5,0),1,0)*Table_NFI[[#This Row],[Winter Items Other]],Table_NFI[Winter Items Other])</f>
        <v>0</v>
      </c>
      <c r="AL13" s="570">
        <f>IF(NFI_Expiration=1,IF($A13&lt;VLOOKUP(M$5,NFI,5,0),1,0)*Table_NFI[[#This Row],[Winter Blanket]],Table_NFI[[#This Row],[Winter Blanket]])</f>
        <v>0</v>
      </c>
      <c r="AM13" s="570">
        <f>IF(Table_NFI[[#This Row],[Winter Clothes Adult]]+Table_NFI[[#This Row],[Winter Clothes Children]]+Table_NFI[[#This Row],[Winter Items Other]]+Table_NFI[[#This Row],[Winter Blanket]]&gt;0,1,0)</f>
        <v>0</v>
      </c>
      <c r="AN13" s="572">
        <f>IF(NFI_Expiration=1,IF($A13&lt;VLOOKUP(V$5,NFI,5,0),1,0)*Table_NFI[[#This Row],[Jerry Can]],Table_NFI[Jerry Can])</f>
        <v>0</v>
      </c>
      <c r="AO13" s="573" t="str">
        <f>IFERROR(VLOOKUP(Table_NFI[[#This Row],[Camp Name]],CL,2,0),"")</f>
        <v>MMR001CMP051</v>
      </c>
      <c r="AP13" s="574">
        <f ca="1">IF(Table_NFI[[#This Row],[Pcode]]="","",IF(OFFSET(CampList[Opening Date],MATCH(Table_NFI[[#This Row],[Pcode]],CampList[CP_Pcode],0)-1,0,1,1)&gt;=NFI_Monitor_Date,1,0))</f>
        <v>0</v>
      </c>
      <c r="AQ13" s="573" t="str">
        <f>IFERROR(VLOOKUP(Table_NFI[[#This Row],[Camp Name]],CL,3,0),"")</f>
        <v>Open</v>
      </c>
      <c r="AR13" s="570" t="str">
        <f ca="1">IF(Table_NFI[[#This Row],[Pcode]]="","",OFFSET(CampList[Priority],MATCH(Table_NFI[[#This Row],[Pcode]],CampList[CP_Pcode],0)-1,0,1,1))</f>
        <v>P4</v>
      </c>
      <c r="AS13" s="575">
        <f>IFERROR(Table_NFI[[#This Row],[Kitchen Set]]/VLOOKUP(Table_NFI[[#This Row],[Camp Name]],CL,4,0),"")</f>
        <v>0</v>
      </c>
      <c r="AT13" s="568"/>
      <c r="AU13" s="576"/>
    </row>
    <row r="14" spans="1:16368" s="550" customFormat="1" ht="15" customHeight="1" x14ac:dyDescent="0.25">
      <c r="A14" s="355">
        <f t="shared" si="0"/>
        <v>4.4666666666666668</v>
      </c>
      <c r="B14" s="532">
        <v>42437</v>
      </c>
      <c r="C14" s="538" t="s">
        <v>453</v>
      </c>
      <c r="D14" s="538" t="s">
        <v>1379</v>
      </c>
      <c r="E14" s="533" t="s">
        <v>554</v>
      </c>
      <c r="F14" s="533" t="s">
        <v>146</v>
      </c>
      <c r="G14" s="538"/>
      <c r="H14" s="350"/>
      <c r="I14" s="350"/>
      <c r="J14" s="350"/>
      <c r="K14" s="350">
        <v>600</v>
      </c>
      <c r="L14" s="350"/>
      <c r="M14" s="350"/>
      <c r="N14" s="350"/>
      <c r="O14" s="350"/>
      <c r="P14" s="352"/>
      <c r="Q14" s="352"/>
      <c r="R14" s="352"/>
      <c r="S14" s="352"/>
      <c r="T14" s="352"/>
      <c r="U14" s="352"/>
      <c r="V14" s="497"/>
      <c r="W14" s="352"/>
      <c r="X14" s="352"/>
      <c r="Y14" s="352">
        <f>IF(NFI_Expiration=1,IF($A14&lt;VLOOKUP(H$5,NFI,5,0),1,0)*Table_NFI[[#This Row],[Hygiene Kit]],Table_NFI[Hygiene Kit])</f>
        <v>0</v>
      </c>
      <c r="Z14" s="352">
        <f>IF(NFI_Expiration=1,IF($A14&lt;VLOOKUP(I$5,NFI,5,0),1,0)*Table_NFI[[#This Row],[NFI Core Kit]],Table_NFI[NFI Core Kit])</f>
        <v>0</v>
      </c>
      <c r="AA14" s="352">
        <f>IF(NFI_Expiration=1,IF($A14&lt;VLOOKUP(J$5,NFI,5,0),1,0)*Table_NFI[[#This Row],[Sanitary Kit]],Table_NFI[Sanitary Kit])</f>
        <v>0</v>
      </c>
      <c r="AB14" s="352">
        <f>IF(NFI_Expiration=1,IF($A14&lt;VLOOKUP(K$5,NFI,5,0),1,0)*Table_NFI[[#This Row],[Mosquito net]],Table_NFI[Mosquito net])</f>
        <v>600</v>
      </c>
      <c r="AC14" s="352">
        <f>IF(NFI_Expiration=1,IF($A14&lt;VLOOKUP(L$5,NFI,5,0),1,0)*Table_NFI[[#This Row],[Tarpaulin]],Table_NFI[[#This Row],[Tarpaulin]])</f>
        <v>0</v>
      </c>
      <c r="AD14" s="352">
        <f>IF(NFI_Expiration=1,IF($A14&lt;VLOOKUP(M$5,NFI,5,0),1,0)*Table_NFI[[#This Row],[Blanket]],Table_NFI[[#This Row],[Blanket]])</f>
        <v>0</v>
      </c>
      <c r="AE14" s="352">
        <f>IF(NFI_Expiration=1,IF($A14&lt;VLOOKUP(N$5,NFI,5,0),1,0)*Table_NFI[[#This Row],[Kitchen Set]],Table_NFI[Kitchen Set])</f>
        <v>0</v>
      </c>
      <c r="AF14" s="352">
        <f>IF(NFI_Expiration=1,IF($A14&lt;VLOOKUP(O$5,NFI,5,0),1,0)*Table_NFI[[#This Row],[Clothes Kit]],Table_NFI[Clothes Kit])</f>
        <v>0</v>
      </c>
      <c r="AG14" s="352">
        <f>IF(NFI_Expiration=1,IF($A14&lt;VLOOKUP(P$5,NFI,5,0),1,0)*Table_NFI[[#This Row],[Plastic Bucket]],Table_NFI[Plastic Bucket])</f>
        <v>0</v>
      </c>
      <c r="AH14" s="352">
        <f>IF(NFI_Expiration=1,IF($A14&lt;VLOOKUP(Q$5,NFI,5,0),1,0)*Table_NFI[[#This Row],[Plastic Mat]],Table_NFI[Plastic Mat])*IF(Table_NFI[[#This Row],[Distribution Date]]&gt;"2014-04-01",1,2.5)</f>
        <v>0</v>
      </c>
      <c r="AI14" s="352">
        <f>IF(NFI_Expiration=1,IF($A14&lt;VLOOKUP(R$5,NFI,5,0),1,0)*Table_NFI[[#This Row],[Winter Clothes Adult]],Table_NFI[Winter Clothes Adult])</f>
        <v>0</v>
      </c>
      <c r="AJ14" s="352">
        <f>IF(NFI_Expiration=1,IF($A14&lt;VLOOKUP(S$5,NFI,5,0),1,0)*Table_NFI[[#This Row],[Winter Clothes Children]],Table_NFI[Winter Clothes Children])</f>
        <v>0</v>
      </c>
      <c r="AK14" s="352">
        <f>IF(NFI_Expiration=1,IF($A14&lt;VLOOKUP(T$5,NFI,5,0),1,0)*Table_NFI[[#This Row],[Winter Items Other]],Table_NFI[Winter Items Other])</f>
        <v>0</v>
      </c>
      <c r="AL14" s="352">
        <f>IF(NFI_Expiration=1,IF($A14&lt;VLOOKUP(M$5,NFI,5,0),1,0)*Table_NFI[[#This Row],[Winter Blanket]],Table_NFI[[#This Row],[Winter Blanket]])</f>
        <v>0</v>
      </c>
      <c r="AM14" s="352">
        <f>IF(Table_NFI[[#This Row],[Winter Clothes Adult]]+Table_NFI[[#This Row],[Winter Clothes Children]]+Table_NFI[[#This Row],[Winter Items Other]]+Table_NFI[[#This Row],[Winter Blanket]]&gt;0,1,0)</f>
        <v>0</v>
      </c>
      <c r="AN14" s="392">
        <f>IF(NFI_Expiration=1,IF($A14&lt;VLOOKUP(V$5,NFI,5,0),1,0)*Table_NFI[[#This Row],[Jerry Can]],Table_NFI[Jerry Can])</f>
        <v>0</v>
      </c>
      <c r="AO14" s="540" t="str">
        <f>IFERROR(VLOOKUP(Table_NFI[[#This Row],[Camp Name]],CL,2,0),"")</f>
        <v/>
      </c>
      <c r="AP14" s="535" t="str">
        <f ca="1">IF(Table_NFI[[#This Row],[Pcode]]="","",IF(OFFSET(CampList[Opening Date],MATCH(Table_NFI[[#This Row],[Pcode]],CampList[CP_Pcode],0)-1,0,1,1)&gt;=NFI_Monitor_Date,1,0))</f>
        <v/>
      </c>
      <c r="AQ14" s="540" t="str">
        <f>IFERROR(VLOOKUP(Table_NFI[[#This Row],[Camp Name]],CL,3,0),"")</f>
        <v/>
      </c>
      <c r="AR14" s="352" t="str">
        <f ca="1">IF(Table_NFI[[#This Row],[Pcode]]="","",OFFSET(CampList[Priority],MATCH(Table_NFI[[#This Row],[Pcode]],CampList[CP_Pcode],0)-1,0,1,1))</f>
        <v/>
      </c>
      <c r="AS14" s="575" t="str">
        <f>IFERROR(Table_NFI[[#This Row],[Kitchen Set]]/VLOOKUP(Table_NFI[[#This Row],[Camp Name]],CL,4,0),"")</f>
        <v/>
      </c>
      <c r="AT14" s="538"/>
      <c r="AU14" s="541" t="s">
        <v>1380</v>
      </c>
    </row>
    <row r="15" spans="1:16368" s="129" customFormat="1" ht="15" customHeight="1" x14ac:dyDescent="0.25">
      <c r="A15" s="567">
        <f t="shared" si="0"/>
        <v>4.7666666666666666</v>
      </c>
      <c r="B15" s="532">
        <v>42428</v>
      </c>
      <c r="C15" s="538" t="s">
        <v>453</v>
      </c>
      <c r="D15" s="538" t="s">
        <v>461</v>
      </c>
      <c r="E15" s="533" t="s">
        <v>380</v>
      </c>
      <c r="F15" s="533" t="s">
        <v>27</v>
      </c>
      <c r="G15" s="538" t="s">
        <v>364</v>
      </c>
      <c r="H15" s="569"/>
      <c r="I15" s="569"/>
      <c r="J15" s="569"/>
      <c r="K15" s="569"/>
      <c r="L15" s="569"/>
      <c r="M15" s="569">
        <v>345</v>
      </c>
      <c r="N15" s="569"/>
      <c r="O15" s="569"/>
      <c r="P15" s="570"/>
      <c r="Q15" s="570"/>
      <c r="R15" s="570"/>
      <c r="S15" s="570">
        <v>765</v>
      </c>
      <c r="T15" s="570"/>
      <c r="U15" s="570"/>
      <c r="V15" s="571"/>
      <c r="W15" s="570"/>
      <c r="X15" s="570"/>
      <c r="Y15" s="570">
        <f>IF(NFI_Expiration=1,IF($A15&lt;VLOOKUP(H$5,NFI,5,0),1,0)*Table_NFI[[#This Row],[Hygiene Kit]],Table_NFI[Hygiene Kit])</f>
        <v>0</v>
      </c>
      <c r="Z15" s="570">
        <f>IF(NFI_Expiration=1,IF($A15&lt;VLOOKUP(I$5,NFI,5,0),1,0)*Table_NFI[[#This Row],[NFI Core Kit]],Table_NFI[NFI Core Kit])</f>
        <v>0</v>
      </c>
      <c r="AA15" s="570">
        <f>IF(NFI_Expiration=1,IF($A15&lt;VLOOKUP(J$5,NFI,5,0),1,0)*Table_NFI[[#This Row],[Sanitary Kit]],Table_NFI[Sanitary Kit])</f>
        <v>0</v>
      </c>
      <c r="AB15" s="570">
        <f>IF(NFI_Expiration=1,IF($A15&lt;VLOOKUP(K$5,NFI,5,0),1,0)*Table_NFI[[#This Row],[Mosquito net]],Table_NFI[Mosquito net])</f>
        <v>0</v>
      </c>
      <c r="AC15" s="570">
        <f>IF(NFI_Expiration=1,IF($A15&lt;VLOOKUP(L$5,NFI,5,0),1,0)*Table_NFI[[#This Row],[Tarpaulin]],Table_NFI[[#This Row],[Tarpaulin]])</f>
        <v>0</v>
      </c>
      <c r="AD15" s="570">
        <f>IF(NFI_Expiration=1,IF($A15&lt;VLOOKUP(M$5,NFI,5,0),1,0)*Table_NFI[[#This Row],[Blanket]],Table_NFI[[#This Row],[Blanket]])</f>
        <v>345</v>
      </c>
      <c r="AE15" s="570">
        <f>IF(NFI_Expiration=1,IF($A15&lt;VLOOKUP(N$5,NFI,5,0),1,0)*Table_NFI[[#This Row],[Kitchen Set]],Table_NFI[Kitchen Set])</f>
        <v>0</v>
      </c>
      <c r="AF15" s="570">
        <f>IF(NFI_Expiration=1,IF($A15&lt;VLOOKUP(O$5,NFI,5,0),1,0)*Table_NFI[[#This Row],[Clothes Kit]],Table_NFI[Clothes Kit])</f>
        <v>0</v>
      </c>
      <c r="AG15" s="570">
        <f>IF(NFI_Expiration=1,IF($A15&lt;VLOOKUP(P$5,NFI,5,0),1,0)*Table_NFI[[#This Row],[Plastic Bucket]],Table_NFI[Plastic Bucket])</f>
        <v>0</v>
      </c>
      <c r="AH15" s="570">
        <f>IF(NFI_Expiration=1,IF($A15&lt;VLOOKUP(Q$5,NFI,5,0),1,0)*Table_NFI[[#This Row],[Plastic Mat]],Table_NFI[Plastic Mat])*IF(Table_NFI[[#This Row],[Distribution Date]]&gt;"2014-04-01",1,2.5)</f>
        <v>0</v>
      </c>
      <c r="AI15" s="570">
        <f>IF(NFI_Expiration=1,IF($A15&lt;VLOOKUP(R$5,NFI,5,0),1,0)*Table_NFI[[#This Row],[Winter Clothes Adult]],Table_NFI[Winter Clothes Adult])</f>
        <v>0</v>
      </c>
      <c r="AJ15" s="570">
        <f>IF(NFI_Expiration=1,IF($A15&lt;VLOOKUP(S$5,NFI,5,0),1,0)*Table_NFI[[#This Row],[Winter Clothes Children]],Table_NFI[Winter Clothes Children])</f>
        <v>765</v>
      </c>
      <c r="AK15" s="570">
        <f>IF(NFI_Expiration=1,IF($A15&lt;VLOOKUP(T$5,NFI,5,0),1,0)*Table_NFI[[#This Row],[Winter Items Other]],Table_NFI[Winter Items Other])</f>
        <v>0</v>
      </c>
      <c r="AL15" s="570">
        <f>IF(NFI_Expiration=1,IF($A15&lt;VLOOKUP(M$5,NFI,5,0),1,0)*Table_NFI[[#This Row],[Winter Blanket]],Table_NFI[[#This Row],[Winter Blanket]])</f>
        <v>0</v>
      </c>
      <c r="AM15" s="570">
        <f>IF(Table_NFI[[#This Row],[Winter Clothes Adult]]+Table_NFI[[#This Row],[Winter Clothes Children]]+Table_NFI[[#This Row],[Winter Items Other]]+Table_NFI[[#This Row],[Winter Blanket]]&gt;0,1,0)</f>
        <v>1</v>
      </c>
      <c r="AN15" s="572">
        <f>IF(NFI_Expiration=1,IF($A15&lt;VLOOKUP(V$5,NFI,5,0),1,0)*Table_NFI[[#This Row],[Jerry Can]],Table_NFI[Jerry Can])</f>
        <v>0</v>
      </c>
      <c r="AO15" s="573" t="str">
        <f>IFERROR(VLOOKUP(Table_NFI[[#This Row],[Camp Name]],CL,2,0),"")</f>
        <v>MMR001CMP043</v>
      </c>
      <c r="AP15" s="574">
        <f ca="1">IF(Table_NFI[[#This Row],[Pcode]]="","",IF(OFFSET(CampList[Opening Date],MATCH(Table_NFI[[#This Row],[Pcode]],CampList[CP_Pcode],0)-1,0,1,1)&gt;=NFI_Monitor_Date,1,0))</f>
        <v>0</v>
      </c>
      <c r="AQ15" s="573" t="str">
        <f>IFERROR(VLOOKUP(Table_NFI[[#This Row],[Camp Name]],CL,3,0),"")</f>
        <v>Open</v>
      </c>
      <c r="AR15" s="570" t="str">
        <f ca="1">IF(Table_NFI[[#This Row],[Pcode]]="","",OFFSET(CampList[Priority],MATCH(Table_NFI[[#This Row],[Pcode]],CampList[CP_Pcode],0)-1,0,1,1))</f>
        <v>P1</v>
      </c>
      <c r="AS15" s="575">
        <f>IFERROR(Table_NFI[[#This Row],[Kitchen Set]]/VLOOKUP(Table_NFI[[#This Row],[Camp Name]],CL,4,0),"")</f>
        <v>0</v>
      </c>
      <c r="AT15" s="568"/>
      <c r="AU15" s="579"/>
    </row>
    <row r="16" spans="1:16368" s="537" customFormat="1" ht="15" customHeight="1" x14ac:dyDescent="0.25">
      <c r="A16" s="355">
        <f t="shared" si="0"/>
        <v>4.8</v>
      </c>
      <c r="B16" s="532">
        <v>42427</v>
      </c>
      <c r="C16" s="533" t="s">
        <v>453</v>
      </c>
      <c r="D16" s="533" t="s">
        <v>461</v>
      </c>
      <c r="E16" s="533" t="s">
        <v>380</v>
      </c>
      <c r="F16" s="533" t="s">
        <v>310</v>
      </c>
      <c r="G16" s="348" t="s">
        <v>364</v>
      </c>
      <c r="H16" s="349"/>
      <c r="I16" s="350"/>
      <c r="J16" s="352"/>
      <c r="K16" s="352"/>
      <c r="L16" s="350"/>
      <c r="M16" s="350"/>
      <c r="N16" s="350"/>
      <c r="O16" s="350"/>
      <c r="P16" s="352"/>
      <c r="Q16" s="352"/>
      <c r="R16" s="352">
        <v>380</v>
      </c>
      <c r="S16" s="352">
        <v>380</v>
      </c>
      <c r="T16" s="352"/>
      <c r="U16" s="352"/>
      <c r="V16" s="497"/>
      <c r="W16" s="352"/>
      <c r="X16" s="352"/>
      <c r="Y16" s="352">
        <f>IF(NFI_Expiration=1,IF($A16&lt;VLOOKUP(H$5,NFI,5,0),1,0)*Table_NFI[[#This Row],[Hygiene Kit]],Table_NFI[Hygiene Kit])</f>
        <v>0</v>
      </c>
      <c r="Z16" s="352">
        <f>IF(NFI_Expiration=1,IF($A16&lt;VLOOKUP(I$5,NFI,5,0),1,0)*Table_NFI[[#This Row],[NFI Core Kit]],Table_NFI[NFI Core Kit])</f>
        <v>0</v>
      </c>
      <c r="AA16" s="352">
        <f>IF(NFI_Expiration=1,IF($A16&lt;VLOOKUP(J$5,NFI,5,0),1,0)*Table_NFI[[#This Row],[Sanitary Kit]],Table_NFI[Sanitary Kit])</f>
        <v>0</v>
      </c>
      <c r="AB16" s="352">
        <f>IF(NFI_Expiration=1,IF($A16&lt;VLOOKUP(K$5,NFI,5,0),1,0)*Table_NFI[[#This Row],[Mosquito net]],Table_NFI[Mosquito net])</f>
        <v>0</v>
      </c>
      <c r="AC16" s="352">
        <f>IF(NFI_Expiration=1,IF($A16&lt;VLOOKUP(L$5,NFI,5,0),1,0)*Table_NFI[[#This Row],[Tarpaulin]],Table_NFI[[#This Row],[Tarpaulin]])</f>
        <v>0</v>
      </c>
      <c r="AD16" s="352">
        <f>IF(NFI_Expiration=1,IF($A16&lt;VLOOKUP(M$5,NFI,5,0),1,0)*Table_NFI[[#This Row],[Blanket]],Table_NFI[[#This Row],[Blanket]])</f>
        <v>0</v>
      </c>
      <c r="AE16" s="352">
        <f>IF(NFI_Expiration=1,IF($A16&lt;VLOOKUP(N$5,NFI,5,0),1,0)*Table_NFI[[#This Row],[Kitchen Set]],Table_NFI[Kitchen Set])</f>
        <v>0</v>
      </c>
      <c r="AF16" s="352">
        <f>IF(NFI_Expiration=1,IF($A16&lt;VLOOKUP(O$5,NFI,5,0),1,0)*Table_NFI[[#This Row],[Clothes Kit]],Table_NFI[Clothes Kit])</f>
        <v>0</v>
      </c>
      <c r="AG16" s="352">
        <f>IF(NFI_Expiration=1,IF($A16&lt;VLOOKUP(P$5,NFI,5,0),1,0)*Table_NFI[[#This Row],[Plastic Bucket]],Table_NFI[Plastic Bucket])</f>
        <v>0</v>
      </c>
      <c r="AH16" s="352">
        <f>IF(NFI_Expiration=1,IF($A16&lt;VLOOKUP(Q$5,NFI,5,0),1,0)*Table_NFI[[#This Row],[Plastic Mat]],Table_NFI[Plastic Mat])*IF(Table_NFI[[#This Row],[Distribution Date]]&gt;"2014-04-01",1,2.5)</f>
        <v>0</v>
      </c>
      <c r="AI16" s="352">
        <f>IF(NFI_Expiration=1,IF($A16&lt;VLOOKUP(R$5,NFI,5,0),1,0)*Table_NFI[[#This Row],[Winter Clothes Adult]],Table_NFI[Winter Clothes Adult])</f>
        <v>380</v>
      </c>
      <c r="AJ16" s="352">
        <f>IF(NFI_Expiration=1,IF($A16&lt;VLOOKUP(S$5,NFI,5,0),1,0)*Table_NFI[[#This Row],[Winter Clothes Children]],Table_NFI[Winter Clothes Children])</f>
        <v>380</v>
      </c>
      <c r="AK16" s="352">
        <f>IF(NFI_Expiration=1,IF($A16&lt;VLOOKUP(T$5,NFI,5,0),1,0)*Table_NFI[[#This Row],[Winter Items Other]],Table_NFI[Winter Items Other])</f>
        <v>0</v>
      </c>
      <c r="AL16" s="352">
        <f>IF(NFI_Expiration=1,IF($A16&lt;VLOOKUP(M$5,NFI,5,0),1,0)*Table_NFI[[#This Row],[Winter Blanket]],Table_NFI[[#This Row],[Winter Blanket]])</f>
        <v>0</v>
      </c>
      <c r="AM16" s="352">
        <f>IF(Table_NFI[[#This Row],[Winter Clothes Adult]]+Table_NFI[[#This Row],[Winter Clothes Children]]+Table_NFI[[#This Row],[Winter Items Other]]+Table_NFI[[#This Row],[Winter Blanket]]&gt;0,1,0)</f>
        <v>1</v>
      </c>
      <c r="AN16" s="392">
        <f>IF(NFI_Expiration=1,IF($A16&lt;VLOOKUP(V$5,NFI,5,0),1,0)*Table_NFI[[#This Row],[Jerry Can]],Table_NFI[Jerry Can])</f>
        <v>0</v>
      </c>
      <c r="AO16" s="540" t="str">
        <f>IFERROR(VLOOKUP(Table_NFI[[#This Row],[Camp Name]],CL,2,0),"")</f>
        <v>MMR001CMP043</v>
      </c>
      <c r="AP16" s="535">
        <f ca="1">IF(Table_NFI[[#This Row],[Pcode]]="","",IF(OFFSET(CampList[Opening Date],MATCH(Table_NFI[[#This Row],[Pcode]],CampList[CP_Pcode],0)-1,0,1,1)&gt;=NFI_Monitor_Date,1,0))</f>
        <v>0</v>
      </c>
      <c r="AQ16" s="540" t="str">
        <f>IFERROR(VLOOKUP(Table_NFI[[#This Row],[Camp Name]],CL,3,0),"")</f>
        <v>Open</v>
      </c>
      <c r="AR16" s="352" t="str">
        <f ca="1">IF(Table_NFI[[#This Row],[Pcode]]="","",OFFSET(CampList[Priority],MATCH(Table_NFI[[#This Row],[Pcode]],CampList[CP_Pcode],0)-1,0,1,1))</f>
        <v>P1</v>
      </c>
      <c r="AS16" s="575">
        <f>IFERROR(Table_NFI[[#This Row],[Kitchen Set]]/VLOOKUP(Table_NFI[[#This Row],[Camp Name]],CL,4,0),"")</f>
        <v>0</v>
      </c>
      <c r="AT16" s="538"/>
      <c r="AU16" s="578" t="s">
        <v>1386</v>
      </c>
    </row>
    <row r="17" spans="1:47" s="537" customFormat="1" ht="15" customHeight="1" x14ac:dyDescent="0.25">
      <c r="A17" s="567">
        <f t="shared" si="0"/>
        <v>4.8</v>
      </c>
      <c r="B17" s="532">
        <v>42427</v>
      </c>
      <c r="C17" s="533" t="s">
        <v>453</v>
      </c>
      <c r="D17" s="533" t="s">
        <v>461</v>
      </c>
      <c r="E17" s="533" t="s">
        <v>380</v>
      </c>
      <c r="F17" s="533" t="s">
        <v>310</v>
      </c>
      <c r="G17" s="533" t="s">
        <v>1246</v>
      </c>
      <c r="H17" s="569"/>
      <c r="I17" s="569"/>
      <c r="J17" s="569"/>
      <c r="K17" s="569"/>
      <c r="L17" s="569"/>
      <c r="M17" s="569"/>
      <c r="N17" s="569"/>
      <c r="O17" s="569"/>
      <c r="P17" s="570"/>
      <c r="Q17" s="570"/>
      <c r="R17" s="570">
        <v>330</v>
      </c>
      <c r="S17" s="570">
        <v>330</v>
      </c>
      <c r="T17" s="570"/>
      <c r="U17" s="570">
        <v>346</v>
      </c>
      <c r="V17" s="571"/>
      <c r="W17" s="570"/>
      <c r="X17" s="570"/>
      <c r="Y17" s="570">
        <f>IF(NFI_Expiration=1,IF($A17&lt;VLOOKUP(H$5,NFI,5,0),1,0)*Table_NFI[[#This Row],[Hygiene Kit]],Table_NFI[Hygiene Kit])</f>
        <v>0</v>
      </c>
      <c r="Z17" s="570">
        <f>IF(NFI_Expiration=1,IF($A17&lt;VLOOKUP(I$5,NFI,5,0),1,0)*Table_NFI[[#This Row],[NFI Core Kit]],Table_NFI[NFI Core Kit])</f>
        <v>0</v>
      </c>
      <c r="AA17" s="570">
        <f>IF(NFI_Expiration=1,IF($A17&lt;VLOOKUP(J$5,NFI,5,0),1,0)*Table_NFI[[#This Row],[Sanitary Kit]],Table_NFI[Sanitary Kit])</f>
        <v>0</v>
      </c>
      <c r="AB17" s="570">
        <f>IF(NFI_Expiration=1,IF($A17&lt;VLOOKUP(K$5,NFI,5,0),1,0)*Table_NFI[[#This Row],[Mosquito net]],Table_NFI[Mosquito net])</f>
        <v>0</v>
      </c>
      <c r="AC17" s="570">
        <f>IF(NFI_Expiration=1,IF($A17&lt;VLOOKUP(L$5,NFI,5,0),1,0)*Table_NFI[[#This Row],[Tarpaulin]],Table_NFI[[#This Row],[Tarpaulin]])</f>
        <v>0</v>
      </c>
      <c r="AD17" s="570">
        <f>IF(NFI_Expiration=1,IF($A17&lt;VLOOKUP(M$5,NFI,5,0),1,0)*Table_NFI[[#This Row],[Blanket]],Table_NFI[[#This Row],[Blanket]])</f>
        <v>0</v>
      </c>
      <c r="AE17" s="570">
        <f>IF(NFI_Expiration=1,IF($A17&lt;VLOOKUP(N$5,NFI,5,0),1,0)*Table_NFI[[#This Row],[Kitchen Set]],Table_NFI[Kitchen Set])</f>
        <v>0</v>
      </c>
      <c r="AF17" s="570">
        <f>IF(NFI_Expiration=1,IF($A17&lt;VLOOKUP(O$5,NFI,5,0),1,0)*Table_NFI[[#This Row],[Clothes Kit]],Table_NFI[Clothes Kit])</f>
        <v>0</v>
      </c>
      <c r="AG17" s="570">
        <f>IF(NFI_Expiration=1,IF($A17&lt;VLOOKUP(P$5,NFI,5,0),1,0)*Table_NFI[[#This Row],[Plastic Bucket]],Table_NFI[Plastic Bucket])</f>
        <v>0</v>
      </c>
      <c r="AH17" s="570">
        <f>IF(NFI_Expiration=1,IF($A17&lt;VLOOKUP(Q$5,NFI,5,0),1,0)*Table_NFI[[#This Row],[Plastic Mat]],Table_NFI[Plastic Mat])*IF(Table_NFI[[#This Row],[Distribution Date]]&gt;"2014-04-01",1,2.5)</f>
        <v>0</v>
      </c>
      <c r="AI17" s="570">
        <f>IF(NFI_Expiration=1,IF($A17&lt;VLOOKUP(R$5,NFI,5,0),1,0)*Table_NFI[[#This Row],[Winter Clothes Adult]],Table_NFI[Winter Clothes Adult])</f>
        <v>330</v>
      </c>
      <c r="AJ17" s="570">
        <f>IF(NFI_Expiration=1,IF($A17&lt;VLOOKUP(S$5,NFI,5,0),1,0)*Table_NFI[[#This Row],[Winter Clothes Children]],Table_NFI[Winter Clothes Children])</f>
        <v>330</v>
      </c>
      <c r="AK17" s="570">
        <f>IF(NFI_Expiration=1,IF($A17&lt;VLOOKUP(T$5,NFI,5,0),1,0)*Table_NFI[[#This Row],[Winter Items Other]],Table_NFI[Winter Items Other])</f>
        <v>0</v>
      </c>
      <c r="AL17" s="570">
        <f>IF(NFI_Expiration=1,IF($A17&lt;VLOOKUP(M$5,NFI,5,0),1,0)*Table_NFI[[#This Row],[Winter Blanket]],Table_NFI[[#This Row],[Winter Blanket]])</f>
        <v>346</v>
      </c>
      <c r="AM17" s="570">
        <f>IF(Table_NFI[[#This Row],[Winter Clothes Adult]]+Table_NFI[[#This Row],[Winter Clothes Children]]+Table_NFI[[#This Row],[Winter Items Other]]+Table_NFI[[#This Row],[Winter Blanket]]&gt;0,1,0)</f>
        <v>1</v>
      </c>
      <c r="AN17" s="572">
        <f>IF(NFI_Expiration=1,IF($A17&lt;VLOOKUP(V$5,NFI,5,0),1,0)*Table_NFI[[#This Row],[Jerry Can]],Table_NFI[Jerry Can])</f>
        <v>0</v>
      </c>
      <c r="AO17" s="573" t="str">
        <f>IFERROR(VLOOKUP(Table_NFI[[#This Row],[Camp Name]],CL,2,0),"")</f>
        <v>MMR001CMP120</v>
      </c>
      <c r="AP17" s="574">
        <f ca="1">IF(Table_NFI[[#This Row],[Pcode]]="","",IF(OFFSET(CampList[Opening Date],MATCH(Table_NFI[[#This Row],[Pcode]],CampList[CP_Pcode],0)-1,0,1,1)&gt;=NFI_Monitor_Date,1,0))</f>
        <v>0</v>
      </c>
      <c r="AQ17" s="573" t="str">
        <f>IFERROR(VLOOKUP(Table_NFI[[#This Row],[Camp Name]],CL,3,0),"")</f>
        <v>Open</v>
      </c>
      <c r="AR17" s="570" t="str">
        <f ca="1">IF(Table_NFI[[#This Row],[Pcode]]="","",OFFSET(CampList[Priority],MATCH(Table_NFI[[#This Row],[Pcode]],CampList[CP_Pcode],0)-1,0,1,1))</f>
        <v>P1</v>
      </c>
      <c r="AS17" s="575">
        <f>IFERROR(Table_NFI[[#This Row],[Kitchen Set]]/VLOOKUP(Table_NFI[[#This Row],[Camp Name]],CL,4,0),"")</f>
        <v>0</v>
      </c>
      <c r="AT17" s="568"/>
      <c r="AU17" s="579" t="s">
        <v>1387</v>
      </c>
    </row>
    <row r="18" spans="1:47" s="537" customFormat="1" ht="15" hidden="1" customHeight="1" x14ac:dyDescent="0.25">
      <c r="A18" s="355">
        <f t="shared" si="0"/>
        <v>21.133333333333333</v>
      </c>
      <c r="B18" s="532">
        <v>41937</v>
      </c>
      <c r="C18" s="533" t="s">
        <v>1096</v>
      </c>
      <c r="D18" s="533" t="s">
        <v>902</v>
      </c>
      <c r="E18" s="533" t="s">
        <v>380</v>
      </c>
      <c r="F18" s="533" t="s">
        <v>528</v>
      </c>
      <c r="G18" s="533" t="s">
        <v>120</v>
      </c>
      <c r="H18" s="349"/>
      <c r="I18" s="349"/>
      <c r="J18" s="349"/>
      <c r="K18" s="349"/>
      <c r="L18" s="350"/>
      <c r="M18" s="350"/>
      <c r="N18" s="350"/>
      <c r="O18" s="350"/>
      <c r="P18" s="352"/>
      <c r="Q18" s="352"/>
      <c r="R18" s="352">
        <v>223</v>
      </c>
      <c r="S18" s="352">
        <v>96</v>
      </c>
      <c r="T18" s="352"/>
      <c r="U18" s="352"/>
      <c r="V18" s="497"/>
      <c r="W18" s="352"/>
      <c r="X18" s="352"/>
      <c r="Y18" s="352">
        <f>IF(NFI_Expiration=1,IF($A18&lt;VLOOKUP(H$5,NFI,5,0),1,0)*Table_NFI[[#This Row],[Hygiene Kit]],Table_NFI[Hygiene Kit])</f>
        <v>0</v>
      </c>
      <c r="Z18" s="352">
        <f>IF(NFI_Expiration=1,IF($A18&lt;VLOOKUP(I$5,NFI,5,0),1,0)*Table_NFI[[#This Row],[NFI Core Kit]],Table_NFI[NFI Core Kit])</f>
        <v>0</v>
      </c>
      <c r="AA18" s="352">
        <f>IF(NFI_Expiration=1,IF($A18&lt;VLOOKUP(J$5,NFI,5,0),1,0)*Table_NFI[[#This Row],[Sanitary Kit]],Table_NFI[Sanitary Kit])</f>
        <v>0</v>
      </c>
      <c r="AB18" s="352">
        <f>IF(NFI_Expiration=1,IF($A18&lt;VLOOKUP(K$5,NFI,5,0),1,0)*Table_NFI[[#This Row],[Mosquito net]],Table_NFI[Mosquito net])</f>
        <v>0</v>
      </c>
      <c r="AC18" s="352">
        <f>IF(NFI_Expiration=1,IF($A18&lt;VLOOKUP(L$5,NFI,5,0),1,0)*Table_NFI[[#This Row],[Tarpaulin]],Table_NFI[[#This Row],[Tarpaulin]])</f>
        <v>0</v>
      </c>
      <c r="AD18" s="352">
        <f>IF(NFI_Expiration=1,IF($A18&lt;VLOOKUP(M$5,NFI,5,0),1,0)*Table_NFI[[#This Row],[Blanket]],Table_NFI[[#This Row],[Blanket]])</f>
        <v>0</v>
      </c>
      <c r="AE18" s="352">
        <f>IF(NFI_Expiration=1,IF($A18&lt;VLOOKUP(N$5,NFI,5,0),1,0)*Table_NFI[[#This Row],[Kitchen Set]],Table_NFI[Kitchen Set])</f>
        <v>0</v>
      </c>
      <c r="AF18" s="352">
        <f>IF(NFI_Expiration=1,IF($A18&lt;VLOOKUP(O$5,NFI,5,0),1,0)*Table_NFI[[#This Row],[Clothes Kit]],Table_NFI[Clothes Kit])</f>
        <v>0</v>
      </c>
      <c r="AG18" s="352">
        <f>IF(NFI_Expiration=1,IF($A18&lt;VLOOKUP(P$5,NFI,5,0),1,0)*Table_NFI[[#This Row],[Plastic Bucket]],Table_NFI[Plastic Bucket])</f>
        <v>0</v>
      </c>
      <c r="AH18" s="352">
        <f>IF(NFI_Expiration=1,IF($A18&lt;VLOOKUP(Q$5,NFI,5,0),1,0)*Table_NFI[[#This Row],[Plastic Mat]],Table_NFI[Plastic Mat])*IF(Table_NFI[[#This Row],[Distribution Date]]&gt;"2014-04-01",1,2.5)</f>
        <v>0</v>
      </c>
      <c r="AI18" s="352">
        <f>IF(NFI_Expiration=1,IF($A18&lt;VLOOKUP(R$5,NFI,5,0),1,0)*Table_NFI[[#This Row],[Winter Clothes Adult]],Table_NFI[Winter Clothes Adult])</f>
        <v>0</v>
      </c>
      <c r="AJ18" s="352">
        <f>IF(NFI_Expiration=1,IF($A18&lt;VLOOKUP(S$5,NFI,5,0),1,0)*Table_NFI[[#This Row],[Winter Clothes Children]],Table_NFI[Winter Clothes Children])</f>
        <v>0</v>
      </c>
      <c r="AK18" s="352">
        <f>IF(NFI_Expiration=1,IF($A18&lt;VLOOKUP(T$5,NFI,5,0),1,0)*Table_NFI[[#This Row],[Winter Items Other]],Table_NFI[Winter Items Other])</f>
        <v>0</v>
      </c>
      <c r="AL18" s="352">
        <f>IF(NFI_Expiration=1,IF($A18&lt;VLOOKUP(M$5,NFI,5,0),1,0)*Table_NFI[[#This Row],[Winter Blanket]],Table_NFI[[#This Row],[Winter Blanket]])</f>
        <v>0</v>
      </c>
      <c r="AM18" s="352">
        <f>IF(Table_NFI[[#This Row],[Winter Clothes Adult]]+Table_NFI[[#This Row],[Winter Clothes Children]]+Table_NFI[[#This Row],[Winter Items Other]]+Table_NFI[[#This Row],[Winter Blanket]]&gt;0,1,0)</f>
        <v>1</v>
      </c>
      <c r="AN18" s="392">
        <f>IF(NFI_Expiration=1,IF($A18&lt;VLOOKUP(V$5,NFI,5,0),1,0)*Table_NFI[[#This Row],[Jerry Can]],Table_NFI[Jerry Can])</f>
        <v>0</v>
      </c>
      <c r="AO18" s="540" t="str">
        <f>IFERROR(VLOOKUP(Table_NFI[[#This Row],[Camp Name]],CL,2,0),"")</f>
        <v>MMR001CMP168</v>
      </c>
      <c r="AP18" s="535">
        <f ca="1">IF(Table_NFI[[#This Row],[Pcode]]="","",IF(OFFSET(CampList[Opening Date],MATCH(Table_NFI[[#This Row],[Pcode]],CampList[CP_Pcode],0)-1,0,1,1)&gt;=NFI_Monitor_Date,1,0))</f>
        <v>0</v>
      </c>
      <c r="AQ18" s="540" t="str">
        <f>IFERROR(VLOOKUP(Table_NFI[[#This Row],[Camp Name]],CL,3,0),"")</f>
        <v>Open</v>
      </c>
      <c r="AR18" s="352" t="str">
        <f ca="1">IF(Table_NFI[[#This Row],[Pcode]]="","",OFFSET(CampList[Priority],MATCH(Table_NFI[[#This Row],[Pcode]],CampList[CP_Pcode],0)-1,0,1,1))</f>
        <v>P4</v>
      </c>
      <c r="AS18" s="351">
        <f>IFERROR(Table_NFI[[#This Row],[Kitchen Set]]/VLOOKUP(Table_NFI[[#This Row],[Camp Name]],CL,4,0),"")</f>
        <v>0</v>
      </c>
      <c r="AT18" s="533"/>
      <c r="AU18" s="536"/>
    </row>
    <row r="19" spans="1:47" s="537" customFormat="1" ht="15" customHeight="1" x14ac:dyDescent="0.25">
      <c r="A19" s="567">
        <f t="shared" si="0"/>
        <v>4.8</v>
      </c>
      <c r="B19" s="532">
        <v>42427</v>
      </c>
      <c r="C19" s="538" t="s">
        <v>453</v>
      </c>
      <c r="D19" s="538" t="s">
        <v>461</v>
      </c>
      <c r="E19" s="533" t="s">
        <v>380</v>
      </c>
      <c r="F19" s="533" t="s">
        <v>310</v>
      </c>
      <c r="G19" s="538" t="s">
        <v>1246</v>
      </c>
      <c r="H19" s="569"/>
      <c r="I19" s="569"/>
      <c r="J19" s="569"/>
      <c r="K19" s="569"/>
      <c r="L19" s="569"/>
      <c r="M19" s="569"/>
      <c r="N19" s="569"/>
      <c r="O19" s="569"/>
      <c r="P19" s="570"/>
      <c r="Q19" s="570"/>
      <c r="R19" s="570"/>
      <c r="S19" s="570">
        <v>670</v>
      </c>
      <c r="T19" s="570"/>
      <c r="U19" s="570"/>
      <c r="V19" s="571"/>
      <c r="W19" s="570"/>
      <c r="X19" s="570"/>
      <c r="Y19" s="570">
        <f>IF(NFI_Expiration=1,IF($A19&lt;VLOOKUP(H$5,NFI,5,0),1,0)*Table_NFI[[#This Row],[Hygiene Kit]],Table_NFI[Hygiene Kit])</f>
        <v>0</v>
      </c>
      <c r="Z19" s="570">
        <f>IF(NFI_Expiration=1,IF($A19&lt;VLOOKUP(I$5,NFI,5,0),1,0)*Table_NFI[[#This Row],[NFI Core Kit]],Table_NFI[NFI Core Kit])</f>
        <v>0</v>
      </c>
      <c r="AA19" s="570">
        <f>IF(NFI_Expiration=1,IF($A19&lt;VLOOKUP(J$5,NFI,5,0),1,0)*Table_NFI[[#This Row],[Sanitary Kit]],Table_NFI[Sanitary Kit])</f>
        <v>0</v>
      </c>
      <c r="AB19" s="570">
        <f>IF(NFI_Expiration=1,IF($A19&lt;VLOOKUP(K$5,NFI,5,0),1,0)*Table_NFI[[#This Row],[Mosquito net]],Table_NFI[Mosquito net])</f>
        <v>0</v>
      </c>
      <c r="AC19" s="570">
        <f>IF(NFI_Expiration=1,IF($A19&lt;VLOOKUP(L$5,NFI,5,0),1,0)*Table_NFI[[#This Row],[Tarpaulin]],Table_NFI[[#This Row],[Tarpaulin]])</f>
        <v>0</v>
      </c>
      <c r="AD19" s="570">
        <f>IF(NFI_Expiration=1,IF($A19&lt;VLOOKUP(M$5,NFI,5,0),1,0)*Table_NFI[[#This Row],[Blanket]],Table_NFI[[#This Row],[Blanket]])</f>
        <v>0</v>
      </c>
      <c r="AE19" s="570">
        <f>IF(NFI_Expiration=1,IF($A19&lt;VLOOKUP(N$5,NFI,5,0),1,0)*Table_NFI[[#This Row],[Kitchen Set]],Table_NFI[Kitchen Set])</f>
        <v>0</v>
      </c>
      <c r="AF19" s="570">
        <f>IF(NFI_Expiration=1,IF($A19&lt;VLOOKUP(O$5,NFI,5,0),1,0)*Table_NFI[[#This Row],[Clothes Kit]],Table_NFI[Clothes Kit])</f>
        <v>0</v>
      </c>
      <c r="AG19" s="570">
        <f>IF(NFI_Expiration=1,IF($A19&lt;VLOOKUP(P$5,NFI,5,0),1,0)*Table_NFI[[#This Row],[Plastic Bucket]],Table_NFI[Plastic Bucket])</f>
        <v>0</v>
      </c>
      <c r="AH19" s="570">
        <f>IF(NFI_Expiration=1,IF($A19&lt;VLOOKUP(Q$5,NFI,5,0),1,0)*Table_NFI[[#This Row],[Plastic Mat]],Table_NFI[Plastic Mat])*IF(Table_NFI[[#This Row],[Distribution Date]]&gt;"2014-04-01",1,2.5)</f>
        <v>0</v>
      </c>
      <c r="AI19" s="570">
        <f>IF(NFI_Expiration=1,IF($A19&lt;VLOOKUP(R$5,NFI,5,0),1,0)*Table_NFI[[#This Row],[Winter Clothes Adult]],Table_NFI[Winter Clothes Adult])</f>
        <v>0</v>
      </c>
      <c r="AJ19" s="570">
        <f>IF(NFI_Expiration=1,IF($A19&lt;VLOOKUP(S$5,NFI,5,0),1,0)*Table_NFI[[#This Row],[Winter Clothes Children]],Table_NFI[Winter Clothes Children])</f>
        <v>670</v>
      </c>
      <c r="AK19" s="570">
        <f>IF(NFI_Expiration=1,IF($A19&lt;VLOOKUP(T$5,NFI,5,0),1,0)*Table_NFI[[#This Row],[Winter Items Other]],Table_NFI[Winter Items Other])</f>
        <v>0</v>
      </c>
      <c r="AL19" s="570">
        <f>IF(NFI_Expiration=1,IF($A19&lt;VLOOKUP(M$5,NFI,5,0),1,0)*Table_NFI[[#This Row],[Winter Blanket]],Table_NFI[[#This Row],[Winter Blanket]])</f>
        <v>0</v>
      </c>
      <c r="AM19" s="570">
        <f>IF(Table_NFI[[#This Row],[Winter Clothes Adult]]+Table_NFI[[#This Row],[Winter Clothes Children]]+Table_NFI[[#This Row],[Winter Items Other]]+Table_NFI[[#This Row],[Winter Blanket]]&gt;0,1,0)</f>
        <v>1</v>
      </c>
      <c r="AN19" s="572">
        <f>IF(NFI_Expiration=1,IF($A19&lt;VLOOKUP(V$5,NFI,5,0),1,0)*Table_NFI[[#This Row],[Jerry Can]],Table_NFI[Jerry Can])</f>
        <v>0</v>
      </c>
      <c r="AO19" s="573" t="str">
        <f>IFERROR(VLOOKUP(Table_NFI[[#This Row],[Camp Name]],CL,2,0),"")</f>
        <v>MMR001CMP120</v>
      </c>
      <c r="AP19" s="574">
        <f ca="1">IF(Table_NFI[[#This Row],[Pcode]]="","",IF(OFFSET(CampList[Opening Date],MATCH(Table_NFI[[#This Row],[Pcode]],CampList[CP_Pcode],0)-1,0,1,1)&gt;=NFI_Monitor_Date,1,0))</f>
        <v>0</v>
      </c>
      <c r="AQ19" s="573" t="str">
        <f>IFERROR(VLOOKUP(Table_NFI[[#This Row],[Camp Name]],CL,3,0),"")</f>
        <v>Open</v>
      </c>
      <c r="AR19" s="570" t="str">
        <f ca="1">IF(Table_NFI[[#This Row],[Pcode]]="","",OFFSET(CampList[Priority],MATCH(Table_NFI[[#This Row],[Pcode]],CampList[CP_Pcode],0)-1,0,1,1))</f>
        <v>P1</v>
      </c>
      <c r="AS19" s="575">
        <f>IFERROR(Table_NFI[[#This Row],[Kitchen Set]]/VLOOKUP(Table_NFI[[#This Row],[Camp Name]],CL,4,0),"")</f>
        <v>0</v>
      </c>
      <c r="AT19" s="568"/>
      <c r="AU19" s="579"/>
    </row>
    <row r="20" spans="1:47" s="537" customFormat="1" ht="15" hidden="1" customHeight="1" x14ac:dyDescent="0.25">
      <c r="A20" s="355">
        <f t="shared" si="0"/>
        <v>42.06666666666667</v>
      </c>
      <c r="B20" s="532">
        <v>41309</v>
      </c>
      <c r="C20" s="533" t="s">
        <v>902</v>
      </c>
      <c r="D20" s="534" t="s">
        <v>902</v>
      </c>
      <c r="E20" s="533" t="s">
        <v>380</v>
      </c>
      <c r="F20" s="348" t="s">
        <v>528</v>
      </c>
      <c r="G20" s="348" t="s">
        <v>120</v>
      </c>
      <c r="H20" s="349"/>
      <c r="I20" s="349"/>
      <c r="J20" s="349"/>
      <c r="K20" s="349"/>
      <c r="L20" s="350"/>
      <c r="M20" s="350"/>
      <c r="N20" s="350">
        <v>117</v>
      </c>
      <c r="O20" s="350"/>
      <c r="P20" s="352">
        <v>0</v>
      </c>
      <c r="Q20" s="352">
        <v>0</v>
      </c>
      <c r="R20" s="352"/>
      <c r="S20" s="352"/>
      <c r="T20" s="352"/>
      <c r="U20" s="352"/>
      <c r="V20" s="497"/>
      <c r="W20" s="352"/>
      <c r="X20" s="352"/>
      <c r="Y20" s="352">
        <f>IF(NFI_Expiration=1,IF($A20&lt;VLOOKUP(H$5,NFI,5,0),1,0)*Table_NFI[[#This Row],[Hygiene Kit]],Table_NFI[Hygiene Kit])</f>
        <v>0</v>
      </c>
      <c r="Z20" s="352">
        <f>IF(NFI_Expiration=1,IF($A20&lt;VLOOKUP(I$5,NFI,5,0),1,0)*Table_NFI[[#This Row],[NFI Core Kit]],Table_NFI[NFI Core Kit])</f>
        <v>0</v>
      </c>
      <c r="AA20" s="352">
        <f>IF(NFI_Expiration=1,IF($A20&lt;VLOOKUP(J$5,NFI,5,0),1,0)*Table_NFI[[#This Row],[Sanitary Kit]],Table_NFI[Sanitary Kit])</f>
        <v>0</v>
      </c>
      <c r="AB20" s="352">
        <f>IF(NFI_Expiration=1,IF($A20&lt;VLOOKUP(K$5,NFI,5,0),1,0)*Table_NFI[[#This Row],[Mosquito net]],Table_NFI[Mosquito net])</f>
        <v>0</v>
      </c>
      <c r="AC20" s="352">
        <f>IF(NFI_Expiration=1,IF($A20&lt;VLOOKUP(L$5,NFI,5,0),1,0)*Table_NFI[[#This Row],[Tarpaulin]],Table_NFI[[#This Row],[Tarpaulin]])</f>
        <v>0</v>
      </c>
      <c r="AD20" s="352">
        <f>IF(NFI_Expiration=1,IF($A20&lt;VLOOKUP(M$5,NFI,5,0),1,0)*Table_NFI[[#This Row],[Blanket]],Table_NFI[[#This Row],[Blanket]])</f>
        <v>0</v>
      </c>
      <c r="AE20" s="352">
        <f>IF(NFI_Expiration=1,IF($A20&lt;VLOOKUP(N$5,NFI,5,0),1,0)*Table_NFI[[#This Row],[Kitchen Set]],Table_NFI[Kitchen Set])</f>
        <v>0</v>
      </c>
      <c r="AF20" s="352">
        <f>IF(NFI_Expiration=1,IF($A20&lt;VLOOKUP(O$5,NFI,5,0),1,0)*Table_NFI[[#This Row],[Clothes Kit]],Table_NFI[Clothes Kit])</f>
        <v>0</v>
      </c>
      <c r="AG20" s="352">
        <f>IF(NFI_Expiration=1,IF($A20&lt;VLOOKUP(P$5,NFI,5,0),1,0)*Table_NFI[[#This Row],[Plastic Bucket]],Table_NFI[Plastic Bucket])</f>
        <v>0</v>
      </c>
      <c r="AH20" s="352">
        <f>IF(NFI_Expiration=1,IF($A20&lt;VLOOKUP(Q$5,NFI,5,0),1,0)*Table_NFI[[#This Row],[Plastic Mat]],Table_NFI[Plastic Mat])*IF(Table_NFI[[#This Row],[Distribution Date]]&gt;"2014-04-01",1,2.5)</f>
        <v>0</v>
      </c>
      <c r="AI20" s="352">
        <f>IF(NFI_Expiration=1,IF($A20&lt;VLOOKUP(R$5,NFI,5,0),1,0)*Table_NFI[[#This Row],[Winter Clothes Adult]],Table_NFI[Winter Clothes Adult])</f>
        <v>0</v>
      </c>
      <c r="AJ20" s="352">
        <f>IF(NFI_Expiration=1,IF($A20&lt;VLOOKUP(S$5,NFI,5,0),1,0)*Table_NFI[[#This Row],[Winter Clothes Children]],Table_NFI[Winter Clothes Children])</f>
        <v>0</v>
      </c>
      <c r="AK20" s="352">
        <f>IF(NFI_Expiration=1,IF($A20&lt;VLOOKUP(T$5,NFI,5,0),1,0)*Table_NFI[[#This Row],[Winter Items Other]],Table_NFI[Winter Items Other])</f>
        <v>0</v>
      </c>
      <c r="AL20" s="352">
        <f>IF(NFI_Expiration=1,IF($A20&lt;VLOOKUP(M$5,NFI,5,0),1,0)*Table_NFI[[#This Row],[Winter Blanket]],Table_NFI[[#This Row],[Winter Blanket]])</f>
        <v>0</v>
      </c>
      <c r="AM20" s="352">
        <f>IF(Table_NFI[[#This Row],[Winter Clothes Adult]]+Table_NFI[[#This Row],[Winter Clothes Children]]+Table_NFI[[#This Row],[Winter Items Other]]+Table_NFI[[#This Row],[Winter Blanket]]&gt;0,1,0)</f>
        <v>0</v>
      </c>
      <c r="AN20" s="392">
        <f>IF(NFI_Expiration=1,IF($A20&lt;VLOOKUP(V$5,NFI,5,0),1,0)*Table_NFI[[#This Row],[Jerry Can]],Table_NFI[Jerry Can])</f>
        <v>0</v>
      </c>
      <c r="AO20" s="540" t="str">
        <f>IFERROR(VLOOKUP(Table_NFI[[#This Row],[Camp Name]],CL,2,0),"")</f>
        <v>MMR001CMP168</v>
      </c>
      <c r="AP20" s="535">
        <f ca="1">IF(Table_NFI[[#This Row],[Pcode]]="","",IF(OFFSET(CampList[Opening Date],MATCH(Table_NFI[[#This Row],[Pcode]],CampList[CP_Pcode],0)-1,0,1,1)&gt;=NFI_Monitor_Date,1,0))</f>
        <v>0</v>
      </c>
      <c r="AQ20" s="540" t="str">
        <f>IFERROR(VLOOKUP(Table_NFI[[#This Row],[Camp Name]],CL,3,0),"")</f>
        <v>Open</v>
      </c>
      <c r="AR20" s="352" t="str">
        <f ca="1">IF(Table_NFI[[#This Row],[Pcode]]="","",OFFSET(CampList[Priority],MATCH(Table_NFI[[#This Row],[Pcode]],CampList[CP_Pcode],0)-1,0,1,1))</f>
        <v>P4</v>
      </c>
      <c r="AS20" s="351">
        <f>IFERROR(Table_NFI[[#This Row],[Kitchen Set]]/VLOOKUP(Table_NFI[[#This Row],[Camp Name]],CL,4,0),"")</f>
        <v>1.5194805194805194</v>
      </c>
      <c r="AT20" s="533" t="s">
        <v>1094</v>
      </c>
      <c r="AU20" s="536"/>
    </row>
    <row r="21" spans="1:47" s="537" customFormat="1" ht="15" hidden="1" customHeight="1" x14ac:dyDescent="0.25">
      <c r="A21" s="355">
        <f t="shared" si="0"/>
        <v>43.233333333333334</v>
      </c>
      <c r="B21" s="532">
        <v>41274</v>
      </c>
      <c r="C21" s="533" t="s">
        <v>454</v>
      </c>
      <c r="D21" s="534" t="s">
        <v>454</v>
      </c>
      <c r="E21" s="533" t="s">
        <v>380</v>
      </c>
      <c r="F21" s="348" t="s">
        <v>528</v>
      </c>
      <c r="G21" s="348" t="s">
        <v>120</v>
      </c>
      <c r="H21" s="349">
        <v>19</v>
      </c>
      <c r="I21" s="349"/>
      <c r="J21" s="349"/>
      <c r="K21" s="349"/>
      <c r="L21" s="350"/>
      <c r="M21" s="350"/>
      <c r="N21" s="350"/>
      <c r="O21" s="350"/>
      <c r="P21" s="352">
        <v>0</v>
      </c>
      <c r="Q21" s="352">
        <v>0</v>
      </c>
      <c r="R21" s="352"/>
      <c r="S21" s="352"/>
      <c r="T21" s="352"/>
      <c r="U21" s="352"/>
      <c r="V21" s="497"/>
      <c r="W21" s="352"/>
      <c r="X21" s="352"/>
      <c r="Y21" s="352">
        <f>IF(NFI_Expiration=1,IF($A21&lt;VLOOKUP(H$5,NFI,5,0),1,0)*Table_NFI[[#This Row],[Hygiene Kit]],Table_NFI[Hygiene Kit])</f>
        <v>0</v>
      </c>
      <c r="Z21" s="352">
        <f>IF(NFI_Expiration=1,IF($A21&lt;VLOOKUP(I$5,NFI,5,0),1,0)*Table_NFI[[#This Row],[NFI Core Kit]],Table_NFI[NFI Core Kit])</f>
        <v>0</v>
      </c>
      <c r="AA21" s="352">
        <f>IF(NFI_Expiration=1,IF($A21&lt;VLOOKUP(J$5,NFI,5,0),1,0)*Table_NFI[[#This Row],[Sanitary Kit]],Table_NFI[Sanitary Kit])</f>
        <v>0</v>
      </c>
      <c r="AB21" s="352">
        <f>IF(NFI_Expiration=1,IF($A21&lt;VLOOKUP(K$5,NFI,5,0),1,0)*Table_NFI[[#This Row],[Mosquito net]],Table_NFI[Mosquito net])</f>
        <v>0</v>
      </c>
      <c r="AC21" s="352">
        <f>IF(NFI_Expiration=1,IF($A21&lt;VLOOKUP(L$5,NFI,5,0),1,0)*Table_NFI[[#This Row],[Tarpaulin]],Table_NFI[[#This Row],[Tarpaulin]])</f>
        <v>0</v>
      </c>
      <c r="AD21" s="352">
        <f>IF(NFI_Expiration=1,IF($A21&lt;VLOOKUP(M$5,NFI,5,0),1,0)*Table_NFI[[#This Row],[Blanket]],Table_NFI[[#This Row],[Blanket]])</f>
        <v>0</v>
      </c>
      <c r="AE21" s="352">
        <f>IF(NFI_Expiration=1,IF($A21&lt;VLOOKUP(N$5,NFI,5,0),1,0)*Table_NFI[[#This Row],[Kitchen Set]],Table_NFI[Kitchen Set])</f>
        <v>0</v>
      </c>
      <c r="AF21" s="352">
        <f>IF(NFI_Expiration=1,IF($A21&lt;VLOOKUP(O$5,NFI,5,0),1,0)*Table_NFI[[#This Row],[Clothes Kit]],Table_NFI[Clothes Kit])</f>
        <v>0</v>
      </c>
      <c r="AG21" s="352">
        <f>IF(NFI_Expiration=1,IF($A21&lt;VLOOKUP(P$5,NFI,5,0),1,0)*Table_NFI[[#This Row],[Plastic Bucket]],Table_NFI[Plastic Bucket])</f>
        <v>0</v>
      </c>
      <c r="AH21" s="352">
        <f>IF(NFI_Expiration=1,IF($A21&lt;VLOOKUP(Q$5,NFI,5,0),1,0)*Table_NFI[[#This Row],[Plastic Mat]],Table_NFI[Plastic Mat])*IF(Table_NFI[[#This Row],[Distribution Date]]&gt;"2014-04-01",1,2.5)</f>
        <v>0</v>
      </c>
      <c r="AI21" s="352">
        <f>IF(NFI_Expiration=1,IF($A21&lt;VLOOKUP(R$5,NFI,5,0),1,0)*Table_NFI[[#This Row],[Winter Clothes Adult]],Table_NFI[Winter Clothes Adult])</f>
        <v>0</v>
      </c>
      <c r="AJ21" s="352">
        <f>IF(NFI_Expiration=1,IF($A21&lt;VLOOKUP(S$5,NFI,5,0),1,0)*Table_NFI[[#This Row],[Winter Clothes Children]],Table_NFI[Winter Clothes Children])</f>
        <v>0</v>
      </c>
      <c r="AK21" s="352">
        <f>IF(NFI_Expiration=1,IF($A21&lt;VLOOKUP(T$5,NFI,5,0),1,0)*Table_NFI[[#This Row],[Winter Items Other]],Table_NFI[Winter Items Other])</f>
        <v>0</v>
      </c>
      <c r="AL21" s="352">
        <f>IF(NFI_Expiration=1,IF($A21&lt;VLOOKUP(M$5,NFI,5,0),1,0)*Table_NFI[[#This Row],[Winter Blanket]],Table_NFI[[#This Row],[Winter Blanket]])</f>
        <v>0</v>
      </c>
      <c r="AM21" s="352">
        <f>IF(Table_NFI[[#This Row],[Winter Clothes Adult]]+Table_NFI[[#This Row],[Winter Clothes Children]]+Table_NFI[[#This Row],[Winter Items Other]]+Table_NFI[[#This Row],[Winter Blanket]]&gt;0,1,0)</f>
        <v>0</v>
      </c>
      <c r="AN21" s="392">
        <f>IF(NFI_Expiration=1,IF($A21&lt;VLOOKUP(V$5,NFI,5,0),1,0)*Table_NFI[[#This Row],[Jerry Can]],Table_NFI[Jerry Can])</f>
        <v>0</v>
      </c>
      <c r="AO21" s="540" t="str">
        <f>IFERROR(VLOOKUP(Table_NFI[[#This Row],[Camp Name]],CL,2,0),"")</f>
        <v>MMR001CMP168</v>
      </c>
      <c r="AP21" s="535">
        <f ca="1">IF(Table_NFI[[#This Row],[Pcode]]="","",IF(OFFSET(CampList[Opening Date],MATCH(Table_NFI[[#This Row],[Pcode]],CampList[CP_Pcode],0)-1,0,1,1)&gt;=NFI_Monitor_Date,1,0))</f>
        <v>0</v>
      </c>
      <c r="AQ21" s="540" t="str">
        <f>IFERROR(VLOOKUP(Table_NFI[[#This Row],[Camp Name]],CL,3,0),"")</f>
        <v>Open</v>
      </c>
      <c r="AR21" s="352" t="str">
        <f ca="1">IF(Table_NFI[[#This Row],[Pcode]]="","",OFFSET(CampList[Priority],MATCH(Table_NFI[[#This Row],[Pcode]],CampList[CP_Pcode],0)-1,0,1,1))</f>
        <v>P4</v>
      </c>
      <c r="AS21" s="351">
        <f>IFERROR(Table_NFI[[#This Row],[Kitchen Set]]/VLOOKUP(Table_NFI[[#This Row],[Camp Name]],CL,4,0),"")</f>
        <v>0</v>
      </c>
      <c r="AT21" s="533" t="s">
        <v>1094</v>
      </c>
      <c r="AU21" s="536"/>
    </row>
    <row r="22" spans="1:47" s="537" customFormat="1" ht="15" customHeight="1" x14ac:dyDescent="0.25">
      <c r="A22" s="567">
        <f t="shared" si="0"/>
        <v>4.9666666666666668</v>
      </c>
      <c r="B22" s="532">
        <v>42422</v>
      </c>
      <c r="C22" s="533" t="s">
        <v>453</v>
      </c>
      <c r="D22" s="533" t="s">
        <v>461</v>
      </c>
      <c r="E22" s="533" t="s">
        <v>554</v>
      </c>
      <c r="F22" s="533" t="s">
        <v>146</v>
      </c>
      <c r="G22" s="533"/>
      <c r="H22" s="569"/>
      <c r="I22" s="569"/>
      <c r="J22" s="569"/>
      <c r="K22" s="569"/>
      <c r="L22" s="569"/>
      <c r="M22" s="569"/>
      <c r="N22" s="569"/>
      <c r="O22" s="569"/>
      <c r="P22" s="570"/>
      <c r="Q22" s="570"/>
      <c r="R22" s="570"/>
      <c r="S22" s="570"/>
      <c r="T22" s="570"/>
      <c r="U22" s="570"/>
      <c r="V22" s="571"/>
      <c r="W22" s="570"/>
      <c r="X22" s="570">
        <v>71</v>
      </c>
      <c r="Y22" s="570">
        <f>IF(NFI_Expiration=1,IF($A22&lt;VLOOKUP(H$5,NFI,5,0),1,0)*Table_NFI[[#This Row],[Hygiene Kit]],Table_NFI[Hygiene Kit])</f>
        <v>0</v>
      </c>
      <c r="Z22" s="570">
        <f>IF(NFI_Expiration=1,IF($A22&lt;VLOOKUP(I$5,NFI,5,0),1,0)*Table_NFI[[#This Row],[NFI Core Kit]],Table_NFI[NFI Core Kit])</f>
        <v>0</v>
      </c>
      <c r="AA22" s="570">
        <f>IF(NFI_Expiration=1,IF($A22&lt;VLOOKUP(J$5,NFI,5,0),1,0)*Table_NFI[[#This Row],[Sanitary Kit]],Table_NFI[Sanitary Kit])</f>
        <v>0</v>
      </c>
      <c r="AB22" s="570">
        <f>IF(NFI_Expiration=1,IF($A22&lt;VLOOKUP(K$5,NFI,5,0),1,0)*Table_NFI[[#This Row],[Mosquito net]],Table_NFI[Mosquito net])</f>
        <v>0</v>
      </c>
      <c r="AC22" s="570">
        <f>IF(NFI_Expiration=1,IF($A22&lt;VLOOKUP(L$5,NFI,5,0),1,0)*Table_NFI[[#This Row],[Tarpaulin]],Table_NFI[[#This Row],[Tarpaulin]])</f>
        <v>0</v>
      </c>
      <c r="AD22" s="570">
        <f>IF(NFI_Expiration=1,IF($A22&lt;VLOOKUP(M$5,NFI,5,0),1,0)*Table_NFI[[#This Row],[Blanket]],Table_NFI[[#This Row],[Blanket]])</f>
        <v>0</v>
      </c>
      <c r="AE22" s="570">
        <f>IF(NFI_Expiration=1,IF($A22&lt;VLOOKUP(N$5,NFI,5,0),1,0)*Table_NFI[[#This Row],[Kitchen Set]],Table_NFI[Kitchen Set])</f>
        <v>0</v>
      </c>
      <c r="AF22" s="570">
        <f>IF(NFI_Expiration=1,IF($A22&lt;VLOOKUP(O$5,NFI,5,0),1,0)*Table_NFI[[#This Row],[Clothes Kit]],Table_NFI[Clothes Kit])</f>
        <v>0</v>
      </c>
      <c r="AG22" s="570">
        <f>IF(NFI_Expiration=1,IF($A22&lt;VLOOKUP(P$5,NFI,5,0),1,0)*Table_NFI[[#This Row],[Plastic Bucket]],Table_NFI[Plastic Bucket])</f>
        <v>0</v>
      </c>
      <c r="AH22" s="570">
        <f>IF(NFI_Expiration=1,IF($A22&lt;VLOOKUP(Q$5,NFI,5,0),1,0)*Table_NFI[[#This Row],[Plastic Mat]],Table_NFI[Plastic Mat])*IF(Table_NFI[[#This Row],[Distribution Date]]&gt;"2014-04-01",1,2.5)</f>
        <v>0</v>
      </c>
      <c r="AI22" s="570">
        <f>IF(NFI_Expiration=1,IF($A22&lt;VLOOKUP(R$5,NFI,5,0),1,0)*Table_NFI[[#This Row],[Winter Clothes Adult]],Table_NFI[Winter Clothes Adult])</f>
        <v>0</v>
      </c>
      <c r="AJ22" s="570">
        <f>IF(NFI_Expiration=1,IF($A22&lt;VLOOKUP(S$5,NFI,5,0),1,0)*Table_NFI[[#This Row],[Winter Clothes Children]],Table_NFI[Winter Clothes Children])</f>
        <v>0</v>
      </c>
      <c r="AK22" s="570">
        <f>IF(NFI_Expiration=1,IF($A22&lt;VLOOKUP(T$5,NFI,5,0),1,0)*Table_NFI[[#This Row],[Winter Items Other]],Table_NFI[Winter Items Other])</f>
        <v>0</v>
      </c>
      <c r="AL22" s="570">
        <f>IF(NFI_Expiration=1,IF($A22&lt;VLOOKUP(M$5,NFI,5,0),1,0)*Table_NFI[[#This Row],[Winter Blanket]],Table_NFI[[#This Row],[Winter Blanket]])</f>
        <v>0</v>
      </c>
      <c r="AM22" s="570">
        <f>IF(Table_NFI[[#This Row],[Winter Clothes Adult]]+Table_NFI[[#This Row],[Winter Clothes Children]]+Table_NFI[[#This Row],[Winter Items Other]]+Table_NFI[[#This Row],[Winter Blanket]]&gt;0,1,0)</f>
        <v>0</v>
      </c>
      <c r="AN22" s="572">
        <f>IF(NFI_Expiration=1,IF($A22&lt;VLOOKUP(V$5,NFI,5,0),1,0)*Table_NFI[[#This Row],[Jerry Can]],Table_NFI[Jerry Can])</f>
        <v>0</v>
      </c>
      <c r="AO22" s="573" t="str">
        <f>IFERROR(VLOOKUP(Table_NFI[[#This Row],[Camp Name]],CL,2,0),"")</f>
        <v/>
      </c>
      <c r="AP22" s="574" t="str">
        <f ca="1">IF(Table_NFI[[#This Row],[Pcode]]="","",IF(OFFSET(CampList[Opening Date],MATCH(Table_NFI[[#This Row],[Pcode]],CampList[CP_Pcode],0)-1,0,1,1)&gt;=NFI_Monitor_Date,1,0))</f>
        <v/>
      </c>
      <c r="AQ22" s="573" t="str">
        <f>IFERROR(VLOOKUP(Table_NFI[[#This Row],[Camp Name]],CL,3,0),"")</f>
        <v/>
      </c>
      <c r="AR22" s="570" t="str">
        <f ca="1">IF(Table_NFI[[#This Row],[Pcode]]="","",OFFSET(CampList[Priority],MATCH(Table_NFI[[#This Row],[Pcode]],CampList[CP_Pcode],0)-1,0,1,1))</f>
        <v/>
      </c>
      <c r="AS22" s="575" t="str">
        <f>IFERROR(Table_NFI[[#This Row],[Kitchen Set]]/VLOOKUP(Table_NFI[[#This Row],[Camp Name]],CL,4,0),"")</f>
        <v/>
      </c>
      <c r="AT22" s="568"/>
      <c r="AU22" s="579" t="s">
        <v>1388</v>
      </c>
    </row>
    <row r="23" spans="1:47" s="537" customFormat="1" ht="15" customHeight="1" x14ac:dyDescent="0.25">
      <c r="A23" s="567">
        <f t="shared" si="0"/>
        <v>6.4666666666666668</v>
      </c>
      <c r="B23" s="532">
        <v>42377</v>
      </c>
      <c r="C23" s="538" t="s">
        <v>453</v>
      </c>
      <c r="D23" s="538" t="s">
        <v>461</v>
      </c>
      <c r="E23" s="533" t="s">
        <v>554</v>
      </c>
      <c r="F23" s="533" t="s">
        <v>298</v>
      </c>
      <c r="G23" s="538" t="s">
        <v>822</v>
      </c>
      <c r="H23" s="569"/>
      <c r="I23" s="569"/>
      <c r="J23" s="569"/>
      <c r="K23" s="569">
        <v>35</v>
      </c>
      <c r="L23" s="569"/>
      <c r="M23" s="569">
        <v>35</v>
      </c>
      <c r="N23" s="569">
        <v>18</v>
      </c>
      <c r="O23" s="569"/>
      <c r="P23" s="570">
        <v>18</v>
      </c>
      <c r="Q23" s="570">
        <v>82</v>
      </c>
      <c r="R23" s="570"/>
      <c r="S23" s="570"/>
      <c r="T23" s="570"/>
      <c r="U23" s="570"/>
      <c r="V23" s="572">
        <v>18</v>
      </c>
      <c r="W23" s="570"/>
      <c r="X23" s="570"/>
      <c r="Y23" s="570">
        <f>IF(NFI_Expiration=1,IF($A23&lt;VLOOKUP(H$5,NFI,5,0),1,0)*Table_NFI[[#This Row],[Hygiene Kit]],Table_NFI[Hygiene Kit])</f>
        <v>0</v>
      </c>
      <c r="Z23" s="570">
        <f>IF(NFI_Expiration=1,IF($A23&lt;VLOOKUP(I$5,NFI,5,0),1,0)*Table_NFI[[#This Row],[NFI Core Kit]],Table_NFI[NFI Core Kit])</f>
        <v>0</v>
      </c>
      <c r="AA23" s="570">
        <f>IF(NFI_Expiration=1,IF($A23&lt;VLOOKUP(J$5,NFI,5,0),1,0)*Table_NFI[[#This Row],[Sanitary Kit]],Table_NFI[Sanitary Kit])</f>
        <v>0</v>
      </c>
      <c r="AB23" s="570">
        <f>IF(NFI_Expiration=1,IF($A23&lt;VLOOKUP(K$5,NFI,5,0),1,0)*Table_NFI[[#This Row],[Mosquito net]],Table_NFI[Mosquito net])</f>
        <v>35</v>
      </c>
      <c r="AC23" s="570">
        <f>IF(NFI_Expiration=1,IF($A23&lt;VLOOKUP(L$5,NFI,5,0),1,0)*Table_NFI[[#This Row],[Tarpaulin]],Table_NFI[[#This Row],[Tarpaulin]])</f>
        <v>0</v>
      </c>
      <c r="AD23" s="570">
        <f>IF(NFI_Expiration=1,IF($A23&lt;VLOOKUP(M$5,NFI,5,0),1,0)*Table_NFI[[#This Row],[Blanket]],Table_NFI[[#This Row],[Blanket]])</f>
        <v>35</v>
      </c>
      <c r="AE23" s="570">
        <f>IF(NFI_Expiration=1,IF($A23&lt;VLOOKUP(N$5,NFI,5,0),1,0)*Table_NFI[[#This Row],[Kitchen Set]],Table_NFI[Kitchen Set])</f>
        <v>18</v>
      </c>
      <c r="AF23" s="570">
        <f>IF(NFI_Expiration=1,IF($A23&lt;VLOOKUP(O$5,NFI,5,0),1,0)*Table_NFI[[#This Row],[Clothes Kit]],Table_NFI[Clothes Kit])</f>
        <v>0</v>
      </c>
      <c r="AG23" s="570">
        <f>IF(NFI_Expiration=1,IF($A23&lt;VLOOKUP(P$5,NFI,5,0),1,0)*Table_NFI[[#This Row],[Plastic Bucket]],Table_NFI[Plastic Bucket])</f>
        <v>18</v>
      </c>
      <c r="AH23" s="570">
        <f>IF(NFI_Expiration=1,IF($A23&lt;VLOOKUP(Q$5,NFI,5,0),1,0)*Table_NFI[[#This Row],[Plastic Mat]],Table_NFI[Plastic Mat])*IF(Table_NFI[[#This Row],[Distribution Date]]&gt;"2014-04-01",1,2.5)</f>
        <v>205</v>
      </c>
      <c r="AI23" s="570">
        <f>IF(NFI_Expiration=1,IF($A23&lt;VLOOKUP(R$5,NFI,5,0),1,0)*Table_NFI[[#This Row],[Winter Clothes Adult]],Table_NFI[Winter Clothes Adult])</f>
        <v>0</v>
      </c>
      <c r="AJ23" s="570">
        <f>IF(NFI_Expiration=1,IF($A23&lt;VLOOKUP(S$5,NFI,5,0),1,0)*Table_NFI[[#This Row],[Winter Clothes Children]],Table_NFI[Winter Clothes Children])</f>
        <v>0</v>
      </c>
      <c r="AK23" s="570">
        <f>IF(NFI_Expiration=1,IF($A23&lt;VLOOKUP(T$5,NFI,5,0),1,0)*Table_NFI[[#This Row],[Winter Items Other]],Table_NFI[Winter Items Other])</f>
        <v>0</v>
      </c>
      <c r="AL23" s="570">
        <f>IF(NFI_Expiration=1,IF($A23&lt;VLOOKUP(M$5,NFI,5,0),1,0)*Table_NFI[[#This Row],[Winter Blanket]],Table_NFI[[#This Row],[Winter Blanket]])</f>
        <v>0</v>
      </c>
      <c r="AM23" s="570">
        <f>IF(Table_NFI[[#This Row],[Winter Clothes Adult]]+Table_NFI[[#This Row],[Winter Clothes Children]]+Table_NFI[[#This Row],[Winter Items Other]]+Table_NFI[[#This Row],[Winter Blanket]]&gt;0,1,0)</f>
        <v>0</v>
      </c>
      <c r="AN23" s="572">
        <f>IF(NFI_Expiration=1,IF($A23&lt;VLOOKUP(V$5,NFI,5,0),1,0)*Table_NFI[[#This Row],[Jerry Can]],Table_NFI[Jerry Can])</f>
        <v>18</v>
      </c>
      <c r="AO23" s="573" t="str">
        <f>IFERROR(VLOOKUP(Table_NFI[[#This Row],[Camp Name]],CL,2,0),"")</f>
        <v>MMR015CMP014</v>
      </c>
      <c r="AP23" s="574">
        <f ca="1">IF(Table_NFI[[#This Row],[Pcode]]="","",IF(OFFSET(CampList[Opening Date],MATCH(Table_NFI[[#This Row],[Pcode]],CampList[CP_Pcode],0)-1,0,1,1)&gt;=NFI_Monitor_Date,1,0))</f>
        <v>0</v>
      </c>
      <c r="AQ23" s="573" t="str">
        <f>IFERROR(VLOOKUP(Table_NFI[[#This Row],[Camp Name]],CL,3,0),"")</f>
        <v>Open</v>
      </c>
      <c r="AR23" s="570" t="str">
        <f ca="1">IF(Table_NFI[[#This Row],[Pcode]]="","",OFFSET(CampList[Priority],MATCH(Table_NFI[[#This Row],[Pcode]],CampList[CP_Pcode],0)-1,0,1,1))</f>
        <v>P3</v>
      </c>
      <c r="AS23" s="575">
        <f>IFERROR(Table_NFI[[#This Row],[Kitchen Set]]/VLOOKUP(Table_NFI[[#This Row],[Camp Name]],CL,4,0),"")</f>
        <v>2</v>
      </c>
      <c r="AT23" s="568"/>
      <c r="AU23" s="579"/>
    </row>
    <row r="24" spans="1:47" s="537" customFormat="1" ht="15" customHeight="1" x14ac:dyDescent="0.25">
      <c r="A24" s="355">
        <f t="shared" si="0"/>
        <v>6.666666666666667</v>
      </c>
      <c r="B24" s="532">
        <v>42371</v>
      </c>
      <c r="C24" s="533" t="s">
        <v>453</v>
      </c>
      <c r="D24" s="533" t="s">
        <v>461</v>
      </c>
      <c r="E24" s="533" t="s">
        <v>554</v>
      </c>
      <c r="F24" s="533" t="s">
        <v>289</v>
      </c>
      <c r="G24" s="533"/>
      <c r="H24" s="349"/>
      <c r="I24" s="349"/>
      <c r="J24" s="349"/>
      <c r="K24" s="352"/>
      <c r="L24" s="350"/>
      <c r="M24" s="350"/>
      <c r="N24" s="350"/>
      <c r="O24" s="350"/>
      <c r="P24" s="352"/>
      <c r="Q24" s="352"/>
      <c r="R24" s="352"/>
      <c r="S24" s="352"/>
      <c r="T24" s="352"/>
      <c r="U24" s="352"/>
      <c r="V24" s="497"/>
      <c r="W24" s="352"/>
      <c r="X24" s="352">
        <v>37</v>
      </c>
      <c r="Y24" s="352">
        <f>IF(NFI_Expiration=1,IF($A24&lt;VLOOKUP(H$5,NFI,5,0),1,0)*Table_NFI[[#This Row],[Hygiene Kit]],Table_NFI[Hygiene Kit])</f>
        <v>0</v>
      </c>
      <c r="Z24" s="352">
        <f>IF(NFI_Expiration=1,IF($A24&lt;VLOOKUP(I$5,NFI,5,0),1,0)*Table_NFI[[#This Row],[NFI Core Kit]],Table_NFI[NFI Core Kit])</f>
        <v>0</v>
      </c>
      <c r="AA24" s="352">
        <f>IF(NFI_Expiration=1,IF($A24&lt;VLOOKUP(J$5,NFI,5,0),1,0)*Table_NFI[[#This Row],[Sanitary Kit]],Table_NFI[Sanitary Kit])</f>
        <v>0</v>
      </c>
      <c r="AB24" s="352">
        <f>IF(NFI_Expiration=1,IF($A24&lt;VLOOKUP(K$5,NFI,5,0),1,0)*Table_NFI[[#This Row],[Mosquito net]],Table_NFI[Mosquito net])</f>
        <v>0</v>
      </c>
      <c r="AC24" s="352">
        <f>IF(NFI_Expiration=1,IF($A24&lt;VLOOKUP(L$5,NFI,5,0),1,0)*Table_NFI[[#This Row],[Tarpaulin]],Table_NFI[[#This Row],[Tarpaulin]])</f>
        <v>0</v>
      </c>
      <c r="AD24" s="352">
        <f>IF(NFI_Expiration=1,IF($A24&lt;VLOOKUP(M$5,NFI,5,0),1,0)*Table_NFI[[#This Row],[Blanket]],Table_NFI[[#This Row],[Blanket]])</f>
        <v>0</v>
      </c>
      <c r="AE24" s="352">
        <f>IF(NFI_Expiration=1,IF($A24&lt;VLOOKUP(N$5,NFI,5,0),1,0)*Table_NFI[[#This Row],[Kitchen Set]],Table_NFI[Kitchen Set])</f>
        <v>0</v>
      </c>
      <c r="AF24" s="352">
        <f>IF(NFI_Expiration=1,IF($A24&lt;VLOOKUP(O$5,NFI,5,0),1,0)*Table_NFI[[#This Row],[Clothes Kit]],Table_NFI[Clothes Kit])</f>
        <v>0</v>
      </c>
      <c r="AG24" s="352">
        <f>IF(NFI_Expiration=1,IF($A24&lt;VLOOKUP(P$5,NFI,5,0),1,0)*Table_NFI[[#This Row],[Plastic Bucket]],Table_NFI[Plastic Bucket])</f>
        <v>0</v>
      </c>
      <c r="AH24" s="352">
        <f>IF(NFI_Expiration=1,IF($A24&lt;VLOOKUP(Q$5,NFI,5,0),1,0)*Table_NFI[[#This Row],[Plastic Mat]],Table_NFI[Plastic Mat])*IF(Table_NFI[[#This Row],[Distribution Date]]&gt;"2014-04-01",1,2.5)</f>
        <v>0</v>
      </c>
      <c r="AI24" s="352">
        <f>IF(NFI_Expiration=1,IF($A24&lt;VLOOKUP(R$5,NFI,5,0),1,0)*Table_NFI[[#This Row],[Winter Clothes Adult]],Table_NFI[Winter Clothes Adult])</f>
        <v>0</v>
      </c>
      <c r="AJ24" s="352">
        <f>IF(NFI_Expiration=1,IF($A24&lt;VLOOKUP(S$5,NFI,5,0),1,0)*Table_NFI[[#This Row],[Winter Clothes Children]],Table_NFI[Winter Clothes Children])</f>
        <v>0</v>
      </c>
      <c r="AK24" s="352">
        <f>IF(NFI_Expiration=1,IF($A24&lt;VLOOKUP(T$5,NFI,5,0),1,0)*Table_NFI[[#This Row],[Winter Items Other]],Table_NFI[Winter Items Other])</f>
        <v>0</v>
      </c>
      <c r="AL24" s="352">
        <f>IF(NFI_Expiration=1,IF($A24&lt;VLOOKUP(M$5,NFI,5,0),1,0)*Table_NFI[[#This Row],[Winter Blanket]],Table_NFI[[#This Row],[Winter Blanket]])</f>
        <v>0</v>
      </c>
      <c r="AM24" s="352">
        <f>IF(Table_NFI[[#This Row],[Winter Clothes Adult]]+Table_NFI[[#This Row],[Winter Clothes Children]]+Table_NFI[[#This Row],[Winter Items Other]]+Table_NFI[[#This Row],[Winter Blanket]]&gt;0,1,0)</f>
        <v>0</v>
      </c>
      <c r="AN24" s="392">
        <f>IF(NFI_Expiration=1,IF($A24&lt;VLOOKUP(V$5,NFI,5,0),1,0)*Table_NFI[[#This Row],[Jerry Can]],Table_NFI[Jerry Can])</f>
        <v>0</v>
      </c>
      <c r="AO24" s="540" t="str">
        <f>IFERROR(VLOOKUP(Table_NFI[[#This Row],[Camp Name]],CL,2,0),"")</f>
        <v/>
      </c>
      <c r="AP24" s="535" t="str">
        <f ca="1">IF(Table_NFI[[#This Row],[Pcode]]="","",IF(OFFSET(CampList[Opening Date],MATCH(Table_NFI[[#This Row],[Pcode]],CampList[CP_Pcode],0)-1,0,1,1)&gt;=NFI_Monitor_Date,1,0))</f>
        <v/>
      </c>
      <c r="AQ24" s="540" t="str">
        <f>IFERROR(VLOOKUP(Table_NFI[[#This Row],[Camp Name]],CL,3,0),"")</f>
        <v/>
      </c>
      <c r="AR24" s="352" t="str">
        <f ca="1">IF(Table_NFI[[#This Row],[Pcode]]="","",OFFSET(CampList[Priority],MATCH(Table_NFI[[#This Row],[Pcode]],CampList[CP_Pcode],0)-1,0,1,1))</f>
        <v/>
      </c>
      <c r="AS24" s="575" t="str">
        <f>IFERROR(Table_NFI[[#This Row],[Kitchen Set]]/VLOOKUP(Table_NFI[[#This Row],[Camp Name]],CL,4,0),"")</f>
        <v/>
      </c>
      <c r="AT24" s="533"/>
      <c r="AU24" s="536" t="s">
        <v>1378</v>
      </c>
    </row>
    <row r="25" spans="1:47" s="537" customFormat="1" ht="15" customHeight="1" x14ac:dyDescent="0.25">
      <c r="A25" s="355">
        <f t="shared" si="0"/>
        <v>7.2666666666666666</v>
      </c>
      <c r="B25" s="532">
        <v>42353</v>
      </c>
      <c r="C25" s="538" t="s">
        <v>453</v>
      </c>
      <c r="D25" s="538" t="s">
        <v>461</v>
      </c>
      <c r="E25" s="538" t="s">
        <v>380</v>
      </c>
      <c r="F25" s="538" t="s">
        <v>237</v>
      </c>
      <c r="G25" s="538" t="s">
        <v>1366</v>
      </c>
      <c r="H25" s="350"/>
      <c r="I25" s="350"/>
      <c r="J25" s="350"/>
      <c r="K25" s="350">
        <v>7</v>
      </c>
      <c r="L25" s="350">
        <v>7</v>
      </c>
      <c r="M25" s="350"/>
      <c r="N25" s="350">
        <v>7</v>
      </c>
      <c r="O25" s="350"/>
      <c r="P25" s="352">
        <v>7</v>
      </c>
      <c r="Q25" s="352">
        <v>27</v>
      </c>
      <c r="R25" s="352"/>
      <c r="S25" s="352"/>
      <c r="T25" s="352"/>
      <c r="U25" s="352">
        <v>27</v>
      </c>
      <c r="V25" s="497">
        <v>7</v>
      </c>
      <c r="W25" s="352"/>
      <c r="X25" s="352"/>
      <c r="Y25" s="352">
        <f>IF(NFI_Expiration=1,IF($A25&lt;VLOOKUP(H$5,NFI,5,0),1,0)*Table_NFI[[#This Row],[Hygiene Kit]],Table_NFI[Hygiene Kit])</f>
        <v>0</v>
      </c>
      <c r="Z25" s="352">
        <f>IF(NFI_Expiration=1,IF($A25&lt;VLOOKUP(I$5,NFI,5,0),1,0)*Table_NFI[[#This Row],[NFI Core Kit]],Table_NFI[NFI Core Kit])</f>
        <v>0</v>
      </c>
      <c r="AA25" s="352">
        <f>IF(NFI_Expiration=1,IF($A25&lt;VLOOKUP(J$5,NFI,5,0),1,0)*Table_NFI[[#This Row],[Sanitary Kit]],Table_NFI[Sanitary Kit])</f>
        <v>0</v>
      </c>
      <c r="AB25" s="352">
        <f>IF(NFI_Expiration=1,IF($A25&lt;VLOOKUP(K$5,NFI,5,0),1,0)*Table_NFI[[#This Row],[Mosquito net]],Table_NFI[Mosquito net])</f>
        <v>7</v>
      </c>
      <c r="AC25" s="352">
        <f>IF(NFI_Expiration=1,IF($A25&lt;VLOOKUP(L$5,NFI,5,0),1,0)*Table_NFI[[#This Row],[Tarpaulin]],Table_NFI[[#This Row],[Tarpaulin]])</f>
        <v>7</v>
      </c>
      <c r="AD25" s="352">
        <f>IF(NFI_Expiration=1,IF($A25&lt;VLOOKUP(M$5,NFI,5,0),1,0)*Table_NFI[[#This Row],[Blanket]],Table_NFI[[#This Row],[Blanket]])</f>
        <v>0</v>
      </c>
      <c r="AE25" s="352">
        <f>IF(NFI_Expiration=1,IF($A25&lt;VLOOKUP(N$5,NFI,5,0),1,0)*Table_NFI[[#This Row],[Kitchen Set]],Table_NFI[Kitchen Set])</f>
        <v>7</v>
      </c>
      <c r="AF25" s="352">
        <f>IF(NFI_Expiration=1,IF($A25&lt;VLOOKUP(O$5,NFI,5,0),1,0)*Table_NFI[[#This Row],[Clothes Kit]],Table_NFI[Clothes Kit])</f>
        <v>0</v>
      </c>
      <c r="AG25" s="352">
        <f>IF(NFI_Expiration=1,IF($A25&lt;VLOOKUP(P$5,NFI,5,0),1,0)*Table_NFI[[#This Row],[Plastic Bucket]],Table_NFI[Plastic Bucket])</f>
        <v>7</v>
      </c>
      <c r="AH25" s="352">
        <f>IF(NFI_Expiration=1,IF($A25&lt;VLOOKUP(Q$5,NFI,5,0),1,0)*Table_NFI[[#This Row],[Plastic Mat]],Table_NFI[Plastic Mat])*IF(Table_NFI[[#This Row],[Distribution Date]]&gt;"2014-04-01",1,2.5)</f>
        <v>67.5</v>
      </c>
      <c r="AI25" s="352">
        <f>IF(NFI_Expiration=1,IF($A25&lt;VLOOKUP(R$5,NFI,5,0),1,0)*Table_NFI[[#This Row],[Winter Clothes Adult]],Table_NFI[Winter Clothes Adult])</f>
        <v>0</v>
      </c>
      <c r="AJ25" s="352">
        <f>IF(NFI_Expiration=1,IF($A25&lt;VLOOKUP(S$5,NFI,5,0),1,0)*Table_NFI[[#This Row],[Winter Clothes Children]],Table_NFI[Winter Clothes Children])</f>
        <v>0</v>
      </c>
      <c r="AK25" s="352">
        <f>IF(NFI_Expiration=1,IF($A25&lt;VLOOKUP(T$5,NFI,5,0),1,0)*Table_NFI[[#This Row],[Winter Items Other]],Table_NFI[Winter Items Other])</f>
        <v>0</v>
      </c>
      <c r="AL25" s="352">
        <f>IF(NFI_Expiration=1,IF($A25&lt;VLOOKUP(M$5,NFI,5,0),1,0)*Table_NFI[[#This Row],[Winter Blanket]],Table_NFI[[#This Row],[Winter Blanket]])</f>
        <v>27</v>
      </c>
      <c r="AM25" s="352">
        <f>IF(Table_NFI[[#This Row],[Winter Clothes Adult]]+Table_NFI[[#This Row],[Winter Clothes Children]]+Table_NFI[[#This Row],[Winter Items Other]]+Table_NFI[[#This Row],[Winter Blanket]]&gt;0,1,0)</f>
        <v>1</v>
      </c>
      <c r="AN25" s="392">
        <f>IF(NFI_Expiration=1,IF($A25&lt;VLOOKUP(V$5,NFI,5,0),1,0)*Table_NFI[[#This Row],[Jerry Can]],Table_NFI[Jerry Can])</f>
        <v>7</v>
      </c>
      <c r="AO25" s="540" t="str">
        <f>IFERROR(VLOOKUP(Table_NFI[[#This Row],[Camp Name]],CL,2,0),"")</f>
        <v/>
      </c>
      <c r="AP25" s="535" t="str">
        <f ca="1">IF(Table_NFI[[#This Row],[Pcode]]="","",IF(OFFSET(CampList[Opening Date],MATCH(Table_NFI[[#This Row],[Pcode]],CampList[CP_Pcode],0)-1,0,1,1)&gt;=NFI_Monitor_Date,1,0))</f>
        <v/>
      </c>
      <c r="AQ25" s="540" t="str">
        <f>IFERROR(VLOOKUP(Table_NFI[[#This Row],[Camp Name]],CL,3,0),"")</f>
        <v/>
      </c>
      <c r="AR25" s="352" t="str">
        <f ca="1">IF(Table_NFI[[#This Row],[Pcode]]="","",OFFSET(CampList[Priority],MATCH(Table_NFI[[#This Row],[Pcode]],CampList[CP_Pcode],0)-1,0,1,1))</f>
        <v/>
      </c>
      <c r="AS25" s="351" t="str">
        <f>IFERROR(Table_NFI[[#This Row],[Kitchen Set]]/VLOOKUP(Table_NFI[[#This Row],[Camp Name]],CL,4,0),"")</f>
        <v/>
      </c>
      <c r="AT25" s="533" t="s">
        <v>1094</v>
      </c>
      <c r="AU25" s="541"/>
    </row>
    <row r="26" spans="1:47" s="537" customFormat="1" ht="14.45" hidden="1" customHeight="1" x14ac:dyDescent="0.25">
      <c r="A26" s="355">
        <f t="shared" si="0"/>
        <v>32.1</v>
      </c>
      <c r="B26" s="532">
        <v>41608</v>
      </c>
      <c r="C26" s="533" t="s">
        <v>1099</v>
      </c>
      <c r="D26" s="534" t="s">
        <v>946</v>
      </c>
      <c r="E26" s="533" t="s">
        <v>380</v>
      </c>
      <c r="F26" s="533" t="s">
        <v>5</v>
      </c>
      <c r="G26" s="348" t="s">
        <v>6</v>
      </c>
      <c r="H26" s="349"/>
      <c r="I26" s="349"/>
      <c r="J26" s="349"/>
      <c r="K26" s="349"/>
      <c r="L26" s="350"/>
      <c r="M26" s="350">
        <v>104</v>
      </c>
      <c r="N26" s="350"/>
      <c r="O26" s="350"/>
      <c r="P26" s="352"/>
      <c r="Q26" s="352"/>
      <c r="R26" s="352">
        <v>146</v>
      </c>
      <c r="S26" s="352">
        <v>39</v>
      </c>
      <c r="T26" s="352">
        <v>0</v>
      </c>
      <c r="U26" s="352"/>
      <c r="V26" s="497"/>
      <c r="W26" s="352"/>
      <c r="X26" s="352"/>
      <c r="Y26" s="352">
        <f>IF(NFI_Expiration=1,IF($A26&lt;VLOOKUP(H$5,NFI,5,0),1,0)*Table_NFI[[#This Row],[Hygiene Kit]],Table_NFI[Hygiene Kit])</f>
        <v>0</v>
      </c>
      <c r="Z26" s="352">
        <f>IF(NFI_Expiration=1,IF($A26&lt;VLOOKUP(I$5,NFI,5,0),1,0)*Table_NFI[[#This Row],[NFI Core Kit]],Table_NFI[NFI Core Kit])</f>
        <v>0</v>
      </c>
      <c r="AA26" s="352">
        <f>IF(NFI_Expiration=1,IF($A26&lt;VLOOKUP(J$5,NFI,5,0),1,0)*Table_NFI[[#This Row],[Sanitary Kit]],Table_NFI[Sanitary Kit])</f>
        <v>0</v>
      </c>
      <c r="AB26" s="352">
        <f>IF(NFI_Expiration=1,IF($A26&lt;VLOOKUP(K$5,NFI,5,0),1,0)*Table_NFI[[#This Row],[Mosquito net]],Table_NFI[Mosquito net])</f>
        <v>0</v>
      </c>
      <c r="AC26" s="352">
        <f>IF(NFI_Expiration=1,IF($A26&lt;VLOOKUP(L$5,NFI,5,0),1,0)*Table_NFI[[#This Row],[Tarpaulin]],Table_NFI[[#This Row],[Tarpaulin]])</f>
        <v>0</v>
      </c>
      <c r="AD26" s="352">
        <f>IF(NFI_Expiration=1,IF($A26&lt;VLOOKUP(M$5,NFI,5,0),1,0)*Table_NFI[[#This Row],[Blanket]],Table_NFI[[#This Row],[Blanket]])</f>
        <v>0</v>
      </c>
      <c r="AE26" s="352">
        <f>IF(NFI_Expiration=1,IF($A26&lt;VLOOKUP(N$5,NFI,5,0),1,0)*Table_NFI[[#This Row],[Kitchen Set]],Table_NFI[Kitchen Set])</f>
        <v>0</v>
      </c>
      <c r="AF26" s="352">
        <f>IF(NFI_Expiration=1,IF($A26&lt;VLOOKUP(O$5,NFI,5,0),1,0)*Table_NFI[[#This Row],[Clothes Kit]],Table_NFI[Clothes Kit])</f>
        <v>0</v>
      </c>
      <c r="AG26" s="352">
        <f>IF(NFI_Expiration=1,IF($A26&lt;VLOOKUP(P$5,NFI,5,0),1,0)*Table_NFI[[#This Row],[Plastic Bucket]],Table_NFI[Plastic Bucket])</f>
        <v>0</v>
      </c>
      <c r="AH26" s="352">
        <f>IF(NFI_Expiration=1,IF($A26&lt;VLOOKUP(Q$5,NFI,5,0),1,0)*Table_NFI[[#This Row],[Plastic Mat]],Table_NFI[Plastic Mat])*IF(Table_NFI[[#This Row],[Distribution Date]]&gt;"2014-04-01",1,2.5)</f>
        <v>0</v>
      </c>
      <c r="AI26" s="352">
        <f>IF(NFI_Expiration=1,IF($A26&lt;VLOOKUP(R$5,NFI,5,0),1,0)*Table_NFI[[#This Row],[Winter Clothes Adult]],Table_NFI[Winter Clothes Adult])</f>
        <v>0</v>
      </c>
      <c r="AJ26" s="352">
        <f>IF(NFI_Expiration=1,IF($A26&lt;VLOOKUP(S$5,NFI,5,0),1,0)*Table_NFI[[#This Row],[Winter Clothes Children]],Table_NFI[Winter Clothes Children])</f>
        <v>0</v>
      </c>
      <c r="AK26" s="352">
        <f>IF(NFI_Expiration=1,IF($A26&lt;VLOOKUP(T$5,NFI,5,0),1,0)*Table_NFI[[#This Row],[Winter Items Other]],Table_NFI[Winter Items Other])</f>
        <v>0</v>
      </c>
      <c r="AL26" s="352">
        <f>IF(NFI_Expiration=1,IF($A26&lt;VLOOKUP(M$5,NFI,5,0),1,0)*Table_NFI[[#This Row],[Winter Blanket]],Table_NFI[[#This Row],[Winter Blanket]])</f>
        <v>0</v>
      </c>
      <c r="AM26" s="352">
        <f>IF(Table_NFI[[#This Row],[Winter Clothes Adult]]+Table_NFI[[#This Row],[Winter Clothes Children]]+Table_NFI[[#This Row],[Winter Items Other]]+Table_NFI[[#This Row],[Winter Blanket]]&gt;0,1,0)</f>
        <v>1</v>
      </c>
      <c r="AN26" s="392">
        <f>IF(NFI_Expiration=1,IF($A26&lt;VLOOKUP(V$5,NFI,5,0),1,0)*Table_NFI[[#This Row],[Jerry Can]],Table_NFI[Jerry Can])</f>
        <v>0</v>
      </c>
      <c r="AO26" s="540" t="str">
        <f>IFERROR(VLOOKUP(Table_NFI[[#This Row],[Camp Name]],CL,2,0),"")</f>
        <v>MMR001CMP050</v>
      </c>
      <c r="AP26" s="535">
        <f ca="1">IF(Table_NFI[[#This Row],[Pcode]]="","",IF(OFFSET(CampList[Opening Date],MATCH(Table_NFI[[#This Row],[Pcode]],CampList[CP_Pcode],0)-1,0,1,1)&gt;=NFI_Monitor_Date,1,0))</f>
        <v>0</v>
      </c>
      <c r="AQ26" s="540" t="str">
        <f>IFERROR(VLOOKUP(Table_NFI[[#This Row],[Camp Name]],CL,3,0),"")</f>
        <v>Open</v>
      </c>
      <c r="AR26" s="352" t="str">
        <f ca="1">IF(Table_NFI[[#This Row],[Pcode]]="","",OFFSET(CampList[Priority],MATCH(Table_NFI[[#This Row],[Pcode]],CampList[CP_Pcode],0)-1,0,1,1))</f>
        <v>P4</v>
      </c>
      <c r="AS26" s="351">
        <f>IFERROR(Table_NFI[[#This Row],[Kitchen Set]]/VLOOKUP(Table_NFI[[#This Row],[Camp Name]],CL,4,0),"")</f>
        <v>0</v>
      </c>
      <c r="AT26" s="533" t="s">
        <v>1094</v>
      </c>
      <c r="AU26" s="536"/>
    </row>
    <row r="27" spans="1:47" s="537" customFormat="1" hidden="1" x14ac:dyDescent="0.25">
      <c r="A27" s="355">
        <f t="shared" si="0"/>
        <v>32.1</v>
      </c>
      <c r="B27" s="532">
        <v>41608</v>
      </c>
      <c r="C27" s="533" t="s">
        <v>907</v>
      </c>
      <c r="D27" s="533"/>
      <c r="E27" s="533" t="s">
        <v>380</v>
      </c>
      <c r="F27" s="348" t="s">
        <v>5</v>
      </c>
      <c r="G27" s="348" t="s">
        <v>6</v>
      </c>
      <c r="H27" s="349"/>
      <c r="I27" s="349"/>
      <c r="J27" s="349"/>
      <c r="K27" s="349"/>
      <c r="L27" s="350"/>
      <c r="M27" s="350"/>
      <c r="N27" s="350"/>
      <c r="O27" s="350"/>
      <c r="P27" s="352"/>
      <c r="Q27" s="352">
        <v>660</v>
      </c>
      <c r="R27" s="352"/>
      <c r="S27" s="352"/>
      <c r="T27" s="352"/>
      <c r="U27" s="352"/>
      <c r="V27" s="497"/>
      <c r="W27" s="352"/>
      <c r="X27" s="352"/>
      <c r="Y27" s="352">
        <f>IF(NFI_Expiration=1,IF($A27&lt;VLOOKUP(H$5,NFI,5,0),1,0)*Table_NFI[[#This Row],[Hygiene Kit]],Table_NFI[Hygiene Kit])</f>
        <v>0</v>
      </c>
      <c r="Z27" s="352">
        <f>IF(NFI_Expiration=1,IF($A27&lt;VLOOKUP(I$5,NFI,5,0),1,0)*Table_NFI[[#This Row],[NFI Core Kit]],Table_NFI[NFI Core Kit])</f>
        <v>0</v>
      </c>
      <c r="AA27" s="352">
        <f>IF(NFI_Expiration=1,IF($A27&lt;VLOOKUP(J$5,NFI,5,0),1,0)*Table_NFI[[#This Row],[Sanitary Kit]],Table_NFI[Sanitary Kit])</f>
        <v>0</v>
      </c>
      <c r="AB27" s="352">
        <f>IF(NFI_Expiration=1,IF($A27&lt;VLOOKUP(K$5,NFI,5,0),1,0)*Table_NFI[[#This Row],[Mosquito net]],Table_NFI[Mosquito net])</f>
        <v>0</v>
      </c>
      <c r="AC27" s="352">
        <f>IF(NFI_Expiration=1,IF($A27&lt;VLOOKUP(L$5,NFI,5,0),1,0)*Table_NFI[[#This Row],[Tarpaulin]],Table_NFI[[#This Row],[Tarpaulin]])</f>
        <v>0</v>
      </c>
      <c r="AD27" s="352">
        <f>IF(NFI_Expiration=1,IF($A27&lt;VLOOKUP(M$5,NFI,5,0),1,0)*Table_NFI[[#This Row],[Blanket]],Table_NFI[[#This Row],[Blanket]])</f>
        <v>0</v>
      </c>
      <c r="AE27" s="352">
        <f>IF(NFI_Expiration=1,IF($A27&lt;VLOOKUP(N$5,NFI,5,0),1,0)*Table_NFI[[#This Row],[Kitchen Set]],Table_NFI[Kitchen Set])</f>
        <v>0</v>
      </c>
      <c r="AF27" s="352">
        <f>IF(NFI_Expiration=1,IF($A27&lt;VLOOKUP(O$5,NFI,5,0),1,0)*Table_NFI[[#This Row],[Clothes Kit]],Table_NFI[Clothes Kit])</f>
        <v>0</v>
      </c>
      <c r="AG27" s="352">
        <f>IF(NFI_Expiration=1,IF($A27&lt;VLOOKUP(P$5,NFI,5,0),1,0)*Table_NFI[[#This Row],[Plastic Bucket]],Table_NFI[Plastic Bucket])</f>
        <v>0</v>
      </c>
      <c r="AH27" s="352">
        <f>IF(NFI_Expiration=1,IF($A27&lt;VLOOKUP(Q$5,NFI,5,0),1,0)*Table_NFI[[#This Row],[Plastic Mat]],Table_NFI[Plastic Mat])*IF(Table_NFI[[#This Row],[Distribution Date]]&gt;"2014-04-01",1,2.5)</f>
        <v>0</v>
      </c>
      <c r="AI27" s="352">
        <f>IF(NFI_Expiration=1,IF($A27&lt;VLOOKUP(R$5,NFI,5,0),1,0)*Table_NFI[[#This Row],[Winter Clothes Adult]],Table_NFI[Winter Clothes Adult])</f>
        <v>0</v>
      </c>
      <c r="AJ27" s="352">
        <f>IF(NFI_Expiration=1,IF($A27&lt;VLOOKUP(S$5,NFI,5,0),1,0)*Table_NFI[[#This Row],[Winter Clothes Children]],Table_NFI[Winter Clothes Children])</f>
        <v>0</v>
      </c>
      <c r="AK27" s="352">
        <f>IF(NFI_Expiration=1,IF($A27&lt;VLOOKUP(T$5,NFI,5,0),1,0)*Table_NFI[[#This Row],[Winter Items Other]],Table_NFI[Winter Items Other])</f>
        <v>0</v>
      </c>
      <c r="AL27" s="352">
        <f>IF(NFI_Expiration=1,IF($A27&lt;VLOOKUP(M$5,NFI,5,0),1,0)*Table_NFI[[#This Row],[Winter Blanket]],Table_NFI[[#This Row],[Winter Blanket]])</f>
        <v>0</v>
      </c>
      <c r="AM27" s="352">
        <f>IF(Table_NFI[[#This Row],[Winter Clothes Adult]]+Table_NFI[[#This Row],[Winter Clothes Children]]+Table_NFI[[#This Row],[Winter Items Other]]+Table_NFI[[#This Row],[Winter Blanket]]&gt;0,1,0)</f>
        <v>0</v>
      </c>
      <c r="AN27" s="392">
        <f>IF(NFI_Expiration=1,IF($A27&lt;VLOOKUP(V$5,NFI,5,0),1,0)*Table_NFI[[#This Row],[Jerry Can]],Table_NFI[Jerry Can])</f>
        <v>0</v>
      </c>
      <c r="AO27" s="540" t="str">
        <f>IFERROR(VLOOKUP(Table_NFI[[#This Row],[Camp Name]],CL,2,0),"")</f>
        <v>MMR001CMP050</v>
      </c>
      <c r="AP27" s="535">
        <f ca="1">IF(Table_NFI[[#This Row],[Pcode]]="","",IF(OFFSET(CampList[Opening Date],MATCH(Table_NFI[[#This Row],[Pcode]],CampList[CP_Pcode],0)-1,0,1,1)&gt;=NFI_Monitor_Date,1,0))</f>
        <v>0</v>
      </c>
      <c r="AQ27" s="540" t="str">
        <f>IFERROR(VLOOKUP(Table_NFI[[#This Row],[Camp Name]],CL,3,0),"")</f>
        <v>Open</v>
      </c>
      <c r="AR27" s="352" t="str">
        <f ca="1">IF(Table_NFI[[#This Row],[Pcode]]="","",OFFSET(CampList[Priority],MATCH(Table_NFI[[#This Row],[Pcode]],CampList[CP_Pcode],0)-1,0,1,1))</f>
        <v>P4</v>
      </c>
      <c r="AS27" s="351">
        <f>IFERROR(Table_NFI[[#This Row],[Kitchen Set]]/VLOOKUP(Table_NFI[[#This Row],[Camp Name]],CL,4,0),"")</f>
        <v>0</v>
      </c>
      <c r="AT27" s="533" t="s">
        <v>1094</v>
      </c>
      <c r="AU27" s="536"/>
    </row>
    <row r="28" spans="1:47" s="537" customFormat="1" ht="16.5" customHeight="1" x14ac:dyDescent="0.25">
      <c r="A28" s="355">
        <f t="shared" si="0"/>
        <v>7.4</v>
      </c>
      <c r="B28" s="532">
        <v>42349</v>
      </c>
      <c r="C28" s="538" t="s">
        <v>453</v>
      </c>
      <c r="D28" s="538" t="s">
        <v>506</v>
      </c>
      <c r="E28" s="538" t="s">
        <v>380</v>
      </c>
      <c r="F28" s="538" t="s">
        <v>237</v>
      </c>
      <c r="G28" s="538" t="s">
        <v>249</v>
      </c>
      <c r="H28" s="350"/>
      <c r="I28" s="350"/>
      <c r="J28" s="350"/>
      <c r="K28" s="350"/>
      <c r="L28" s="350"/>
      <c r="M28" s="350"/>
      <c r="N28" s="350"/>
      <c r="O28" s="350"/>
      <c r="P28" s="352"/>
      <c r="Q28" s="352"/>
      <c r="R28" s="352"/>
      <c r="S28" s="352"/>
      <c r="T28" s="352"/>
      <c r="U28" s="352">
        <v>11</v>
      </c>
      <c r="V28" s="497"/>
      <c r="W28" s="352"/>
      <c r="X28" s="352"/>
      <c r="Y28" s="352">
        <f>IF(NFI_Expiration=1,IF($A28&lt;VLOOKUP(H$5,NFI,5,0),1,0)*Table_NFI[[#This Row],[Hygiene Kit]],Table_NFI[Hygiene Kit])</f>
        <v>0</v>
      </c>
      <c r="Z28" s="352">
        <f>IF(NFI_Expiration=1,IF($A28&lt;VLOOKUP(I$5,NFI,5,0),1,0)*Table_NFI[[#This Row],[NFI Core Kit]],Table_NFI[NFI Core Kit])</f>
        <v>0</v>
      </c>
      <c r="AA28" s="352">
        <f>IF(NFI_Expiration=1,IF($A28&lt;VLOOKUP(J$5,NFI,5,0),1,0)*Table_NFI[[#This Row],[Sanitary Kit]],Table_NFI[Sanitary Kit])</f>
        <v>0</v>
      </c>
      <c r="AB28" s="352">
        <f>IF(NFI_Expiration=1,IF($A28&lt;VLOOKUP(K$5,NFI,5,0),1,0)*Table_NFI[[#This Row],[Mosquito net]],Table_NFI[Mosquito net])</f>
        <v>0</v>
      </c>
      <c r="AC28" s="352">
        <f>IF(NFI_Expiration=1,IF($A28&lt;VLOOKUP(L$5,NFI,5,0),1,0)*Table_NFI[[#This Row],[Tarpaulin]],Table_NFI[[#This Row],[Tarpaulin]])</f>
        <v>0</v>
      </c>
      <c r="AD28" s="352">
        <f>IF(NFI_Expiration=1,IF($A28&lt;VLOOKUP(M$5,NFI,5,0),1,0)*Table_NFI[[#This Row],[Blanket]],Table_NFI[[#This Row],[Blanket]])</f>
        <v>0</v>
      </c>
      <c r="AE28" s="352">
        <f>IF(NFI_Expiration=1,IF($A28&lt;VLOOKUP(N$5,NFI,5,0),1,0)*Table_NFI[[#This Row],[Kitchen Set]],Table_NFI[Kitchen Set])</f>
        <v>0</v>
      </c>
      <c r="AF28" s="352">
        <f>IF(NFI_Expiration=1,IF($A28&lt;VLOOKUP(O$5,NFI,5,0),1,0)*Table_NFI[[#This Row],[Clothes Kit]],Table_NFI[Clothes Kit])</f>
        <v>0</v>
      </c>
      <c r="AG28" s="352">
        <f>IF(NFI_Expiration=1,IF($A28&lt;VLOOKUP(P$5,NFI,5,0),1,0)*Table_NFI[[#This Row],[Plastic Bucket]],Table_NFI[Plastic Bucket])</f>
        <v>0</v>
      </c>
      <c r="AH28" s="352">
        <f>IF(NFI_Expiration=1,IF($A28&lt;VLOOKUP(Q$5,NFI,5,0),1,0)*Table_NFI[[#This Row],[Plastic Mat]],Table_NFI[Plastic Mat])*IF(Table_NFI[[#This Row],[Distribution Date]]&gt;"2014-04-01",1,2.5)</f>
        <v>0</v>
      </c>
      <c r="AI28" s="352">
        <f>IF(NFI_Expiration=1,IF($A28&lt;VLOOKUP(R$5,NFI,5,0),1,0)*Table_NFI[[#This Row],[Winter Clothes Adult]],Table_NFI[Winter Clothes Adult])</f>
        <v>0</v>
      </c>
      <c r="AJ28" s="352">
        <f>IF(NFI_Expiration=1,IF($A28&lt;VLOOKUP(S$5,NFI,5,0),1,0)*Table_NFI[[#This Row],[Winter Clothes Children]],Table_NFI[Winter Clothes Children])</f>
        <v>0</v>
      </c>
      <c r="AK28" s="352">
        <f>IF(NFI_Expiration=1,IF($A28&lt;VLOOKUP(T$5,NFI,5,0),1,0)*Table_NFI[[#This Row],[Winter Items Other]],Table_NFI[Winter Items Other])</f>
        <v>0</v>
      </c>
      <c r="AL28" s="352">
        <f>IF(NFI_Expiration=1,IF($A28&lt;VLOOKUP(M$5,NFI,5,0),1,0)*Table_NFI[[#This Row],[Winter Blanket]],Table_NFI[[#This Row],[Winter Blanket]])</f>
        <v>11</v>
      </c>
      <c r="AM28" s="352">
        <f>IF(Table_NFI[[#This Row],[Winter Clothes Adult]]+Table_NFI[[#This Row],[Winter Clothes Children]]+Table_NFI[[#This Row],[Winter Items Other]]+Table_NFI[[#This Row],[Winter Blanket]]&gt;0,1,0)</f>
        <v>1</v>
      </c>
      <c r="AN28" s="392">
        <f>IF(NFI_Expiration=1,IF($A28&lt;VLOOKUP(V$5,NFI,5,0),1,0)*Table_NFI[[#This Row],[Jerry Can]],Table_NFI[Jerry Can])</f>
        <v>0</v>
      </c>
      <c r="AO28" s="540" t="str">
        <f>IFERROR(VLOOKUP(Table_NFI[[#This Row],[Camp Name]],CL,2,0),"")</f>
        <v>MMR001CMP004</v>
      </c>
      <c r="AP28" s="535">
        <f ca="1">IF(Table_NFI[[#This Row],[Pcode]]="","",IF(OFFSET(CampList[Opening Date],MATCH(Table_NFI[[#This Row],[Pcode]],CampList[CP_Pcode],0)-1,0,1,1)&gt;=NFI_Monitor_Date,1,0))</f>
        <v>0</v>
      </c>
      <c r="AQ28" s="540" t="str">
        <f>IFERROR(VLOOKUP(Table_NFI[[#This Row],[Camp Name]],CL,3,0),"")</f>
        <v>Open</v>
      </c>
      <c r="AR28" s="352" t="str">
        <f ca="1">IF(Table_NFI[[#This Row],[Pcode]]="","",OFFSET(CampList[Priority],MATCH(Table_NFI[[#This Row],[Pcode]],CampList[CP_Pcode],0)-1,0,1,1))</f>
        <v>P4</v>
      </c>
      <c r="AS28" s="351">
        <f>IFERROR(Table_NFI[[#This Row],[Kitchen Set]]/VLOOKUP(Table_NFI[[#This Row],[Camp Name]],CL,4,0),"")</f>
        <v>0</v>
      </c>
      <c r="AT28" s="533" t="s">
        <v>1094</v>
      </c>
      <c r="AU28" s="541"/>
    </row>
    <row r="29" spans="1:47" s="537" customFormat="1" ht="14.45" hidden="1" customHeight="1" x14ac:dyDescent="0.25">
      <c r="A29" s="355">
        <f t="shared" si="0"/>
        <v>33</v>
      </c>
      <c r="B29" s="532">
        <v>41581</v>
      </c>
      <c r="C29" s="533" t="s">
        <v>902</v>
      </c>
      <c r="D29" s="533" t="s">
        <v>902</v>
      </c>
      <c r="E29" s="533" t="s">
        <v>380</v>
      </c>
      <c r="F29" s="348" t="s">
        <v>5</v>
      </c>
      <c r="G29" s="348" t="s">
        <v>6</v>
      </c>
      <c r="H29" s="349"/>
      <c r="I29" s="349"/>
      <c r="J29" s="349">
        <v>21</v>
      </c>
      <c r="K29" s="349"/>
      <c r="L29" s="350"/>
      <c r="M29" s="350"/>
      <c r="N29" s="350">
        <v>21</v>
      </c>
      <c r="O29" s="350"/>
      <c r="P29" s="352"/>
      <c r="Q29" s="352"/>
      <c r="R29" s="352"/>
      <c r="S29" s="352"/>
      <c r="T29" s="352"/>
      <c r="U29" s="352"/>
      <c r="V29" s="497"/>
      <c r="W29" s="352"/>
      <c r="X29" s="352"/>
      <c r="Y29" s="352">
        <f>IF(NFI_Expiration=1,IF($A29&lt;VLOOKUP(H$5,NFI,5,0),1,0)*Table_NFI[[#This Row],[Hygiene Kit]],Table_NFI[Hygiene Kit])</f>
        <v>0</v>
      </c>
      <c r="Z29" s="352">
        <f>IF(NFI_Expiration=1,IF($A29&lt;VLOOKUP(I$5,NFI,5,0),1,0)*Table_NFI[[#This Row],[NFI Core Kit]],Table_NFI[NFI Core Kit])</f>
        <v>0</v>
      </c>
      <c r="AA29" s="352">
        <f>IF(NFI_Expiration=1,IF($A29&lt;VLOOKUP(J$5,NFI,5,0),1,0)*Table_NFI[[#This Row],[Sanitary Kit]],Table_NFI[Sanitary Kit])</f>
        <v>0</v>
      </c>
      <c r="AB29" s="352">
        <f>IF(NFI_Expiration=1,IF($A29&lt;VLOOKUP(K$5,NFI,5,0),1,0)*Table_NFI[[#This Row],[Mosquito net]],Table_NFI[Mosquito net])</f>
        <v>0</v>
      </c>
      <c r="AC29" s="352">
        <f>IF(NFI_Expiration=1,IF($A29&lt;VLOOKUP(L$5,NFI,5,0),1,0)*Table_NFI[[#This Row],[Tarpaulin]],Table_NFI[[#This Row],[Tarpaulin]])</f>
        <v>0</v>
      </c>
      <c r="AD29" s="352">
        <f>IF(NFI_Expiration=1,IF($A29&lt;VLOOKUP(M$5,NFI,5,0),1,0)*Table_NFI[[#This Row],[Blanket]],Table_NFI[[#This Row],[Blanket]])</f>
        <v>0</v>
      </c>
      <c r="AE29" s="352">
        <f>IF(NFI_Expiration=1,IF($A29&lt;VLOOKUP(N$5,NFI,5,0),1,0)*Table_NFI[[#This Row],[Kitchen Set]],Table_NFI[Kitchen Set])</f>
        <v>0</v>
      </c>
      <c r="AF29" s="352">
        <f>IF(NFI_Expiration=1,IF($A29&lt;VLOOKUP(O$5,NFI,5,0),1,0)*Table_NFI[[#This Row],[Clothes Kit]],Table_NFI[Clothes Kit])</f>
        <v>0</v>
      </c>
      <c r="AG29" s="352">
        <f>IF(NFI_Expiration=1,IF($A29&lt;VLOOKUP(P$5,NFI,5,0),1,0)*Table_NFI[[#This Row],[Plastic Bucket]],Table_NFI[Plastic Bucket])</f>
        <v>0</v>
      </c>
      <c r="AH29" s="352">
        <f>IF(NFI_Expiration=1,IF($A29&lt;VLOOKUP(Q$5,NFI,5,0),1,0)*Table_NFI[[#This Row],[Plastic Mat]],Table_NFI[Plastic Mat])*IF(Table_NFI[[#This Row],[Distribution Date]]&gt;"2014-04-01",1,2.5)</f>
        <v>0</v>
      </c>
      <c r="AI29" s="352">
        <f>IF(NFI_Expiration=1,IF($A29&lt;VLOOKUP(R$5,NFI,5,0),1,0)*Table_NFI[[#This Row],[Winter Clothes Adult]],Table_NFI[Winter Clothes Adult])</f>
        <v>0</v>
      </c>
      <c r="AJ29" s="352">
        <f>IF(NFI_Expiration=1,IF($A29&lt;VLOOKUP(S$5,NFI,5,0),1,0)*Table_NFI[[#This Row],[Winter Clothes Children]],Table_NFI[Winter Clothes Children])</f>
        <v>0</v>
      </c>
      <c r="AK29" s="352">
        <f>IF(NFI_Expiration=1,IF($A29&lt;VLOOKUP(T$5,NFI,5,0),1,0)*Table_NFI[[#This Row],[Winter Items Other]],Table_NFI[Winter Items Other])</f>
        <v>0</v>
      </c>
      <c r="AL29" s="352">
        <f>IF(NFI_Expiration=1,IF($A29&lt;VLOOKUP(M$5,NFI,5,0),1,0)*Table_NFI[[#This Row],[Winter Blanket]],Table_NFI[[#This Row],[Winter Blanket]])</f>
        <v>0</v>
      </c>
      <c r="AM29" s="352">
        <f>IF(Table_NFI[[#This Row],[Winter Clothes Adult]]+Table_NFI[[#This Row],[Winter Clothes Children]]+Table_NFI[[#This Row],[Winter Items Other]]+Table_NFI[[#This Row],[Winter Blanket]]&gt;0,1,0)</f>
        <v>0</v>
      </c>
      <c r="AN29" s="392">
        <f>IF(NFI_Expiration=1,IF($A29&lt;VLOOKUP(V$5,NFI,5,0),1,0)*Table_NFI[[#This Row],[Jerry Can]],Table_NFI[Jerry Can])</f>
        <v>0</v>
      </c>
      <c r="AO29" s="540" t="str">
        <f>IFERROR(VLOOKUP(Table_NFI[[#This Row],[Camp Name]],CL,2,0),"")</f>
        <v>MMR001CMP050</v>
      </c>
      <c r="AP29" s="535">
        <f ca="1">IF(Table_NFI[[#This Row],[Pcode]]="","",IF(OFFSET(CampList[Opening Date],MATCH(Table_NFI[[#This Row],[Pcode]],CampList[CP_Pcode],0)-1,0,1,1)&gt;=NFI_Monitor_Date,1,0))</f>
        <v>0</v>
      </c>
      <c r="AQ29" s="540" t="str">
        <f>IFERROR(VLOOKUP(Table_NFI[[#This Row],[Camp Name]],CL,3,0),"")</f>
        <v>Open</v>
      </c>
      <c r="AR29" s="352" t="str">
        <f ca="1">IF(Table_NFI[[#This Row],[Pcode]]="","",OFFSET(CampList[Priority],MATCH(Table_NFI[[#This Row],[Pcode]],CampList[CP_Pcode],0)-1,0,1,1))</f>
        <v>P4</v>
      </c>
      <c r="AS29" s="351">
        <f>IFERROR(Table_NFI[[#This Row],[Kitchen Set]]/VLOOKUP(Table_NFI[[#This Row],[Camp Name]],CL,4,0),"")</f>
        <v>7.6642335766423361E-2</v>
      </c>
      <c r="AT29" s="533" t="s">
        <v>1094</v>
      </c>
      <c r="AU29" s="536"/>
    </row>
    <row r="30" spans="1:47" s="537" customFormat="1" hidden="1" x14ac:dyDescent="0.25">
      <c r="A30" s="355">
        <f t="shared" si="0"/>
        <v>17</v>
      </c>
      <c r="B30" s="532">
        <v>42061</v>
      </c>
      <c r="C30" s="533" t="s">
        <v>907</v>
      </c>
      <c r="D30" s="533" t="s">
        <v>907</v>
      </c>
      <c r="E30" s="533" t="s">
        <v>380</v>
      </c>
      <c r="F30" s="348" t="s">
        <v>5</v>
      </c>
      <c r="G30" s="348" t="s">
        <v>6</v>
      </c>
      <c r="H30" s="349"/>
      <c r="I30" s="349"/>
      <c r="J30" s="349"/>
      <c r="K30" s="349"/>
      <c r="L30" s="350"/>
      <c r="M30" s="350"/>
      <c r="N30" s="350"/>
      <c r="O30" s="350"/>
      <c r="P30" s="352"/>
      <c r="Q30" s="352"/>
      <c r="R30" s="352"/>
      <c r="S30" s="352"/>
      <c r="T30" s="352"/>
      <c r="U30" s="352"/>
      <c r="V30" s="497"/>
      <c r="W30" s="352">
        <v>37</v>
      </c>
      <c r="X30" s="352"/>
      <c r="Y30" s="352">
        <f>IF(NFI_Expiration=1,IF($A30&lt;VLOOKUP(H$5,NFI,5,0),1,0)*Table_NFI[[#This Row],[Hygiene Kit]],Table_NFI[Hygiene Kit])</f>
        <v>0</v>
      </c>
      <c r="Z30" s="352">
        <f>IF(NFI_Expiration=1,IF($A30&lt;VLOOKUP(I$5,NFI,5,0),1,0)*Table_NFI[[#This Row],[NFI Core Kit]],Table_NFI[NFI Core Kit])</f>
        <v>0</v>
      </c>
      <c r="AA30" s="352">
        <f>IF(NFI_Expiration=1,IF($A30&lt;VLOOKUP(J$5,NFI,5,0),1,0)*Table_NFI[[#This Row],[Sanitary Kit]],Table_NFI[Sanitary Kit])</f>
        <v>0</v>
      </c>
      <c r="AB30" s="352">
        <f>IF(NFI_Expiration=1,IF($A30&lt;VLOOKUP(K$5,NFI,5,0),1,0)*Table_NFI[[#This Row],[Mosquito net]],Table_NFI[Mosquito net])</f>
        <v>0</v>
      </c>
      <c r="AC30" s="352">
        <f>IF(NFI_Expiration=1,IF($A30&lt;VLOOKUP(L$5,NFI,5,0),1,0)*Table_NFI[[#This Row],[Tarpaulin]],Table_NFI[[#This Row],[Tarpaulin]])</f>
        <v>0</v>
      </c>
      <c r="AD30" s="352">
        <f>IF(NFI_Expiration=1,IF($A30&lt;VLOOKUP(M$5,NFI,5,0),1,0)*Table_NFI[[#This Row],[Blanket]],Table_NFI[[#This Row],[Blanket]])</f>
        <v>0</v>
      </c>
      <c r="AE30" s="352">
        <f>IF(NFI_Expiration=1,IF($A30&lt;VLOOKUP(N$5,NFI,5,0),1,0)*Table_NFI[[#This Row],[Kitchen Set]],Table_NFI[Kitchen Set])</f>
        <v>0</v>
      </c>
      <c r="AF30" s="352">
        <f>IF(NFI_Expiration=1,IF($A30&lt;VLOOKUP(O$5,NFI,5,0),1,0)*Table_NFI[[#This Row],[Clothes Kit]],Table_NFI[Clothes Kit])</f>
        <v>0</v>
      </c>
      <c r="AG30" s="352">
        <f>IF(NFI_Expiration=1,IF($A30&lt;VLOOKUP(P$5,NFI,5,0),1,0)*Table_NFI[[#This Row],[Plastic Bucket]],Table_NFI[Plastic Bucket])</f>
        <v>0</v>
      </c>
      <c r="AH30" s="352">
        <f>IF(NFI_Expiration=1,IF($A30&lt;VLOOKUP(Q$5,NFI,5,0),1,0)*Table_NFI[[#This Row],[Plastic Mat]],Table_NFI[Plastic Mat])*IF(Table_NFI[[#This Row],[Distribution Date]]&gt;"2014-04-01",1,2.5)</f>
        <v>0</v>
      </c>
      <c r="AI30" s="352">
        <f>IF(NFI_Expiration=1,IF($A30&lt;VLOOKUP(R$5,NFI,5,0),1,0)*Table_NFI[[#This Row],[Winter Clothes Adult]],Table_NFI[Winter Clothes Adult])</f>
        <v>0</v>
      </c>
      <c r="AJ30" s="352">
        <f>IF(NFI_Expiration=1,IF($A30&lt;VLOOKUP(S$5,NFI,5,0),1,0)*Table_NFI[[#This Row],[Winter Clothes Children]],Table_NFI[Winter Clothes Children])</f>
        <v>0</v>
      </c>
      <c r="AK30" s="352">
        <f>IF(NFI_Expiration=1,IF($A30&lt;VLOOKUP(T$5,NFI,5,0),1,0)*Table_NFI[[#This Row],[Winter Items Other]],Table_NFI[Winter Items Other])</f>
        <v>0</v>
      </c>
      <c r="AL30" s="352">
        <f>IF(NFI_Expiration=1,IF($A30&lt;VLOOKUP(M$5,NFI,5,0),1,0)*Table_NFI[[#This Row],[Winter Blanket]],Table_NFI[[#This Row],[Winter Blanket]])</f>
        <v>0</v>
      </c>
      <c r="AM30" s="352">
        <f>IF(Table_NFI[[#This Row],[Winter Clothes Adult]]+Table_NFI[[#This Row],[Winter Clothes Children]]+Table_NFI[[#This Row],[Winter Items Other]]+Table_NFI[[#This Row],[Winter Blanket]]&gt;0,1,0)</f>
        <v>0</v>
      </c>
      <c r="AN30" s="392">
        <f>IF(NFI_Expiration=1,IF($A30&lt;VLOOKUP(V$5,NFI,5,0),1,0)*Table_NFI[[#This Row],[Jerry Can]],Table_NFI[Jerry Can])</f>
        <v>0</v>
      </c>
      <c r="AO30" s="540" t="str">
        <f>IFERROR(VLOOKUP(Table_NFI[[#This Row],[Camp Name]],CL,2,0),"")</f>
        <v>MMR001CMP050</v>
      </c>
      <c r="AP30" s="535">
        <f ca="1">IF(Table_NFI[[#This Row],[Pcode]]="","",IF(OFFSET(CampList[Opening Date],MATCH(Table_NFI[[#This Row],[Pcode]],CampList[CP_Pcode],0)-1,0,1,1)&gt;=NFI_Monitor_Date,1,0))</f>
        <v>0</v>
      </c>
      <c r="AQ30" s="540" t="str">
        <f>IFERROR(VLOOKUP(Table_NFI[[#This Row],[Camp Name]],CL,3,0),"")</f>
        <v>Open</v>
      </c>
      <c r="AR30" s="352" t="str">
        <f ca="1">IF(Table_NFI[[#This Row],[Pcode]]="","",OFFSET(CampList[Priority],MATCH(Table_NFI[[#This Row],[Pcode]],CampList[CP_Pcode],0)-1,0,1,1))</f>
        <v>P4</v>
      </c>
      <c r="AS30" s="351">
        <f>IFERROR(Table_NFI[[#This Row],[Kitchen Set]]/VLOOKUP(Table_NFI[[#This Row],[Camp Name]],CL,4,0),"")</f>
        <v>0</v>
      </c>
      <c r="AT30" s="533"/>
      <c r="AU30" s="536"/>
    </row>
    <row r="31" spans="1:47" s="537" customFormat="1" hidden="1" x14ac:dyDescent="0.25">
      <c r="A31" s="355">
        <f t="shared" si="0"/>
        <v>15.633333333333333</v>
      </c>
      <c r="B31" s="532">
        <v>42102</v>
      </c>
      <c r="C31" s="533" t="s">
        <v>907</v>
      </c>
      <c r="D31" s="533" t="s">
        <v>907</v>
      </c>
      <c r="E31" s="533" t="s">
        <v>380</v>
      </c>
      <c r="F31" s="348" t="s">
        <v>5</v>
      </c>
      <c r="G31" s="348" t="s">
        <v>6</v>
      </c>
      <c r="H31" s="349"/>
      <c r="I31" s="349"/>
      <c r="J31" s="349"/>
      <c r="K31" s="349"/>
      <c r="L31" s="350"/>
      <c r="M31" s="350"/>
      <c r="N31" s="350"/>
      <c r="O31" s="350"/>
      <c r="P31" s="352"/>
      <c r="Q31" s="352"/>
      <c r="R31" s="352"/>
      <c r="S31" s="352"/>
      <c r="T31" s="352"/>
      <c r="U31" s="352"/>
      <c r="V31" s="497"/>
      <c r="W31" s="352">
        <v>7</v>
      </c>
      <c r="X31" s="352"/>
      <c r="Y31" s="352">
        <f>IF(NFI_Expiration=1,IF($A31&lt;VLOOKUP(H$5,NFI,5,0),1,0)*Table_NFI[[#This Row],[Hygiene Kit]],Table_NFI[Hygiene Kit])</f>
        <v>0</v>
      </c>
      <c r="Z31" s="352">
        <f>IF(NFI_Expiration=1,IF($A31&lt;VLOOKUP(I$5,NFI,5,0),1,0)*Table_NFI[[#This Row],[NFI Core Kit]],Table_NFI[NFI Core Kit])</f>
        <v>0</v>
      </c>
      <c r="AA31" s="352">
        <f>IF(NFI_Expiration=1,IF($A31&lt;VLOOKUP(J$5,NFI,5,0),1,0)*Table_NFI[[#This Row],[Sanitary Kit]],Table_NFI[Sanitary Kit])</f>
        <v>0</v>
      </c>
      <c r="AB31" s="352">
        <f>IF(NFI_Expiration=1,IF($A31&lt;VLOOKUP(K$5,NFI,5,0),1,0)*Table_NFI[[#This Row],[Mosquito net]],Table_NFI[Mosquito net])</f>
        <v>0</v>
      </c>
      <c r="AC31" s="352">
        <f>IF(NFI_Expiration=1,IF($A31&lt;VLOOKUP(L$5,NFI,5,0),1,0)*Table_NFI[[#This Row],[Tarpaulin]],Table_NFI[[#This Row],[Tarpaulin]])</f>
        <v>0</v>
      </c>
      <c r="AD31" s="352">
        <f>IF(NFI_Expiration=1,IF($A31&lt;VLOOKUP(M$5,NFI,5,0),1,0)*Table_NFI[[#This Row],[Blanket]],Table_NFI[[#This Row],[Blanket]])</f>
        <v>0</v>
      </c>
      <c r="AE31" s="352">
        <f>IF(NFI_Expiration=1,IF($A31&lt;VLOOKUP(N$5,NFI,5,0),1,0)*Table_NFI[[#This Row],[Kitchen Set]],Table_NFI[Kitchen Set])</f>
        <v>0</v>
      </c>
      <c r="AF31" s="352">
        <f>IF(NFI_Expiration=1,IF($A31&lt;VLOOKUP(O$5,NFI,5,0),1,0)*Table_NFI[[#This Row],[Clothes Kit]],Table_NFI[Clothes Kit])</f>
        <v>0</v>
      </c>
      <c r="AG31" s="352">
        <f>IF(NFI_Expiration=1,IF($A31&lt;VLOOKUP(P$5,NFI,5,0),1,0)*Table_NFI[[#This Row],[Plastic Bucket]],Table_NFI[Plastic Bucket])</f>
        <v>0</v>
      </c>
      <c r="AH31" s="352">
        <f>IF(NFI_Expiration=1,IF($A31&lt;VLOOKUP(Q$5,NFI,5,0),1,0)*Table_NFI[[#This Row],[Plastic Mat]],Table_NFI[Plastic Mat])*IF(Table_NFI[[#This Row],[Distribution Date]]&gt;"2014-04-01",1,2.5)</f>
        <v>0</v>
      </c>
      <c r="AI31" s="352">
        <f>IF(NFI_Expiration=1,IF($A31&lt;VLOOKUP(R$5,NFI,5,0),1,0)*Table_NFI[[#This Row],[Winter Clothes Adult]],Table_NFI[Winter Clothes Adult])</f>
        <v>0</v>
      </c>
      <c r="AJ31" s="352">
        <f>IF(NFI_Expiration=1,IF($A31&lt;VLOOKUP(S$5,NFI,5,0),1,0)*Table_NFI[[#This Row],[Winter Clothes Children]],Table_NFI[Winter Clothes Children])</f>
        <v>0</v>
      </c>
      <c r="AK31" s="352">
        <f>IF(NFI_Expiration=1,IF($A31&lt;VLOOKUP(T$5,NFI,5,0),1,0)*Table_NFI[[#This Row],[Winter Items Other]],Table_NFI[Winter Items Other])</f>
        <v>0</v>
      </c>
      <c r="AL31" s="352">
        <f>IF(NFI_Expiration=1,IF($A31&lt;VLOOKUP(M$5,NFI,5,0),1,0)*Table_NFI[[#This Row],[Winter Blanket]],Table_NFI[[#This Row],[Winter Blanket]])</f>
        <v>0</v>
      </c>
      <c r="AM31" s="352">
        <f>IF(Table_NFI[[#This Row],[Winter Clothes Adult]]+Table_NFI[[#This Row],[Winter Clothes Children]]+Table_NFI[[#This Row],[Winter Items Other]]+Table_NFI[[#This Row],[Winter Blanket]]&gt;0,1,0)</f>
        <v>0</v>
      </c>
      <c r="AN31" s="392">
        <f>IF(NFI_Expiration=1,IF($A31&lt;VLOOKUP(V$5,NFI,5,0),1,0)*Table_NFI[[#This Row],[Jerry Can]],Table_NFI[Jerry Can])</f>
        <v>0</v>
      </c>
      <c r="AO31" s="540" t="str">
        <f>IFERROR(VLOOKUP(Table_NFI[[#This Row],[Camp Name]],CL,2,0),"")</f>
        <v>MMR001CMP050</v>
      </c>
      <c r="AP31" s="535">
        <f ca="1">IF(Table_NFI[[#This Row],[Pcode]]="","",IF(OFFSET(CampList[Opening Date],MATCH(Table_NFI[[#This Row],[Pcode]],CampList[CP_Pcode],0)-1,0,1,1)&gt;=NFI_Monitor_Date,1,0))</f>
        <v>0</v>
      </c>
      <c r="AQ31" s="540" t="str">
        <f>IFERROR(VLOOKUP(Table_NFI[[#This Row],[Camp Name]],CL,3,0),"")</f>
        <v>Open</v>
      </c>
      <c r="AR31" s="352" t="str">
        <f ca="1">IF(Table_NFI[[#This Row],[Pcode]]="","",OFFSET(CampList[Priority],MATCH(Table_NFI[[#This Row],[Pcode]],CampList[CP_Pcode],0)-1,0,1,1))</f>
        <v>P4</v>
      </c>
      <c r="AS31" s="351">
        <f>IFERROR(Table_NFI[[#This Row],[Kitchen Set]]/VLOOKUP(Table_NFI[[#This Row],[Camp Name]],CL,4,0),"")</f>
        <v>0</v>
      </c>
      <c r="AT31" s="533"/>
      <c r="AU31" s="536"/>
    </row>
    <row r="32" spans="1:47" s="537" customFormat="1" hidden="1" x14ac:dyDescent="0.25">
      <c r="A32" s="355">
        <f t="shared" si="0"/>
        <v>7.2</v>
      </c>
      <c r="B32" s="532">
        <v>42355</v>
      </c>
      <c r="C32" s="533" t="s">
        <v>907</v>
      </c>
      <c r="D32" s="533" t="s">
        <v>907</v>
      </c>
      <c r="E32" s="533" t="s">
        <v>380</v>
      </c>
      <c r="F32" s="348" t="s">
        <v>5</v>
      </c>
      <c r="G32" s="348" t="s">
        <v>6</v>
      </c>
      <c r="H32" s="349"/>
      <c r="I32" s="349"/>
      <c r="J32" s="349"/>
      <c r="K32" s="349"/>
      <c r="L32" s="350"/>
      <c r="M32" s="350"/>
      <c r="N32" s="350"/>
      <c r="O32" s="350"/>
      <c r="P32" s="352"/>
      <c r="Q32" s="352"/>
      <c r="R32" s="352"/>
      <c r="S32" s="352"/>
      <c r="T32" s="352"/>
      <c r="U32" s="352"/>
      <c r="V32" s="497"/>
      <c r="W32" s="352">
        <v>38</v>
      </c>
      <c r="X32" s="352"/>
      <c r="Y32" s="352">
        <f>IF(NFI_Expiration=1,IF($A32&lt;VLOOKUP(H$5,NFI,5,0),1,0)*Table_NFI[[#This Row],[Hygiene Kit]],Table_NFI[Hygiene Kit])</f>
        <v>0</v>
      </c>
      <c r="Z32" s="352">
        <f>IF(NFI_Expiration=1,IF($A32&lt;VLOOKUP(I$5,NFI,5,0),1,0)*Table_NFI[[#This Row],[NFI Core Kit]],Table_NFI[NFI Core Kit])</f>
        <v>0</v>
      </c>
      <c r="AA32" s="352">
        <f>IF(NFI_Expiration=1,IF($A32&lt;VLOOKUP(J$5,NFI,5,0),1,0)*Table_NFI[[#This Row],[Sanitary Kit]],Table_NFI[Sanitary Kit])</f>
        <v>0</v>
      </c>
      <c r="AB32" s="352">
        <f>IF(NFI_Expiration=1,IF($A32&lt;VLOOKUP(K$5,NFI,5,0),1,0)*Table_NFI[[#This Row],[Mosquito net]],Table_NFI[Mosquito net])</f>
        <v>0</v>
      </c>
      <c r="AC32" s="352">
        <f>IF(NFI_Expiration=1,IF($A32&lt;VLOOKUP(L$5,NFI,5,0),1,0)*Table_NFI[[#This Row],[Tarpaulin]],Table_NFI[[#This Row],[Tarpaulin]])</f>
        <v>0</v>
      </c>
      <c r="AD32" s="352">
        <f>IF(NFI_Expiration=1,IF($A32&lt;VLOOKUP(M$5,NFI,5,0),1,0)*Table_NFI[[#This Row],[Blanket]],Table_NFI[[#This Row],[Blanket]])</f>
        <v>0</v>
      </c>
      <c r="AE32" s="352">
        <f>IF(NFI_Expiration=1,IF($A32&lt;VLOOKUP(N$5,NFI,5,0),1,0)*Table_NFI[[#This Row],[Kitchen Set]],Table_NFI[Kitchen Set])</f>
        <v>0</v>
      </c>
      <c r="AF32" s="352">
        <f>IF(NFI_Expiration=1,IF($A32&lt;VLOOKUP(O$5,NFI,5,0),1,0)*Table_NFI[[#This Row],[Clothes Kit]],Table_NFI[Clothes Kit])</f>
        <v>0</v>
      </c>
      <c r="AG32" s="352">
        <f>IF(NFI_Expiration=1,IF($A32&lt;VLOOKUP(P$5,NFI,5,0),1,0)*Table_NFI[[#This Row],[Plastic Bucket]],Table_NFI[Plastic Bucket])</f>
        <v>0</v>
      </c>
      <c r="AH32" s="352">
        <f>IF(NFI_Expiration=1,IF($A32&lt;VLOOKUP(Q$5,NFI,5,0),1,0)*Table_NFI[[#This Row],[Plastic Mat]],Table_NFI[Plastic Mat])*IF(Table_NFI[[#This Row],[Distribution Date]]&gt;"2014-04-01",1,2.5)</f>
        <v>0</v>
      </c>
      <c r="AI32" s="352">
        <f>IF(NFI_Expiration=1,IF($A32&lt;VLOOKUP(R$5,NFI,5,0),1,0)*Table_NFI[[#This Row],[Winter Clothes Adult]],Table_NFI[Winter Clothes Adult])</f>
        <v>0</v>
      </c>
      <c r="AJ32" s="352">
        <f>IF(NFI_Expiration=1,IF($A32&lt;VLOOKUP(S$5,NFI,5,0),1,0)*Table_NFI[[#This Row],[Winter Clothes Children]],Table_NFI[Winter Clothes Children])</f>
        <v>0</v>
      </c>
      <c r="AK32" s="352">
        <f>IF(NFI_Expiration=1,IF($A32&lt;VLOOKUP(T$5,NFI,5,0),1,0)*Table_NFI[[#This Row],[Winter Items Other]],Table_NFI[Winter Items Other])</f>
        <v>0</v>
      </c>
      <c r="AL32" s="352">
        <f>IF(NFI_Expiration=1,IF($A32&lt;VLOOKUP(M$5,NFI,5,0),1,0)*Table_NFI[[#This Row],[Winter Blanket]],Table_NFI[[#This Row],[Winter Blanket]])</f>
        <v>0</v>
      </c>
      <c r="AM32" s="352">
        <f>IF(Table_NFI[[#This Row],[Winter Clothes Adult]]+Table_NFI[[#This Row],[Winter Clothes Children]]+Table_NFI[[#This Row],[Winter Items Other]]+Table_NFI[[#This Row],[Winter Blanket]]&gt;0,1,0)</f>
        <v>0</v>
      </c>
      <c r="AN32" s="392">
        <f>IF(NFI_Expiration=1,IF($A32&lt;VLOOKUP(V$5,NFI,5,0),1,0)*Table_NFI[[#This Row],[Jerry Can]],Table_NFI[Jerry Can])</f>
        <v>0</v>
      </c>
      <c r="AO32" s="540" t="str">
        <f>IFERROR(VLOOKUP(Table_NFI[[#This Row],[Camp Name]],CL,2,0),"")</f>
        <v>MMR001CMP050</v>
      </c>
      <c r="AP32" s="535">
        <f ca="1">IF(Table_NFI[[#This Row],[Pcode]]="","",IF(OFFSET(CampList[Opening Date],MATCH(Table_NFI[[#This Row],[Pcode]],CampList[CP_Pcode],0)-1,0,1,1)&gt;=NFI_Monitor_Date,1,0))</f>
        <v>0</v>
      </c>
      <c r="AQ32" s="540" t="str">
        <f>IFERROR(VLOOKUP(Table_NFI[[#This Row],[Camp Name]],CL,3,0),"")</f>
        <v>Open</v>
      </c>
      <c r="AR32" s="352" t="str">
        <f ca="1">IF(Table_NFI[[#This Row],[Pcode]]="","",OFFSET(CampList[Priority],MATCH(Table_NFI[[#This Row],[Pcode]],CampList[CP_Pcode],0)-1,0,1,1))</f>
        <v>P4</v>
      </c>
      <c r="AS32" s="351">
        <f>IFERROR(Table_NFI[[#This Row],[Kitchen Set]]/VLOOKUP(Table_NFI[[#This Row],[Camp Name]],CL,4,0),"")</f>
        <v>0</v>
      </c>
      <c r="AT32" s="533"/>
      <c r="AU32" s="536"/>
    </row>
    <row r="33" spans="1:47" s="537" customFormat="1" hidden="1" x14ac:dyDescent="0.25">
      <c r="A33" s="355">
        <f t="shared" si="0"/>
        <v>4.833333333333333</v>
      </c>
      <c r="B33" s="532">
        <v>42426</v>
      </c>
      <c r="C33" s="533" t="s">
        <v>907</v>
      </c>
      <c r="D33" s="533" t="s">
        <v>907</v>
      </c>
      <c r="E33" s="533" t="s">
        <v>380</v>
      </c>
      <c r="F33" s="348" t="s">
        <v>5</v>
      </c>
      <c r="G33" s="348" t="s">
        <v>6</v>
      </c>
      <c r="H33" s="349"/>
      <c r="I33" s="349"/>
      <c r="J33" s="349"/>
      <c r="K33" s="349"/>
      <c r="L33" s="350"/>
      <c r="M33" s="350"/>
      <c r="N33" s="350"/>
      <c r="O33" s="350"/>
      <c r="P33" s="352"/>
      <c r="Q33" s="352"/>
      <c r="R33" s="352"/>
      <c r="S33" s="352"/>
      <c r="T33" s="352"/>
      <c r="U33" s="352"/>
      <c r="V33" s="497"/>
      <c r="W33" s="352">
        <v>37</v>
      </c>
      <c r="X33" s="352"/>
      <c r="Y33" s="352">
        <f>IF(NFI_Expiration=1,IF($A33&lt;VLOOKUP(H$5,NFI,5,0),1,0)*Table_NFI[[#This Row],[Hygiene Kit]],Table_NFI[Hygiene Kit])</f>
        <v>0</v>
      </c>
      <c r="Z33" s="352">
        <f>IF(NFI_Expiration=1,IF($A33&lt;VLOOKUP(I$5,NFI,5,0),1,0)*Table_NFI[[#This Row],[NFI Core Kit]],Table_NFI[NFI Core Kit])</f>
        <v>0</v>
      </c>
      <c r="AA33" s="352">
        <f>IF(NFI_Expiration=1,IF($A33&lt;VLOOKUP(J$5,NFI,5,0),1,0)*Table_NFI[[#This Row],[Sanitary Kit]],Table_NFI[Sanitary Kit])</f>
        <v>0</v>
      </c>
      <c r="AB33" s="352">
        <f>IF(NFI_Expiration=1,IF($A33&lt;VLOOKUP(K$5,NFI,5,0),1,0)*Table_NFI[[#This Row],[Mosquito net]],Table_NFI[Mosquito net])</f>
        <v>0</v>
      </c>
      <c r="AC33" s="352">
        <f>IF(NFI_Expiration=1,IF($A33&lt;VLOOKUP(L$5,NFI,5,0),1,0)*Table_NFI[[#This Row],[Tarpaulin]],Table_NFI[[#This Row],[Tarpaulin]])</f>
        <v>0</v>
      </c>
      <c r="AD33" s="352">
        <f>IF(NFI_Expiration=1,IF($A33&lt;VLOOKUP(M$5,NFI,5,0),1,0)*Table_NFI[[#This Row],[Blanket]],Table_NFI[[#This Row],[Blanket]])</f>
        <v>0</v>
      </c>
      <c r="AE33" s="352">
        <f>IF(NFI_Expiration=1,IF($A33&lt;VLOOKUP(N$5,NFI,5,0),1,0)*Table_NFI[[#This Row],[Kitchen Set]],Table_NFI[Kitchen Set])</f>
        <v>0</v>
      </c>
      <c r="AF33" s="352">
        <f>IF(NFI_Expiration=1,IF($A33&lt;VLOOKUP(O$5,NFI,5,0),1,0)*Table_NFI[[#This Row],[Clothes Kit]],Table_NFI[Clothes Kit])</f>
        <v>0</v>
      </c>
      <c r="AG33" s="352">
        <f>IF(NFI_Expiration=1,IF($A33&lt;VLOOKUP(P$5,NFI,5,0),1,0)*Table_NFI[[#This Row],[Plastic Bucket]],Table_NFI[Plastic Bucket])</f>
        <v>0</v>
      </c>
      <c r="AH33" s="352">
        <f>IF(NFI_Expiration=1,IF($A33&lt;VLOOKUP(Q$5,NFI,5,0),1,0)*Table_NFI[[#This Row],[Plastic Mat]],Table_NFI[Plastic Mat])*IF(Table_NFI[[#This Row],[Distribution Date]]&gt;"2014-04-01",1,2.5)</f>
        <v>0</v>
      </c>
      <c r="AI33" s="352">
        <f>IF(NFI_Expiration=1,IF($A33&lt;VLOOKUP(R$5,NFI,5,0),1,0)*Table_NFI[[#This Row],[Winter Clothes Adult]],Table_NFI[Winter Clothes Adult])</f>
        <v>0</v>
      </c>
      <c r="AJ33" s="352">
        <f>IF(NFI_Expiration=1,IF($A33&lt;VLOOKUP(S$5,NFI,5,0),1,0)*Table_NFI[[#This Row],[Winter Clothes Children]],Table_NFI[Winter Clothes Children])</f>
        <v>0</v>
      </c>
      <c r="AK33" s="352">
        <f>IF(NFI_Expiration=1,IF($A33&lt;VLOOKUP(T$5,NFI,5,0),1,0)*Table_NFI[[#This Row],[Winter Items Other]],Table_NFI[Winter Items Other])</f>
        <v>0</v>
      </c>
      <c r="AL33" s="352">
        <f>IF(NFI_Expiration=1,IF($A33&lt;VLOOKUP(M$5,NFI,5,0),1,0)*Table_NFI[[#This Row],[Winter Blanket]],Table_NFI[[#This Row],[Winter Blanket]])</f>
        <v>0</v>
      </c>
      <c r="AM33" s="352">
        <f>IF(Table_NFI[[#This Row],[Winter Clothes Adult]]+Table_NFI[[#This Row],[Winter Clothes Children]]+Table_NFI[[#This Row],[Winter Items Other]]+Table_NFI[[#This Row],[Winter Blanket]]&gt;0,1,0)</f>
        <v>0</v>
      </c>
      <c r="AN33" s="392">
        <f>IF(NFI_Expiration=1,IF($A33&lt;VLOOKUP(V$5,NFI,5,0),1,0)*Table_NFI[[#This Row],[Jerry Can]],Table_NFI[Jerry Can])</f>
        <v>0</v>
      </c>
      <c r="AO33" s="540" t="str">
        <f>IFERROR(VLOOKUP(Table_NFI[[#This Row],[Camp Name]],CL,2,0),"")</f>
        <v>MMR001CMP050</v>
      </c>
      <c r="AP33" s="535">
        <f ca="1">IF(Table_NFI[[#This Row],[Pcode]]="","",IF(OFFSET(CampList[Opening Date],MATCH(Table_NFI[[#This Row],[Pcode]],CampList[CP_Pcode],0)-1,0,1,1)&gt;=NFI_Monitor_Date,1,0))</f>
        <v>0</v>
      </c>
      <c r="AQ33" s="540" t="str">
        <f>IFERROR(VLOOKUP(Table_NFI[[#This Row],[Camp Name]],CL,3,0),"")</f>
        <v>Open</v>
      </c>
      <c r="AR33" s="352" t="str">
        <f ca="1">IF(Table_NFI[[#This Row],[Pcode]]="","",OFFSET(CampList[Priority],MATCH(Table_NFI[[#This Row],[Pcode]],CampList[CP_Pcode],0)-1,0,1,1))</f>
        <v>P4</v>
      </c>
      <c r="AS33" s="351">
        <f>IFERROR(Table_NFI[[#This Row],[Kitchen Set]]/VLOOKUP(Table_NFI[[#This Row],[Camp Name]],CL,4,0),"")</f>
        <v>0</v>
      </c>
      <c r="AT33" s="533"/>
      <c r="AU33" s="536"/>
    </row>
    <row r="34" spans="1:47" s="537" customFormat="1" hidden="1" x14ac:dyDescent="0.25">
      <c r="A34" s="355">
        <f t="shared" si="0"/>
        <v>19.600000000000001</v>
      </c>
      <c r="B34" s="532">
        <v>41983</v>
      </c>
      <c r="C34" s="533" t="s">
        <v>907</v>
      </c>
      <c r="D34" s="533" t="s">
        <v>907</v>
      </c>
      <c r="E34" s="533" t="s">
        <v>380</v>
      </c>
      <c r="F34" s="348" t="s">
        <v>185</v>
      </c>
      <c r="G34" s="348" t="s">
        <v>1566</v>
      </c>
      <c r="H34" s="349"/>
      <c r="I34" s="349"/>
      <c r="J34" s="352">
        <v>85</v>
      </c>
      <c r="K34" s="349"/>
      <c r="L34" s="350"/>
      <c r="M34" s="350"/>
      <c r="N34" s="350"/>
      <c r="O34" s="350"/>
      <c r="P34" s="352"/>
      <c r="Q34" s="392"/>
      <c r="R34" s="392"/>
      <c r="S34" s="392"/>
      <c r="T34" s="392"/>
      <c r="U34" s="392"/>
      <c r="V34" s="497"/>
      <c r="W34" s="392"/>
      <c r="X34" s="392"/>
      <c r="Y34" s="352">
        <f>IF(NFI_Expiration=1,IF($A34&lt;VLOOKUP(H$5,NFI,5,0),1,0)*Table_NFI[[#This Row],[Hygiene Kit]],Table_NFI[Hygiene Kit])</f>
        <v>0</v>
      </c>
      <c r="Z34" s="352">
        <f>IF(NFI_Expiration=1,IF($A34&lt;VLOOKUP(I$5,NFI,5,0),1,0)*Table_NFI[[#This Row],[NFI Core Kit]],Table_NFI[NFI Core Kit])</f>
        <v>0</v>
      </c>
      <c r="AA34" s="352">
        <f>IF(NFI_Expiration=1,IF($A34&lt;VLOOKUP(J$5,NFI,5,0),1,0)*Table_NFI[[#This Row],[Sanitary Kit]],Table_NFI[Sanitary Kit])</f>
        <v>0</v>
      </c>
      <c r="AB34" s="352">
        <f>IF(NFI_Expiration=1,IF($A34&lt;VLOOKUP(K$5,NFI,5,0),1,0)*Table_NFI[[#This Row],[Mosquito net]],Table_NFI[Mosquito net])</f>
        <v>0</v>
      </c>
      <c r="AC34" s="352">
        <f>IF(NFI_Expiration=1,IF($A34&lt;VLOOKUP(L$5,NFI,5,0),1,0)*Table_NFI[[#This Row],[Tarpaulin]],Table_NFI[[#This Row],[Tarpaulin]])</f>
        <v>0</v>
      </c>
      <c r="AD34" s="352">
        <f>IF(NFI_Expiration=1,IF($A34&lt;VLOOKUP(M$5,NFI,5,0),1,0)*Table_NFI[[#This Row],[Blanket]],Table_NFI[[#This Row],[Blanket]])</f>
        <v>0</v>
      </c>
      <c r="AE34" s="352">
        <f>IF(NFI_Expiration=1,IF($A34&lt;VLOOKUP(N$5,NFI,5,0),1,0)*Table_NFI[[#This Row],[Kitchen Set]],Table_NFI[Kitchen Set])</f>
        <v>0</v>
      </c>
      <c r="AF34" s="352">
        <f>IF(NFI_Expiration=1,IF($A34&lt;VLOOKUP(O$5,NFI,5,0),1,0)*Table_NFI[[#This Row],[Clothes Kit]],Table_NFI[Clothes Kit])</f>
        <v>0</v>
      </c>
      <c r="AG34" s="352">
        <f>IF(NFI_Expiration=1,IF($A34&lt;VLOOKUP(P$5,NFI,5,0),1,0)*Table_NFI[[#This Row],[Plastic Bucket]],Table_NFI[Plastic Bucket])</f>
        <v>0</v>
      </c>
      <c r="AH34" s="352">
        <f>IF(NFI_Expiration=1,IF($A34&lt;VLOOKUP(Q$5,NFI,5,0),1,0)*Table_NFI[[#This Row],[Plastic Mat]],Table_NFI[Plastic Mat])*IF(Table_NFI[[#This Row],[Distribution Date]]&gt;"2014-04-01",1,2.5)</f>
        <v>0</v>
      </c>
      <c r="AI34" s="352">
        <f>IF(NFI_Expiration=1,IF($A34&lt;VLOOKUP(R$5,NFI,5,0),1,0)*Table_NFI[[#This Row],[Winter Clothes Adult]],Table_NFI[Winter Clothes Adult])</f>
        <v>0</v>
      </c>
      <c r="AJ34" s="352">
        <f>IF(NFI_Expiration=1,IF($A34&lt;VLOOKUP(S$5,NFI,5,0),1,0)*Table_NFI[[#This Row],[Winter Clothes Children]],Table_NFI[Winter Clothes Children])</f>
        <v>0</v>
      </c>
      <c r="AK34" s="352">
        <f>IF(NFI_Expiration=1,IF($A34&lt;VLOOKUP(T$5,NFI,5,0),1,0)*Table_NFI[[#This Row],[Winter Items Other]],Table_NFI[Winter Items Other])</f>
        <v>0</v>
      </c>
      <c r="AL34" s="352">
        <f>IF(NFI_Expiration=1,IF($A34&lt;VLOOKUP(M$5,NFI,5,0),1,0)*Table_NFI[[#This Row],[Winter Blanket]],Table_NFI[[#This Row],[Winter Blanket]])</f>
        <v>0</v>
      </c>
      <c r="AM34" s="352">
        <f>IF(Table_NFI[[#This Row],[Winter Clothes Adult]]+Table_NFI[[#This Row],[Winter Clothes Children]]+Table_NFI[[#This Row],[Winter Items Other]]+Table_NFI[[#This Row],[Winter Blanket]]&gt;0,1,0)</f>
        <v>0</v>
      </c>
      <c r="AN34" s="392">
        <f>IF(NFI_Expiration=1,IF($A34&lt;VLOOKUP(V$5,NFI,5,0),1,0)*Table_NFI[[#This Row],[Jerry Can]],Table_NFI[Jerry Can])</f>
        <v>0</v>
      </c>
      <c r="AO34" s="540" t="str">
        <f>IFERROR(VLOOKUP(Table_NFI[[#This Row],[Camp Name]],CL,2,0),"")</f>
        <v/>
      </c>
      <c r="AP34" s="535" t="str">
        <f ca="1">IF(Table_NFI[[#This Row],[Pcode]]="","",IF(OFFSET(CampList[Opening Date],MATCH(Table_NFI[[#This Row],[Pcode]],CampList[CP_Pcode],0)-1,0,1,1)&gt;=NFI_Monitor_Date,1,0))</f>
        <v/>
      </c>
      <c r="AQ34" s="540" t="str">
        <f>IFERROR(VLOOKUP(Table_NFI[[#This Row],[Camp Name]],CL,3,0),"")</f>
        <v/>
      </c>
      <c r="AR34" s="352" t="str">
        <f ca="1">IF(Table_NFI[[#This Row],[Pcode]]="","",OFFSET(CampList[Priority],MATCH(Table_NFI[[#This Row],[Pcode]],CampList[CP_Pcode],0)-1,0,1,1))</f>
        <v/>
      </c>
      <c r="AS34" s="351" t="str">
        <f>IFERROR(Table_NFI[[#This Row],[Kitchen Set]]/VLOOKUP(Table_NFI[[#This Row],[Camp Name]],CL,4,0),"")</f>
        <v/>
      </c>
      <c r="AT34" s="533"/>
      <c r="AU34" s="536"/>
    </row>
    <row r="35" spans="1:47" s="537" customFormat="1" hidden="1" x14ac:dyDescent="0.25">
      <c r="A35" s="355">
        <f t="shared" si="0"/>
        <v>13.933333333333334</v>
      </c>
      <c r="B35" s="532">
        <v>42153</v>
      </c>
      <c r="C35" s="533" t="s">
        <v>907</v>
      </c>
      <c r="D35" s="533" t="s">
        <v>907</v>
      </c>
      <c r="E35" s="533" t="s">
        <v>380</v>
      </c>
      <c r="F35" s="348" t="s">
        <v>185</v>
      </c>
      <c r="G35" s="348" t="s">
        <v>1566</v>
      </c>
      <c r="H35" s="349"/>
      <c r="I35" s="349"/>
      <c r="J35" s="352">
        <v>103</v>
      </c>
      <c r="K35" s="349"/>
      <c r="L35" s="350"/>
      <c r="M35" s="350"/>
      <c r="N35" s="350"/>
      <c r="O35" s="350"/>
      <c r="P35" s="352"/>
      <c r="Q35" s="392"/>
      <c r="R35" s="392"/>
      <c r="S35" s="392"/>
      <c r="T35" s="392"/>
      <c r="U35" s="392"/>
      <c r="V35" s="497"/>
      <c r="W35" s="392"/>
      <c r="X35" s="392"/>
      <c r="Y35" s="352">
        <f>IF(NFI_Expiration=1,IF($A35&lt;VLOOKUP(H$5,NFI,5,0),1,0)*Table_NFI[[#This Row],[Hygiene Kit]],Table_NFI[Hygiene Kit])</f>
        <v>0</v>
      </c>
      <c r="Z35" s="352">
        <f>IF(NFI_Expiration=1,IF($A35&lt;VLOOKUP(I$5,NFI,5,0),1,0)*Table_NFI[[#This Row],[NFI Core Kit]],Table_NFI[NFI Core Kit])</f>
        <v>0</v>
      </c>
      <c r="AA35" s="352">
        <f>IF(NFI_Expiration=1,IF($A35&lt;VLOOKUP(J$5,NFI,5,0),1,0)*Table_NFI[[#This Row],[Sanitary Kit]],Table_NFI[Sanitary Kit])</f>
        <v>0</v>
      </c>
      <c r="AB35" s="352">
        <f>IF(NFI_Expiration=1,IF($A35&lt;VLOOKUP(K$5,NFI,5,0),1,0)*Table_NFI[[#This Row],[Mosquito net]],Table_NFI[Mosquito net])</f>
        <v>0</v>
      </c>
      <c r="AC35" s="352">
        <f>IF(NFI_Expiration=1,IF($A35&lt;VLOOKUP(L$5,NFI,5,0),1,0)*Table_NFI[[#This Row],[Tarpaulin]],Table_NFI[[#This Row],[Tarpaulin]])</f>
        <v>0</v>
      </c>
      <c r="AD35" s="352">
        <f>IF(NFI_Expiration=1,IF($A35&lt;VLOOKUP(M$5,NFI,5,0),1,0)*Table_NFI[[#This Row],[Blanket]],Table_NFI[[#This Row],[Blanket]])</f>
        <v>0</v>
      </c>
      <c r="AE35" s="352">
        <f>IF(NFI_Expiration=1,IF($A35&lt;VLOOKUP(N$5,NFI,5,0),1,0)*Table_NFI[[#This Row],[Kitchen Set]],Table_NFI[Kitchen Set])</f>
        <v>0</v>
      </c>
      <c r="AF35" s="352">
        <f>IF(NFI_Expiration=1,IF($A35&lt;VLOOKUP(O$5,NFI,5,0),1,0)*Table_NFI[[#This Row],[Clothes Kit]],Table_NFI[Clothes Kit])</f>
        <v>0</v>
      </c>
      <c r="AG35" s="352">
        <f>IF(NFI_Expiration=1,IF($A35&lt;VLOOKUP(P$5,NFI,5,0),1,0)*Table_NFI[[#This Row],[Plastic Bucket]],Table_NFI[Plastic Bucket])</f>
        <v>0</v>
      </c>
      <c r="AH35" s="352">
        <f>IF(NFI_Expiration=1,IF($A35&lt;VLOOKUP(Q$5,NFI,5,0),1,0)*Table_NFI[[#This Row],[Plastic Mat]],Table_NFI[Plastic Mat])*IF(Table_NFI[[#This Row],[Distribution Date]]&gt;"2014-04-01",1,2.5)</f>
        <v>0</v>
      </c>
      <c r="AI35" s="352">
        <f>IF(NFI_Expiration=1,IF($A35&lt;VLOOKUP(R$5,NFI,5,0),1,0)*Table_NFI[[#This Row],[Winter Clothes Adult]],Table_NFI[Winter Clothes Adult])</f>
        <v>0</v>
      </c>
      <c r="AJ35" s="352">
        <f>IF(NFI_Expiration=1,IF($A35&lt;VLOOKUP(S$5,NFI,5,0),1,0)*Table_NFI[[#This Row],[Winter Clothes Children]],Table_NFI[Winter Clothes Children])</f>
        <v>0</v>
      </c>
      <c r="AK35" s="352">
        <f>IF(NFI_Expiration=1,IF($A35&lt;VLOOKUP(T$5,NFI,5,0),1,0)*Table_NFI[[#This Row],[Winter Items Other]],Table_NFI[Winter Items Other])</f>
        <v>0</v>
      </c>
      <c r="AL35" s="352">
        <f>IF(NFI_Expiration=1,IF($A35&lt;VLOOKUP(M$5,NFI,5,0),1,0)*Table_NFI[[#This Row],[Winter Blanket]],Table_NFI[[#This Row],[Winter Blanket]])</f>
        <v>0</v>
      </c>
      <c r="AM35" s="352">
        <f>IF(Table_NFI[[#This Row],[Winter Clothes Adult]]+Table_NFI[[#This Row],[Winter Clothes Children]]+Table_NFI[[#This Row],[Winter Items Other]]+Table_NFI[[#This Row],[Winter Blanket]]&gt;0,1,0)</f>
        <v>0</v>
      </c>
      <c r="AN35" s="392">
        <f>IF(NFI_Expiration=1,IF($A35&lt;VLOOKUP(V$5,NFI,5,0),1,0)*Table_NFI[[#This Row],[Jerry Can]],Table_NFI[Jerry Can])</f>
        <v>0</v>
      </c>
      <c r="AO35" s="540" t="str">
        <f>IFERROR(VLOOKUP(Table_NFI[[#This Row],[Camp Name]],CL,2,0),"")</f>
        <v/>
      </c>
      <c r="AP35" s="535" t="str">
        <f ca="1">IF(Table_NFI[[#This Row],[Pcode]]="","",IF(OFFSET(CampList[Opening Date],MATCH(Table_NFI[[#This Row],[Pcode]],CampList[CP_Pcode],0)-1,0,1,1)&gt;=NFI_Monitor_Date,1,0))</f>
        <v/>
      </c>
      <c r="AQ35" s="540" t="str">
        <f>IFERROR(VLOOKUP(Table_NFI[[#This Row],[Camp Name]],CL,3,0),"")</f>
        <v/>
      </c>
      <c r="AR35" s="352" t="str">
        <f ca="1">IF(Table_NFI[[#This Row],[Pcode]]="","",OFFSET(CampList[Priority],MATCH(Table_NFI[[#This Row],[Pcode]],CampList[CP_Pcode],0)-1,0,1,1))</f>
        <v/>
      </c>
      <c r="AS35" s="351" t="str">
        <f>IFERROR(Table_NFI[[#This Row],[Kitchen Set]]/VLOOKUP(Table_NFI[[#This Row],[Camp Name]],CL,4,0),"")</f>
        <v/>
      </c>
      <c r="AT35" s="533"/>
      <c r="AU35" s="536"/>
    </row>
    <row r="36" spans="1:47" s="537" customFormat="1" hidden="1" x14ac:dyDescent="0.25">
      <c r="A36" s="355">
        <f t="shared" si="0"/>
        <v>5.5666666666666664</v>
      </c>
      <c r="B36" s="532">
        <v>42404</v>
      </c>
      <c r="C36" s="533" t="s">
        <v>907</v>
      </c>
      <c r="D36" s="533" t="s">
        <v>907</v>
      </c>
      <c r="E36" s="533" t="s">
        <v>380</v>
      </c>
      <c r="F36" s="348" t="s">
        <v>185</v>
      </c>
      <c r="G36" s="348" t="s">
        <v>1566</v>
      </c>
      <c r="H36" s="349"/>
      <c r="I36" s="349"/>
      <c r="J36" s="352">
        <v>96</v>
      </c>
      <c r="K36" s="349"/>
      <c r="L36" s="350"/>
      <c r="M36" s="350"/>
      <c r="N36" s="350"/>
      <c r="O36" s="350"/>
      <c r="P36" s="352"/>
      <c r="Q36" s="392"/>
      <c r="R36" s="392"/>
      <c r="S36" s="392"/>
      <c r="T36" s="392"/>
      <c r="U36" s="392"/>
      <c r="V36" s="497"/>
      <c r="W36" s="392"/>
      <c r="X36" s="392"/>
      <c r="Y36" s="352">
        <f>IF(NFI_Expiration=1,IF($A36&lt;VLOOKUP(H$5,NFI,5,0),1,0)*Table_NFI[[#This Row],[Hygiene Kit]],Table_NFI[Hygiene Kit])</f>
        <v>0</v>
      </c>
      <c r="Z36" s="352">
        <f>IF(NFI_Expiration=1,IF($A36&lt;VLOOKUP(I$5,NFI,5,0),1,0)*Table_NFI[[#This Row],[NFI Core Kit]],Table_NFI[NFI Core Kit])</f>
        <v>0</v>
      </c>
      <c r="AA36" s="352">
        <f>IF(NFI_Expiration=1,IF($A36&lt;VLOOKUP(J$5,NFI,5,0),1,0)*Table_NFI[[#This Row],[Sanitary Kit]],Table_NFI[Sanitary Kit])</f>
        <v>96</v>
      </c>
      <c r="AB36" s="352">
        <f>IF(NFI_Expiration=1,IF($A36&lt;VLOOKUP(K$5,NFI,5,0),1,0)*Table_NFI[[#This Row],[Mosquito net]],Table_NFI[Mosquito net])</f>
        <v>0</v>
      </c>
      <c r="AC36" s="352">
        <f>IF(NFI_Expiration=1,IF($A36&lt;VLOOKUP(L$5,NFI,5,0),1,0)*Table_NFI[[#This Row],[Tarpaulin]],Table_NFI[[#This Row],[Tarpaulin]])</f>
        <v>0</v>
      </c>
      <c r="AD36" s="352">
        <f>IF(NFI_Expiration=1,IF($A36&lt;VLOOKUP(M$5,NFI,5,0),1,0)*Table_NFI[[#This Row],[Blanket]],Table_NFI[[#This Row],[Blanket]])</f>
        <v>0</v>
      </c>
      <c r="AE36" s="352">
        <f>IF(NFI_Expiration=1,IF($A36&lt;VLOOKUP(N$5,NFI,5,0),1,0)*Table_NFI[[#This Row],[Kitchen Set]],Table_NFI[Kitchen Set])</f>
        <v>0</v>
      </c>
      <c r="AF36" s="352">
        <f>IF(NFI_Expiration=1,IF($A36&lt;VLOOKUP(O$5,NFI,5,0),1,0)*Table_NFI[[#This Row],[Clothes Kit]],Table_NFI[Clothes Kit])</f>
        <v>0</v>
      </c>
      <c r="AG36" s="352">
        <f>IF(NFI_Expiration=1,IF($A36&lt;VLOOKUP(P$5,NFI,5,0),1,0)*Table_NFI[[#This Row],[Plastic Bucket]],Table_NFI[Plastic Bucket])</f>
        <v>0</v>
      </c>
      <c r="AH36" s="352">
        <f>IF(NFI_Expiration=1,IF($A36&lt;VLOOKUP(Q$5,NFI,5,0),1,0)*Table_NFI[[#This Row],[Plastic Mat]],Table_NFI[Plastic Mat])*IF(Table_NFI[[#This Row],[Distribution Date]]&gt;"2014-04-01",1,2.5)</f>
        <v>0</v>
      </c>
      <c r="AI36" s="352">
        <f>IF(NFI_Expiration=1,IF($A36&lt;VLOOKUP(R$5,NFI,5,0),1,0)*Table_NFI[[#This Row],[Winter Clothes Adult]],Table_NFI[Winter Clothes Adult])</f>
        <v>0</v>
      </c>
      <c r="AJ36" s="352">
        <f>IF(NFI_Expiration=1,IF($A36&lt;VLOOKUP(S$5,NFI,5,0),1,0)*Table_NFI[[#This Row],[Winter Clothes Children]],Table_NFI[Winter Clothes Children])</f>
        <v>0</v>
      </c>
      <c r="AK36" s="352">
        <f>IF(NFI_Expiration=1,IF($A36&lt;VLOOKUP(T$5,NFI,5,0),1,0)*Table_NFI[[#This Row],[Winter Items Other]],Table_NFI[Winter Items Other])</f>
        <v>0</v>
      </c>
      <c r="AL36" s="352">
        <f>IF(NFI_Expiration=1,IF($A36&lt;VLOOKUP(M$5,NFI,5,0),1,0)*Table_NFI[[#This Row],[Winter Blanket]],Table_NFI[[#This Row],[Winter Blanket]])</f>
        <v>0</v>
      </c>
      <c r="AM36" s="352">
        <f>IF(Table_NFI[[#This Row],[Winter Clothes Adult]]+Table_NFI[[#This Row],[Winter Clothes Children]]+Table_NFI[[#This Row],[Winter Items Other]]+Table_NFI[[#This Row],[Winter Blanket]]&gt;0,1,0)</f>
        <v>0</v>
      </c>
      <c r="AN36" s="392">
        <f>IF(NFI_Expiration=1,IF($A36&lt;VLOOKUP(V$5,NFI,5,0),1,0)*Table_NFI[[#This Row],[Jerry Can]],Table_NFI[Jerry Can])</f>
        <v>0</v>
      </c>
      <c r="AO36" s="540" t="str">
        <f>IFERROR(VLOOKUP(Table_NFI[[#This Row],[Camp Name]],CL,2,0),"")</f>
        <v/>
      </c>
      <c r="AP36" s="535" t="str">
        <f ca="1">IF(Table_NFI[[#This Row],[Pcode]]="","",IF(OFFSET(CampList[Opening Date],MATCH(Table_NFI[[#This Row],[Pcode]],CampList[CP_Pcode],0)-1,0,1,1)&gt;=NFI_Monitor_Date,1,0))</f>
        <v/>
      </c>
      <c r="AQ36" s="540" t="str">
        <f>IFERROR(VLOOKUP(Table_NFI[[#This Row],[Camp Name]],CL,3,0),"")</f>
        <v/>
      </c>
      <c r="AR36" s="352" t="str">
        <f ca="1">IF(Table_NFI[[#This Row],[Pcode]]="","",OFFSET(CampList[Priority],MATCH(Table_NFI[[#This Row],[Pcode]],CampList[CP_Pcode],0)-1,0,1,1))</f>
        <v/>
      </c>
      <c r="AS36" s="351" t="str">
        <f>IFERROR(Table_NFI[[#This Row],[Kitchen Set]]/VLOOKUP(Table_NFI[[#This Row],[Camp Name]],CL,4,0),"")</f>
        <v/>
      </c>
      <c r="AT36" s="533"/>
      <c r="AU36" s="536"/>
    </row>
    <row r="37" spans="1:47" s="537" customFormat="1" hidden="1" x14ac:dyDescent="0.25">
      <c r="A37" s="355">
        <f t="shared" si="0"/>
        <v>2.7333333333333334</v>
      </c>
      <c r="B37" s="532">
        <v>42489</v>
      </c>
      <c r="C37" s="533" t="s">
        <v>907</v>
      </c>
      <c r="D37" s="533" t="s">
        <v>907</v>
      </c>
      <c r="E37" s="533" t="s">
        <v>380</v>
      </c>
      <c r="F37" s="348" t="s">
        <v>5</v>
      </c>
      <c r="G37" s="348" t="s">
        <v>6</v>
      </c>
      <c r="H37" s="349"/>
      <c r="I37" s="349"/>
      <c r="J37" s="349"/>
      <c r="K37" s="349"/>
      <c r="L37" s="350"/>
      <c r="M37" s="350"/>
      <c r="N37" s="350"/>
      <c r="O37" s="350"/>
      <c r="P37" s="352"/>
      <c r="Q37" s="392"/>
      <c r="R37" s="392"/>
      <c r="S37" s="392"/>
      <c r="T37" s="392"/>
      <c r="U37" s="392"/>
      <c r="V37" s="497"/>
      <c r="W37" s="392">
        <v>74</v>
      </c>
      <c r="X37" s="392"/>
      <c r="Y37" s="352">
        <f>IF(NFI_Expiration=1,IF($A37&lt;VLOOKUP(H$5,NFI,5,0),1,0)*Table_NFI[[#This Row],[Hygiene Kit]],Table_NFI[Hygiene Kit])</f>
        <v>0</v>
      </c>
      <c r="Z37" s="352">
        <f>IF(NFI_Expiration=1,IF($A37&lt;VLOOKUP(I$5,NFI,5,0),1,0)*Table_NFI[[#This Row],[NFI Core Kit]],Table_NFI[NFI Core Kit])</f>
        <v>0</v>
      </c>
      <c r="AA37" s="352">
        <f>IF(NFI_Expiration=1,IF($A37&lt;VLOOKUP(J$5,NFI,5,0),1,0)*Table_NFI[[#This Row],[Sanitary Kit]],Table_NFI[Sanitary Kit])</f>
        <v>0</v>
      </c>
      <c r="AB37" s="352">
        <f>IF(NFI_Expiration=1,IF($A37&lt;VLOOKUP(K$5,NFI,5,0),1,0)*Table_NFI[[#This Row],[Mosquito net]],Table_NFI[Mosquito net])</f>
        <v>0</v>
      </c>
      <c r="AC37" s="352">
        <f>IF(NFI_Expiration=1,IF($A37&lt;VLOOKUP(L$5,NFI,5,0),1,0)*Table_NFI[[#This Row],[Tarpaulin]],Table_NFI[[#This Row],[Tarpaulin]])</f>
        <v>0</v>
      </c>
      <c r="AD37" s="352">
        <f>IF(NFI_Expiration=1,IF($A37&lt;VLOOKUP(M$5,NFI,5,0),1,0)*Table_NFI[[#This Row],[Blanket]],Table_NFI[[#This Row],[Blanket]])</f>
        <v>0</v>
      </c>
      <c r="AE37" s="352">
        <f>IF(NFI_Expiration=1,IF($A37&lt;VLOOKUP(N$5,NFI,5,0),1,0)*Table_NFI[[#This Row],[Kitchen Set]],Table_NFI[Kitchen Set])</f>
        <v>0</v>
      </c>
      <c r="AF37" s="352">
        <f>IF(NFI_Expiration=1,IF($A37&lt;VLOOKUP(O$5,NFI,5,0),1,0)*Table_NFI[[#This Row],[Clothes Kit]],Table_NFI[Clothes Kit])</f>
        <v>0</v>
      </c>
      <c r="AG37" s="352">
        <f>IF(NFI_Expiration=1,IF($A37&lt;VLOOKUP(P$5,NFI,5,0),1,0)*Table_NFI[[#This Row],[Plastic Bucket]],Table_NFI[Plastic Bucket])</f>
        <v>0</v>
      </c>
      <c r="AH37" s="352">
        <f>IF(NFI_Expiration=1,IF($A37&lt;VLOOKUP(Q$5,NFI,5,0),1,0)*Table_NFI[[#This Row],[Plastic Mat]],Table_NFI[Plastic Mat])*IF(Table_NFI[[#This Row],[Distribution Date]]&gt;"2014-04-01",1,2.5)</f>
        <v>0</v>
      </c>
      <c r="AI37" s="352">
        <f>IF(NFI_Expiration=1,IF($A37&lt;VLOOKUP(R$5,NFI,5,0),1,0)*Table_NFI[[#This Row],[Winter Clothes Adult]],Table_NFI[Winter Clothes Adult])</f>
        <v>0</v>
      </c>
      <c r="AJ37" s="352">
        <f>IF(NFI_Expiration=1,IF($A37&lt;VLOOKUP(S$5,NFI,5,0),1,0)*Table_NFI[[#This Row],[Winter Clothes Children]],Table_NFI[Winter Clothes Children])</f>
        <v>0</v>
      </c>
      <c r="AK37" s="352">
        <f>IF(NFI_Expiration=1,IF($A37&lt;VLOOKUP(T$5,NFI,5,0),1,0)*Table_NFI[[#This Row],[Winter Items Other]],Table_NFI[Winter Items Other])</f>
        <v>0</v>
      </c>
      <c r="AL37" s="352">
        <f>IF(NFI_Expiration=1,IF($A37&lt;VLOOKUP(M$5,NFI,5,0),1,0)*Table_NFI[[#This Row],[Winter Blanket]],Table_NFI[[#This Row],[Winter Blanket]])</f>
        <v>0</v>
      </c>
      <c r="AM37" s="352">
        <f>IF(Table_NFI[[#This Row],[Winter Clothes Adult]]+Table_NFI[[#This Row],[Winter Clothes Children]]+Table_NFI[[#This Row],[Winter Items Other]]+Table_NFI[[#This Row],[Winter Blanket]]&gt;0,1,0)</f>
        <v>0</v>
      </c>
      <c r="AN37" s="392">
        <f>IF(NFI_Expiration=1,IF($A37&lt;VLOOKUP(V$5,NFI,5,0),1,0)*Table_NFI[[#This Row],[Jerry Can]],Table_NFI[Jerry Can])</f>
        <v>0</v>
      </c>
      <c r="AO37" s="540" t="str">
        <f>IFERROR(VLOOKUP(Table_NFI[[#This Row],[Camp Name]],CL,2,0),"")</f>
        <v>MMR001CMP050</v>
      </c>
      <c r="AP37" s="535">
        <f ca="1">IF(Table_NFI[[#This Row],[Pcode]]="","",IF(OFFSET(CampList[Opening Date],MATCH(Table_NFI[[#This Row],[Pcode]],CampList[CP_Pcode],0)-1,0,1,1)&gt;=NFI_Monitor_Date,1,0))</f>
        <v>0</v>
      </c>
      <c r="AQ37" s="540" t="str">
        <f>IFERROR(VLOOKUP(Table_NFI[[#This Row],[Camp Name]],CL,3,0),"")</f>
        <v>Open</v>
      </c>
      <c r="AR37" s="352" t="str">
        <f ca="1">IF(Table_NFI[[#This Row],[Pcode]]="","",OFFSET(CampList[Priority],MATCH(Table_NFI[[#This Row],[Pcode]],CampList[CP_Pcode],0)-1,0,1,1))</f>
        <v>P4</v>
      </c>
      <c r="AS37" s="351">
        <f>IFERROR(Table_NFI[[#This Row],[Kitchen Set]]/VLOOKUP(Table_NFI[[#This Row],[Camp Name]],CL,4,0),"")</f>
        <v>0</v>
      </c>
      <c r="AT37" s="533"/>
      <c r="AU37" s="536"/>
    </row>
    <row r="38" spans="1:47" s="537" customFormat="1" hidden="1" x14ac:dyDescent="0.25">
      <c r="A38" s="355">
        <f t="shared" si="0"/>
        <v>19.633333333333333</v>
      </c>
      <c r="B38" s="532">
        <v>41982</v>
      </c>
      <c r="C38" s="533" t="s">
        <v>907</v>
      </c>
      <c r="D38" s="533" t="s">
        <v>907</v>
      </c>
      <c r="E38" s="533" t="s">
        <v>380</v>
      </c>
      <c r="F38" s="348" t="s">
        <v>5</v>
      </c>
      <c r="G38" s="348" t="s">
        <v>6</v>
      </c>
      <c r="H38" s="349"/>
      <c r="I38" s="349"/>
      <c r="J38" s="352">
        <v>354</v>
      </c>
      <c r="K38" s="349"/>
      <c r="L38" s="350"/>
      <c r="M38" s="350"/>
      <c r="N38" s="350"/>
      <c r="O38" s="350"/>
      <c r="P38" s="352"/>
      <c r="Q38" s="352"/>
      <c r="R38" s="352"/>
      <c r="S38" s="352"/>
      <c r="T38" s="352"/>
      <c r="U38" s="352"/>
      <c r="V38" s="497"/>
      <c r="W38" s="352"/>
      <c r="X38" s="352"/>
      <c r="Y38" s="352">
        <f>IF(NFI_Expiration=1,IF($A38&lt;VLOOKUP(H$5,NFI,5,0),1,0)*Table_NFI[[#This Row],[Hygiene Kit]],Table_NFI[Hygiene Kit])</f>
        <v>0</v>
      </c>
      <c r="Z38" s="352">
        <f>IF(NFI_Expiration=1,IF($A38&lt;VLOOKUP(I$5,NFI,5,0),1,0)*Table_NFI[[#This Row],[NFI Core Kit]],Table_NFI[NFI Core Kit])</f>
        <v>0</v>
      </c>
      <c r="AA38" s="352">
        <f>IF(NFI_Expiration=1,IF($A38&lt;VLOOKUP(J$5,NFI,5,0),1,0)*Table_NFI[[#This Row],[Sanitary Kit]],Table_NFI[Sanitary Kit])</f>
        <v>0</v>
      </c>
      <c r="AB38" s="352">
        <f>IF(NFI_Expiration=1,IF($A38&lt;VLOOKUP(K$5,NFI,5,0),1,0)*Table_NFI[[#This Row],[Mosquito net]],Table_NFI[Mosquito net])</f>
        <v>0</v>
      </c>
      <c r="AC38" s="352">
        <f>IF(NFI_Expiration=1,IF($A38&lt;VLOOKUP(L$5,NFI,5,0),1,0)*Table_NFI[[#This Row],[Tarpaulin]],Table_NFI[[#This Row],[Tarpaulin]])</f>
        <v>0</v>
      </c>
      <c r="AD38" s="352">
        <f>IF(NFI_Expiration=1,IF($A38&lt;VLOOKUP(M$5,NFI,5,0),1,0)*Table_NFI[[#This Row],[Blanket]],Table_NFI[[#This Row],[Blanket]])</f>
        <v>0</v>
      </c>
      <c r="AE38" s="352">
        <f>IF(NFI_Expiration=1,IF($A38&lt;VLOOKUP(N$5,NFI,5,0),1,0)*Table_NFI[[#This Row],[Kitchen Set]],Table_NFI[Kitchen Set])</f>
        <v>0</v>
      </c>
      <c r="AF38" s="352">
        <f>IF(NFI_Expiration=1,IF($A38&lt;VLOOKUP(O$5,NFI,5,0),1,0)*Table_NFI[[#This Row],[Clothes Kit]],Table_NFI[Clothes Kit])</f>
        <v>0</v>
      </c>
      <c r="AG38" s="352">
        <f>IF(NFI_Expiration=1,IF($A38&lt;VLOOKUP(P$5,NFI,5,0),1,0)*Table_NFI[[#This Row],[Plastic Bucket]],Table_NFI[Plastic Bucket])</f>
        <v>0</v>
      </c>
      <c r="AH38" s="352">
        <f>IF(NFI_Expiration=1,IF($A38&lt;VLOOKUP(Q$5,NFI,5,0),1,0)*Table_NFI[[#This Row],[Plastic Mat]],Table_NFI[Plastic Mat])*IF(Table_NFI[[#This Row],[Distribution Date]]&gt;"2014-04-01",1,2.5)</f>
        <v>0</v>
      </c>
      <c r="AI38" s="352">
        <f>IF(NFI_Expiration=1,IF($A38&lt;VLOOKUP(R$5,NFI,5,0),1,0)*Table_NFI[[#This Row],[Winter Clothes Adult]],Table_NFI[Winter Clothes Adult])</f>
        <v>0</v>
      </c>
      <c r="AJ38" s="352">
        <f>IF(NFI_Expiration=1,IF($A38&lt;VLOOKUP(S$5,NFI,5,0),1,0)*Table_NFI[[#This Row],[Winter Clothes Children]],Table_NFI[Winter Clothes Children])</f>
        <v>0</v>
      </c>
      <c r="AK38" s="352">
        <f>IF(NFI_Expiration=1,IF($A38&lt;VLOOKUP(T$5,NFI,5,0),1,0)*Table_NFI[[#This Row],[Winter Items Other]],Table_NFI[Winter Items Other])</f>
        <v>0</v>
      </c>
      <c r="AL38" s="352">
        <f>IF(NFI_Expiration=1,IF($A38&lt;VLOOKUP(M$5,NFI,5,0),1,0)*Table_NFI[[#This Row],[Winter Blanket]],Table_NFI[[#This Row],[Winter Blanket]])</f>
        <v>0</v>
      </c>
      <c r="AM38" s="352">
        <f>IF(Table_NFI[[#This Row],[Winter Clothes Adult]]+Table_NFI[[#This Row],[Winter Clothes Children]]+Table_NFI[[#This Row],[Winter Items Other]]+Table_NFI[[#This Row],[Winter Blanket]]&gt;0,1,0)</f>
        <v>0</v>
      </c>
      <c r="AN38" s="392">
        <f>IF(NFI_Expiration=1,IF($A38&lt;VLOOKUP(V$5,NFI,5,0),1,0)*Table_NFI[[#This Row],[Jerry Can]],Table_NFI[Jerry Can])</f>
        <v>0</v>
      </c>
      <c r="AO38" s="540" t="str">
        <f>IFERROR(VLOOKUP(Table_NFI[[#This Row],[Camp Name]],CL,2,0),"")</f>
        <v>MMR001CMP050</v>
      </c>
      <c r="AP38" s="535">
        <f ca="1">IF(Table_NFI[[#This Row],[Pcode]]="","",IF(OFFSET(CampList[Opening Date],MATCH(Table_NFI[[#This Row],[Pcode]],CampList[CP_Pcode],0)-1,0,1,1)&gt;=NFI_Monitor_Date,1,0))</f>
        <v>0</v>
      </c>
      <c r="AQ38" s="540" t="str">
        <f>IFERROR(VLOOKUP(Table_NFI[[#This Row],[Camp Name]],CL,3,0),"")</f>
        <v>Open</v>
      </c>
      <c r="AR38" s="352" t="str">
        <f ca="1">IF(Table_NFI[[#This Row],[Pcode]]="","",OFFSET(CampList[Priority],MATCH(Table_NFI[[#This Row],[Pcode]],CampList[CP_Pcode],0)-1,0,1,1))</f>
        <v>P4</v>
      </c>
      <c r="AS38" s="351">
        <f>IFERROR(Table_NFI[[#This Row],[Kitchen Set]]/VLOOKUP(Table_NFI[[#This Row],[Camp Name]],CL,4,0),"")</f>
        <v>0</v>
      </c>
      <c r="AT38" s="533"/>
      <c r="AU38" s="536"/>
    </row>
    <row r="39" spans="1:47" s="537" customFormat="1" hidden="1" x14ac:dyDescent="0.25">
      <c r="A39" s="355">
        <f t="shared" si="0"/>
        <v>12.866666666666667</v>
      </c>
      <c r="B39" s="532">
        <v>42185</v>
      </c>
      <c r="C39" s="533" t="s">
        <v>907</v>
      </c>
      <c r="D39" s="533" t="s">
        <v>907</v>
      </c>
      <c r="E39" s="533" t="s">
        <v>380</v>
      </c>
      <c r="F39" s="348" t="s">
        <v>5</v>
      </c>
      <c r="G39" s="348" t="s">
        <v>6</v>
      </c>
      <c r="H39" s="349"/>
      <c r="I39" s="349"/>
      <c r="J39" s="352"/>
      <c r="K39" s="349"/>
      <c r="L39" s="350"/>
      <c r="M39" s="350"/>
      <c r="N39" s="350"/>
      <c r="O39" s="350"/>
      <c r="P39" s="352"/>
      <c r="Q39" s="392"/>
      <c r="R39" s="392"/>
      <c r="S39" s="392"/>
      <c r="T39" s="392"/>
      <c r="U39" s="392"/>
      <c r="V39" s="392">
        <v>3</v>
      </c>
      <c r="W39" s="392"/>
      <c r="X39" s="392"/>
      <c r="Y39" s="352">
        <f>IF(NFI_Expiration=1,IF($A39&lt;VLOOKUP(H$5,NFI,5,0),1,0)*Table_NFI[[#This Row],[Hygiene Kit]],Table_NFI[Hygiene Kit])</f>
        <v>0</v>
      </c>
      <c r="Z39" s="352">
        <f>IF(NFI_Expiration=1,IF($A39&lt;VLOOKUP(I$5,NFI,5,0),1,0)*Table_NFI[[#This Row],[NFI Core Kit]],Table_NFI[NFI Core Kit])</f>
        <v>0</v>
      </c>
      <c r="AA39" s="352">
        <f>IF(NFI_Expiration=1,IF($A39&lt;VLOOKUP(J$5,NFI,5,0),1,0)*Table_NFI[[#This Row],[Sanitary Kit]],Table_NFI[Sanitary Kit])</f>
        <v>0</v>
      </c>
      <c r="AB39" s="352">
        <f>IF(NFI_Expiration=1,IF($A39&lt;VLOOKUP(K$5,NFI,5,0),1,0)*Table_NFI[[#This Row],[Mosquito net]],Table_NFI[Mosquito net])</f>
        <v>0</v>
      </c>
      <c r="AC39" s="352">
        <f>IF(NFI_Expiration=1,IF($A39&lt;VLOOKUP(L$5,NFI,5,0),1,0)*Table_NFI[[#This Row],[Tarpaulin]],Table_NFI[[#This Row],[Tarpaulin]])</f>
        <v>0</v>
      </c>
      <c r="AD39" s="352">
        <f>IF(NFI_Expiration=1,IF($A39&lt;VLOOKUP(M$5,NFI,5,0),1,0)*Table_NFI[[#This Row],[Blanket]],Table_NFI[[#This Row],[Blanket]])</f>
        <v>0</v>
      </c>
      <c r="AE39" s="352">
        <f>IF(NFI_Expiration=1,IF($A39&lt;VLOOKUP(N$5,NFI,5,0),1,0)*Table_NFI[[#This Row],[Kitchen Set]],Table_NFI[Kitchen Set])</f>
        <v>0</v>
      </c>
      <c r="AF39" s="352">
        <f>IF(NFI_Expiration=1,IF($A39&lt;VLOOKUP(O$5,NFI,5,0),1,0)*Table_NFI[[#This Row],[Clothes Kit]],Table_NFI[Clothes Kit])</f>
        <v>0</v>
      </c>
      <c r="AG39" s="352">
        <f>IF(NFI_Expiration=1,IF($A39&lt;VLOOKUP(P$5,NFI,5,0),1,0)*Table_NFI[[#This Row],[Plastic Bucket]],Table_NFI[Plastic Bucket])</f>
        <v>0</v>
      </c>
      <c r="AH39" s="352">
        <f>IF(NFI_Expiration=1,IF($A39&lt;VLOOKUP(Q$5,NFI,5,0),1,0)*Table_NFI[[#This Row],[Plastic Mat]],Table_NFI[Plastic Mat])*IF(Table_NFI[[#This Row],[Distribution Date]]&gt;"2014-04-01",1,2.5)</f>
        <v>0</v>
      </c>
      <c r="AI39" s="352">
        <f>IF(NFI_Expiration=1,IF($A39&lt;VLOOKUP(R$5,NFI,5,0),1,0)*Table_NFI[[#This Row],[Winter Clothes Adult]],Table_NFI[Winter Clothes Adult])</f>
        <v>0</v>
      </c>
      <c r="AJ39" s="352">
        <f>IF(NFI_Expiration=1,IF($A39&lt;VLOOKUP(S$5,NFI,5,0),1,0)*Table_NFI[[#This Row],[Winter Clothes Children]],Table_NFI[Winter Clothes Children])</f>
        <v>0</v>
      </c>
      <c r="AK39" s="352">
        <f>IF(NFI_Expiration=1,IF($A39&lt;VLOOKUP(T$5,NFI,5,0),1,0)*Table_NFI[[#This Row],[Winter Items Other]],Table_NFI[Winter Items Other])</f>
        <v>0</v>
      </c>
      <c r="AL39" s="352">
        <f>IF(NFI_Expiration=1,IF($A39&lt;VLOOKUP(M$5,NFI,5,0),1,0)*Table_NFI[[#This Row],[Winter Blanket]],Table_NFI[[#This Row],[Winter Blanket]])</f>
        <v>0</v>
      </c>
      <c r="AM39" s="352">
        <f>IF(Table_NFI[[#This Row],[Winter Clothes Adult]]+Table_NFI[[#This Row],[Winter Clothes Children]]+Table_NFI[[#This Row],[Winter Items Other]]+Table_NFI[[#This Row],[Winter Blanket]]&gt;0,1,0)</f>
        <v>0</v>
      </c>
      <c r="AN39" s="392">
        <f>IF(NFI_Expiration=1,IF($A39&lt;VLOOKUP(V$5,NFI,5,0),1,0)*Table_NFI[[#This Row],[Jerry Can]],Table_NFI[Jerry Can])</f>
        <v>0</v>
      </c>
      <c r="AO39" s="540" t="str">
        <f>IFERROR(VLOOKUP(Table_NFI[[#This Row],[Camp Name]],CL,2,0),"")</f>
        <v>MMR001CMP050</v>
      </c>
      <c r="AP39" s="535">
        <f ca="1">IF(Table_NFI[[#This Row],[Pcode]]="","",IF(OFFSET(CampList[Opening Date],MATCH(Table_NFI[[#This Row],[Pcode]],CampList[CP_Pcode],0)-1,0,1,1)&gt;=NFI_Monitor_Date,1,0))</f>
        <v>0</v>
      </c>
      <c r="AQ39" s="540" t="str">
        <f>IFERROR(VLOOKUP(Table_NFI[[#This Row],[Camp Name]],CL,3,0),"")</f>
        <v>Open</v>
      </c>
      <c r="AR39" s="352" t="str">
        <f ca="1">IF(Table_NFI[[#This Row],[Pcode]]="","",OFFSET(CampList[Priority],MATCH(Table_NFI[[#This Row],[Pcode]],CampList[CP_Pcode],0)-1,0,1,1))</f>
        <v>P4</v>
      </c>
      <c r="AS39" s="351">
        <f>IFERROR(Table_NFI[[#This Row],[Kitchen Set]]/VLOOKUP(Table_NFI[[#This Row],[Camp Name]],CL,4,0),"")</f>
        <v>0</v>
      </c>
      <c r="AT39" s="533"/>
      <c r="AU39" s="536"/>
    </row>
    <row r="40" spans="1:47" s="537" customFormat="1" hidden="1" x14ac:dyDescent="0.25">
      <c r="A40" s="355">
        <f t="shared" si="0"/>
        <v>14</v>
      </c>
      <c r="B40" s="532">
        <v>42151</v>
      </c>
      <c r="C40" s="533" t="s">
        <v>907</v>
      </c>
      <c r="D40" s="533" t="s">
        <v>907</v>
      </c>
      <c r="E40" s="533" t="s">
        <v>380</v>
      </c>
      <c r="F40" s="348" t="s">
        <v>5</v>
      </c>
      <c r="G40" s="348" t="s">
        <v>6</v>
      </c>
      <c r="H40" s="349"/>
      <c r="I40" s="349"/>
      <c r="J40" s="352">
        <v>424</v>
      </c>
      <c r="K40" s="349"/>
      <c r="L40" s="350"/>
      <c r="M40" s="350"/>
      <c r="N40" s="350"/>
      <c r="O40" s="350"/>
      <c r="P40" s="352"/>
      <c r="Q40" s="392"/>
      <c r="R40" s="392"/>
      <c r="S40" s="392"/>
      <c r="T40" s="392"/>
      <c r="U40" s="392"/>
      <c r="V40" s="497"/>
      <c r="W40" s="392"/>
      <c r="X40" s="392"/>
      <c r="Y40" s="352">
        <f>IF(NFI_Expiration=1,IF($A40&lt;VLOOKUP(H$5,NFI,5,0),1,0)*Table_NFI[[#This Row],[Hygiene Kit]],Table_NFI[Hygiene Kit])</f>
        <v>0</v>
      </c>
      <c r="Z40" s="352">
        <f>IF(NFI_Expiration=1,IF($A40&lt;VLOOKUP(I$5,NFI,5,0),1,0)*Table_NFI[[#This Row],[NFI Core Kit]],Table_NFI[NFI Core Kit])</f>
        <v>0</v>
      </c>
      <c r="AA40" s="352">
        <f>IF(NFI_Expiration=1,IF($A40&lt;VLOOKUP(J$5,NFI,5,0),1,0)*Table_NFI[[#This Row],[Sanitary Kit]],Table_NFI[Sanitary Kit])</f>
        <v>0</v>
      </c>
      <c r="AB40" s="352">
        <f>IF(NFI_Expiration=1,IF($A40&lt;VLOOKUP(K$5,NFI,5,0),1,0)*Table_NFI[[#This Row],[Mosquito net]],Table_NFI[Mosquito net])</f>
        <v>0</v>
      </c>
      <c r="AC40" s="352">
        <f>IF(NFI_Expiration=1,IF($A40&lt;VLOOKUP(L$5,NFI,5,0),1,0)*Table_NFI[[#This Row],[Tarpaulin]],Table_NFI[[#This Row],[Tarpaulin]])</f>
        <v>0</v>
      </c>
      <c r="AD40" s="352">
        <f>IF(NFI_Expiration=1,IF($A40&lt;VLOOKUP(M$5,NFI,5,0),1,0)*Table_NFI[[#This Row],[Blanket]],Table_NFI[[#This Row],[Blanket]])</f>
        <v>0</v>
      </c>
      <c r="AE40" s="352">
        <f>IF(NFI_Expiration=1,IF($A40&lt;VLOOKUP(N$5,NFI,5,0),1,0)*Table_NFI[[#This Row],[Kitchen Set]],Table_NFI[Kitchen Set])</f>
        <v>0</v>
      </c>
      <c r="AF40" s="352">
        <f>IF(NFI_Expiration=1,IF($A40&lt;VLOOKUP(O$5,NFI,5,0),1,0)*Table_NFI[[#This Row],[Clothes Kit]],Table_NFI[Clothes Kit])</f>
        <v>0</v>
      </c>
      <c r="AG40" s="352">
        <f>IF(NFI_Expiration=1,IF($A40&lt;VLOOKUP(P$5,NFI,5,0),1,0)*Table_NFI[[#This Row],[Plastic Bucket]],Table_NFI[Plastic Bucket])</f>
        <v>0</v>
      </c>
      <c r="AH40" s="352">
        <f>IF(NFI_Expiration=1,IF($A40&lt;VLOOKUP(Q$5,NFI,5,0),1,0)*Table_NFI[[#This Row],[Plastic Mat]],Table_NFI[Plastic Mat])*IF(Table_NFI[[#This Row],[Distribution Date]]&gt;"2014-04-01",1,2.5)</f>
        <v>0</v>
      </c>
      <c r="AI40" s="352">
        <f>IF(NFI_Expiration=1,IF($A40&lt;VLOOKUP(R$5,NFI,5,0),1,0)*Table_NFI[[#This Row],[Winter Clothes Adult]],Table_NFI[Winter Clothes Adult])</f>
        <v>0</v>
      </c>
      <c r="AJ40" s="352">
        <f>IF(NFI_Expiration=1,IF($A40&lt;VLOOKUP(S$5,NFI,5,0),1,0)*Table_NFI[[#This Row],[Winter Clothes Children]],Table_NFI[Winter Clothes Children])</f>
        <v>0</v>
      </c>
      <c r="AK40" s="352">
        <f>IF(NFI_Expiration=1,IF($A40&lt;VLOOKUP(T$5,NFI,5,0),1,0)*Table_NFI[[#This Row],[Winter Items Other]],Table_NFI[Winter Items Other])</f>
        <v>0</v>
      </c>
      <c r="AL40" s="352">
        <f>IF(NFI_Expiration=1,IF($A40&lt;VLOOKUP(M$5,NFI,5,0),1,0)*Table_NFI[[#This Row],[Winter Blanket]],Table_NFI[[#This Row],[Winter Blanket]])</f>
        <v>0</v>
      </c>
      <c r="AM40" s="352">
        <f>IF(Table_NFI[[#This Row],[Winter Clothes Adult]]+Table_NFI[[#This Row],[Winter Clothes Children]]+Table_NFI[[#This Row],[Winter Items Other]]+Table_NFI[[#This Row],[Winter Blanket]]&gt;0,1,0)</f>
        <v>0</v>
      </c>
      <c r="AN40" s="392">
        <f>IF(NFI_Expiration=1,IF($A40&lt;VLOOKUP(V$5,NFI,5,0),1,0)*Table_NFI[[#This Row],[Jerry Can]],Table_NFI[Jerry Can])</f>
        <v>0</v>
      </c>
      <c r="AO40" s="540" t="str">
        <f>IFERROR(VLOOKUP(Table_NFI[[#This Row],[Camp Name]],CL,2,0),"")</f>
        <v>MMR001CMP050</v>
      </c>
      <c r="AP40" s="535">
        <f ca="1">IF(Table_NFI[[#This Row],[Pcode]]="","",IF(OFFSET(CampList[Opening Date],MATCH(Table_NFI[[#This Row],[Pcode]],CampList[CP_Pcode],0)-1,0,1,1)&gt;=NFI_Monitor_Date,1,0))</f>
        <v>0</v>
      </c>
      <c r="AQ40" s="540" t="str">
        <f>IFERROR(VLOOKUP(Table_NFI[[#This Row],[Camp Name]],CL,3,0),"")</f>
        <v>Open</v>
      </c>
      <c r="AR40" s="352" t="str">
        <f ca="1">IF(Table_NFI[[#This Row],[Pcode]]="","",OFFSET(CampList[Priority],MATCH(Table_NFI[[#This Row],[Pcode]],CampList[CP_Pcode],0)-1,0,1,1))</f>
        <v>P4</v>
      </c>
      <c r="AS40" s="351">
        <f>IFERROR(Table_NFI[[#This Row],[Kitchen Set]]/VLOOKUP(Table_NFI[[#This Row],[Camp Name]],CL,4,0),"")</f>
        <v>0</v>
      </c>
      <c r="AT40" s="533"/>
      <c r="AU40" s="536"/>
    </row>
    <row r="41" spans="1:47" s="537" customFormat="1" hidden="1" x14ac:dyDescent="0.25">
      <c r="A41" s="355">
        <f t="shared" si="0"/>
        <v>5.6333333333333337</v>
      </c>
      <c r="B41" s="532">
        <v>42402</v>
      </c>
      <c r="C41" s="533" t="s">
        <v>907</v>
      </c>
      <c r="D41" s="533" t="s">
        <v>907</v>
      </c>
      <c r="E41" s="533" t="s">
        <v>380</v>
      </c>
      <c r="F41" s="348" t="s">
        <v>5</v>
      </c>
      <c r="G41" s="348" t="s">
        <v>6</v>
      </c>
      <c r="H41" s="349"/>
      <c r="I41" s="349"/>
      <c r="J41" s="352">
        <v>310</v>
      </c>
      <c r="K41" s="349"/>
      <c r="L41" s="350"/>
      <c r="M41" s="350"/>
      <c r="N41" s="350"/>
      <c r="O41" s="350"/>
      <c r="P41" s="352"/>
      <c r="Q41" s="392"/>
      <c r="R41" s="392"/>
      <c r="S41" s="392"/>
      <c r="T41" s="392"/>
      <c r="U41" s="392"/>
      <c r="V41" s="497"/>
      <c r="W41" s="392"/>
      <c r="X41" s="392"/>
      <c r="Y41" s="352">
        <f>IF(NFI_Expiration=1,IF($A41&lt;VLOOKUP(H$5,NFI,5,0),1,0)*Table_NFI[[#This Row],[Hygiene Kit]],Table_NFI[Hygiene Kit])</f>
        <v>0</v>
      </c>
      <c r="Z41" s="352">
        <f>IF(NFI_Expiration=1,IF($A41&lt;VLOOKUP(I$5,NFI,5,0),1,0)*Table_NFI[[#This Row],[NFI Core Kit]],Table_NFI[NFI Core Kit])</f>
        <v>0</v>
      </c>
      <c r="AA41" s="352">
        <f>IF(NFI_Expiration=1,IF($A41&lt;VLOOKUP(J$5,NFI,5,0),1,0)*Table_NFI[[#This Row],[Sanitary Kit]],Table_NFI[Sanitary Kit])</f>
        <v>310</v>
      </c>
      <c r="AB41" s="352">
        <f>IF(NFI_Expiration=1,IF($A41&lt;VLOOKUP(K$5,NFI,5,0),1,0)*Table_NFI[[#This Row],[Mosquito net]],Table_NFI[Mosquito net])</f>
        <v>0</v>
      </c>
      <c r="AC41" s="352">
        <f>IF(NFI_Expiration=1,IF($A41&lt;VLOOKUP(L$5,NFI,5,0),1,0)*Table_NFI[[#This Row],[Tarpaulin]],Table_NFI[[#This Row],[Tarpaulin]])</f>
        <v>0</v>
      </c>
      <c r="AD41" s="352">
        <f>IF(NFI_Expiration=1,IF($A41&lt;VLOOKUP(M$5,NFI,5,0),1,0)*Table_NFI[[#This Row],[Blanket]],Table_NFI[[#This Row],[Blanket]])</f>
        <v>0</v>
      </c>
      <c r="AE41" s="352">
        <f>IF(NFI_Expiration=1,IF($A41&lt;VLOOKUP(N$5,NFI,5,0),1,0)*Table_NFI[[#This Row],[Kitchen Set]],Table_NFI[Kitchen Set])</f>
        <v>0</v>
      </c>
      <c r="AF41" s="352">
        <f>IF(NFI_Expiration=1,IF($A41&lt;VLOOKUP(O$5,NFI,5,0),1,0)*Table_NFI[[#This Row],[Clothes Kit]],Table_NFI[Clothes Kit])</f>
        <v>0</v>
      </c>
      <c r="AG41" s="352">
        <f>IF(NFI_Expiration=1,IF($A41&lt;VLOOKUP(P$5,NFI,5,0),1,0)*Table_NFI[[#This Row],[Plastic Bucket]],Table_NFI[Plastic Bucket])</f>
        <v>0</v>
      </c>
      <c r="AH41" s="352">
        <f>IF(NFI_Expiration=1,IF($A41&lt;VLOOKUP(Q$5,NFI,5,0),1,0)*Table_NFI[[#This Row],[Plastic Mat]],Table_NFI[Plastic Mat])*IF(Table_NFI[[#This Row],[Distribution Date]]&gt;"2014-04-01",1,2.5)</f>
        <v>0</v>
      </c>
      <c r="AI41" s="352">
        <f>IF(NFI_Expiration=1,IF($A41&lt;VLOOKUP(R$5,NFI,5,0),1,0)*Table_NFI[[#This Row],[Winter Clothes Adult]],Table_NFI[Winter Clothes Adult])</f>
        <v>0</v>
      </c>
      <c r="AJ41" s="352">
        <f>IF(NFI_Expiration=1,IF($A41&lt;VLOOKUP(S$5,NFI,5,0),1,0)*Table_NFI[[#This Row],[Winter Clothes Children]],Table_NFI[Winter Clothes Children])</f>
        <v>0</v>
      </c>
      <c r="AK41" s="352">
        <f>IF(NFI_Expiration=1,IF($A41&lt;VLOOKUP(T$5,NFI,5,0),1,0)*Table_NFI[[#This Row],[Winter Items Other]],Table_NFI[Winter Items Other])</f>
        <v>0</v>
      </c>
      <c r="AL41" s="352">
        <f>IF(NFI_Expiration=1,IF($A41&lt;VLOOKUP(M$5,NFI,5,0),1,0)*Table_NFI[[#This Row],[Winter Blanket]],Table_NFI[[#This Row],[Winter Blanket]])</f>
        <v>0</v>
      </c>
      <c r="AM41" s="352">
        <f>IF(Table_NFI[[#This Row],[Winter Clothes Adult]]+Table_NFI[[#This Row],[Winter Clothes Children]]+Table_NFI[[#This Row],[Winter Items Other]]+Table_NFI[[#This Row],[Winter Blanket]]&gt;0,1,0)</f>
        <v>0</v>
      </c>
      <c r="AN41" s="392">
        <f>IF(NFI_Expiration=1,IF($A41&lt;VLOOKUP(V$5,NFI,5,0),1,0)*Table_NFI[[#This Row],[Jerry Can]],Table_NFI[Jerry Can])</f>
        <v>0</v>
      </c>
      <c r="AO41" s="540" t="str">
        <f>IFERROR(VLOOKUP(Table_NFI[[#This Row],[Camp Name]],CL,2,0),"")</f>
        <v>MMR001CMP050</v>
      </c>
      <c r="AP41" s="535">
        <f ca="1">IF(Table_NFI[[#This Row],[Pcode]]="","",IF(OFFSET(CampList[Opening Date],MATCH(Table_NFI[[#This Row],[Pcode]],CampList[CP_Pcode],0)-1,0,1,1)&gt;=NFI_Monitor_Date,1,0))</f>
        <v>0</v>
      </c>
      <c r="AQ41" s="540" t="str">
        <f>IFERROR(VLOOKUP(Table_NFI[[#This Row],[Camp Name]],CL,3,0),"")</f>
        <v>Open</v>
      </c>
      <c r="AR41" s="352" t="str">
        <f ca="1">IF(Table_NFI[[#This Row],[Pcode]]="","",OFFSET(CampList[Priority],MATCH(Table_NFI[[#This Row],[Pcode]],CampList[CP_Pcode],0)-1,0,1,1))</f>
        <v>P4</v>
      </c>
      <c r="AS41" s="351">
        <f>IFERROR(Table_NFI[[#This Row],[Kitchen Set]]/VLOOKUP(Table_NFI[[#This Row],[Camp Name]],CL,4,0),"")</f>
        <v>0</v>
      </c>
      <c r="AT41" s="533"/>
      <c r="AU41" s="536"/>
    </row>
    <row r="42" spans="1:47" s="537" customFormat="1" hidden="1" x14ac:dyDescent="0.25">
      <c r="A42" s="355">
        <f t="shared" si="0"/>
        <v>52.133333333333333</v>
      </c>
      <c r="B42" s="532">
        <v>41007</v>
      </c>
      <c r="C42" s="533" t="s">
        <v>907</v>
      </c>
      <c r="D42" s="533"/>
      <c r="E42" s="533" t="s">
        <v>380</v>
      </c>
      <c r="F42" s="348" t="s">
        <v>5</v>
      </c>
      <c r="G42" s="348" t="s">
        <v>6</v>
      </c>
      <c r="H42" s="352">
        <v>302</v>
      </c>
      <c r="I42" s="349"/>
      <c r="J42" s="349"/>
      <c r="K42" s="349"/>
      <c r="L42" s="350"/>
      <c r="M42" s="350"/>
      <c r="N42" s="350"/>
      <c r="O42" s="350"/>
      <c r="P42" s="352"/>
      <c r="Q42" s="352"/>
      <c r="R42" s="352"/>
      <c r="S42" s="352"/>
      <c r="T42" s="352"/>
      <c r="U42" s="352"/>
      <c r="V42" s="497"/>
      <c r="W42" s="352"/>
      <c r="X42" s="352"/>
      <c r="Y42" s="352">
        <f>IF(NFI_Expiration=1,IF($A42&lt;VLOOKUP(H$5,NFI,5,0),1,0)*Table_NFI[[#This Row],[Hygiene Kit]],Table_NFI[Hygiene Kit])</f>
        <v>0</v>
      </c>
      <c r="Z42" s="352">
        <f>IF(NFI_Expiration=1,IF($A42&lt;VLOOKUP(I$5,NFI,5,0),1,0)*Table_NFI[[#This Row],[NFI Core Kit]],Table_NFI[NFI Core Kit])</f>
        <v>0</v>
      </c>
      <c r="AA42" s="352">
        <f>IF(NFI_Expiration=1,IF($A42&lt;VLOOKUP(J$5,NFI,5,0),1,0)*Table_NFI[[#This Row],[Sanitary Kit]],Table_NFI[Sanitary Kit])</f>
        <v>0</v>
      </c>
      <c r="AB42" s="352">
        <f>IF(NFI_Expiration=1,IF($A42&lt;VLOOKUP(K$5,NFI,5,0),1,0)*Table_NFI[[#This Row],[Mosquito net]],Table_NFI[Mosquito net])</f>
        <v>0</v>
      </c>
      <c r="AC42" s="352">
        <f>IF(NFI_Expiration=1,IF($A42&lt;VLOOKUP(L$5,NFI,5,0),1,0)*Table_NFI[[#This Row],[Tarpaulin]],Table_NFI[[#This Row],[Tarpaulin]])</f>
        <v>0</v>
      </c>
      <c r="AD42" s="352">
        <f>IF(NFI_Expiration=1,IF($A42&lt;VLOOKUP(M$5,NFI,5,0),1,0)*Table_NFI[[#This Row],[Blanket]],Table_NFI[[#This Row],[Blanket]])</f>
        <v>0</v>
      </c>
      <c r="AE42" s="352">
        <f>IF(NFI_Expiration=1,IF($A42&lt;VLOOKUP(N$5,NFI,5,0),1,0)*Table_NFI[[#This Row],[Kitchen Set]],Table_NFI[Kitchen Set])</f>
        <v>0</v>
      </c>
      <c r="AF42" s="352">
        <f>IF(NFI_Expiration=1,IF($A42&lt;VLOOKUP(O$5,NFI,5,0),1,0)*Table_NFI[[#This Row],[Clothes Kit]],Table_NFI[Clothes Kit])</f>
        <v>0</v>
      </c>
      <c r="AG42" s="352">
        <f>IF(NFI_Expiration=1,IF($A42&lt;VLOOKUP(P$5,NFI,5,0),1,0)*Table_NFI[[#This Row],[Plastic Bucket]],Table_NFI[Plastic Bucket])</f>
        <v>0</v>
      </c>
      <c r="AH42" s="352">
        <f>IF(NFI_Expiration=1,IF($A42&lt;VLOOKUP(Q$5,NFI,5,0),1,0)*Table_NFI[[#This Row],[Plastic Mat]],Table_NFI[Plastic Mat])*IF(Table_NFI[[#This Row],[Distribution Date]]&gt;"2014-04-01",1,2.5)</f>
        <v>0</v>
      </c>
      <c r="AI42" s="352">
        <f>IF(NFI_Expiration=1,IF($A42&lt;VLOOKUP(R$5,NFI,5,0),1,0)*Table_NFI[[#This Row],[Winter Clothes Adult]],Table_NFI[Winter Clothes Adult])</f>
        <v>0</v>
      </c>
      <c r="AJ42" s="352">
        <f>IF(NFI_Expiration=1,IF($A42&lt;VLOOKUP(S$5,NFI,5,0),1,0)*Table_NFI[[#This Row],[Winter Clothes Children]],Table_NFI[Winter Clothes Children])</f>
        <v>0</v>
      </c>
      <c r="AK42" s="352">
        <f>IF(NFI_Expiration=1,IF($A42&lt;VLOOKUP(T$5,NFI,5,0),1,0)*Table_NFI[[#This Row],[Winter Items Other]],Table_NFI[Winter Items Other])</f>
        <v>0</v>
      </c>
      <c r="AL42" s="352">
        <f>IF(NFI_Expiration=1,IF($A42&lt;VLOOKUP(M$5,NFI,5,0),1,0)*Table_NFI[[#This Row],[Winter Blanket]],Table_NFI[[#This Row],[Winter Blanket]])</f>
        <v>0</v>
      </c>
      <c r="AM42" s="352">
        <f>IF(Table_NFI[[#This Row],[Winter Clothes Adult]]+Table_NFI[[#This Row],[Winter Clothes Children]]+Table_NFI[[#This Row],[Winter Items Other]]+Table_NFI[[#This Row],[Winter Blanket]]&gt;0,1,0)</f>
        <v>0</v>
      </c>
      <c r="AN42" s="392">
        <f>IF(NFI_Expiration=1,IF($A42&lt;VLOOKUP(V$5,NFI,5,0),1,0)*Table_NFI[[#This Row],[Jerry Can]],Table_NFI[Jerry Can])</f>
        <v>0</v>
      </c>
      <c r="AO42" s="540" t="str">
        <f>IFERROR(VLOOKUP(Table_NFI[[#This Row],[Camp Name]],CL,2,0),"")</f>
        <v>MMR001CMP050</v>
      </c>
      <c r="AP42" s="535">
        <f ca="1">IF(Table_NFI[[#This Row],[Pcode]]="","",IF(OFFSET(CampList[Opening Date],MATCH(Table_NFI[[#This Row],[Pcode]],CampList[CP_Pcode],0)-1,0,1,1)&gt;=NFI_Monitor_Date,1,0))</f>
        <v>0</v>
      </c>
      <c r="AQ42" s="540" t="str">
        <f>IFERROR(VLOOKUP(Table_NFI[[#This Row],[Camp Name]],CL,3,0),"")</f>
        <v>Open</v>
      </c>
      <c r="AR42" s="352" t="str">
        <f ca="1">IF(Table_NFI[[#This Row],[Pcode]]="","",OFFSET(CampList[Priority],MATCH(Table_NFI[[#This Row],[Pcode]],CampList[CP_Pcode],0)-1,0,1,1))</f>
        <v>P4</v>
      </c>
      <c r="AS42" s="351">
        <f>IFERROR(Table_NFI[[#This Row],[Kitchen Set]]/VLOOKUP(Table_NFI[[#This Row],[Camp Name]],CL,4,0),"")</f>
        <v>0</v>
      </c>
      <c r="AT42" s="533"/>
      <c r="AU42" s="536"/>
    </row>
    <row r="43" spans="1:47" s="537" customFormat="1" hidden="1" x14ac:dyDescent="0.25">
      <c r="A43" s="355">
        <f t="shared" si="0"/>
        <v>51.56666666666667</v>
      </c>
      <c r="B43" s="532">
        <v>41024</v>
      </c>
      <c r="C43" s="533" t="s">
        <v>907</v>
      </c>
      <c r="D43" s="533"/>
      <c r="E43" s="533" t="s">
        <v>380</v>
      </c>
      <c r="F43" s="348" t="s">
        <v>5</v>
      </c>
      <c r="G43" s="348" t="s">
        <v>6</v>
      </c>
      <c r="H43" s="352">
        <v>1173</v>
      </c>
      <c r="I43" s="349"/>
      <c r="J43" s="349"/>
      <c r="K43" s="349"/>
      <c r="L43" s="350"/>
      <c r="M43" s="350"/>
      <c r="N43" s="350"/>
      <c r="O43" s="350"/>
      <c r="P43" s="352"/>
      <c r="Q43" s="392"/>
      <c r="R43" s="392"/>
      <c r="S43" s="392"/>
      <c r="T43" s="392"/>
      <c r="U43" s="392"/>
      <c r="V43" s="497"/>
      <c r="W43" s="392"/>
      <c r="X43" s="392"/>
      <c r="Y43" s="352">
        <f>IF(NFI_Expiration=1,IF($A43&lt;VLOOKUP(H$5,NFI,5,0),1,0)*Table_NFI[[#This Row],[Hygiene Kit]],Table_NFI[Hygiene Kit])</f>
        <v>0</v>
      </c>
      <c r="Z43" s="352">
        <f>IF(NFI_Expiration=1,IF($A43&lt;VLOOKUP(I$5,NFI,5,0),1,0)*Table_NFI[[#This Row],[NFI Core Kit]],Table_NFI[NFI Core Kit])</f>
        <v>0</v>
      </c>
      <c r="AA43" s="352">
        <f>IF(NFI_Expiration=1,IF($A43&lt;VLOOKUP(J$5,NFI,5,0),1,0)*Table_NFI[[#This Row],[Sanitary Kit]],Table_NFI[Sanitary Kit])</f>
        <v>0</v>
      </c>
      <c r="AB43" s="352">
        <f>IF(NFI_Expiration=1,IF($A43&lt;VLOOKUP(K$5,NFI,5,0),1,0)*Table_NFI[[#This Row],[Mosquito net]],Table_NFI[Mosquito net])</f>
        <v>0</v>
      </c>
      <c r="AC43" s="352">
        <f>IF(NFI_Expiration=1,IF($A43&lt;VLOOKUP(L$5,NFI,5,0),1,0)*Table_NFI[[#This Row],[Tarpaulin]],Table_NFI[[#This Row],[Tarpaulin]])</f>
        <v>0</v>
      </c>
      <c r="AD43" s="352">
        <f>IF(NFI_Expiration=1,IF($A43&lt;VLOOKUP(M$5,NFI,5,0),1,0)*Table_NFI[[#This Row],[Blanket]],Table_NFI[[#This Row],[Blanket]])</f>
        <v>0</v>
      </c>
      <c r="AE43" s="352">
        <f>IF(NFI_Expiration=1,IF($A43&lt;VLOOKUP(N$5,NFI,5,0),1,0)*Table_NFI[[#This Row],[Kitchen Set]],Table_NFI[Kitchen Set])</f>
        <v>0</v>
      </c>
      <c r="AF43" s="352">
        <f>IF(NFI_Expiration=1,IF($A43&lt;VLOOKUP(O$5,NFI,5,0),1,0)*Table_NFI[[#This Row],[Clothes Kit]],Table_NFI[Clothes Kit])</f>
        <v>0</v>
      </c>
      <c r="AG43" s="352">
        <f>IF(NFI_Expiration=1,IF($A43&lt;VLOOKUP(P$5,NFI,5,0),1,0)*Table_NFI[[#This Row],[Plastic Bucket]],Table_NFI[Plastic Bucket])</f>
        <v>0</v>
      </c>
      <c r="AH43" s="352">
        <f>IF(NFI_Expiration=1,IF($A43&lt;VLOOKUP(Q$5,NFI,5,0),1,0)*Table_NFI[[#This Row],[Plastic Mat]],Table_NFI[Plastic Mat])*IF(Table_NFI[[#This Row],[Distribution Date]]&gt;"2014-04-01",1,2.5)</f>
        <v>0</v>
      </c>
      <c r="AI43" s="352">
        <f>IF(NFI_Expiration=1,IF($A43&lt;VLOOKUP(R$5,NFI,5,0),1,0)*Table_NFI[[#This Row],[Winter Clothes Adult]],Table_NFI[Winter Clothes Adult])</f>
        <v>0</v>
      </c>
      <c r="AJ43" s="352">
        <f>IF(NFI_Expiration=1,IF($A43&lt;VLOOKUP(S$5,NFI,5,0),1,0)*Table_NFI[[#This Row],[Winter Clothes Children]],Table_NFI[Winter Clothes Children])</f>
        <v>0</v>
      </c>
      <c r="AK43" s="352">
        <f>IF(NFI_Expiration=1,IF($A43&lt;VLOOKUP(T$5,NFI,5,0),1,0)*Table_NFI[[#This Row],[Winter Items Other]],Table_NFI[Winter Items Other])</f>
        <v>0</v>
      </c>
      <c r="AL43" s="352">
        <f>IF(NFI_Expiration=1,IF($A43&lt;VLOOKUP(M$5,NFI,5,0),1,0)*Table_NFI[[#This Row],[Winter Blanket]],Table_NFI[[#This Row],[Winter Blanket]])</f>
        <v>0</v>
      </c>
      <c r="AM43" s="352">
        <f>IF(Table_NFI[[#This Row],[Winter Clothes Adult]]+Table_NFI[[#This Row],[Winter Clothes Children]]+Table_NFI[[#This Row],[Winter Items Other]]+Table_NFI[[#This Row],[Winter Blanket]]&gt;0,1,0)</f>
        <v>0</v>
      </c>
      <c r="AN43" s="392">
        <f>IF(NFI_Expiration=1,IF($A43&lt;VLOOKUP(V$5,NFI,5,0),1,0)*Table_NFI[[#This Row],[Jerry Can]],Table_NFI[Jerry Can])</f>
        <v>0</v>
      </c>
      <c r="AO43" s="540" t="str">
        <f>IFERROR(VLOOKUP(Table_NFI[[#This Row],[Camp Name]],CL,2,0),"")</f>
        <v>MMR001CMP050</v>
      </c>
      <c r="AP43" s="535">
        <f ca="1">IF(Table_NFI[[#This Row],[Pcode]]="","",IF(OFFSET(CampList[Opening Date],MATCH(Table_NFI[[#This Row],[Pcode]],CampList[CP_Pcode],0)-1,0,1,1)&gt;=NFI_Monitor_Date,1,0))</f>
        <v>0</v>
      </c>
      <c r="AQ43" s="540" t="str">
        <f>IFERROR(VLOOKUP(Table_NFI[[#This Row],[Camp Name]],CL,3,0),"")</f>
        <v>Open</v>
      </c>
      <c r="AR43" s="352" t="str">
        <f ca="1">IF(Table_NFI[[#This Row],[Pcode]]="","",OFFSET(CampList[Priority],MATCH(Table_NFI[[#This Row],[Pcode]],CampList[CP_Pcode],0)-1,0,1,1))</f>
        <v>P4</v>
      </c>
      <c r="AS43" s="351">
        <f>IFERROR(Table_NFI[[#This Row],[Kitchen Set]]/VLOOKUP(Table_NFI[[#This Row],[Camp Name]],CL,4,0),"")</f>
        <v>0</v>
      </c>
      <c r="AT43" s="533"/>
      <c r="AU43" s="536"/>
    </row>
    <row r="44" spans="1:47" s="537" customFormat="1" ht="14.45" customHeight="1" x14ac:dyDescent="0.25">
      <c r="A44" s="355">
        <f t="shared" si="0"/>
        <v>7.8666666666666663</v>
      </c>
      <c r="B44" s="532">
        <v>42335</v>
      </c>
      <c r="C44" s="533" t="s">
        <v>453</v>
      </c>
      <c r="D44" s="533" t="s">
        <v>461</v>
      </c>
      <c r="E44" s="533" t="s">
        <v>380</v>
      </c>
      <c r="F44" s="533" t="s">
        <v>302</v>
      </c>
      <c r="G44" s="533" t="s">
        <v>1343</v>
      </c>
      <c r="H44" s="349"/>
      <c r="I44" s="352"/>
      <c r="J44" s="352"/>
      <c r="K44" s="352"/>
      <c r="L44" s="350">
        <v>9</v>
      </c>
      <c r="M44" s="350">
        <v>23</v>
      </c>
      <c r="N44" s="350">
        <v>10</v>
      </c>
      <c r="O44" s="350"/>
      <c r="P44" s="352">
        <v>8</v>
      </c>
      <c r="Q44" s="352">
        <v>24</v>
      </c>
      <c r="R44" s="352"/>
      <c r="S44" s="352"/>
      <c r="T44" s="352"/>
      <c r="U44" s="352"/>
      <c r="V44" s="497">
        <v>6</v>
      </c>
      <c r="W44" s="352"/>
      <c r="X44" s="352"/>
      <c r="Y44" s="352">
        <f>IF(NFI_Expiration=1,IF($A44&lt;VLOOKUP(H$5,NFI,5,0),1,0)*Table_NFI[[#This Row],[Hygiene Kit]],Table_NFI[Hygiene Kit])</f>
        <v>0</v>
      </c>
      <c r="Z44" s="352">
        <f>IF(NFI_Expiration=1,IF($A44&lt;VLOOKUP(I$5,NFI,5,0),1,0)*Table_NFI[[#This Row],[NFI Core Kit]],Table_NFI[NFI Core Kit])</f>
        <v>0</v>
      </c>
      <c r="AA44" s="352">
        <f>IF(NFI_Expiration=1,IF($A44&lt;VLOOKUP(J$5,NFI,5,0),1,0)*Table_NFI[[#This Row],[Sanitary Kit]],Table_NFI[Sanitary Kit])</f>
        <v>0</v>
      </c>
      <c r="AB44" s="352">
        <f>IF(NFI_Expiration=1,IF($A44&lt;VLOOKUP(K$5,NFI,5,0),1,0)*Table_NFI[[#This Row],[Mosquito net]],Table_NFI[Mosquito net])</f>
        <v>0</v>
      </c>
      <c r="AC44" s="352">
        <f>IF(NFI_Expiration=1,IF($A44&lt;VLOOKUP(L$5,NFI,5,0),1,0)*Table_NFI[[#This Row],[Tarpaulin]],Table_NFI[[#This Row],[Tarpaulin]])</f>
        <v>9</v>
      </c>
      <c r="AD44" s="352">
        <f>IF(NFI_Expiration=1,IF($A44&lt;VLOOKUP(M$5,NFI,5,0),1,0)*Table_NFI[[#This Row],[Blanket]],Table_NFI[[#This Row],[Blanket]])</f>
        <v>23</v>
      </c>
      <c r="AE44" s="352">
        <f>IF(NFI_Expiration=1,IF($A44&lt;VLOOKUP(N$5,NFI,5,0),1,0)*Table_NFI[[#This Row],[Kitchen Set]],Table_NFI[Kitchen Set])</f>
        <v>10</v>
      </c>
      <c r="AF44" s="352">
        <f>IF(NFI_Expiration=1,IF($A44&lt;VLOOKUP(O$5,NFI,5,0),1,0)*Table_NFI[[#This Row],[Clothes Kit]],Table_NFI[Clothes Kit])</f>
        <v>0</v>
      </c>
      <c r="AG44" s="352">
        <f>IF(NFI_Expiration=1,IF($A44&lt;VLOOKUP(P$5,NFI,5,0),1,0)*Table_NFI[[#This Row],[Plastic Bucket]],Table_NFI[Plastic Bucket])</f>
        <v>8</v>
      </c>
      <c r="AH44" s="352">
        <f>IF(NFI_Expiration=1,IF($A44&lt;VLOOKUP(Q$5,NFI,5,0),1,0)*Table_NFI[[#This Row],[Plastic Mat]],Table_NFI[Plastic Mat])*IF(Table_NFI[[#This Row],[Distribution Date]]&gt;"2014-04-01",1,2.5)</f>
        <v>60</v>
      </c>
      <c r="AI44" s="352">
        <f>IF(NFI_Expiration=1,IF($A44&lt;VLOOKUP(R$5,NFI,5,0),1,0)*Table_NFI[[#This Row],[Winter Clothes Adult]],Table_NFI[Winter Clothes Adult])</f>
        <v>0</v>
      </c>
      <c r="AJ44" s="352">
        <f>IF(NFI_Expiration=1,IF($A44&lt;VLOOKUP(S$5,NFI,5,0),1,0)*Table_NFI[[#This Row],[Winter Clothes Children]],Table_NFI[Winter Clothes Children])</f>
        <v>0</v>
      </c>
      <c r="AK44" s="352">
        <f>IF(NFI_Expiration=1,IF($A44&lt;VLOOKUP(T$5,NFI,5,0),1,0)*Table_NFI[[#This Row],[Winter Items Other]],Table_NFI[Winter Items Other])</f>
        <v>0</v>
      </c>
      <c r="AL44" s="352">
        <f>IF(NFI_Expiration=1,IF($A44&lt;VLOOKUP(M$5,NFI,5,0),1,0)*Table_NFI[[#This Row],[Winter Blanket]],Table_NFI[[#This Row],[Winter Blanket]])</f>
        <v>0</v>
      </c>
      <c r="AM44" s="352">
        <f>IF(Table_NFI[[#This Row],[Winter Clothes Adult]]+Table_NFI[[#This Row],[Winter Clothes Children]]+Table_NFI[[#This Row],[Winter Items Other]]+Table_NFI[[#This Row],[Winter Blanket]]&gt;0,1,0)</f>
        <v>0</v>
      </c>
      <c r="AN44" s="392">
        <f>IF(NFI_Expiration=1,IF($A44&lt;VLOOKUP(V$5,NFI,5,0),1,0)*Table_NFI[[#This Row],[Jerry Can]],Table_NFI[Jerry Can])</f>
        <v>6</v>
      </c>
      <c r="AO44" s="540" t="str">
        <f>IFERROR(VLOOKUP(Table_NFI[[#This Row],[Camp Name]],CL,2,0),"")</f>
        <v/>
      </c>
      <c r="AP44" s="535" t="str">
        <f ca="1">IF(Table_NFI[[#This Row],[Pcode]]="","",IF(OFFSET(CampList[Opening Date],MATCH(Table_NFI[[#This Row],[Pcode]],CampList[CP_Pcode],0)-1,0,1,1)&gt;=NFI_Monitor_Date,1,0))</f>
        <v/>
      </c>
      <c r="AQ44" s="540" t="str">
        <f>IFERROR(VLOOKUP(Table_NFI[[#This Row],[Camp Name]],CL,3,0),"")</f>
        <v/>
      </c>
      <c r="AR44" s="352" t="str">
        <f ca="1">IF(Table_NFI[[#This Row],[Pcode]]="","",OFFSET(CampList[Priority],MATCH(Table_NFI[[#This Row],[Pcode]],CampList[CP_Pcode],0)-1,0,1,1))</f>
        <v/>
      </c>
      <c r="AS44" s="351" t="str">
        <f>IFERROR(Table_NFI[[#This Row],[Kitchen Set]]/VLOOKUP(Table_NFI[[#This Row],[Camp Name]],CL,4,0),"")</f>
        <v/>
      </c>
      <c r="AT44" s="533" t="s">
        <v>1094</v>
      </c>
      <c r="AU44" s="557"/>
    </row>
    <row r="45" spans="1:47" s="537" customFormat="1" ht="15" hidden="1" customHeight="1" x14ac:dyDescent="0.25">
      <c r="A45" s="355">
        <f t="shared" si="0"/>
        <v>42.766666666666666</v>
      </c>
      <c r="B45" s="532">
        <v>41288</v>
      </c>
      <c r="C45" s="533" t="s">
        <v>907</v>
      </c>
      <c r="D45" s="533" t="s">
        <v>907</v>
      </c>
      <c r="E45" s="533" t="s">
        <v>380</v>
      </c>
      <c r="F45" s="348" t="s">
        <v>5</v>
      </c>
      <c r="G45" s="348" t="s">
        <v>6</v>
      </c>
      <c r="H45" s="349">
        <v>940</v>
      </c>
      <c r="I45" s="349"/>
      <c r="J45" s="349"/>
      <c r="K45" s="349"/>
      <c r="L45" s="350"/>
      <c r="M45" s="350"/>
      <c r="N45" s="350"/>
      <c r="O45" s="350"/>
      <c r="P45" s="352">
        <v>0</v>
      </c>
      <c r="Q45" s="352">
        <v>0</v>
      </c>
      <c r="R45" s="352"/>
      <c r="S45" s="352"/>
      <c r="T45" s="352"/>
      <c r="U45" s="352"/>
      <c r="V45" s="497"/>
      <c r="W45" s="352"/>
      <c r="X45" s="352"/>
      <c r="Y45" s="352">
        <f>IF(NFI_Expiration=1,IF($A45&lt;VLOOKUP(H$5,NFI,5,0),1,0)*Table_NFI[[#This Row],[Hygiene Kit]],Table_NFI[Hygiene Kit])</f>
        <v>0</v>
      </c>
      <c r="Z45" s="352">
        <f>IF(NFI_Expiration=1,IF($A45&lt;VLOOKUP(I$5,NFI,5,0),1,0)*Table_NFI[[#This Row],[NFI Core Kit]],Table_NFI[NFI Core Kit])</f>
        <v>0</v>
      </c>
      <c r="AA45" s="352">
        <f>IF(NFI_Expiration=1,IF($A45&lt;VLOOKUP(J$5,NFI,5,0),1,0)*Table_NFI[[#This Row],[Sanitary Kit]],Table_NFI[Sanitary Kit])</f>
        <v>0</v>
      </c>
      <c r="AB45" s="352">
        <f>IF(NFI_Expiration=1,IF($A45&lt;VLOOKUP(K$5,NFI,5,0),1,0)*Table_NFI[[#This Row],[Mosquito net]],Table_NFI[Mosquito net])</f>
        <v>0</v>
      </c>
      <c r="AC45" s="352">
        <f>IF(NFI_Expiration=1,IF($A45&lt;VLOOKUP(L$5,NFI,5,0),1,0)*Table_NFI[[#This Row],[Tarpaulin]],Table_NFI[[#This Row],[Tarpaulin]])</f>
        <v>0</v>
      </c>
      <c r="AD45" s="352">
        <f>IF(NFI_Expiration=1,IF($A45&lt;VLOOKUP(M$5,NFI,5,0),1,0)*Table_NFI[[#This Row],[Blanket]],Table_NFI[[#This Row],[Blanket]])</f>
        <v>0</v>
      </c>
      <c r="AE45" s="352">
        <f>IF(NFI_Expiration=1,IF($A45&lt;VLOOKUP(N$5,NFI,5,0),1,0)*Table_NFI[[#This Row],[Kitchen Set]],Table_NFI[Kitchen Set])</f>
        <v>0</v>
      </c>
      <c r="AF45" s="352">
        <f>IF(NFI_Expiration=1,IF($A45&lt;VLOOKUP(O$5,NFI,5,0),1,0)*Table_NFI[[#This Row],[Clothes Kit]],Table_NFI[Clothes Kit])</f>
        <v>0</v>
      </c>
      <c r="AG45" s="352">
        <f>IF(NFI_Expiration=1,IF($A45&lt;VLOOKUP(P$5,NFI,5,0),1,0)*Table_NFI[[#This Row],[Plastic Bucket]],Table_NFI[Plastic Bucket])</f>
        <v>0</v>
      </c>
      <c r="AH45" s="352">
        <f>IF(NFI_Expiration=1,IF($A45&lt;VLOOKUP(Q$5,NFI,5,0),1,0)*Table_NFI[[#This Row],[Plastic Mat]],Table_NFI[Plastic Mat])*IF(Table_NFI[[#This Row],[Distribution Date]]&gt;"2014-04-01",1,2.5)</f>
        <v>0</v>
      </c>
      <c r="AI45" s="352">
        <f>IF(NFI_Expiration=1,IF($A45&lt;VLOOKUP(R$5,NFI,5,0),1,0)*Table_NFI[[#This Row],[Winter Clothes Adult]],Table_NFI[Winter Clothes Adult])</f>
        <v>0</v>
      </c>
      <c r="AJ45" s="352">
        <f>IF(NFI_Expiration=1,IF($A45&lt;VLOOKUP(S$5,NFI,5,0),1,0)*Table_NFI[[#This Row],[Winter Clothes Children]],Table_NFI[Winter Clothes Children])</f>
        <v>0</v>
      </c>
      <c r="AK45" s="352">
        <f>IF(NFI_Expiration=1,IF($A45&lt;VLOOKUP(T$5,NFI,5,0),1,0)*Table_NFI[[#This Row],[Winter Items Other]],Table_NFI[Winter Items Other])</f>
        <v>0</v>
      </c>
      <c r="AL45" s="352">
        <f>IF(NFI_Expiration=1,IF($A45&lt;VLOOKUP(M$5,NFI,5,0),1,0)*Table_NFI[[#This Row],[Winter Blanket]],Table_NFI[[#This Row],[Winter Blanket]])</f>
        <v>0</v>
      </c>
      <c r="AM45" s="352">
        <f>IF(Table_NFI[[#This Row],[Winter Clothes Adult]]+Table_NFI[[#This Row],[Winter Clothes Children]]+Table_NFI[[#This Row],[Winter Items Other]]+Table_NFI[[#This Row],[Winter Blanket]]&gt;0,1,0)</f>
        <v>0</v>
      </c>
      <c r="AN45" s="392">
        <f>IF(NFI_Expiration=1,IF($A45&lt;VLOOKUP(V$5,NFI,5,0),1,0)*Table_NFI[[#This Row],[Jerry Can]],Table_NFI[Jerry Can])</f>
        <v>0</v>
      </c>
      <c r="AO45" s="540" t="str">
        <f>IFERROR(VLOOKUP(Table_NFI[[#This Row],[Camp Name]],CL,2,0),"")</f>
        <v>MMR001CMP050</v>
      </c>
      <c r="AP45" s="535">
        <f ca="1">IF(Table_NFI[[#This Row],[Pcode]]="","",IF(OFFSET(CampList[Opening Date],MATCH(Table_NFI[[#This Row],[Pcode]],CampList[CP_Pcode],0)-1,0,1,1)&gt;=NFI_Monitor_Date,1,0))</f>
        <v>0</v>
      </c>
      <c r="AQ45" s="540" t="str">
        <f>IFERROR(VLOOKUP(Table_NFI[[#This Row],[Camp Name]],CL,3,0),"")</f>
        <v>Open</v>
      </c>
      <c r="AR45" s="352" t="str">
        <f ca="1">IF(Table_NFI[[#This Row],[Pcode]]="","",OFFSET(CampList[Priority],MATCH(Table_NFI[[#This Row],[Pcode]],CampList[CP_Pcode],0)-1,0,1,1))</f>
        <v>P4</v>
      </c>
      <c r="AS45" s="351">
        <f>IFERROR(Table_NFI[[#This Row],[Kitchen Set]]/VLOOKUP(Table_NFI[[#This Row],[Camp Name]],CL,4,0),"")</f>
        <v>0</v>
      </c>
      <c r="AT45" s="533" t="s">
        <v>1094</v>
      </c>
      <c r="AU45" s="536"/>
    </row>
    <row r="46" spans="1:47" s="537" customFormat="1" ht="14.45" customHeight="1" x14ac:dyDescent="0.25">
      <c r="A46" s="355">
        <f t="shared" si="0"/>
        <v>7.9333333333333336</v>
      </c>
      <c r="B46" s="532">
        <v>42333</v>
      </c>
      <c r="C46" s="533" t="s">
        <v>453</v>
      </c>
      <c r="D46" s="533" t="s">
        <v>461</v>
      </c>
      <c r="E46" s="533" t="s">
        <v>380</v>
      </c>
      <c r="F46" s="533" t="s">
        <v>302</v>
      </c>
      <c r="G46" s="533" t="s">
        <v>306</v>
      </c>
      <c r="H46" s="349"/>
      <c r="I46" s="349"/>
      <c r="J46" s="349"/>
      <c r="K46" s="349"/>
      <c r="L46" s="350">
        <v>4</v>
      </c>
      <c r="M46" s="350">
        <v>16</v>
      </c>
      <c r="N46" s="350">
        <v>4</v>
      </c>
      <c r="O46" s="350"/>
      <c r="P46" s="352">
        <v>4</v>
      </c>
      <c r="Q46" s="352">
        <v>23</v>
      </c>
      <c r="R46" s="352"/>
      <c r="S46" s="352"/>
      <c r="T46" s="352"/>
      <c r="U46" s="352"/>
      <c r="V46" s="497">
        <v>7</v>
      </c>
      <c r="W46" s="352"/>
      <c r="X46" s="352"/>
      <c r="Y46" s="352">
        <f>IF(NFI_Expiration=1,IF($A46&lt;VLOOKUP(H$5,NFI,5,0),1,0)*Table_NFI[[#This Row],[Hygiene Kit]],Table_NFI[Hygiene Kit])</f>
        <v>0</v>
      </c>
      <c r="Z46" s="352">
        <f>IF(NFI_Expiration=1,IF($A46&lt;VLOOKUP(I$5,NFI,5,0),1,0)*Table_NFI[[#This Row],[NFI Core Kit]],Table_NFI[NFI Core Kit])</f>
        <v>0</v>
      </c>
      <c r="AA46" s="352">
        <f>IF(NFI_Expiration=1,IF($A46&lt;VLOOKUP(J$5,NFI,5,0),1,0)*Table_NFI[[#This Row],[Sanitary Kit]],Table_NFI[Sanitary Kit])</f>
        <v>0</v>
      </c>
      <c r="AB46" s="352">
        <f>IF(NFI_Expiration=1,IF($A46&lt;VLOOKUP(K$5,NFI,5,0),1,0)*Table_NFI[[#This Row],[Mosquito net]],Table_NFI[Mosquito net])</f>
        <v>0</v>
      </c>
      <c r="AC46" s="352">
        <f>IF(NFI_Expiration=1,IF($A46&lt;VLOOKUP(L$5,NFI,5,0),1,0)*Table_NFI[[#This Row],[Tarpaulin]],Table_NFI[[#This Row],[Tarpaulin]])</f>
        <v>4</v>
      </c>
      <c r="AD46" s="352">
        <f>IF(NFI_Expiration=1,IF($A46&lt;VLOOKUP(M$5,NFI,5,0),1,0)*Table_NFI[[#This Row],[Blanket]],Table_NFI[[#This Row],[Blanket]])</f>
        <v>16</v>
      </c>
      <c r="AE46" s="352">
        <f>IF(NFI_Expiration=1,IF($A46&lt;VLOOKUP(N$5,NFI,5,0),1,0)*Table_NFI[[#This Row],[Kitchen Set]],Table_NFI[Kitchen Set])</f>
        <v>4</v>
      </c>
      <c r="AF46" s="352">
        <f>IF(NFI_Expiration=1,IF($A46&lt;VLOOKUP(O$5,NFI,5,0),1,0)*Table_NFI[[#This Row],[Clothes Kit]],Table_NFI[Clothes Kit])</f>
        <v>0</v>
      </c>
      <c r="AG46" s="352">
        <f>IF(NFI_Expiration=1,IF($A46&lt;VLOOKUP(P$5,NFI,5,0),1,0)*Table_NFI[[#This Row],[Plastic Bucket]],Table_NFI[Plastic Bucket])</f>
        <v>4</v>
      </c>
      <c r="AH46" s="352">
        <f>IF(NFI_Expiration=1,IF($A46&lt;VLOOKUP(Q$5,NFI,5,0),1,0)*Table_NFI[[#This Row],[Plastic Mat]],Table_NFI[Plastic Mat])*IF(Table_NFI[[#This Row],[Distribution Date]]&gt;"2014-04-01",1,2.5)</f>
        <v>57.5</v>
      </c>
      <c r="AI46" s="352">
        <f>IF(NFI_Expiration=1,IF($A46&lt;VLOOKUP(R$5,NFI,5,0),1,0)*Table_NFI[[#This Row],[Winter Clothes Adult]],Table_NFI[Winter Clothes Adult])</f>
        <v>0</v>
      </c>
      <c r="AJ46" s="352">
        <f>IF(NFI_Expiration=1,IF($A46&lt;VLOOKUP(S$5,NFI,5,0),1,0)*Table_NFI[[#This Row],[Winter Clothes Children]],Table_NFI[Winter Clothes Children])</f>
        <v>0</v>
      </c>
      <c r="AK46" s="352">
        <f>IF(NFI_Expiration=1,IF($A46&lt;VLOOKUP(T$5,NFI,5,0),1,0)*Table_NFI[[#This Row],[Winter Items Other]],Table_NFI[Winter Items Other])</f>
        <v>0</v>
      </c>
      <c r="AL46" s="352">
        <f>IF(NFI_Expiration=1,IF($A46&lt;VLOOKUP(M$5,NFI,5,0),1,0)*Table_NFI[[#This Row],[Winter Blanket]],Table_NFI[[#This Row],[Winter Blanket]])</f>
        <v>0</v>
      </c>
      <c r="AM46" s="352">
        <f>IF(Table_NFI[[#This Row],[Winter Clothes Adult]]+Table_NFI[[#This Row],[Winter Clothes Children]]+Table_NFI[[#This Row],[Winter Items Other]]+Table_NFI[[#This Row],[Winter Blanket]]&gt;0,1,0)</f>
        <v>0</v>
      </c>
      <c r="AN46" s="392">
        <f>IF(NFI_Expiration=1,IF($A46&lt;VLOOKUP(V$5,NFI,5,0),1,0)*Table_NFI[[#This Row],[Jerry Can]],Table_NFI[Jerry Can])</f>
        <v>7</v>
      </c>
      <c r="AO46" s="540" t="str">
        <f>IFERROR(VLOOKUP(Table_NFI[[#This Row],[Camp Name]],CL,2,0),"")</f>
        <v>MMR001CMP067</v>
      </c>
      <c r="AP46" s="535">
        <f ca="1">IF(Table_NFI[[#This Row],[Pcode]]="","",IF(OFFSET(CampList[Opening Date],MATCH(Table_NFI[[#This Row],[Pcode]],CampList[CP_Pcode],0)-1,0,1,1)&gt;=NFI_Monitor_Date,1,0))</f>
        <v>0</v>
      </c>
      <c r="AQ46" s="540" t="str">
        <f>IFERROR(VLOOKUP(Table_NFI[[#This Row],[Camp Name]],CL,3,0),"")</f>
        <v>Open</v>
      </c>
      <c r="AR46" s="352" t="str">
        <f ca="1">IF(Table_NFI[[#This Row],[Pcode]]="","",OFFSET(CampList[Priority],MATCH(Table_NFI[[#This Row],[Pcode]],CampList[CP_Pcode],0)-1,0,1,1))</f>
        <v>P4</v>
      </c>
      <c r="AS46" s="351">
        <f>IFERROR(Table_NFI[[#This Row],[Kitchen Set]]/VLOOKUP(Table_NFI[[#This Row],[Camp Name]],CL,4,0),"")</f>
        <v>4.6511627906976744E-2</v>
      </c>
      <c r="AT46" s="533" t="s">
        <v>1094</v>
      </c>
      <c r="AU46" s="536"/>
    </row>
    <row r="47" spans="1:47" s="537" customFormat="1" ht="14.45" customHeight="1" x14ac:dyDescent="0.25">
      <c r="A47" s="355">
        <f t="shared" si="0"/>
        <v>7.9333333333333336</v>
      </c>
      <c r="B47" s="532">
        <v>42333</v>
      </c>
      <c r="C47" s="533" t="s">
        <v>453</v>
      </c>
      <c r="D47" s="533" t="s">
        <v>461</v>
      </c>
      <c r="E47" s="533" t="s">
        <v>380</v>
      </c>
      <c r="F47" s="533" t="s">
        <v>302</v>
      </c>
      <c r="G47" s="533" t="s">
        <v>308</v>
      </c>
      <c r="H47" s="349"/>
      <c r="I47" s="352"/>
      <c r="J47" s="352"/>
      <c r="K47" s="352"/>
      <c r="L47" s="350">
        <v>4</v>
      </c>
      <c r="M47" s="350">
        <v>12</v>
      </c>
      <c r="N47" s="350">
        <v>3</v>
      </c>
      <c r="O47" s="350"/>
      <c r="P47" s="352">
        <v>4</v>
      </c>
      <c r="Q47" s="352">
        <v>14</v>
      </c>
      <c r="R47" s="352"/>
      <c r="S47" s="352"/>
      <c r="T47" s="352"/>
      <c r="U47" s="352"/>
      <c r="V47" s="497">
        <v>4</v>
      </c>
      <c r="W47" s="352"/>
      <c r="X47" s="352"/>
      <c r="Y47" s="352">
        <f>IF(NFI_Expiration=1,IF($A47&lt;VLOOKUP(H$5,NFI,5,0),1,0)*Table_NFI[[#This Row],[Hygiene Kit]],Table_NFI[Hygiene Kit])</f>
        <v>0</v>
      </c>
      <c r="Z47" s="352">
        <f>IF(NFI_Expiration=1,IF($A47&lt;VLOOKUP(I$5,NFI,5,0),1,0)*Table_NFI[[#This Row],[NFI Core Kit]],Table_NFI[NFI Core Kit])</f>
        <v>0</v>
      </c>
      <c r="AA47" s="352">
        <f>IF(NFI_Expiration=1,IF($A47&lt;VLOOKUP(J$5,NFI,5,0),1,0)*Table_NFI[[#This Row],[Sanitary Kit]],Table_NFI[Sanitary Kit])</f>
        <v>0</v>
      </c>
      <c r="AB47" s="352">
        <f>IF(NFI_Expiration=1,IF($A47&lt;VLOOKUP(K$5,NFI,5,0),1,0)*Table_NFI[[#This Row],[Mosquito net]],Table_NFI[Mosquito net])</f>
        <v>0</v>
      </c>
      <c r="AC47" s="352">
        <f>IF(NFI_Expiration=1,IF($A47&lt;VLOOKUP(L$5,NFI,5,0),1,0)*Table_NFI[[#This Row],[Tarpaulin]],Table_NFI[[#This Row],[Tarpaulin]])</f>
        <v>4</v>
      </c>
      <c r="AD47" s="352">
        <f>IF(NFI_Expiration=1,IF($A47&lt;VLOOKUP(M$5,NFI,5,0),1,0)*Table_NFI[[#This Row],[Blanket]],Table_NFI[[#This Row],[Blanket]])</f>
        <v>12</v>
      </c>
      <c r="AE47" s="352">
        <f>IF(NFI_Expiration=1,IF($A47&lt;VLOOKUP(N$5,NFI,5,0),1,0)*Table_NFI[[#This Row],[Kitchen Set]],Table_NFI[Kitchen Set])</f>
        <v>3</v>
      </c>
      <c r="AF47" s="352">
        <f>IF(NFI_Expiration=1,IF($A47&lt;VLOOKUP(O$5,NFI,5,0),1,0)*Table_NFI[[#This Row],[Clothes Kit]],Table_NFI[Clothes Kit])</f>
        <v>0</v>
      </c>
      <c r="AG47" s="352">
        <f>IF(NFI_Expiration=1,IF($A47&lt;VLOOKUP(P$5,NFI,5,0),1,0)*Table_NFI[[#This Row],[Plastic Bucket]],Table_NFI[Plastic Bucket])</f>
        <v>4</v>
      </c>
      <c r="AH47" s="352">
        <f>IF(NFI_Expiration=1,IF($A47&lt;VLOOKUP(Q$5,NFI,5,0),1,0)*Table_NFI[[#This Row],[Plastic Mat]],Table_NFI[Plastic Mat])*IF(Table_NFI[[#This Row],[Distribution Date]]&gt;"2014-04-01",1,2.5)</f>
        <v>35</v>
      </c>
      <c r="AI47" s="352">
        <f>IF(NFI_Expiration=1,IF($A47&lt;VLOOKUP(R$5,NFI,5,0),1,0)*Table_NFI[[#This Row],[Winter Clothes Adult]],Table_NFI[Winter Clothes Adult])</f>
        <v>0</v>
      </c>
      <c r="AJ47" s="352">
        <f>IF(NFI_Expiration=1,IF($A47&lt;VLOOKUP(S$5,NFI,5,0),1,0)*Table_NFI[[#This Row],[Winter Clothes Children]],Table_NFI[Winter Clothes Children])</f>
        <v>0</v>
      </c>
      <c r="AK47" s="352">
        <f>IF(NFI_Expiration=1,IF($A47&lt;VLOOKUP(T$5,NFI,5,0),1,0)*Table_NFI[[#This Row],[Winter Items Other]],Table_NFI[Winter Items Other])</f>
        <v>0</v>
      </c>
      <c r="AL47" s="352">
        <f>IF(NFI_Expiration=1,IF($A47&lt;VLOOKUP(M$5,NFI,5,0),1,0)*Table_NFI[[#This Row],[Winter Blanket]],Table_NFI[[#This Row],[Winter Blanket]])</f>
        <v>0</v>
      </c>
      <c r="AM47" s="352">
        <f>IF(Table_NFI[[#This Row],[Winter Clothes Adult]]+Table_NFI[[#This Row],[Winter Clothes Children]]+Table_NFI[[#This Row],[Winter Items Other]]+Table_NFI[[#This Row],[Winter Blanket]]&gt;0,1,0)</f>
        <v>0</v>
      </c>
      <c r="AN47" s="392">
        <f>IF(NFI_Expiration=1,IF($A47&lt;VLOOKUP(V$5,NFI,5,0),1,0)*Table_NFI[[#This Row],[Jerry Can]],Table_NFI[Jerry Can])</f>
        <v>4</v>
      </c>
      <c r="AO47" s="540" t="str">
        <f>IFERROR(VLOOKUP(Table_NFI[[#This Row],[Camp Name]],CL,2,0),"")</f>
        <v>MMR001CMP068</v>
      </c>
      <c r="AP47" s="535">
        <f ca="1">IF(Table_NFI[[#This Row],[Pcode]]="","",IF(OFFSET(CampList[Opening Date],MATCH(Table_NFI[[#This Row],[Pcode]],CampList[CP_Pcode],0)-1,0,1,1)&gt;=NFI_Monitor_Date,1,0))</f>
        <v>0</v>
      </c>
      <c r="AQ47" s="540" t="str">
        <f>IFERROR(VLOOKUP(Table_NFI[[#This Row],[Camp Name]],CL,3,0),"")</f>
        <v>Open</v>
      </c>
      <c r="AR47" s="352" t="str">
        <f ca="1">IF(Table_NFI[[#This Row],[Pcode]]="","",OFFSET(CampList[Priority],MATCH(Table_NFI[[#This Row],[Pcode]],CampList[CP_Pcode],0)-1,0,1,1))</f>
        <v>P4</v>
      </c>
      <c r="AS47" s="351">
        <f>IFERROR(Table_NFI[[#This Row],[Kitchen Set]]/VLOOKUP(Table_NFI[[#This Row],[Camp Name]],CL,4,0),"")</f>
        <v>7.3170731707317069E-2</v>
      </c>
      <c r="AT47" s="533" t="s">
        <v>1094</v>
      </c>
      <c r="AU47" s="557"/>
    </row>
    <row r="48" spans="1:47" s="129" customFormat="1" ht="14.45" customHeight="1" x14ac:dyDescent="0.25">
      <c r="A48" s="355">
        <f t="shared" si="0"/>
        <v>7.9666666666666668</v>
      </c>
      <c r="B48" s="532">
        <v>42332</v>
      </c>
      <c r="C48" s="533" t="s">
        <v>453</v>
      </c>
      <c r="D48" s="533" t="s">
        <v>507</v>
      </c>
      <c r="E48" s="533" t="s">
        <v>380</v>
      </c>
      <c r="F48" s="533" t="s">
        <v>237</v>
      </c>
      <c r="G48" s="533" t="s">
        <v>273</v>
      </c>
      <c r="H48" s="349"/>
      <c r="I48" s="352"/>
      <c r="J48" s="352"/>
      <c r="K48" s="352"/>
      <c r="L48" s="350"/>
      <c r="M48" s="350"/>
      <c r="N48" s="350"/>
      <c r="O48" s="350"/>
      <c r="P48" s="352"/>
      <c r="Q48" s="352"/>
      <c r="R48" s="352"/>
      <c r="S48" s="352"/>
      <c r="T48" s="352"/>
      <c r="U48" s="352">
        <v>50</v>
      </c>
      <c r="V48" s="497"/>
      <c r="W48" s="352"/>
      <c r="X48" s="352"/>
      <c r="Y48" s="352">
        <f>IF(NFI_Expiration=1,IF($A48&lt;VLOOKUP(H$5,NFI,5,0),1,0)*Table_NFI[[#This Row],[Hygiene Kit]],Table_NFI[Hygiene Kit])</f>
        <v>0</v>
      </c>
      <c r="Z48" s="352">
        <f>IF(NFI_Expiration=1,IF($A48&lt;VLOOKUP(I$5,NFI,5,0),1,0)*Table_NFI[[#This Row],[NFI Core Kit]],Table_NFI[NFI Core Kit])</f>
        <v>0</v>
      </c>
      <c r="AA48" s="352">
        <f>IF(NFI_Expiration=1,IF($A48&lt;VLOOKUP(J$5,NFI,5,0),1,0)*Table_NFI[[#This Row],[Sanitary Kit]],Table_NFI[Sanitary Kit])</f>
        <v>0</v>
      </c>
      <c r="AB48" s="352">
        <f>IF(NFI_Expiration=1,IF($A48&lt;VLOOKUP(K$5,NFI,5,0),1,0)*Table_NFI[[#This Row],[Mosquito net]],Table_NFI[Mosquito net])</f>
        <v>0</v>
      </c>
      <c r="AC48" s="352">
        <f>IF(NFI_Expiration=1,IF($A48&lt;VLOOKUP(L$5,NFI,5,0),1,0)*Table_NFI[[#This Row],[Tarpaulin]],Table_NFI[[#This Row],[Tarpaulin]])</f>
        <v>0</v>
      </c>
      <c r="AD48" s="352">
        <f>IF(NFI_Expiration=1,IF($A48&lt;VLOOKUP(M$5,NFI,5,0),1,0)*Table_NFI[[#This Row],[Blanket]],Table_NFI[[#This Row],[Blanket]])</f>
        <v>0</v>
      </c>
      <c r="AE48" s="352">
        <f>IF(NFI_Expiration=1,IF($A48&lt;VLOOKUP(N$5,NFI,5,0),1,0)*Table_NFI[[#This Row],[Kitchen Set]],Table_NFI[Kitchen Set])</f>
        <v>0</v>
      </c>
      <c r="AF48" s="352">
        <f>IF(NFI_Expiration=1,IF($A48&lt;VLOOKUP(O$5,NFI,5,0),1,0)*Table_NFI[[#This Row],[Clothes Kit]],Table_NFI[Clothes Kit])</f>
        <v>0</v>
      </c>
      <c r="AG48" s="352">
        <f>IF(NFI_Expiration=1,IF($A48&lt;VLOOKUP(P$5,NFI,5,0),1,0)*Table_NFI[[#This Row],[Plastic Bucket]],Table_NFI[Plastic Bucket])</f>
        <v>0</v>
      </c>
      <c r="AH48" s="352">
        <f>IF(NFI_Expiration=1,IF($A48&lt;VLOOKUP(Q$5,NFI,5,0),1,0)*Table_NFI[[#This Row],[Plastic Mat]],Table_NFI[Plastic Mat])*IF(Table_NFI[[#This Row],[Distribution Date]]&gt;"2014-04-01",1,2.5)</f>
        <v>0</v>
      </c>
      <c r="AI48" s="352">
        <f>IF(NFI_Expiration=1,IF($A48&lt;VLOOKUP(R$5,NFI,5,0),1,0)*Table_NFI[[#This Row],[Winter Clothes Adult]],Table_NFI[Winter Clothes Adult])</f>
        <v>0</v>
      </c>
      <c r="AJ48" s="352">
        <f>IF(NFI_Expiration=1,IF($A48&lt;VLOOKUP(S$5,NFI,5,0),1,0)*Table_NFI[[#This Row],[Winter Clothes Children]],Table_NFI[Winter Clothes Children])</f>
        <v>0</v>
      </c>
      <c r="AK48" s="352">
        <f>IF(NFI_Expiration=1,IF($A48&lt;VLOOKUP(T$5,NFI,5,0),1,0)*Table_NFI[[#This Row],[Winter Items Other]],Table_NFI[Winter Items Other])</f>
        <v>0</v>
      </c>
      <c r="AL48" s="352">
        <f>IF(NFI_Expiration=1,IF($A48&lt;VLOOKUP(M$5,NFI,5,0),1,0)*Table_NFI[[#This Row],[Winter Blanket]],Table_NFI[[#This Row],[Winter Blanket]])</f>
        <v>50</v>
      </c>
      <c r="AM48" s="352">
        <f>IF(Table_NFI[[#This Row],[Winter Clothes Adult]]+Table_NFI[[#This Row],[Winter Clothes Children]]+Table_NFI[[#This Row],[Winter Items Other]]+Table_NFI[[#This Row],[Winter Blanket]]&gt;0,1,0)</f>
        <v>1</v>
      </c>
      <c r="AN48" s="392">
        <f>IF(NFI_Expiration=1,IF($A48&lt;VLOOKUP(V$5,NFI,5,0),1,0)*Table_NFI[[#This Row],[Jerry Can]],Table_NFI[Jerry Can])</f>
        <v>0</v>
      </c>
      <c r="AO48" s="540" t="str">
        <f>IFERROR(VLOOKUP(Table_NFI[[#This Row],[Camp Name]],CL,2,0),"")</f>
        <v>MMR001CMP162</v>
      </c>
      <c r="AP48" s="535">
        <f ca="1">IF(Table_NFI[[#This Row],[Pcode]]="","",IF(OFFSET(CampList[Opening Date],MATCH(Table_NFI[[#This Row],[Pcode]],CampList[CP_Pcode],0)-1,0,1,1)&gt;=NFI_Monitor_Date,1,0))</f>
        <v>0</v>
      </c>
      <c r="AQ48" s="540" t="str">
        <f>IFERROR(VLOOKUP(Table_NFI[[#This Row],[Camp Name]],CL,3,0),"")</f>
        <v>Open</v>
      </c>
      <c r="AR48" s="352" t="str">
        <f ca="1">IF(Table_NFI[[#This Row],[Pcode]]="","",OFFSET(CampList[Priority],MATCH(Table_NFI[[#This Row],[Pcode]],CampList[CP_Pcode],0)-1,0,1,1))</f>
        <v>P4</v>
      </c>
      <c r="AS48" s="351">
        <f>IFERROR(Table_NFI[[#This Row],[Kitchen Set]]/VLOOKUP(Table_NFI[[#This Row],[Camp Name]],CL,4,0),"")</f>
        <v>0</v>
      </c>
      <c r="AT48" s="533" t="s">
        <v>1094</v>
      </c>
      <c r="AU48" s="553"/>
    </row>
    <row r="49" spans="1:47" s="537" customFormat="1" ht="14.45" customHeight="1" x14ac:dyDescent="0.25">
      <c r="A49" s="355">
        <f t="shared" si="0"/>
        <v>8.6999999999999993</v>
      </c>
      <c r="B49" s="532">
        <v>42310</v>
      </c>
      <c r="C49" s="533" t="s">
        <v>453</v>
      </c>
      <c r="D49" s="533" t="s">
        <v>461</v>
      </c>
      <c r="E49" s="533" t="s">
        <v>380</v>
      </c>
      <c r="F49" s="533" t="s">
        <v>151</v>
      </c>
      <c r="G49" s="533" t="s">
        <v>1344</v>
      </c>
      <c r="H49" s="349"/>
      <c r="I49" s="352"/>
      <c r="J49" s="352">
        <v>223</v>
      </c>
      <c r="K49" s="352"/>
      <c r="L49" s="350">
        <v>30</v>
      </c>
      <c r="M49" s="350"/>
      <c r="N49" s="350"/>
      <c r="O49" s="350"/>
      <c r="P49" s="352"/>
      <c r="Q49" s="352">
        <v>337</v>
      </c>
      <c r="R49" s="352"/>
      <c r="S49" s="352"/>
      <c r="T49" s="352"/>
      <c r="U49" s="352"/>
      <c r="V49" s="497"/>
      <c r="W49" s="352"/>
      <c r="X49" s="352"/>
      <c r="Y49" s="352">
        <f>IF(NFI_Expiration=1,IF($A49&lt;VLOOKUP(H$5,NFI,5,0),1,0)*Table_NFI[[#This Row],[Hygiene Kit]],Table_NFI[Hygiene Kit])</f>
        <v>0</v>
      </c>
      <c r="Z49" s="352">
        <f>IF(NFI_Expiration=1,IF($A49&lt;VLOOKUP(I$5,NFI,5,0),1,0)*Table_NFI[[#This Row],[NFI Core Kit]],Table_NFI[NFI Core Kit])</f>
        <v>0</v>
      </c>
      <c r="AA49" s="352">
        <f>IF(NFI_Expiration=1,IF($A49&lt;VLOOKUP(J$5,NFI,5,0),1,0)*Table_NFI[[#This Row],[Sanitary Kit]],Table_NFI[Sanitary Kit])</f>
        <v>223</v>
      </c>
      <c r="AB49" s="352">
        <f>IF(NFI_Expiration=1,IF($A49&lt;VLOOKUP(K$5,NFI,5,0),1,0)*Table_NFI[[#This Row],[Mosquito net]],Table_NFI[Mosquito net])</f>
        <v>0</v>
      </c>
      <c r="AC49" s="352">
        <f>IF(NFI_Expiration=1,IF($A49&lt;VLOOKUP(L$5,NFI,5,0),1,0)*Table_NFI[[#This Row],[Tarpaulin]],Table_NFI[[#This Row],[Tarpaulin]])</f>
        <v>30</v>
      </c>
      <c r="AD49" s="352">
        <f>IF(NFI_Expiration=1,IF($A49&lt;VLOOKUP(M$5,NFI,5,0),1,0)*Table_NFI[[#This Row],[Blanket]],Table_NFI[[#This Row],[Blanket]])</f>
        <v>0</v>
      </c>
      <c r="AE49" s="352">
        <f>IF(NFI_Expiration=1,IF($A49&lt;VLOOKUP(N$5,NFI,5,0),1,0)*Table_NFI[[#This Row],[Kitchen Set]],Table_NFI[Kitchen Set])</f>
        <v>0</v>
      </c>
      <c r="AF49" s="352">
        <f>IF(NFI_Expiration=1,IF($A49&lt;VLOOKUP(O$5,NFI,5,0),1,0)*Table_NFI[[#This Row],[Clothes Kit]],Table_NFI[Clothes Kit])</f>
        <v>0</v>
      </c>
      <c r="AG49" s="352">
        <f>IF(NFI_Expiration=1,IF($A49&lt;VLOOKUP(P$5,NFI,5,0),1,0)*Table_NFI[[#This Row],[Plastic Bucket]],Table_NFI[Plastic Bucket])</f>
        <v>0</v>
      </c>
      <c r="AH49" s="352">
        <f>IF(NFI_Expiration=1,IF($A49&lt;VLOOKUP(Q$5,NFI,5,0),1,0)*Table_NFI[[#This Row],[Plastic Mat]],Table_NFI[Plastic Mat])*IF(Table_NFI[[#This Row],[Distribution Date]]&gt;"2014-04-01",1,2.5)</f>
        <v>842.5</v>
      </c>
      <c r="AI49" s="352">
        <f>IF(NFI_Expiration=1,IF($A49&lt;VLOOKUP(R$5,NFI,5,0),1,0)*Table_NFI[[#This Row],[Winter Clothes Adult]],Table_NFI[Winter Clothes Adult])</f>
        <v>0</v>
      </c>
      <c r="AJ49" s="352">
        <f>IF(NFI_Expiration=1,IF($A49&lt;VLOOKUP(S$5,NFI,5,0),1,0)*Table_NFI[[#This Row],[Winter Clothes Children]],Table_NFI[Winter Clothes Children])</f>
        <v>0</v>
      </c>
      <c r="AK49" s="352">
        <f>IF(NFI_Expiration=1,IF($A49&lt;VLOOKUP(T$5,NFI,5,0),1,0)*Table_NFI[[#This Row],[Winter Items Other]],Table_NFI[Winter Items Other])</f>
        <v>0</v>
      </c>
      <c r="AL49" s="352">
        <f>IF(NFI_Expiration=1,IF($A49&lt;VLOOKUP(M$5,NFI,5,0),1,0)*Table_NFI[[#This Row],[Winter Blanket]],Table_NFI[[#This Row],[Winter Blanket]])</f>
        <v>0</v>
      </c>
      <c r="AM49" s="352">
        <f>IF(Table_NFI[[#This Row],[Winter Clothes Adult]]+Table_NFI[[#This Row],[Winter Clothes Children]]+Table_NFI[[#This Row],[Winter Items Other]]+Table_NFI[[#This Row],[Winter Blanket]]&gt;0,1,0)</f>
        <v>0</v>
      </c>
      <c r="AN49" s="392">
        <f>IF(NFI_Expiration=1,IF($A49&lt;VLOOKUP(V$5,NFI,5,0),1,0)*Table_NFI[[#This Row],[Jerry Can]],Table_NFI[Jerry Can])</f>
        <v>0</v>
      </c>
      <c r="AO49" s="540" t="str">
        <f>IFERROR(VLOOKUP(Table_NFI[[#This Row],[Camp Name]],CL,2,0),"")</f>
        <v/>
      </c>
      <c r="AP49" s="535" t="str">
        <f ca="1">IF(Table_NFI[[#This Row],[Pcode]]="","",IF(OFFSET(CampList[Opening Date],MATCH(Table_NFI[[#This Row],[Pcode]],CampList[CP_Pcode],0)-1,0,1,1)&gt;=NFI_Monitor_Date,1,0))</f>
        <v/>
      </c>
      <c r="AQ49" s="540" t="str">
        <f>IFERROR(VLOOKUP(Table_NFI[[#This Row],[Camp Name]],CL,3,0),"")</f>
        <v/>
      </c>
      <c r="AR49" s="352" t="str">
        <f ca="1">IF(Table_NFI[[#This Row],[Pcode]]="","",OFFSET(CampList[Priority],MATCH(Table_NFI[[#This Row],[Pcode]],CampList[CP_Pcode],0)-1,0,1,1))</f>
        <v/>
      </c>
      <c r="AS49" s="351" t="str">
        <f>IFERROR(Table_NFI[[#This Row],[Kitchen Set]]/VLOOKUP(Table_NFI[[#This Row],[Camp Name]],CL,4,0),"")</f>
        <v/>
      </c>
      <c r="AT49" s="533" t="s">
        <v>1094</v>
      </c>
      <c r="AU49" s="557"/>
    </row>
    <row r="50" spans="1:47" s="537" customFormat="1" ht="14.45" hidden="1" customHeight="1" x14ac:dyDescent="0.25">
      <c r="A50" s="355">
        <f t="shared" si="0"/>
        <v>21.133333333333333</v>
      </c>
      <c r="B50" s="532">
        <v>41937</v>
      </c>
      <c r="C50" s="533" t="s">
        <v>1096</v>
      </c>
      <c r="D50" s="533" t="s">
        <v>902</v>
      </c>
      <c r="E50" s="533" t="s">
        <v>380</v>
      </c>
      <c r="F50" s="533" t="s">
        <v>528</v>
      </c>
      <c r="G50" s="533" t="s">
        <v>41</v>
      </c>
      <c r="H50" s="349"/>
      <c r="I50" s="349"/>
      <c r="J50" s="349"/>
      <c r="K50" s="349"/>
      <c r="L50" s="350"/>
      <c r="M50" s="350"/>
      <c r="N50" s="350"/>
      <c r="O50" s="350"/>
      <c r="P50" s="352"/>
      <c r="Q50" s="352"/>
      <c r="R50" s="352">
        <v>232</v>
      </c>
      <c r="S50" s="352">
        <v>105</v>
      </c>
      <c r="T50" s="352"/>
      <c r="U50" s="352"/>
      <c r="V50" s="497"/>
      <c r="W50" s="352"/>
      <c r="X50" s="352"/>
      <c r="Y50" s="352">
        <f>IF(NFI_Expiration=1,IF($A50&lt;VLOOKUP(H$5,NFI,5,0),1,0)*Table_NFI[[#This Row],[Hygiene Kit]],Table_NFI[Hygiene Kit])</f>
        <v>0</v>
      </c>
      <c r="Z50" s="352">
        <f>IF(NFI_Expiration=1,IF($A50&lt;VLOOKUP(I$5,NFI,5,0),1,0)*Table_NFI[[#This Row],[NFI Core Kit]],Table_NFI[NFI Core Kit])</f>
        <v>0</v>
      </c>
      <c r="AA50" s="352">
        <f>IF(NFI_Expiration=1,IF($A50&lt;VLOOKUP(J$5,NFI,5,0),1,0)*Table_NFI[[#This Row],[Sanitary Kit]],Table_NFI[Sanitary Kit])</f>
        <v>0</v>
      </c>
      <c r="AB50" s="352">
        <f>IF(NFI_Expiration=1,IF($A50&lt;VLOOKUP(K$5,NFI,5,0),1,0)*Table_NFI[[#This Row],[Mosquito net]],Table_NFI[Mosquito net])</f>
        <v>0</v>
      </c>
      <c r="AC50" s="352">
        <f>IF(NFI_Expiration=1,IF($A50&lt;VLOOKUP(L$5,NFI,5,0),1,0)*Table_NFI[[#This Row],[Tarpaulin]],Table_NFI[[#This Row],[Tarpaulin]])</f>
        <v>0</v>
      </c>
      <c r="AD50" s="352">
        <f>IF(NFI_Expiration=1,IF($A50&lt;VLOOKUP(M$5,NFI,5,0),1,0)*Table_NFI[[#This Row],[Blanket]],Table_NFI[[#This Row],[Blanket]])</f>
        <v>0</v>
      </c>
      <c r="AE50" s="352">
        <f>IF(NFI_Expiration=1,IF($A50&lt;VLOOKUP(N$5,NFI,5,0),1,0)*Table_NFI[[#This Row],[Kitchen Set]],Table_NFI[Kitchen Set])</f>
        <v>0</v>
      </c>
      <c r="AF50" s="352">
        <f>IF(NFI_Expiration=1,IF($A50&lt;VLOOKUP(O$5,NFI,5,0),1,0)*Table_NFI[[#This Row],[Clothes Kit]],Table_NFI[Clothes Kit])</f>
        <v>0</v>
      </c>
      <c r="AG50" s="352">
        <f>IF(NFI_Expiration=1,IF($A50&lt;VLOOKUP(P$5,NFI,5,0),1,0)*Table_NFI[[#This Row],[Plastic Bucket]],Table_NFI[Plastic Bucket])</f>
        <v>0</v>
      </c>
      <c r="AH50" s="352">
        <f>IF(NFI_Expiration=1,IF($A50&lt;VLOOKUP(Q$5,NFI,5,0),1,0)*Table_NFI[[#This Row],[Plastic Mat]],Table_NFI[Plastic Mat])*IF(Table_NFI[[#This Row],[Distribution Date]]&gt;"2014-04-01",1,2.5)</f>
        <v>0</v>
      </c>
      <c r="AI50" s="352">
        <f>IF(NFI_Expiration=1,IF($A50&lt;VLOOKUP(R$5,NFI,5,0),1,0)*Table_NFI[[#This Row],[Winter Clothes Adult]],Table_NFI[Winter Clothes Adult])</f>
        <v>0</v>
      </c>
      <c r="AJ50" s="352">
        <f>IF(NFI_Expiration=1,IF($A50&lt;VLOOKUP(S$5,NFI,5,0),1,0)*Table_NFI[[#This Row],[Winter Clothes Children]],Table_NFI[Winter Clothes Children])</f>
        <v>0</v>
      </c>
      <c r="AK50" s="352">
        <f>IF(NFI_Expiration=1,IF($A50&lt;VLOOKUP(T$5,NFI,5,0),1,0)*Table_NFI[[#This Row],[Winter Items Other]],Table_NFI[Winter Items Other])</f>
        <v>0</v>
      </c>
      <c r="AL50" s="352">
        <f>IF(NFI_Expiration=1,IF($A50&lt;VLOOKUP(M$5,NFI,5,0),1,0)*Table_NFI[[#This Row],[Winter Blanket]],Table_NFI[[#This Row],[Winter Blanket]])</f>
        <v>0</v>
      </c>
      <c r="AM50" s="352">
        <f>IF(Table_NFI[[#This Row],[Winter Clothes Adult]]+Table_NFI[[#This Row],[Winter Clothes Children]]+Table_NFI[[#This Row],[Winter Items Other]]+Table_NFI[[#This Row],[Winter Blanket]]&gt;0,1,0)</f>
        <v>1</v>
      </c>
      <c r="AN50" s="392">
        <f>IF(NFI_Expiration=1,IF($A50&lt;VLOOKUP(V$5,NFI,5,0),1,0)*Table_NFI[[#This Row],[Jerry Can]],Table_NFI[Jerry Can])</f>
        <v>0</v>
      </c>
      <c r="AO50" s="540" t="str">
        <f>IFERROR(VLOOKUP(Table_NFI[[#This Row],[Camp Name]],CL,2,0),"")</f>
        <v>MMR001CMP176</v>
      </c>
      <c r="AP50" s="535">
        <f ca="1">IF(Table_NFI[[#This Row],[Pcode]]="","",IF(OFFSET(CampList[Opening Date],MATCH(Table_NFI[[#This Row],[Pcode]],CampList[CP_Pcode],0)-1,0,1,1)&gt;=NFI_Monitor_Date,1,0))</f>
        <v>0</v>
      </c>
      <c r="AQ50" s="540" t="str">
        <f>IFERROR(VLOOKUP(Table_NFI[[#This Row],[Camp Name]],CL,3,0),"")</f>
        <v>Open</v>
      </c>
      <c r="AR50" s="352" t="str">
        <f ca="1">IF(Table_NFI[[#This Row],[Pcode]]="","",OFFSET(CampList[Priority],MATCH(Table_NFI[[#This Row],[Pcode]],CampList[CP_Pcode],0)-1,0,1,1))</f>
        <v>P4</v>
      </c>
      <c r="AS50" s="351">
        <f>IFERROR(Table_NFI[[#This Row],[Kitchen Set]]/VLOOKUP(Table_NFI[[#This Row],[Camp Name]],CL,4,0),"")</f>
        <v>0</v>
      </c>
      <c r="AT50" s="533"/>
      <c r="AU50" s="536"/>
    </row>
    <row r="51" spans="1:47" s="537" customFormat="1" ht="15" customHeight="1" x14ac:dyDescent="0.25">
      <c r="A51" s="355">
        <f t="shared" si="0"/>
        <v>9.7666666666666675</v>
      </c>
      <c r="B51" s="532">
        <v>42278</v>
      </c>
      <c r="C51" s="533" t="s">
        <v>453</v>
      </c>
      <c r="D51" s="533" t="s">
        <v>461</v>
      </c>
      <c r="E51" s="533" t="s">
        <v>380</v>
      </c>
      <c r="F51" s="533" t="s">
        <v>151</v>
      </c>
      <c r="G51" s="533" t="s">
        <v>1344</v>
      </c>
      <c r="H51" s="349"/>
      <c r="I51" s="352">
        <v>77</v>
      </c>
      <c r="J51" s="352">
        <v>232</v>
      </c>
      <c r="K51" s="352">
        <v>200</v>
      </c>
      <c r="L51" s="350">
        <v>89</v>
      </c>
      <c r="M51" s="350">
        <v>200</v>
      </c>
      <c r="N51" s="350">
        <v>119</v>
      </c>
      <c r="O51" s="350"/>
      <c r="P51" s="352">
        <v>119</v>
      </c>
      <c r="Q51" s="352">
        <v>345</v>
      </c>
      <c r="R51" s="352"/>
      <c r="S51" s="352"/>
      <c r="T51" s="352"/>
      <c r="U51" s="352"/>
      <c r="V51" s="497">
        <v>119</v>
      </c>
      <c r="W51" s="352"/>
      <c r="X51" s="352">
        <v>45</v>
      </c>
      <c r="Y51" s="352">
        <f>IF(NFI_Expiration=1,IF($A51&lt;VLOOKUP(H$5,NFI,5,0),1,0)*Table_NFI[[#This Row],[Hygiene Kit]],Table_NFI[Hygiene Kit])</f>
        <v>0</v>
      </c>
      <c r="Z51" s="352">
        <f>IF(NFI_Expiration=1,IF($A51&lt;VLOOKUP(I$5,NFI,5,0),1,0)*Table_NFI[[#This Row],[NFI Core Kit]],Table_NFI[NFI Core Kit])</f>
        <v>77</v>
      </c>
      <c r="AA51" s="352">
        <f>IF(NFI_Expiration=1,IF($A51&lt;VLOOKUP(J$5,NFI,5,0),1,0)*Table_NFI[[#This Row],[Sanitary Kit]],Table_NFI[Sanitary Kit])</f>
        <v>232</v>
      </c>
      <c r="AB51" s="352">
        <f>IF(NFI_Expiration=1,IF($A51&lt;VLOOKUP(K$5,NFI,5,0),1,0)*Table_NFI[[#This Row],[Mosquito net]],Table_NFI[Mosquito net])</f>
        <v>200</v>
      </c>
      <c r="AC51" s="352">
        <f>IF(NFI_Expiration=1,IF($A51&lt;VLOOKUP(L$5,NFI,5,0),1,0)*Table_NFI[[#This Row],[Tarpaulin]],Table_NFI[[#This Row],[Tarpaulin]])</f>
        <v>89</v>
      </c>
      <c r="AD51" s="352">
        <f>IF(NFI_Expiration=1,IF($A51&lt;VLOOKUP(M$5,NFI,5,0),1,0)*Table_NFI[[#This Row],[Blanket]],Table_NFI[[#This Row],[Blanket]])</f>
        <v>200</v>
      </c>
      <c r="AE51" s="352">
        <f>IF(NFI_Expiration=1,IF($A51&lt;VLOOKUP(N$5,NFI,5,0),1,0)*Table_NFI[[#This Row],[Kitchen Set]],Table_NFI[Kitchen Set])</f>
        <v>119</v>
      </c>
      <c r="AF51" s="352">
        <f>IF(NFI_Expiration=1,IF($A51&lt;VLOOKUP(O$5,NFI,5,0),1,0)*Table_NFI[[#This Row],[Clothes Kit]],Table_NFI[Clothes Kit])</f>
        <v>0</v>
      </c>
      <c r="AG51" s="352">
        <f>IF(NFI_Expiration=1,IF($A51&lt;VLOOKUP(P$5,NFI,5,0),1,0)*Table_NFI[[#This Row],[Plastic Bucket]],Table_NFI[Plastic Bucket])</f>
        <v>119</v>
      </c>
      <c r="AH51" s="352">
        <f>IF(NFI_Expiration=1,IF($A51&lt;VLOOKUP(Q$5,NFI,5,0),1,0)*Table_NFI[[#This Row],[Plastic Mat]],Table_NFI[Plastic Mat])*IF(Table_NFI[[#This Row],[Distribution Date]]&gt;"2014-04-01",1,2.5)</f>
        <v>862.5</v>
      </c>
      <c r="AI51" s="352">
        <f>IF(NFI_Expiration=1,IF($A51&lt;VLOOKUP(R$5,NFI,5,0),1,0)*Table_NFI[[#This Row],[Winter Clothes Adult]],Table_NFI[Winter Clothes Adult])</f>
        <v>0</v>
      </c>
      <c r="AJ51" s="352">
        <f>IF(NFI_Expiration=1,IF($A51&lt;VLOOKUP(S$5,NFI,5,0),1,0)*Table_NFI[[#This Row],[Winter Clothes Children]],Table_NFI[Winter Clothes Children])</f>
        <v>0</v>
      </c>
      <c r="AK51" s="352">
        <f>IF(NFI_Expiration=1,IF($A51&lt;VLOOKUP(T$5,NFI,5,0),1,0)*Table_NFI[[#This Row],[Winter Items Other]],Table_NFI[Winter Items Other])</f>
        <v>0</v>
      </c>
      <c r="AL51" s="352">
        <f>IF(NFI_Expiration=1,IF($A51&lt;VLOOKUP(M$5,NFI,5,0),1,0)*Table_NFI[[#This Row],[Winter Blanket]],Table_NFI[[#This Row],[Winter Blanket]])</f>
        <v>0</v>
      </c>
      <c r="AM51" s="352">
        <f>IF(Table_NFI[[#This Row],[Winter Clothes Adult]]+Table_NFI[[#This Row],[Winter Clothes Children]]+Table_NFI[[#This Row],[Winter Items Other]]+Table_NFI[[#This Row],[Winter Blanket]]&gt;0,1,0)</f>
        <v>0</v>
      </c>
      <c r="AN51" s="392">
        <f>IF(NFI_Expiration=1,IF($A51&lt;VLOOKUP(V$5,NFI,5,0),1,0)*Table_NFI[[#This Row],[Jerry Can]],Table_NFI[Jerry Can])</f>
        <v>119</v>
      </c>
      <c r="AO51" s="540" t="str">
        <f>IFERROR(VLOOKUP(Table_NFI[[#This Row],[Camp Name]],CL,2,0),"")</f>
        <v/>
      </c>
      <c r="AP51" s="535" t="str">
        <f ca="1">IF(Table_NFI[[#This Row],[Pcode]]="","",IF(OFFSET(CampList[Opening Date],MATCH(Table_NFI[[#This Row],[Pcode]],CampList[CP_Pcode],0)-1,0,1,1)&gt;=NFI_Monitor_Date,1,0))</f>
        <v/>
      </c>
      <c r="AQ51" s="540" t="str">
        <f>IFERROR(VLOOKUP(Table_NFI[[#This Row],[Camp Name]],CL,3,0),"")</f>
        <v/>
      </c>
      <c r="AR51" s="352" t="str">
        <f ca="1">IF(Table_NFI[[#This Row],[Pcode]]="","",OFFSET(CampList[Priority],MATCH(Table_NFI[[#This Row],[Pcode]],CampList[CP_Pcode],0)-1,0,1,1))</f>
        <v/>
      </c>
      <c r="AS51" s="351" t="str">
        <f>IFERROR(Table_NFI[[#This Row],[Kitchen Set]]/VLOOKUP(Table_NFI[[#This Row],[Camp Name]],CL,4,0),"")</f>
        <v/>
      </c>
      <c r="AT51" s="533" t="s">
        <v>1094</v>
      </c>
      <c r="AU51" s="557"/>
    </row>
    <row r="52" spans="1:47" s="537" customFormat="1" ht="14.45" hidden="1" customHeight="1" x14ac:dyDescent="0.25">
      <c r="A52" s="355">
        <f t="shared" si="0"/>
        <v>43.233333333333334</v>
      </c>
      <c r="B52" s="532">
        <v>41274</v>
      </c>
      <c r="C52" s="533" t="s">
        <v>454</v>
      </c>
      <c r="D52" s="533" t="s">
        <v>454</v>
      </c>
      <c r="E52" s="533" t="s">
        <v>380</v>
      </c>
      <c r="F52" s="533" t="s">
        <v>528</v>
      </c>
      <c r="G52" s="348" t="s">
        <v>41</v>
      </c>
      <c r="H52" s="349">
        <v>7</v>
      </c>
      <c r="I52" s="349"/>
      <c r="J52" s="349"/>
      <c r="K52" s="349"/>
      <c r="L52" s="350"/>
      <c r="M52" s="350"/>
      <c r="N52" s="350"/>
      <c r="O52" s="350"/>
      <c r="P52" s="352">
        <v>0</v>
      </c>
      <c r="Q52" s="352">
        <v>0</v>
      </c>
      <c r="R52" s="352"/>
      <c r="S52" s="352"/>
      <c r="T52" s="352"/>
      <c r="U52" s="352"/>
      <c r="V52" s="497"/>
      <c r="W52" s="352"/>
      <c r="X52" s="352"/>
      <c r="Y52" s="352">
        <f>IF(NFI_Expiration=1,IF($A52&lt;VLOOKUP(H$5,NFI,5,0),1,0)*Table_NFI[[#This Row],[Hygiene Kit]],Table_NFI[Hygiene Kit])</f>
        <v>0</v>
      </c>
      <c r="Z52" s="352">
        <f>IF(NFI_Expiration=1,IF($A52&lt;VLOOKUP(I$5,NFI,5,0),1,0)*Table_NFI[[#This Row],[NFI Core Kit]],Table_NFI[NFI Core Kit])</f>
        <v>0</v>
      </c>
      <c r="AA52" s="352">
        <f>IF(NFI_Expiration=1,IF($A52&lt;VLOOKUP(J$5,NFI,5,0),1,0)*Table_NFI[[#This Row],[Sanitary Kit]],Table_NFI[Sanitary Kit])</f>
        <v>0</v>
      </c>
      <c r="AB52" s="352">
        <f>IF(NFI_Expiration=1,IF($A52&lt;VLOOKUP(K$5,NFI,5,0),1,0)*Table_NFI[[#This Row],[Mosquito net]],Table_NFI[Mosquito net])</f>
        <v>0</v>
      </c>
      <c r="AC52" s="352">
        <f>IF(NFI_Expiration=1,IF($A52&lt;VLOOKUP(L$5,NFI,5,0),1,0)*Table_NFI[[#This Row],[Tarpaulin]],Table_NFI[[#This Row],[Tarpaulin]])</f>
        <v>0</v>
      </c>
      <c r="AD52" s="352">
        <f>IF(NFI_Expiration=1,IF($A52&lt;VLOOKUP(M$5,NFI,5,0),1,0)*Table_NFI[[#This Row],[Blanket]],Table_NFI[[#This Row],[Blanket]])</f>
        <v>0</v>
      </c>
      <c r="AE52" s="352">
        <f>IF(NFI_Expiration=1,IF($A52&lt;VLOOKUP(N$5,NFI,5,0),1,0)*Table_NFI[[#This Row],[Kitchen Set]],Table_NFI[Kitchen Set])</f>
        <v>0</v>
      </c>
      <c r="AF52" s="352">
        <f>IF(NFI_Expiration=1,IF($A52&lt;VLOOKUP(O$5,NFI,5,0),1,0)*Table_NFI[[#This Row],[Clothes Kit]],Table_NFI[Clothes Kit])</f>
        <v>0</v>
      </c>
      <c r="AG52" s="352">
        <f>IF(NFI_Expiration=1,IF($A52&lt;VLOOKUP(P$5,NFI,5,0),1,0)*Table_NFI[[#This Row],[Plastic Bucket]],Table_NFI[Plastic Bucket])</f>
        <v>0</v>
      </c>
      <c r="AH52" s="352">
        <f>IF(NFI_Expiration=1,IF($A52&lt;VLOOKUP(Q$5,NFI,5,0),1,0)*Table_NFI[[#This Row],[Plastic Mat]],Table_NFI[Plastic Mat])*IF(Table_NFI[[#This Row],[Distribution Date]]&gt;"2014-04-01",1,2.5)</f>
        <v>0</v>
      </c>
      <c r="AI52" s="352">
        <f>IF(NFI_Expiration=1,IF($A52&lt;VLOOKUP(R$5,NFI,5,0),1,0)*Table_NFI[[#This Row],[Winter Clothes Adult]],Table_NFI[Winter Clothes Adult])</f>
        <v>0</v>
      </c>
      <c r="AJ52" s="352">
        <f>IF(NFI_Expiration=1,IF($A52&lt;VLOOKUP(S$5,NFI,5,0),1,0)*Table_NFI[[#This Row],[Winter Clothes Children]],Table_NFI[Winter Clothes Children])</f>
        <v>0</v>
      </c>
      <c r="AK52" s="352">
        <f>IF(NFI_Expiration=1,IF($A52&lt;VLOOKUP(T$5,NFI,5,0),1,0)*Table_NFI[[#This Row],[Winter Items Other]],Table_NFI[Winter Items Other])</f>
        <v>0</v>
      </c>
      <c r="AL52" s="352">
        <f>IF(NFI_Expiration=1,IF($A52&lt;VLOOKUP(M$5,NFI,5,0),1,0)*Table_NFI[[#This Row],[Winter Blanket]],Table_NFI[[#This Row],[Winter Blanket]])</f>
        <v>0</v>
      </c>
      <c r="AM52" s="352">
        <f>IF(Table_NFI[[#This Row],[Winter Clothes Adult]]+Table_NFI[[#This Row],[Winter Clothes Children]]+Table_NFI[[#This Row],[Winter Items Other]]+Table_NFI[[#This Row],[Winter Blanket]]&gt;0,1,0)</f>
        <v>0</v>
      </c>
      <c r="AN52" s="392">
        <f>IF(NFI_Expiration=1,IF($A52&lt;VLOOKUP(V$5,NFI,5,0),1,0)*Table_NFI[[#This Row],[Jerry Can]],Table_NFI[Jerry Can])</f>
        <v>0</v>
      </c>
      <c r="AO52" s="540" t="str">
        <f>IFERROR(VLOOKUP(Table_NFI[[#This Row],[Camp Name]],CL,2,0),"")</f>
        <v>MMR001CMP176</v>
      </c>
      <c r="AP52" s="535">
        <f ca="1">IF(Table_NFI[[#This Row],[Pcode]]="","",IF(OFFSET(CampList[Opening Date],MATCH(Table_NFI[[#This Row],[Pcode]],CampList[CP_Pcode],0)-1,0,1,1)&gt;=NFI_Monitor_Date,1,0))</f>
        <v>0</v>
      </c>
      <c r="AQ52" s="540" t="str">
        <f>IFERROR(VLOOKUP(Table_NFI[[#This Row],[Camp Name]],CL,3,0),"")</f>
        <v>Open</v>
      </c>
      <c r="AR52" s="352" t="str">
        <f ca="1">IF(Table_NFI[[#This Row],[Pcode]]="","",OFFSET(CampList[Priority],MATCH(Table_NFI[[#This Row],[Pcode]],CampList[CP_Pcode],0)-1,0,1,1))</f>
        <v>P4</v>
      </c>
      <c r="AS52" s="351">
        <f>IFERROR(Table_NFI[[#This Row],[Kitchen Set]]/VLOOKUP(Table_NFI[[#This Row],[Camp Name]],CL,4,0),"")</f>
        <v>0</v>
      </c>
      <c r="AT52" s="533" t="s">
        <v>1094</v>
      </c>
      <c r="AU52" s="536"/>
    </row>
    <row r="53" spans="1:47" s="537" customFormat="1" ht="14.45" customHeight="1" x14ac:dyDescent="0.25">
      <c r="A53" s="355">
        <f t="shared" si="0"/>
        <v>10.066666666666666</v>
      </c>
      <c r="B53" s="532">
        <v>42269</v>
      </c>
      <c r="C53" s="533" t="s">
        <v>453</v>
      </c>
      <c r="D53" s="533" t="s">
        <v>461</v>
      </c>
      <c r="E53" s="533" t="s">
        <v>380</v>
      </c>
      <c r="F53" s="533" t="s">
        <v>151</v>
      </c>
      <c r="G53" s="533" t="s">
        <v>1344</v>
      </c>
      <c r="H53" s="349"/>
      <c r="I53" s="352"/>
      <c r="J53" s="352">
        <v>145</v>
      </c>
      <c r="K53" s="352">
        <v>132</v>
      </c>
      <c r="L53" s="350">
        <v>66</v>
      </c>
      <c r="M53" s="350">
        <v>132</v>
      </c>
      <c r="N53" s="350">
        <v>66</v>
      </c>
      <c r="O53" s="350"/>
      <c r="P53" s="352">
        <v>66</v>
      </c>
      <c r="Q53" s="352">
        <v>243</v>
      </c>
      <c r="R53" s="352"/>
      <c r="S53" s="352"/>
      <c r="T53" s="352"/>
      <c r="U53" s="352"/>
      <c r="V53" s="497">
        <v>66</v>
      </c>
      <c r="W53" s="352"/>
      <c r="X53" s="352"/>
      <c r="Y53" s="352">
        <f>IF(NFI_Expiration=1,IF($A53&lt;VLOOKUP(H$5,NFI,5,0),1,0)*Table_NFI[[#This Row],[Hygiene Kit]],Table_NFI[Hygiene Kit])</f>
        <v>0</v>
      </c>
      <c r="Z53" s="352">
        <f>IF(NFI_Expiration=1,IF($A53&lt;VLOOKUP(I$5,NFI,5,0),1,0)*Table_NFI[[#This Row],[NFI Core Kit]],Table_NFI[NFI Core Kit])</f>
        <v>0</v>
      </c>
      <c r="AA53" s="352">
        <f>IF(NFI_Expiration=1,IF($A53&lt;VLOOKUP(J$5,NFI,5,0),1,0)*Table_NFI[[#This Row],[Sanitary Kit]],Table_NFI[Sanitary Kit])</f>
        <v>145</v>
      </c>
      <c r="AB53" s="352">
        <f>IF(NFI_Expiration=1,IF($A53&lt;VLOOKUP(K$5,NFI,5,0),1,0)*Table_NFI[[#This Row],[Mosquito net]],Table_NFI[Mosquito net])</f>
        <v>132</v>
      </c>
      <c r="AC53" s="352">
        <f>IF(NFI_Expiration=1,IF($A53&lt;VLOOKUP(L$5,NFI,5,0),1,0)*Table_NFI[[#This Row],[Tarpaulin]],Table_NFI[[#This Row],[Tarpaulin]])</f>
        <v>66</v>
      </c>
      <c r="AD53" s="352">
        <f>IF(NFI_Expiration=1,IF($A53&lt;VLOOKUP(M$5,NFI,5,0),1,0)*Table_NFI[[#This Row],[Blanket]],Table_NFI[[#This Row],[Blanket]])</f>
        <v>132</v>
      </c>
      <c r="AE53" s="352">
        <f>IF(NFI_Expiration=1,IF($A53&lt;VLOOKUP(N$5,NFI,5,0),1,0)*Table_NFI[[#This Row],[Kitchen Set]],Table_NFI[Kitchen Set])</f>
        <v>66</v>
      </c>
      <c r="AF53" s="352">
        <f>IF(NFI_Expiration=1,IF($A53&lt;VLOOKUP(O$5,NFI,5,0),1,0)*Table_NFI[[#This Row],[Clothes Kit]],Table_NFI[Clothes Kit])</f>
        <v>0</v>
      </c>
      <c r="AG53" s="352">
        <f>IF(NFI_Expiration=1,IF($A53&lt;VLOOKUP(P$5,NFI,5,0),1,0)*Table_NFI[[#This Row],[Plastic Bucket]],Table_NFI[Plastic Bucket])</f>
        <v>66</v>
      </c>
      <c r="AH53" s="352">
        <f>IF(NFI_Expiration=1,IF($A53&lt;VLOOKUP(Q$5,NFI,5,0),1,0)*Table_NFI[[#This Row],[Plastic Mat]],Table_NFI[Plastic Mat])*IF(Table_NFI[[#This Row],[Distribution Date]]&gt;"2014-04-01",1,2.5)</f>
        <v>607.5</v>
      </c>
      <c r="AI53" s="352">
        <f>IF(NFI_Expiration=1,IF($A53&lt;VLOOKUP(R$5,NFI,5,0),1,0)*Table_NFI[[#This Row],[Winter Clothes Adult]],Table_NFI[Winter Clothes Adult])</f>
        <v>0</v>
      </c>
      <c r="AJ53" s="352">
        <f>IF(NFI_Expiration=1,IF($A53&lt;VLOOKUP(S$5,NFI,5,0),1,0)*Table_NFI[[#This Row],[Winter Clothes Children]],Table_NFI[Winter Clothes Children])</f>
        <v>0</v>
      </c>
      <c r="AK53" s="352">
        <f>IF(NFI_Expiration=1,IF($A53&lt;VLOOKUP(T$5,NFI,5,0),1,0)*Table_NFI[[#This Row],[Winter Items Other]],Table_NFI[Winter Items Other])</f>
        <v>0</v>
      </c>
      <c r="AL53" s="352">
        <f>IF(NFI_Expiration=1,IF($A53&lt;VLOOKUP(M$5,NFI,5,0),1,0)*Table_NFI[[#This Row],[Winter Blanket]],Table_NFI[[#This Row],[Winter Blanket]])</f>
        <v>0</v>
      </c>
      <c r="AM53" s="352">
        <f>IF(Table_NFI[[#This Row],[Winter Clothes Adult]]+Table_NFI[[#This Row],[Winter Clothes Children]]+Table_NFI[[#This Row],[Winter Items Other]]+Table_NFI[[#This Row],[Winter Blanket]]&gt;0,1,0)</f>
        <v>0</v>
      </c>
      <c r="AN53" s="392">
        <f>IF(NFI_Expiration=1,IF($A53&lt;VLOOKUP(V$5,NFI,5,0),1,0)*Table_NFI[[#This Row],[Jerry Can]],Table_NFI[Jerry Can])</f>
        <v>66</v>
      </c>
      <c r="AO53" s="540" t="str">
        <f>IFERROR(VLOOKUP(Table_NFI[[#This Row],[Camp Name]],CL,2,0),"")</f>
        <v/>
      </c>
      <c r="AP53" s="535" t="str">
        <f ca="1">IF(Table_NFI[[#This Row],[Pcode]]="","",IF(OFFSET(CampList[Opening Date],MATCH(Table_NFI[[#This Row],[Pcode]],CampList[CP_Pcode],0)-1,0,1,1)&gt;=NFI_Monitor_Date,1,0))</f>
        <v/>
      </c>
      <c r="AQ53" s="540" t="str">
        <f>IFERROR(VLOOKUP(Table_NFI[[#This Row],[Camp Name]],CL,3,0),"")</f>
        <v/>
      </c>
      <c r="AR53" s="352" t="str">
        <f ca="1">IF(Table_NFI[[#This Row],[Pcode]]="","",OFFSET(CampList[Priority],MATCH(Table_NFI[[#This Row],[Pcode]],CampList[CP_Pcode],0)-1,0,1,1))</f>
        <v/>
      </c>
      <c r="AS53" s="351" t="str">
        <f>IFERROR(Table_NFI[[#This Row],[Kitchen Set]]/VLOOKUP(Table_NFI[[#This Row],[Camp Name]],CL,4,0),"")</f>
        <v/>
      </c>
      <c r="AT53" s="533" t="s">
        <v>1094</v>
      </c>
      <c r="AU53" s="557"/>
    </row>
    <row r="54" spans="1:47" s="537" customFormat="1" ht="15" hidden="1" customHeight="1" x14ac:dyDescent="0.25">
      <c r="A54" s="355">
        <f t="shared" si="0"/>
        <v>21.133333333333333</v>
      </c>
      <c r="B54" s="532">
        <v>41937</v>
      </c>
      <c r="C54" s="533" t="s">
        <v>1096</v>
      </c>
      <c r="D54" s="533" t="s">
        <v>902</v>
      </c>
      <c r="E54" s="533" t="s">
        <v>380</v>
      </c>
      <c r="F54" s="533" t="s">
        <v>528</v>
      </c>
      <c r="G54" s="533" t="s">
        <v>43</v>
      </c>
      <c r="H54" s="349"/>
      <c r="I54" s="349"/>
      <c r="J54" s="349"/>
      <c r="K54" s="349"/>
      <c r="L54" s="350"/>
      <c r="M54" s="350"/>
      <c r="N54" s="350"/>
      <c r="O54" s="350"/>
      <c r="P54" s="352"/>
      <c r="Q54" s="352"/>
      <c r="R54" s="352">
        <v>55</v>
      </c>
      <c r="S54" s="352">
        <v>27</v>
      </c>
      <c r="T54" s="352"/>
      <c r="U54" s="352"/>
      <c r="V54" s="497"/>
      <c r="W54" s="352"/>
      <c r="X54" s="352"/>
      <c r="Y54" s="352">
        <f>IF(NFI_Expiration=1,IF($A54&lt;VLOOKUP(H$5,NFI,5,0),1,0)*Table_NFI[[#This Row],[Hygiene Kit]],Table_NFI[Hygiene Kit])</f>
        <v>0</v>
      </c>
      <c r="Z54" s="352">
        <f>IF(NFI_Expiration=1,IF($A54&lt;VLOOKUP(I$5,NFI,5,0),1,0)*Table_NFI[[#This Row],[NFI Core Kit]],Table_NFI[NFI Core Kit])</f>
        <v>0</v>
      </c>
      <c r="AA54" s="352">
        <f>IF(NFI_Expiration=1,IF($A54&lt;VLOOKUP(J$5,NFI,5,0),1,0)*Table_NFI[[#This Row],[Sanitary Kit]],Table_NFI[Sanitary Kit])</f>
        <v>0</v>
      </c>
      <c r="AB54" s="352">
        <f>IF(NFI_Expiration=1,IF($A54&lt;VLOOKUP(K$5,NFI,5,0),1,0)*Table_NFI[[#This Row],[Mosquito net]],Table_NFI[Mosquito net])</f>
        <v>0</v>
      </c>
      <c r="AC54" s="352">
        <f>IF(NFI_Expiration=1,IF($A54&lt;VLOOKUP(L$5,NFI,5,0),1,0)*Table_NFI[[#This Row],[Tarpaulin]],Table_NFI[[#This Row],[Tarpaulin]])</f>
        <v>0</v>
      </c>
      <c r="AD54" s="352">
        <f>IF(NFI_Expiration=1,IF($A54&lt;VLOOKUP(M$5,NFI,5,0),1,0)*Table_NFI[[#This Row],[Blanket]],Table_NFI[[#This Row],[Blanket]])</f>
        <v>0</v>
      </c>
      <c r="AE54" s="352">
        <f>IF(NFI_Expiration=1,IF($A54&lt;VLOOKUP(N$5,NFI,5,0),1,0)*Table_NFI[[#This Row],[Kitchen Set]],Table_NFI[Kitchen Set])</f>
        <v>0</v>
      </c>
      <c r="AF54" s="352">
        <f>IF(NFI_Expiration=1,IF($A54&lt;VLOOKUP(O$5,NFI,5,0),1,0)*Table_NFI[[#This Row],[Clothes Kit]],Table_NFI[Clothes Kit])</f>
        <v>0</v>
      </c>
      <c r="AG54" s="352">
        <f>IF(NFI_Expiration=1,IF($A54&lt;VLOOKUP(P$5,NFI,5,0),1,0)*Table_NFI[[#This Row],[Plastic Bucket]],Table_NFI[Plastic Bucket])</f>
        <v>0</v>
      </c>
      <c r="AH54" s="352">
        <f>IF(NFI_Expiration=1,IF($A54&lt;VLOOKUP(Q$5,NFI,5,0),1,0)*Table_NFI[[#This Row],[Plastic Mat]],Table_NFI[Plastic Mat])*IF(Table_NFI[[#This Row],[Distribution Date]]&gt;"2014-04-01",1,2.5)</f>
        <v>0</v>
      </c>
      <c r="AI54" s="352">
        <f>IF(NFI_Expiration=1,IF($A54&lt;VLOOKUP(R$5,NFI,5,0),1,0)*Table_NFI[[#This Row],[Winter Clothes Adult]],Table_NFI[Winter Clothes Adult])</f>
        <v>0</v>
      </c>
      <c r="AJ54" s="352">
        <f>IF(NFI_Expiration=1,IF($A54&lt;VLOOKUP(S$5,NFI,5,0),1,0)*Table_NFI[[#This Row],[Winter Clothes Children]],Table_NFI[Winter Clothes Children])</f>
        <v>0</v>
      </c>
      <c r="AK54" s="352">
        <f>IF(NFI_Expiration=1,IF($A54&lt;VLOOKUP(T$5,NFI,5,0),1,0)*Table_NFI[[#This Row],[Winter Items Other]],Table_NFI[Winter Items Other])</f>
        <v>0</v>
      </c>
      <c r="AL54" s="352">
        <f>IF(NFI_Expiration=1,IF($A54&lt;VLOOKUP(M$5,NFI,5,0),1,0)*Table_NFI[[#This Row],[Winter Blanket]],Table_NFI[[#This Row],[Winter Blanket]])</f>
        <v>0</v>
      </c>
      <c r="AM54" s="352">
        <f>IF(Table_NFI[[#This Row],[Winter Clothes Adult]]+Table_NFI[[#This Row],[Winter Clothes Children]]+Table_NFI[[#This Row],[Winter Items Other]]+Table_NFI[[#This Row],[Winter Blanket]]&gt;0,1,0)</f>
        <v>1</v>
      </c>
      <c r="AN54" s="392">
        <f>IF(NFI_Expiration=1,IF($A54&lt;VLOOKUP(V$5,NFI,5,0),1,0)*Table_NFI[[#This Row],[Jerry Can]],Table_NFI[Jerry Can])</f>
        <v>0</v>
      </c>
      <c r="AO54" s="540" t="str">
        <f>IFERROR(VLOOKUP(Table_NFI[[#This Row],[Camp Name]],CL,2,0),"")</f>
        <v>MMR001CMP190</v>
      </c>
      <c r="AP54" s="535">
        <f ca="1">IF(Table_NFI[[#This Row],[Pcode]]="","",IF(OFFSET(CampList[Opening Date],MATCH(Table_NFI[[#This Row],[Pcode]],CampList[CP_Pcode],0)-1,0,1,1)&gt;=NFI_Monitor_Date,1,0))</f>
        <v>0</v>
      </c>
      <c r="AQ54" s="540" t="str">
        <f>IFERROR(VLOOKUP(Table_NFI[[#This Row],[Camp Name]],CL,3,0),"")</f>
        <v>Open</v>
      </c>
      <c r="AR54" s="352" t="str">
        <f ca="1">IF(Table_NFI[[#This Row],[Pcode]]="","",OFFSET(CampList[Priority],MATCH(Table_NFI[[#This Row],[Pcode]],CampList[CP_Pcode],0)-1,0,1,1))</f>
        <v>P4</v>
      </c>
      <c r="AS54" s="351">
        <f>IFERROR(Table_NFI[[#This Row],[Kitchen Set]]/VLOOKUP(Table_NFI[[#This Row],[Camp Name]],CL,4,0),"")</f>
        <v>0</v>
      </c>
      <c r="AT54" s="533"/>
      <c r="AU54" s="536"/>
    </row>
    <row r="55" spans="1:47" s="537" customFormat="1" ht="14.45" customHeight="1" x14ac:dyDescent="0.25">
      <c r="A55" s="355">
        <f t="shared" si="0"/>
        <v>10.1</v>
      </c>
      <c r="B55" s="532">
        <v>42268</v>
      </c>
      <c r="C55" s="538" t="s">
        <v>453</v>
      </c>
      <c r="D55" s="538" t="s">
        <v>507</v>
      </c>
      <c r="E55" s="538" t="s">
        <v>380</v>
      </c>
      <c r="F55" s="538" t="s">
        <v>310</v>
      </c>
      <c r="G55" s="538" t="s">
        <v>330</v>
      </c>
      <c r="H55" s="350"/>
      <c r="I55" s="350"/>
      <c r="J55" s="350"/>
      <c r="K55" s="350">
        <v>41</v>
      </c>
      <c r="L55" s="350">
        <v>16</v>
      </c>
      <c r="M55" s="350">
        <v>41</v>
      </c>
      <c r="N55" s="350">
        <v>16</v>
      </c>
      <c r="O55" s="350"/>
      <c r="P55" s="352">
        <v>16</v>
      </c>
      <c r="Q55" s="352">
        <v>80</v>
      </c>
      <c r="R55" s="352"/>
      <c r="S55" s="352"/>
      <c r="T55" s="352"/>
      <c r="U55" s="352"/>
      <c r="V55" s="497">
        <v>16</v>
      </c>
      <c r="W55" s="352"/>
      <c r="X55" s="352"/>
      <c r="Y55" s="352">
        <f>IF(NFI_Expiration=1,IF($A55&lt;VLOOKUP(H$5,NFI,5,0),1,0)*Table_NFI[[#This Row],[Hygiene Kit]],Table_NFI[Hygiene Kit])</f>
        <v>0</v>
      </c>
      <c r="Z55" s="352">
        <f>IF(NFI_Expiration=1,IF($A55&lt;VLOOKUP(I$5,NFI,5,0),1,0)*Table_NFI[[#This Row],[NFI Core Kit]],Table_NFI[NFI Core Kit])</f>
        <v>0</v>
      </c>
      <c r="AA55" s="352">
        <f>IF(NFI_Expiration=1,IF($A55&lt;VLOOKUP(J$5,NFI,5,0),1,0)*Table_NFI[[#This Row],[Sanitary Kit]],Table_NFI[Sanitary Kit])</f>
        <v>0</v>
      </c>
      <c r="AB55" s="352">
        <f>IF(NFI_Expiration=1,IF($A55&lt;VLOOKUP(K$5,NFI,5,0),1,0)*Table_NFI[[#This Row],[Mosquito net]],Table_NFI[Mosquito net])</f>
        <v>41</v>
      </c>
      <c r="AC55" s="352">
        <f>IF(NFI_Expiration=1,IF($A55&lt;VLOOKUP(L$5,NFI,5,0),1,0)*Table_NFI[[#This Row],[Tarpaulin]],Table_NFI[[#This Row],[Tarpaulin]])</f>
        <v>16</v>
      </c>
      <c r="AD55" s="352">
        <f>IF(NFI_Expiration=1,IF($A55&lt;VLOOKUP(M$5,NFI,5,0),1,0)*Table_NFI[[#This Row],[Blanket]],Table_NFI[[#This Row],[Blanket]])</f>
        <v>41</v>
      </c>
      <c r="AE55" s="352">
        <f>IF(NFI_Expiration=1,IF($A55&lt;VLOOKUP(N$5,NFI,5,0),1,0)*Table_NFI[[#This Row],[Kitchen Set]],Table_NFI[Kitchen Set])</f>
        <v>16</v>
      </c>
      <c r="AF55" s="352">
        <f>IF(NFI_Expiration=1,IF($A55&lt;VLOOKUP(O$5,NFI,5,0),1,0)*Table_NFI[[#This Row],[Clothes Kit]],Table_NFI[Clothes Kit])</f>
        <v>0</v>
      </c>
      <c r="AG55" s="352">
        <f>IF(NFI_Expiration=1,IF($A55&lt;VLOOKUP(P$5,NFI,5,0),1,0)*Table_NFI[[#This Row],[Plastic Bucket]],Table_NFI[Plastic Bucket])</f>
        <v>16</v>
      </c>
      <c r="AH55" s="352">
        <f>IF(NFI_Expiration=1,IF($A55&lt;VLOOKUP(Q$5,NFI,5,0),1,0)*Table_NFI[[#This Row],[Plastic Mat]],Table_NFI[Plastic Mat])*IF(Table_NFI[[#This Row],[Distribution Date]]&gt;"2014-04-01",1,2.5)</f>
        <v>200</v>
      </c>
      <c r="AI55" s="352">
        <f>IF(NFI_Expiration=1,IF($A55&lt;VLOOKUP(R$5,NFI,5,0),1,0)*Table_NFI[[#This Row],[Winter Clothes Adult]],Table_NFI[Winter Clothes Adult])</f>
        <v>0</v>
      </c>
      <c r="AJ55" s="352">
        <f>IF(NFI_Expiration=1,IF($A55&lt;VLOOKUP(S$5,NFI,5,0),1,0)*Table_NFI[[#This Row],[Winter Clothes Children]],Table_NFI[Winter Clothes Children])</f>
        <v>0</v>
      </c>
      <c r="AK55" s="352">
        <f>IF(NFI_Expiration=1,IF($A55&lt;VLOOKUP(T$5,NFI,5,0),1,0)*Table_NFI[[#This Row],[Winter Items Other]],Table_NFI[Winter Items Other])</f>
        <v>0</v>
      </c>
      <c r="AL55" s="352">
        <f>IF(NFI_Expiration=1,IF($A55&lt;VLOOKUP(M$5,NFI,5,0),1,0)*Table_NFI[[#This Row],[Winter Blanket]],Table_NFI[[#This Row],[Winter Blanket]])</f>
        <v>0</v>
      </c>
      <c r="AM55" s="352">
        <f>IF(Table_NFI[[#This Row],[Winter Clothes Adult]]+Table_NFI[[#This Row],[Winter Clothes Children]]+Table_NFI[[#This Row],[Winter Items Other]]+Table_NFI[[#This Row],[Winter Blanket]]&gt;0,1,0)</f>
        <v>0</v>
      </c>
      <c r="AN55" s="392">
        <f>IF(NFI_Expiration=1,IF($A55&lt;VLOOKUP(V$5,NFI,5,0),1,0)*Table_NFI[[#This Row],[Jerry Can]],Table_NFI[Jerry Can])</f>
        <v>16</v>
      </c>
      <c r="AO55" s="540" t="str">
        <f>IFERROR(VLOOKUP(Table_NFI[[#This Row],[Camp Name]],CL,2,0),"")</f>
        <v>MMR001CMP029</v>
      </c>
      <c r="AP55" s="535">
        <f ca="1">IF(Table_NFI[[#This Row],[Pcode]]="","",IF(OFFSET(CampList[Opening Date],MATCH(Table_NFI[[#This Row],[Pcode]],CampList[CP_Pcode],0)-1,0,1,1)&gt;=NFI_Monitor_Date,1,0))</f>
        <v>0</v>
      </c>
      <c r="AQ55" s="540" t="str">
        <f>IFERROR(VLOOKUP(Table_NFI[[#This Row],[Camp Name]],CL,3,0),"")</f>
        <v>Open</v>
      </c>
      <c r="AR55" s="352" t="str">
        <f ca="1">IF(Table_NFI[[#This Row],[Pcode]]="","",OFFSET(CampList[Priority],MATCH(Table_NFI[[#This Row],[Pcode]],CampList[CP_Pcode],0)-1,0,1,1))</f>
        <v>P4</v>
      </c>
      <c r="AS55" s="351">
        <f>IFERROR(Table_NFI[[#This Row],[Kitchen Set]]/VLOOKUP(Table_NFI[[#This Row],[Camp Name]],CL,4,0),"")</f>
        <v>7.2072072072072071E-2</v>
      </c>
      <c r="AT55" s="533" t="s">
        <v>1094</v>
      </c>
      <c r="AU55" s="541"/>
    </row>
    <row r="56" spans="1:47" s="537" customFormat="1" ht="14.45" customHeight="1" x14ac:dyDescent="0.25">
      <c r="A56" s="355">
        <f t="shared" si="0"/>
        <v>10.1</v>
      </c>
      <c r="B56" s="532">
        <v>42268</v>
      </c>
      <c r="C56" s="533" t="s">
        <v>453</v>
      </c>
      <c r="D56" s="533" t="s">
        <v>1365</v>
      </c>
      <c r="E56" s="533" t="s">
        <v>380</v>
      </c>
      <c r="F56" s="533" t="s">
        <v>237</v>
      </c>
      <c r="G56" s="348"/>
      <c r="H56" s="349"/>
      <c r="I56" s="350"/>
      <c r="J56" s="352"/>
      <c r="K56" s="352"/>
      <c r="L56" s="350"/>
      <c r="M56" s="350"/>
      <c r="N56" s="350"/>
      <c r="O56" s="350"/>
      <c r="P56" s="352"/>
      <c r="Q56" s="352"/>
      <c r="R56" s="352"/>
      <c r="S56" s="352"/>
      <c r="T56" s="352"/>
      <c r="U56" s="352"/>
      <c r="V56" s="497"/>
      <c r="W56" s="352"/>
      <c r="X56" s="352"/>
      <c r="Y56" s="352">
        <f>IF(NFI_Expiration=1,IF($A56&lt;VLOOKUP(H$5,NFI,5,0),1,0)*Table_NFI[[#This Row],[Hygiene Kit]],Table_NFI[Hygiene Kit])</f>
        <v>0</v>
      </c>
      <c r="Z56" s="352">
        <f>IF(NFI_Expiration=1,IF($A56&lt;VLOOKUP(I$5,NFI,5,0),1,0)*Table_NFI[[#This Row],[NFI Core Kit]],Table_NFI[NFI Core Kit])</f>
        <v>0</v>
      </c>
      <c r="AA56" s="352">
        <f>IF(NFI_Expiration=1,IF($A56&lt;VLOOKUP(J$5,NFI,5,0),1,0)*Table_NFI[[#This Row],[Sanitary Kit]],Table_NFI[Sanitary Kit])</f>
        <v>0</v>
      </c>
      <c r="AB56" s="352">
        <f>IF(NFI_Expiration=1,IF($A56&lt;VLOOKUP(K$5,NFI,5,0),1,0)*Table_NFI[[#This Row],[Mosquito net]],Table_NFI[Mosquito net])</f>
        <v>0</v>
      </c>
      <c r="AC56" s="352">
        <f>IF(NFI_Expiration=1,IF($A56&lt;VLOOKUP(L$5,NFI,5,0),1,0)*Table_NFI[[#This Row],[Tarpaulin]],Table_NFI[[#This Row],[Tarpaulin]])</f>
        <v>0</v>
      </c>
      <c r="AD56" s="352">
        <f>IF(NFI_Expiration=1,IF($A56&lt;VLOOKUP(M$5,NFI,5,0),1,0)*Table_NFI[[#This Row],[Blanket]],Table_NFI[[#This Row],[Blanket]])</f>
        <v>0</v>
      </c>
      <c r="AE56" s="352">
        <f>IF(NFI_Expiration=1,IF($A56&lt;VLOOKUP(N$5,NFI,5,0),1,0)*Table_NFI[[#This Row],[Kitchen Set]],Table_NFI[Kitchen Set])</f>
        <v>0</v>
      </c>
      <c r="AF56" s="352">
        <f>IF(NFI_Expiration=1,IF($A56&lt;VLOOKUP(O$5,NFI,5,0),1,0)*Table_NFI[[#This Row],[Clothes Kit]],Table_NFI[Clothes Kit])</f>
        <v>0</v>
      </c>
      <c r="AG56" s="352">
        <f>IF(NFI_Expiration=1,IF($A56&lt;VLOOKUP(P$5,NFI,5,0),1,0)*Table_NFI[[#This Row],[Plastic Bucket]],Table_NFI[Plastic Bucket])</f>
        <v>0</v>
      </c>
      <c r="AH56" s="352">
        <f>IF(NFI_Expiration=1,IF($A56&lt;VLOOKUP(Q$5,NFI,5,0),1,0)*Table_NFI[[#This Row],[Plastic Mat]],Table_NFI[Plastic Mat])*IF(Table_NFI[[#This Row],[Distribution Date]]&gt;"2014-04-01",1,2.5)</f>
        <v>0</v>
      </c>
      <c r="AI56" s="352">
        <f>IF(NFI_Expiration=1,IF($A56&lt;VLOOKUP(R$5,NFI,5,0),1,0)*Table_NFI[[#This Row],[Winter Clothes Adult]],Table_NFI[Winter Clothes Adult])</f>
        <v>0</v>
      </c>
      <c r="AJ56" s="352">
        <f>IF(NFI_Expiration=1,IF($A56&lt;VLOOKUP(S$5,NFI,5,0),1,0)*Table_NFI[[#This Row],[Winter Clothes Children]],Table_NFI[Winter Clothes Children])</f>
        <v>0</v>
      </c>
      <c r="AK56" s="352">
        <f>IF(NFI_Expiration=1,IF($A56&lt;VLOOKUP(T$5,NFI,5,0),1,0)*Table_NFI[[#This Row],[Winter Items Other]],Table_NFI[Winter Items Other])</f>
        <v>0</v>
      </c>
      <c r="AL56" s="352">
        <f>IF(NFI_Expiration=1,IF($A56&lt;VLOOKUP(M$5,NFI,5,0),1,0)*Table_NFI[[#This Row],[Winter Blanket]],Table_NFI[[#This Row],[Winter Blanket]])</f>
        <v>0</v>
      </c>
      <c r="AM56" s="352">
        <f>IF(Table_NFI[[#This Row],[Winter Clothes Adult]]+Table_NFI[[#This Row],[Winter Clothes Children]]+Table_NFI[[#This Row],[Winter Items Other]]+Table_NFI[[#This Row],[Winter Blanket]]&gt;0,1,0)</f>
        <v>0</v>
      </c>
      <c r="AN56" s="392">
        <f>IF(NFI_Expiration=1,IF($A56&lt;VLOOKUP(V$5,NFI,5,0),1,0)*Table_NFI[[#This Row],[Jerry Can]],Table_NFI[Jerry Can])</f>
        <v>0</v>
      </c>
      <c r="AO56" s="540" t="str">
        <f>IFERROR(VLOOKUP(Table_NFI[[#This Row],[Camp Name]],CL,2,0),"")</f>
        <v/>
      </c>
      <c r="AP56" s="535" t="str">
        <f ca="1">IF(Table_NFI[[#This Row],[Pcode]]="","",IF(OFFSET(CampList[Opening Date],MATCH(Table_NFI[[#This Row],[Pcode]],CampList[CP_Pcode],0)-1,0,1,1)&gt;=NFI_Monitor_Date,1,0))</f>
        <v/>
      </c>
      <c r="AQ56" s="540" t="str">
        <f>IFERROR(VLOOKUP(Table_NFI[[#This Row],[Camp Name]],CL,3,0),"")</f>
        <v/>
      </c>
      <c r="AR56" s="352" t="str">
        <f ca="1">IF(Table_NFI[[#This Row],[Pcode]]="","",OFFSET(CampList[Priority],MATCH(Table_NFI[[#This Row],[Pcode]],CampList[CP_Pcode],0)-1,0,1,1))</f>
        <v/>
      </c>
      <c r="AS56" s="351" t="str">
        <f>IFERROR(Table_NFI[[#This Row],[Kitchen Set]]/VLOOKUP(Table_NFI[[#This Row],[Camp Name]],CL,4,0),"")</f>
        <v/>
      </c>
      <c r="AT56" s="533" t="s">
        <v>1094</v>
      </c>
      <c r="AU56" s="553"/>
    </row>
    <row r="57" spans="1:47" s="537" customFormat="1" ht="14.45" customHeight="1" x14ac:dyDescent="0.25">
      <c r="A57" s="355">
        <f t="shared" si="0"/>
        <v>10.199999999999999</v>
      </c>
      <c r="B57" s="532">
        <v>42265</v>
      </c>
      <c r="C57" s="538" t="s">
        <v>453</v>
      </c>
      <c r="D57" s="538" t="s">
        <v>507</v>
      </c>
      <c r="E57" s="538" t="s">
        <v>380</v>
      </c>
      <c r="F57" s="538" t="s">
        <v>237</v>
      </c>
      <c r="G57" s="538" t="s">
        <v>273</v>
      </c>
      <c r="H57" s="350"/>
      <c r="I57" s="350">
        <v>11</v>
      </c>
      <c r="J57" s="350">
        <v>11</v>
      </c>
      <c r="K57" s="350">
        <v>21</v>
      </c>
      <c r="L57" s="350">
        <v>16</v>
      </c>
      <c r="M57" s="350">
        <v>21</v>
      </c>
      <c r="N57" s="350">
        <v>11</v>
      </c>
      <c r="O57" s="350"/>
      <c r="P57" s="352">
        <v>11</v>
      </c>
      <c r="Q57" s="352">
        <v>42</v>
      </c>
      <c r="R57" s="352"/>
      <c r="S57" s="352"/>
      <c r="T57" s="352"/>
      <c r="U57" s="352"/>
      <c r="V57" s="497">
        <v>11</v>
      </c>
      <c r="W57" s="352"/>
      <c r="X57" s="352">
        <v>6</v>
      </c>
      <c r="Y57" s="352">
        <f>IF(NFI_Expiration=1,IF($A57&lt;VLOOKUP(H$5,NFI,5,0),1,0)*Table_NFI[[#This Row],[Hygiene Kit]],Table_NFI[Hygiene Kit])</f>
        <v>0</v>
      </c>
      <c r="Z57" s="352">
        <f>IF(NFI_Expiration=1,IF($A57&lt;VLOOKUP(I$5,NFI,5,0),1,0)*Table_NFI[[#This Row],[NFI Core Kit]],Table_NFI[NFI Core Kit])</f>
        <v>11</v>
      </c>
      <c r="AA57" s="352">
        <f>IF(NFI_Expiration=1,IF($A57&lt;VLOOKUP(J$5,NFI,5,0),1,0)*Table_NFI[[#This Row],[Sanitary Kit]],Table_NFI[Sanitary Kit])</f>
        <v>11</v>
      </c>
      <c r="AB57" s="352">
        <f>IF(NFI_Expiration=1,IF($A57&lt;VLOOKUP(K$5,NFI,5,0),1,0)*Table_NFI[[#This Row],[Mosquito net]],Table_NFI[Mosquito net])</f>
        <v>21</v>
      </c>
      <c r="AC57" s="352">
        <f>IF(NFI_Expiration=1,IF($A57&lt;VLOOKUP(L$5,NFI,5,0),1,0)*Table_NFI[[#This Row],[Tarpaulin]],Table_NFI[[#This Row],[Tarpaulin]])</f>
        <v>16</v>
      </c>
      <c r="AD57" s="352">
        <f>IF(NFI_Expiration=1,IF($A57&lt;VLOOKUP(M$5,NFI,5,0),1,0)*Table_NFI[[#This Row],[Blanket]],Table_NFI[[#This Row],[Blanket]])</f>
        <v>21</v>
      </c>
      <c r="AE57" s="352">
        <f>IF(NFI_Expiration=1,IF($A57&lt;VLOOKUP(N$5,NFI,5,0),1,0)*Table_NFI[[#This Row],[Kitchen Set]],Table_NFI[Kitchen Set])</f>
        <v>11</v>
      </c>
      <c r="AF57" s="352">
        <f>IF(NFI_Expiration=1,IF($A57&lt;VLOOKUP(O$5,NFI,5,0),1,0)*Table_NFI[[#This Row],[Clothes Kit]],Table_NFI[Clothes Kit])</f>
        <v>0</v>
      </c>
      <c r="AG57" s="352">
        <f>IF(NFI_Expiration=1,IF($A57&lt;VLOOKUP(P$5,NFI,5,0),1,0)*Table_NFI[[#This Row],[Plastic Bucket]],Table_NFI[Plastic Bucket])</f>
        <v>11</v>
      </c>
      <c r="AH57" s="352">
        <f>IF(NFI_Expiration=1,IF($A57&lt;VLOOKUP(Q$5,NFI,5,0),1,0)*Table_NFI[[#This Row],[Plastic Mat]],Table_NFI[Plastic Mat])*IF(Table_NFI[[#This Row],[Distribution Date]]&gt;"2014-04-01",1,2.5)</f>
        <v>105</v>
      </c>
      <c r="AI57" s="352">
        <f>IF(NFI_Expiration=1,IF($A57&lt;VLOOKUP(R$5,NFI,5,0),1,0)*Table_NFI[[#This Row],[Winter Clothes Adult]],Table_NFI[Winter Clothes Adult])</f>
        <v>0</v>
      </c>
      <c r="AJ57" s="352">
        <f>IF(NFI_Expiration=1,IF($A57&lt;VLOOKUP(S$5,NFI,5,0),1,0)*Table_NFI[[#This Row],[Winter Clothes Children]],Table_NFI[Winter Clothes Children])</f>
        <v>0</v>
      </c>
      <c r="AK57" s="352">
        <f>IF(NFI_Expiration=1,IF($A57&lt;VLOOKUP(T$5,NFI,5,0),1,0)*Table_NFI[[#This Row],[Winter Items Other]],Table_NFI[Winter Items Other])</f>
        <v>0</v>
      </c>
      <c r="AL57" s="352">
        <f>IF(NFI_Expiration=1,IF($A57&lt;VLOOKUP(M$5,NFI,5,0),1,0)*Table_NFI[[#This Row],[Winter Blanket]],Table_NFI[[#This Row],[Winter Blanket]])</f>
        <v>0</v>
      </c>
      <c r="AM57" s="352">
        <f>IF(Table_NFI[[#This Row],[Winter Clothes Adult]]+Table_NFI[[#This Row],[Winter Clothes Children]]+Table_NFI[[#This Row],[Winter Items Other]]+Table_NFI[[#This Row],[Winter Blanket]]&gt;0,1,0)</f>
        <v>0</v>
      </c>
      <c r="AN57" s="392">
        <f>IF(NFI_Expiration=1,IF($A57&lt;VLOOKUP(V$5,NFI,5,0),1,0)*Table_NFI[[#This Row],[Jerry Can]],Table_NFI[Jerry Can])</f>
        <v>11</v>
      </c>
      <c r="AO57" s="540" t="str">
        <f>IFERROR(VLOOKUP(Table_NFI[[#This Row],[Camp Name]],CL,2,0),"")</f>
        <v>MMR001CMP162</v>
      </c>
      <c r="AP57" s="535">
        <f ca="1">IF(Table_NFI[[#This Row],[Pcode]]="","",IF(OFFSET(CampList[Opening Date],MATCH(Table_NFI[[#This Row],[Pcode]],CampList[CP_Pcode],0)-1,0,1,1)&gt;=NFI_Monitor_Date,1,0))</f>
        <v>0</v>
      </c>
      <c r="AQ57" s="540" t="str">
        <f>IFERROR(VLOOKUP(Table_NFI[[#This Row],[Camp Name]],CL,3,0),"")</f>
        <v>Open</v>
      </c>
      <c r="AR57" s="352" t="str">
        <f ca="1">IF(Table_NFI[[#This Row],[Pcode]]="","",OFFSET(CampList[Priority],MATCH(Table_NFI[[#This Row],[Pcode]],CampList[CP_Pcode],0)-1,0,1,1))</f>
        <v>P4</v>
      </c>
      <c r="AS57" s="351">
        <f>IFERROR(Table_NFI[[#This Row],[Kitchen Set]]/VLOOKUP(Table_NFI[[#This Row],[Camp Name]],CL,4,0),"")</f>
        <v>0.25</v>
      </c>
      <c r="AT57" s="533" t="s">
        <v>1094</v>
      </c>
      <c r="AU57" s="541"/>
    </row>
    <row r="58" spans="1:47" s="537" customFormat="1" ht="14.45" hidden="1" customHeight="1" x14ac:dyDescent="0.25">
      <c r="A58" s="355">
        <f t="shared" si="0"/>
        <v>43.233333333333334</v>
      </c>
      <c r="B58" s="532">
        <v>41274</v>
      </c>
      <c r="C58" s="533" t="s">
        <v>454</v>
      </c>
      <c r="D58" s="534" t="s">
        <v>454</v>
      </c>
      <c r="E58" s="533" t="s">
        <v>380</v>
      </c>
      <c r="F58" s="348" t="s">
        <v>528</v>
      </c>
      <c r="G58" s="348" t="s">
        <v>43</v>
      </c>
      <c r="H58" s="349">
        <v>4</v>
      </c>
      <c r="I58" s="349"/>
      <c r="J58" s="349"/>
      <c r="K58" s="349"/>
      <c r="L58" s="350"/>
      <c r="M58" s="350"/>
      <c r="N58" s="350"/>
      <c r="O58" s="350"/>
      <c r="P58" s="352">
        <v>0</v>
      </c>
      <c r="Q58" s="352">
        <v>0</v>
      </c>
      <c r="R58" s="352"/>
      <c r="S58" s="352"/>
      <c r="T58" s="352"/>
      <c r="U58" s="352"/>
      <c r="V58" s="497"/>
      <c r="W58" s="352"/>
      <c r="X58" s="352"/>
      <c r="Y58" s="352">
        <f>IF(NFI_Expiration=1,IF($A58&lt;VLOOKUP(H$5,NFI,5,0),1,0)*Table_NFI[[#This Row],[Hygiene Kit]],Table_NFI[Hygiene Kit])</f>
        <v>0</v>
      </c>
      <c r="Z58" s="352">
        <f>IF(NFI_Expiration=1,IF($A58&lt;VLOOKUP(I$5,NFI,5,0),1,0)*Table_NFI[[#This Row],[NFI Core Kit]],Table_NFI[NFI Core Kit])</f>
        <v>0</v>
      </c>
      <c r="AA58" s="352">
        <f>IF(NFI_Expiration=1,IF($A58&lt;VLOOKUP(J$5,NFI,5,0),1,0)*Table_NFI[[#This Row],[Sanitary Kit]],Table_NFI[Sanitary Kit])</f>
        <v>0</v>
      </c>
      <c r="AB58" s="352">
        <f>IF(NFI_Expiration=1,IF($A58&lt;VLOOKUP(K$5,NFI,5,0),1,0)*Table_NFI[[#This Row],[Mosquito net]],Table_NFI[Mosquito net])</f>
        <v>0</v>
      </c>
      <c r="AC58" s="352">
        <f>IF(NFI_Expiration=1,IF($A58&lt;VLOOKUP(L$5,NFI,5,0),1,0)*Table_NFI[[#This Row],[Tarpaulin]],Table_NFI[[#This Row],[Tarpaulin]])</f>
        <v>0</v>
      </c>
      <c r="AD58" s="352">
        <f>IF(NFI_Expiration=1,IF($A58&lt;VLOOKUP(M$5,NFI,5,0),1,0)*Table_NFI[[#This Row],[Blanket]],Table_NFI[[#This Row],[Blanket]])</f>
        <v>0</v>
      </c>
      <c r="AE58" s="352">
        <f>IF(NFI_Expiration=1,IF($A58&lt;VLOOKUP(N$5,NFI,5,0),1,0)*Table_NFI[[#This Row],[Kitchen Set]],Table_NFI[Kitchen Set])</f>
        <v>0</v>
      </c>
      <c r="AF58" s="352">
        <f>IF(NFI_Expiration=1,IF($A58&lt;VLOOKUP(O$5,NFI,5,0),1,0)*Table_NFI[[#This Row],[Clothes Kit]],Table_NFI[Clothes Kit])</f>
        <v>0</v>
      </c>
      <c r="AG58" s="352">
        <f>IF(NFI_Expiration=1,IF($A58&lt;VLOOKUP(P$5,NFI,5,0),1,0)*Table_NFI[[#This Row],[Plastic Bucket]],Table_NFI[Plastic Bucket])</f>
        <v>0</v>
      </c>
      <c r="AH58" s="352">
        <f>IF(NFI_Expiration=1,IF($A58&lt;VLOOKUP(Q$5,NFI,5,0),1,0)*Table_NFI[[#This Row],[Plastic Mat]],Table_NFI[Plastic Mat])*IF(Table_NFI[[#This Row],[Distribution Date]]&gt;"2014-04-01",1,2.5)</f>
        <v>0</v>
      </c>
      <c r="AI58" s="352">
        <f>IF(NFI_Expiration=1,IF($A58&lt;VLOOKUP(R$5,NFI,5,0),1,0)*Table_NFI[[#This Row],[Winter Clothes Adult]],Table_NFI[Winter Clothes Adult])</f>
        <v>0</v>
      </c>
      <c r="AJ58" s="352">
        <f>IF(NFI_Expiration=1,IF($A58&lt;VLOOKUP(S$5,NFI,5,0),1,0)*Table_NFI[[#This Row],[Winter Clothes Children]],Table_NFI[Winter Clothes Children])</f>
        <v>0</v>
      </c>
      <c r="AK58" s="352">
        <f>IF(NFI_Expiration=1,IF($A58&lt;VLOOKUP(T$5,NFI,5,0),1,0)*Table_NFI[[#This Row],[Winter Items Other]],Table_NFI[Winter Items Other])</f>
        <v>0</v>
      </c>
      <c r="AL58" s="352">
        <f>IF(NFI_Expiration=1,IF($A58&lt;VLOOKUP(M$5,NFI,5,0),1,0)*Table_NFI[[#This Row],[Winter Blanket]],Table_NFI[[#This Row],[Winter Blanket]])</f>
        <v>0</v>
      </c>
      <c r="AM58" s="352">
        <f>IF(Table_NFI[[#This Row],[Winter Clothes Adult]]+Table_NFI[[#This Row],[Winter Clothes Children]]+Table_NFI[[#This Row],[Winter Items Other]]+Table_NFI[[#This Row],[Winter Blanket]]&gt;0,1,0)</f>
        <v>0</v>
      </c>
      <c r="AN58" s="392">
        <f>IF(NFI_Expiration=1,IF($A58&lt;VLOOKUP(V$5,NFI,5,0),1,0)*Table_NFI[[#This Row],[Jerry Can]],Table_NFI[Jerry Can])</f>
        <v>0</v>
      </c>
      <c r="AO58" s="540" t="str">
        <f>IFERROR(VLOOKUP(Table_NFI[[#This Row],[Camp Name]],CL,2,0),"")</f>
        <v>MMR001CMP190</v>
      </c>
      <c r="AP58" s="535">
        <f ca="1">IF(Table_NFI[[#This Row],[Pcode]]="","",IF(OFFSET(CampList[Opening Date],MATCH(Table_NFI[[#This Row],[Pcode]],CampList[CP_Pcode],0)-1,0,1,1)&gt;=NFI_Monitor_Date,1,0))</f>
        <v>0</v>
      </c>
      <c r="AQ58" s="540" t="str">
        <f>IFERROR(VLOOKUP(Table_NFI[[#This Row],[Camp Name]],CL,3,0),"")</f>
        <v>Open</v>
      </c>
      <c r="AR58" s="352" t="str">
        <f ca="1">IF(Table_NFI[[#This Row],[Pcode]]="","",OFFSET(CampList[Priority],MATCH(Table_NFI[[#This Row],[Pcode]],CampList[CP_Pcode],0)-1,0,1,1))</f>
        <v>P4</v>
      </c>
      <c r="AS58" s="351">
        <f>IFERROR(Table_NFI[[#This Row],[Kitchen Set]]/VLOOKUP(Table_NFI[[#This Row],[Camp Name]],CL,4,0),"")</f>
        <v>0</v>
      </c>
      <c r="AT58" s="533" t="s">
        <v>1094</v>
      </c>
      <c r="AU58" s="536"/>
    </row>
    <row r="59" spans="1:47" s="537" customFormat="1" ht="14.45" customHeight="1" x14ac:dyDescent="0.25">
      <c r="A59" s="355">
        <f t="shared" si="0"/>
        <v>10.933333333333334</v>
      </c>
      <c r="B59" s="532">
        <v>42243</v>
      </c>
      <c r="C59" s="538" t="s">
        <v>453</v>
      </c>
      <c r="D59" s="538" t="s">
        <v>461</v>
      </c>
      <c r="E59" s="533" t="s">
        <v>380</v>
      </c>
      <c r="F59" s="533" t="s">
        <v>237</v>
      </c>
      <c r="G59" s="533"/>
      <c r="H59" s="350"/>
      <c r="I59" s="350"/>
      <c r="J59" s="350"/>
      <c r="K59" s="350"/>
      <c r="L59" s="350"/>
      <c r="M59" s="350"/>
      <c r="N59" s="350"/>
      <c r="O59" s="350"/>
      <c r="P59" s="352"/>
      <c r="Q59" s="352"/>
      <c r="R59" s="352"/>
      <c r="S59" s="352"/>
      <c r="T59" s="352"/>
      <c r="U59" s="352"/>
      <c r="V59" s="497"/>
      <c r="W59" s="352">
        <v>10</v>
      </c>
      <c r="X59" s="352"/>
      <c r="Y59" s="352">
        <f>IF(NFI_Expiration=1,IF($A59&lt;VLOOKUP(H$5,NFI,5,0),1,0)*Table_NFI[[#This Row],[Hygiene Kit]],Table_NFI[Hygiene Kit])</f>
        <v>0</v>
      </c>
      <c r="Z59" s="352">
        <f>IF(NFI_Expiration=1,IF($A59&lt;VLOOKUP(I$5,NFI,5,0),1,0)*Table_NFI[[#This Row],[NFI Core Kit]],Table_NFI[NFI Core Kit])</f>
        <v>0</v>
      </c>
      <c r="AA59" s="352">
        <f>IF(NFI_Expiration=1,IF($A59&lt;VLOOKUP(J$5,NFI,5,0),1,0)*Table_NFI[[#This Row],[Sanitary Kit]],Table_NFI[Sanitary Kit])</f>
        <v>0</v>
      </c>
      <c r="AB59" s="352">
        <f>IF(NFI_Expiration=1,IF($A59&lt;VLOOKUP(K$5,NFI,5,0),1,0)*Table_NFI[[#This Row],[Mosquito net]],Table_NFI[Mosquito net])</f>
        <v>0</v>
      </c>
      <c r="AC59" s="352">
        <f>IF(NFI_Expiration=1,IF($A59&lt;VLOOKUP(L$5,NFI,5,0),1,0)*Table_NFI[[#This Row],[Tarpaulin]],Table_NFI[[#This Row],[Tarpaulin]])</f>
        <v>0</v>
      </c>
      <c r="AD59" s="352">
        <f>IF(NFI_Expiration=1,IF($A59&lt;VLOOKUP(M$5,NFI,5,0),1,0)*Table_NFI[[#This Row],[Blanket]],Table_NFI[[#This Row],[Blanket]])</f>
        <v>0</v>
      </c>
      <c r="AE59" s="352">
        <f>IF(NFI_Expiration=1,IF($A59&lt;VLOOKUP(N$5,NFI,5,0),1,0)*Table_NFI[[#This Row],[Kitchen Set]],Table_NFI[Kitchen Set])</f>
        <v>0</v>
      </c>
      <c r="AF59" s="352">
        <f>IF(NFI_Expiration=1,IF($A59&lt;VLOOKUP(O$5,NFI,5,0),1,0)*Table_NFI[[#This Row],[Clothes Kit]],Table_NFI[Clothes Kit])</f>
        <v>0</v>
      </c>
      <c r="AG59" s="352">
        <f>IF(NFI_Expiration=1,IF($A59&lt;VLOOKUP(P$5,NFI,5,0),1,0)*Table_NFI[[#This Row],[Plastic Bucket]],Table_NFI[Plastic Bucket])</f>
        <v>0</v>
      </c>
      <c r="AH59" s="352">
        <f>IF(NFI_Expiration=1,IF($A59&lt;VLOOKUP(Q$5,NFI,5,0),1,0)*Table_NFI[[#This Row],[Plastic Mat]],Table_NFI[Plastic Mat])*IF(Table_NFI[[#This Row],[Distribution Date]]&gt;"2014-04-01",1,2.5)</f>
        <v>0</v>
      </c>
      <c r="AI59" s="352">
        <f>IF(NFI_Expiration=1,IF($A59&lt;VLOOKUP(R$5,NFI,5,0),1,0)*Table_NFI[[#This Row],[Winter Clothes Adult]],Table_NFI[Winter Clothes Adult])</f>
        <v>0</v>
      </c>
      <c r="AJ59" s="352">
        <f>IF(NFI_Expiration=1,IF($A59&lt;VLOOKUP(S$5,NFI,5,0),1,0)*Table_NFI[[#This Row],[Winter Clothes Children]],Table_NFI[Winter Clothes Children])</f>
        <v>0</v>
      </c>
      <c r="AK59" s="352">
        <f>IF(NFI_Expiration=1,IF($A59&lt;VLOOKUP(T$5,NFI,5,0),1,0)*Table_NFI[[#This Row],[Winter Items Other]],Table_NFI[Winter Items Other])</f>
        <v>0</v>
      </c>
      <c r="AL59" s="352">
        <f>IF(NFI_Expiration=1,IF($A59&lt;VLOOKUP(M$5,NFI,5,0),1,0)*Table_NFI[[#This Row],[Winter Blanket]],Table_NFI[[#This Row],[Winter Blanket]])</f>
        <v>0</v>
      </c>
      <c r="AM59" s="352">
        <f>IF(Table_NFI[[#This Row],[Winter Clothes Adult]]+Table_NFI[[#This Row],[Winter Clothes Children]]+Table_NFI[[#This Row],[Winter Items Other]]+Table_NFI[[#This Row],[Winter Blanket]]&gt;0,1,0)</f>
        <v>0</v>
      </c>
      <c r="AN59" s="392">
        <f>IF(NFI_Expiration=1,IF($A59&lt;VLOOKUP(V$5,NFI,5,0),1,0)*Table_NFI[[#This Row],[Jerry Can]],Table_NFI[Jerry Can])</f>
        <v>0</v>
      </c>
      <c r="AO59" s="540" t="str">
        <f>IFERROR(VLOOKUP(Table_NFI[[#This Row],[Camp Name]],CL,2,0),"")</f>
        <v/>
      </c>
      <c r="AP59" s="535" t="str">
        <f ca="1">IF(Table_NFI[[#This Row],[Pcode]]="","",IF(OFFSET(CampList[Opening Date],MATCH(Table_NFI[[#This Row],[Pcode]],CampList[CP_Pcode],0)-1,0,1,1)&gt;=NFI_Monitor_Date,1,0))</f>
        <v/>
      </c>
      <c r="AQ59" s="540" t="str">
        <f>IFERROR(VLOOKUP(Table_NFI[[#This Row],[Camp Name]],CL,3,0),"")</f>
        <v/>
      </c>
      <c r="AR59" s="352" t="str">
        <f ca="1">IF(Table_NFI[[#This Row],[Pcode]]="","",OFFSET(CampList[Priority],MATCH(Table_NFI[[#This Row],[Pcode]],CampList[CP_Pcode],0)-1,0,1,1))</f>
        <v/>
      </c>
      <c r="AS59" s="351" t="str">
        <f>IFERROR(Table_NFI[[#This Row],[Kitchen Set]]/VLOOKUP(Table_NFI[[#This Row],[Camp Name]],CL,4,0),"")</f>
        <v/>
      </c>
      <c r="AT59" s="533" t="s">
        <v>1094</v>
      </c>
      <c r="AU59" s="557"/>
    </row>
    <row r="60" spans="1:47" s="537" customFormat="1" ht="14.45" customHeight="1" x14ac:dyDescent="0.25">
      <c r="A60" s="355">
        <f t="shared" si="0"/>
        <v>10.933333333333334</v>
      </c>
      <c r="B60" s="532">
        <v>42243</v>
      </c>
      <c r="C60" s="538" t="s">
        <v>453</v>
      </c>
      <c r="D60" s="538" t="s">
        <v>1365</v>
      </c>
      <c r="E60" s="538" t="s">
        <v>380</v>
      </c>
      <c r="F60" s="538" t="s">
        <v>237</v>
      </c>
      <c r="G60" s="538"/>
      <c r="H60" s="350"/>
      <c r="I60" s="350"/>
      <c r="J60" s="350"/>
      <c r="K60" s="350"/>
      <c r="L60" s="350"/>
      <c r="M60" s="350"/>
      <c r="N60" s="350"/>
      <c r="O60" s="350"/>
      <c r="P60" s="352"/>
      <c r="Q60" s="352"/>
      <c r="R60" s="352"/>
      <c r="S60" s="352"/>
      <c r="T60" s="352"/>
      <c r="U60" s="352"/>
      <c r="V60" s="497"/>
      <c r="W60" s="352">
        <v>7</v>
      </c>
      <c r="X60" s="352"/>
      <c r="Y60" s="352">
        <f>IF(NFI_Expiration=1,IF($A60&lt;VLOOKUP(H$5,NFI,5,0),1,0)*Table_NFI[[#This Row],[Hygiene Kit]],Table_NFI[Hygiene Kit])</f>
        <v>0</v>
      </c>
      <c r="Z60" s="352">
        <f>IF(NFI_Expiration=1,IF($A60&lt;VLOOKUP(I$5,NFI,5,0),1,0)*Table_NFI[[#This Row],[NFI Core Kit]],Table_NFI[NFI Core Kit])</f>
        <v>0</v>
      </c>
      <c r="AA60" s="352">
        <f>IF(NFI_Expiration=1,IF($A60&lt;VLOOKUP(J$5,NFI,5,0),1,0)*Table_NFI[[#This Row],[Sanitary Kit]],Table_NFI[Sanitary Kit])</f>
        <v>0</v>
      </c>
      <c r="AB60" s="352">
        <f>IF(NFI_Expiration=1,IF($A60&lt;VLOOKUP(K$5,NFI,5,0),1,0)*Table_NFI[[#This Row],[Mosquito net]],Table_NFI[Mosquito net])</f>
        <v>0</v>
      </c>
      <c r="AC60" s="352">
        <f>IF(NFI_Expiration=1,IF($A60&lt;VLOOKUP(L$5,NFI,5,0),1,0)*Table_NFI[[#This Row],[Tarpaulin]],Table_NFI[[#This Row],[Tarpaulin]])</f>
        <v>0</v>
      </c>
      <c r="AD60" s="352">
        <f>IF(NFI_Expiration=1,IF($A60&lt;VLOOKUP(M$5,NFI,5,0),1,0)*Table_NFI[[#This Row],[Blanket]],Table_NFI[[#This Row],[Blanket]])</f>
        <v>0</v>
      </c>
      <c r="AE60" s="352">
        <f>IF(NFI_Expiration=1,IF($A60&lt;VLOOKUP(N$5,NFI,5,0),1,0)*Table_NFI[[#This Row],[Kitchen Set]],Table_NFI[Kitchen Set])</f>
        <v>0</v>
      </c>
      <c r="AF60" s="352">
        <f>IF(NFI_Expiration=1,IF($A60&lt;VLOOKUP(O$5,NFI,5,0),1,0)*Table_NFI[[#This Row],[Clothes Kit]],Table_NFI[Clothes Kit])</f>
        <v>0</v>
      </c>
      <c r="AG60" s="352">
        <f>IF(NFI_Expiration=1,IF($A60&lt;VLOOKUP(P$5,NFI,5,0),1,0)*Table_NFI[[#This Row],[Plastic Bucket]],Table_NFI[Plastic Bucket])</f>
        <v>0</v>
      </c>
      <c r="AH60" s="352">
        <f>IF(NFI_Expiration=1,IF($A60&lt;VLOOKUP(Q$5,NFI,5,0),1,0)*Table_NFI[[#This Row],[Plastic Mat]],Table_NFI[Plastic Mat])*IF(Table_NFI[[#This Row],[Distribution Date]]&gt;"2014-04-01",1,2.5)</f>
        <v>0</v>
      </c>
      <c r="AI60" s="352">
        <f>IF(NFI_Expiration=1,IF($A60&lt;VLOOKUP(R$5,NFI,5,0),1,0)*Table_NFI[[#This Row],[Winter Clothes Adult]],Table_NFI[Winter Clothes Adult])</f>
        <v>0</v>
      </c>
      <c r="AJ60" s="352">
        <f>IF(NFI_Expiration=1,IF($A60&lt;VLOOKUP(S$5,NFI,5,0),1,0)*Table_NFI[[#This Row],[Winter Clothes Children]],Table_NFI[Winter Clothes Children])</f>
        <v>0</v>
      </c>
      <c r="AK60" s="352">
        <f>IF(NFI_Expiration=1,IF($A60&lt;VLOOKUP(T$5,NFI,5,0),1,0)*Table_NFI[[#This Row],[Winter Items Other]],Table_NFI[Winter Items Other])</f>
        <v>0</v>
      </c>
      <c r="AL60" s="352">
        <f>IF(NFI_Expiration=1,IF($A60&lt;VLOOKUP(M$5,NFI,5,0),1,0)*Table_NFI[[#This Row],[Winter Blanket]],Table_NFI[[#This Row],[Winter Blanket]])</f>
        <v>0</v>
      </c>
      <c r="AM60" s="352">
        <f>IF(Table_NFI[[#This Row],[Winter Clothes Adult]]+Table_NFI[[#This Row],[Winter Clothes Children]]+Table_NFI[[#This Row],[Winter Items Other]]+Table_NFI[[#This Row],[Winter Blanket]]&gt;0,1,0)</f>
        <v>0</v>
      </c>
      <c r="AN60" s="392">
        <f>IF(NFI_Expiration=1,IF($A60&lt;VLOOKUP(V$5,NFI,5,0),1,0)*Table_NFI[[#This Row],[Jerry Can]],Table_NFI[Jerry Can])</f>
        <v>0</v>
      </c>
      <c r="AO60" s="540" t="str">
        <f>IFERROR(VLOOKUP(Table_NFI[[#This Row],[Camp Name]],CL,2,0),"")</f>
        <v/>
      </c>
      <c r="AP60" s="535" t="str">
        <f ca="1">IF(Table_NFI[[#This Row],[Pcode]]="","",IF(OFFSET(CampList[Opening Date],MATCH(Table_NFI[[#This Row],[Pcode]],CampList[CP_Pcode],0)-1,0,1,1)&gt;=NFI_Monitor_Date,1,0))</f>
        <v/>
      </c>
      <c r="AQ60" s="540" t="str">
        <f>IFERROR(VLOOKUP(Table_NFI[[#This Row],[Camp Name]],CL,3,0),"")</f>
        <v/>
      </c>
      <c r="AR60" s="352" t="str">
        <f ca="1">IF(Table_NFI[[#This Row],[Pcode]]="","",OFFSET(CampList[Priority],MATCH(Table_NFI[[#This Row],[Pcode]],CampList[CP_Pcode],0)-1,0,1,1))</f>
        <v/>
      </c>
      <c r="AS60" s="351" t="str">
        <f>IFERROR(Table_NFI[[#This Row],[Kitchen Set]]/VLOOKUP(Table_NFI[[#This Row],[Camp Name]],CL,4,0),"")</f>
        <v/>
      </c>
      <c r="AT60" s="533" t="s">
        <v>1094</v>
      </c>
      <c r="AU60" s="541"/>
    </row>
    <row r="61" spans="1:47" s="537" customFormat="1" ht="14.45" customHeight="1" x14ac:dyDescent="0.25">
      <c r="A61" s="355">
        <f t="shared" si="0"/>
        <v>10.933333333333334</v>
      </c>
      <c r="B61" s="532">
        <v>42243</v>
      </c>
      <c r="C61" s="538" t="s">
        <v>453</v>
      </c>
      <c r="D61" s="538" t="s">
        <v>506</v>
      </c>
      <c r="E61" s="538" t="s">
        <v>380</v>
      </c>
      <c r="F61" s="538" t="s">
        <v>237</v>
      </c>
      <c r="G61" s="538"/>
      <c r="H61" s="350"/>
      <c r="I61" s="350"/>
      <c r="J61" s="350"/>
      <c r="K61" s="350"/>
      <c r="L61" s="350"/>
      <c r="M61" s="350"/>
      <c r="N61" s="350"/>
      <c r="O61" s="350"/>
      <c r="P61" s="352"/>
      <c r="Q61" s="352"/>
      <c r="R61" s="352"/>
      <c r="S61" s="352"/>
      <c r="T61" s="352"/>
      <c r="U61" s="352"/>
      <c r="V61" s="497"/>
      <c r="W61" s="352">
        <v>8</v>
      </c>
      <c r="X61" s="352"/>
      <c r="Y61" s="352">
        <f>IF(NFI_Expiration=1,IF($A61&lt;VLOOKUP(H$5,NFI,5,0),1,0)*Table_NFI[[#This Row],[Hygiene Kit]],Table_NFI[Hygiene Kit])</f>
        <v>0</v>
      </c>
      <c r="Z61" s="352">
        <f>IF(NFI_Expiration=1,IF($A61&lt;VLOOKUP(I$5,NFI,5,0),1,0)*Table_NFI[[#This Row],[NFI Core Kit]],Table_NFI[NFI Core Kit])</f>
        <v>0</v>
      </c>
      <c r="AA61" s="352">
        <f>IF(NFI_Expiration=1,IF($A61&lt;VLOOKUP(J$5,NFI,5,0),1,0)*Table_NFI[[#This Row],[Sanitary Kit]],Table_NFI[Sanitary Kit])</f>
        <v>0</v>
      </c>
      <c r="AB61" s="352">
        <f>IF(NFI_Expiration=1,IF($A61&lt;VLOOKUP(K$5,NFI,5,0),1,0)*Table_NFI[[#This Row],[Mosquito net]],Table_NFI[Mosquito net])</f>
        <v>0</v>
      </c>
      <c r="AC61" s="352">
        <f>IF(NFI_Expiration=1,IF($A61&lt;VLOOKUP(L$5,NFI,5,0),1,0)*Table_NFI[[#This Row],[Tarpaulin]],Table_NFI[[#This Row],[Tarpaulin]])</f>
        <v>0</v>
      </c>
      <c r="AD61" s="352">
        <f>IF(NFI_Expiration=1,IF($A61&lt;VLOOKUP(M$5,NFI,5,0),1,0)*Table_NFI[[#This Row],[Blanket]],Table_NFI[[#This Row],[Blanket]])</f>
        <v>0</v>
      </c>
      <c r="AE61" s="352">
        <f>IF(NFI_Expiration=1,IF($A61&lt;VLOOKUP(N$5,NFI,5,0),1,0)*Table_NFI[[#This Row],[Kitchen Set]],Table_NFI[Kitchen Set])</f>
        <v>0</v>
      </c>
      <c r="AF61" s="352">
        <f>IF(NFI_Expiration=1,IF($A61&lt;VLOOKUP(O$5,NFI,5,0),1,0)*Table_NFI[[#This Row],[Clothes Kit]],Table_NFI[Clothes Kit])</f>
        <v>0</v>
      </c>
      <c r="AG61" s="352">
        <f>IF(NFI_Expiration=1,IF($A61&lt;VLOOKUP(P$5,NFI,5,0),1,0)*Table_NFI[[#This Row],[Plastic Bucket]],Table_NFI[Plastic Bucket])</f>
        <v>0</v>
      </c>
      <c r="AH61" s="352">
        <f>IF(NFI_Expiration=1,IF($A61&lt;VLOOKUP(Q$5,NFI,5,0),1,0)*Table_NFI[[#This Row],[Plastic Mat]],Table_NFI[Plastic Mat])*IF(Table_NFI[[#This Row],[Distribution Date]]&gt;"2014-04-01",1,2.5)</f>
        <v>0</v>
      </c>
      <c r="AI61" s="352">
        <f>IF(NFI_Expiration=1,IF($A61&lt;VLOOKUP(R$5,NFI,5,0),1,0)*Table_NFI[[#This Row],[Winter Clothes Adult]],Table_NFI[Winter Clothes Adult])</f>
        <v>0</v>
      </c>
      <c r="AJ61" s="352">
        <f>IF(NFI_Expiration=1,IF($A61&lt;VLOOKUP(S$5,NFI,5,0),1,0)*Table_NFI[[#This Row],[Winter Clothes Children]],Table_NFI[Winter Clothes Children])</f>
        <v>0</v>
      </c>
      <c r="AK61" s="352">
        <f>IF(NFI_Expiration=1,IF($A61&lt;VLOOKUP(T$5,NFI,5,0),1,0)*Table_NFI[[#This Row],[Winter Items Other]],Table_NFI[Winter Items Other])</f>
        <v>0</v>
      </c>
      <c r="AL61" s="352">
        <f>IF(NFI_Expiration=1,IF($A61&lt;VLOOKUP(M$5,NFI,5,0),1,0)*Table_NFI[[#This Row],[Winter Blanket]],Table_NFI[[#This Row],[Winter Blanket]])</f>
        <v>0</v>
      </c>
      <c r="AM61" s="352">
        <f>IF(Table_NFI[[#This Row],[Winter Clothes Adult]]+Table_NFI[[#This Row],[Winter Clothes Children]]+Table_NFI[[#This Row],[Winter Items Other]]+Table_NFI[[#This Row],[Winter Blanket]]&gt;0,1,0)</f>
        <v>0</v>
      </c>
      <c r="AN61" s="392">
        <f>IF(NFI_Expiration=1,IF($A61&lt;VLOOKUP(V$5,NFI,5,0),1,0)*Table_NFI[[#This Row],[Jerry Can]],Table_NFI[Jerry Can])</f>
        <v>0</v>
      </c>
      <c r="AO61" s="540" t="str">
        <f>IFERROR(VLOOKUP(Table_NFI[[#This Row],[Camp Name]],CL,2,0),"")</f>
        <v/>
      </c>
      <c r="AP61" s="535" t="str">
        <f ca="1">IF(Table_NFI[[#This Row],[Pcode]]="","",IF(OFFSET(CampList[Opening Date],MATCH(Table_NFI[[#This Row],[Pcode]],CampList[CP_Pcode],0)-1,0,1,1)&gt;=NFI_Monitor_Date,1,0))</f>
        <v/>
      </c>
      <c r="AQ61" s="540" t="str">
        <f>IFERROR(VLOOKUP(Table_NFI[[#This Row],[Camp Name]],CL,3,0),"")</f>
        <v/>
      </c>
      <c r="AR61" s="352" t="str">
        <f ca="1">IF(Table_NFI[[#This Row],[Pcode]]="","",OFFSET(CampList[Priority],MATCH(Table_NFI[[#This Row],[Pcode]],CampList[CP_Pcode],0)-1,0,1,1))</f>
        <v/>
      </c>
      <c r="AS61" s="351" t="str">
        <f>IFERROR(Table_NFI[[#This Row],[Kitchen Set]]/VLOOKUP(Table_NFI[[#This Row],[Camp Name]],CL,4,0),"")</f>
        <v/>
      </c>
      <c r="AT61" s="533" t="s">
        <v>1094</v>
      </c>
      <c r="AU61" s="541" t="s">
        <v>1327</v>
      </c>
    </row>
    <row r="62" spans="1:47" s="537" customFormat="1" ht="15" customHeight="1" x14ac:dyDescent="0.25">
      <c r="A62" s="355">
        <f t="shared" si="0"/>
        <v>11.466666666666667</v>
      </c>
      <c r="B62" s="532">
        <v>42227</v>
      </c>
      <c r="C62" s="533" t="s">
        <v>453</v>
      </c>
      <c r="D62" s="534" t="s">
        <v>461</v>
      </c>
      <c r="E62" s="533" t="s">
        <v>380</v>
      </c>
      <c r="F62" s="348" t="s">
        <v>173</v>
      </c>
      <c r="G62" s="348" t="s">
        <v>174</v>
      </c>
      <c r="H62" s="349"/>
      <c r="I62" s="350"/>
      <c r="J62" s="349"/>
      <c r="K62" s="352">
        <v>14</v>
      </c>
      <c r="L62" s="350">
        <v>14</v>
      </c>
      <c r="M62" s="350"/>
      <c r="N62" s="350"/>
      <c r="O62" s="350"/>
      <c r="P62" s="352"/>
      <c r="Q62" s="352"/>
      <c r="R62" s="352"/>
      <c r="S62" s="352"/>
      <c r="T62" s="352"/>
      <c r="U62" s="352"/>
      <c r="V62" s="497"/>
      <c r="W62" s="352"/>
      <c r="X62" s="352"/>
      <c r="Y62" s="352">
        <f>IF(NFI_Expiration=1,IF($A62&lt;VLOOKUP(H$5,NFI,5,0),1,0)*Table_NFI[[#This Row],[Hygiene Kit]],Table_NFI[Hygiene Kit])</f>
        <v>0</v>
      </c>
      <c r="Z62" s="352">
        <f>IF(NFI_Expiration=1,IF($A62&lt;VLOOKUP(I$5,NFI,5,0),1,0)*Table_NFI[[#This Row],[NFI Core Kit]],Table_NFI[NFI Core Kit])</f>
        <v>0</v>
      </c>
      <c r="AA62" s="352">
        <f>IF(NFI_Expiration=1,IF($A62&lt;VLOOKUP(J$5,NFI,5,0),1,0)*Table_NFI[[#This Row],[Sanitary Kit]],Table_NFI[Sanitary Kit])</f>
        <v>0</v>
      </c>
      <c r="AB62" s="352">
        <f>IF(NFI_Expiration=1,IF($A62&lt;VLOOKUP(K$5,NFI,5,0),1,0)*Table_NFI[[#This Row],[Mosquito net]],Table_NFI[Mosquito net])</f>
        <v>14</v>
      </c>
      <c r="AC62" s="352">
        <f>IF(NFI_Expiration=1,IF($A62&lt;VLOOKUP(L$5,NFI,5,0),1,0)*Table_NFI[[#This Row],[Tarpaulin]],Table_NFI[[#This Row],[Tarpaulin]])</f>
        <v>14</v>
      </c>
      <c r="AD62" s="352">
        <f>IF(NFI_Expiration=1,IF($A62&lt;VLOOKUP(M$5,NFI,5,0),1,0)*Table_NFI[[#This Row],[Blanket]],Table_NFI[[#This Row],[Blanket]])</f>
        <v>0</v>
      </c>
      <c r="AE62" s="352">
        <f>IF(NFI_Expiration=1,IF($A62&lt;VLOOKUP(N$5,NFI,5,0),1,0)*Table_NFI[[#This Row],[Kitchen Set]],Table_NFI[Kitchen Set])</f>
        <v>0</v>
      </c>
      <c r="AF62" s="352">
        <f>IF(NFI_Expiration=1,IF($A62&lt;VLOOKUP(O$5,NFI,5,0),1,0)*Table_NFI[[#This Row],[Clothes Kit]],Table_NFI[Clothes Kit])</f>
        <v>0</v>
      </c>
      <c r="AG62" s="352">
        <f>IF(NFI_Expiration=1,IF($A62&lt;VLOOKUP(P$5,NFI,5,0),1,0)*Table_NFI[[#This Row],[Plastic Bucket]],Table_NFI[Plastic Bucket])</f>
        <v>0</v>
      </c>
      <c r="AH62" s="352">
        <f>IF(NFI_Expiration=1,IF($A62&lt;VLOOKUP(Q$5,NFI,5,0),1,0)*Table_NFI[[#This Row],[Plastic Mat]],Table_NFI[Plastic Mat])*IF(Table_NFI[[#This Row],[Distribution Date]]&gt;"2014-04-01",1,2.5)</f>
        <v>0</v>
      </c>
      <c r="AI62" s="352">
        <f>IF(NFI_Expiration=1,IF($A62&lt;VLOOKUP(R$5,NFI,5,0),1,0)*Table_NFI[[#This Row],[Winter Clothes Adult]],Table_NFI[Winter Clothes Adult])</f>
        <v>0</v>
      </c>
      <c r="AJ62" s="352">
        <f>IF(NFI_Expiration=1,IF($A62&lt;VLOOKUP(S$5,NFI,5,0),1,0)*Table_NFI[[#This Row],[Winter Clothes Children]],Table_NFI[Winter Clothes Children])</f>
        <v>0</v>
      </c>
      <c r="AK62" s="352">
        <f>IF(NFI_Expiration=1,IF($A62&lt;VLOOKUP(T$5,NFI,5,0),1,0)*Table_NFI[[#This Row],[Winter Items Other]],Table_NFI[Winter Items Other])</f>
        <v>0</v>
      </c>
      <c r="AL62" s="352">
        <f>IF(NFI_Expiration=1,IF($A62&lt;VLOOKUP(M$5,NFI,5,0),1,0)*Table_NFI[[#This Row],[Winter Blanket]],Table_NFI[[#This Row],[Winter Blanket]])</f>
        <v>0</v>
      </c>
      <c r="AM62" s="352">
        <f>IF(Table_NFI[[#This Row],[Winter Clothes Adult]]+Table_NFI[[#This Row],[Winter Clothes Children]]+Table_NFI[[#This Row],[Winter Items Other]]+Table_NFI[[#This Row],[Winter Blanket]]&gt;0,1,0)</f>
        <v>0</v>
      </c>
      <c r="AN62" s="392">
        <f>IF(NFI_Expiration=1,IF($A62&lt;VLOOKUP(V$5,NFI,5,0),1,0)*Table_NFI[[#This Row],[Jerry Can]],Table_NFI[Jerry Can])</f>
        <v>0</v>
      </c>
      <c r="AO62" s="540" t="str">
        <f>IFERROR(VLOOKUP(Table_NFI[[#This Row],[Camp Name]],CL,2,0),"")</f>
        <v>MMR001CMP078</v>
      </c>
      <c r="AP62" s="535">
        <f ca="1">IF(Table_NFI[[#This Row],[Pcode]]="","",IF(OFFSET(CampList[Opening Date],MATCH(Table_NFI[[#This Row],[Pcode]],CampList[CP_Pcode],0)-1,0,1,1)&gt;=NFI_Monitor_Date,1,0))</f>
        <v>0</v>
      </c>
      <c r="AQ62" s="540" t="str">
        <f>IFERROR(VLOOKUP(Table_NFI[[#This Row],[Camp Name]],CL,3,0),"")</f>
        <v>Open</v>
      </c>
      <c r="AR62" s="352" t="str">
        <f ca="1">IF(Table_NFI[[#This Row],[Pcode]]="","",OFFSET(CampList[Priority],MATCH(Table_NFI[[#This Row],[Pcode]],CampList[CP_Pcode],0)-1,0,1,1))</f>
        <v>P4</v>
      </c>
      <c r="AS62" s="351">
        <f>IFERROR(Table_NFI[[#This Row],[Kitchen Set]]/VLOOKUP(Table_NFI[[#This Row],[Camp Name]],CL,4,0),"")</f>
        <v>0</v>
      </c>
      <c r="AT62" s="533" t="s">
        <v>1094</v>
      </c>
      <c r="AU62" s="553" t="s">
        <v>1368</v>
      </c>
    </row>
    <row r="63" spans="1:47" s="537" customFormat="1" ht="14.45" customHeight="1" x14ac:dyDescent="0.25">
      <c r="A63" s="355">
        <f t="shared" si="0"/>
        <v>11.466666666666667</v>
      </c>
      <c r="B63" s="532">
        <v>42227</v>
      </c>
      <c r="C63" s="538" t="s">
        <v>453</v>
      </c>
      <c r="D63" s="538" t="s">
        <v>506</v>
      </c>
      <c r="E63" s="538" t="s">
        <v>380</v>
      </c>
      <c r="F63" s="538" t="s">
        <v>237</v>
      </c>
      <c r="G63" s="538" t="s">
        <v>249</v>
      </c>
      <c r="H63" s="350"/>
      <c r="I63" s="350"/>
      <c r="J63" s="350"/>
      <c r="K63" s="350">
        <v>6</v>
      </c>
      <c r="L63" s="350">
        <v>4</v>
      </c>
      <c r="M63" s="350">
        <v>6</v>
      </c>
      <c r="N63" s="350">
        <v>4</v>
      </c>
      <c r="O63" s="350"/>
      <c r="P63" s="352">
        <v>4</v>
      </c>
      <c r="Q63" s="352">
        <v>10</v>
      </c>
      <c r="R63" s="352"/>
      <c r="S63" s="352"/>
      <c r="T63" s="352"/>
      <c r="U63" s="352"/>
      <c r="V63" s="497">
        <v>4</v>
      </c>
      <c r="W63" s="352"/>
      <c r="X63" s="352"/>
      <c r="Y63" s="352">
        <f>IF(NFI_Expiration=1,IF($A63&lt;VLOOKUP(H$5,NFI,5,0),1,0)*Table_NFI[[#This Row],[Hygiene Kit]],Table_NFI[Hygiene Kit])</f>
        <v>0</v>
      </c>
      <c r="Z63" s="352">
        <f>IF(NFI_Expiration=1,IF($A63&lt;VLOOKUP(I$5,NFI,5,0),1,0)*Table_NFI[[#This Row],[NFI Core Kit]],Table_NFI[NFI Core Kit])</f>
        <v>0</v>
      </c>
      <c r="AA63" s="352">
        <f>IF(NFI_Expiration=1,IF($A63&lt;VLOOKUP(J$5,NFI,5,0),1,0)*Table_NFI[[#This Row],[Sanitary Kit]],Table_NFI[Sanitary Kit])</f>
        <v>0</v>
      </c>
      <c r="AB63" s="352">
        <f>IF(NFI_Expiration=1,IF($A63&lt;VLOOKUP(K$5,NFI,5,0),1,0)*Table_NFI[[#This Row],[Mosquito net]],Table_NFI[Mosquito net])</f>
        <v>6</v>
      </c>
      <c r="AC63" s="352">
        <f>IF(NFI_Expiration=1,IF($A63&lt;VLOOKUP(L$5,NFI,5,0),1,0)*Table_NFI[[#This Row],[Tarpaulin]],Table_NFI[[#This Row],[Tarpaulin]])</f>
        <v>4</v>
      </c>
      <c r="AD63" s="352">
        <f>IF(NFI_Expiration=1,IF($A63&lt;VLOOKUP(M$5,NFI,5,0),1,0)*Table_NFI[[#This Row],[Blanket]],Table_NFI[[#This Row],[Blanket]])</f>
        <v>6</v>
      </c>
      <c r="AE63" s="352">
        <f>IF(NFI_Expiration=1,IF($A63&lt;VLOOKUP(N$5,NFI,5,0),1,0)*Table_NFI[[#This Row],[Kitchen Set]],Table_NFI[Kitchen Set])</f>
        <v>4</v>
      </c>
      <c r="AF63" s="352">
        <f>IF(NFI_Expiration=1,IF($A63&lt;VLOOKUP(O$5,NFI,5,0),1,0)*Table_NFI[[#This Row],[Clothes Kit]],Table_NFI[Clothes Kit])</f>
        <v>0</v>
      </c>
      <c r="AG63" s="352">
        <f>IF(NFI_Expiration=1,IF($A63&lt;VLOOKUP(P$5,NFI,5,0),1,0)*Table_NFI[[#This Row],[Plastic Bucket]],Table_NFI[Plastic Bucket])</f>
        <v>4</v>
      </c>
      <c r="AH63" s="352">
        <f>IF(NFI_Expiration=1,IF($A63&lt;VLOOKUP(Q$5,NFI,5,0),1,0)*Table_NFI[[#This Row],[Plastic Mat]],Table_NFI[Plastic Mat])*IF(Table_NFI[[#This Row],[Distribution Date]]&gt;"2014-04-01",1,2.5)</f>
        <v>25</v>
      </c>
      <c r="AI63" s="352">
        <f>IF(NFI_Expiration=1,IF($A63&lt;VLOOKUP(R$5,NFI,5,0),1,0)*Table_NFI[[#This Row],[Winter Clothes Adult]],Table_NFI[Winter Clothes Adult])</f>
        <v>0</v>
      </c>
      <c r="AJ63" s="352">
        <f>IF(NFI_Expiration=1,IF($A63&lt;VLOOKUP(S$5,NFI,5,0),1,0)*Table_NFI[[#This Row],[Winter Clothes Children]],Table_NFI[Winter Clothes Children])</f>
        <v>0</v>
      </c>
      <c r="AK63" s="352">
        <f>IF(NFI_Expiration=1,IF($A63&lt;VLOOKUP(T$5,NFI,5,0),1,0)*Table_NFI[[#This Row],[Winter Items Other]],Table_NFI[Winter Items Other])</f>
        <v>0</v>
      </c>
      <c r="AL63" s="352">
        <f>IF(NFI_Expiration=1,IF($A63&lt;VLOOKUP(M$5,NFI,5,0),1,0)*Table_NFI[[#This Row],[Winter Blanket]],Table_NFI[[#This Row],[Winter Blanket]])</f>
        <v>0</v>
      </c>
      <c r="AM63" s="352">
        <f>IF(Table_NFI[[#This Row],[Winter Clothes Adult]]+Table_NFI[[#This Row],[Winter Clothes Children]]+Table_NFI[[#This Row],[Winter Items Other]]+Table_NFI[[#This Row],[Winter Blanket]]&gt;0,1,0)</f>
        <v>0</v>
      </c>
      <c r="AN63" s="392">
        <f>IF(NFI_Expiration=1,IF($A63&lt;VLOOKUP(V$5,NFI,5,0),1,0)*Table_NFI[[#This Row],[Jerry Can]],Table_NFI[Jerry Can])</f>
        <v>4</v>
      </c>
      <c r="AO63" s="540" t="str">
        <f>IFERROR(VLOOKUP(Table_NFI[[#This Row],[Camp Name]],CL,2,0),"")</f>
        <v>MMR001CMP004</v>
      </c>
      <c r="AP63" s="535">
        <f ca="1">IF(Table_NFI[[#This Row],[Pcode]]="","",IF(OFFSET(CampList[Opening Date],MATCH(Table_NFI[[#This Row],[Pcode]],CampList[CP_Pcode],0)-1,0,1,1)&gt;=NFI_Monitor_Date,1,0))</f>
        <v>0</v>
      </c>
      <c r="AQ63" s="540" t="str">
        <f>IFERROR(VLOOKUP(Table_NFI[[#This Row],[Camp Name]],CL,3,0),"")</f>
        <v>Open</v>
      </c>
      <c r="AR63" s="352" t="str">
        <f ca="1">IF(Table_NFI[[#This Row],[Pcode]]="","",OFFSET(CampList[Priority],MATCH(Table_NFI[[#This Row],[Pcode]],CampList[CP_Pcode],0)-1,0,1,1))</f>
        <v>P4</v>
      </c>
      <c r="AS63" s="351">
        <f>IFERROR(Table_NFI[[#This Row],[Kitchen Set]]/VLOOKUP(Table_NFI[[#This Row],[Camp Name]],CL,4,0),"")</f>
        <v>0.66666666666666663</v>
      </c>
      <c r="AT63" s="533" t="s">
        <v>1094</v>
      </c>
      <c r="AU63" s="541"/>
    </row>
    <row r="64" spans="1:47" s="537" customFormat="1" hidden="1" x14ac:dyDescent="0.25">
      <c r="A64" s="355">
        <f t="shared" si="0"/>
        <v>32.1</v>
      </c>
      <c r="B64" s="532">
        <v>41608</v>
      </c>
      <c r="C64" s="533" t="s">
        <v>907</v>
      </c>
      <c r="D64" s="533"/>
      <c r="E64" s="533" t="s">
        <v>380</v>
      </c>
      <c r="F64" s="348" t="s">
        <v>5</v>
      </c>
      <c r="G64" s="348" t="s">
        <v>513</v>
      </c>
      <c r="H64" s="349"/>
      <c r="I64" s="349"/>
      <c r="J64" s="349"/>
      <c r="K64" s="349"/>
      <c r="L64" s="350"/>
      <c r="M64" s="350"/>
      <c r="N64" s="350"/>
      <c r="O64" s="350"/>
      <c r="P64" s="352"/>
      <c r="Q64" s="352"/>
      <c r="R64" s="352"/>
      <c r="S64" s="352"/>
      <c r="T64" s="352"/>
      <c r="U64" s="352"/>
      <c r="V64" s="497"/>
      <c r="W64" s="352"/>
      <c r="X64" s="352"/>
      <c r="Y64" s="352">
        <f>IF(NFI_Expiration=1,IF($A64&lt;VLOOKUP(H$5,NFI,5,0),1,0)*Table_NFI[[#This Row],[Hygiene Kit]],Table_NFI[Hygiene Kit])</f>
        <v>0</v>
      </c>
      <c r="Z64" s="352">
        <f>IF(NFI_Expiration=1,IF($A64&lt;VLOOKUP(I$5,NFI,5,0),1,0)*Table_NFI[[#This Row],[NFI Core Kit]],Table_NFI[NFI Core Kit])</f>
        <v>0</v>
      </c>
      <c r="AA64" s="352">
        <f>IF(NFI_Expiration=1,IF($A64&lt;VLOOKUP(J$5,NFI,5,0),1,0)*Table_NFI[[#This Row],[Sanitary Kit]],Table_NFI[Sanitary Kit])</f>
        <v>0</v>
      </c>
      <c r="AB64" s="352">
        <f>IF(NFI_Expiration=1,IF($A64&lt;VLOOKUP(K$5,NFI,5,0),1,0)*Table_NFI[[#This Row],[Mosquito net]],Table_NFI[Mosquito net])</f>
        <v>0</v>
      </c>
      <c r="AC64" s="352">
        <f>IF(NFI_Expiration=1,IF($A64&lt;VLOOKUP(L$5,NFI,5,0),1,0)*Table_NFI[[#This Row],[Tarpaulin]],Table_NFI[[#This Row],[Tarpaulin]])</f>
        <v>0</v>
      </c>
      <c r="AD64" s="352">
        <f>IF(NFI_Expiration=1,IF($A64&lt;VLOOKUP(M$5,NFI,5,0),1,0)*Table_NFI[[#This Row],[Blanket]],Table_NFI[[#This Row],[Blanket]])</f>
        <v>0</v>
      </c>
      <c r="AE64" s="352">
        <f>IF(NFI_Expiration=1,IF($A64&lt;VLOOKUP(N$5,NFI,5,0),1,0)*Table_NFI[[#This Row],[Kitchen Set]],Table_NFI[Kitchen Set])</f>
        <v>0</v>
      </c>
      <c r="AF64" s="352">
        <f>IF(NFI_Expiration=1,IF($A64&lt;VLOOKUP(O$5,NFI,5,0),1,0)*Table_NFI[[#This Row],[Clothes Kit]],Table_NFI[Clothes Kit])</f>
        <v>0</v>
      </c>
      <c r="AG64" s="352">
        <f>IF(NFI_Expiration=1,IF($A64&lt;VLOOKUP(P$5,NFI,5,0),1,0)*Table_NFI[[#This Row],[Plastic Bucket]],Table_NFI[Plastic Bucket])</f>
        <v>0</v>
      </c>
      <c r="AH64" s="352">
        <f>IF(NFI_Expiration=1,IF($A64&lt;VLOOKUP(Q$5,NFI,5,0),1,0)*Table_NFI[[#This Row],[Plastic Mat]],Table_NFI[Plastic Mat])*IF(Table_NFI[[#This Row],[Distribution Date]]&gt;"2014-04-01",1,2.5)</f>
        <v>0</v>
      </c>
      <c r="AI64" s="352">
        <f>IF(NFI_Expiration=1,IF($A64&lt;VLOOKUP(R$5,NFI,5,0),1,0)*Table_NFI[[#This Row],[Winter Clothes Adult]],Table_NFI[Winter Clothes Adult])</f>
        <v>0</v>
      </c>
      <c r="AJ64" s="352">
        <f>IF(NFI_Expiration=1,IF($A64&lt;VLOOKUP(S$5,NFI,5,0),1,0)*Table_NFI[[#This Row],[Winter Clothes Children]],Table_NFI[Winter Clothes Children])</f>
        <v>0</v>
      </c>
      <c r="AK64" s="352">
        <f>IF(NFI_Expiration=1,IF($A64&lt;VLOOKUP(T$5,NFI,5,0),1,0)*Table_NFI[[#This Row],[Winter Items Other]],Table_NFI[Winter Items Other])</f>
        <v>0</v>
      </c>
      <c r="AL64" s="352">
        <f>IF(NFI_Expiration=1,IF($A64&lt;VLOOKUP(M$5,NFI,5,0),1,0)*Table_NFI[[#This Row],[Winter Blanket]],Table_NFI[[#This Row],[Winter Blanket]])</f>
        <v>0</v>
      </c>
      <c r="AM64" s="352">
        <f>IF(Table_NFI[[#This Row],[Winter Clothes Adult]]+Table_NFI[[#This Row],[Winter Clothes Children]]+Table_NFI[[#This Row],[Winter Items Other]]+Table_NFI[[#This Row],[Winter Blanket]]&gt;0,1,0)</f>
        <v>0</v>
      </c>
      <c r="AN64" s="392">
        <f>IF(NFI_Expiration=1,IF($A64&lt;VLOOKUP(V$5,NFI,5,0),1,0)*Table_NFI[[#This Row],[Jerry Can]],Table_NFI[Jerry Can])</f>
        <v>0</v>
      </c>
      <c r="AO64" s="540" t="str">
        <f>IFERROR(VLOOKUP(Table_NFI[[#This Row],[Camp Name]],CL,2,0),"")</f>
        <v>MMR001CMP194</v>
      </c>
      <c r="AP64" s="535">
        <f ca="1">IF(Table_NFI[[#This Row],[Pcode]]="","",IF(OFFSET(CampList[Opening Date],MATCH(Table_NFI[[#This Row],[Pcode]],CampList[CP_Pcode],0)-1,0,1,1)&gt;=NFI_Monitor_Date,1,0))</f>
        <v>0</v>
      </c>
      <c r="AQ64" s="540" t="s">
        <v>844</v>
      </c>
      <c r="AR64" s="352" t="str">
        <f ca="1">IF(Table_NFI[[#This Row],[Pcode]]="","",OFFSET(CampList[Priority],MATCH(Table_NFI[[#This Row],[Pcode]],CampList[CP_Pcode],0)-1,0,1,1))</f>
        <v>P4</v>
      </c>
      <c r="AS64" s="351">
        <f>IFERROR(Table_NFI[[#This Row],[Kitchen Set]]/VLOOKUP(Table_NFI[[#This Row],[Camp Name]],CL,4,0),"")</f>
        <v>0</v>
      </c>
      <c r="AT64" s="533" t="s">
        <v>1094</v>
      </c>
      <c r="AU64" s="536"/>
    </row>
    <row r="65" spans="1:47" s="537" customFormat="1" ht="14.45" customHeight="1" x14ac:dyDescent="0.25">
      <c r="A65" s="355">
        <f t="shared" si="0"/>
        <v>12.166666666666666</v>
      </c>
      <c r="B65" s="532">
        <v>42206</v>
      </c>
      <c r="C65" s="538" t="s">
        <v>453</v>
      </c>
      <c r="D65" s="538" t="s">
        <v>461</v>
      </c>
      <c r="E65" s="538" t="s">
        <v>380</v>
      </c>
      <c r="F65" s="538" t="s">
        <v>809</v>
      </c>
      <c r="G65" s="538" t="s">
        <v>809</v>
      </c>
      <c r="H65" s="350"/>
      <c r="I65" s="350"/>
      <c r="J65" s="350"/>
      <c r="K65" s="350"/>
      <c r="L65" s="350">
        <v>250</v>
      </c>
      <c r="M65" s="350"/>
      <c r="N65" s="350"/>
      <c r="O65" s="350"/>
      <c r="P65" s="352"/>
      <c r="Q65" s="352"/>
      <c r="R65" s="352"/>
      <c r="S65" s="352"/>
      <c r="T65" s="352"/>
      <c r="U65" s="352"/>
      <c r="V65" s="497"/>
      <c r="W65" s="352"/>
      <c r="X65" s="352"/>
      <c r="Y65" s="352">
        <f>IF(NFI_Expiration=1,IF($A65&lt;VLOOKUP(H$5,NFI,5,0),1,0)*Table_NFI[[#This Row],[Hygiene Kit]],Table_NFI[Hygiene Kit])</f>
        <v>0</v>
      </c>
      <c r="Z65" s="352">
        <f>IF(NFI_Expiration=1,IF($A65&lt;VLOOKUP(I$5,NFI,5,0),1,0)*Table_NFI[[#This Row],[NFI Core Kit]],Table_NFI[NFI Core Kit])</f>
        <v>0</v>
      </c>
      <c r="AA65" s="352">
        <f>IF(NFI_Expiration=1,IF($A65&lt;VLOOKUP(J$5,NFI,5,0),1,0)*Table_NFI[[#This Row],[Sanitary Kit]],Table_NFI[Sanitary Kit])</f>
        <v>0</v>
      </c>
      <c r="AB65" s="352">
        <f>IF(NFI_Expiration=1,IF($A65&lt;VLOOKUP(K$5,NFI,5,0),1,0)*Table_NFI[[#This Row],[Mosquito net]],Table_NFI[Mosquito net])</f>
        <v>0</v>
      </c>
      <c r="AC65" s="352">
        <f>IF(NFI_Expiration=1,IF($A65&lt;VLOOKUP(L$5,NFI,5,0),1,0)*Table_NFI[[#This Row],[Tarpaulin]],Table_NFI[[#This Row],[Tarpaulin]])</f>
        <v>0</v>
      </c>
      <c r="AD65" s="352">
        <f>IF(NFI_Expiration=1,IF($A65&lt;VLOOKUP(M$5,NFI,5,0),1,0)*Table_NFI[[#This Row],[Blanket]],Table_NFI[[#This Row],[Blanket]])</f>
        <v>0</v>
      </c>
      <c r="AE65" s="352">
        <f>IF(NFI_Expiration=1,IF($A65&lt;VLOOKUP(N$5,NFI,5,0),1,0)*Table_NFI[[#This Row],[Kitchen Set]],Table_NFI[Kitchen Set])</f>
        <v>0</v>
      </c>
      <c r="AF65" s="352">
        <f>IF(NFI_Expiration=1,IF($A65&lt;VLOOKUP(O$5,NFI,5,0),1,0)*Table_NFI[[#This Row],[Clothes Kit]],Table_NFI[Clothes Kit])</f>
        <v>0</v>
      </c>
      <c r="AG65" s="352">
        <f>IF(NFI_Expiration=1,IF($A65&lt;VLOOKUP(P$5,NFI,5,0),1,0)*Table_NFI[[#This Row],[Plastic Bucket]],Table_NFI[Plastic Bucket])</f>
        <v>0</v>
      </c>
      <c r="AH65" s="352">
        <f>IF(NFI_Expiration=1,IF($A65&lt;VLOOKUP(Q$5,NFI,5,0),1,0)*Table_NFI[[#This Row],[Plastic Mat]],Table_NFI[Plastic Mat])*IF(Table_NFI[[#This Row],[Distribution Date]]&gt;"2014-04-01",1,2.5)</f>
        <v>0</v>
      </c>
      <c r="AI65" s="352">
        <f>IF(NFI_Expiration=1,IF($A65&lt;VLOOKUP(R$5,NFI,5,0),1,0)*Table_NFI[[#This Row],[Winter Clothes Adult]],Table_NFI[Winter Clothes Adult])</f>
        <v>0</v>
      </c>
      <c r="AJ65" s="352">
        <f>IF(NFI_Expiration=1,IF($A65&lt;VLOOKUP(S$5,NFI,5,0),1,0)*Table_NFI[[#This Row],[Winter Clothes Children]],Table_NFI[Winter Clothes Children])</f>
        <v>0</v>
      </c>
      <c r="AK65" s="352">
        <f>IF(NFI_Expiration=1,IF($A65&lt;VLOOKUP(T$5,NFI,5,0),1,0)*Table_NFI[[#This Row],[Winter Items Other]],Table_NFI[Winter Items Other])</f>
        <v>0</v>
      </c>
      <c r="AL65" s="352">
        <f>IF(NFI_Expiration=1,IF($A65&lt;VLOOKUP(M$5,NFI,5,0),1,0)*Table_NFI[[#This Row],[Winter Blanket]],Table_NFI[[#This Row],[Winter Blanket]])</f>
        <v>0</v>
      </c>
      <c r="AM65" s="352">
        <f>IF(Table_NFI[[#This Row],[Winter Clothes Adult]]+Table_NFI[[#This Row],[Winter Clothes Children]]+Table_NFI[[#This Row],[Winter Items Other]]+Table_NFI[[#This Row],[Winter Blanket]]&gt;0,1,0)</f>
        <v>0</v>
      </c>
      <c r="AN65" s="392">
        <f>IF(NFI_Expiration=1,IF($A65&lt;VLOOKUP(V$5,NFI,5,0),1,0)*Table_NFI[[#This Row],[Jerry Can]],Table_NFI[Jerry Can])</f>
        <v>0</v>
      </c>
      <c r="AO65" s="540" t="str">
        <f>IFERROR(VLOOKUP(Table_NFI[[#This Row],[Camp Name]],CL,2,0),"")</f>
        <v>MMR001CMP206</v>
      </c>
      <c r="AP65" s="535">
        <f ca="1">IF(Table_NFI[[#This Row],[Pcode]]="","",IF(OFFSET(CampList[Opening Date],MATCH(Table_NFI[[#This Row],[Pcode]],CampList[CP_Pcode],0)-1,0,1,1)&gt;=NFI_Monitor_Date,1,0))</f>
        <v>0</v>
      </c>
      <c r="AQ65" s="540" t="str">
        <f>IFERROR(VLOOKUP(Table_NFI[[#This Row],[Camp Name]],CL,3,0),"")</f>
        <v>Open</v>
      </c>
      <c r="AR65" s="352" t="str">
        <f ca="1">IF(Table_NFI[[#This Row],[Pcode]]="","",OFFSET(CampList[Priority],MATCH(Table_NFI[[#This Row],[Pcode]],CampList[CP_Pcode],0)-1,0,1,1))</f>
        <v>P4</v>
      </c>
      <c r="AS65" s="351">
        <f>IFERROR(Table_NFI[[#This Row],[Kitchen Set]]/VLOOKUP(Table_NFI[[#This Row],[Camp Name]],CL,4,0),"")</f>
        <v>0</v>
      </c>
      <c r="AT65" s="533" t="s">
        <v>1094</v>
      </c>
      <c r="AU65" s="541" t="s">
        <v>1327</v>
      </c>
    </row>
    <row r="66" spans="1:47" s="537" customFormat="1" ht="14.45" customHeight="1" x14ac:dyDescent="0.25">
      <c r="A66" s="355">
        <f t="shared" si="0"/>
        <v>13.733333333333333</v>
      </c>
      <c r="B66" s="532">
        <v>42159</v>
      </c>
      <c r="C66" s="534" t="s">
        <v>453</v>
      </c>
      <c r="D66" s="534" t="s">
        <v>461</v>
      </c>
      <c r="E66" s="533" t="s">
        <v>380</v>
      </c>
      <c r="F66" s="348" t="s">
        <v>5</v>
      </c>
      <c r="G66" s="348" t="s">
        <v>1347</v>
      </c>
      <c r="H66" s="349"/>
      <c r="I66" s="349"/>
      <c r="J66" s="349"/>
      <c r="K66" s="349"/>
      <c r="L66" s="350">
        <v>37</v>
      </c>
      <c r="M66" s="350"/>
      <c r="N66" s="350"/>
      <c r="O66" s="350"/>
      <c r="P66" s="352"/>
      <c r="Q66" s="352"/>
      <c r="R66" s="352"/>
      <c r="S66" s="352"/>
      <c r="T66" s="352"/>
      <c r="U66" s="352"/>
      <c r="V66" s="497"/>
      <c r="W66" s="352"/>
      <c r="X66" s="352"/>
      <c r="Y66" s="352">
        <f>IF(NFI_Expiration=1,IF($A66&lt;VLOOKUP(H$5,NFI,5,0),1,0)*Table_NFI[[#This Row],[Hygiene Kit]],Table_NFI[Hygiene Kit])</f>
        <v>0</v>
      </c>
      <c r="Z66" s="352">
        <f>IF(NFI_Expiration=1,IF($A66&lt;VLOOKUP(I$5,NFI,5,0),1,0)*Table_NFI[[#This Row],[NFI Core Kit]],Table_NFI[NFI Core Kit])</f>
        <v>0</v>
      </c>
      <c r="AA66" s="352">
        <f>IF(NFI_Expiration=1,IF($A66&lt;VLOOKUP(J$5,NFI,5,0),1,0)*Table_NFI[[#This Row],[Sanitary Kit]],Table_NFI[Sanitary Kit])</f>
        <v>0</v>
      </c>
      <c r="AB66" s="352">
        <f>IF(NFI_Expiration=1,IF($A66&lt;VLOOKUP(K$5,NFI,5,0),1,0)*Table_NFI[[#This Row],[Mosquito net]],Table_NFI[Mosquito net])</f>
        <v>0</v>
      </c>
      <c r="AC66" s="352">
        <f>IF(NFI_Expiration=1,IF($A66&lt;VLOOKUP(L$5,NFI,5,0),1,0)*Table_NFI[[#This Row],[Tarpaulin]],Table_NFI[[#This Row],[Tarpaulin]])</f>
        <v>0</v>
      </c>
      <c r="AD66" s="352">
        <f>IF(NFI_Expiration=1,IF($A66&lt;VLOOKUP(M$5,NFI,5,0),1,0)*Table_NFI[[#This Row],[Blanket]],Table_NFI[[#This Row],[Blanket]])</f>
        <v>0</v>
      </c>
      <c r="AE66" s="352">
        <f>IF(NFI_Expiration=1,IF($A66&lt;VLOOKUP(N$5,NFI,5,0),1,0)*Table_NFI[[#This Row],[Kitchen Set]],Table_NFI[Kitchen Set])</f>
        <v>0</v>
      </c>
      <c r="AF66" s="352">
        <f>IF(NFI_Expiration=1,IF($A66&lt;VLOOKUP(O$5,NFI,5,0),1,0)*Table_NFI[[#This Row],[Clothes Kit]],Table_NFI[Clothes Kit])</f>
        <v>0</v>
      </c>
      <c r="AG66" s="352">
        <f>IF(NFI_Expiration=1,IF($A66&lt;VLOOKUP(P$5,NFI,5,0),1,0)*Table_NFI[[#This Row],[Plastic Bucket]],Table_NFI[Plastic Bucket])</f>
        <v>0</v>
      </c>
      <c r="AH66" s="352">
        <f>IF(NFI_Expiration=1,IF($A66&lt;VLOOKUP(Q$5,NFI,5,0),1,0)*Table_NFI[[#This Row],[Plastic Mat]],Table_NFI[Plastic Mat])*IF(Table_NFI[[#This Row],[Distribution Date]]&gt;"2014-04-01",1,2.5)</f>
        <v>0</v>
      </c>
      <c r="AI66" s="352">
        <f>IF(NFI_Expiration=1,IF($A66&lt;VLOOKUP(R$5,NFI,5,0),1,0)*Table_NFI[[#This Row],[Winter Clothes Adult]],Table_NFI[Winter Clothes Adult])</f>
        <v>0</v>
      </c>
      <c r="AJ66" s="352">
        <f>IF(NFI_Expiration=1,IF($A66&lt;VLOOKUP(S$5,NFI,5,0),1,0)*Table_NFI[[#This Row],[Winter Clothes Children]],Table_NFI[Winter Clothes Children])</f>
        <v>0</v>
      </c>
      <c r="AK66" s="352">
        <f>IF(NFI_Expiration=1,IF($A66&lt;VLOOKUP(T$5,NFI,5,0),1,0)*Table_NFI[[#This Row],[Winter Items Other]],Table_NFI[Winter Items Other])</f>
        <v>0</v>
      </c>
      <c r="AL66" s="352">
        <f>IF(NFI_Expiration=1,IF($A66&lt;VLOOKUP(M$5,NFI,5,0),1,0)*Table_NFI[[#This Row],[Winter Blanket]],Table_NFI[[#This Row],[Winter Blanket]])</f>
        <v>0</v>
      </c>
      <c r="AM66" s="352">
        <f>IF(Table_NFI[[#This Row],[Winter Clothes Adult]]+Table_NFI[[#This Row],[Winter Clothes Children]]+Table_NFI[[#This Row],[Winter Items Other]]+Table_NFI[[#This Row],[Winter Blanket]]&gt;0,1,0)</f>
        <v>0</v>
      </c>
      <c r="AN66" s="392">
        <f>IF(NFI_Expiration=1,IF($A66&lt;VLOOKUP(V$5,NFI,5,0),1,0)*Table_NFI[[#This Row],[Jerry Can]],Table_NFI[Jerry Can])</f>
        <v>0</v>
      </c>
      <c r="AO66" s="540" t="str">
        <f>IFERROR(VLOOKUP(Table_NFI[[#This Row],[Camp Name]],CL,2,0),"")</f>
        <v/>
      </c>
      <c r="AP66" s="535" t="str">
        <f ca="1">IF(Table_NFI[[#This Row],[Pcode]]="","",IF(OFFSET(CampList[Opening Date],MATCH(Table_NFI[[#This Row],[Pcode]],CampList[CP_Pcode],0)-1,0,1,1)&gt;=NFI_Monitor_Date,1,0))</f>
        <v/>
      </c>
      <c r="AQ66" s="540" t="str">
        <f>IFERROR(VLOOKUP(Table_NFI[[#This Row],[Camp Name]],CL,3,0),"")</f>
        <v/>
      </c>
      <c r="AR66" s="352" t="str">
        <f ca="1">IF(Table_NFI[[#This Row],[Pcode]]="","",OFFSET(CampList[Priority],MATCH(Table_NFI[[#This Row],[Pcode]],CampList[CP_Pcode],0)-1,0,1,1))</f>
        <v/>
      </c>
      <c r="AS66" s="351" t="str">
        <f>IFERROR(Table_NFI[[#This Row],[Kitchen Set]]/VLOOKUP(Table_NFI[[#This Row],[Camp Name]],CL,4,0),"")</f>
        <v/>
      </c>
      <c r="AT66" s="533" t="s">
        <v>1094</v>
      </c>
      <c r="AU66" s="536"/>
    </row>
    <row r="67" spans="1:47" s="537" customFormat="1" ht="15" customHeight="1" x14ac:dyDescent="0.25">
      <c r="A67" s="355">
        <f t="shared" si="0"/>
        <v>13.733333333333333</v>
      </c>
      <c r="B67" s="532">
        <v>42159</v>
      </c>
      <c r="C67" s="533" t="s">
        <v>453</v>
      </c>
      <c r="D67" s="533" t="s">
        <v>461</v>
      </c>
      <c r="E67" s="533" t="s">
        <v>380</v>
      </c>
      <c r="F67" s="533" t="s">
        <v>185</v>
      </c>
      <c r="G67" s="533" t="s">
        <v>190</v>
      </c>
      <c r="H67" s="349"/>
      <c r="I67" s="352"/>
      <c r="J67" s="352"/>
      <c r="K67" s="352"/>
      <c r="L67" s="350">
        <v>88</v>
      </c>
      <c r="M67" s="350">
        <v>27</v>
      </c>
      <c r="N67" s="350">
        <v>9</v>
      </c>
      <c r="O67" s="350"/>
      <c r="P67" s="352">
        <v>9</v>
      </c>
      <c r="Q67" s="352">
        <v>48</v>
      </c>
      <c r="R67" s="352"/>
      <c r="S67" s="352"/>
      <c r="T67" s="352"/>
      <c r="U67" s="352"/>
      <c r="V67" s="497">
        <v>9</v>
      </c>
      <c r="W67" s="352"/>
      <c r="X67" s="352"/>
      <c r="Y67" s="352">
        <f>IF(NFI_Expiration=1,IF($A67&lt;VLOOKUP(H$5,NFI,5,0),1,0)*Table_NFI[[#This Row],[Hygiene Kit]],Table_NFI[Hygiene Kit])</f>
        <v>0</v>
      </c>
      <c r="Z67" s="352">
        <f>IF(NFI_Expiration=1,IF($A67&lt;VLOOKUP(I$5,NFI,5,0),1,0)*Table_NFI[[#This Row],[NFI Core Kit]],Table_NFI[NFI Core Kit])</f>
        <v>0</v>
      </c>
      <c r="AA67" s="352">
        <f>IF(NFI_Expiration=1,IF($A67&lt;VLOOKUP(J$5,NFI,5,0),1,0)*Table_NFI[[#This Row],[Sanitary Kit]],Table_NFI[Sanitary Kit])</f>
        <v>0</v>
      </c>
      <c r="AB67" s="352">
        <f>IF(NFI_Expiration=1,IF($A67&lt;VLOOKUP(K$5,NFI,5,0),1,0)*Table_NFI[[#This Row],[Mosquito net]],Table_NFI[Mosquito net])</f>
        <v>0</v>
      </c>
      <c r="AC67" s="352">
        <f>IF(NFI_Expiration=1,IF($A67&lt;VLOOKUP(L$5,NFI,5,0),1,0)*Table_NFI[[#This Row],[Tarpaulin]],Table_NFI[[#This Row],[Tarpaulin]])</f>
        <v>0</v>
      </c>
      <c r="AD67" s="352">
        <f>IF(NFI_Expiration=1,IF($A67&lt;VLOOKUP(M$5,NFI,5,0),1,0)*Table_NFI[[#This Row],[Blanket]],Table_NFI[[#This Row],[Blanket]])</f>
        <v>0</v>
      </c>
      <c r="AE67" s="352">
        <f>IF(NFI_Expiration=1,IF($A67&lt;VLOOKUP(N$5,NFI,5,0),1,0)*Table_NFI[[#This Row],[Kitchen Set]],Table_NFI[Kitchen Set])</f>
        <v>0</v>
      </c>
      <c r="AF67" s="352">
        <f>IF(NFI_Expiration=1,IF($A67&lt;VLOOKUP(O$5,NFI,5,0),1,0)*Table_NFI[[#This Row],[Clothes Kit]],Table_NFI[Clothes Kit])</f>
        <v>0</v>
      </c>
      <c r="AG67" s="352">
        <f>IF(NFI_Expiration=1,IF($A67&lt;VLOOKUP(P$5,NFI,5,0),1,0)*Table_NFI[[#This Row],[Plastic Bucket]],Table_NFI[Plastic Bucket])</f>
        <v>0</v>
      </c>
      <c r="AH67" s="352">
        <f>IF(NFI_Expiration=1,IF($A67&lt;VLOOKUP(Q$5,NFI,5,0),1,0)*Table_NFI[[#This Row],[Plastic Mat]],Table_NFI[Plastic Mat])*IF(Table_NFI[[#This Row],[Distribution Date]]&gt;"2014-04-01",1,2.5)</f>
        <v>0</v>
      </c>
      <c r="AI67" s="352">
        <f>IF(NFI_Expiration=1,IF($A67&lt;VLOOKUP(R$5,NFI,5,0),1,0)*Table_NFI[[#This Row],[Winter Clothes Adult]],Table_NFI[Winter Clothes Adult])</f>
        <v>0</v>
      </c>
      <c r="AJ67" s="352">
        <f>IF(NFI_Expiration=1,IF($A67&lt;VLOOKUP(S$5,NFI,5,0),1,0)*Table_NFI[[#This Row],[Winter Clothes Children]],Table_NFI[Winter Clothes Children])</f>
        <v>0</v>
      </c>
      <c r="AK67" s="352">
        <f>IF(NFI_Expiration=1,IF($A67&lt;VLOOKUP(T$5,NFI,5,0),1,0)*Table_NFI[[#This Row],[Winter Items Other]],Table_NFI[Winter Items Other])</f>
        <v>0</v>
      </c>
      <c r="AL67" s="352">
        <f>IF(NFI_Expiration=1,IF($A67&lt;VLOOKUP(M$5,NFI,5,0),1,0)*Table_NFI[[#This Row],[Winter Blanket]],Table_NFI[[#This Row],[Winter Blanket]])</f>
        <v>0</v>
      </c>
      <c r="AM67" s="352">
        <f>IF(Table_NFI[[#This Row],[Winter Clothes Adult]]+Table_NFI[[#This Row],[Winter Clothes Children]]+Table_NFI[[#This Row],[Winter Items Other]]+Table_NFI[[#This Row],[Winter Blanket]]&gt;0,1,0)</f>
        <v>0</v>
      </c>
      <c r="AN67" s="392">
        <f>IF(NFI_Expiration=1,IF($A67&lt;VLOOKUP(V$5,NFI,5,0),1,0)*Table_NFI[[#This Row],[Jerry Can]],Table_NFI[Jerry Can])</f>
        <v>0</v>
      </c>
      <c r="AO67" s="540" t="str">
        <f>IFERROR(VLOOKUP(Table_NFI[[#This Row],[Camp Name]],CL,2,0),"")</f>
        <v>MMR001CMP070</v>
      </c>
      <c r="AP67" s="535">
        <f ca="1">IF(Table_NFI[[#This Row],[Pcode]]="","",IF(OFFSET(CampList[Opening Date],MATCH(Table_NFI[[#This Row],[Pcode]],CampList[CP_Pcode],0)-1,0,1,1)&gt;=NFI_Monitor_Date,1,0))</f>
        <v>0</v>
      </c>
      <c r="AQ67" s="540" t="str">
        <f>IFERROR(VLOOKUP(Table_NFI[[#This Row],[Camp Name]],CL,3,0),"")</f>
        <v>Open</v>
      </c>
      <c r="AR67" s="352" t="str">
        <f ca="1">IF(Table_NFI[[#This Row],[Pcode]]="","",OFFSET(CampList[Priority],MATCH(Table_NFI[[#This Row],[Pcode]],CampList[CP_Pcode],0)-1,0,1,1))</f>
        <v>P3</v>
      </c>
      <c r="AS67" s="351">
        <f>IFERROR(Table_NFI[[#This Row],[Kitchen Set]]/VLOOKUP(Table_NFI[[#This Row],[Camp Name]],CL,4,0),"")</f>
        <v>4.736842105263158E-2</v>
      </c>
      <c r="AT67" s="533" t="s">
        <v>1094</v>
      </c>
      <c r="AU67" s="557"/>
    </row>
    <row r="68" spans="1:47" s="129" customFormat="1" hidden="1" x14ac:dyDescent="0.25">
      <c r="A68" s="355">
        <f t="shared" si="0"/>
        <v>32.866666666666667</v>
      </c>
      <c r="B68" s="532">
        <v>41585</v>
      </c>
      <c r="C68" s="533" t="s">
        <v>907</v>
      </c>
      <c r="D68" s="533" t="s">
        <v>907</v>
      </c>
      <c r="E68" s="533" t="s">
        <v>380</v>
      </c>
      <c r="F68" s="533" t="s">
        <v>5</v>
      </c>
      <c r="G68" s="533" t="s">
        <v>513</v>
      </c>
      <c r="H68" s="349"/>
      <c r="I68" s="349"/>
      <c r="J68" s="349"/>
      <c r="K68" s="349"/>
      <c r="L68" s="350"/>
      <c r="M68" s="350"/>
      <c r="N68" s="350"/>
      <c r="O68" s="350"/>
      <c r="P68" s="352"/>
      <c r="Q68" s="352"/>
      <c r="R68" s="352">
        <v>25</v>
      </c>
      <c r="S68" s="352">
        <v>73</v>
      </c>
      <c r="T68" s="352">
        <v>196</v>
      </c>
      <c r="U68" s="352">
        <v>98</v>
      </c>
      <c r="V68" s="497"/>
      <c r="W68" s="352"/>
      <c r="X68" s="352"/>
      <c r="Y68" s="352">
        <f>IF(NFI_Expiration=1,IF($A68&lt;VLOOKUP(H$5,NFI,5,0),1,0)*Table_NFI[[#This Row],[Hygiene Kit]],Table_NFI[Hygiene Kit])</f>
        <v>0</v>
      </c>
      <c r="Z68" s="352">
        <f>IF(NFI_Expiration=1,IF($A68&lt;VLOOKUP(I$5,NFI,5,0),1,0)*Table_NFI[[#This Row],[NFI Core Kit]],Table_NFI[NFI Core Kit])</f>
        <v>0</v>
      </c>
      <c r="AA68" s="352">
        <f>IF(NFI_Expiration=1,IF($A68&lt;VLOOKUP(J$5,NFI,5,0),1,0)*Table_NFI[[#This Row],[Sanitary Kit]],Table_NFI[Sanitary Kit])</f>
        <v>0</v>
      </c>
      <c r="AB68" s="352">
        <f>IF(NFI_Expiration=1,IF($A68&lt;VLOOKUP(K$5,NFI,5,0),1,0)*Table_NFI[[#This Row],[Mosquito net]],Table_NFI[Mosquito net])</f>
        <v>0</v>
      </c>
      <c r="AC68" s="352">
        <f>IF(NFI_Expiration=1,IF($A68&lt;VLOOKUP(L$5,NFI,5,0),1,0)*Table_NFI[[#This Row],[Tarpaulin]],Table_NFI[[#This Row],[Tarpaulin]])</f>
        <v>0</v>
      </c>
      <c r="AD68" s="352">
        <f>IF(NFI_Expiration=1,IF($A68&lt;VLOOKUP(M$5,NFI,5,0),1,0)*Table_NFI[[#This Row],[Blanket]],Table_NFI[[#This Row],[Blanket]])</f>
        <v>0</v>
      </c>
      <c r="AE68" s="352">
        <f>IF(NFI_Expiration=1,IF($A68&lt;VLOOKUP(N$5,NFI,5,0),1,0)*Table_NFI[[#This Row],[Kitchen Set]],Table_NFI[Kitchen Set])</f>
        <v>0</v>
      </c>
      <c r="AF68" s="352">
        <f>IF(NFI_Expiration=1,IF($A68&lt;VLOOKUP(O$5,NFI,5,0),1,0)*Table_NFI[[#This Row],[Clothes Kit]],Table_NFI[Clothes Kit])</f>
        <v>0</v>
      </c>
      <c r="AG68" s="352">
        <f>IF(NFI_Expiration=1,IF($A68&lt;VLOOKUP(P$5,NFI,5,0),1,0)*Table_NFI[[#This Row],[Plastic Bucket]],Table_NFI[Plastic Bucket])</f>
        <v>0</v>
      </c>
      <c r="AH68" s="352">
        <f>IF(NFI_Expiration=1,IF($A68&lt;VLOOKUP(Q$5,NFI,5,0),1,0)*Table_NFI[[#This Row],[Plastic Mat]],Table_NFI[Plastic Mat])*IF(Table_NFI[[#This Row],[Distribution Date]]&gt;"2014-04-01",1,2.5)</f>
        <v>0</v>
      </c>
      <c r="AI68" s="352">
        <f>IF(NFI_Expiration=1,IF($A68&lt;VLOOKUP(R$5,NFI,5,0),1,0)*Table_NFI[[#This Row],[Winter Clothes Adult]],Table_NFI[Winter Clothes Adult])</f>
        <v>0</v>
      </c>
      <c r="AJ68" s="352">
        <f>IF(NFI_Expiration=1,IF($A68&lt;VLOOKUP(S$5,NFI,5,0),1,0)*Table_NFI[[#This Row],[Winter Clothes Children]],Table_NFI[Winter Clothes Children])</f>
        <v>0</v>
      </c>
      <c r="AK68" s="352">
        <f>IF(NFI_Expiration=1,IF($A68&lt;VLOOKUP(T$5,NFI,5,0),1,0)*Table_NFI[[#This Row],[Winter Items Other]],Table_NFI[Winter Items Other])</f>
        <v>0</v>
      </c>
      <c r="AL68" s="352">
        <f>IF(NFI_Expiration=1,IF($A68&lt;VLOOKUP(M$5,NFI,5,0),1,0)*Table_NFI[[#This Row],[Winter Blanket]],Table_NFI[[#This Row],[Winter Blanket]])</f>
        <v>0</v>
      </c>
      <c r="AM68" s="352">
        <f>IF(Table_NFI[[#This Row],[Winter Clothes Adult]]+Table_NFI[[#This Row],[Winter Clothes Children]]+Table_NFI[[#This Row],[Winter Items Other]]+Table_NFI[[#This Row],[Winter Blanket]]&gt;0,1,0)</f>
        <v>1</v>
      </c>
      <c r="AN68" s="392">
        <f>IF(NFI_Expiration=1,IF($A68&lt;VLOOKUP(V$5,NFI,5,0),1,0)*Table_NFI[[#This Row],[Jerry Can]],Table_NFI[Jerry Can])</f>
        <v>0</v>
      </c>
      <c r="AO68" s="540" t="str">
        <f>IFERROR(VLOOKUP(Table_NFI[[#This Row],[Camp Name]],CL,2,0),"")</f>
        <v>MMR001CMP194</v>
      </c>
      <c r="AP68" s="535">
        <f ca="1">IF(Table_NFI[[#This Row],[Pcode]]="","",IF(OFFSET(CampList[Opening Date],MATCH(Table_NFI[[#This Row],[Pcode]],CampList[CP_Pcode],0)-1,0,1,1)&gt;=NFI_Monitor_Date,1,0))</f>
        <v>0</v>
      </c>
      <c r="AQ68" s="540" t="s">
        <v>844</v>
      </c>
      <c r="AR68" s="352" t="str">
        <f ca="1">IF(Table_NFI[[#This Row],[Pcode]]="","",OFFSET(CampList[Priority],MATCH(Table_NFI[[#This Row],[Pcode]],CampList[CP_Pcode],0)-1,0,1,1))</f>
        <v>P4</v>
      </c>
      <c r="AS68" s="351">
        <f>IFERROR(Table_NFI[[#This Row],[Kitchen Set]]/VLOOKUP(Table_NFI[[#This Row],[Camp Name]],CL,4,0),"")</f>
        <v>0</v>
      </c>
      <c r="AT68" s="533"/>
      <c r="AU68" s="536"/>
    </row>
    <row r="69" spans="1:47" s="537" customFormat="1" ht="14.45" customHeight="1" x14ac:dyDescent="0.25">
      <c r="A69" s="355">
        <f t="shared" si="0"/>
        <v>13.733333333333333</v>
      </c>
      <c r="B69" s="532">
        <v>42159</v>
      </c>
      <c r="C69" s="533" t="s">
        <v>453</v>
      </c>
      <c r="D69" s="533" t="s">
        <v>461</v>
      </c>
      <c r="E69" s="533" t="s">
        <v>380</v>
      </c>
      <c r="F69" s="533" t="s">
        <v>185</v>
      </c>
      <c r="G69" s="533" t="s">
        <v>1352</v>
      </c>
      <c r="H69" s="349"/>
      <c r="I69" s="352"/>
      <c r="J69" s="349"/>
      <c r="K69" s="352">
        <v>18</v>
      </c>
      <c r="L69" s="350">
        <v>35</v>
      </c>
      <c r="M69" s="350"/>
      <c r="N69" s="350"/>
      <c r="O69" s="350"/>
      <c r="P69" s="352"/>
      <c r="Q69" s="352"/>
      <c r="R69" s="352"/>
      <c r="S69" s="352"/>
      <c r="T69" s="352"/>
      <c r="U69" s="352"/>
      <c r="V69" s="497"/>
      <c r="W69" s="352"/>
      <c r="X69" s="352">
        <v>8</v>
      </c>
      <c r="Y69" s="352">
        <f>IF(NFI_Expiration=1,IF($A69&lt;VLOOKUP(H$5,NFI,5,0),1,0)*Table_NFI[[#This Row],[Hygiene Kit]],Table_NFI[Hygiene Kit])</f>
        <v>0</v>
      </c>
      <c r="Z69" s="352">
        <f>IF(NFI_Expiration=1,IF($A69&lt;VLOOKUP(I$5,NFI,5,0),1,0)*Table_NFI[[#This Row],[NFI Core Kit]],Table_NFI[NFI Core Kit])</f>
        <v>0</v>
      </c>
      <c r="AA69" s="352">
        <f>IF(NFI_Expiration=1,IF($A69&lt;VLOOKUP(J$5,NFI,5,0),1,0)*Table_NFI[[#This Row],[Sanitary Kit]],Table_NFI[Sanitary Kit])</f>
        <v>0</v>
      </c>
      <c r="AB69" s="352">
        <f>IF(NFI_Expiration=1,IF($A69&lt;VLOOKUP(K$5,NFI,5,0),1,0)*Table_NFI[[#This Row],[Mosquito net]],Table_NFI[Mosquito net])</f>
        <v>0</v>
      </c>
      <c r="AC69" s="352">
        <f>IF(NFI_Expiration=1,IF($A69&lt;VLOOKUP(L$5,NFI,5,0),1,0)*Table_NFI[[#This Row],[Tarpaulin]],Table_NFI[[#This Row],[Tarpaulin]])</f>
        <v>0</v>
      </c>
      <c r="AD69" s="352">
        <f>IF(NFI_Expiration=1,IF($A69&lt;VLOOKUP(M$5,NFI,5,0),1,0)*Table_NFI[[#This Row],[Blanket]],Table_NFI[[#This Row],[Blanket]])</f>
        <v>0</v>
      </c>
      <c r="AE69" s="352">
        <f>IF(NFI_Expiration=1,IF($A69&lt;VLOOKUP(N$5,NFI,5,0),1,0)*Table_NFI[[#This Row],[Kitchen Set]],Table_NFI[Kitchen Set])</f>
        <v>0</v>
      </c>
      <c r="AF69" s="352">
        <f>IF(NFI_Expiration=1,IF($A69&lt;VLOOKUP(O$5,NFI,5,0),1,0)*Table_NFI[[#This Row],[Clothes Kit]],Table_NFI[Clothes Kit])</f>
        <v>0</v>
      </c>
      <c r="AG69" s="352">
        <f>IF(NFI_Expiration=1,IF($A69&lt;VLOOKUP(P$5,NFI,5,0),1,0)*Table_NFI[[#This Row],[Plastic Bucket]],Table_NFI[Plastic Bucket])</f>
        <v>0</v>
      </c>
      <c r="AH69" s="352">
        <f>IF(NFI_Expiration=1,IF($A69&lt;VLOOKUP(Q$5,NFI,5,0),1,0)*Table_NFI[[#This Row],[Plastic Mat]],Table_NFI[Plastic Mat])*IF(Table_NFI[[#This Row],[Distribution Date]]&gt;"2014-04-01",1,2.5)</f>
        <v>0</v>
      </c>
      <c r="AI69" s="352">
        <f>IF(NFI_Expiration=1,IF($A69&lt;VLOOKUP(R$5,NFI,5,0),1,0)*Table_NFI[[#This Row],[Winter Clothes Adult]],Table_NFI[Winter Clothes Adult])</f>
        <v>0</v>
      </c>
      <c r="AJ69" s="352">
        <f>IF(NFI_Expiration=1,IF($A69&lt;VLOOKUP(S$5,NFI,5,0),1,0)*Table_NFI[[#This Row],[Winter Clothes Children]],Table_NFI[Winter Clothes Children])</f>
        <v>0</v>
      </c>
      <c r="AK69" s="352">
        <f>IF(NFI_Expiration=1,IF($A69&lt;VLOOKUP(T$5,NFI,5,0),1,0)*Table_NFI[[#This Row],[Winter Items Other]],Table_NFI[Winter Items Other])</f>
        <v>0</v>
      </c>
      <c r="AL69" s="352">
        <f>IF(NFI_Expiration=1,IF($A69&lt;VLOOKUP(M$5,NFI,5,0),1,0)*Table_NFI[[#This Row],[Winter Blanket]],Table_NFI[[#This Row],[Winter Blanket]])</f>
        <v>0</v>
      </c>
      <c r="AM69" s="352">
        <f>IF(Table_NFI[[#This Row],[Winter Clothes Adult]]+Table_NFI[[#This Row],[Winter Clothes Children]]+Table_NFI[[#This Row],[Winter Items Other]]+Table_NFI[[#This Row],[Winter Blanket]]&gt;0,1,0)</f>
        <v>0</v>
      </c>
      <c r="AN69" s="392">
        <f>IF(NFI_Expiration=1,IF($A69&lt;VLOOKUP(V$5,NFI,5,0),1,0)*Table_NFI[[#This Row],[Jerry Can]],Table_NFI[Jerry Can])</f>
        <v>0</v>
      </c>
      <c r="AO69" s="540" t="str">
        <f>IFERROR(VLOOKUP(Table_NFI[[#This Row],[Camp Name]],CL,2,0),"")</f>
        <v/>
      </c>
      <c r="AP69" s="535" t="str">
        <f ca="1">IF(Table_NFI[[#This Row],[Pcode]]="","",IF(OFFSET(CampList[Opening Date],MATCH(Table_NFI[[#This Row],[Pcode]],CampList[CP_Pcode],0)-1,0,1,1)&gt;=NFI_Monitor_Date,1,0))</f>
        <v/>
      </c>
      <c r="AQ69" s="540" t="str">
        <f>IFERROR(VLOOKUP(Table_NFI[[#This Row],[Camp Name]],CL,3,0),"")</f>
        <v/>
      </c>
      <c r="AR69" s="352" t="str">
        <f ca="1">IF(Table_NFI[[#This Row],[Pcode]]="","",OFFSET(CampList[Priority],MATCH(Table_NFI[[#This Row],[Pcode]],CampList[CP_Pcode],0)-1,0,1,1))</f>
        <v/>
      </c>
      <c r="AS69" s="351" t="str">
        <f>IFERROR(Table_NFI[[#This Row],[Kitchen Set]]/VLOOKUP(Table_NFI[[#This Row],[Camp Name]],CL,4,0),"")</f>
        <v/>
      </c>
      <c r="AT69" s="533" t="s">
        <v>1094</v>
      </c>
      <c r="AU69" s="536"/>
    </row>
    <row r="70" spans="1:47" s="537" customFormat="1" ht="14.45" customHeight="1" x14ac:dyDescent="0.25">
      <c r="A70" s="355">
        <f t="shared" ref="A70:A133" si="1">IF(ISBLANK(B70),"",(Report_Date-B70)/30)</f>
        <v>13.733333333333333</v>
      </c>
      <c r="B70" s="532">
        <v>42159</v>
      </c>
      <c r="C70" s="533" t="s">
        <v>453</v>
      </c>
      <c r="D70" s="533" t="s">
        <v>461</v>
      </c>
      <c r="E70" s="533" t="s">
        <v>380</v>
      </c>
      <c r="F70" s="533" t="s">
        <v>185</v>
      </c>
      <c r="G70" s="348" t="s">
        <v>209</v>
      </c>
      <c r="H70" s="349"/>
      <c r="I70" s="349"/>
      <c r="J70" s="349"/>
      <c r="K70" s="352"/>
      <c r="L70" s="350">
        <v>80</v>
      </c>
      <c r="M70" s="350"/>
      <c r="N70" s="350"/>
      <c r="O70" s="350"/>
      <c r="P70" s="352"/>
      <c r="Q70" s="352"/>
      <c r="R70" s="352"/>
      <c r="S70" s="352"/>
      <c r="T70" s="352"/>
      <c r="U70" s="352"/>
      <c r="V70" s="497"/>
      <c r="W70" s="352"/>
      <c r="X70" s="352"/>
      <c r="Y70" s="352">
        <f>IF(NFI_Expiration=1,IF($A70&lt;VLOOKUP(H$5,NFI,5,0),1,0)*Table_NFI[[#This Row],[Hygiene Kit]],Table_NFI[Hygiene Kit])</f>
        <v>0</v>
      </c>
      <c r="Z70" s="352">
        <f>IF(NFI_Expiration=1,IF($A70&lt;VLOOKUP(I$5,NFI,5,0),1,0)*Table_NFI[[#This Row],[NFI Core Kit]],Table_NFI[NFI Core Kit])</f>
        <v>0</v>
      </c>
      <c r="AA70" s="352">
        <f>IF(NFI_Expiration=1,IF($A70&lt;VLOOKUP(J$5,NFI,5,0),1,0)*Table_NFI[[#This Row],[Sanitary Kit]],Table_NFI[Sanitary Kit])</f>
        <v>0</v>
      </c>
      <c r="AB70" s="352">
        <f>IF(NFI_Expiration=1,IF($A70&lt;VLOOKUP(K$5,NFI,5,0),1,0)*Table_NFI[[#This Row],[Mosquito net]],Table_NFI[Mosquito net])</f>
        <v>0</v>
      </c>
      <c r="AC70" s="352">
        <f>IF(NFI_Expiration=1,IF($A70&lt;VLOOKUP(L$5,NFI,5,0),1,0)*Table_NFI[[#This Row],[Tarpaulin]],Table_NFI[[#This Row],[Tarpaulin]])</f>
        <v>0</v>
      </c>
      <c r="AD70" s="352">
        <f>IF(NFI_Expiration=1,IF($A70&lt;VLOOKUP(M$5,NFI,5,0),1,0)*Table_NFI[[#This Row],[Blanket]],Table_NFI[[#This Row],[Blanket]])</f>
        <v>0</v>
      </c>
      <c r="AE70" s="352">
        <f>IF(NFI_Expiration=1,IF($A70&lt;VLOOKUP(N$5,NFI,5,0),1,0)*Table_NFI[[#This Row],[Kitchen Set]],Table_NFI[Kitchen Set])</f>
        <v>0</v>
      </c>
      <c r="AF70" s="352">
        <f>IF(NFI_Expiration=1,IF($A70&lt;VLOOKUP(O$5,NFI,5,0),1,0)*Table_NFI[[#This Row],[Clothes Kit]],Table_NFI[Clothes Kit])</f>
        <v>0</v>
      </c>
      <c r="AG70" s="352">
        <f>IF(NFI_Expiration=1,IF($A70&lt;VLOOKUP(P$5,NFI,5,0),1,0)*Table_NFI[[#This Row],[Plastic Bucket]],Table_NFI[Plastic Bucket])</f>
        <v>0</v>
      </c>
      <c r="AH70" s="352">
        <f>IF(NFI_Expiration=1,IF($A70&lt;VLOOKUP(Q$5,NFI,5,0),1,0)*Table_NFI[[#This Row],[Plastic Mat]],Table_NFI[Plastic Mat])*IF(Table_NFI[[#This Row],[Distribution Date]]&gt;"2014-04-01",1,2.5)</f>
        <v>0</v>
      </c>
      <c r="AI70" s="352">
        <f>IF(NFI_Expiration=1,IF($A70&lt;VLOOKUP(R$5,NFI,5,0),1,0)*Table_NFI[[#This Row],[Winter Clothes Adult]],Table_NFI[Winter Clothes Adult])</f>
        <v>0</v>
      </c>
      <c r="AJ70" s="352">
        <f>IF(NFI_Expiration=1,IF($A70&lt;VLOOKUP(S$5,NFI,5,0),1,0)*Table_NFI[[#This Row],[Winter Clothes Children]],Table_NFI[Winter Clothes Children])</f>
        <v>0</v>
      </c>
      <c r="AK70" s="352">
        <f>IF(NFI_Expiration=1,IF($A70&lt;VLOOKUP(T$5,NFI,5,0),1,0)*Table_NFI[[#This Row],[Winter Items Other]],Table_NFI[Winter Items Other])</f>
        <v>0</v>
      </c>
      <c r="AL70" s="352">
        <f>IF(NFI_Expiration=1,IF($A70&lt;VLOOKUP(M$5,NFI,5,0),1,0)*Table_NFI[[#This Row],[Winter Blanket]],Table_NFI[[#This Row],[Winter Blanket]])</f>
        <v>0</v>
      </c>
      <c r="AM70" s="352">
        <f>IF(Table_NFI[[#This Row],[Winter Clothes Adult]]+Table_NFI[[#This Row],[Winter Clothes Children]]+Table_NFI[[#This Row],[Winter Items Other]]+Table_NFI[[#This Row],[Winter Blanket]]&gt;0,1,0)</f>
        <v>0</v>
      </c>
      <c r="AN70" s="392">
        <f>IF(NFI_Expiration=1,IF($A70&lt;VLOOKUP(V$5,NFI,5,0),1,0)*Table_NFI[[#This Row],[Jerry Can]],Table_NFI[Jerry Can])</f>
        <v>0</v>
      </c>
      <c r="AO70" s="540" t="str">
        <f>IFERROR(VLOOKUP(Table_NFI[[#This Row],[Camp Name]],CL,2,0),"")</f>
        <v>MMR001CMP056</v>
      </c>
      <c r="AP70" s="535">
        <f ca="1">IF(Table_NFI[[#This Row],[Pcode]]="","",IF(OFFSET(CampList[Opening Date],MATCH(Table_NFI[[#This Row],[Pcode]],CampList[CP_Pcode],0)-1,0,1,1)&gt;=NFI_Monitor_Date,1,0))</f>
        <v>0</v>
      </c>
      <c r="AQ70" s="540" t="str">
        <f>IFERROR(VLOOKUP(Table_NFI[[#This Row],[Camp Name]],CL,3,0),"")</f>
        <v>Open</v>
      </c>
      <c r="AR70" s="352" t="str">
        <f ca="1">IF(Table_NFI[[#This Row],[Pcode]]="","",OFFSET(CampList[Priority],MATCH(Table_NFI[[#This Row],[Pcode]],CampList[CP_Pcode],0)-1,0,1,1))</f>
        <v>P4</v>
      </c>
      <c r="AS70" s="351">
        <f>IFERROR(Table_NFI[[#This Row],[Kitchen Set]]/VLOOKUP(Table_NFI[[#This Row],[Camp Name]],CL,4,0),"")</f>
        <v>0</v>
      </c>
      <c r="AT70" s="533" t="s">
        <v>1094</v>
      </c>
      <c r="AU70" s="536"/>
    </row>
    <row r="71" spans="1:47" s="129" customFormat="1" ht="14.45" customHeight="1" x14ac:dyDescent="0.25">
      <c r="A71" s="355">
        <f t="shared" si="1"/>
        <v>13.766666666666667</v>
      </c>
      <c r="B71" s="532">
        <v>42158</v>
      </c>
      <c r="C71" s="533" t="s">
        <v>453</v>
      </c>
      <c r="D71" s="533" t="s">
        <v>461</v>
      </c>
      <c r="E71" s="533" t="s">
        <v>380</v>
      </c>
      <c r="F71" s="533" t="s">
        <v>151</v>
      </c>
      <c r="G71" s="348" t="s">
        <v>1345</v>
      </c>
      <c r="H71" s="349"/>
      <c r="I71" s="349"/>
      <c r="J71" s="349"/>
      <c r="K71" s="349">
        <v>6</v>
      </c>
      <c r="L71" s="350">
        <v>12</v>
      </c>
      <c r="M71" s="350">
        <v>24</v>
      </c>
      <c r="N71" s="350">
        <v>3</v>
      </c>
      <c r="O71" s="350"/>
      <c r="P71" s="352">
        <v>3</v>
      </c>
      <c r="Q71" s="352">
        <v>9</v>
      </c>
      <c r="R71" s="352"/>
      <c r="S71" s="352"/>
      <c r="T71" s="352"/>
      <c r="U71" s="352"/>
      <c r="V71" s="497">
        <v>3</v>
      </c>
      <c r="W71" s="352"/>
      <c r="X71" s="352"/>
      <c r="Y71" s="352">
        <f>IF(NFI_Expiration=1,IF($A71&lt;VLOOKUP(H$5,NFI,5,0),1,0)*Table_NFI[[#This Row],[Hygiene Kit]],Table_NFI[Hygiene Kit])</f>
        <v>0</v>
      </c>
      <c r="Z71" s="352">
        <f>IF(NFI_Expiration=1,IF($A71&lt;VLOOKUP(I$5,NFI,5,0),1,0)*Table_NFI[[#This Row],[NFI Core Kit]],Table_NFI[NFI Core Kit])</f>
        <v>0</v>
      </c>
      <c r="AA71" s="352">
        <f>IF(NFI_Expiration=1,IF($A71&lt;VLOOKUP(J$5,NFI,5,0),1,0)*Table_NFI[[#This Row],[Sanitary Kit]],Table_NFI[Sanitary Kit])</f>
        <v>0</v>
      </c>
      <c r="AB71" s="352">
        <f>IF(NFI_Expiration=1,IF($A71&lt;VLOOKUP(K$5,NFI,5,0),1,0)*Table_NFI[[#This Row],[Mosquito net]],Table_NFI[Mosquito net])</f>
        <v>0</v>
      </c>
      <c r="AC71" s="352">
        <f>IF(NFI_Expiration=1,IF($A71&lt;VLOOKUP(L$5,NFI,5,0),1,0)*Table_NFI[[#This Row],[Tarpaulin]],Table_NFI[[#This Row],[Tarpaulin]])</f>
        <v>0</v>
      </c>
      <c r="AD71" s="352">
        <f>IF(NFI_Expiration=1,IF($A71&lt;VLOOKUP(M$5,NFI,5,0),1,0)*Table_NFI[[#This Row],[Blanket]],Table_NFI[[#This Row],[Blanket]])</f>
        <v>0</v>
      </c>
      <c r="AE71" s="352">
        <f>IF(NFI_Expiration=1,IF($A71&lt;VLOOKUP(N$5,NFI,5,0),1,0)*Table_NFI[[#This Row],[Kitchen Set]],Table_NFI[Kitchen Set])</f>
        <v>0</v>
      </c>
      <c r="AF71" s="352">
        <f>IF(NFI_Expiration=1,IF($A71&lt;VLOOKUP(O$5,NFI,5,0),1,0)*Table_NFI[[#This Row],[Clothes Kit]],Table_NFI[Clothes Kit])</f>
        <v>0</v>
      </c>
      <c r="AG71" s="352">
        <f>IF(NFI_Expiration=1,IF($A71&lt;VLOOKUP(P$5,NFI,5,0),1,0)*Table_NFI[[#This Row],[Plastic Bucket]],Table_NFI[Plastic Bucket])</f>
        <v>0</v>
      </c>
      <c r="AH71" s="352">
        <f>IF(NFI_Expiration=1,IF($A71&lt;VLOOKUP(Q$5,NFI,5,0),1,0)*Table_NFI[[#This Row],[Plastic Mat]],Table_NFI[Plastic Mat])*IF(Table_NFI[[#This Row],[Distribution Date]]&gt;"2014-04-01",1,2.5)</f>
        <v>0</v>
      </c>
      <c r="AI71" s="352">
        <f>IF(NFI_Expiration=1,IF($A71&lt;VLOOKUP(R$5,NFI,5,0),1,0)*Table_NFI[[#This Row],[Winter Clothes Adult]],Table_NFI[Winter Clothes Adult])</f>
        <v>0</v>
      </c>
      <c r="AJ71" s="352">
        <f>IF(NFI_Expiration=1,IF($A71&lt;VLOOKUP(S$5,NFI,5,0),1,0)*Table_NFI[[#This Row],[Winter Clothes Children]],Table_NFI[Winter Clothes Children])</f>
        <v>0</v>
      </c>
      <c r="AK71" s="352">
        <f>IF(NFI_Expiration=1,IF($A71&lt;VLOOKUP(T$5,NFI,5,0),1,0)*Table_NFI[[#This Row],[Winter Items Other]],Table_NFI[Winter Items Other])</f>
        <v>0</v>
      </c>
      <c r="AL71" s="352">
        <f>IF(NFI_Expiration=1,IF($A71&lt;VLOOKUP(M$5,NFI,5,0),1,0)*Table_NFI[[#This Row],[Winter Blanket]],Table_NFI[[#This Row],[Winter Blanket]])</f>
        <v>0</v>
      </c>
      <c r="AM71" s="352">
        <f>IF(Table_NFI[[#This Row],[Winter Clothes Adult]]+Table_NFI[[#This Row],[Winter Clothes Children]]+Table_NFI[[#This Row],[Winter Items Other]]+Table_NFI[[#This Row],[Winter Blanket]]&gt;0,1,0)</f>
        <v>0</v>
      </c>
      <c r="AN71" s="392">
        <f>IF(NFI_Expiration=1,IF($A71&lt;VLOOKUP(V$5,NFI,5,0),1,0)*Table_NFI[[#This Row],[Jerry Can]],Table_NFI[Jerry Can])</f>
        <v>0</v>
      </c>
      <c r="AO71" s="540" t="str">
        <f>IFERROR(VLOOKUP(Table_NFI[[#This Row],[Camp Name]],CL,2,0),"")</f>
        <v/>
      </c>
      <c r="AP71" s="535" t="str">
        <f ca="1">IF(Table_NFI[[#This Row],[Pcode]]="","",IF(OFFSET(CampList[Opening Date],MATCH(Table_NFI[[#This Row],[Pcode]],CampList[CP_Pcode],0)-1,0,1,1)&gt;=NFI_Monitor_Date,1,0))</f>
        <v/>
      </c>
      <c r="AQ71" s="540" t="str">
        <f>IFERROR(VLOOKUP(Table_NFI[[#This Row],[Camp Name]],CL,3,0),"")</f>
        <v/>
      </c>
      <c r="AR71" s="352" t="str">
        <f ca="1">IF(Table_NFI[[#This Row],[Pcode]]="","",OFFSET(CampList[Priority],MATCH(Table_NFI[[#This Row],[Pcode]],CampList[CP_Pcode],0)-1,0,1,1))</f>
        <v/>
      </c>
      <c r="AS71" s="351" t="str">
        <f>IFERROR(Table_NFI[[#This Row],[Kitchen Set]]/VLOOKUP(Table_NFI[[#This Row],[Camp Name]],CL,4,0),"")</f>
        <v/>
      </c>
      <c r="AT71" s="533" t="s">
        <v>1094</v>
      </c>
      <c r="AU71" s="536"/>
    </row>
    <row r="72" spans="1:47" s="537" customFormat="1" ht="14.45" hidden="1" customHeight="1" x14ac:dyDescent="0.25">
      <c r="A72" s="355">
        <f t="shared" si="1"/>
        <v>43.233333333333334</v>
      </c>
      <c r="B72" s="532">
        <v>41274</v>
      </c>
      <c r="C72" s="533" t="s">
        <v>454</v>
      </c>
      <c r="D72" s="533" t="s">
        <v>454</v>
      </c>
      <c r="E72" s="533" t="s">
        <v>380</v>
      </c>
      <c r="F72" s="348" t="s">
        <v>528</v>
      </c>
      <c r="G72" s="348" t="s">
        <v>50</v>
      </c>
      <c r="H72" s="349">
        <v>16</v>
      </c>
      <c r="I72" s="349"/>
      <c r="J72" s="349"/>
      <c r="K72" s="349"/>
      <c r="L72" s="350"/>
      <c r="M72" s="350"/>
      <c r="N72" s="350"/>
      <c r="O72" s="350"/>
      <c r="P72" s="352">
        <v>0</v>
      </c>
      <c r="Q72" s="352">
        <v>0</v>
      </c>
      <c r="R72" s="352"/>
      <c r="S72" s="352"/>
      <c r="T72" s="352"/>
      <c r="U72" s="352"/>
      <c r="V72" s="497"/>
      <c r="W72" s="352"/>
      <c r="X72" s="352"/>
      <c r="Y72" s="352">
        <f>IF(NFI_Expiration=1,IF($A72&lt;VLOOKUP(H$5,NFI,5,0),1,0)*Table_NFI[[#This Row],[Hygiene Kit]],Table_NFI[Hygiene Kit])</f>
        <v>0</v>
      </c>
      <c r="Z72" s="352">
        <f>IF(NFI_Expiration=1,IF($A72&lt;VLOOKUP(I$5,NFI,5,0),1,0)*Table_NFI[[#This Row],[NFI Core Kit]],Table_NFI[NFI Core Kit])</f>
        <v>0</v>
      </c>
      <c r="AA72" s="352">
        <f>IF(NFI_Expiration=1,IF($A72&lt;VLOOKUP(J$5,NFI,5,0),1,0)*Table_NFI[[#This Row],[Sanitary Kit]],Table_NFI[Sanitary Kit])</f>
        <v>0</v>
      </c>
      <c r="AB72" s="352">
        <f>IF(NFI_Expiration=1,IF($A72&lt;VLOOKUP(K$5,NFI,5,0),1,0)*Table_NFI[[#This Row],[Mosquito net]],Table_NFI[Mosquito net])</f>
        <v>0</v>
      </c>
      <c r="AC72" s="352">
        <f>IF(NFI_Expiration=1,IF($A72&lt;VLOOKUP(L$5,NFI,5,0),1,0)*Table_NFI[[#This Row],[Tarpaulin]],Table_NFI[[#This Row],[Tarpaulin]])</f>
        <v>0</v>
      </c>
      <c r="AD72" s="352">
        <f>IF(NFI_Expiration=1,IF($A72&lt;VLOOKUP(M$5,NFI,5,0),1,0)*Table_NFI[[#This Row],[Blanket]],Table_NFI[[#This Row],[Blanket]])</f>
        <v>0</v>
      </c>
      <c r="AE72" s="352">
        <f>IF(NFI_Expiration=1,IF($A72&lt;VLOOKUP(N$5,NFI,5,0),1,0)*Table_NFI[[#This Row],[Kitchen Set]],Table_NFI[Kitchen Set])</f>
        <v>0</v>
      </c>
      <c r="AF72" s="352">
        <f>IF(NFI_Expiration=1,IF($A72&lt;VLOOKUP(O$5,NFI,5,0),1,0)*Table_NFI[[#This Row],[Clothes Kit]],Table_NFI[Clothes Kit])</f>
        <v>0</v>
      </c>
      <c r="AG72" s="352">
        <f>IF(NFI_Expiration=1,IF($A72&lt;VLOOKUP(P$5,NFI,5,0),1,0)*Table_NFI[[#This Row],[Plastic Bucket]],Table_NFI[Plastic Bucket])</f>
        <v>0</v>
      </c>
      <c r="AH72" s="352">
        <f>IF(NFI_Expiration=1,IF($A72&lt;VLOOKUP(Q$5,NFI,5,0),1,0)*Table_NFI[[#This Row],[Plastic Mat]],Table_NFI[Plastic Mat])*IF(Table_NFI[[#This Row],[Distribution Date]]&gt;"2014-04-01",1,2.5)</f>
        <v>0</v>
      </c>
      <c r="AI72" s="352">
        <f>IF(NFI_Expiration=1,IF($A72&lt;VLOOKUP(R$5,NFI,5,0),1,0)*Table_NFI[[#This Row],[Winter Clothes Adult]],Table_NFI[Winter Clothes Adult])</f>
        <v>0</v>
      </c>
      <c r="AJ72" s="352">
        <f>IF(NFI_Expiration=1,IF($A72&lt;VLOOKUP(S$5,NFI,5,0),1,0)*Table_NFI[[#This Row],[Winter Clothes Children]],Table_NFI[Winter Clothes Children])</f>
        <v>0</v>
      </c>
      <c r="AK72" s="352">
        <f>IF(NFI_Expiration=1,IF($A72&lt;VLOOKUP(T$5,NFI,5,0),1,0)*Table_NFI[[#This Row],[Winter Items Other]],Table_NFI[Winter Items Other])</f>
        <v>0</v>
      </c>
      <c r="AL72" s="352">
        <f>IF(NFI_Expiration=1,IF($A72&lt;VLOOKUP(M$5,NFI,5,0),1,0)*Table_NFI[[#This Row],[Winter Blanket]],Table_NFI[[#This Row],[Winter Blanket]])</f>
        <v>0</v>
      </c>
      <c r="AM72" s="352">
        <f>IF(Table_NFI[[#This Row],[Winter Clothes Adult]]+Table_NFI[[#This Row],[Winter Clothes Children]]+Table_NFI[[#This Row],[Winter Items Other]]+Table_NFI[[#This Row],[Winter Blanket]]&gt;0,1,0)</f>
        <v>0</v>
      </c>
      <c r="AN72" s="392">
        <f>IF(NFI_Expiration=1,IF($A72&lt;VLOOKUP(V$5,NFI,5,0),1,0)*Table_NFI[[#This Row],[Jerry Can]],Table_NFI[Jerry Can])</f>
        <v>0</v>
      </c>
      <c r="AO72" s="540" t="str">
        <f>IFERROR(VLOOKUP(Table_NFI[[#This Row],[Camp Name]],CL,2,0),"")</f>
        <v>MMR001CMP092</v>
      </c>
      <c r="AP72" s="535">
        <f ca="1">IF(Table_NFI[[#This Row],[Pcode]]="","",IF(OFFSET(CampList[Opening Date],MATCH(Table_NFI[[#This Row],[Pcode]],CampList[CP_Pcode],0)-1,0,1,1)&gt;=NFI_Monitor_Date,1,0))</f>
        <v>0</v>
      </c>
      <c r="AQ72" s="540" t="str">
        <f>IFERROR(VLOOKUP(Table_NFI[[#This Row],[Camp Name]],CL,3,0),"")</f>
        <v>Closed</v>
      </c>
      <c r="AR72" s="352" t="str">
        <f ca="1">IF(Table_NFI[[#This Row],[Pcode]]="","",OFFSET(CampList[Priority],MATCH(Table_NFI[[#This Row],[Pcode]],CampList[CP_Pcode],0)-1,0,1,1))</f>
        <v/>
      </c>
      <c r="AS72" s="351" t="str">
        <f>IFERROR(Table_NFI[[#This Row],[Kitchen Set]]/VLOOKUP(Table_NFI[[#This Row],[Camp Name]],CL,4,0),"")</f>
        <v/>
      </c>
      <c r="AT72" s="533" t="s">
        <v>1094</v>
      </c>
      <c r="AU72" s="536"/>
    </row>
    <row r="73" spans="1:47" s="537" customFormat="1" hidden="1" x14ac:dyDescent="0.25">
      <c r="A73" s="355">
        <f t="shared" si="1"/>
        <v>32.299999999999997</v>
      </c>
      <c r="B73" s="532">
        <v>41602</v>
      </c>
      <c r="C73" s="533" t="s">
        <v>907</v>
      </c>
      <c r="D73" s="533" t="s">
        <v>907</v>
      </c>
      <c r="E73" s="533" t="s">
        <v>380</v>
      </c>
      <c r="F73" s="533" t="s">
        <v>151</v>
      </c>
      <c r="G73" s="533" t="s">
        <v>883</v>
      </c>
      <c r="H73" s="349"/>
      <c r="I73" s="349"/>
      <c r="J73" s="349"/>
      <c r="K73" s="349"/>
      <c r="L73" s="350"/>
      <c r="M73" s="350"/>
      <c r="N73" s="350"/>
      <c r="O73" s="350"/>
      <c r="P73" s="352"/>
      <c r="Q73" s="352"/>
      <c r="R73" s="352">
        <v>24</v>
      </c>
      <c r="S73" s="352">
        <v>48</v>
      </c>
      <c r="T73" s="352">
        <v>144</v>
      </c>
      <c r="U73" s="352">
        <v>72</v>
      </c>
      <c r="V73" s="497"/>
      <c r="W73" s="352"/>
      <c r="X73" s="352"/>
      <c r="Y73" s="352">
        <f>IF(NFI_Expiration=1,IF($A73&lt;VLOOKUP(H$5,NFI,5,0),1,0)*Table_NFI[[#This Row],[Hygiene Kit]],Table_NFI[Hygiene Kit])</f>
        <v>0</v>
      </c>
      <c r="Z73" s="352">
        <f>IF(NFI_Expiration=1,IF($A73&lt;VLOOKUP(I$5,NFI,5,0),1,0)*Table_NFI[[#This Row],[NFI Core Kit]],Table_NFI[NFI Core Kit])</f>
        <v>0</v>
      </c>
      <c r="AA73" s="352">
        <f>IF(NFI_Expiration=1,IF($A73&lt;VLOOKUP(J$5,NFI,5,0),1,0)*Table_NFI[[#This Row],[Sanitary Kit]],Table_NFI[Sanitary Kit])</f>
        <v>0</v>
      </c>
      <c r="AB73" s="352">
        <f>IF(NFI_Expiration=1,IF($A73&lt;VLOOKUP(K$5,NFI,5,0),1,0)*Table_NFI[[#This Row],[Mosquito net]],Table_NFI[Mosquito net])</f>
        <v>0</v>
      </c>
      <c r="AC73" s="352">
        <f>IF(NFI_Expiration=1,IF($A73&lt;VLOOKUP(L$5,NFI,5,0),1,0)*Table_NFI[[#This Row],[Tarpaulin]],Table_NFI[[#This Row],[Tarpaulin]])</f>
        <v>0</v>
      </c>
      <c r="AD73" s="352">
        <f>IF(NFI_Expiration=1,IF($A73&lt;VLOOKUP(M$5,NFI,5,0),1,0)*Table_NFI[[#This Row],[Blanket]],Table_NFI[[#This Row],[Blanket]])</f>
        <v>0</v>
      </c>
      <c r="AE73" s="352">
        <f>IF(NFI_Expiration=1,IF($A73&lt;VLOOKUP(N$5,NFI,5,0),1,0)*Table_NFI[[#This Row],[Kitchen Set]],Table_NFI[Kitchen Set])</f>
        <v>0</v>
      </c>
      <c r="AF73" s="352">
        <f>IF(NFI_Expiration=1,IF($A73&lt;VLOOKUP(O$5,NFI,5,0),1,0)*Table_NFI[[#This Row],[Clothes Kit]],Table_NFI[Clothes Kit])</f>
        <v>0</v>
      </c>
      <c r="AG73" s="352">
        <f>IF(NFI_Expiration=1,IF($A73&lt;VLOOKUP(P$5,NFI,5,0),1,0)*Table_NFI[[#This Row],[Plastic Bucket]],Table_NFI[Plastic Bucket])</f>
        <v>0</v>
      </c>
      <c r="AH73" s="352">
        <f>IF(NFI_Expiration=1,IF($A73&lt;VLOOKUP(Q$5,NFI,5,0),1,0)*Table_NFI[[#This Row],[Plastic Mat]],Table_NFI[Plastic Mat])*IF(Table_NFI[[#This Row],[Distribution Date]]&gt;"2014-04-01",1,2.5)</f>
        <v>0</v>
      </c>
      <c r="AI73" s="352">
        <f>IF(NFI_Expiration=1,IF($A73&lt;VLOOKUP(R$5,NFI,5,0),1,0)*Table_NFI[[#This Row],[Winter Clothes Adult]],Table_NFI[Winter Clothes Adult])</f>
        <v>0</v>
      </c>
      <c r="AJ73" s="352">
        <f>IF(NFI_Expiration=1,IF($A73&lt;VLOOKUP(S$5,NFI,5,0),1,0)*Table_NFI[[#This Row],[Winter Clothes Children]],Table_NFI[Winter Clothes Children])</f>
        <v>0</v>
      </c>
      <c r="AK73" s="352">
        <f>IF(NFI_Expiration=1,IF($A73&lt;VLOOKUP(T$5,NFI,5,0),1,0)*Table_NFI[[#This Row],[Winter Items Other]],Table_NFI[Winter Items Other])</f>
        <v>0</v>
      </c>
      <c r="AL73" s="352">
        <f>IF(NFI_Expiration=1,IF($A73&lt;VLOOKUP(M$5,NFI,5,0),1,0)*Table_NFI[[#This Row],[Winter Blanket]],Table_NFI[[#This Row],[Winter Blanket]])</f>
        <v>0</v>
      </c>
      <c r="AM73" s="352">
        <f>IF(Table_NFI[[#This Row],[Winter Clothes Adult]]+Table_NFI[[#This Row],[Winter Clothes Children]]+Table_NFI[[#This Row],[Winter Items Other]]+Table_NFI[[#This Row],[Winter Blanket]]&gt;0,1,0)</f>
        <v>1</v>
      </c>
      <c r="AN73" s="392">
        <f>IF(NFI_Expiration=1,IF($A73&lt;VLOOKUP(V$5,NFI,5,0),1,0)*Table_NFI[[#This Row],[Jerry Can]],Table_NFI[Jerry Can])</f>
        <v>0</v>
      </c>
      <c r="AO73" s="540" t="str">
        <f>IFERROR(VLOOKUP(Table_NFI[[#This Row],[Camp Name]],CL,2,0),"")</f>
        <v>MMR001CMP215</v>
      </c>
      <c r="AP73" s="535">
        <f ca="1">IF(Table_NFI[[#This Row],[Pcode]]="","",IF(OFFSET(CampList[Opening Date],MATCH(Table_NFI[[#This Row],[Pcode]],CampList[CP_Pcode],0)-1,0,1,1)&gt;=NFI_Monitor_Date,1,0))</f>
        <v>0</v>
      </c>
      <c r="AQ73" s="540" t="str">
        <f>IFERROR(VLOOKUP(Table_NFI[[#This Row],[Camp Name]],CL,3,0),"")</f>
        <v>Closed</v>
      </c>
      <c r="AR73" s="352" t="str">
        <f ca="1">IF(Table_NFI[[#This Row],[Pcode]]="","",OFFSET(CampList[Priority],MATCH(Table_NFI[[#This Row],[Pcode]],CampList[CP_Pcode],0)-1,0,1,1))</f>
        <v/>
      </c>
      <c r="AS73" s="351" t="str">
        <f>IFERROR(Table_NFI[[#This Row],[Kitchen Set]]/VLOOKUP(Table_NFI[[#This Row],[Camp Name]],CL,4,0),"")</f>
        <v/>
      </c>
      <c r="AT73" s="533"/>
      <c r="AU73" s="536"/>
    </row>
    <row r="74" spans="1:47" s="537" customFormat="1" hidden="1" x14ac:dyDescent="0.25">
      <c r="A74" s="355">
        <f t="shared" si="1"/>
        <v>32.299999999999997</v>
      </c>
      <c r="B74" s="532">
        <v>41602</v>
      </c>
      <c r="C74" s="533" t="s">
        <v>907</v>
      </c>
      <c r="D74" s="533" t="s">
        <v>907</v>
      </c>
      <c r="E74" s="533" t="s">
        <v>380</v>
      </c>
      <c r="F74" s="533" t="s">
        <v>151</v>
      </c>
      <c r="G74" s="533" t="s">
        <v>879</v>
      </c>
      <c r="H74" s="349"/>
      <c r="I74" s="349"/>
      <c r="J74" s="349"/>
      <c r="K74" s="349"/>
      <c r="L74" s="350"/>
      <c r="M74" s="350"/>
      <c r="N74" s="350"/>
      <c r="O74" s="350"/>
      <c r="P74" s="352"/>
      <c r="Q74" s="352"/>
      <c r="R74" s="352">
        <v>135</v>
      </c>
      <c r="S74" s="352">
        <v>270</v>
      </c>
      <c r="T74" s="352">
        <v>810</v>
      </c>
      <c r="U74" s="352">
        <v>405</v>
      </c>
      <c r="V74" s="497"/>
      <c r="W74" s="352"/>
      <c r="X74" s="352"/>
      <c r="Y74" s="352">
        <f>IF(NFI_Expiration=1,IF($A74&lt;VLOOKUP(H$5,NFI,5,0),1,0)*Table_NFI[[#This Row],[Hygiene Kit]],Table_NFI[Hygiene Kit])</f>
        <v>0</v>
      </c>
      <c r="Z74" s="352">
        <f>IF(NFI_Expiration=1,IF($A74&lt;VLOOKUP(I$5,NFI,5,0),1,0)*Table_NFI[[#This Row],[NFI Core Kit]],Table_NFI[NFI Core Kit])</f>
        <v>0</v>
      </c>
      <c r="AA74" s="352">
        <f>IF(NFI_Expiration=1,IF($A74&lt;VLOOKUP(J$5,NFI,5,0),1,0)*Table_NFI[[#This Row],[Sanitary Kit]],Table_NFI[Sanitary Kit])</f>
        <v>0</v>
      </c>
      <c r="AB74" s="352">
        <f>IF(NFI_Expiration=1,IF($A74&lt;VLOOKUP(K$5,NFI,5,0),1,0)*Table_NFI[[#This Row],[Mosquito net]],Table_NFI[Mosquito net])</f>
        <v>0</v>
      </c>
      <c r="AC74" s="352">
        <f>IF(NFI_Expiration=1,IF($A74&lt;VLOOKUP(L$5,NFI,5,0),1,0)*Table_NFI[[#This Row],[Tarpaulin]],Table_NFI[[#This Row],[Tarpaulin]])</f>
        <v>0</v>
      </c>
      <c r="AD74" s="352">
        <f>IF(NFI_Expiration=1,IF($A74&lt;VLOOKUP(M$5,NFI,5,0),1,0)*Table_NFI[[#This Row],[Blanket]],Table_NFI[[#This Row],[Blanket]])</f>
        <v>0</v>
      </c>
      <c r="AE74" s="352">
        <f>IF(NFI_Expiration=1,IF($A74&lt;VLOOKUP(N$5,NFI,5,0),1,0)*Table_NFI[[#This Row],[Kitchen Set]],Table_NFI[Kitchen Set])</f>
        <v>0</v>
      </c>
      <c r="AF74" s="352">
        <f>IF(NFI_Expiration=1,IF($A74&lt;VLOOKUP(O$5,NFI,5,0),1,0)*Table_NFI[[#This Row],[Clothes Kit]],Table_NFI[Clothes Kit])</f>
        <v>0</v>
      </c>
      <c r="AG74" s="352">
        <f>IF(NFI_Expiration=1,IF($A74&lt;VLOOKUP(P$5,NFI,5,0),1,0)*Table_NFI[[#This Row],[Plastic Bucket]],Table_NFI[Plastic Bucket])</f>
        <v>0</v>
      </c>
      <c r="AH74" s="352">
        <f>IF(NFI_Expiration=1,IF($A74&lt;VLOOKUP(Q$5,NFI,5,0),1,0)*Table_NFI[[#This Row],[Plastic Mat]],Table_NFI[Plastic Mat])*IF(Table_NFI[[#This Row],[Distribution Date]]&gt;"2014-04-01",1,2.5)</f>
        <v>0</v>
      </c>
      <c r="AI74" s="352">
        <f>IF(NFI_Expiration=1,IF($A74&lt;VLOOKUP(R$5,NFI,5,0),1,0)*Table_NFI[[#This Row],[Winter Clothes Adult]],Table_NFI[Winter Clothes Adult])</f>
        <v>0</v>
      </c>
      <c r="AJ74" s="352">
        <f>IF(NFI_Expiration=1,IF($A74&lt;VLOOKUP(S$5,NFI,5,0),1,0)*Table_NFI[[#This Row],[Winter Clothes Children]],Table_NFI[Winter Clothes Children])</f>
        <v>0</v>
      </c>
      <c r="AK74" s="352">
        <f>IF(NFI_Expiration=1,IF($A74&lt;VLOOKUP(T$5,NFI,5,0),1,0)*Table_NFI[[#This Row],[Winter Items Other]],Table_NFI[Winter Items Other])</f>
        <v>0</v>
      </c>
      <c r="AL74" s="352">
        <f>IF(NFI_Expiration=1,IF($A74&lt;VLOOKUP(M$5,NFI,5,0),1,0)*Table_NFI[[#This Row],[Winter Blanket]],Table_NFI[[#This Row],[Winter Blanket]])</f>
        <v>0</v>
      </c>
      <c r="AM74" s="352">
        <f>IF(Table_NFI[[#This Row],[Winter Clothes Adult]]+Table_NFI[[#This Row],[Winter Clothes Children]]+Table_NFI[[#This Row],[Winter Items Other]]+Table_NFI[[#This Row],[Winter Blanket]]&gt;0,1,0)</f>
        <v>1</v>
      </c>
      <c r="AN74" s="392">
        <f>IF(NFI_Expiration=1,IF($A74&lt;VLOOKUP(V$5,NFI,5,0),1,0)*Table_NFI[[#This Row],[Jerry Can]],Table_NFI[Jerry Can])</f>
        <v>0</v>
      </c>
      <c r="AO74" s="540" t="str">
        <f>IFERROR(VLOOKUP(Table_NFI[[#This Row],[Camp Name]],CL,2,0),"")</f>
        <v>MMR001CMP214</v>
      </c>
      <c r="AP74" s="535">
        <f ca="1">IF(Table_NFI[[#This Row],[Pcode]]="","",IF(OFFSET(CampList[Opening Date],MATCH(Table_NFI[[#This Row],[Pcode]],CampList[CP_Pcode],0)-1,0,1,1)&gt;=NFI_Monitor_Date,1,0))</f>
        <v>0</v>
      </c>
      <c r="AQ74" s="540" t="str">
        <f>IFERROR(VLOOKUP(Table_NFI[[#This Row],[Camp Name]],CL,3,0),"")</f>
        <v>Closed</v>
      </c>
      <c r="AR74" s="352" t="str">
        <f ca="1">IF(Table_NFI[[#This Row],[Pcode]]="","",OFFSET(CampList[Priority],MATCH(Table_NFI[[#This Row],[Pcode]],CampList[CP_Pcode],0)-1,0,1,1))</f>
        <v/>
      </c>
      <c r="AS74" s="351" t="str">
        <f>IFERROR(Table_NFI[[#This Row],[Kitchen Set]]/VLOOKUP(Table_NFI[[#This Row],[Camp Name]],CL,4,0),"")</f>
        <v/>
      </c>
      <c r="AT74" s="533"/>
      <c r="AU74" s="536"/>
    </row>
    <row r="75" spans="1:47" s="129" customFormat="1" ht="14.45" customHeight="1" x14ac:dyDescent="0.25">
      <c r="A75" s="355">
        <f t="shared" si="1"/>
        <v>14.466666666666667</v>
      </c>
      <c r="B75" s="532">
        <v>42137</v>
      </c>
      <c r="C75" s="533" t="s">
        <v>453</v>
      </c>
      <c r="D75" s="533" t="s">
        <v>1091</v>
      </c>
      <c r="E75" s="533" t="s">
        <v>380</v>
      </c>
      <c r="F75" s="533" t="s">
        <v>185</v>
      </c>
      <c r="G75" s="348" t="s">
        <v>202</v>
      </c>
      <c r="H75" s="349"/>
      <c r="I75" s="349"/>
      <c r="J75" s="349"/>
      <c r="K75" s="349"/>
      <c r="L75" s="350"/>
      <c r="M75" s="350">
        <v>28</v>
      </c>
      <c r="N75" s="350"/>
      <c r="O75" s="350"/>
      <c r="P75" s="352"/>
      <c r="Q75" s="352"/>
      <c r="R75" s="352"/>
      <c r="S75" s="352"/>
      <c r="T75" s="352"/>
      <c r="U75" s="352"/>
      <c r="V75" s="497"/>
      <c r="W75" s="352"/>
      <c r="X75" s="352"/>
      <c r="Y75" s="352">
        <f>IF(NFI_Expiration=1,IF($A75&lt;VLOOKUP(H$5,NFI,5,0),1,0)*Table_NFI[[#This Row],[Hygiene Kit]],Table_NFI[Hygiene Kit])</f>
        <v>0</v>
      </c>
      <c r="Z75" s="352">
        <f>IF(NFI_Expiration=1,IF($A75&lt;VLOOKUP(I$5,NFI,5,0),1,0)*Table_NFI[[#This Row],[NFI Core Kit]],Table_NFI[NFI Core Kit])</f>
        <v>0</v>
      </c>
      <c r="AA75" s="352">
        <f>IF(NFI_Expiration=1,IF($A75&lt;VLOOKUP(J$5,NFI,5,0),1,0)*Table_NFI[[#This Row],[Sanitary Kit]],Table_NFI[Sanitary Kit])</f>
        <v>0</v>
      </c>
      <c r="AB75" s="352">
        <f>IF(NFI_Expiration=1,IF($A75&lt;VLOOKUP(K$5,NFI,5,0),1,0)*Table_NFI[[#This Row],[Mosquito net]],Table_NFI[Mosquito net])</f>
        <v>0</v>
      </c>
      <c r="AC75" s="352">
        <f>IF(NFI_Expiration=1,IF($A75&lt;VLOOKUP(L$5,NFI,5,0),1,0)*Table_NFI[[#This Row],[Tarpaulin]],Table_NFI[[#This Row],[Tarpaulin]])</f>
        <v>0</v>
      </c>
      <c r="AD75" s="352">
        <f>IF(NFI_Expiration=1,IF($A75&lt;VLOOKUP(M$5,NFI,5,0),1,0)*Table_NFI[[#This Row],[Blanket]],Table_NFI[[#This Row],[Blanket]])</f>
        <v>0</v>
      </c>
      <c r="AE75" s="352">
        <f>IF(NFI_Expiration=1,IF($A75&lt;VLOOKUP(N$5,NFI,5,0),1,0)*Table_NFI[[#This Row],[Kitchen Set]],Table_NFI[Kitchen Set])</f>
        <v>0</v>
      </c>
      <c r="AF75" s="352">
        <f>IF(NFI_Expiration=1,IF($A75&lt;VLOOKUP(O$5,NFI,5,0),1,0)*Table_NFI[[#This Row],[Clothes Kit]],Table_NFI[Clothes Kit])</f>
        <v>0</v>
      </c>
      <c r="AG75" s="352">
        <f>IF(NFI_Expiration=1,IF($A75&lt;VLOOKUP(P$5,NFI,5,0),1,0)*Table_NFI[[#This Row],[Plastic Bucket]],Table_NFI[Plastic Bucket])</f>
        <v>0</v>
      </c>
      <c r="AH75" s="352">
        <f>IF(NFI_Expiration=1,IF($A75&lt;VLOOKUP(Q$5,NFI,5,0),1,0)*Table_NFI[[#This Row],[Plastic Mat]],Table_NFI[Plastic Mat])*IF(Table_NFI[[#This Row],[Distribution Date]]&gt;"2014-04-01",1,2.5)</f>
        <v>0</v>
      </c>
      <c r="AI75" s="352">
        <f>IF(NFI_Expiration=1,IF($A75&lt;VLOOKUP(R$5,NFI,5,0),1,0)*Table_NFI[[#This Row],[Winter Clothes Adult]],Table_NFI[Winter Clothes Adult])</f>
        <v>0</v>
      </c>
      <c r="AJ75" s="352">
        <f>IF(NFI_Expiration=1,IF($A75&lt;VLOOKUP(S$5,NFI,5,0),1,0)*Table_NFI[[#This Row],[Winter Clothes Children]],Table_NFI[Winter Clothes Children])</f>
        <v>0</v>
      </c>
      <c r="AK75" s="352">
        <f>IF(NFI_Expiration=1,IF($A75&lt;VLOOKUP(T$5,NFI,5,0),1,0)*Table_NFI[[#This Row],[Winter Items Other]],Table_NFI[Winter Items Other])</f>
        <v>0</v>
      </c>
      <c r="AL75" s="352">
        <f>IF(NFI_Expiration=1,IF($A75&lt;VLOOKUP(M$5,NFI,5,0),1,0)*Table_NFI[[#This Row],[Winter Blanket]],Table_NFI[[#This Row],[Winter Blanket]])</f>
        <v>0</v>
      </c>
      <c r="AM75" s="352">
        <f>IF(Table_NFI[[#This Row],[Winter Clothes Adult]]+Table_NFI[[#This Row],[Winter Clothes Children]]+Table_NFI[[#This Row],[Winter Items Other]]+Table_NFI[[#This Row],[Winter Blanket]]&gt;0,1,0)</f>
        <v>0</v>
      </c>
      <c r="AN75" s="392">
        <f>IF(NFI_Expiration=1,IF($A75&lt;VLOOKUP(V$5,NFI,5,0),1,0)*Table_NFI[[#This Row],[Jerry Can]],Table_NFI[Jerry Can])</f>
        <v>0</v>
      </c>
      <c r="AO75" s="540" t="str">
        <f>IFERROR(VLOOKUP(Table_NFI[[#This Row],[Camp Name]],CL,2,0),"")</f>
        <v>MMR001CMP062</v>
      </c>
      <c r="AP75" s="535">
        <f ca="1">IF(Table_NFI[[#This Row],[Pcode]]="","",IF(OFFSET(CampList[Opening Date],MATCH(Table_NFI[[#This Row],[Pcode]],CampList[CP_Pcode],0)-1,0,1,1)&gt;=NFI_Monitor_Date,1,0))</f>
        <v>0</v>
      </c>
      <c r="AQ75" s="540" t="str">
        <f>IFERROR(VLOOKUP(Table_NFI[[#This Row],[Camp Name]],CL,3,0),"")</f>
        <v>Open</v>
      </c>
      <c r="AR75" s="352" t="str">
        <f ca="1">IF(Table_NFI[[#This Row],[Pcode]]="","",OFFSET(CampList[Priority],MATCH(Table_NFI[[#This Row],[Pcode]],CampList[CP_Pcode],0)-1,0,1,1))</f>
        <v>P4</v>
      </c>
      <c r="AS75" s="351">
        <f>IFERROR(Table_NFI[[#This Row],[Kitchen Set]]/VLOOKUP(Table_NFI[[#This Row],[Camp Name]],CL,4,0),"")</f>
        <v>0</v>
      </c>
      <c r="AT75" s="533" t="s">
        <v>1094</v>
      </c>
      <c r="AU75" s="536"/>
    </row>
    <row r="76" spans="1:47" s="129" customFormat="1" ht="14.45" hidden="1" customHeight="1" x14ac:dyDescent="0.25">
      <c r="A76" s="355">
        <f t="shared" si="1"/>
        <v>21.133333333333333</v>
      </c>
      <c r="B76" s="532">
        <v>41937</v>
      </c>
      <c r="C76" s="533" t="s">
        <v>1096</v>
      </c>
      <c r="D76" s="533" t="s">
        <v>902</v>
      </c>
      <c r="E76" s="533" t="s">
        <v>380</v>
      </c>
      <c r="F76" s="533" t="s">
        <v>528</v>
      </c>
      <c r="G76" s="533" t="s">
        <v>52</v>
      </c>
      <c r="H76" s="349"/>
      <c r="I76" s="349"/>
      <c r="J76" s="349"/>
      <c r="K76" s="349"/>
      <c r="L76" s="350"/>
      <c r="M76" s="350"/>
      <c r="N76" s="350"/>
      <c r="O76" s="350"/>
      <c r="P76" s="352"/>
      <c r="Q76" s="352"/>
      <c r="R76" s="352">
        <v>123</v>
      </c>
      <c r="S76" s="352">
        <v>104</v>
      </c>
      <c r="T76" s="352"/>
      <c r="U76" s="352"/>
      <c r="V76" s="497"/>
      <c r="W76" s="352"/>
      <c r="X76" s="352"/>
      <c r="Y76" s="352">
        <f>IF(NFI_Expiration=1,IF($A76&lt;VLOOKUP(H$5,NFI,5,0),1,0)*Table_NFI[[#This Row],[Hygiene Kit]],Table_NFI[Hygiene Kit])</f>
        <v>0</v>
      </c>
      <c r="Z76" s="352">
        <f>IF(NFI_Expiration=1,IF($A76&lt;VLOOKUP(I$5,NFI,5,0),1,0)*Table_NFI[[#This Row],[NFI Core Kit]],Table_NFI[NFI Core Kit])</f>
        <v>0</v>
      </c>
      <c r="AA76" s="352">
        <f>IF(NFI_Expiration=1,IF($A76&lt;VLOOKUP(J$5,NFI,5,0),1,0)*Table_NFI[[#This Row],[Sanitary Kit]],Table_NFI[Sanitary Kit])</f>
        <v>0</v>
      </c>
      <c r="AB76" s="352">
        <f>IF(NFI_Expiration=1,IF($A76&lt;VLOOKUP(K$5,NFI,5,0),1,0)*Table_NFI[[#This Row],[Mosquito net]],Table_NFI[Mosquito net])</f>
        <v>0</v>
      </c>
      <c r="AC76" s="352">
        <f>IF(NFI_Expiration=1,IF($A76&lt;VLOOKUP(L$5,NFI,5,0),1,0)*Table_NFI[[#This Row],[Tarpaulin]],Table_NFI[[#This Row],[Tarpaulin]])</f>
        <v>0</v>
      </c>
      <c r="AD76" s="352">
        <f>IF(NFI_Expiration=1,IF($A76&lt;VLOOKUP(M$5,NFI,5,0),1,0)*Table_NFI[[#This Row],[Blanket]],Table_NFI[[#This Row],[Blanket]])</f>
        <v>0</v>
      </c>
      <c r="AE76" s="352">
        <f>IF(NFI_Expiration=1,IF($A76&lt;VLOOKUP(N$5,NFI,5,0),1,0)*Table_NFI[[#This Row],[Kitchen Set]],Table_NFI[Kitchen Set])</f>
        <v>0</v>
      </c>
      <c r="AF76" s="352">
        <f>IF(NFI_Expiration=1,IF($A76&lt;VLOOKUP(O$5,NFI,5,0),1,0)*Table_NFI[[#This Row],[Clothes Kit]],Table_NFI[Clothes Kit])</f>
        <v>0</v>
      </c>
      <c r="AG76" s="352">
        <f>IF(NFI_Expiration=1,IF($A76&lt;VLOOKUP(P$5,NFI,5,0),1,0)*Table_NFI[[#This Row],[Plastic Bucket]],Table_NFI[Plastic Bucket])</f>
        <v>0</v>
      </c>
      <c r="AH76" s="352">
        <f>IF(NFI_Expiration=1,IF($A76&lt;VLOOKUP(Q$5,NFI,5,0),1,0)*Table_NFI[[#This Row],[Plastic Mat]],Table_NFI[Plastic Mat])*IF(Table_NFI[[#This Row],[Distribution Date]]&gt;"2014-04-01",1,2.5)</f>
        <v>0</v>
      </c>
      <c r="AI76" s="352">
        <f>IF(NFI_Expiration=1,IF($A76&lt;VLOOKUP(R$5,NFI,5,0),1,0)*Table_NFI[[#This Row],[Winter Clothes Adult]],Table_NFI[Winter Clothes Adult])</f>
        <v>0</v>
      </c>
      <c r="AJ76" s="352">
        <f>IF(NFI_Expiration=1,IF($A76&lt;VLOOKUP(S$5,NFI,5,0),1,0)*Table_NFI[[#This Row],[Winter Clothes Children]],Table_NFI[Winter Clothes Children])</f>
        <v>0</v>
      </c>
      <c r="AK76" s="352">
        <f>IF(NFI_Expiration=1,IF($A76&lt;VLOOKUP(T$5,NFI,5,0),1,0)*Table_NFI[[#This Row],[Winter Items Other]],Table_NFI[Winter Items Other])</f>
        <v>0</v>
      </c>
      <c r="AL76" s="352">
        <f>IF(NFI_Expiration=1,IF($A76&lt;VLOOKUP(M$5,NFI,5,0),1,0)*Table_NFI[[#This Row],[Winter Blanket]],Table_NFI[[#This Row],[Winter Blanket]])</f>
        <v>0</v>
      </c>
      <c r="AM76" s="352">
        <f>IF(Table_NFI[[#This Row],[Winter Clothes Adult]]+Table_NFI[[#This Row],[Winter Clothes Children]]+Table_NFI[[#This Row],[Winter Items Other]]+Table_NFI[[#This Row],[Winter Blanket]]&gt;0,1,0)</f>
        <v>1</v>
      </c>
      <c r="AN76" s="392">
        <f>IF(NFI_Expiration=1,IF($A76&lt;VLOOKUP(V$5,NFI,5,0),1,0)*Table_NFI[[#This Row],[Jerry Can]],Table_NFI[Jerry Can])</f>
        <v>0</v>
      </c>
      <c r="AO76" s="540" t="str">
        <f>IFERROR(VLOOKUP(Table_NFI[[#This Row],[Camp Name]],CL,2,0),"")</f>
        <v>MMR001CMP169</v>
      </c>
      <c r="AP76" s="535">
        <f ca="1">IF(Table_NFI[[#This Row],[Pcode]]="","",IF(OFFSET(CampList[Opening Date],MATCH(Table_NFI[[#This Row],[Pcode]],CampList[CP_Pcode],0)-1,0,1,1)&gt;=NFI_Monitor_Date,1,0))</f>
        <v>0</v>
      </c>
      <c r="AQ76" s="540" t="str">
        <f>IFERROR(VLOOKUP(Table_NFI[[#This Row],[Camp Name]],CL,3,0),"")</f>
        <v>Open</v>
      </c>
      <c r="AR76" s="352" t="str">
        <f ca="1">IF(Table_NFI[[#This Row],[Pcode]]="","",OFFSET(CampList[Priority],MATCH(Table_NFI[[#This Row],[Pcode]],CampList[CP_Pcode],0)-1,0,1,1))</f>
        <v>P4</v>
      </c>
      <c r="AS76" s="351">
        <f>IFERROR(Table_NFI[[#This Row],[Kitchen Set]]/VLOOKUP(Table_NFI[[#This Row],[Camp Name]],CL,4,0),"")</f>
        <v>0</v>
      </c>
      <c r="AT76" s="533"/>
      <c r="AU76" s="536"/>
    </row>
    <row r="77" spans="1:47" s="129" customFormat="1" ht="14.45" hidden="1" customHeight="1" x14ac:dyDescent="0.25">
      <c r="A77" s="355">
        <f t="shared" si="1"/>
        <v>42.06666666666667</v>
      </c>
      <c r="B77" s="532">
        <v>41309</v>
      </c>
      <c r="C77" s="533" t="s">
        <v>902</v>
      </c>
      <c r="D77" s="534" t="s">
        <v>902</v>
      </c>
      <c r="E77" s="533" t="s">
        <v>380</v>
      </c>
      <c r="F77" s="348" t="s">
        <v>528</v>
      </c>
      <c r="G77" s="348" t="s">
        <v>52</v>
      </c>
      <c r="H77" s="349"/>
      <c r="I77" s="349"/>
      <c r="J77" s="349"/>
      <c r="K77" s="349"/>
      <c r="L77" s="350"/>
      <c r="M77" s="350"/>
      <c r="N77" s="350">
        <v>106</v>
      </c>
      <c r="O77" s="350"/>
      <c r="P77" s="352">
        <v>0</v>
      </c>
      <c r="Q77" s="352">
        <v>0</v>
      </c>
      <c r="R77" s="352"/>
      <c r="S77" s="352"/>
      <c r="T77" s="352"/>
      <c r="U77" s="352"/>
      <c r="V77" s="497"/>
      <c r="W77" s="352"/>
      <c r="X77" s="352"/>
      <c r="Y77" s="352">
        <f>IF(NFI_Expiration=1,IF($A77&lt;VLOOKUP(H$5,NFI,5,0),1,0)*Table_NFI[[#This Row],[Hygiene Kit]],Table_NFI[Hygiene Kit])</f>
        <v>0</v>
      </c>
      <c r="Z77" s="352">
        <f>IF(NFI_Expiration=1,IF($A77&lt;VLOOKUP(I$5,NFI,5,0),1,0)*Table_NFI[[#This Row],[NFI Core Kit]],Table_NFI[NFI Core Kit])</f>
        <v>0</v>
      </c>
      <c r="AA77" s="352">
        <f>IF(NFI_Expiration=1,IF($A77&lt;VLOOKUP(J$5,NFI,5,0),1,0)*Table_NFI[[#This Row],[Sanitary Kit]],Table_NFI[Sanitary Kit])</f>
        <v>0</v>
      </c>
      <c r="AB77" s="352">
        <f>IF(NFI_Expiration=1,IF($A77&lt;VLOOKUP(K$5,NFI,5,0),1,0)*Table_NFI[[#This Row],[Mosquito net]],Table_NFI[Mosquito net])</f>
        <v>0</v>
      </c>
      <c r="AC77" s="352">
        <f>IF(NFI_Expiration=1,IF($A77&lt;VLOOKUP(L$5,NFI,5,0),1,0)*Table_NFI[[#This Row],[Tarpaulin]],Table_NFI[[#This Row],[Tarpaulin]])</f>
        <v>0</v>
      </c>
      <c r="AD77" s="352">
        <f>IF(NFI_Expiration=1,IF($A77&lt;VLOOKUP(M$5,NFI,5,0),1,0)*Table_NFI[[#This Row],[Blanket]],Table_NFI[[#This Row],[Blanket]])</f>
        <v>0</v>
      </c>
      <c r="AE77" s="352">
        <f>IF(NFI_Expiration=1,IF($A77&lt;VLOOKUP(N$5,NFI,5,0),1,0)*Table_NFI[[#This Row],[Kitchen Set]],Table_NFI[Kitchen Set])</f>
        <v>0</v>
      </c>
      <c r="AF77" s="352">
        <f>IF(NFI_Expiration=1,IF($A77&lt;VLOOKUP(O$5,NFI,5,0),1,0)*Table_NFI[[#This Row],[Clothes Kit]],Table_NFI[Clothes Kit])</f>
        <v>0</v>
      </c>
      <c r="AG77" s="352">
        <f>IF(NFI_Expiration=1,IF($A77&lt;VLOOKUP(P$5,NFI,5,0),1,0)*Table_NFI[[#This Row],[Plastic Bucket]],Table_NFI[Plastic Bucket])</f>
        <v>0</v>
      </c>
      <c r="AH77" s="352">
        <f>IF(NFI_Expiration=1,IF($A77&lt;VLOOKUP(Q$5,NFI,5,0),1,0)*Table_NFI[[#This Row],[Plastic Mat]],Table_NFI[Plastic Mat])*IF(Table_NFI[[#This Row],[Distribution Date]]&gt;"2014-04-01",1,2.5)</f>
        <v>0</v>
      </c>
      <c r="AI77" s="352">
        <f>IF(NFI_Expiration=1,IF($A77&lt;VLOOKUP(R$5,NFI,5,0),1,0)*Table_NFI[[#This Row],[Winter Clothes Adult]],Table_NFI[Winter Clothes Adult])</f>
        <v>0</v>
      </c>
      <c r="AJ77" s="352">
        <f>IF(NFI_Expiration=1,IF($A77&lt;VLOOKUP(S$5,NFI,5,0),1,0)*Table_NFI[[#This Row],[Winter Clothes Children]],Table_NFI[Winter Clothes Children])</f>
        <v>0</v>
      </c>
      <c r="AK77" s="352">
        <f>IF(NFI_Expiration=1,IF($A77&lt;VLOOKUP(T$5,NFI,5,0),1,0)*Table_NFI[[#This Row],[Winter Items Other]],Table_NFI[Winter Items Other])</f>
        <v>0</v>
      </c>
      <c r="AL77" s="352">
        <f>IF(NFI_Expiration=1,IF($A77&lt;VLOOKUP(M$5,NFI,5,0),1,0)*Table_NFI[[#This Row],[Winter Blanket]],Table_NFI[[#This Row],[Winter Blanket]])</f>
        <v>0</v>
      </c>
      <c r="AM77" s="352">
        <f>IF(Table_NFI[[#This Row],[Winter Clothes Adult]]+Table_NFI[[#This Row],[Winter Clothes Children]]+Table_NFI[[#This Row],[Winter Items Other]]+Table_NFI[[#This Row],[Winter Blanket]]&gt;0,1,0)</f>
        <v>0</v>
      </c>
      <c r="AN77" s="392">
        <f>IF(NFI_Expiration=1,IF($A77&lt;VLOOKUP(V$5,NFI,5,0),1,0)*Table_NFI[[#This Row],[Jerry Can]],Table_NFI[Jerry Can])</f>
        <v>0</v>
      </c>
      <c r="AO77" s="540" t="str">
        <f>IFERROR(VLOOKUP(Table_NFI[[#This Row],[Camp Name]],CL,2,0),"")</f>
        <v>MMR001CMP169</v>
      </c>
      <c r="AP77" s="535">
        <f ca="1">IF(Table_NFI[[#This Row],[Pcode]]="","",IF(OFFSET(CampList[Opening Date],MATCH(Table_NFI[[#This Row],[Pcode]],CampList[CP_Pcode],0)-1,0,1,1)&gt;=NFI_Monitor_Date,1,0))</f>
        <v>0</v>
      </c>
      <c r="AQ77" s="540" t="str">
        <f>IFERROR(VLOOKUP(Table_NFI[[#This Row],[Camp Name]],CL,3,0),"")</f>
        <v>Open</v>
      </c>
      <c r="AR77" s="352" t="str">
        <f ca="1">IF(Table_NFI[[#This Row],[Pcode]]="","",OFFSET(CampList[Priority],MATCH(Table_NFI[[#This Row],[Pcode]],CampList[CP_Pcode],0)-1,0,1,1))</f>
        <v>P4</v>
      </c>
      <c r="AS77" s="351">
        <f>IFERROR(Table_NFI[[#This Row],[Kitchen Set]]/VLOOKUP(Table_NFI[[#This Row],[Camp Name]],CL,4,0),"")</f>
        <v>3.0285714285714285</v>
      </c>
      <c r="AT77" s="533" t="s">
        <v>1094</v>
      </c>
      <c r="AU77" s="536"/>
    </row>
    <row r="78" spans="1:47" s="537" customFormat="1" ht="14.45" hidden="1" customHeight="1" x14ac:dyDescent="0.25">
      <c r="A78" s="355">
        <f t="shared" si="1"/>
        <v>43.233333333333334</v>
      </c>
      <c r="B78" s="532">
        <v>41274</v>
      </c>
      <c r="C78" s="533" t="s">
        <v>454</v>
      </c>
      <c r="D78" s="534" t="s">
        <v>454</v>
      </c>
      <c r="E78" s="533" t="s">
        <v>380</v>
      </c>
      <c r="F78" s="348" t="s">
        <v>528</v>
      </c>
      <c r="G78" s="348" t="s">
        <v>52</v>
      </c>
      <c r="H78" s="349">
        <v>20</v>
      </c>
      <c r="I78" s="349"/>
      <c r="J78" s="349"/>
      <c r="K78" s="349"/>
      <c r="L78" s="350"/>
      <c r="M78" s="350"/>
      <c r="N78" s="350"/>
      <c r="O78" s="350"/>
      <c r="P78" s="352">
        <v>0</v>
      </c>
      <c r="Q78" s="352">
        <v>0</v>
      </c>
      <c r="R78" s="352"/>
      <c r="S78" s="352"/>
      <c r="T78" s="352"/>
      <c r="U78" s="352"/>
      <c r="V78" s="497"/>
      <c r="W78" s="352"/>
      <c r="X78" s="352"/>
      <c r="Y78" s="352">
        <f>IF(NFI_Expiration=1,IF($A78&lt;VLOOKUP(H$5,NFI,5,0),1,0)*Table_NFI[[#This Row],[Hygiene Kit]],Table_NFI[Hygiene Kit])</f>
        <v>0</v>
      </c>
      <c r="Z78" s="352">
        <f>IF(NFI_Expiration=1,IF($A78&lt;VLOOKUP(I$5,NFI,5,0),1,0)*Table_NFI[[#This Row],[NFI Core Kit]],Table_NFI[NFI Core Kit])</f>
        <v>0</v>
      </c>
      <c r="AA78" s="352">
        <f>IF(NFI_Expiration=1,IF($A78&lt;VLOOKUP(J$5,NFI,5,0),1,0)*Table_NFI[[#This Row],[Sanitary Kit]],Table_NFI[Sanitary Kit])</f>
        <v>0</v>
      </c>
      <c r="AB78" s="352">
        <f>IF(NFI_Expiration=1,IF($A78&lt;VLOOKUP(K$5,NFI,5,0),1,0)*Table_NFI[[#This Row],[Mosquito net]],Table_NFI[Mosquito net])</f>
        <v>0</v>
      </c>
      <c r="AC78" s="352">
        <f>IF(NFI_Expiration=1,IF($A78&lt;VLOOKUP(L$5,NFI,5,0),1,0)*Table_NFI[[#This Row],[Tarpaulin]],Table_NFI[[#This Row],[Tarpaulin]])</f>
        <v>0</v>
      </c>
      <c r="AD78" s="352">
        <f>IF(NFI_Expiration=1,IF($A78&lt;VLOOKUP(M$5,NFI,5,0),1,0)*Table_NFI[[#This Row],[Blanket]],Table_NFI[[#This Row],[Blanket]])</f>
        <v>0</v>
      </c>
      <c r="AE78" s="352">
        <f>IF(NFI_Expiration=1,IF($A78&lt;VLOOKUP(N$5,NFI,5,0),1,0)*Table_NFI[[#This Row],[Kitchen Set]],Table_NFI[Kitchen Set])</f>
        <v>0</v>
      </c>
      <c r="AF78" s="352">
        <f>IF(NFI_Expiration=1,IF($A78&lt;VLOOKUP(O$5,NFI,5,0),1,0)*Table_NFI[[#This Row],[Clothes Kit]],Table_NFI[Clothes Kit])</f>
        <v>0</v>
      </c>
      <c r="AG78" s="352">
        <f>IF(NFI_Expiration=1,IF($A78&lt;VLOOKUP(P$5,NFI,5,0),1,0)*Table_NFI[[#This Row],[Plastic Bucket]],Table_NFI[Plastic Bucket])</f>
        <v>0</v>
      </c>
      <c r="AH78" s="352">
        <f>IF(NFI_Expiration=1,IF($A78&lt;VLOOKUP(Q$5,NFI,5,0),1,0)*Table_NFI[[#This Row],[Plastic Mat]],Table_NFI[Plastic Mat])*IF(Table_NFI[[#This Row],[Distribution Date]]&gt;"2014-04-01",1,2.5)</f>
        <v>0</v>
      </c>
      <c r="AI78" s="352">
        <f>IF(NFI_Expiration=1,IF($A78&lt;VLOOKUP(R$5,NFI,5,0),1,0)*Table_NFI[[#This Row],[Winter Clothes Adult]],Table_NFI[Winter Clothes Adult])</f>
        <v>0</v>
      </c>
      <c r="AJ78" s="352">
        <f>IF(NFI_Expiration=1,IF($A78&lt;VLOOKUP(S$5,NFI,5,0),1,0)*Table_NFI[[#This Row],[Winter Clothes Children]],Table_NFI[Winter Clothes Children])</f>
        <v>0</v>
      </c>
      <c r="AK78" s="352">
        <f>IF(NFI_Expiration=1,IF($A78&lt;VLOOKUP(T$5,NFI,5,0),1,0)*Table_NFI[[#This Row],[Winter Items Other]],Table_NFI[Winter Items Other])</f>
        <v>0</v>
      </c>
      <c r="AL78" s="352">
        <f>IF(NFI_Expiration=1,IF($A78&lt;VLOOKUP(M$5,NFI,5,0),1,0)*Table_NFI[[#This Row],[Winter Blanket]],Table_NFI[[#This Row],[Winter Blanket]])</f>
        <v>0</v>
      </c>
      <c r="AM78" s="352">
        <f>IF(Table_NFI[[#This Row],[Winter Clothes Adult]]+Table_NFI[[#This Row],[Winter Clothes Children]]+Table_NFI[[#This Row],[Winter Items Other]]+Table_NFI[[#This Row],[Winter Blanket]]&gt;0,1,0)</f>
        <v>0</v>
      </c>
      <c r="AN78" s="392">
        <f>IF(NFI_Expiration=1,IF($A78&lt;VLOOKUP(V$5,NFI,5,0),1,0)*Table_NFI[[#This Row],[Jerry Can]],Table_NFI[Jerry Can])</f>
        <v>0</v>
      </c>
      <c r="AO78" s="540" t="str">
        <f>IFERROR(VLOOKUP(Table_NFI[[#This Row],[Camp Name]],CL,2,0),"")</f>
        <v>MMR001CMP169</v>
      </c>
      <c r="AP78" s="535">
        <f ca="1">IF(Table_NFI[[#This Row],[Pcode]]="","",IF(OFFSET(CampList[Opening Date],MATCH(Table_NFI[[#This Row],[Pcode]],CampList[CP_Pcode],0)-1,0,1,1)&gt;=NFI_Monitor_Date,1,0))</f>
        <v>0</v>
      </c>
      <c r="AQ78" s="540" t="str">
        <f>IFERROR(VLOOKUP(Table_NFI[[#This Row],[Camp Name]],CL,3,0),"")</f>
        <v>Open</v>
      </c>
      <c r="AR78" s="352" t="str">
        <f ca="1">IF(Table_NFI[[#This Row],[Pcode]]="","",OFFSET(CampList[Priority],MATCH(Table_NFI[[#This Row],[Pcode]],CampList[CP_Pcode],0)-1,0,1,1))</f>
        <v>P4</v>
      </c>
      <c r="AS78" s="351">
        <f>IFERROR(Table_NFI[[#This Row],[Kitchen Set]]/VLOOKUP(Table_NFI[[#This Row],[Camp Name]],CL,4,0),"")</f>
        <v>0</v>
      </c>
      <c r="AT78" s="533" t="s">
        <v>1094</v>
      </c>
      <c r="AU78" s="536"/>
    </row>
    <row r="79" spans="1:47" s="537" customFormat="1" ht="14.45" customHeight="1" x14ac:dyDescent="0.25">
      <c r="A79" s="355">
        <f t="shared" si="1"/>
        <v>15.1</v>
      </c>
      <c r="B79" s="532">
        <v>42118</v>
      </c>
      <c r="C79" s="533" t="s">
        <v>453</v>
      </c>
      <c r="D79" s="533" t="s">
        <v>461</v>
      </c>
      <c r="E79" s="533" t="s">
        <v>380</v>
      </c>
      <c r="F79" s="533" t="s">
        <v>185</v>
      </c>
      <c r="G79" s="533" t="s">
        <v>190</v>
      </c>
      <c r="H79" s="349"/>
      <c r="I79" s="352"/>
      <c r="J79" s="352"/>
      <c r="K79" s="352"/>
      <c r="L79" s="350"/>
      <c r="M79" s="350"/>
      <c r="N79" s="350"/>
      <c r="O79" s="350"/>
      <c r="P79" s="352">
        <v>9</v>
      </c>
      <c r="Q79" s="352"/>
      <c r="R79" s="352"/>
      <c r="S79" s="352"/>
      <c r="T79" s="352"/>
      <c r="U79" s="352"/>
      <c r="V79" s="497"/>
      <c r="W79" s="352"/>
      <c r="X79" s="352"/>
      <c r="Y79" s="352">
        <f>IF(NFI_Expiration=1,IF($A79&lt;VLOOKUP(H$5,NFI,5,0),1,0)*Table_NFI[[#This Row],[Hygiene Kit]],Table_NFI[Hygiene Kit])</f>
        <v>0</v>
      </c>
      <c r="Z79" s="352">
        <f>IF(NFI_Expiration=1,IF($A79&lt;VLOOKUP(I$5,NFI,5,0),1,0)*Table_NFI[[#This Row],[NFI Core Kit]],Table_NFI[NFI Core Kit])</f>
        <v>0</v>
      </c>
      <c r="AA79" s="352">
        <f>IF(NFI_Expiration=1,IF($A79&lt;VLOOKUP(J$5,NFI,5,0),1,0)*Table_NFI[[#This Row],[Sanitary Kit]],Table_NFI[Sanitary Kit])</f>
        <v>0</v>
      </c>
      <c r="AB79" s="352">
        <f>IF(NFI_Expiration=1,IF($A79&lt;VLOOKUP(K$5,NFI,5,0),1,0)*Table_NFI[[#This Row],[Mosquito net]],Table_NFI[Mosquito net])</f>
        <v>0</v>
      </c>
      <c r="AC79" s="352">
        <f>IF(NFI_Expiration=1,IF($A79&lt;VLOOKUP(L$5,NFI,5,0),1,0)*Table_NFI[[#This Row],[Tarpaulin]],Table_NFI[[#This Row],[Tarpaulin]])</f>
        <v>0</v>
      </c>
      <c r="AD79" s="352">
        <f>IF(NFI_Expiration=1,IF($A79&lt;VLOOKUP(M$5,NFI,5,0),1,0)*Table_NFI[[#This Row],[Blanket]],Table_NFI[[#This Row],[Blanket]])</f>
        <v>0</v>
      </c>
      <c r="AE79" s="352">
        <f>IF(NFI_Expiration=1,IF($A79&lt;VLOOKUP(N$5,NFI,5,0),1,0)*Table_NFI[[#This Row],[Kitchen Set]],Table_NFI[Kitchen Set])</f>
        <v>0</v>
      </c>
      <c r="AF79" s="352">
        <f>IF(NFI_Expiration=1,IF($A79&lt;VLOOKUP(O$5,NFI,5,0),1,0)*Table_NFI[[#This Row],[Clothes Kit]],Table_NFI[Clothes Kit])</f>
        <v>0</v>
      </c>
      <c r="AG79" s="352">
        <f>IF(NFI_Expiration=1,IF($A79&lt;VLOOKUP(P$5,NFI,5,0),1,0)*Table_NFI[[#This Row],[Plastic Bucket]],Table_NFI[Plastic Bucket])</f>
        <v>0</v>
      </c>
      <c r="AH79" s="352">
        <f>IF(NFI_Expiration=1,IF($A79&lt;VLOOKUP(Q$5,NFI,5,0),1,0)*Table_NFI[[#This Row],[Plastic Mat]],Table_NFI[Plastic Mat])*IF(Table_NFI[[#This Row],[Distribution Date]]&gt;"2014-04-01",1,2.5)</f>
        <v>0</v>
      </c>
      <c r="AI79" s="352">
        <f>IF(NFI_Expiration=1,IF($A79&lt;VLOOKUP(R$5,NFI,5,0),1,0)*Table_NFI[[#This Row],[Winter Clothes Adult]],Table_NFI[Winter Clothes Adult])</f>
        <v>0</v>
      </c>
      <c r="AJ79" s="352">
        <f>IF(NFI_Expiration=1,IF($A79&lt;VLOOKUP(S$5,NFI,5,0),1,0)*Table_NFI[[#This Row],[Winter Clothes Children]],Table_NFI[Winter Clothes Children])</f>
        <v>0</v>
      </c>
      <c r="AK79" s="352">
        <f>IF(NFI_Expiration=1,IF($A79&lt;VLOOKUP(T$5,NFI,5,0),1,0)*Table_NFI[[#This Row],[Winter Items Other]],Table_NFI[Winter Items Other])</f>
        <v>0</v>
      </c>
      <c r="AL79" s="352">
        <f>IF(NFI_Expiration=1,IF($A79&lt;VLOOKUP(M$5,NFI,5,0),1,0)*Table_NFI[[#This Row],[Winter Blanket]],Table_NFI[[#This Row],[Winter Blanket]])</f>
        <v>0</v>
      </c>
      <c r="AM79" s="352">
        <f>IF(Table_NFI[[#This Row],[Winter Clothes Adult]]+Table_NFI[[#This Row],[Winter Clothes Children]]+Table_NFI[[#This Row],[Winter Items Other]]+Table_NFI[[#This Row],[Winter Blanket]]&gt;0,1,0)</f>
        <v>0</v>
      </c>
      <c r="AN79" s="392">
        <f>IF(NFI_Expiration=1,IF($A79&lt;VLOOKUP(V$5,NFI,5,0),1,0)*Table_NFI[[#This Row],[Jerry Can]],Table_NFI[Jerry Can])</f>
        <v>0</v>
      </c>
      <c r="AO79" s="540" t="str">
        <f>IFERROR(VLOOKUP(Table_NFI[[#This Row],[Camp Name]],CL,2,0),"")</f>
        <v>MMR001CMP070</v>
      </c>
      <c r="AP79" s="535">
        <f ca="1">IF(Table_NFI[[#This Row],[Pcode]]="","",IF(OFFSET(CampList[Opening Date],MATCH(Table_NFI[[#This Row],[Pcode]],CampList[CP_Pcode],0)-1,0,1,1)&gt;=NFI_Monitor_Date,1,0))</f>
        <v>0</v>
      </c>
      <c r="AQ79" s="540" t="str">
        <f>IFERROR(VLOOKUP(Table_NFI[[#This Row],[Camp Name]],CL,3,0),"")</f>
        <v>Open</v>
      </c>
      <c r="AR79" s="352" t="str">
        <f ca="1">IF(Table_NFI[[#This Row],[Pcode]]="","",OFFSET(CampList[Priority],MATCH(Table_NFI[[#This Row],[Pcode]],CampList[CP_Pcode],0)-1,0,1,1))</f>
        <v>P3</v>
      </c>
      <c r="AS79" s="351">
        <f>IFERROR(Table_NFI[[#This Row],[Kitchen Set]]/VLOOKUP(Table_NFI[[#This Row],[Camp Name]],CL,4,0),"")</f>
        <v>0</v>
      </c>
      <c r="AT79" s="533" t="s">
        <v>1094</v>
      </c>
      <c r="AU79" s="557"/>
    </row>
    <row r="80" spans="1:47" s="537" customFormat="1" ht="14.45" hidden="1" customHeight="1" x14ac:dyDescent="0.25">
      <c r="A80" s="355">
        <f t="shared" si="1"/>
        <v>21.133333333333333</v>
      </c>
      <c r="B80" s="532">
        <v>41937</v>
      </c>
      <c r="C80" s="533" t="s">
        <v>1096</v>
      </c>
      <c r="D80" s="533" t="s">
        <v>902</v>
      </c>
      <c r="E80" s="533" t="s">
        <v>380</v>
      </c>
      <c r="F80" s="533" t="s">
        <v>528</v>
      </c>
      <c r="G80" s="533" t="s">
        <v>58</v>
      </c>
      <c r="H80" s="349"/>
      <c r="I80" s="349"/>
      <c r="J80" s="349"/>
      <c r="K80" s="349"/>
      <c r="L80" s="350"/>
      <c r="M80" s="350"/>
      <c r="N80" s="350"/>
      <c r="O80" s="350"/>
      <c r="P80" s="352"/>
      <c r="Q80" s="352"/>
      <c r="R80" s="352">
        <v>48</v>
      </c>
      <c r="S80" s="352">
        <v>30</v>
      </c>
      <c r="T80" s="352"/>
      <c r="U80" s="352"/>
      <c r="V80" s="497"/>
      <c r="W80" s="352"/>
      <c r="X80" s="352"/>
      <c r="Y80" s="352">
        <f>IF(NFI_Expiration=1,IF($A80&lt;VLOOKUP(H$5,NFI,5,0),1,0)*Table_NFI[[#This Row],[Hygiene Kit]],Table_NFI[Hygiene Kit])</f>
        <v>0</v>
      </c>
      <c r="Z80" s="352">
        <f>IF(NFI_Expiration=1,IF($A80&lt;VLOOKUP(I$5,NFI,5,0),1,0)*Table_NFI[[#This Row],[NFI Core Kit]],Table_NFI[NFI Core Kit])</f>
        <v>0</v>
      </c>
      <c r="AA80" s="352">
        <f>IF(NFI_Expiration=1,IF($A80&lt;VLOOKUP(J$5,NFI,5,0),1,0)*Table_NFI[[#This Row],[Sanitary Kit]],Table_NFI[Sanitary Kit])</f>
        <v>0</v>
      </c>
      <c r="AB80" s="352">
        <f>IF(NFI_Expiration=1,IF($A80&lt;VLOOKUP(K$5,NFI,5,0),1,0)*Table_NFI[[#This Row],[Mosquito net]],Table_NFI[Mosquito net])</f>
        <v>0</v>
      </c>
      <c r="AC80" s="352">
        <f>IF(NFI_Expiration=1,IF($A80&lt;VLOOKUP(L$5,NFI,5,0),1,0)*Table_NFI[[#This Row],[Tarpaulin]],Table_NFI[[#This Row],[Tarpaulin]])</f>
        <v>0</v>
      </c>
      <c r="AD80" s="352">
        <f>IF(NFI_Expiration=1,IF($A80&lt;VLOOKUP(M$5,NFI,5,0),1,0)*Table_NFI[[#This Row],[Blanket]],Table_NFI[[#This Row],[Blanket]])</f>
        <v>0</v>
      </c>
      <c r="AE80" s="352">
        <f>IF(NFI_Expiration=1,IF($A80&lt;VLOOKUP(N$5,NFI,5,0),1,0)*Table_NFI[[#This Row],[Kitchen Set]],Table_NFI[Kitchen Set])</f>
        <v>0</v>
      </c>
      <c r="AF80" s="352">
        <f>IF(NFI_Expiration=1,IF($A80&lt;VLOOKUP(O$5,NFI,5,0),1,0)*Table_NFI[[#This Row],[Clothes Kit]],Table_NFI[Clothes Kit])</f>
        <v>0</v>
      </c>
      <c r="AG80" s="352">
        <f>IF(NFI_Expiration=1,IF($A80&lt;VLOOKUP(P$5,NFI,5,0),1,0)*Table_NFI[[#This Row],[Plastic Bucket]],Table_NFI[Plastic Bucket])</f>
        <v>0</v>
      </c>
      <c r="AH80" s="352">
        <f>IF(NFI_Expiration=1,IF($A80&lt;VLOOKUP(Q$5,NFI,5,0),1,0)*Table_NFI[[#This Row],[Plastic Mat]],Table_NFI[Plastic Mat])*IF(Table_NFI[[#This Row],[Distribution Date]]&gt;"2014-04-01",1,2.5)</f>
        <v>0</v>
      </c>
      <c r="AI80" s="352">
        <f>IF(NFI_Expiration=1,IF($A80&lt;VLOOKUP(R$5,NFI,5,0),1,0)*Table_NFI[[#This Row],[Winter Clothes Adult]],Table_NFI[Winter Clothes Adult])</f>
        <v>0</v>
      </c>
      <c r="AJ80" s="352">
        <f>IF(NFI_Expiration=1,IF($A80&lt;VLOOKUP(S$5,NFI,5,0),1,0)*Table_NFI[[#This Row],[Winter Clothes Children]],Table_NFI[Winter Clothes Children])</f>
        <v>0</v>
      </c>
      <c r="AK80" s="352">
        <f>IF(NFI_Expiration=1,IF($A80&lt;VLOOKUP(T$5,NFI,5,0),1,0)*Table_NFI[[#This Row],[Winter Items Other]],Table_NFI[Winter Items Other])</f>
        <v>0</v>
      </c>
      <c r="AL80" s="352">
        <f>IF(NFI_Expiration=1,IF($A80&lt;VLOOKUP(M$5,NFI,5,0),1,0)*Table_NFI[[#This Row],[Winter Blanket]],Table_NFI[[#This Row],[Winter Blanket]])</f>
        <v>0</v>
      </c>
      <c r="AM80" s="352">
        <f>IF(Table_NFI[[#This Row],[Winter Clothes Adult]]+Table_NFI[[#This Row],[Winter Clothes Children]]+Table_NFI[[#This Row],[Winter Items Other]]+Table_NFI[[#This Row],[Winter Blanket]]&gt;0,1,0)</f>
        <v>1</v>
      </c>
      <c r="AN80" s="392">
        <f>IF(NFI_Expiration=1,IF($A80&lt;VLOOKUP(V$5,NFI,5,0),1,0)*Table_NFI[[#This Row],[Jerry Can]],Table_NFI[Jerry Can])</f>
        <v>0</v>
      </c>
      <c r="AO80" s="540" t="str">
        <f>IFERROR(VLOOKUP(Table_NFI[[#This Row],[Camp Name]],CL,2,0),"")</f>
        <v>MMR001CMP188</v>
      </c>
      <c r="AP80" s="535">
        <f ca="1">IF(Table_NFI[[#This Row],[Pcode]]="","",IF(OFFSET(CampList[Opening Date],MATCH(Table_NFI[[#This Row],[Pcode]],CampList[CP_Pcode],0)-1,0,1,1)&gt;=NFI_Monitor_Date,1,0))</f>
        <v>0</v>
      </c>
      <c r="AQ80" s="540" t="str">
        <f>IFERROR(VLOOKUP(Table_NFI[[#This Row],[Camp Name]],CL,3,0),"")</f>
        <v>Closed</v>
      </c>
      <c r="AR80" s="352" t="str">
        <f ca="1">IF(Table_NFI[[#This Row],[Pcode]]="","",OFFSET(CampList[Priority],MATCH(Table_NFI[[#This Row],[Pcode]],CampList[CP_Pcode],0)-1,0,1,1))</f>
        <v>P4</v>
      </c>
      <c r="AS80" s="351" t="str">
        <f>IFERROR(Table_NFI[[#This Row],[Kitchen Set]]/VLOOKUP(Table_NFI[[#This Row],[Camp Name]],CL,4,0),"")</f>
        <v/>
      </c>
      <c r="AT80" s="533"/>
      <c r="AU80" s="536"/>
    </row>
    <row r="81" spans="1:47" s="537" customFormat="1" ht="14.45" customHeight="1" x14ac:dyDescent="0.25">
      <c r="A81" s="355">
        <f t="shared" si="1"/>
        <v>15.1</v>
      </c>
      <c r="B81" s="532">
        <v>42118</v>
      </c>
      <c r="C81" s="533" t="s">
        <v>453</v>
      </c>
      <c r="D81" s="533" t="s">
        <v>1353</v>
      </c>
      <c r="E81" s="533" t="s">
        <v>380</v>
      </c>
      <c r="F81" s="533" t="s">
        <v>185</v>
      </c>
      <c r="G81" s="533" t="s">
        <v>1354</v>
      </c>
      <c r="H81" s="349"/>
      <c r="I81" s="349"/>
      <c r="J81" s="352"/>
      <c r="K81" s="352">
        <v>36</v>
      </c>
      <c r="L81" s="350">
        <v>18</v>
      </c>
      <c r="M81" s="350">
        <v>90</v>
      </c>
      <c r="N81" s="350">
        <v>18</v>
      </c>
      <c r="O81" s="350"/>
      <c r="P81" s="352"/>
      <c r="Q81" s="352">
        <v>90</v>
      </c>
      <c r="R81" s="352"/>
      <c r="S81" s="352"/>
      <c r="T81" s="352"/>
      <c r="U81" s="352"/>
      <c r="V81" s="497">
        <v>18</v>
      </c>
      <c r="W81" s="352"/>
      <c r="X81" s="352"/>
      <c r="Y81" s="352">
        <f>IF(NFI_Expiration=1,IF($A81&lt;VLOOKUP(H$5,NFI,5,0),1,0)*Table_NFI[[#This Row],[Hygiene Kit]],Table_NFI[Hygiene Kit])</f>
        <v>0</v>
      </c>
      <c r="Z81" s="352">
        <f>IF(NFI_Expiration=1,IF($A81&lt;VLOOKUP(I$5,NFI,5,0),1,0)*Table_NFI[[#This Row],[NFI Core Kit]],Table_NFI[NFI Core Kit])</f>
        <v>0</v>
      </c>
      <c r="AA81" s="352">
        <f>IF(NFI_Expiration=1,IF($A81&lt;VLOOKUP(J$5,NFI,5,0),1,0)*Table_NFI[[#This Row],[Sanitary Kit]],Table_NFI[Sanitary Kit])</f>
        <v>0</v>
      </c>
      <c r="AB81" s="352">
        <f>IF(NFI_Expiration=1,IF($A81&lt;VLOOKUP(K$5,NFI,5,0),1,0)*Table_NFI[[#This Row],[Mosquito net]],Table_NFI[Mosquito net])</f>
        <v>0</v>
      </c>
      <c r="AC81" s="352">
        <f>IF(NFI_Expiration=1,IF($A81&lt;VLOOKUP(L$5,NFI,5,0),1,0)*Table_NFI[[#This Row],[Tarpaulin]],Table_NFI[[#This Row],[Tarpaulin]])</f>
        <v>0</v>
      </c>
      <c r="AD81" s="352">
        <f>IF(NFI_Expiration=1,IF($A81&lt;VLOOKUP(M$5,NFI,5,0),1,0)*Table_NFI[[#This Row],[Blanket]],Table_NFI[[#This Row],[Blanket]])</f>
        <v>0</v>
      </c>
      <c r="AE81" s="352">
        <f>IF(NFI_Expiration=1,IF($A81&lt;VLOOKUP(N$5,NFI,5,0),1,0)*Table_NFI[[#This Row],[Kitchen Set]],Table_NFI[Kitchen Set])</f>
        <v>0</v>
      </c>
      <c r="AF81" s="352">
        <f>IF(NFI_Expiration=1,IF($A81&lt;VLOOKUP(O$5,NFI,5,0),1,0)*Table_NFI[[#This Row],[Clothes Kit]],Table_NFI[Clothes Kit])</f>
        <v>0</v>
      </c>
      <c r="AG81" s="352">
        <f>IF(NFI_Expiration=1,IF($A81&lt;VLOOKUP(P$5,NFI,5,0),1,0)*Table_NFI[[#This Row],[Plastic Bucket]],Table_NFI[Plastic Bucket])</f>
        <v>0</v>
      </c>
      <c r="AH81" s="352">
        <f>IF(NFI_Expiration=1,IF($A81&lt;VLOOKUP(Q$5,NFI,5,0),1,0)*Table_NFI[[#This Row],[Plastic Mat]],Table_NFI[Plastic Mat])*IF(Table_NFI[[#This Row],[Distribution Date]]&gt;"2014-04-01",1,2.5)</f>
        <v>0</v>
      </c>
      <c r="AI81" s="352">
        <f>IF(NFI_Expiration=1,IF($A81&lt;VLOOKUP(R$5,NFI,5,0),1,0)*Table_NFI[[#This Row],[Winter Clothes Adult]],Table_NFI[Winter Clothes Adult])</f>
        <v>0</v>
      </c>
      <c r="AJ81" s="352">
        <f>IF(NFI_Expiration=1,IF($A81&lt;VLOOKUP(S$5,NFI,5,0),1,0)*Table_NFI[[#This Row],[Winter Clothes Children]],Table_NFI[Winter Clothes Children])</f>
        <v>0</v>
      </c>
      <c r="AK81" s="352">
        <f>IF(NFI_Expiration=1,IF($A81&lt;VLOOKUP(T$5,NFI,5,0),1,0)*Table_NFI[[#This Row],[Winter Items Other]],Table_NFI[Winter Items Other])</f>
        <v>0</v>
      </c>
      <c r="AL81" s="352">
        <f>IF(NFI_Expiration=1,IF($A81&lt;VLOOKUP(M$5,NFI,5,0),1,0)*Table_NFI[[#This Row],[Winter Blanket]],Table_NFI[[#This Row],[Winter Blanket]])</f>
        <v>0</v>
      </c>
      <c r="AM81" s="352">
        <f>IF(Table_NFI[[#This Row],[Winter Clothes Adult]]+Table_NFI[[#This Row],[Winter Clothes Children]]+Table_NFI[[#This Row],[Winter Items Other]]+Table_NFI[[#This Row],[Winter Blanket]]&gt;0,1,0)</f>
        <v>0</v>
      </c>
      <c r="AN81" s="392">
        <f>IF(NFI_Expiration=1,IF($A81&lt;VLOOKUP(V$5,NFI,5,0),1,0)*Table_NFI[[#This Row],[Jerry Can]],Table_NFI[Jerry Can])</f>
        <v>0</v>
      </c>
      <c r="AO81" s="540" t="str">
        <f>IFERROR(VLOOKUP(Table_NFI[[#This Row],[Camp Name]],CL,2,0),"")</f>
        <v/>
      </c>
      <c r="AP81" s="535" t="str">
        <f ca="1">IF(Table_NFI[[#This Row],[Pcode]]="","",IF(OFFSET(CampList[Opening Date],MATCH(Table_NFI[[#This Row],[Pcode]],CampList[CP_Pcode],0)-1,0,1,1)&gt;=NFI_Monitor_Date,1,0))</f>
        <v/>
      </c>
      <c r="AQ81" s="540" t="str">
        <f>IFERROR(VLOOKUP(Table_NFI[[#This Row],[Camp Name]],CL,3,0),"")</f>
        <v/>
      </c>
      <c r="AR81" s="352" t="str">
        <f ca="1">IF(Table_NFI[[#This Row],[Pcode]]="","",OFFSET(CampList[Priority],MATCH(Table_NFI[[#This Row],[Pcode]],CampList[CP_Pcode],0)-1,0,1,1))</f>
        <v/>
      </c>
      <c r="AS81" s="351" t="str">
        <f>IFERROR(Table_NFI[[#This Row],[Kitchen Set]]/VLOOKUP(Table_NFI[[#This Row],[Camp Name]],CL,4,0),"")</f>
        <v/>
      </c>
      <c r="AT81" s="533" t="s">
        <v>1094</v>
      </c>
      <c r="AU81" s="536"/>
    </row>
    <row r="82" spans="1:47" s="537" customFormat="1" ht="14.45" hidden="1" customHeight="1" x14ac:dyDescent="0.25">
      <c r="A82" s="355">
        <f t="shared" si="1"/>
        <v>27.866666666666667</v>
      </c>
      <c r="B82" s="532">
        <v>41735</v>
      </c>
      <c r="C82" s="533" t="s">
        <v>1106</v>
      </c>
      <c r="D82" s="533" t="s">
        <v>902</v>
      </c>
      <c r="E82" s="533" t="s">
        <v>380</v>
      </c>
      <c r="F82" s="533" t="s">
        <v>528</v>
      </c>
      <c r="G82" s="533" t="s">
        <v>58</v>
      </c>
      <c r="H82" s="349"/>
      <c r="I82" s="349"/>
      <c r="J82" s="349"/>
      <c r="K82" s="349"/>
      <c r="L82" s="350"/>
      <c r="M82" s="350"/>
      <c r="N82" s="350"/>
      <c r="O82" s="350"/>
      <c r="P82" s="352"/>
      <c r="Q82" s="352"/>
      <c r="R82" s="352"/>
      <c r="S82" s="352"/>
      <c r="T82" s="352"/>
      <c r="U82" s="352">
        <v>30</v>
      </c>
      <c r="V82" s="497"/>
      <c r="W82" s="352"/>
      <c r="X82" s="352"/>
      <c r="Y82" s="352">
        <f>IF(NFI_Expiration=1,IF($A82&lt;VLOOKUP(H$5,NFI,5,0),1,0)*Table_NFI[[#This Row],[Hygiene Kit]],Table_NFI[Hygiene Kit])</f>
        <v>0</v>
      </c>
      <c r="Z82" s="352">
        <f>IF(NFI_Expiration=1,IF($A82&lt;VLOOKUP(I$5,NFI,5,0),1,0)*Table_NFI[[#This Row],[NFI Core Kit]],Table_NFI[NFI Core Kit])</f>
        <v>0</v>
      </c>
      <c r="AA82" s="352">
        <f>IF(NFI_Expiration=1,IF($A82&lt;VLOOKUP(J$5,NFI,5,0),1,0)*Table_NFI[[#This Row],[Sanitary Kit]],Table_NFI[Sanitary Kit])</f>
        <v>0</v>
      </c>
      <c r="AB82" s="352">
        <f>IF(NFI_Expiration=1,IF($A82&lt;VLOOKUP(K$5,NFI,5,0),1,0)*Table_NFI[[#This Row],[Mosquito net]],Table_NFI[Mosquito net])</f>
        <v>0</v>
      </c>
      <c r="AC82" s="352">
        <f>IF(NFI_Expiration=1,IF($A82&lt;VLOOKUP(L$5,NFI,5,0),1,0)*Table_NFI[[#This Row],[Tarpaulin]],Table_NFI[[#This Row],[Tarpaulin]])</f>
        <v>0</v>
      </c>
      <c r="AD82" s="352">
        <f>IF(NFI_Expiration=1,IF($A82&lt;VLOOKUP(M$5,NFI,5,0),1,0)*Table_NFI[[#This Row],[Blanket]],Table_NFI[[#This Row],[Blanket]])</f>
        <v>0</v>
      </c>
      <c r="AE82" s="352">
        <f>IF(NFI_Expiration=1,IF($A82&lt;VLOOKUP(N$5,NFI,5,0),1,0)*Table_NFI[[#This Row],[Kitchen Set]],Table_NFI[Kitchen Set])</f>
        <v>0</v>
      </c>
      <c r="AF82" s="352">
        <f>IF(NFI_Expiration=1,IF($A82&lt;VLOOKUP(O$5,NFI,5,0),1,0)*Table_NFI[[#This Row],[Clothes Kit]],Table_NFI[Clothes Kit])</f>
        <v>0</v>
      </c>
      <c r="AG82" s="352">
        <f>IF(NFI_Expiration=1,IF($A82&lt;VLOOKUP(P$5,NFI,5,0),1,0)*Table_NFI[[#This Row],[Plastic Bucket]],Table_NFI[Plastic Bucket])</f>
        <v>0</v>
      </c>
      <c r="AH82" s="352">
        <f>IF(NFI_Expiration=1,IF($A82&lt;VLOOKUP(Q$5,NFI,5,0),1,0)*Table_NFI[[#This Row],[Plastic Mat]],Table_NFI[Plastic Mat])*IF(Table_NFI[[#This Row],[Distribution Date]]&gt;"2014-04-01",1,2.5)</f>
        <v>0</v>
      </c>
      <c r="AI82" s="352">
        <f>IF(NFI_Expiration=1,IF($A82&lt;VLOOKUP(R$5,NFI,5,0),1,0)*Table_NFI[[#This Row],[Winter Clothes Adult]],Table_NFI[Winter Clothes Adult])</f>
        <v>0</v>
      </c>
      <c r="AJ82" s="352">
        <f>IF(NFI_Expiration=1,IF($A82&lt;VLOOKUP(S$5,NFI,5,0),1,0)*Table_NFI[[#This Row],[Winter Clothes Children]],Table_NFI[Winter Clothes Children])</f>
        <v>0</v>
      </c>
      <c r="AK82" s="352">
        <f>IF(NFI_Expiration=1,IF($A82&lt;VLOOKUP(T$5,NFI,5,0),1,0)*Table_NFI[[#This Row],[Winter Items Other]],Table_NFI[Winter Items Other])</f>
        <v>0</v>
      </c>
      <c r="AL82" s="352">
        <f>IF(NFI_Expiration=1,IF($A82&lt;VLOOKUP(M$5,NFI,5,0),1,0)*Table_NFI[[#This Row],[Winter Blanket]],Table_NFI[[#This Row],[Winter Blanket]])</f>
        <v>0</v>
      </c>
      <c r="AM82" s="352">
        <f>IF(Table_NFI[[#This Row],[Winter Clothes Adult]]+Table_NFI[[#This Row],[Winter Clothes Children]]+Table_NFI[[#This Row],[Winter Items Other]]+Table_NFI[[#This Row],[Winter Blanket]]&gt;0,1,0)</f>
        <v>1</v>
      </c>
      <c r="AN82" s="392">
        <f>IF(NFI_Expiration=1,IF($A82&lt;VLOOKUP(V$5,NFI,5,0),1,0)*Table_NFI[[#This Row],[Jerry Can]],Table_NFI[Jerry Can])</f>
        <v>0</v>
      </c>
      <c r="AO82" s="540" t="str">
        <f>IFERROR(VLOOKUP(Table_NFI[[#This Row],[Camp Name]],CL,2,0),"")</f>
        <v>MMR001CMP188</v>
      </c>
      <c r="AP82" s="535">
        <f ca="1">IF(Table_NFI[[#This Row],[Pcode]]="","",IF(OFFSET(CampList[Opening Date],MATCH(Table_NFI[[#This Row],[Pcode]],CampList[CP_Pcode],0)-1,0,1,1)&gt;=NFI_Monitor_Date,1,0))</f>
        <v>0</v>
      </c>
      <c r="AQ82" s="540" t="str">
        <f>IFERROR(VLOOKUP(Table_NFI[[#This Row],[Camp Name]],CL,3,0),"")</f>
        <v>Closed</v>
      </c>
      <c r="AR82" s="352" t="str">
        <f ca="1">IF(Table_NFI[[#This Row],[Pcode]]="","",OFFSET(CampList[Priority],MATCH(Table_NFI[[#This Row],[Pcode]],CampList[CP_Pcode],0)-1,0,1,1))</f>
        <v>P4</v>
      </c>
      <c r="AS82" s="351" t="str">
        <f>IFERROR(Table_NFI[[#This Row],[Kitchen Set]]/VLOOKUP(Table_NFI[[#This Row],[Camp Name]],CL,4,0),"")</f>
        <v/>
      </c>
      <c r="AT82" s="533"/>
      <c r="AU82" s="536"/>
    </row>
    <row r="83" spans="1:47" s="537" customFormat="1" ht="25.5" customHeight="1" x14ac:dyDescent="0.25">
      <c r="A83" s="355">
        <f t="shared" si="1"/>
        <v>15.366666666666667</v>
      </c>
      <c r="B83" s="532">
        <v>42110</v>
      </c>
      <c r="C83" s="533" t="s">
        <v>453</v>
      </c>
      <c r="D83" s="533" t="s">
        <v>1265</v>
      </c>
      <c r="E83" s="533" t="s">
        <v>554</v>
      </c>
      <c r="F83" s="533" t="s">
        <v>146</v>
      </c>
      <c r="G83" s="533" t="s">
        <v>1359</v>
      </c>
      <c r="H83" s="349"/>
      <c r="I83" s="349"/>
      <c r="J83" s="352"/>
      <c r="K83" s="352"/>
      <c r="L83" s="350"/>
      <c r="M83" s="350"/>
      <c r="N83" s="350"/>
      <c r="O83" s="350"/>
      <c r="P83" s="352"/>
      <c r="Q83" s="352">
        <v>69</v>
      </c>
      <c r="R83" s="352"/>
      <c r="S83" s="352"/>
      <c r="T83" s="352"/>
      <c r="U83" s="352"/>
      <c r="V83" s="497"/>
      <c r="W83" s="352"/>
      <c r="X83" s="352"/>
      <c r="Y83" s="352">
        <f>IF(NFI_Expiration=1,IF($A83&lt;VLOOKUP(H$5,NFI,5,0),1,0)*Table_NFI[[#This Row],[Hygiene Kit]],Table_NFI[Hygiene Kit])</f>
        <v>0</v>
      </c>
      <c r="Z83" s="352">
        <f>IF(NFI_Expiration=1,IF($A83&lt;VLOOKUP(I$5,NFI,5,0),1,0)*Table_NFI[[#This Row],[NFI Core Kit]],Table_NFI[NFI Core Kit])</f>
        <v>0</v>
      </c>
      <c r="AA83" s="352">
        <f>IF(NFI_Expiration=1,IF($A83&lt;VLOOKUP(J$5,NFI,5,0),1,0)*Table_NFI[[#This Row],[Sanitary Kit]],Table_NFI[Sanitary Kit])</f>
        <v>0</v>
      </c>
      <c r="AB83" s="352">
        <f>IF(NFI_Expiration=1,IF($A83&lt;VLOOKUP(K$5,NFI,5,0),1,0)*Table_NFI[[#This Row],[Mosquito net]],Table_NFI[Mosquito net])</f>
        <v>0</v>
      </c>
      <c r="AC83" s="352">
        <f>IF(NFI_Expiration=1,IF($A83&lt;VLOOKUP(L$5,NFI,5,0),1,0)*Table_NFI[[#This Row],[Tarpaulin]],Table_NFI[[#This Row],[Tarpaulin]])</f>
        <v>0</v>
      </c>
      <c r="AD83" s="352">
        <f>IF(NFI_Expiration=1,IF($A83&lt;VLOOKUP(M$5,NFI,5,0),1,0)*Table_NFI[[#This Row],[Blanket]],Table_NFI[[#This Row],[Blanket]])</f>
        <v>0</v>
      </c>
      <c r="AE83" s="352">
        <f>IF(NFI_Expiration=1,IF($A83&lt;VLOOKUP(N$5,NFI,5,0),1,0)*Table_NFI[[#This Row],[Kitchen Set]],Table_NFI[Kitchen Set])</f>
        <v>0</v>
      </c>
      <c r="AF83" s="352">
        <f>IF(NFI_Expiration=1,IF($A83&lt;VLOOKUP(O$5,NFI,5,0),1,0)*Table_NFI[[#This Row],[Clothes Kit]],Table_NFI[Clothes Kit])</f>
        <v>0</v>
      </c>
      <c r="AG83" s="352">
        <f>IF(NFI_Expiration=1,IF($A83&lt;VLOOKUP(P$5,NFI,5,0),1,0)*Table_NFI[[#This Row],[Plastic Bucket]],Table_NFI[Plastic Bucket])</f>
        <v>0</v>
      </c>
      <c r="AH83" s="352">
        <f>IF(NFI_Expiration=1,IF($A83&lt;VLOOKUP(Q$5,NFI,5,0),1,0)*Table_NFI[[#This Row],[Plastic Mat]],Table_NFI[Plastic Mat])*IF(Table_NFI[[#This Row],[Distribution Date]]&gt;"2014-04-01",1,2.5)</f>
        <v>0</v>
      </c>
      <c r="AI83" s="352">
        <f>IF(NFI_Expiration=1,IF($A83&lt;VLOOKUP(R$5,NFI,5,0),1,0)*Table_NFI[[#This Row],[Winter Clothes Adult]],Table_NFI[Winter Clothes Adult])</f>
        <v>0</v>
      </c>
      <c r="AJ83" s="352">
        <f>IF(NFI_Expiration=1,IF($A83&lt;VLOOKUP(S$5,NFI,5,0),1,0)*Table_NFI[[#This Row],[Winter Clothes Children]],Table_NFI[Winter Clothes Children])</f>
        <v>0</v>
      </c>
      <c r="AK83" s="352">
        <f>IF(NFI_Expiration=1,IF($A83&lt;VLOOKUP(T$5,NFI,5,0),1,0)*Table_NFI[[#This Row],[Winter Items Other]],Table_NFI[Winter Items Other])</f>
        <v>0</v>
      </c>
      <c r="AL83" s="352">
        <f>IF(NFI_Expiration=1,IF($A83&lt;VLOOKUP(M$5,NFI,5,0),1,0)*Table_NFI[[#This Row],[Winter Blanket]],Table_NFI[[#This Row],[Winter Blanket]])</f>
        <v>0</v>
      </c>
      <c r="AM83" s="352">
        <f>IF(Table_NFI[[#This Row],[Winter Clothes Adult]]+Table_NFI[[#This Row],[Winter Clothes Children]]+Table_NFI[[#This Row],[Winter Items Other]]+Table_NFI[[#This Row],[Winter Blanket]]&gt;0,1,0)</f>
        <v>0</v>
      </c>
      <c r="AN83" s="392">
        <f>IF(NFI_Expiration=1,IF($A83&lt;VLOOKUP(V$5,NFI,5,0),1,0)*Table_NFI[[#This Row],[Jerry Can]],Table_NFI[Jerry Can])</f>
        <v>0</v>
      </c>
      <c r="AO83" s="540" t="str">
        <f>IFERROR(VLOOKUP(Table_NFI[[#This Row],[Camp Name]],CL,2,0),"")</f>
        <v/>
      </c>
      <c r="AP83" s="535" t="str">
        <f ca="1">IF(Table_NFI[[#This Row],[Pcode]]="","",IF(OFFSET(CampList[Opening Date],MATCH(Table_NFI[[#This Row],[Pcode]],CampList[CP_Pcode],0)-1,0,1,1)&gt;=NFI_Monitor_Date,1,0))</f>
        <v/>
      </c>
      <c r="AQ83" s="540" t="str">
        <f>IFERROR(VLOOKUP(Table_NFI[[#This Row],[Camp Name]],CL,3,0),"")</f>
        <v/>
      </c>
      <c r="AR83" s="352" t="str">
        <f ca="1">IF(Table_NFI[[#This Row],[Pcode]]="","",OFFSET(CampList[Priority],MATCH(Table_NFI[[#This Row],[Pcode]],CampList[CP_Pcode],0)-1,0,1,1))</f>
        <v/>
      </c>
      <c r="AS83" s="351" t="str">
        <f>IFERROR(Table_NFI[[#This Row],[Kitchen Set]]/VLOOKUP(Table_NFI[[#This Row],[Camp Name]],CL,4,0),"")</f>
        <v/>
      </c>
      <c r="AT83" s="533" t="s">
        <v>1094</v>
      </c>
      <c r="AU83" s="536"/>
    </row>
    <row r="84" spans="1:47" s="537" customFormat="1" ht="15" hidden="1" customHeight="1" x14ac:dyDescent="0.25">
      <c r="A84" s="355">
        <f t="shared" si="1"/>
        <v>42.2</v>
      </c>
      <c r="B84" s="532">
        <v>41305</v>
      </c>
      <c r="C84" s="533" t="s">
        <v>570</v>
      </c>
      <c r="D84" s="534" t="s">
        <v>570</v>
      </c>
      <c r="E84" s="533" t="s">
        <v>380</v>
      </c>
      <c r="F84" s="533" t="s">
        <v>528</v>
      </c>
      <c r="G84" s="348" t="s">
        <v>58</v>
      </c>
      <c r="H84" s="349"/>
      <c r="I84" s="349"/>
      <c r="J84" s="349"/>
      <c r="K84" s="349"/>
      <c r="L84" s="350"/>
      <c r="M84" s="350">
        <v>26</v>
      </c>
      <c r="N84" s="350"/>
      <c r="O84" s="350"/>
      <c r="P84" s="352">
        <v>0</v>
      </c>
      <c r="Q84" s="352">
        <v>0</v>
      </c>
      <c r="R84" s="352"/>
      <c r="S84" s="352"/>
      <c r="T84" s="352"/>
      <c r="U84" s="352"/>
      <c r="V84" s="497"/>
      <c r="W84" s="352"/>
      <c r="X84" s="352"/>
      <c r="Y84" s="352">
        <f>IF(NFI_Expiration=1,IF($A84&lt;VLOOKUP(H$5,NFI,5,0),1,0)*Table_NFI[[#This Row],[Hygiene Kit]],Table_NFI[Hygiene Kit])</f>
        <v>0</v>
      </c>
      <c r="Z84" s="352">
        <f>IF(NFI_Expiration=1,IF($A84&lt;VLOOKUP(I$5,NFI,5,0),1,0)*Table_NFI[[#This Row],[NFI Core Kit]],Table_NFI[NFI Core Kit])</f>
        <v>0</v>
      </c>
      <c r="AA84" s="352">
        <f>IF(NFI_Expiration=1,IF($A84&lt;VLOOKUP(J$5,NFI,5,0),1,0)*Table_NFI[[#This Row],[Sanitary Kit]],Table_NFI[Sanitary Kit])</f>
        <v>0</v>
      </c>
      <c r="AB84" s="352">
        <f>IF(NFI_Expiration=1,IF($A84&lt;VLOOKUP(K$5,NFI,5,0),1,0)*Table_NFI[[#This Row],[Mosquito net]],Table_NFI[Mosquito net])</f>
        <v>0</v>
      </c>
      <c r="AC84" s="352">
        <f>IF(NFI_Expiration=1,IF($A84&lt;VLOOKUP(L$5,NFI,5,0),1,0)*Table_NFI[[#This Row],[Tarpaulin]],Table_NFI[[#This Row],[Tarpaulin]])</f>
        <v>0</v>
      </c>
      <c r="AD84" s="352">
        <f>IF(NFI_Expiration=1,IF($A84&lt;VLOOKUP(M$5,NFI,5,0),1,0)*Table_NFI[[#This Row],[Blanket]],Table_NFI[[#This Row],[Blanket]])</f>
        <v>0</v>
      </c>
      <c r="AE84" s="352">
        <f>IF(NFI_Expiration=1,IF($A84&lt;VLOOKUP(N$5,NFI,5,0),1,0)*Table_NFI[[#This Row],[Kitchen Set]],Table_NFI[Kitchen Set])</f>
        <v>0</v>
      </c>
      <c r="AF84" s="352">
        <f>IF(NFI_Expiration=1,IF($A84&lt;VLOOKUP(O$5,NFI,5,0),1,0)*Table_NFI[[#This Row],[Clothes Kit]],Table_NFI[Clothes Kit])</f>
        <v>0</v>
      </c>
      <c r="AG84" s="352">
        <f>IF(NFI_Expiration=1,IF($A84&lt;VLOOKUP(P$5,NFI,5,0),1,0)*Table_NFI[[#This Row],[Plastic Bucket]],Table_NFI[Plastic Bucket])</f>
        <v>0</v>
      </c>
      <c r="AH84" s="352">
        <f>IF(NFI_Expiration=1,IF($A84&lt;VLOOKUP(Q$5,NFI,5,0),1,0)*Table_NFI[[#This Row],[Plastic Mat]],Table_NFI[Plastic Mat])*IF(Table_NFI[[#This Row],[Distribution Date]]&gt;"2014-04-01",1,2.5)</f>
        <v>0</v>
      </c>
      <c r="AI84" s="352">
        <f>IF(NFI_Expiration=1,IF($A84&lt;VLOOKUP(R$5,NFI,5,0),1,0)*Table_NFI[[#This Row],[Winter Clothes Adult]],Table_NFI[Winter Clothes Adult])</f>
        <v>0</v>
      </c>
      <c r="AJ84" s="352">
        <f>IF(NFI_Expiration=1,IF($A84&lt;VLOOKUP(S$5,NFI,5,0),1,0)*Table_NFI[[#This Row],[Winter Clothes Children]],Table_NFI[Winter Clothes Children])</f>
        <v>0</v>
      </c>
      <c r="AK84" s="352">
        <f>IF(NFI_Expiration=1,IF($A84&lt;VLOOKUP(T$5,NFI,5,0),1,0)*Table_NFI[[#This Row],[Winter Items Other]],Table_NFI[Winter Items Other])</f>
        <v>0</v>
      </c>
      <c r="AL84" s="352">
        <f>IF(NFI_Expiration=1,IF($A84&lt;VLOOKUP(M$5,NFI,5,0),1,0)*Table_NFI[[#This Row],[Winter Blanket]],Table_NFI[[#This Row],[Winter Blanket]])</f>
        <v>0</v>
      </c>
      <c r="AM84" s="352">
        <f>IF(Table_NFI[[#This Row],[Winter Clothes Adult]]+Table_NFI[[#This Row],[Winter Clothes Children]]+Table_NFI[[#This Row],[Winter Items Other]]+Table_NFI[[#This Row],[Winter Blanket]]&gt;0,1,0)</f>
        <v>0</v>
      </c>
      <c r="AN84" s="392">
        <f>IF(NFI_Expiration=1,IF($A84&lt;VLOOKUP(V$5,NFI,5,0),1,0)*Table_NFI[[#This Row],[Jerry Can]],Table_NFI[Jerry Can])</f>
        <v>0</v>
      </c>
      <c r="AO84" s="540" t="str">
        <f>IFERROR(VLOOKUP(Table_NFI[[#This Row],[Camp Name]],CL,2,0),"")</f>
        <v>MMR001CMP188</v>
      </c>
      <c r="AP84" s="535">
        <f ca="1">IF(Table_NFI[[#This Row],[Pcode]]="","",IF(OFFSET(CampList[Opening Date],MATCH(Table_NFI[[#This Row],[Pcode]],CampList[CP_Pcode],0)-1,0,1,1)&gt;=NFI_Monitor_Date,1,0))</f>
        <v>0</v>
      </c>
      <c r="AQ84" s="540" t="str">
        <f>IFERROR(VLOOKUP(Table_NFI[[#This Row],[Camp Name]],CL,3,0),"")</f>
        <v>Closed</v>
      </c>
      <c r="AR84" s="352" t="str">
        <f ca="1">IF(Table_NFI[[#This Row],[Pcode]]="","",OFFSET(CampList[Priority],MATCH(Table_NFI[[#This Row],[Pcode]],CampList[CP_Pcode],0)-1,0,1,1))</f>
        <v>P4</v>
      </c>
      <c r="AS84" s="351" t="str">
        <f>IFERROR(Table_NFI[[#This Row],[Kitchen Set]]/VLOOKUP(Table_NFI[[#This Row],[Camp Name]],CL,4,0),"")</f>
        <v/>
      </c>
      <c r="AT84" s="533" t="s">
        <v>1094</v>
      </c>
      <c r="AU84" s="536"/>
    </row>
    <row r="85" spans="1:47" s="537" customFormat="1" ht="15" hidden="1" customHeight="1" x14ac:dyDescent="0.25">
      <c r="A85" s="355">
        <f t="shared" si="1"/>
        <v>43.233333333333334</v>
      </c>
      <c r="B85" s="532">
        <v>41274</v>
      </c>
      <c r="C85" s="533" t="s">
        <v>454</v>
      </c>
      <c r="D85" s="534" t="s">
        <v>454</v>
      </c>
      <c r="E85" s="533" t="s">
        <v>380</v>
      </c>
      <c r="F85" s="348" t="s">
        <v>528</v>
      </c>
      <c r="G85" s="348" t="s">
        <v>60</v>
      </c>
      <c r="H85" s="349">
        <v>3</v>
      </c>
      <c r="I85" s="349"/>
      <c r="J85" s="349"/>
      <c r="K85" s="349"/>
      <c r="L85" s="350"/>
      <c r="M85" s="350"/>
      <c r="N85" s="350"/>
      <c r="O85" s="350"/>
      <c r="P85" s="352">
        <v>0</v>
      </c>
      <c r="Q85" s="352">
        <v>0</v>
      </c>
      <c r="R85" s="352"/>
      <c r="S85" s="352"/>
      <c r="T85" s="352"/>
      <c r="U85" s="352"/>
      <c r="V85" s="497"/>
      <c r="W85" s="352"/>
      <c r="X85" s="352"/>
      <c r="Y85" s="352">
        <f>IF(NFI_Expiration=1,IF($A85&lt;VLOOKUP(H$5,NFI,5,0),1,0)*Table_NFI[[#This Row],[Hygiene Kit]],Table_NFI[Hygiene Kit])</f>
        <v>0</v>
      </c>
      <c r="Z85" s="352">
        <f>IF(NFI_Expiration=1,IF($A85&lt;VLOOKUP(I$5,NFI,5,0),1,0)*Table_NFI[[#This Row],[NFI Core Kit]],Table_NFI[NFI Core Kit])</f>
        <v>0</v>
      </c>
      <c r="AA85" s="352">
        <f>IF(NFI_Expiration=1,IF($A85&lt;VLOOKUP(J$5,NFI,5,0),1,0)*Table_NFI[[#This Row],[Sanitary Kit]],Table_NFI[Sanitary Kit])</f>
        <v>0</v>
      </c>
      <c r="AB85" s="352">
        <f>IF(NFI_Expiration=1,IF($A85&lt;VLOOKUP(K$5,NFI,5,0),1,0)*Table_NFI[[#This Row],[Mosquito net]],Table_NFI[Mosquito net])</f>
        <v>0</v>
      </c>
      <c r="AC85" s="352">
        <f>IF(NFI_Expiration=1,IF($A85&lt;VLOOKUP(L$5,NFI,5,0),1,0)*Table_NFI[[#This Row],[Tarpaulin]],Table_NFI[[#This Row],[Tarpaulin]])</f>
        <v>0</v>
      </c>
      <c r="AD85" s="352">
        <f>IF(NFI_Expiration=1,IF($A85&lt;VLOOKUP(M$5,NFI,5,0),1,0)*Table_NFI[[#This Row],[Blanket]],Table_NFI[[#This Row],[Blanket]])</f>
        <v>0</v>
      </c>
      <c r="AE85" s="352">
        <f>IF(NFI_Expiration=1,IF($A85&lt;VLOOKUP(N$5,NFI,5,0),1,0)*Table_NFI[[#This Row],[Kitchen Set]],Table_NFI[Kitchen Set])</f>
        <v>0</v>
      </c>
      <c r="AF85" s="352">
        <f>IF(NFI_Expiration=1,IF($A85&lt;VLOOKUP(O$5,NFI,5,0),1,0)*Table_NFI[[#This Row],[Clothes Kit]],Table_NFI[Clothes Kit])</f>
        <v>0</v>
      </c>
      <c r="AG85" s="352">
        <f>IF(NFI_Expiration=1,IF($A85&lt;VLOOKUP(P$5,NFI,5,0),1,0)*Table_NFI[[#This Row],[Plastic Bucket]],Table_NFI[Plastic Bucket])</f>
        <v>0</v>
      </c>
      <c r="AH85" s="352">
        <f>IF(NFI_Expiration=1,IF($A85&lt;VLOOKUP(Q$5,NFI,5,0),1,0)*Table_NFI[[#This Row],[Plastic Mat]],Table_NFI[Plastic Mat])*IF(Table_NFI[[#This Row],[Distribution Date]]&gt;"2014-04-01",1,2.5)</f>
        <v>0</v>
      </c>
      <c r="AI85" s="352">
        <f>IF(NFI_Expiration=1,IF($A85&lt;VLOOKUP(R$5,NFI,5,0),1,0)*Table_NFI[[#This Row],[Winter Clothes Adult]],Table_NFI[Winter Clothes Adult])</f>
        <v>0</v>
      </c>
      <c r="AJ85" s="352">
        <f>IF(NFI_Expiration=1,IF($A85&lt;VLOOKUP(S$5,NFI,5,0),1,0)*Table_NFI[[#This Row],[Winter Clothes Children]],Table_NFI[Winter Clothes Children])</f>
        <v>0</v>
      </c>
      <c r="AK85" s="352">
        <f>IF(NFI_Expiration=1,IF($A85&lt;VLOOKUP(T$5,NFI,5,0),1,0)*Table_NFI[[#This Row],[Winter Items Other]],Table_NFI[Winter Items Other])</f>
        <v>0</v>
      </c>
      <c r="AL85" s="352">
        <f>IF(NFI_Expiration=1,IF($A85&lt;VLOOKUP(M$5,NFI,5,0),1,0)*Table_NFI[[#This Row],[Winter Blanket]],Table_NFI[[#This Row],[Winter Blanket]])</f>
        <v>0</v>
      </c>
      <c r="AM85" s="352">
        <f>IF(Table_NFI[[#This Row],[Winter Clothes Adult]]+Table_NFI[[#This Row],[Winter Clothes Children]]+Table_NFI[[#This Row],[Winter Items Other]]+Table_NFI[[#This Row],[Winter Blanket]]&gt;0,1,0)</f>
        <v>0</v>
      </c>
      <c r="AN85" s="392">
        <f>IF(NFI_Expiration=1,IF($A85&lt;VLOOKUP(V$5,NFI,5,0),1,0)*Table_NFI[[#This Row],[Jerry Can]],Table_NFI[Jerry Can])</f>
        <v>0</v>
      </c>
      <c r="AO85" s="540" t="str">
        <f>IFERROR(VLOOKUP(Table_NFI[[#This Row],[Camp Name]],CL,2,0),"")</f>
        <v>MMR001CMP172</v>
      </c>
      <c r="AP85" s="535">
        <f ca="1">IF(Table_NFI[[#This Row],[Pcode]]="","",IF(OFFSET(CampList[Opening Date],MATCH(Table_NFI[[#This Row],[Pcode]],CampList[CP_Pcode],0)-1,0,1,1)&gt;=NFI_Monitor_Date,1,0))</f>
        <v>0</v>
      </c>
      <c r="AQ85" s="540" t="str">
        <f>IFERROR(VLOOKUP(Table_NFI[[#This Row],[Camp Name]],CL,3,0),"")</f>
        <v>Closed</v>
      </c>
      <c r="AR85" s="352" t="str">
        <f ca="1">IF(Table_NFI[[#This Row],[Pcode]]="","",OFFSET(CampList[Priority],MATCH(Table_NFI[[#This Row],[Pcode]],CampList[CP_Pcode],0)-1,0,1,1))</f>
        <v/>
      </c>
      <c r="AS85" s="351" t="str">
        <f>IFERROR(Table_NFI[[#This Row],[Kitchen Set]]/VLOOKUP(Table_NFI[[#This Row],[Camp Name]],CL,4,0),"")</f>
        <v/>
      </c>
      <c r="AT85" s="533" t="s">
        <v>1094</v>
      </c>
      <c r="AU85" s="536"/>
    </row>
    <row r="86" spans="1:47" s="129" customFormat="1" ht="15" customHeight="1" x14ac:dyDescent="0.25">
      <c r="A86" s="355">
        <f t="shared" si="1"/>
        <v>15.633333333333333</v>
      </c>
      <c r="B86" s="532">
        <v>42102</v>
      </c>
      <c r="C86" s="533" t="s">
        <v>453</v>
      </c>
      <c r="D86" s="533" t="s">
        <v>461</v>
      </c>
      <c r="E86" s="533" t="s">
        <v>380</v>
      </c>
      <c r="F86" s="533" t="s">
        <v>151</v>
      </c>
      <c r="G86" s="533" t="s">
        <v>1345</v>
      </c>
      <c r="H86" s="349"/>
      <c r="I86" s="352"/>
      <c r="J86" s="352"/>
      <c r="K86" s="352">
        <v>8</v>
      </c>
      <c r="L86" s="350">
        <v>4</v>
      </c>
      <c r="M86" s="350"/>
      <c r="N86" s="350">
        <v>4</v>
      </c>
      <c r="O86" s="350"/>
      <c r="P86" s="352">
        <v>4</v>
      </c>
      <c r="Q86" s="352"/>
      <c r="R86" s="352"/>
      <c r="S86" s="352"/>
      <c r="T86" s="352"/>
      <c r="U86" s="352"/>
      <c r="V86" s="497"/>
      <c r="W86" s="352"/>
      <c r="X86" s="352"/>
      <c r="Y86" s="352">
        <f>IF(NFI_Expiration=1,IF($A86&lt;VLOOKUP(H$5,NFI,5,0),1,0)*Table_NFI[[#This Row],[Hygiene Kit]],Table_NFI[Hygiene Kit])</f>
        <v>0</v>
      </c>
      <c r="Z86" s="352">
        <f>IF(NFI_Expiration=1,IF($A86&lt;VLOOKUP(I$5,NFI,5,0),1,0)*Table_NFI[[#This Row],[NFI Core Kit]],Table_NFI[NFI Core Kit])</f>
        <v>0</v>
      </c>
      <c r="AA86" s="352">
        <f>IF(NFI_Expiration=1,IF($A86&lt;VLOOKUP(J$5,NFI,5,0),1,0)*Table_NFI[[#This Row],[Sanitary Kit]],Table_NFI[Sanitary Kit])</f>
        <v>0</v>
      </c>
      <c r="AB86" s="352">
        <f>IF(NFI_Expiration=1,IF($A86&lt;VLOOKUP(K$5,NFI,5,0),1,0)*Table_NFI[[#This Row],[Mosquito net]],Table_NFI[Mosquito net])</f>
        <v>0</v>
      </c>
      <c r="AC86" s="352">
        <f>IF(NFI_Expiration=1,IF($A86&lt;VLOOKUP(L$5,NFI,5,0),1,0)*Table_NFI[[#This Row],[Tarpaulin]],Table_NFI[[#This Row],[Tarpaulin]])</f>
        <v>0</v>
      </c>
      <c r="AD86" s="352">
        <f>IF(NFI_Expiration=1,IF($A86&lt;VLOOKUP(M$5,NFI,5,0),1,0)*Table_NFI[[#This Row],[Blanket]],Table_NFI[[#This Row],[Blanket]])</f>
        <v>0</v>
      </c>
      <c r="AE86" s="352">
        <f>IF(NFI_Expiration=1,IF($A86&lt;VLOOKUP(N$5,NFI,5,0),1,0)*Table_NFI[[#This Row],[Kitchen Set]],Table_NFI[Kitchen Set])</f>
        <v>0</v>
      </c>
      <c r="AF86" s="352">
        <f>IF(NFI_Expiration=1,IF($A86&lt;VLOOKUP(O$5,NFI,5,0),1,0)*Table_NFI[[#This Row],[Clothes Kit]],Table_NFI[Clothes Kit])</f>
        <v>0</v>
      </c>
      <c r="AG86" s="352">
        <f>IF(NFI_Expiration=1,IF($A86&lt;VLOOKUP(P$5,NFI,5,0),1,0)*Table_NFI[[#This Row],[Plastic Bucket]],Table_NFI[Plastic Bucket])</f>
        <v>0</v>
      </c>
      <c r="AH86" s="352">
        <f>IF(NFI_Expiration=1,IF($A86&lt;VLOOKUP(Q$5,NFI,5,0),1,0)*Table_NFI[[#This Row],[Plastic Mat]],Table_NFI[Plastic Mat])*IF(Table_NFI[[#This Row],[Distribution Date]]&gt;"2014-04-01",1,2.5)</f>
        <v>0</v>
      </c>
      <c r="AI86" s="352">
        <f>IF(NFI_Expiration=1,IF($A86&lt;VLOOKUP(R$5,NFI,5,0),1,0)*Table_NFI[[#This Row],[Winter Clothes Adult]],Table_NFI[Winter Clothes Adult])</f>
        <v>0</v>
      </c>
      <c r="AJ86" s="352">
        <f>IF(NFI_Expiration=1,IF($A86&lt;VLOOKUP(S$5,NFI,5,0),1,0)*Table_NFI[[#This Row],[Winter Clothes Children]],Table_NFI[Winter Clothes Children])</f>
        <v>0</v>
      </c>
      <c r="AK86" s="352">
        <f>IF(NFI_Expiration=1,IF($A86&lt;VLOOKUP(T$5,NFI,5,0),1,0)*Table_NFI[[#This Row],[Winter Items Other]],Table_NFI[Winter Items Other])</f>
        <v>0</v>
      </c>
      <c r="AL86" s="352">
        <f>IF(NFI_Expiration=1,IF($A86&lt;VLOOKUP(M$5,NFI,5,0),1,0)*Table_NFI[[#This Row],[Winter Blanket]],Table_NFI[[#This Row],[Winter Blanket]])</f>
        <v>0</v>
      </c>
      <c r="AM86" s="352">
        <f>IF(Table_NFI[[#This Row],[Winter Clothes Adult]]+Table_NFI[[#This Row],[Winter Clothes Children]]+Table_NFI[[#This Row],[Winter Items Other]]+Table_NFI[[#This Row],[Winter Blanket]]&gt;0,1,0)</f>
        <v>0</v>
      </c>
      <c r="AN86" s="392">
        <f>IF(NFI_Expiration=1,IF($A86&lt;VLOOKUP(V$5,NFI,5,0),1,0)*Table_NFI[[#This Row],[Jerry Can]],Table_NFI[Jerry Can])</f>
        <v>0</v>
      </c>
      <c r="AO86" s="540" t="str">
        <f>IFERROR(VLOOKUP(Table_NFI[[#This Row],[Camp Name]],CL,2,0),"")</f>
        <v/>
      </c>
      <c r="AP86" s="535" t="str">
        <f ca="1">IF(Table_NFI[[#This Row],[Pcode]]="","",IF(OFFSET(CampList[Opening Date],MATCH(Table_NFI[[#This Row],[Pcode]],CampList[CP_Pcode],0)-1,0,1,1)&gt;=NFI_Monitor_Date,1,0))</f>
        <v/>
      </c>
      <c r="AQ86" s="540" t="str">
        <f>IFERROR(VLOOKUP(Table_NFI[[#This Row],[Camp Name]],CL,3,0),"")</f>
        <v/>
      </c>
      <c r="AR86" s="352" t="str">
        <f ca="1">IF(Table_NFI[[#This Row],[Pcode]]="","",OFFSET(CampList[Priority],MATCH(Table_NFI[[#This Row],[Pcode]],CampList[CP_Pcode],0)-1,0,1,1))</f>
        <v/>
      </c>
      <c r="AS86" s="351" t="str">
        <f>IFERROR(Table_NFI[[#This Row],[Kitchen Set]]/VLOOKUP(Table_NFI[[#This Row],[Camp Name]],CL,4,0),"")</f>
        <v/>
      </c>
      <c r="AT86" s="533" t="s">
        <v>1094</v>
      </c>
      <c r="AU86" s="557"/>
    </row>
    <row r="87" spans="1:47" s="537" customFormat="1" ht="15" customHeight="1" x14ac:dyDescent="0.25">
      <c r="A87" s="355">
        <f t="shared" si="1"/>
        <v>15.8</v>
      </c>
      <c r="B87" s="532">
        <v>42097</v>
      </c>
      <c r="C87" s="533" t="s">
        <v>453</v>
      </c>
      <c r="D87" s="533" t="s">
        <v>1355</v>
      </c>
      <c r="E87" s="533" t="s">
        <v>380</v>
      </c>
      <c r="F87" s="533" t="s">
        <v>5</v>
      </c>
      <c r="G87" s="533" t="s">
        <v>1356</v>
      </c>
      <c r="H87" s="349"/>
      <c r="I87" s="349"/>
      <c r="J87" s="349"/>
      <c r="K87" s="349"/>
      <c r="L87" s="350"/>
      <c r="M87" s="350">
        <v>15</v>
      </c>
      <c r="N87" s="350"/>
      <c r="O87" s="350"/>
      <c r="P87" s="352">
        <v>26</v>
      </c>
      <c r="Q87" s="352">
        <v>720</v>
      </c>
      <c r="R87" s="352"/>
      <c r="S87" s="352"/>
      <c r="T87" s="352"/>
      <c r="U87" s="352"/>
      <c r="V87" s="497">
        <v>26</v>
      </c>
      <c r="W87" s="352"/>
      <c r="X87" s="352"/>
      <c r="Y87" s="352">
        <f>IF(NFI_Expiration=1,IF($A87&lt;VLOOKUP(H$5,NFI,5,0),1,0)*Table_NFI[[#This Row],[Hygiene Kit]],Table_NFI[Hygiene Kit])</f>
        <v>0</v>
      </c>
      <c r="Z87" s="352">
        <f>IF(NFI_Expiration=1,IF($A87&lt;VLOOKUP(I$5,NFI,5,0),1,0)*Table_NFI[[#This Row],[NFI Core Kit]],Table_NFI[NFI Core Kit])</f>
        <v>0</v>
      </c>
      <c r="AA87" s="352">
        <f>IF(NFI_Expiration=1,IF($A87&lt;VLOOKUP(J$5,NFI,5,0),1,0)*Table_NFI[[#This Row],[Sanitary Kit]],Table_NFI[Sanitary Kit])</f>
        <v>0</v>
      </c>
      <c r="AB87" s="352">
        <f>IF(NFI_Expiration=1,IF($A87&lt;VLOOKUP(K$5,NFI,5,0),1,0)*Table_NFI[[#This Row],[Mosquito net]],Table_NFI[Mosquito net])</f>
        <v>0</v>
      </c>
      <c r="AC87" s="352">
        <f>IF(NFI_Expiration=1,IF($A87&lt;VLOOKUP(L$5,NFI,5,0),1,0)*Table_NFI[[#This Row],[Tarpaulin]],Table_NFI[[#This Row],[Tarpaulin]])</f>
        <v>0</v>
      </c>
      <c r="AD87" s="352">
        <f>IF(NFI_Expiration=1,IF($A87&lt;VLOOKUP(M$5,NFI,5,0),1,0)*Table_NFI[[#This Row],[Blanket]],Table_NFI[[#This Row],[Blanket]])</f>
        <v>0</v>
      </c>
      <c r="AE87" s="352">
        <f>IF(NFI_Expiration=1,IF($A87&lt;VLOOKUP(N$5,NFI,5,0),1,0)*Table_NFI[[#This Row],[Kitchen Set]],Table_NFI[Kitchen Set])</f>
        <v>0</v>
      </c>
      <c r="AF87" s="352">
        <f>IF(NFI_Expiration=1,IF($A87&lt;VLOOKUP(O$5,NFI,5,0),1,0)*Table_NFI[[#This Row],[Clothes Kit]],Table_NFI[Clothes Kit])</f>
        <v>0</v>
      </c>
      <c r="AG87" s="352">
        <f>IF(NFI_Expiration=1,IF($A87&lt;VLOOKUP(P$5,NFI,5,0),1,0)*Table_NFI[[#This Row],[Plastic Bucket]],Table_NFI[Plastic Bucket])</f>
        <v>0</v>
      </c>
      <c r="AH87" s="352">
        <f>IF(NFI_Expiration=1,IF($A87&lt;VLOOKUP(Q$5,NFI,5,0),1,0)*Table_NFI[[#This Row],[Plastic Mat]],Table_NFI[Plastic Mat])*IF(Table_NFI[[#This Row],[Distribution Date]]&gt;"2014-04-01",1,2.5)</f>
        <v>0</v>
      </c>
      <c r="AI87" s="352">
        <f>IF(NFI_Expiration=1,IF($A87&lt;VLOOKUP(R$5,NFI,5,0),1,0)*Table_NFI[[#This Row],[Winter Clothes Adult]],Table_NFI[Winter Clothes Adult])</f>
        <v>0</v>
      </c>
      <c r="AJ87" s="352">
        <f>IF(NFI_Expiration=1,IF($A87&lt;VLOOKUP(S$5,NFI,5,0),1,0)*Table_NFI[[#This Row],[Winter Clothes Children]],Table_NFI[Winter Clothes Children])</f>
        <v>0</v>
      </c>
      <c r="AK87" s="352">
        <f>IF(NFI_Expiration=1,IF($A87&lt;VLOOKUP(T$5,NFI,5,0),1,0)*Table_NFI[[#This Row],[Winter Items Other]],Table_NFI[Winter Items Other])</f>
        <v>0</v>
      </c>
      <c r="AL87" s="352">
        <f>IF(NFI_Expiration=1,IF($A87&lt;VLOOKUP(M$5,NFI,5,0),1,0)*Table_NFI[[#This Row],[Winter Blanket]],Table_NFI[[#This Row],[Winter Blanket]])</f>
        <v>0</v>
      </c>
      <c r="AM87" s="352">
        <f>IF(Table_NFI[[#This Row],[Winter Clothes Adult]]+Table_NFI[[#This Row],[Winter Clothes Children]]+Table_NFI[[#This Row],[Winter Items Other]]+Table_NFI[[#This Row],[Winter Blanket]]&gt;0,1,0)</f>
        <v>0</v>
      </c>
      <c r="AN87" s="392">
        <f>IF(NFI_Expiration=1,IF($A87&lt;VLOOKUP(V$5,NFI,5,0),1,0)*Table_NFI[[#This Row],[Jerry Can]],Table_NFI[Jerry Can])</f>
        <v>0</v>
      </c>
      <c r="AO87" s="540" t="str">
        <f>IFERROR(VLOOKUP(Table_NFI[[#This Row],[Camp Name]],CL,2,0),"")</f>
        <v/>
      </c>
      <c r="AP87" s="535" t="str">
        <f ca="1">IF(Table_NFI[[#This Row],[Pcode]]="","",IF(OFFSET(CampList[Opening Date],MATCH(Table_NFI[[#This Row],[Pcode]],CampList[CP_Pcode],0)-1,0,1,1)&gt;=NFI_Monitor_Date,1,0))</f>
        <v/>
      </c>
      <c r="AQ87" s="540" t="str">
        <f>IFERROR(VLOOKUP(Table_NFI[[#This Row],[Camp Name]],CL,3,0),"")</f>
        <v/>
      </c>
      <c r="AR87" s="352" t="str">
        <f ca="1">IF(Table_NFI[[#This Row],[Pcode]]="","",OFFSET(CampList[Priority],MATCH(Table_NFI[[#This Row],[Pcode]],CampList[CP_Pcode],0)-1,0,1,1))</f>
        <v/>
      </c>
      <c r="AS87" s="351" t="str">
        <f>IFERROR(Table_NFI[[#This Row],[Kitchen Set]]/VLOOKUP(Table_NFI[[#This Row],[Camp Name]],CL,4,0),"")</f>
        <v/>
      </c>
      <c r="AT87" s="533" t="s">
        <v>1094</v>
      </c>
      <c r="AU87" s="536"/>
    </row>
    <row r="88" spans="1:47" s="129" customFormat="1" ht="15" hidden="1" customHeight="1" x14ac:dyDescent="0.25">
      <c r="A88" s="355">
        <f t="shared" si="1"/>
        <v>30.6</v>
      </c>
      <c r="B88" s="532">
        <v>41653</v>
      </c>
      <c r="C88" s="533" t="s">
        <v>454</v>
      </c>
      <c r="D88" s="533" t="s">
        <v>507</v>
      </c>
      <c r="E88" s="533" t="s">
        <v>380</v>
      </c>
      <c r="F88" s="533" t="s">
        <v>310</v>
      </c>
      <c r="G88" s="533" t="s">
        <v>334</v>
      </c>
      <c r="H88" s="349"/>
      <c r="I88" s="349"/>
      <c r="J88" s="349"/>
      <c r="K88" s="349"/>
      <c r="L88" s="350"/>
      <c r="M88" s="350"/>
      <c r="N88" s="350"/>
      <c r="O88" s="350">
        <v>180</v>
      </c>
      <c r="P88" s="352"/>
      <c r="Q88" s="352"/>
      <c r="R88" s="352"/>
      <c r="S88" s="352"/>
      <c r="T88" s="352"/>
      <c r="U88" s="352"/>
      <c r="V88" s="497"/>
      <c r="W88" s="352"/>
      <c r="X88" s="352"/>
      <c r="Y88" s="352">
        <f>IF(NFI_Expiration=1,IF($A88&lt;VLOOKUP(H$5,NFI,5,0),1,0)*Table_NFI[[#This Row],[Hygiene Kit]],Table_NFI[Hygiene Kit])</f>
        <v>0</v>
      </c>
      <c r="Z88" s="352">
        <f>IF(NFI_Expiration=1,IF($A88&lt;VLOOKUP(I$5,NFI,5,0),1,0)*Table_NFI[[#This Row],[NFI Core Kit]],Table_NFI[NFI Core Kit])</f>
        <v>0</v>
      </c>
      <c r="AA88" s="352">
        <f>IF(NFI_Expiration=1,IF($A88&lt;VLOOKUP(J$5,NFI,5,0),1,0)*Table_NFI[[#This Row],[Sanitary Kit]],Table_NFI[Sanitary Kit])</f>
        <v>0</v>
      </c>
      <c r="AB88" s="352">
        <f>IF(NFI_Expiration=1,IF($A88&lt;VLOOKUP(K$5,NFI,5,0),1,0)*Table_NFI[[#This Row],[Mosquito net]],Table_NFI[Mosquito net])</f>
        <v>0</v>
      </c>
      <c r="AC88" s="352">
        <f>IF(NFI_Expiration=1,IF($A88&lt;VLOOKUP(L$5,NFI,5,0),1,0)*Table_NFI[[#This Row],[Tarpaulin]],Table_NFI[[#This Row],[Tarpaulin]])</f>
        <v>0</v>
      </c>
      <c r="AD88" s="352">
        <f>IF(NFI_Expiration=1,IF($A88&lt;VLOOKUP(M$5,NFI,5,0),1,0)*Table_NFI[[#This Row],[Blanket]],Table_NFI[[#This Row],[Blanket]])</f>
        <v>0</v>
      </c>
      <c r="AE88" s="352">
        <f>IF(NFI_Expiration=1,IF($A88&lt;VLOOKUP(N$5,NFI,5,0),1,0)*Table_NFI[[#This Row],[Kitchen Set]],Table_NFI[Kitchen Set])</f>
        <v>0</v>
      </c>
      <c r="AF88" s="352">
        <f>IF(NFI_Expiration=1,IF($A88&lt;VLOOKUP(O$5,NFI,5,0),1,0)*Table_NFI[[#This Row],[Clothes Kit]],Table_NFI[Clothes Kit])</f>
        <v>0</v>
      </c>
      <c r="AG88" s="352">
        <f>IF(NFI_Expiration=1,IF($A88&lt;VLOOKUP(P$5,NFI,5,0),1,0)*Table_NFI[[#This Row],[Plastic Bucket]],Table_NFI[Plastic Bucket])</f>
        <v>0</v>
      </c>
      <c r="AH88" s="352">
        <f>IF(NFI_Expiration=1,IF($A88&lt;VLOOKUP(Q$5,NFI,5,0),1,0)*Table_NFI[[#This Row],[Plastic Mat]],Table_NFI[Plastic Mat])*IF(Table_NFI[[#This Row],[Distribution Date]]&gt;"2014-04-01",1,2.5)</f>
        <v>0</v>
      </c>
      <c r="AI88" s="352">
        <f>IF(NFI_Expiration=1,IF($A88&lt;VLOOKUP(R$5,NFI,5,0),1,0)*Table_NFI[[#This Row],[Winter Clothes Adult]],Table_NFI[Winter Clothes Adult])</f>
        <v>0</v>
      </c>
      <c r="AJ88" s="352">
        <f>IF(NFI_Expiration=1,IF($A88&lt;VLOOKUP(S$5,NFI,5,0),1,0)*Table_NFI[[#This Row],[Winter Clothes Children]],Table_NFI[Winter Clothes Children])</f>
        <v>0</v>
      </c>
      <c r="AK88" s="352">
        <f>IF(NFI_Expiration=1,IF($A88&lt;VLOOKUP(T$5,NFI,5,0),1,0)*Table_NFI[[#This Row],[Winter Items Other]],Table_NFI[Winter Items Other])</f>
        <v>0</v>
      </c>
      <c r="AL88" s="352">
        <f>IF(NFI_Expiration=1,IF($A88&lt;VLOOKUP(M$5,NFI,5,0),1,0)*Table_NFI[[#This Row],[Winter Blanket]],Table_NFI[[#This Row],[Winter Blanket]])</f>
        <v>0</v>
      </c>
      <c r="AM88" s="352">
        <f>IF(Table_NFI[[#This Row],[Winter Clothes Adult]]+Table_NFI[[#This Row],[Winter Clothes Children]]+Table_NFI[[#This Row],[Winter Items Other]]+Table_NFI[[#This Row],[Winter Blanket]]&gt;0,1,0)</f>
        <v>0</v>
      </c>
      <c r="AN88" s="392">
        <f>IF(NFI_Expiration=1,IF($A88&lt;VLOOKUP(V$5,NFI,5,0),1,0)*Table_NFI[[#This Row],[Jerry Can]],Table_NFI[Jerry Can])</f>
        <v>0</v>
      </c>
      <c r="AO88" s="540" t="str">
        <f>IFERROR(VLOOKUP(Table_NFI[[#This Row],[Camp Name]],CL,2,0),"")</f>
        <v>MMR001CMP113</v>
      </c>
      <c r="AP88" s="535">
        <f ca="1">IF(Table_NFI[[#This Row],[Pcode]]="","",IF(OFFSET(CampList[Opening Date],MATCH(Table_NFI[[#This Row],[Pcode]],CampList[CP_Pcode],0)-1,0,1,1)&gt;=NFI_Monitor_Date,1,0))</f>
        <v>0</v>
      </c>
      <c r="AQ88" s="540" t="str">
        <f>IFERROR(VLOOKUP(Table_NFI[[#This Row],[Camp Name]],CL,3,0),"")</f>
        <v>Open</v>
      </c>
      <c r="AR88" s="352" t="str">
        <f ca="1">IF(Table_NFI[[#This Row],[Pcode]]="","",OFFSET(CampList[Priority],MATCH(Table_NFI[[#This Row],[Pcode]],CampList[CP_Pcode],0)-1,0,1,1))</f>
        <v>P1</v>
      </c>
      <c r="AS88" s="351">
        <f>IFERROR(Table_NFI[[#This Row],[Kitchen Set]]/VLOOKUP(Table_NFI[[#This Row],[Camp Name]],CL,4,0),"")</f>
        <v>0</v>
      </c>
      <c r="AT88" s="533" t="s">
        <v>1094</v>
      </c>
      <c r="AU88" s="536"/>
    </row>
    <row r="89" spans="1:47" s="537" customFormat="1" ht="15" hidden="1" customHeight="1" x14ac:dyDescent="0.25">
      <c r="A89" s="355">
        <f t="shared" si="1"/>
        <v>30.6</v>
      </c>
      <c r="B89" s="532">
        <v>41653</v>
      </c>
      <c r="C89" s="533" t="s">
        <v>454</v>
      </c>
      <c r="D89" s="533" t="s">
        <v>507</v>
      </c>
      <c r="E89" s="533" t="s">
        <v>380</v>
      </c>
      <c r="F89" s="533" t="s">
        <v>310</v>
      </c>
      <c r="G89" s="533" t="s">
        <v>334</v>
      </c>
      <c r="H89" s="349"/>
      <c r="I89" s="349"/>
      <c r="J89" s="349"/>
      <c r="K89" s="349"/>
      <c r="L89" s="350"/>
      <c r="M89" s="350"/>
      <c r="N89" s="350"/>
      <c r="O89" s="350"/>
      <c r="P89" s="352"/>
      <c r="Q89" s="352"/>
      <c r="R89" s="352">
        <v>501</v>
      </c>
      <c r="S89" s="352">
        <v>335</v>
      </c>
      <c r="T89" s="352"/>
      <c r="U89" s="352"/>
      <c r="V89" s="497"/>
      <c r="W89" s="352"/>
      <c r="X89" s="352"/>
      <c r="Y89" s="352">
        <f>IF(NFI_Expiration=1,IF($A89&lt;VLOOKUP(H$5,NFI,5,0),1,0)*Table_NFI[[#This Row],[Hygiene Kit]],Table_NFI[Hygiene Kit])</f>
        <v>0</v>
      </c>
      <c r="Z89" s="352">
        <f>IF(NFI_Expiration=1,IF($A89&lt;VLOOKUP(I$5,NFI,5,0),1,0)*Table_NFI[[#This Row],[NFI Core Kit]],Table_NFI[NFI Core Kit])</f>
        <v>0</v>
      </c>
      <c r="AA89" s="352">
        <f>IF(NFI_Expiration=1,IF($A89&lt;VLOOKUP(J$5,NFI,5,0),1,0)*Table_NFI[[#This Row],[Sanitary Kit]],Table_NFI[Sanitary Kit])</f>
        <v>0</v>
      </c>
      <c r="AB89" s="352">
        <f>IF(NFI_Expiration=1,IF($A89&lt;VLOOKUP(K$5,NFI,5,0),1,0)*Table_NFI[[#This Row],[Mosquito net]],Table_NFI[Mosquito net])</f>
        <v>0</v>
      </c>
      <c r="AC89" s="352">
        <f>IF(NFI_Expiration=1,IF($A89&lt;VLOOKUP(L$5,NFI,5,0),1,0)*Table_NFI[[#This Row],[Tarpaulin]],Table_NFI[[#This Row],[Tarpaulin]])</f>
        <v>0</v>
      </c>
      <c r="AD89" s="352">
        <f>IF(NFI_Expiration=1,IF($A89&lt;VLOOKUP(M$5,NFI,5,0),1,0)*Table_NFI[[#This Row],[Blanket]],Table_NFI[[#This Row],[Blanket]])</f>
        <v>0</v>
      </c>
      <c r="AE89" s="352">
        <f>IF(NFI_Expiration=1,IF($A89&lt;VLOOKUP(N$5,NFI,5,0),1,0)*Table_NFI[[#This Row],[Kitchen Set]],Table_NFI[Kitchen Set])</f>
        <v>0</v>
      </c>
      <c r="AF89" s="352">
        <f>IF(NFI_Expiration=1,IF($A89&lt;VLOOKUP(O$5,NFI,5,0),1,0)*Table_NFI[[#This Row],[Clothes Kit]],Table_NFI[Clothes Kit])</f>
        <v>0</v>
      </c>
      <c r="AG89" s="352">
        <f>IF(NFI_Expiration=1,IF($A89&lt;VLOOKUP(P$5,NFI,5,0),1,0)*Table_NFI[[#This Row],[Plastic Bucket]],Table_NFI[Plastic Bucket])</f>
        <v>0</v>
      </c>
      <c r="AH89" s="352">
        <f>IF(NFI_Expiration=1,IF($A89&lt;VLOOKUP(Q$5,NFI,5,0),1,0)*Table_NFI[[#This Row],[Plastic Mat]],Table_NFI[Plastic Mat])*IF(Table_NFI[[#This Row],[Distribution Date]]&gt;"2014-04-01",1,2.5)</f>
        <v>0</v>
      </c>
      <c r="AI89" s="352">
        <f>IF(NFI_Expiration=1,IF($A89&lt;VLOOKUP(R$5,NFI,5,0),1,0)*Table_NFI[[#This Row],[Winter Clothes Adult]],Table_NFI[Winter Clothes Adult])</f>
        <v>0</v>
      </c>
      <c r="AJ89" s="352">
        <f>IF(NFI_Expiration=1,IF($A89&lt;VLOOKUP(S$5,NFI,5,0),1,0)*Table_NFI[[#This Row],[Winter Clothes Children]],Table_NFI[Winter Clothes Children])</f>
        <v>0</v>
      </c>
      <c r="AK89" s="352">
        <f>IF(NFI_Expiration=1,IF($A89&lt;VLOOKUP(T$5,NFI,5,0),1,0)*Table_NFI[[#This Row],[Winter Items Other]],Table_NFI[Winter Items Other])</f>
        <v>0</v>
      </c>
      <c r="AL89" s="352">
        <f>IF(NFI_Expiration=1,IF($A89&lt;VLOOKUP(M$5,NFI,5,0),1,0)*Table_NFI[[#This Row],[Winter Blanket]],Table_NFI[[#This Row],[Winter Blanket]])</f>
        <v>0</v>
      </c>
      <c r="AM89" s="352">
        <f>IF(Table_NFI[[#This Row],[Winter Clothes Adult]]+Table_NFI[[#This Row],[Winter Clothes Children]]+Table_NFI[[#This Row],[Winter Items Other]]+Table_NFI[[#This Row],[Winter Blanket]]&gt;0,1,0)</f>
        <v>1</v>
      </c>
      <c r="AN89" s="392">
        <f>IF(NFI_Expiration=1,IF($A89&lt;VLOOKUP(V$5,NFI,5,0),1,0)*Table_NFI[[#This Row],[Jerry Can]],Table_NFI[Jerry Can])</f>
        <v>0</v>
      </c>
      <c r="AO89" s="540" t="str">
        <f>IFERROR(VLOOKUP(Table_NFI[[#This Row],[Camp Name]],CL,2,0),"")</f>
        <v>MMR001CMP113</v>
      </c>
      <c r="AP89" s="535">
        <f ca="1">IF(Table_NFI[[#This Row],[Pcode]]="","",IF(OFFSET(CampList[Opening Date],MATCH(Table_NFI[[#This Row],[Pcode]],CampList[CP_Pcode],0)-1,0,1,1)&gt;=NFI_Monitor_Date,1,0))</f>
        <v>0</v>
      </c>
      <c r="AQ89" s="540" t="str">
        <f>IFERROR(VLOOKUP(Table_NFI[[#This Row],[Camp Name]],CL,3,0),"")</f>
        <v>Open</v>
      </c>
      <c r="AR89" s="352" t="str">
        <f ca="1">IF(Table_NFI[[#This Row],[Pcode]]="","",OFFSET(CampList[Priority],MATCH(Table_NFI[[#This Row],[Pcode]],CampList[CP_Pcode],0)-1,0,1,1))</f>
        <v>P1</v>
      </c>
      <c r="AS89" s="351">
        <f>IFERROR(Table_NFI[[#This Row],[Kitchen Set]]/VLOOKUP(Table_NFI[[#This Row],[Camp Name]],CL,4,0),"")</f>
        <v>0</v>
      </c>
      <c r="AT89" s="533" t="s">
        <v>1094</v>
      </c>
      <c r="AU89" s="536"/>
    </row>
    <row r="90" spans="1:47" s="129" customFormat="1" ht="15" hidden="1" customHeight="1" x14ac:dyDescent="0.25">
      <c r="A90" s="355">
        <f t="shared" si="1"/>
        <v>32</v>
      </c>
      <c r="B90" s="532">
        <v>41611</v>
      </c>
      <c r="C90" s="533" t="s">
        <v>907</v>
      </c>
      <c r="D90" s="533" t="s">
        <v>461</v>
      </c>
      <c r="E90" s="533" t="s">
        <v>380</v>
      </c>
      <c r="F90" s="533" t="s">
        <v>310</v>
      </c>
      <c r="G90" s="533" t="s">
        <v>334</v>
      </c>
      <c r="H90" s="349"/>
      <c r="I90" s="349"/>
      <c r="J90" s="349"/>
      <c r="K90" s="349"/>
      <c r="L90" s="350"/>
      <c r="M90" s="350"/>
      <c r="N90" s="350"/>
      <c r="O90" s="350"/>
      <c r="P90" s="352"/>
      <c r="Q90" s="352"/>
      <c r="R90" s="352">
        <v>181</v>
      </c>
      <c r="S90" s="352">
        <v>362</v>
      </c>
      <c r="T90" s="352">
        <v>1086</v>
      </c>
      <c r="U90" s="352">
        <v>543</v>
      </c>
      <c r="V90" s="497"/>
      <c r="W90" s="352"/>
      <c r="X90" s="352"/>
      <c r="Y90" s="352">
        <f>IF(NFI_Expiration=1,IF($A90&lt;VLOOKUP(H$5,NFI,5,0),1,0)*Table_NFI[[#This Row],[Hygiene Kit]],Table_NFI[Hygiene Kit])</f>
        <v>0</v>
      </c>
      <c r="Z90" s="352">
        <f>IF(NFI_Expiration=1,IF($A90&lt;VLOOKUP(I$5,NFI,5,0),1,0)*Table_NFI[[#This Row],[NFI Core Kit]],Table_NFI[NFI Core Kit])</f>
        <v>0</v>
      </c>
      <c r="AA90" s="352">
        <f>IF(NFI_Expiration=1,IF($A90&lt;VLOOKUP(J$5,NFI,5,0),1,0)*Table_NFI[[#This Row],[Sanitary Kit]],Table_NFI[Sanitary Kit])</f>
        <v>0</v>
      </c>
      <c r="AB90" s="352">
        <f>IF(NFI_Expiration=1,IF($A90&lt;VLOOKUP(K$5,NFI,5,0),1,0)*Table_NFI[[#This Row],[Mosquito net]],Table_NFI[Mosquito net])</f>
        <v>0</v>
      </c>
      <c r="AC90" s="352">
        <f>IF(NFI_Expiration=1,IF($A90&lt;VLOOKUP(L$5,NFI,5,0),1,0)*Table_NFI[[#This Row],[Tarpaulin]],Table_NFI[[#This Row],[Tarpaulin]])</f>
        <v>0</v>
      </c>
      <c r="AD90" s="352">
        <f>IF(NFI_Expiration=1,IF($A90&lt;VLOOKUP(M$5,NFI,5,0),1,0)*Table_NFI[[#This Row],[Blanket]],Table_NFI[[#This Row],[Blanket]])</f>
        <v>0</v>
      </c>
      <c r="AE90" s="352">
        <f>IF(NFI_Expiration=1,IF($A90&lt;VLOOKUP(N$5,NFI,5,0),1,0)*Table_NFI[[#This Row],[Kitchen Set]],Table_NFI[Kitchen Set])</f>
        <v>0</v>
      </c>
      <c r="AF90" s="352">
        <f>IF(NFI_Expiration=1,IF($A90&lt;VLOOKUP(O$5,NFI,5,0),1,0)*Table_NFI[[#This Row],[Clothes Kit]],Table_NFI[Clothes Kit])</f>
        <v>0</v>
      </c>
      <c r="AG90" s="352">
        <f>IF(NFI_Expiration=1,IF($A90&lt;VLOOKUP(P$5,NFI,5,0),1,0)*Table_NFI[[#This Row],[Plastic Bucket]],Table_NFI[Plastic Bucket])</f>
        <v>0</v>
      </c>
      <c r="AH90" s="352">
        <f>IF(NFI_Expiration=1,IF($A90&lt;VLOOKUP(Q$5,NFI,5,0),1,0)*Table_NFI[[#This Row],[Plastic Mat]],Table_NFI[Plastic Mat])*IF(Table_NFI[[#This Row],[Distribution Date]]&gt;"2014-04-01",1,2.5)</f>
        <v>0</v>
      </c>
      <c r="AI90" s="352">
        <f>IF(NFI_Expiration=1,IF($A90&lt;VLOOKUP(R$5,NFI,5,0),1,0)*Table_NFI[[#This Row],[Winter Clothes Adult]],Table_NFI[Winter Clothes Adult])</f>
        <v>0</v>
      </c>
      <c r="AJ90" s="352">
        <f>IF(NFI_Expiration=1,IF($A90&lt;VLOOKUP(S$5,NFI,5,0),1,0)*Table_NFI[[#This Row],[Winter Clothes Children]],Table_NFI[Winter Clothes Children])</f>
        <v>0</v>
      </c>
      <c r="AK90" s="352">
        <f>IF(NFI_Expiration=1,IF($A90&lt;VLOOKUP(T$5,NFI,5,0),1,0)*Table_NFI[[#This Row],[Winter Items Other]],Table_NFI[Winter Items Other])</f>
        <v>0</v>
      </c>
      <c r="AL90" s="352">
        <f>IF(NFI_Expiration=1,IF($A90&lt;VLOOKUP(M$5,NFI,5,0),1,0)*Table_NFI[[#This Row],[Winter Blanket]],Table_NFI[[#This Row],[Winter Blanket]])</f>
        <v>0</v>
      </c>
      <c r="AM90" s="352">
        <f>IF(Table_NFI[[#This Row],[Winter Clothes Adult]]+Table_NFI[[#This Row],[Winter Clothes Children]]+Table_NFI[[#This Row],[Winter Items Other]]+Table_NFI[[#This Row],[Winter Blanket]]&gt;0,1,0)</f>
        <v>1</v>
      </c>
      <c r="AN90" s="392">
        <f>IF(NFI_Expiration=1,IF($A90&lt;VLOOKUP(V$5,NFI,5,0),1,0)*Table_NFI[[#This Row],[Jerry Can]],Table_NFI[Jerry Can])</f>
        <v>0</v>
      </c>
      <c r="AO90" s="540" t="str">
        <f>IFERROR(VLOOKUP(Table_NFI[[#This Row],[Camp Name]],CL,2,0),"")</f>
        <v>MMR001CMP113</v>
      </c>
      <c r="AP90" s="535">
        <f ca="1">IF(Table_NFI[[#This Row],[Pcode]]="","",IF(OFFSET(CampList[Opening Date],MATCH(Table_NFI[[#This Row],[Pcode]],CampList[CP_Pcode],0)-1,0,1,1)&gt;=NFI_Monitor_Date,1,0))</f>
        <v>0</v>
      </c>
      <c r="AQ90" s="540" t="str">
        <f>IFERROR(VLOOKUP(Table_NFI[[#This Row],[Camp Name]],CL,3,0),"")</f>
        <v>Open</v>
      </c>
      <c r="AR90" s="352" t="str">
        <f ca="1">IF(Table_NFI[[#This Row],[Pcode]]="","",OFFSET(CampList[Priority],MATCH(Table_NFI[[#This Row],[Pcode]],CampList[CP_Pcode],0)-1,0,1,1))</f>
        <v>P1</v>
      </c>
      <c r="AS90" s="351">
        <f>IFERROR(Table_NFI[[#This Row],[Kitchen Set]]/VLOOKUP(Table_NFI[[#This Row],[Camp Name]],CL,4,0),"")</f>
        <v>0</v>
      </c>
      <c r="AT90" s="533"/>
      <c r="AU90" s="536"/>
    </row>
    <row r="91" spans="1:47" s="129" customFormat="1" ht="15" hidden="1" customHeight="1" x14ac:dyDescent="0.25">
      <c r="A91" s="355">
        <f t="shared" si="1"/>
        <v>32.1</v>
      </c>
      <c r="B91" s="532">
        <v>41608</v>
      </c>
      <c r="C91" s="533" t="s">
        <v>907</v>
      </c>
      <c r="D91" s="533" t="s">
        <v>461</v>
      </c>
      <c r="E91" s="533" t="s">
        <v>380</v>
      </c>
      <c r="F91" s="348" t="s">
        <v>310</v>
      </c>
      <c r="G91" s="348" t="s">
        <v>334</v>
      </c>
      <c r="H91" s="349"/>
      <c r="I91" s="349"/>
      <c r="J91" s="349"/>
      <c r="K91" s="349"/>
      <c r="L91" s="350"/>
      <c r="M91" s="350"/>
      <c r="N91" s="350"/>
      <c r="O91" s="350"/>
      <c r="P91" s="352"/>
      <c r="Q91" s="352"/>
      <c r="R91" s="352"/>
      <c r="S91" s="352"/>
      <c r="T91" s="352"/>
      <c r="U91" s="352"/>
      <c r="V91" s="497"/>
      <c r="W91" s="352"/>
      <c r="X91" s="352"/>
      <c r="Y91" s="352">
        <f>IF(NFI_Expiration=1,IF($A91&lt;VLOOKUP(H$5,NFI,5,0),1,0)*Table_NFI[[#This Row],[Hygiene Kit]],Table_NFI[Hygiene Kit])</f>
        <v>0</v>
      </c>
      <c r="Z91" s="352">
        <f>IF(NFI_Expiration=1,IF($A91&lt;VLOOKUP(I$5,NFI,5,0),1,0)*Table_NFI[[#This Row],[NFI Core Kit]],Table_NFI[NFI Core Kit])</f>
        <v>0</v>
      </c>
      <c r="AA91" s="352">
        <f>IF(NFI_Expiration=1,IF($A91&lt;VLOOKUP(J$5,NFI,5,0),1,0)*Table_NFI[[#This Row],[Sanitary Kit]],Table_NFI[Sanitary Kit])</f>
        <v>0</v>
      </c>
      <c r="AB91" s="352">
        <f>IF(NFI_Expiration=1,IF($A91&lt;VLOOKUP(K$5,NFI,5,0),1,0)*Table_NFI[[#This Row],[Mosquito net]],Table_NFI[Mosquito net])</f>
        <v>0</v>
      </c>
      <c r="AC91" s="352">
        <f>IF(NFI_Expiration=1,IF($A91&lt;VLOOKUP(L$5,NFI,5,0),1,0)*Table_NFI[[#This Row],[Tarpaulin]],Table_NFI[[#This Row],[Tarpaulin]])</f>
        <v>0</v>
      </c>
      <c r="AD91" s="352">
        <f>IF(NFI_Expiration=1,IF($A91&lt;VLOOKUP(M$5,NFI,5,0),1,0)*Table_NFI[[#This Row],[Blanket]],Table_NFI[[#This Row],[Blanket]])</f>
        <v>0</v>
      </c>
      <c r="AE91" s="352">
        <f>IF(NFI_Expiration=1,IF($A91&lt;VLOOKUP(N$5,NFI,5,0),1,0)*Table_NFI[[#This Row],[Kitchen Set]],Table_NFI[Kitchen Set])</f>
        <v>0</v>
      </c>
      <c r="AF91" s="352">
        <f>IF(NFI_Expiration=1,IF($A91&lt;VLOOKUP(O$5,NFI,5,0),1,0)*Table_NFI[[#This Row],[Clothes Kit]],Table_NFI[Clothes Kit])</f>
        <v>0</v>
      </c>
      <c r="AG91" s="352">
        <f>IF(NFI_Expiration=1,IF($A91&lt;VLOOKUP(P$5,NFI,5,0),1,0)*Table_NFI[[#This Row],[Plastic Bucket]],Table_NFI[Plastic Bucket])</f>
        <v>0</v>
      </c>
      <c r="AH91" s="352">
        <f>IF(NFI_Expiration=1,IF($A91&lt;VLOOKUP(Q$5,NFI,5,0),1,0)*Table_NFI[[#This Row],[Plastic Mat]],Table_NFI[Plastic Mat])*IF(Table_NFI[[#This Row],[Distribution Date]]&gt;"2014-04-01",1,2.5)</f>
        <v>0</v>
      </c>
      <c r="AI91" s="352">
        <f>IF(NFI_Expiration=1,IF($A91&lt;VLOOKUP(R$5,NFI,5,0),1,0)*Table_NFI[[#This Row],[Winter Clothes Adult]],Table_NFI[Winter Clothes Adult])</f>
        <v>0</v>
      </c>
      <c r="AJ91" s="352">
        <f>IF(NFI_Expiration=1,IF($A91&lt;VLOOKUP(S$5,NFI,5,0),1,0)*Table_NFI[[#This Row],[Winter Clothes Children]],Table_NFI[Winter Clothes Children])</f>
        <v>0</v>
      </c>
      <c r="AK91" s="352">
        <f>IF(NFI_Expiration=1,IF($A91&lt;VLOOKUP(T$5,NFI,5,0),1,0)*Table_NFI[[#This Row],[Winter Items Other]],Table_NFI[Winter Items Other])</f>
        <v>0</v>
      </c>
      <c r="AL91" s="352">
        <f>IF(NFI_Expiration=1,IF($A91&lt;VLOOKUP(M$5,NFI,5,0),1,0)*Table_NFI[[#This Row],[Winter Blanket]],Table_NFI[[#This Row],[Winter Blanket]])</f>
        <v>0</v>
      </c>
      <c r="AM91" s="352">
        <f>IF(Table_NFI[[#This Row],[Winter Clothes Adult]]+Table_NFI[[#This Row],[Winter Clothes Children]]+Table_NFI[[#This Row],[Winter Items Other]]+Table_NFI[[#This Row],[Winter Blanket]]&gt;0,1,0)</f>
        <v>0</v>
      </c>
      <c r="AN91" s="392">
        <f>IF(NFI_Expiration=1,IF($A91&lt;VLOOKUP(V$5,NFI,5,0),1,0)*Table_NFI[[#This Row],[Jerry Can]],Table_NFI[Jerry Can])</f>
        <v>0</v>
      </c>
      <c r="AO91" s="540" t="str">
        <f>IFERROR(VLOOKUP(Table_NFI[[#This Row],[Camp Name]],CL,2,0),"")</f>
        <v>MMR001CMP113</v>
      </c>
      <c r="AP91" s="535">
        <f ca="1">IF(Table_NFI[[#This Row],[Pcode]]="","",IF(OFFSET(CampList[Opening Date],MATCH(Table_NFI[[#This Row],[Pcode]],CampList[CP_Pcode],0)-1,0,1,1)&gt;=NFI_Monitor_Date,1,0))</f>
        <v>0</v>
      </c>
      <c r="AQ91" s="540" t="str">
        <f>IFERROR(VLOOKUP(Table_NFI[[#This Row],[Camp Name]],CL,3,0),"")</f>
        <v>Open</v>
      </c>
      <c r="AR91" s="352" t="str">
        <f ca="1">IF(Table_NFI[[#This Row],[Pcode]]="","",OFFSET(CampList[Priority],MATCH(Table_NFI[[#This Row],[Pcode]],CampList[CP_Pcode],0)-1,0,1,1))</f>
        <v>P1</v>
      </c>
      <c r="AS91" s="351">
        <f>IFERROR(Table_NFI[[#This Row],[Kitchen Set]]/VLOOKUP(Table_NFI[[#This Row],[Camp Name]],CL,4,0),"")</f>
        <v>0</v>
      </c>
      <c r="AT91" s="533" t="s">
        <v>1094</v>
      </c>
      <c r="AU91" s="536"/>
    </row>
    <row r="92" spans="1:47" s="129" customFormat="1" ht="15" hidden="1" customHeight="1" x14ac:dyDescent="0.25">
      <c r="A92" s="355">
        <f t="shared" si="1"/>
        <v>32.333333333333336</v>
      </c>
      <c r="B92" s="532">
        <v>41601</v>
      </c>
      <c r="C92" s="533" t="s">
        <v>454</v>
      </c>
      <c r="D92" s="533"/>
      <c r="E92" s="533" t="s">
        <v>380</v>
      </c>
      <c r="F92" s="533" t="s">
        <v>310</v>
      </c>
      <c r="G92" s="533" t="s">
        <v>334</v>
      </c>
      <c r="H92" s="349"/>
      <c r="I92" s="349"/>
      <c r="J92" s="349"/>
      <c r="K92" s="349"/>
      <c r="L92" s="350"/>
      <c r="M92" s="350">
        <v>358</v>
      </c>
      <c r="N92" s="350"/>
      <c r="O92" s="350"/>
      <c r="P92" s="352"/>
      <c r="Q92" s="352"/>
      <c r="R92" s="352"/>
      <c r="S92" s="352"/>
      <c r="T92" s="352"/>
      <c r="U92" s="352"/>
      <c r="V92" s="497"/>
      <c r="W92" s="352"/>
      <c r="X92" s="352"/>
      <c r="Y92" s="352">
        <f>IF(NFI_Expiration=1,IF($A92&lt;VLOOKUP(H$5,NFI,5,0),1,0)*Table_NFI[[#This Row],[Hygiene Kit]],Table_NFI[Hygiene Kit])</f>
        <v>0</v>
      </c>
      <c r="Z92" s="352">
        <f>IF(NFI_Expiration=1,IF($A92&lt;VLOOKUP(I$5,NFI,5,0),1,0)*Table_NFI[[#This Row],[NFI Core Kit]],Table_NFI[NFI Core Kit])</f>
        <v>0</v>
      </c>
      <c r="AA92" s="352">
        <f>IF(NFI_Expiration=1,IF($A92&lt;VLOOKUP(J$5,NFI,5,0),1,0)*Table_NFI[[#This Row],[Sanitary Kit]],Table_NFI[Sanitary Kit])</f>
        <v>0</v>
      </c>
      <c r="AB92" s="352">
        <f>IF(NFI_Expiration=1,IF($A92&lt;VLOOKUP(K$5,NFI,5,0),1,0)*Table_NFI[[#This Row],[Mosquito net]],Table_NFI[Mosquito net])</f>
        <v>0</v>
      </c>
      <c r="AC92" s="352">
        <f>IF(NFI_Expiration=1,IF($A92&lt;VLOOKUP(L$5,NFI,5,0),1,0)*Table_NFI[[#This Row],[Tarpaulin]],Table_NFI[[#This Row],[Tarpaulin]])</f>
        <v>0</v>
      </c>
      <c r="AD92" s="352">
        <f>IF(NFI_Expiration=1,IF($A92&lt;VLOOKUP(M$5,NFI,5,0),1,0)*Table_NFI[[#This Row],[Blanket]],Table_NFI[[#This Row],[Blanket]])</f>
        <v>0</v>
      </c>
      <c r="AE92" s="352">
        <f>IF(NFI_Expiration=1,IF($A92&lt;VLOOKUP(N$5,NFI,5,0),1,0)*Table_NFI[[#This Row],[Kitchen Set]],Table_NFI[Kitchen Set])</f>
        <v>0</v>
      </c>
      <c r="AF92" s="352">
        <f>IF(NFI_Expiration=1,IF($A92&lt;VLOOKUP(O$5,NFI,5,0),1,0)*Table_NFI[[#This Row],[Clothes Kit]],Table_NFI[Clothes Kit])</f>
        <v>0</v>
      </c>
      <c r="AG92" s="352">
        <f>IF(NFI_Expiration=1,IF($A92&lt;VLOOKUP(P$5,NFI,5,0),1,0)*Table_NFI[[#This Row],[Plastic Bucket]],Table_NFI[Plastic Bucket])</f>
        <v>0</v>
      </c>
      <c r="AH92" s="352">
        <f>IF(NFI_Expiration=1,IF($A92&lt;VLOOKUP(Q$5,NFI,5,0),1,0)*Table_NFI[[#This Row],[Plastic Mat]],Table_NFI[Plastic Mat])*IF(Table_NFI[[#This Row],[Distribution Date]]&gt;"2014-04-01",1,2.5)</f>
        <v>0</v>
      </c>
      <c r="AI92" s="352">
        <f>IF(NFI_Expiration=1,IF($A92&lt;VLOOKUP(R$5,NFI,5,0),1,0)*Table_NFI[[#This Row],[Winter Clothes Adult]],Table_NFI[Winter Clothes Adult])</f>
        <v>0</v>
      </c>
      <c r="AJ92" s="352">
        <f>IF(NFI_Expiration=1,IF($A92&lt;VLOOKUP(S$5,NFI,5,0),1,0)*Table_NFI[[#This Row],[Winter Clothes Children]],Table_NFI[Winter Clothes Children])</f>
        <v>0</v>
      </c>
      <c r="AK92" s="352">
        <f>IF(NFI_Expiration=1,IF($A92&lt;VLOOKUP(T$5,NFI,5,0),1,0)*Table_NFI[[#This Row],[Winter Items Other]],Table_NFI[Winter Items Other])</f>
        <v>0</v>
      </c>
      <c r="AL92" s="352">
        <f>IF(NFI_Expiration=1,IF($A92&lt;VLOOKUP(M$5,NFI,5,0),1,0)*Table_NFI[[#This Row],[Winter Blanket]],Table_NFI[[#This Row],[Winter Blanket]])</f>
        <v>0</v>
      </c>
      <c r="AM92" s="352">
        <f>IF(Table_NFI[[#This Row],[Winter Clothes Adult]]+Table_NFI[[#This Row],[Winter Clothes Children]]+Table_NFI[[#This Row],[Winter Items Other]]+Table_NFI[[#This Row],[Winter Blanket]]&gt;0,1,0)</f>
        <v>0</v>
      </c>
      <c r="AN92" s="392">
        <f>IF(NFI_Expiration=1,IF($A92&lt;VLOOKUP(V$5,NFI,5,0),1,0)*Table_NFI[[#This Row],[Jerry Can]],Table_NFI[Jerry Can])</f>
        <v>0</v>
      </c>
      <c r="AO92" s="540" t="str">
        <f>IFERROR(VLOOKUP(Table_NFI[[#This Row],[Camp Name]],CL,2,0),"")</f>
        <v>MMR001CMP113</v>
      </c>
      <c r="AP92" s="535">
        <f ca="1">IF(Table_NFI[[#This Row],[Pcode]]="","",IF(OFFSET(CampList[Opening Date],MATCH(Table_NFI[[#This Row],[Pcode]],CampList[CP_Pcode],0)-1,0,1,1)&gt;=NFI_Monitor_Date,1,0))</f>
        <v>0</v>
      </c>
      <c r="AQ92" s="540" t="str">
        <f>IFERROR(VLOOKUP(Table_NFI[[#This Row],[Camp Name]],CL,3,0),"")</f>
        <v>Open</v>
      </c>
      <c r="AR92" s="352" t="str">
        <f ca="1">IF(Table_NFI[[#This Row],[Pcode]]="","",OFFSET(CampList[Priority],MATCH(Table_NFI[[#This Row],[Pcode]],CampList[CP_Pcode],0)-1,0,1,1))</f>
        <v>P1</v>
      </c>
      <c r="AS92" s="351">
        <f>IFERROR(Table_NFI[[#This Row],[Kitchen Set]]/VLOOKUP(Table_NFI[[#This Row],[Camp Name]],CL,4,0),"")</f>
        <v>0</v>
      </c>
      <c r="AT92" s="533" t="s">
        <v>1094</v>
      </c>
      <c r="AU92" s="536"/>
    </row>
    <row r="93" spans="1:47" s="129" customFormat="1" ht="15" hidden="1" customHeight="1" x14ac:dyDescent="0.25">
      <c r="A93" s="355">
        <f t="shared" si="1"/>
        <v>38.766666666666666</v>
      </c>
      <c r="B93" s="532">
        <v>41408</v>
      </c>
      <c r="C93" s="533" t="s">
        <v>903</v>
      </c>
      <c r="D93" s="533" t="s">
        <v>507</v>
      </c>
      <c r="E93" s="533" t="s">
        <v>380</v>
      </c>
      <c r="F93" s="533" t="s">
        <v>310</v>
      </c>
      <c r="G93" s="348" t="s">
        <v>334</v>
      </c>
      <c r="H93" s="349">
        <v>604</v>
      </c>
      <c r="I93" s="349"/>
      <c r="J93" s="349"/>
      <c r="K93" s="349"/>
      <c r="L93" s="350"/>
      <c r="M93" s="350"/>
      <c r="N93" s="350"/>
      <c r="O93" s="350"/>
      <c r="P93" s="352"/>
      <c r="Q93" s="352"/>
      <c r="R93" s="352"/>
      <c r="S93" s="352"/>
      <c r="T93" s="352"/>
      <c r="U93" s="352"/>
      <c r="V93" s="497"/>
      <c r="W93" s="352"/>
      <c r="X93" s="352"/>
      <c r="Y93" s="352">
        <f>IF(NFI_Expiration=1,IF($A93&lt;VLOOKUP(H$5,NFI,5,0),1,0)*Table_NFI[[#This Row],[Hygiene Kit]],Table_NFI[Hygiene Kit])</f>
        <v>0</v>
      </c>
      <c r="Z93" s="352">
        <f>IF(NFI_Expiration=1,IF($A93&lt;VLOOKUP(I$5,NFI,5,0),1,0)*Table_NFI[[#This Row],[NFI Core Kit]],Table_NFI[NFI Core Kit])</f>
        <v>0</v>
      </c>
      <c r="AA93" s="352">
        <f>IF(NFI_Expiration=1,IF($A93&lt;VLOOKUP(J$5,NFI,5,0),1,0)*Table_NFI[[#This Row],[Sanitary Kit]],Table_NFI[Sanitary Kit])</f>
        <v>0</v>
      </c>
      <c r="AB93" s="352">
        <f>IF(NFI_Expiration=1,IF($A93&lt;VLOOKUP(K$5,NFI,5,0),1,0)*Table_NFI[[#This Row],[Mosquito net]],Table_NFI[Mosquito net])</f>
        <v>0</v>
      </c>
      <c r="AC93" s="352">
        <f>IF(NFI_Expiration=1,IF($A93&lt;VLOOKUP(L$5,NFI,5,0),1,0)*Table_NFI[[#This Row],[Tarpaulin]],Table_NFI[[#This Row],[Tarpaulin]])</f>
        <v>0</v>
      </c>
      <c r="AD93" s="352">
        <f>IF(NFI_Expiration=1,IF($A93&lt;VLOOKUP(M$5,NFI,5,0),1,0)*Table_NFI[[#This Row],[Blanket]],Table_NFI[[#This Row],[Blanket]])</f>
        <v>0</v>
      </c>
      <c r="AE93" s="352">
        <f>IF(NFI_Expiration=1,IF($A93&lt;VLOOKUP(N$5,NFI,5,0),1,0)*Table_NFI[[#This Row],[Kitchen Set]],Table_NFI[Kitchen Set])</f>
        <v>0</v>
      </c>
      <c r="AF93" s="352">
        <f>IF(NFI_Expiration=1,IF($A93&lt;VLOOKUP(O$5,NFI,5,0),1,0)*Table_NFI[[#This Row],[Clothes Kit]],Table_NFI[Clothes Kit])</f>
        <v>0</v>
      </c>
      <c r="AG93" s="352">
        <f>IF(NFI_Expiration=1,IF($A93&lt;VLOOKUP(P$5,NFI,5,0),1,0)*Table_NFI[[#This Row],[Plastic Bucket]],Table_NFI[Plastic Bucket])</f>
        <v>0</v>
      </c>
      <c r="AH93" s="352">
        <f>IF(NFI_Expiration=1,IF($A93&lt;VLOOKUP(Q$5,NFI,5,0),1,0)*Table_NFI[[#This Row],[Plastic Mat]],Table_NFI[Plastic Mat])*IF(Table_NFI[[#This Row],[Distribution Date]]&gt;"2014-04-01",1,2.5)</f>
        <v>0</v>
      </c>
      <c r="AI93" s="352">
        <f>IF(NFI_Expiration=1,IF($A93&lt;VLOOKUP(R$5,NFI,5,0),1,0)*Table_NFI[[#This Row],[Winter Clothes Adult]],Table_NFI[Winter Clothes Adult])</f>
        <v>0</v>
      </c>
      <c r="AJ93" s="352">
        <f>IF(NFI_Expiration=1,IF($A93&lt;VLOOKUP(S$5,NFI,5,0),1,0)*Table_NFI[[#This Row],[Winter Clothes Children]],Table_NFI[Winter Clothes Children])</f>
        <v>0</v>
      </c>
      <c r="AK93" s="352">
        <f>IF(NFI_Expiration=1,IF($A93&lt;VLOOKUP(T$5,NFI,5,0),1,0)*Table_NFI[[#This Row],[Winter Items Other]],Table_NFI[Winter Items Other])</f>
        <v>0</v>
      </c>
      <c r="AL93" s="352">
        <f>IF(NFI_Expiration=1,IF($A93&lt;VLOOKUP(M$5,NFI,5,0),1,0)*Table_NFI[[#This Row],[Winter Blanket]],Table_NFI[[#This Row],[Winter Blanket]])</f>
        <v>0</v>
      </c>
      <c r="AM93" s="352">
        <f>IF(Table_NFI[[#This Row],[Winter Clothes Adult]]+Table_NFI[[#This Row],[Winter Clothes Children]]+Table_NFI[[#This Row],[Winter Items Other]]+Table_NFI[[#This Row],[Winter Blanket]]&gt;0,1,0)</f>
        <v>0</v>
      </c>
      <c r="AN93" s="392">
        <f>IF(NFI_Expiration=1,IF($A93&lt;VLOOKUP(V$5,NFI,5,0),1,0)*Table_NFI[[#This Row],[Jerry Can]],Table_NFI[Jerry Can])</f>
        <v>0</v>
      </c>
      <c r="AO93" s="540" t="str">
        <f>IFERROR(VLOOKUP(Table_NFI[[#This Row],[Camp Name]],CL,2,0),"")</f>
        <v>MMR001CMP113</v>
      </c>
      <c r="AP93" s="535">
        <f ca="1">IF(Table_NFI[[#This Row],[Pcode]]="","",IF(OFFSET(CampList[Opening Date],MATCH(Table_NFI[[#This Row],[Pcode]],CampList[CP_Pcode],0)-1,0,1,1)&gt;=NFI_Monitor_Date,1,0))</f>
        <v>0</v>
      </c>
      <c r="AQ93" s="540" t="str">
        <f>IFERROR(VLOOKUP(Table_NFI[[#This Row],[Camp Name]],CL,3,0),"")</f>
        <v>Open</v>
      </c>
      <c r="AR93" s="352" t="str">
        <f ca="1">IF(Table_NFI[[#This Row],[Pcode]]="","",OFFSET(CampList[Priority],MATCH(Table_NFI[[#This Row],[Pcode]],CampList[CP_Pcode],0)-1,0,1,1))</f>
        <v>P1</v>
      </c>
      <c r="AS93" s="351">
        <f>IFERROR(Table_NFI[[#This Row],[Kitchen Set]]/VLOOKUP(Table_NFI[[#This Row],[Camp Name]],CL,4,0),"")</f>
        <v>0</v>
      </c>
      <c r="AT93" s="533" t="s">
        <v>1094</v>
      </c>
      <c r="AU93" s="536"/>
    </row>
    <row r="94" spans="1:47" s="129" customFormat="1" ht="15" customHeight="1" x14ac:dyDescent="0.25">
      <c r="A94" s="355">
        <f t="shared" si="1"/>
        <v>15.8</v>
      </c>
      <c r="B94" s="532">
        <v>42097</v>
      </c>
      <c r="C94" s="533" t="s">
        <v>453</v>
      </c>
      <c r="D94" s="533" t="s">
        <v>506</v>
      </c>
      <c r="E94" s="533" t="s">
        <v>380</v>
      </c>
      <c r="F94" s="533" t="s">
        <v>185</v>
      </c>
      <c r="G94" s="533" t="s">
        <v>207</v>
      </c>
      <c r="H94" s="349"/>
      <c r="I94" s="349"/>
      <c r="J94" s="349"/>
      <c r="K94" s="352"/>
      <c r="L94" s="350"/>
      <c r="M94" s="350"/>
      <c r="N94" s="350"/>
      <c r="O94" s="350"/>
      <c r="P94" s="352"/>
      <c r="Q94" s="352"/>
      <c r="R94" s="352"/>
      <c r="S94" s="352"/>
      <c r="T94" s="352"/>
      <c r="U94" s="352"/>
      <c r="V94" s="497"/>
      <c r="W94" s="352"/>
      <c r="X94" s="352"/>
      <c r="Y94" s="352">
        <f>IF(NFI_Expiration=1,IF($A94&lt;VLOOKUP(H$5,NFI,5,0),1,0)*Table_NFI[[#This Row],[Hygiene Kit]],Table_NFI[Hygiene Kit])</f>
        <v>0</v>
      </c>
      <c r="Z94" s="352">
        <f>IF(NFI_Expiration=1,IF($A94&lt;VLOOKUP(I$5,NFI,5,0),1,0)*Table_NFI[[#This Row],[NFI Core Kit]],Table_NFI[NFI Core Kit])</f>
        <v>0</v>
      </c>
      <c r="AA94" s="352">
        <f>IF(NFI_Expiration=1,IF($A94&lt;VLOOKUP(J$5,NFI,5,0),1,0)*Table_NFI[[#This Row],[Sanitary Kit]],Table_NFI[Sanitary Kit])</f>
        <v>0</v>
      </c>
      <c r="AB94" s="352">
        <f>IF(NFI_Expiration=1,IF($A94&lt;VLOOKUP(K$5,NFI,5,0),1,0)*Table_NFI[[#This Row],[Mosquito net]],Table_NFI[Mosquito net])</f>
        <v>0</v>
      </c>
      <c r="AC94" s="352">
        <f>IF(NFI_Expiration=1,IF($A94&lt;VLOOKUP(L$5,NFI,5,0),1,0)*Table_NFI[[#This Row],[Tarpaulin]],Table_NFI[[#This Row],[Tarpaulin]])</f>
        <v>0</v>
      </c>
      <c r="AD94" s="352">
        <f>IF(NFI_Expiration=1,IF($A94&lt;VLOOKUP(M$5,NFI,5,0),1,0)*Table_NFI[[#This Row],[Blanket]],Table_NFI[[#This Row],[Blanket]])</f>
        <v>0</v>
      </c>
      <c r="AE94" s="352">
        <f>IF(NFI_Expiration=1,IF($A94&lt;VLOOKUP(N$5,NFI,5,0),1,0)*Table_NFI[[#This Row],[Kitchen Set]],Table_NFI[Kitchen Set])</f>
        <v>0</v>
      </c>
      <c r="AF94" s="352">
        <f>IF(NFI_Expiration=1,IF($A94&lt;VLOOKUP(O$5,NFI,5,0),1,0)*Table_NFI[[#This Row],[Clothes Kit]],Table_NFI[Clothes Kit])</f>
        <v>0</v>
      </c>
      <c r="AG94" s="352">
        <f>IF(NFI_Expiration=1,IF($A94&lt;VLOOKUP(P$5,NFI,5,0),1,0)*Table_NFI[[#This Row],[Plastic Bucket]],Table_NFI[Plastic Bucket])</f>
        <v>0</v>
      </c>
      <c r="AH94" s="352">
        <f>IF(NFI_Expiration=1,IF($A94&lt;VLOOKUP(Q$5,NFI,5,0),1,0)*Table_NFI[[#This Row],[Plastic Mat]],Table_NFI[Plastic Mat])*IF(Table_NFI[[#This Row],[Distribution Date]]&gt;"2014-04-01",1,2.5)</f>
        <v>0</v>
      </c>
      <c r="AI94" s="352">
        <f>IF(NFI_Expiration=1,IF($A94&lt;VLOOKUP(R$5,NFI,5,0),1,0)*Table_NFI[[#This Row],[Winter Clothes Adult]],Table_NFI[Winter Clothes Adult])</f>
        <v>0</v>
      </c>
      <c r="AJ94" s="352">
        <f>IF(NFI_Expiration=1,IF($A94&lt;VLOOKUP(S$5,NFI,5,0),1,0)*Table_NFI[[#This Row],[Winter Clothes Children]],Table_NFI[Winter Clothes Children])</f>
        <v>0</v>
      </c>
      <c r="AK94" s="352">
        <f>IF(NFI_Expiration=1,IF($A94&lt;VLOOKUP(T$5,NFI,5,0),1,0)*Table_NFI[[#This Row],[Winter Items Other]],Table_NFI[Winter Items Other])</f>
        <v>0</v>
      </c>
      <c r="AL94" s="352">
        <f>IF(NFI_Expiration=1,IF($A94&lt;VLOOKUP(M$5,NFI,5,0),1,0)*Table_NFI[[#This Row],[Winter Blanket]],Table_NFI[[#This Row],[Winter Blanket]])</f>
        <v>0</v>
      </c>
      <c r="AM94" s="352">
        <f>IF(Table_NFI[[#This Row],[Winter Clothes Adult]]+Table_NFI[[#This Row],[Winter Clothes Children]]+Table_NFI[[#This Row],[Winter Items Other]]+Table_NFI[[#This Row],[Winter Blanket]]&gt;0,1,0)</f>
        <v>0</v>
      </c>
      <c r="AN94" s="392">
        <f>IF(NFI_Expiration=1,IF($A94&lt;VLOOKUP(V$5,NFI,5,0),1,0)*Table_NFI[[#This Row],[Jerry Can]],Table_NFI[Jerry Can])</f>
        <v>0</v>
      </c>
      <c r="AO94" s="540" t="str">
        <f>IFERROR(VLOOKUP(Table_NFI[[#This Row],[Camp Name]],CL,2,0),"")</f>
        <v>MMR001CMP058</v>
      </c>
      <c r="AP94" s="535">
        <f ca="1">IF(Table_NFI[[#This Row],[Pcode]]="","",IF(OFFSET(CampList[Opening Date],MATCH(Table_NFI[[#This Row],[Pcode]],CampList[CP_Pcode],0)-1,0,1,1)&gt;=NFI_Monitor_Date,1,0))</f>
        <v>0</v>
      </c>
      <c r="AQ94" s="540" t="str">
        <f>IFERROR(VLOOKUP(Table_NFI[[#This Row],[Camp Name]],CL,3,0),"")</f>
        <v>Closed</v>
      </c>
      <c r="AR94" s="352" t="str">
        <f ca="1">IF(Table_NFI[[#This Row],[Pcode]]="","",OFFSET(CampList[Priority],MATCH(Table_NFI[[#This Row],[Pcode]],CampList[CP_Pcode],0)-1,0,1,1))</f>
        <v>P4</v>
      </c>
      <c r="AS94" s="351" t="str">
        <f>IFERROR(Table_NFI[[#This Row],[Kitchen Set]]/VLOOKUP(Table_NFI[[#This Row],[Camp Name]],CL,4,0),"")</f>
        <v/>
      </c>
      <c r="AT94" s="533" t="s">
        <v>1094</v>
      </c>
      <c r="AU94" s="536"/>
    </row>
    <row r="95" spans="1:47" s="129" customFormat="1" ht="14.45" customHeight="1" x14ac:dyDescent="0.25">
      <c r="A95" s="355">
        <f t="shared" si="1"/>
        <v>15.8</v>
      </c>
      <c r="B95" s="532">
        <v>42097</v>
      </c>
      <c r="C95" s="533" t="s">
        <v>453</v>
      </c>
      <c r="D95" s="533" t="s">
        <v>1355</v>
      </c>
      <c r="E95" s="533" t="s">
        <v>380</v>
      </c>
      <c r="F95" s="533" t="s">
        <v>5</v>
      </c>
      <c r="G95" s="533" t="s">
        <v>8</v>
      </c>
      <c r="H95" s="349"/>
      <c r="I95" s="349"/>
      <c r="J95" s="349"/>
      <c r="K95" s="349"/>
      <c r="L95" s="350">
        <v>3</v>
      </c>
      <c r="M95" s="350">
        <v>53</v>
      </c>
      <c r="N95" s="350"/>
      <c r="O95" s="350"/>
      <c r="P95" s="352">
        <v>3</v>
      </c>
      <c r="Q95" s="352">
        <v>11</v>
      </c>
      <c r="R95" s="352"/>
      <c r="S95" s="352"/>
      <c r="T95" s="352"/>
      <c r="U95" s="352"/>
      <c r="V95" s="497">
        <v>3</v>
      </c>
      <c r="W95" s="352"/>
      <c r="X95" s="352"/>
      <c r="Y95" s="352">
        <f>IF(NFI_Expiration=1,IF($A95&lt;VLOOKUP(H$5,NFI,5,0),1,0)*Table_NFI[[#This Row],[Hygiene Kit]],Table_NFI[Hygiene Kit])</f>
        <v>0</v>
      </c>
      <c r="Z95" s="352">
        <f>IF(NFI_Expiration=1,IF($A95&lt;VLOOKUP(I$5,NFI,5,0),1,0)*Table_NFI[[#This Row],[NFI Core Kit]],Table_NFI[NFI Core Kit])</f>
        <v>0</v>
      </c>
      <c r="AA95" s="352">
        <f>IF(NFI_Expiration=1,IF($A95&lt;VLOOKUP(J$5,NFI,5,0),1,0)*Table_NFI[[#This Row],[Sanitary Kit]],Table_NFI[Sanitary Kit])</f>
        <v>0</v>
      </c>
      <c r="AB95" s="352">
        <f>IF(NFI_Expiration=1,IF($A95&lt;VLOOKUP(K$5,NFI,5,0),1,0)*Table_NFI[[#This Row],[Mosquito net]],Table_NFI[Mosquito net])</f>
        <v>0</v>
      </c>
      <c r="AC95" s="352">
        <f>IF(NFI_Expiration=1,IF($A95&lt;VLOOKUP(L$5,NFI,5,0),1,0)*Table_NFI[[#This Row],[Tarpaulin]],Table_NFI[[#This Row],[Tarpaulin]])</f>
        <v>0</v>
      </c>
      <c r="AD95" s="352">
        <f>IF(NFI_Expiration=1,IF($A95&lt;VLOOKUP(M$5,NFI,5,0),1,0)*Table_NFI[[#This Row],[Blanket]],Table_NFI[[#This Row],[Blanket]])</f>
        <v>0</v>
      </c>
      <c r="AE95" s="352">
        <f>IF(NFI_Expiration=1,IF($A95&lt;VLOOKUP(N$5,NFI,5,0),1,0)*Table_NFI[[#This Row],[Kitchen Set]],Table_NFI[Kitchen Set])</f>
        <v>0</v>
      </c>
      <c r="AF95" s="352">
        <f>IF(NFI_Expiration=1,IF($A95&lt;VLOOKUP(O$5,NFI,5,0),1,0)*Table_NFI[[#This Row],[Clothes Kit]],Table_NFI[Clothes Kit])</f>
        <v>0</v>
      </c>
      <c r="AG95" s="352">
        <f>IF(NFI_Expiration=1,IF($A95&lt;VLOOKUP(P$5,NFI,5,0),1,0)*Table_NFI[[#This Row],[Plastic Bucket]],Table_NFI[Plastic Bucket])</f>
        <v>0</v>
      </c>
      <c r="AH95" s="352">
        <f>IF(NFI_Expiration=1,IF($A95&lt;VLOOKUP(Q$5,NFI,5,0),1,0)*Table_NFI[[#This Row],[Plastic Mat]],Table_NFI[Plastic Mat])*IF(Table_NFI[[#This Row],[Distribution Date]]&gt;"2014-04-01",1,2.5)</f>
        <v>0</v>
      </c>
      <c r="AI95" s="352">
        <f>IF(NFI_Expiration=1,IF($A95&lt;VLOOKUP(R$5,NFI,5,0),1,0)*Table_NFI[[#This Row],[Winter Clothes Adult]],Table_NFI[Winter Clothes Adult])</f>
        <v>0</v>
      </c>
      <c r="AJ95" s="352">
        <f>IF(NFI_Expiration=1,IF($A95&lt;VLOOKUP(S$5,NFI,5,0),1,0)*Table_NFI[[#This Row],[Winter Clothes Children]],Table_NFI[Winter Clothes Children])</f>
        <v>0</v>
      </c>
      <c r="AK95" s="352">
        <f>IF(NFI_Expiration=1,IF($A95&lt;VLOOKUP(T$5,NFI,5,0),1,0)*Table_NFI[[#This Row],[Winter Items Other]],Table_NFI[Winter Items Other])</f>
        <v>0</v>
      </c>
      <c r="AL95" s="352">
        <f>IF(NFI_Expiration=1,IF($A95&lt;VLOOKUP(M$5,NFI,5,0),1,0)*Table_NFI[[#This Row],[Winter Blanket]],Table_NFI[[#This Row],[Winter Blanket]])</f>
        <v>0</v>
      </c>
      <c r="AM95" s="352">
        <f>IF(Table_NFI[[#This Row],[Winter Clothes Adult]]+Table_NFI[[#This Row],[Winter Clothes Children]]+Table_NFI[[#This Row],[Winter Items Other]]+Table_NFI[[#This Row],[Winter Blanket]]&gt;0,1,0)</f>
        <v>0</v>
      </c>
      <c r="AN95" s="392">
        <f>IF(NFI_Expiration=1,IF($A95&lt;VLOOKUP(V$5,NFI,5,0),1,0)*Table_NFI[[#This Row],[Jerry Can]],Table_NFI[Jerry Can])</f>
        <v>0</v>
      </c>
      <c r="AO95" s="540" t="str">
        <f>IFERROR(VLOOKUP(Table_NFI[[#This Row],[Camp Name]],CL,2,0),"")</f>
        <v>MMR001CMP051</v>
      </c>
      <c r="AP95" s="535">
        <f ca="1">IF(Table_NFI[[#This Row],[Pcode]]="","",IF(OFFSET(CampList[Opening Date],MATCH(Table_NFI[[#This Row],[Pcode]],CampList[CP_Pcode],0)-1,0,1,1)&gt;=NFI_Monitor_Date,1,0))</f>
        <v>0</v>
      </c>
      <c r="AQ95" s="540" t="str">
        <f>IFERROR(VLOOKUP(Table_NFI[[#This Row],[Camp Name]],CL,3,0),"")</f>
        <v>Open</v>
      </c>
      <c r="AR95" s="352" t="str">
        <f ca="1">IF(Table_NFI[[#This Row],[Pcode]]="","",OFFSET(CampList[Priority],MATCH(Table_NFI[[#This Row],[Pcode]],CampList[CP_Pcode],0)-1,0,1,1))</f>
        <v>P4</v>
      </c>
      <c r="AS95" s="351">
        <f>IFERROR(Table_NFI[[#This Row],[Kitchen Set]]/VLOOKUP(Table_NFI[[#This Row],[Camp Name]],CL,4,0),"")</f>
        <v>0</v>
      </c>
      <c r="AT95" s="533" t="s">
        <v>1094</v>
      </c>
      <c r="AU95" s="536"/>
    </row>
    <row r="96" spans="1:47" s="129" customFormat="1" ht="14.45" customHeight="1" x14ac:dyDescent="0.25">
      <c r="A96" s="355">
        <f t="shared" si="1"/>
        <v>15.8</v>
      </c>
      <c r="B96" s="532">
        <v>42097</v>
      </c>
      <c r="C96" s="533" t="s">
        <v>453</v>
      </c>
      <c r="D96" s="533" t="s">
        <v>453</v>
      </c>
      <c r="E96" s="533" t="s">
        <v>380</v>
      </c>
      <c r="F96" s="533" t="s">
        <v>185</v>
      </c>
      <c r="G96" s="533" t="s">
        <v>215</v>
      </c>
      <c r="H96" s="349"/>
      <c r="I96" s="352"/>
      <c r="J96" s="352"/>
      <c r="K96" s="352"/>
      <c r="L96" s="350"/>
      <c r="M96" s="350"/>
      <c r="N96" s="350"/>
      <c r="O96" s="350"/>
      <c r="P96" s="352"/>
      <c r="Q96" s="352"/>
      <c r="R96" s="352"/>
      <c r="S96" s="352"/>
      <c r="T96" s="352"/>
      <c r="U96" s="352"/>
      <c r="V96" s="497">
        <v>405</v>
      </c>
      <c r="W96" s="352"/>
      <c r="X96" s="352"/>
      <c r="Y96" s="352">
        <f>IF(NFI_Expiration=1,IF($A96&lt;VLOOKUP(H$5,NFI,5,0),1,0)*Table_NFI[[#This Row],[Hygiene Kit]],Table_NFI[Hygiene Kit])</f>
        <v>0</v>
      </c>
      <c r="Z96" s="352">
        <f>IF(NFI_Expiration=1,IF($A96&lt;VLOOKUP(I$5,NFI,5,0),1,0)*Table_NFI[[#This Row],[NFI Core Kit]],Table_NFI[NFI Core Kit])</f>
        <v>0</v>
      </c>
      <c r="AA96" s="352">
        <f>IF(NFI_Expiration=1,IF($A96&lt;VLOOKUP(J$5,NFI,5,0),1,0)*Table_NFI[[#This Row],[Sanitary Kit]],Table_NFI[Sanitary Kit])</f>
        <v>0</v>
      </c>
      <c r="AB96" s="352">
        <f>IF(NFI_Expiration=1,IF($A96&lt;VLOOKUP(K$5,NFI,5,0),1,0)*Table_NFI[[#This Row],[Mosquito net]],Table_NFI[Mosquito net])</f>
        <v>0</v>
      </c>
      <c r="AC96" s="352">
        <f>IF(NFI_Expiration=1,IF($A96&lt;VLOOKUP(L$5,NFI,5,0),1,0)*Table_NFI[[#This Row],[Tarpaulin]],Table_NFI[[#This Row],[Tarpaulin]])</f>
        <v>0</v>
      </c>
      <c r="AD96" s="352">
        <f>IF(NFI_Expiration=1,IF($A96&lt;VLOOKUP(M$5,NFI,5,0),1,0)*Table_NFI[[#This Row],[Blanket]],Table_NFI[[#This Row],[Blanket]])</f>
        <v>0</v>
      </c>
      <c r="AE96" s="352">
        <f>IF(NFI_Expiration=1,IF($A96&lt;VLOOKUP(N$5,NFI,5,0),1,0)*Table_NFI[[#This Row],[Kitchen Set]],Table_NFI[Kitchen Set])</f>
        <v>0</v>
      </c>
      <c r="AF96" s="352">
        <f>IF(NFI_Expiration=1,IF($A96&lt;VLOOKUP(O$5,NFI,5,0),1,0)*Table_NFI[[#This Row],[Clothes Kit]],Table_NFI[Clothes Kit])</f>
        <v>0</v>
      </c>
      <c r="AG96" s="352">
        <f>IF(NFI_Expiration=1,IF($A96&lt;VLOOKUP(P$5,NFI,5,0),1,0)*Table_NFI[[#This Row],[Plastic Bucket]],Table_NFI[Plastic Bucket])</f>
        <v>0</v>
      </c>
      <c r="AH96" s="352">
        <f>IF(NFI_Expiration=1,IF($A96&lt;VLOOKUP(Q$5,NFI,5,0),1,0)*Table_NFI[[#This Row],[Plastic Mat]],Table_NFI[Plastic Mat])*IF(Table_NFI[[#This Row],[Distribution Date]]&gt;"2014-04-01",1,2.5)</f>
        <v>0</v>
      </c>
      <c r="AI96" s="352">
        <f>IF(NFI_Expiration=1,IF($A96&lt;VLOOKUP(R$5,NFI,5,0),1,0)*Table_NFI[[#This Row],[Winter Clothes Adult]],Table_NFI[Winter Clothes Adult])</f>
        <v>0</v>
      </c>
      <c r="AJ96" s="352">
        <f>IF(NFI_Expiration=1,IF($A96&lt;VLOOKUP(S$5,NFI,5,0),1,0)*Table_NFI[[#This Row],[Winter Clothes Children]],Table_NFI[Winter Clothes Children])</f>
        <v>0</v>
      </c>
      <c r="AK96" s="352">
        <f>IF(NFI_Expiration=1,IF($A96&lt;VLOOKUP(T$5,NFI,5,0),1,0)*Table_NFI[[#This Row],[Winter Items Other]],Table_NFI[Winter Items Other])</f>
        <v>0</v>
      </c>
      <c r="AL96" s="352">
        <f>IF(NFI_Expiration=1,IF($A96&lt;VLOOKUP(M$5,NFI,5,0),1,0)*Table_NFI[[#This Row],[Winter Blanket]],Table_NFI[[#This Row],[Winter Blanket]])</f>
        <v>0</v>
      </c>
      <c r="AM96" s="352">
        <f>IF(Table_NFI[[#This Row],[Winter Clothes Adult]]+Table_NFI[[#This Row],[Winter Clothes Children]]+Table_NFI[[#This Row],[Winter Items Other]]+Table_NFI[[#This Row],[Winter Blanket]]&gt;0,1,0)</f>
        <v>0</v>
      </c>
      <c r="AN96" s="392">
        <f>IF(NFI_Expiration=1,IF($A96&lt;VLOOKUP(V$5,NFI,5,0),1,0)*Table_NFI[[#This Row],[Jerry Can]],Table_NFI[Jerry Can])</f>
        <v>0</v>
      </c>
      <c r="AO96" s="540" t="str">
        <f>IFERROR(VLOOKUP(Table_NFI[[#This Row],[Camp Name]],CL,2,0),"")</f>
        <v>MMR001CMP131</v>
      </c>
      <c r="AP96" s="535">
        <f ca="1">IF(Table_NFI[[#This Row],[Pcode]]="","",IF(OFFSET(CampList[Opening Date],MATCH(Table_NFI[[#This Row],[Pcode]],CampList[CP_Pcode],0)-1,0,1,1)&gt;=NFI_Monitor_Date,1,0))</f>
        <v>0</v>
      </c>
      <c r="AQ96" s="540" t="str">
        <f>IFERROR(VLOOKUP(Table_NFI[[#This Row],[Camp Name]],CL,3,0),"")</f>
        <v>Open</v>
      </c>
      <c r="AR96" s="352" t="str">
        <f ca="1">IF(Table_NFI[[#This Row],[Pcode]]="","",OFFSET(CampList[Priority],MATCH(Table_NFI[[#This Row],[Pcode]],CampList[CP_Pcode],0)-1,0,1,1))</f>
        <v>P1</v>
      </c>
      <c r="AS96" s="351">
        <f>IFERROR(Table_NFI[[#This Row],[Kitchen Set]]/VLOOKUP(Table_NFI[[#This Row],[Camp Name]],CL,4,0),"")</f>
        <v>0</v>
      </c>
      <c r="AT96" s="533" t="s">
        <v>1094</v>
      </c>
      <c r="AU96" s="536"/>
    </row>
    <row r="97" spans="1:47" s="537" customFormat="1" ht="14.45" hidden="1" customHeight="1" x14ac:dyDescent="0.25">
      <c r="A97" s="355">
        <f t="shared" si="1"/>
        <v>30.266666666666666</v>
      </c>
      <c r="B97" s="532">
        <v>41663</v>
      </c>
      <c r="C97" s="533" t="s">
        <v>454</v>
      </c>
      <c r="D97" s="533"/>
      <c r="E97" s="533" t="s">
        <v>380</v>
      </c>
      <c r="F97" s="348" t="s">
        <v>151</v>
      </c>
      <c r="G97" s="533" t="s">
        <v>188</v>
      </c>
      <c r="H97" s="349"/>
      <c r="I97" s="349"/>
      <c r="J97" s="349"/>
      <c r="K97" s="349"/>
      <c r="L97" s="350"/>
      <c r="M97" s="350"/>
      <c r="N97" s="350"/>
      <c r="O97" s="350"/>
      <c r="P97" s="352"/>
      <c r="Q97" s="352"/>
      <c r="R97" s="352"/>
      <c r="S97" s="352">
        <v>838</v>
      </c>
      <c r="T97" s="352"/>
      <c r="U97" s="352"/>
      <c r="V97" s="497"/>
      <c r="W97" s="352"/>
      <c r="X97" s="352"/>
      <c r="Y97" s="352">
        <f>IF(NFI_Expiration=1,IF($A97&lt;VLOOKUP(H$5,NFI,5,0),1,0)*Table_NFI[[#This Row],[Hygiene Kit]],Table_NFI[Hygiene Kit])</f>
        <v>0</v>
      </c>
      <c r="Z97" s="352">
        <f>IF(NFI_Expiration=1,IF($A97&lt;VLOOKUP(I$5,NFI,5,0),1,0)*Table_NFI[[#This Row],[NFI Core Kit]],Table_NFI[NFI Core Kit])</f>
        <v>0</v>
      </c>
      <c r="AA97" s="352">
        <f>IF(NFI_Expiration=1,IF($A97&lt;VLOOKUP(J$5,NFI,5,0),1,0)*Table_NFI[[#This Row],[Sanitary Kit]],Table_NFI[Sanitary Kit])</f>
        <v>0</v>
      </c>
      <c r="AB97" s="352">
        <f>IF(NFI_Expiration=1,IF($A97&lt;VLOOKUP(K$5,NFI,5,0),1,0)*Table_NFI[[#This Row],[Mosquito net]],Table_NFI[Mosquito net])</f>
        <v>0</v>
      </c>
      <c r="AC97" s="352">
        <f>IF(NFI_Expiration=1,IF($A97&lt;VLOOKUP(L$5,NFI,5,0),1,0)*Table_NFI[[#This Row],[Tarpaulin]],Table_NFI[[#This Row],[Tarpaulin]])</f>
        <v>0</v>
      </c>
      <c r="AD97" s="352">
        <f>IF(NFI_Expiration=1,IF($A97&lt;VLOOKUP(M$5,NFI,5,0),1,0)*Table_NFI[[#This Row],[Blanket]],Table_NFI[[#This Row],[Blanket]])</f>
        <v>0</v>
      </c>
      <c r="AE97" s="352">
        <f>IF(NFI_Expiration=1,IF($A97&lt;VLOOKUP(N$5,NFI,5,0),1,0)*Table_NFI[[#This Row],[Kitchen Set]],Table_NFI[Kitchen Set])</f>
        <v>0</v>
      </c>
      <c r="AF97" s="352">
        <f>IF(NFI_Expiration=1,IF($A97&lt;VLOOKUP(O$5,NFI,5,0),1,0)*Table_NFI[[#This Row],[Clothes Kit]],Table_NFI[Clothes Kit])</f>
        <v>0</v>
      </c>
      <c r="AG97" s="352">
        <f>IF(NFI_Expiration=1,IF($A97&lt;VLOOKUP(P$5,NFI,5,0),1,0)*Table_NFI[[#This Row],[Plastic Bucket]],Table_NFI[Plastic Bucket])</f>
        <v>0</v>
      </c>
      <c r="AH97" s="352">
        <f>IF(NFI_Expiration=1,IF($A97&lt;VLOOKUP(Q$5,NFI,5,0),1,0)*Table_NFI[[#This Row],[Plastic Mat]],Table_NFI[Plastic Mat])*IF(Table_NFI[[#This Row],[Distribution Date]]&gt;"2014-04-01",1,2.5)</f>
        <v>0</v>
      </c>
      <c r="AI97" s="352">
        <f>IF(NFI_Expiration=1,IF($A97&lt;VLOOKUP(R$5,NFI,5,0),1,0)*Table_NFI[[#This Row],[Winter Clothes Adult]],Table_NFI[Winter Clothes Adult])</f>
        <v>0</v>
      </c>
      <c r="AJ97" s="352">
        <f>IF(NFI_Expiration=1,IF($A97&lt;VLOOKUP(S$5,NFI,5,0),1,0)*Table_NFI[[#This Row],[Winter Clothes Children]],Table_NFI[Winter Clothes Children])</f>
        <v>0</v>
      </c>
      <c r="AK97" s="352">
        <f>IF(NFI_Expiration=1,IF($A97&lt;VLOOKUP(T$5,NFI,5,0),1,0)*Table_NFI[[#This Row],[Winter Items Other]],Table_NFI[Winter Items Other])</f>
        <v>0</v>
      </c>
      <c r="AL97" s="352">
        <f>IF(NFI_Expiration=1,IF($A97&lt;VLOOKUP(M$5,NFI,5,0),1,0)*Table_NFI[[#This Row],[Winter Blanket]],Table_NFI[[#This Row],[Winter Blanket]])</f>
        <v>0</v>
      </c>
      <c r="AM97" s="352">
        <f>IF(Table_NFI[[#This Row],[Winter Clothes Adult]]+Table_NFI[[#This Row],[Winter Clothes Children]]+Table_NFI[[#This Row],[Winter Items Other]]+Table_NFI[[#This Row],[Winter Blanket]]&gt;0,1,0)</f>
        <v>1</v>
      </c>
      <c r="AN97" s="392">
        <f>IF(NFI_Expiration=1,IF($A97&lt;VLOOKUP(V$5,NFI,5,0),1,0)*Table_NFI[[#This Row],[Jerry Can]],Table_NFI[Jerry Can])</f>
        <v>0</v>
      </c>
      <c r="AO97" s="540" t="str">
        <f>IFERROR(VLOOKUP(Table_NFI[[#This Row],[Camp Name]],CL,2,0),"")</f>
        <v>MMR001CMP129</v>
      </c>
      <c r="AP97" s="535">
        <f ca="1">IF(Table_NFI[[#This Row],[Pcode]]="","",IF(OFFSET(CampList[Opening Date],MATCH(Table_NFI[[#This Row],[Pcode]],CampList[CP_Pcode],0)-1,0,1,1)&gt;=NFI_Monitor_Date,1,0))</f>
        <v>0</v>
      </c>
      <c r="AQ97" s="540" t="str">
        <f>IFERROR(VLOOKUP(Table_NFI[[#This Row],[Camp Name]],CL,3,0),"")</f>
        <v>Open</v>
      </c>
      <c r="AR97" s="352" t="str">
        <f ca="1">IF(Table_NFI[[#This Row],[Pcode]]="","",OFFSET(CampList[Priority],MATCH(Table_NFI[[#This Row],[Pcode]],CampList[CP_Pcode],0)-1,0,1,1))</f>
        <v>P2</v>
      </c>
      <c r="AS97" s="351">
        <f>IFERROR(Table_NFI[[#This Row],[Kitchen Set]]/VLOOKUP(Table_NFI[[#This Row],[Camp Name]],CL,4,0),"")</f>
        <v>0</v>
      </c>
      <c r="AT97" s="533" t="s">
        <v>1094</v>
      </c>
      <c r="AU97" s="536"/>
    </row>
    <row r="98" spans="1:47" s="129" customFormat="1" ht="14.45" customHeight="1" x14ac:dyDescent="0.25">
      <c r="A98" s="355">
        <f t="shared" si="1"/>
        <v>15.8</v>
      </c>
      <c r="B98" s="532">
        <v>42097</v>
      </c>
      <c r="C98" s="533" t="s">
        <v>453</v>
      </c>
      <c r="D98" s="533" t="s">
        <v>506</v>
      </c>
      <c r="E98" s="533" t="s">
        <v>380</v>
      </c>
      <c r="F98" s="533" t="s">
        <v>185</v>
      </c>
      <c r="G98" s="533" t="s">
        <v>217</v>
      </c>
      <c r="H98" s="349"/>
      <c r="I98" s="352"/>
      <c r="J98" s="352"/>
      <c r="K98" s="352">
        <v>105</v>
      </c>
      <c r="L98" s="350">
        <v>26</v>
      </c>
      <c r="M98" s="350">
        <v>308</v>
      </c>
      <c r="N98" s="350">
        <v>29</v>
      </c>
      <c r="O98" s="350"/>
      <c r="P98" s="352"/>
      <c r="Q98" s="352">
        <v>69</v>
      </c>
      <c r="R98" s="352"/>
      <c r="S98" s="352"/>
      <c r="T98" s="352"/>
      <c r="U98" s="352"/>
      <c r="V98" s="497"/>
      <c r="W98" s="352"/>
      <c r="X98" s="352"/>
      <c r="Y98" s="352">
        <f>IF(NFI_Expiration=1,IF($A98&lt;VLOOKUP(H$5,NFI,5,0),1,0)*Table_NFI[[#This Row],[Hygiene Kit]],Table_NFI[Hygiene Kit])</f>
        <v>0</v>
      </c>
      <c r="Z98" s="352">
        <f>IF(NFI_Expiration=1,IF($A98&lt;VLOOKUP(I$5,NFI,5,0),1,0)*Table_NFI[[#This Row],[NFI Core Kit]],Table_NFI[NFI Core Kit])</f>
        <v>0</v>
      </c>
      <c r="AA98" s="352">
        <f>IF(NFI_Expiration=1,IF($A98&lt;VLOOKUP(J$5,NFI,5,0),1,0)*Table_NFI[[#This Row],[Sanitary Kit]],Table_NFI[Sanitary Kit])</f>
        <v>0</v>
      </c>
      <c r="AB98" s="352">
        <f>IF(NFI_Expiration=1,IF($A98&lt;VLOOKUP(K$5,NFI,5,0),1,0)*Table_NFI[[#This Row],[Mosquito net]],Table_NFI[Mosquito net])</f>
        <v>0</v>
      </c>
      <c r="AC98" s="352">
        <f>IF(NFI_Expiration=1,IF($A98&lt;VLOOKUP(L$5,NFI,5,0),1,0)*Table_NFI[[#This Row],[Tarpaulin]],Table_NFI[[#This Row],[Tarpaulin]])</f>
        <v>0</v>
      </c>
      <c r="AD98" s="352">
        <f>IF(NFI_Expiration=1,IF($A98&lt;VLOOKUP(M$5,NFI,5,0),1,0)*Table_NFI[[#This Row],[Blanket]],Table_NFI[[#This Row],[Blanket]])</f>
        <v>0</v>
      </c>
      <c r="AE98" s="352">
        <f>IF(NFI_Expiration=1,IF($A98&lt;VLOOKUP(N$5,NFI,5,0),1,0)*Table_NFI[[#This Row],[Kitchen Set]],Table_NFI[Kitchen Set])</f>
        <v>0</v>
      </c>
      <c r="AF98" s="352">
        <f>IF(NFI_Expiration=1,IF($A98&lt;VLOOKUP(O$5,NFI,5,0),1,0)*Table_NFI[[#This Row],[Clothes Kit]],Table_NFI[Clothes Kit])</f>
        <v>0</v>
      </c>
      <c r="AG98" s="352">
        <f>IF(NFI_Expiration=1,IF($A98&lt;VLOOKUP(P$5,NFI,5,0),1,0)*Table_NFI[[#This Row],[Plastic Bucket]],Table_NFI[Plastic Bucket])</f>
        <v>0</v>
      </c>
      <c r="AH98" s="352">
        <f>IF(NFI_Expiration=1,IF($A98&lt;VLOOKUP(Q$5,NFI,5,0),1,0)*Table_NFI[[#This Row],[Plastic Mat]],Table_NFI[Plastic Mat])*IF(Table_NFI[[#This Row],[Distribution Date]]&gt;"2014-04-01",1,2.5)</f>
        <v>0</v>
      </c>
      <c r="AI98" s="352">
        <f>IF(NFI_Expiration=1,IF($A98&lt;VLOOKUP(R$5,NFI,5,0),1,0)*Table_NFI[[#This Row],[Winter Clothes Adult]],Table_NFI[Winter Clothes Adult])</f>
        <v>0</v>
      </c>
      <c r="AJ98" s="352">
        <f>IF(NFI_Expiration=1,IF($A98&lt;VLOOKUP(S$5,NFI,5,0),1,0)*Table_NFI[[#This Row],[Winter Clothes Children]],Table_NFI[Winter Clothes Children])</f>
        <v>0</v>
      </c>
      <c r="AK98" s="352">
        <f>IF(NFI_Expiration=1,IF($A98&lt;VLOOKUP(T$5,NFI,5,0),1,0)*Table_NFI[[#This Row],[Winter Items Other]],Table_NFI[Winter Items Other])</f>
        <v>0</v>
      </c>
      <c r="AL98" s="352">
        <f>IF(NFI_Expiration=1,IF($A98&lt;VLOOKUP(M$5,NFI,5,0),1,0)*Table_NFI[[#This Row],[Winter Blanket]],Table_NFI[[#This Row],[Winter Blanket]])</f>
        <v>0</v>
      </c>
      <c r="AM98" s="352">
        <f>IF(Table_NFI[[#This Row],[Winter Clothes Adult]]+Table_NFI[[#This Row],[Winter Clothes Children]]+Table_NFI[[#This Row],[Winter Items Other]]+Table_NFI[[#This Row],[Winter Blanket]]&gt;0,1,0)</f>
        <v>0</v>
      </c>
      <c r="AN98" s="392">
        <f>IF(NFI_Expiration=1,IF($A98&lt;VLOOKUP(V$5,NFI,5,0),1,0)*Table_NFI[[#This Row],[Jerry Can]],Table_NFI[Jerry Can])</f>
        <v>0</v>
      </c>
      <c r="AO98" s="540" t="str">
        <f>IFERROR(VLOOKUP(Table_NFI[[#This Row],[Camp Name]],CL,2,0),"")</f>
        <v>MMR001CMP059</v>
      </c>
      <c r="AP98" s="535">
        <f ca="1">IF(Table_NFI[[#This Row],[Pcode]]="","",IF(OFFSET(CampList[Opening Date],MATCH(Table_NFI[[#This Row],[Pcode]],CampList[CP_Pcode],0)-1,0,1,1)&gt;=NFI_Monitor_Date,1,0))</f>
        <v>0</v>
      </c>
      <c r="AQ98" s="540" t="str">
        <f>IFERROR(VLOOKUP(Table_NFI[[#This Row],[Camp Name]],CL,3,0),"")</f>
        <v>Closed</v>
      </c>
      <c r="AR98" s="352" t="str">
        <f ca="1">IF(Table_NFI[[#This Row],[Pcode]]="","",OFFSET(CampList[Priority],MATCH(Table_NFI[[#This Row],[Pcode]],CampList[CP_Pcode],0)-1,0,1,1))</f>
        <v>P4</v>
      </c>
      <c r="AS98" s="351" t="str">
        <f>IFERROR(Table_NFI[[#This Row],[Kitchen Set]]/VLOOKUP(Table_NFI[[#This Row],[Camp Name]],CL,4,0),"")</f>
        <v/>
      </c>
      <c r="AT98" s="533" t="s">
        <v>1094</v>
      </c>
      <c r="AU98" s="536"/>
    </row>
    <row r="99" spans="1:47" s="129" customFormat="1" ht="14.45" hidden="1" customHeight="1" x14ac:dyDescent="0.25">
      <c r="A99" s="355">
        <f t="shared" si="1"/>
        <v>31.733333333333334</v>
      </c>
      <c r="B99" s="532">
        <v>41619</v>
      </c>
      <c r="C99" s="533" t="s">
        <v>1029</v>
      </c>
      <c r="D99" s="533" t="s">
        <v>1030</v>
      </c>
      <c r="E99" s="533" t="s">
        <v>380</v>
      </c>
      <c r="F99" s="348" t="s">
        <v>151</v>
      </c>
      <c r="G99" s="348" t="s">
        <v>188</v>
      </c>
      <c r="H99" s="349"/>
      <c r="I99" s="349"/>
      <c r="J99" s="349"/>
      <c r="K99" s="349"/>
      <c r="L99" s="350"/>
      <c r="M99" s="350">
        <v>278</v>
      </c>
      <c r="N99" s="350"/>
      <c r="O99" s="350"/>
      <c r="P99" s="352"/>
      <c r="Q99" s="352"/>
      <c r="R99" s="352"/>
      <c r="S99" s="352"/>
      <c r="T99" s="352"/>
      <c r="U99" s="352"/>
      <c r="V99" s="497"/>
      <c r="W99" s="352"/>
      <c r="X99" s="352"/>
      <c r="Y99" s="352">
        <f>IF(NFI_Expiration=1,IF($A99&lt;VLOOKUP(H$5,NFI,5,0),1,0)*Table_NFI[[#This Row],[Hygiene Kit]],Table_NFI[Hygiene Kit])</f>
        <v>0</v>
      </c>
      <c r="Z99" s="352">
        <f>IF(NFI_Expiration=1,IF($A99&lt;VLOOKUP(I$5,NFI,5,0),1,0)*Table_NFI[[#This Row],[NFI Core Kit]],Table_NFI[NFI Core Kit])</f>
        <v>0</v>
      </c>
      <c r="AA99" s="352">
        <f>IF(NFI_Expiration=1,IF($A99&lt;VLOOKUP(J$5,NFI,5,0),1,0)*Table_NFI[[#This Row],[Sanitary Kit]],Table_NFI[Sanitary Kit])</f>
        <v>0</v>
      </c>
      <c r="AB99" s="352">
        <f>IF(NFI_Expiration=1,IF($A99&lt;VLOOKUP(K$5,NFI,5,0),1,0)*Table_NFI[[#This Row],[Mosquito net]],Table_NFI[Mosquito net])</f>
        <v>0</v>
      </c>
      <c r="AC99" s="352">
        <f>IF(NFI_Expiration=1,IF($A99&lt;VLOOKUP(L$5,NFI,5,0),1,0)*Table_NFI[[#This Row],[Tarpaulin]],Table_NFI[[#This Row],[Tarpaulin]])</f>
        <v>0</v>
      </c>
      <c r="AD99" s="352">
        <f>IF(NFI_Expiration=1,IF($A99&lt;VLOOKUP(M$5,NFI,5,0),1,0)*Table_NFI[[#This Row],[Blanket]],Table_NFI[[#This Row],[Blanket]])</f>
        <v>0</v>
      </c>
      <c r="AE99" s="352">
        <f>IF(NFI_Expiration=1,IF($A99&lt;VLOOKUP(N$5,NFI,5,0),1,0)*Table_NFI[[#This Row],[Kitchen Set]],Table_NFI[Kitchen Set])</f>
        <v>0</v>
      </c>
      <c r="AF99" s="352">
        <f>IF(NFI_Expiration=1,IF($A99&lt;VLOOKUP(O$5,NFI,5,0),1,0)*Table_NFI[[#This Row],[Clothes Kit]],Table_NFI[Clothes Kit])</f>
        <v>0</v>
      </c>
      <c r="AG99" s="352">
        <f>IF(NFI_Expiration=1,IF($A99&lt;VLOOKUP(P$5,NFI,5,0),1,0)*Table_NFI[[#This Row],[Plastic Bucket]],Table_NFI[Plastic Bucket])</f>
        <v>0</v>
      </c>
      <c r="AH99" s="352">
        <f>IF(NFI_Expiration=1,IF($A99&lt;VLOOKUP(Q$5,NFI,5,0),1,0)*Table_NFI[[#This Row],[Plastic Mat]],Table_NFI[Plastic Mat])*IF(Table_NFI[[#This Row],[Distribution Date]]&gt;"2014-04-01",1,2.5)</f>
        <v>0</v>
      </c>
      <c r="AI99" s="352">
        <f>IF(NFI_Expiration=1,IF($A99&lt;VLOOKUP(R$5,NFI,5,0),1,0)*Table_NFI[[#This Row],[Winter Clothes Adult]],Table_NFI[Winter Clothes Adult])</f>
        <v>0</v>
      </c>
      <c r="AJ99" s="352">
        <f>IF(NFI_Expiration=1,IF($A99&lt;VLOOKUP(S$5,NFI,5,0),1,0)*Table_NFI[[#This Row],[Winter Clothes Children]],Table_NFI[Winter Clothes Children])</f>
        <v>0</v>
      </c>
      <c r="AK99" s="352">
        <f>IF(NFI_Expiration=1,IF($A99&lt;VLOOKUP(T$5,NFI,5,0),1,0)*Table_NFI[[#This Row],[Winter Items Other]],Table_NFI[Winter Items Other])</f>
        <v>0</v>
      </c>
      <c r="AL99" s="352">
        <f>IF(NFI_Expiration=1,IF($A99&lt;VLOOKUP(M$5,NFI,5,0),1,0)*Table_NFI[[#This Row],[Winter Blanket]],Table_NFI[[#This Row],[Winter Blanket]])</f>
        <v>0</v>
      </c>
      <c r="AM99" s="352">
        <f>IF(Table_NFI[[#This Row],[Winter Clothes Adult]]+Table_NFI[[#This Row],[Winter Clothes Children]]+Table_NFI[[#This Row],[Winter Items Other]]+Table_NFI[[#This Row],[Winter Blanket]]&gt;0,1,0)</f>
        <v>0</v>
      </c>
      <c r="AN99" s="392">
        <f>IF(NFI_Expiration=1,IF($A99&lt;VLOOKUP(V$5,NFI,5,0),1,0)*Table_NFI[[#This Row],[Jerry Can]],Table_NFI[Jerry Can])</f>
        <v>0</v>
      </c>
      <c r="AO99" s="540" t="str">
        <f>IFERROR(VLOOKUP(Table_NFI[[#This Row],[Camp Name]],CL,2,0),"")</f>
        <v>MMR001CMP129</v>
      </c>
      <c r="AP99" s="535">
        <f ca="1">IF(Table_NFI[[#This Row],[Pcode]]="","",IF(OFFSET(CampList[Opening Date],MATCH(Table_NFI[[#This Row],[Pcode]],CampList[CP_Pcode],0)-1,0,1,1)&gt;=NFI_Monitor_Date,1,0))</f>
        <v>0</v>
      </c>
      <c r="AQ99" s="540" t="str">
        <f>IFERROR(VLOOKUP(Table_NFI[[#This Row],[Camp Name]],CL,3,0),"")</f>
        <v>Open</v>
      </c>
      <c r="AR99" s="352" t="str">
        <f ca="1">IF(Table_NFI[[#This Row],[Pcode]]="","",OFFSET(CampList[Priority],MATCH(Table_NFI[[#This Row],[Pcode]],CampList[CP_Pcode],0)-1,0,1,1))</f>
        <v>P2</v>
      </c>
      <c r="AS99" s="351">
        <f>IFERROR(Table_NFI[[#This Row],[Kitchen Set]]/VLOOKUP(Table_NFI[[#This Row],[Camp Name]],CL,4,0),"")</f>
        <v>0</v>
      </c>
      <c r="AT99" s="533" t="s">
        <v>1094</v>
      </c>
      <c r="AU99" s="536"/>
    </row>
    <row r="100" spans="1:47" s="129" customFormat="1" ht="14.45" hidden="1" customHeight="1" x14ac:dyDescent="0.25">
      <c r="A100" s="355">
        <f t="shared" si="1"/>
        <v>31.733333333333334</v>
      </c>
      <c r="B100" s="532">
        <v>41619</v>
      </c>
      <c r="C100" s="533" t="s">
        <v>1029</v>
      </c>
      <c r="D100" s="533" t="s">
        <v>1030</v>
      </c>
      <c r="E100" s="533" t="s">
        <v>380</v>
      </c>
      <c r="F100" s="348" t="s">
        <v>151</v>
      </c>
      <c r="G100" s="533" t="s">
        <v>188</v>
      </c>
      <c r="H100" s="349"/>
      <c r="I100" s="349"/>
      <c r="J100" s="349"/>
      <c r="K100" s="349"/>
      <c r="L100" s="350"/>
      <c r="M100" s="350">
        <v>174</v>
      </c>
      <c r="N100" s="350"/>
      <c r="O100" s="350"/>
      <c r="P100" s="352"/>
      <c r="Q100" s="352"/>
      <c r="R100" s="352"/>
      <c r="S100" s="352"/>
      <c r="T100" s="352"/>
      <c r="U100" s="352"/>
      <c r="V100" s="497"/>
      <c r="W100" s="352"/>
      <c r="X100" s="352"/>
      <c r="Y100" s="352">
        <f>IF(NFI_Expiration=1,IF($A100&lt;VLOOKUP(H$5,NFI,5,0),1,0)*Table_NFI[[#This Row],[Hygiene Kit]],Table_NFI[Hygiene Kit])</f>
        <v>0</v>
      </c>
      <c r="Z100" s="352">
        <f>IF(NFI_Expiration=1,IF($A100&lt;VLOOKUP(I$5,NFI,5,0),1,0)*Table_NFI[[#This Row],[NFI Core Kit]],Table_NFI[NFI Core Kit])</f>
        <v>0</v>
      </c>
      <c r="AA100" s="352">
        <f>IF(NFI_Expiration=1,IF($A100&lt;VLOOKUP(J$5,NFI,5,0),1,0)*Table_NFI[[#This Row],[Sanitary Kit]],Table_NFI[Sanitary Kit])</f>
        <v>0</v>
      </c>
      <c r="AB100" s="352">
        <f>IF(NFI_Expiration=1,IF($A100&lt;VLOOKUP(K$5,NFI,5,0),1,0)*Table_NFI[[#This Row],[Mosquito net]],Table_NFI[Mosquito net])</f>
        <v>0</v>
      </c>
      <c r="AC100" s="352">
        <f>IF(NFI_Expiration=1,IF($A100&lt;VLOOKUP(L$5,NFI,5,0),1,0)*Table_NFI[[#This Row],[Tarpaulin]],Table_NFI[[#This Row],[Tarpaulin]])</f>
        <v>0</v>
      </c>
      <c r="AD100" s="352">
        <f>IF(NFI_Expiration=1,IF($A100&lt;VLOOKUP(M$5,NFI,5,0),1,0)*Table_NFI[[#This Row],[Blanket]],Table_NFI[[#This Row],[Blanket]])</f>
        <v>0</v>
      </c>
      <c r="AE100" s="352">
        <f>IF(NFI_Expiration=1,IF($A100&lt;VLOOKUP(N$5,NFI,5,0),1,0)*Table_NFI[[#This Row],[Kitchen Set]],Table_NFI[Kitchen Set])</f>
        <v>0</v>
      </c>
      <c r="AF100" s="352">
        <f>IF(NFI_Expiration=1,IF($A100&lt;VLOOKUP(O$5,NFI,5,0),1,0)*Table_NFI[[#This Row],[Clothes Kit]],Table_NFI[Clothes Kit])</f>
        <v>0</v>
      </c>
      <c r="AG100" s="352">
        <f>IF(NFI_Expiration=1,IF($A100&lt;VLOOKUP(P$5,NFI,5,0),1,0)*Table_NFI[[#This Row],[Plastic Bucket]],Table_NFI[Plastic Bucket])</f>
        <v>0</v>
      </c>
      <c r="AH100" s="352">
        <f>IF(NFI_Expiration=1,IF($A100&lt;VLOOKUP(Q$5,NFI,5,0),1,0)*Table_NFI[[#This Row],[Plastic Mat]],Table_NFI[Plastic Mat])*IF(Table_NFI[[#This Row],[Distribution Date]]&gt;"2014-04-01",1,2.5)</f>
        <v>0</v>
      </c>
      <c r="AI100" s="352">
        <f>IF(NFI_Expiration=1,IF($A100&lt;VLOOKUP(R$5,NFI,5,0),1,0)*Table_NFI[[#This Row],[Winter Clothes Adult]],Table_NFI[Winter Clothes Adult])</f>
        <v>0</v>
      </c>
      <c r="AJ100" s="352">
        <f>IF(NFI_Expiration=1,IF($A100&lt;VLOOKUP(S$5,NFI,5,0),1,0)*Table_NFI[[#This Row],[Winter Clothes Children]],Table_NFI[Winter Clothes Children])</f>
        <v>0</v>
      </c>
      <c r="AK100" s="352">
        <f>IF(NFI_Expiration=1,IF($A100&lt;VLOOKUP(T$5,NFI,5,0),1,0)*Table_NFI[[#This Row],[Winter Items Other]],Table_NFI[Winter Items Other])</f>
        <v>0</v>
      </c>
      <c r="AL100" s="352">
        <f>IF(NFI_Expiration=1,IF($A100&lt;VLOOKUP(M$5,NFI,5,0),1,0)*Table_NFI[[#This Row],[Winter Blanket]],Table_NFI[[#This Row],[Winter Blanket]])</f>
        <v>0</v>
      </c>
      <c r="AM100" s="352">
        <f>IF(Table_NFI[[#This Row],[Winter Clothes Adult]]+Table_NFI[[#This Row],[Winter Clothes Children]]+Table_NFI[[#This Row],[Winter Items Other]]+Table_NFI[[#This Row],[Winter Blanket]]&gt;0,1,0)</f>
        <v>0</v>
      </c>
      <c r="AN100" s="392">
        <f>IF(NFI_Expiration=1,IF($A100&lt;VLOOKUP(V$5,NFI,5,0),1,0)*Table_NFI[[#This Row],[Jerry Can]],Table_NFI[Jerry Can])</f>
        <v>0</v>
      </c>
      <c r="AO100" s="540" t="str">
        <f>IFERROR(VLOOKUP(Table_NFI[[#This Row],[Camp Name]],CL,2,0),"")</f>
        <v>MMR001CMP129</v>
      </c>
      <c r="AP100" s="535">
        <f ca="1">IF(Table_NFI[[#This Row],[Pcode]]="","",IF(OFFSET(CampList[Opening Date],MATCH(Table_NFI[[#This Row],[Pcode]],CampList[CP_Pcode],0)-1,0,1,1)&gt;=NFI_Monitor_Date,1,0))</f>
        <v>0</v>
      </c>
      <c r="AQ100" s="540" t="str">
        <f>IFERROR(VLOOKUP(Table_NFI[[#This Row],[Camp Name]],CL,3,0),"")</f>
        <v>Open</v>
      </c>
      <c r="AR100" s="352" t="str">
        <f ca="1">IF(Table_NFI[[#This Row],[Pcode]]="","",OFFSET(CampList[Priority],MATCH(Table_NFI[[#This Row],[Pcode]],CampList[CP_Pcode],0)-1,0,1,1))</f>
        <v>P2</v>
      </c>
      <c r="AS100" s="351">
        <f>IFERROR(Table_NFI[[#This Row],[Kitchen Set]]/VLOOKUP(Table_NFI[[#This Row],[Camp Name]],CL,4,0),"")</f>
        <v>0</v>
      </c>
      <c r="AT100" s="533" t="s">
        <v>1094</v>
      </c>
      <c r="AU100" s="536"/>
    </row>
    <row r="101" spans="1:47" s="129" customFormat="1" ht="14.45" hidden="1" customHeight="1" x14ac:dyDescent="0.25">
      <c r="A101" s="355">
        <f t="shared" si="1"/>
        <v>32.1</v>
      </c>
      <c r="B101" s="532">
        <v>41608</v>
      </c>
      <c r="C101" s="533" t="s">
        <v>1099</v>
      </c>
      <c r="D101" s="534" t="s">
        <v>946</v>
      </c>
      <c r="E101" s="533" t="s">
        <v>380</v>
      </c>
      <c r="F101" s="348" t="s">
        <v>151</v>
      </c>
      <c r="G101" s="348" t="s">
        <v>188</v>
      </c>
      <c r="H101" s="349"/>
      <c r="I101" s="349"/>
      <c r="J101" s="349"/>
      <c r="K101" s="349"/>
      <c r="L101" s="350"/>
      <c r="M101" s="350">
        <v>819</v>
      </c>
      <c r="N101" s="350"/>
      <c r="O101" s="350"/>
      <c r="P101" s="352"/>
      <c r="Q101" s="352"/>
      <c r="R101" s="352">
        <v>966</v>
      </c>
      <c r="S101" s="352">
        <v>484</v>
      </c>
      <c r="T101" s="352">
        <v>0</v>
      </c>
      <c r="U101" s="352"/>
      <c r="V101" s="497"/>
      <c r="W101" s="352"/>
      <c r="X101" s="352"/>
      <c r="Y101" s="352">
        <f>IF(NFI_Expiration=1,IF($A101&lt;VLOOKUP(H$5,NFI,5,0),1,0)*Table_NFI[[#This Row],[Hygiene Kit]],Table_NFI[Hygiene Kit])</f>
        <v>0</v>
      </c>
      <c r="Z101" s="352">
        <f>IF(NFI_Expiration=1,IF($A101&lt;VLOOKUP(I$5,NFI,5,0),1,0)*Table_NFI[[#This Row],[NFI Core Kit]],Table_NFI[NFI Core Kit])</f>
        <v>0</v>
      </c>
      <c r="AA101" s="352">
        <f>IF(NFI_Expiration=1,IF($A101&lt;VLOOKUP(J$5,NFI,5,0),1,0)*Table_NFI[[#This Row],[Sanitary Kit]],Table_NFI[Sanitary Kit])</f>
        <v>0</v>
      </c>
      <c r="AB101" s="352">
        <f>IF(NFI_Expiration=1,IF($A101&lt;VLOOKUP(K$5,NFI,5,0),1,0)*Table_NFI[[#This Row],[Mosquito net]],Table_NFI[Mosquito net])</f>
        <v>0</v>
      </c>
      <c r="AC101" s="352">
        <f>IF(NFI_Expiration=1,IF($A101&lt;VLOOKUP(L$5,NFI,5,0),1,0)*Table_NFI[[#This Row],[Tarpaulin]],Table_NFI[[#This Row],[Tarpaulin]])</f>
        <v>0</v>
      </c>
      <c r="AD101" s="352">
        <f>IF(NFI_Expiration=1,IF($A101&lt;VLOOKUP(M$5,NFI,5,0),1,0)*Table_NFI[[#This Row],[Blanket]],Table_NFI[[#This Row],[Blanket]])</f>
        <v>0</v>
      </c>
      <c r="AE101" s="352">
        <f>IF(NFI_Expiration=1,IF($A101&lt;VLOOKUP(N$5,NFI,5,0),1,0)*Table_NFI[[#This Row],[Kitchen Set]],Table_NFI[Kitchen Set])</f>
        <v>0</v>
      </c>
      <c r="AF101" s="352">
        <f>IF(NFI_Expiration=1,IF($A101&lt;VLOOKUP(O$5,NFI,5,0),1,0)*Table_NFI[[#This Row],[Clothes Kit]],Table_NFI[Clothes Kit])</f>
        <v>0</v>
      </c>
      <c r="AG101" s="352">
        <f>IF(NFI_Expiration=1,IF($A101&lt;VLOOKUP(P$5,NFI,5,0),1,0)*Table_NFI[[#This Row],[Plastic Bucket]],Table_NFI[Plastic Bucket])</f>
        <v>0</v>
      </c>
      <c r="AH101" s="352">
        <f>IF(NFI_Expiration=1,IF($A101&lt;VLOOKUP(Q$5,NFI,5,0),1,0)*Table_NFI[[#This Row],[Plastic Mat]],Table_NFI[Plastic Mat])*IF(Table_NFI[[#This Row],[Distribution Date]]&gt;"2014-04-01",1,2.5)</f>
        <v>0</v>
      </c>
      <c r="AI101" s="352">
        <f>IF(NFI_Expiration=1,IF($A101&lt;VLOOKUP(R$5,NFI,5,0),1,0)*Table_NFI[[#This Row],[Winter Clothes Adult]],Table_NFI[Winter Clothes Adult])</f>
        <v>0</v>
      </c>
      <c r="AJ101" s="352">
        <f>IF(NFI_Expiration=1,IF($A101&lt;VLOOKUP(S$5,NFI,5,0),1,0)*Table_NFI[[#This Row],[Winter Clothes Children]],Table_NFI[Winter Clothes Children])</f>
        <v>0</v>
      </c>
      <c r="AK101" s="352">
        <f>IF(NFI_Expiration=1,IF($A101&lt;VLOOKUP(T$5,NFI,5,0),1,0)*Table_NFI[[#This Row],[Winter Items Other]],Table_NFI[Winter Items Other])</f>
        <v>0</v>
      </c>
      <c r="AL101" s="352">
        <f>IF(NFI_Expiration=1,IF($A101&lt;VLOOKUP(M$5,NFI,5,0),1,0)*Table_NFI[[#This Row],[Winter Blanket]],Table_NFI[[#This Row],[Winter Blanket]])</f>
        <v>0</v>
      </c>
      <c r="AM101" s="352">
        <f>IF(Table_NFI[[#This Row],[Winter Clothes Adult]]+Table_NFI[[#This Row],[Winter Clothes Children]]+Table_NFI[[#This Row],[Winter Items Other]]+Table_NFI[[#This Row],[Winter Blanket]]&gt;0,1,0)</f>
        <v>1</v>
      </c>
      <c r="AN101" s="392">
        <f>IF(NFI_Expiration=1,IF($A101&lt;VLOOKUP(V$5,NFI,5,0),1,0)*Table_NFI[[#This Row],[Jerry Can]],Table_NFI[Jerry Can])</f>
        <v>0</v>
      </c>
      <c r="AO101" s="540" t="str">
        <f>IFERROR(VLOOKUP(Table_NFI[[#This Row],[Camp Name]],CL,2,0),"")</f>
        <v>MMR001CMP129</v>
      </c>
      <c r="AP101" s="535">
        <f ca="1">IF(Table_NFI[[#This Row],[Pcode]]="","",IF(OFFSET(CampList[Opening Date],MATCH(Table_NFI[[#This Row],[Pcode]],CampList[CP_Pcode],0)-1,0,1,1)&gt;=NFI_Monitor_Date,1,0))</f>
        <v>0</v>
      </c>
      <c r="AQ101" s="540" t="str">
        <f>IFERROR(VLOOKUP(Table_NFI[[#This Row],[Camp Name]],CL,3,0),"")</f>
        <v>Open</v>
      </c>
      <c r="AR101" s="352" t="str">
        <f ca="1">IF(Table_NFI[[#This Row],[Pcode]]="","",OFFSET(CampList[Priority],MATCH(Table_NFI[[#This Row],[Pcode]],CampList[CP_Pcode],0)-1,0,1,1))</f>
        <v>P2</v>
      </c>
      <c r="AS101" s="351">
        <f>IFERROR(Table_NFI[[#This Row],[Kitchen Set]]/VLOOKUP(Table_NFI[[#This Row],[Camp Name]],CL,4,0),"")</f>
        <v>0</v>
      </c>
      <c r="AT101" s="533" t="s">
        <v>1094</v>
      </c>
      <c r="AU101" s="536"/>
    </row>
    <row r="102" spans="1:47" s="129" customFormat="1" hidden="1" x14ac:dyDescent="0.25">
      <c r="A102" s="355">
        <f t="shared" si="1"/>
        <v>32.1</v>
      </c>
      <c r="B102" s="532">
        <v>41608</v>
      </c>
      <c r="C102" s="533" t="s">
        <v>907</v>
      </c>
      <c r="D102" s="533" t="s">
        <v>461</v>
      </c>
      <c r="E102" s="533" t="s">
        <v>380</v>
      </c>
      <c r="F102" s="348" t="s">
        <v>151</v>
      </c>
      <c r="G102" s="348" t="s">
        <v>188</v>
      </c>
      <c r="H102" s="349"/>
      <c r="I102" s="349"/>
      <c r="J102" s="349"/>
      <c r="K102" s="349"/>
      <c r="L102" s="350"/>
      <c r="M102" s="350"/>
      <c r="N102" s="350"/>
      <c r="O102" s="350"/>
      <c r="P102" s="352"/>
      <c r="Q102" s="352">
        <v>321</v>
      </c>
      <c r="R102" s="352"/>
      <c r="S102" s="352"/>
      <c r="T102" s="352"/>
      <c r="U102" s="352"/>
      <c r="V102" s="497"/>
      <c r="W102" s="352"/>
      <c r="X102" s="352"/>
      <c r="Y102" s="352">
        <f>IF(NFI_Expiration=1,IF($A102&lt;VLOOKUP(H$5,NFI,5,0),1,0)*Table_NFI[[#This Row],[Hygiene Kit]],Table_NFI[Hygiene Kit])</f>
        <v>0</v>
      </c>
      <c r="Z102" s="352">
        <f>IF(NFI_Expiration=1,IF($A102&lt;VLOOKUP(I$5,NFI,5,0),1,0)*Table_NFI[[#This Row],[NFI Core Kit]],Table_NFI[NFI Core Kit])</f>
        <v>0</v>
      </c>
      <c r="AA102" s="352">
        <f>IF(NFI_Expiration=1,IF($A102&lt;VLOOKUP(J$5,NFI,5,0),1,0)*Table_NFI[[#This Row],[Sanitary Kit]],Table_NFI[Sanitary Kit])</f>
        <v>0</v>
      </c>
      <c r="AB102" s="352">
        <f>IF(NFI_Expiration=1,IF($A102&lt;VLOOKUP(K$5,NFI,5,0),1,0)*Table_NFI[[#This Row],[Mosquito net]],Table_NFI[Mosquito net])</f>
        <v>0</v>
      </c>
      <c r="AC102" s="352">
        <f>IF(NFI_Expiration=1,IF($A102&lt;VLOOKUP(L$5,NFI,5,0),1,0)*Table_NFI[[#This Row],[Tarpaulin]],Table_NFI[[#This Row],[Tarpaulin]])</f>
        <v>0</v>
      </c>
      <c r="AD102" s="352">
        <f>IF(NFI_Expiration=1,IF($A102&lt;VLOOKUP(M$5,NFI,5,0),1,0)*Table_NFI[[#This Row],[Blanket]],Table_NFI[[#This Row],[Blanket]])</f>
        <v>0</v>
      </c>
      <c r="AE102" s="352">
        <f>IF(NFI_Expiration=1,IF($A102&lt;VLOOKUP(N$5,NFI,5,0),1,0)*Table_NFI[[#This Row],[Kitchen Set]],Table_NFI[Kitchen Set])</f>
        <v>0</v>
      </c>
      <c r="AF102" s="352">
        <f>IF(NFI_Expiration=1,IF($A102&lt;VLOOKUP(O$5,NFI,5,0),1,0)*Table_NFI[[#This Row],[Clothes Kit]],Table_NFI[Clothes Kit])</f>
        <v>0</v>
      </c>
      <c r="AG102" s="352">
        <f>IF(NFI_Expiration=1,IF($A102&lt;VLOOKUP(P$5,NFI,5,0),1,0)*Table_NFI[[#This Row],[Plastic Bucket]],Table_NFI[Plastic Bucket])</f>
        <v>0</v>
      </c>
      <c r="AH102" s="352">
        <f>IF(NFI_Expiration=1,IF($A102&lt;VLOOKUP(Q$5,NFI,5,0),1,0)*Table_NFI[[#This Row],[Plastic Mat]],Table_NFI[Plastic Mat])*IF(Table_NFI[[#This Row],[Distribution Date]]&gt;"2014-04-01",1,2.5)</f>
        <v>0</v>
      </c>
      <c r="AI102" s="352">
        <f>IF(NFI_Expiration=1,IF($A102&lt;VLOOKUP(R$5,NFI,5,0),1,0)*Table_NFI[[#This Row],[Winter Clothes Adult]],Table_NFI[Winter Clothes Adult])</f>
        <v>0</v>
      </c>
      <c r="AJ102" s="352">
        <f>IF(NFI_Expiration=1,IF($A102&lt;VLOOKUP(S$5,NFI,5,0),1,0)*Table_NFI[[#This Row],[Winter Clothes Children]],Table_NFI[Winter Clothes Children])</f>
        <v>0</v>
      </c>
      <c r="AK102" s="352">
        <f>IF(NFI_Expiration=1,IF($A102&lt;VLOOKUP(T$5,NFI,5,0),1,0)*Table_NFI[[#This Row],[Winter Items Other]],Table_NFI[Winter Items Other])</f>
        <v>0</v>
      </c>
      <c r="AL102" s="352">
        <f>IF(NFI_Expiration=1,IF($A102&lt;VLOOKUP(M$5,NFI,5,0),1,0)*Table_NFI[[#This Row],[Winter Blanket]],Table_NFI[[#This Row],[Winter Blanket]])</f>
        <v>0</v>
      </c>
      <c r="AM102" s="352">
        <f>IF(Table_NFI[[#This Row],[Winter Clothes Adult]]+Table_NFI[[#This Row],[Winter Clothes Children]]+Table_NFI[[#This Row],[Winter Items Other]]+Table_NFI[[#This Row],[Winter Blanket]]&gt;0,1,0)</f>
        <v>0</v>
      </c>
      <c r="AN102" s="392">
        <f>IF(NFI_Expiration=1,IF($A102&lt;VLOOKUP(V$5,NFI,5,0),1,0)*Table_NFI[[#This Row],[Jerry Can]],Table_NFI[Jerry Can])</f>
        <v>0</v>
      </c>
      <c r="AO102" s="540" t="str">
        <f>IFERROR(VLOOKUP(Table_NFI[[#This Row],[Camp Name]],CL,2,0),"")</f>
        <v>MMR001CMP129</v>
      </c>
      <c r="AP102" s="535">
        <f ca="1">IF(Table_NFI[[#This Row],[Pcode]]="","",IF(OFFSET(CampList[Opening Date],MATCH(Table_NFI[[#This Row],[Pcode]],CampList[CP_Pcode],0)-1,0,1,1)&gt;=NFI_Monitor_Date,1,0))</f>
        <v>0</v>
      </c>
      <c r="AQ102" s="540" t="str">
        <f>IFERROR(VLOOKUP(Table_NFI[[#This Row],[Camp Name]],CL,3,0),"")</f>
        <v>Open</v>
      </c>
      <c r="AR102" s="352" t="str">
        <f ca="1">IF(Table_NFI[[#This Row],[Pcode]]="","",OFFSET(CampList[Priority],MATCH(Table_NFI[[#This Row],[Pcode]],CampList[CP_Pcode],0)-1,0,1,1))</f>
        <v>P2</v>
      </c>
      <c r="AS102" s="351">
        <f>IFERROR(Table_NFI[[#This Row],[Kitchen Set]]/VLOOKUP(Table_NFI[[#This Row],[Camp Name]],CL,4,0),"")</f>
        <v>0</v>
      </c>
      <c r="AT102" s="533" t="s">
        <v>1094</v>
      </c>
      <c r="AU102" s="536"/>
    </row>
    <row r="103" spans="1:47" s="537" customFormat="1" ht="14.45" customHeight="1" x14ac:dyDescent="0.25">
      <c r="A103" s="355">
        <f t="shared" si="1"/>
        <v>16</v>
      </c>
      <c r="B103" s="532">
        <v>42091</v>
      </c>
      <c r="C103" s="533" t="s">
        <v>453</v>
      </c>
      <c r="D103" s="533" t="s">
        <v>1091</v>
      </c>
      <c r="E103" s="533" t="s">
        <v>380</v>
      </c>
      <c r="F103" s="533" t="s">
        <v>151</v>
      </c>
      <c r="G103" s="533" t="s">
        <v>1350</v>
      </c>
      <c r="H103" s="349"/>
      <c r="I103" s="352"/>
      <c r="J103" s="352"/>
      <c r="K103" s="352"/>
      <c r="L103" s="350"/>
      <c r="M103" s="350">
        <v>704</v>
      </c>
      <c r="N103" s="350"/>
      <c r="O103" s="350"/>
      <c r="P103" s="352">
        <v>9</v>
      </c>
      <c r="Q103" s="352"/>
      <c r="R103" s="352"/>
      <c r="S103" s="352"/>
      <c r="T103" s="352"/>
      <c r="U103" s="352"/>
      <c r="V103" s="497"/>
      <c r="W103" s="352"/>
      <c r="X103" s="352"/>
      <c r="Y103" s="352">
        <f>IF(NFI_Expiration=1,IF($A103&lt;VLOOKUP(H$5,NFI,5,0),1,0)*Table_NFI[[#This Row],[Hygiene Kit]],Table_NFI[Hygiene Kit])</f>
        <v>0</v>
      </c>
      <c r="Z103" s="352">
        <f>IF(NFI_Expiration=1,IF($A103&lt;VLOOKUP(I$5,NFI,5,0),1,0)*Table_NFI[[#This Row],[NFI Core Kit]],Table_NFI[NFI Core Kit])</f>
        <v>0</v>
      </c>
      <c r="AA103" s="352">
        <f>IF(NFI_Expiration=1,IF($A103&lt;VLOOKUP(J$5,NFI,5,0),1,0)*Table_NFI[[#This Row],[Sanitary Kit]],Table_NFI[Sanitary Kit])</f>
        <v>0</v>
      </c>
      <c r="AB103" s="352">
        <f>IF(NFI_Expiration=1,IF($A103&lt;VLOOKUP(K$5,NFI,5,0),1,0)*Table_NFI[[#This Row],[Mosquito net]],Table_NFI[Mosquito net])</f>
        <v>0</v>
      </c>
      <c r="AC103" s="352">
        <f>IF(NFI_Expiration=1,IF($A103&lt;VLOOKUP(L$5,NFI,5,0),1,0)*Table_NFI[[#This Row],[Tarpaulin]],Table_NFI[[#This Row],[Tarpaulin]])</f>
        <v>0</v>
      </c>
      <c r="AD103" s="352">
        <f>IF(NFI_Expiration=1,IF($A103&lt;VLOOKUP(M$5,NFI,5,0),1,0)*Table_NFI[[#This Row],[Blanket]],Table_NFI[[#This Row],[Blanket]])</f>
        <v>0</v>
      </c>
      <c r="AE103" s="352">
        <f>IF(NFI_Expiration=1,IF($A103&lt;VLOOKUP(N$5,NFI,5,0),1,0)*Table_NFI[[#This Row],[Kitchen Set]],Table_NFI[Kitchen Set])</f>
        <v>0</v>
      </c>
      <c r="AF103" s="352">
        <f>IF(NFI_Expiration=1,IF($A103&lt;VLOOKUP(O$5,NFI,5,0),1,0)*Table_NFI[[#This Row],[Clothes Kit]],Table_NFI[Clothes Kit])</f>
        <v>0</v>
      </c>
      <c r="AG103" s="352">
        <f>IF(NFI_Expiration=1,IF($A103&lt;VLOOKUP(P$5,NFI,5,0),1,0)*Table_NFI[[#This Row],[Plastic Bucket]],Table_NFI[Plastic Bucket])</f>
        <v>0</v>
      </c>
      <c r="AH103" s="352">
        <f>IF(NFI_Expiration=1,IF($A103&lt;VLOOKUP(Q$5,NFI,5,0),1,0)*Table_NFI[[#This Row],[Plastic Mat]],Table_NFI[Plastic Mat])*IF(Table_NFI[[#This Row],[Distribution Date]]&gt;"2014-04-01",1,2.5)</f>
        <v>0</v>
      </c>
      <c r="AI103" s="352">
        <f>IF(NFI_Expiration=1,IF($A103&lt;VLOOKUP(R$5,NFI,5,0),1,0)*Table_NFI[[#This Row],[Winter Clothes Adult]],Table_NFI[Winter Clothes Adult])</f>
        <v>0</v>
      </c>
      <c r="AJ103" s="352">
        <f>IF(NFI_Expiration=1,IF($A103&lt;VLOOKUP(S$5,NFI,5,0),1,0)*Table_NFI[[#This Row],[Winter Clothes Children]],Table_NFI[Winter Clothes Children])</f>
        <v>0</v>
      </c>
      <c r="AK103" s="352">
        <f>IF(NFI_Expiration=1,IF($A103&lt;VLOOKUP(T$5,NFI,5,0),1,0)*Table_NFI[[#This Row],[Winter Items Other]],Table_NFI[Winter Items Other])</f>
        <v>0</v>
      </c>
      <c r="AL103" s="352">
        <f>IF(NFI_Expiration=1,IF($A103&lt;VLOOKUP(M$5,NFI,5,0),1,0)*Table_NFI[[#This Row],[Winter Blanket]],Table_NFI[[#This Row],[Winter Blanket]])</f>
        <v>0</v>
      </c>
      <c r="AM103" s="352">
        <f>IF(Table_NFI[[#This Row],[Winter Clothes Adult]]+Table_NFI[[#This Row],[Winter Clothes Children]]+Table_NFI[[#This Row],[Winter Items Other]]+Table_NFI[[#This Row],[Winter Blanket]]&gt;0,1,0)</f>
        <v>0</v>
      </c>
      <c r="AN103" s="392">
        <f>IF(NFI_Expiration=1,IF($A103&lt;VLOOKUP(V$5,NFI,5,0),1,0)*Table_NFI[[#This Row],[Jerry Can]],Table_NFI[Jerry Can])</f>
        <v>0</v>
      </c>
      <c r="AO103" s="540" t="str">
        <f>IFERROR(VLOOKUP(Table_NFI[[#This Row],[Camp Name]],CL,2,0),"")</f>
        <v/>
      </c>
      <c r="AP103" s="535" t="str">
        <f ca="1">IF(Table_NFI[[#This Row],[Pcode]]="","",IF(OFFSET(CampList[Opening Date],MATCH(Table_NFI[[#This Row],[Pcode]],CampList[CP_Pcode],0)-1,0,1,1)&gt;=NFI_Monitor_Date,1,0))</f>
        <v/>
      </c>
      <c r="AQ103" s="540" t="str">
        <f>IFERROR(VLOOKUP(Table_NFI[[#This Row],[Camp Name]],CL,3,0),"")</f>
        <v/>
      </c>
      <c r="AR103" s="352" t="str">
        <f ca="1">IF(Table_NFI[[#This Row],[Pcode]]="","",OFFSET(CampList[Priority],MATCH(Table_NFI[[#This Row],[Pcode]],CampList[CP_Pcode],0)-1,0,1,1))</f>
        <v/>
      </c>
      <c r="AS103" s="351" t="str">
        <f>IFERROR(Table_NFI[[#This Row],[Kitchen Set]]/VLOOKUP(Table_NFI[[#This Row],[Camp Name]],CL,4,0),"")</f>
        <v/>
      </c>
      <c r="AT103" s="533" t="s">
        <v>1094</v>
      </c>
      <c r="AU103" s="536"/>
    </row>
    <row r="104" spans="1:47" s="129" customFormat="1" ht="14.45" customHeight="1" x14ac:dyDescent="0.25">
      <c r="A104" s="355">
        <f t="shared" si="1"/>
        <v>16.033333333333335</v>
      </c>
      <c r="B104" s="532">
        <v>42090</v>
      </c>
      <c r="C104" s="533" t="s">
        <v>453</v>
      </c>
      <c r="D104" s="533" t="s">
        <v>1091</v>
      </c>
      <c r="E104" s="533" t="s">
        <v>380</v>
      </c>
      <c r="F104" s="533" t="s">
        <v>151</v>
      </c>
      <c r="G104" s="533" t="s">
        <v>198</v>
      </c>
      <c r="H104" s="349"/>
      <c r="I104" s="349"/>
      <c r="J104" s="349"/>
      <c r="K104" s="349"/>
      <c r="L104" s="350"/>
      <c r="M104" s="350">
        <v>357</v>
      </c>
      <c r="N104" s="350"/>
      <c r="O104" s="350"/>
      <c r="P104" s="352"/>
      <c r="Q104" s="352"/>
      <c r="R104" s="352"/>
      <c r="S104" s="352"/>
      <c r="T104" s="352"/>
      <c r="U104" s="352"/>
      <c r="V104" s="497"/>
      <c r="W104" s="352"/>
      <c r="X104" s="352"/>
      <c r="Y104" s="352">
        <f>IF(NFI_Expiration=1,IF($A104&lt;VLOOKUP(H$5,NFI,5,0),1,0)*Table_NFI[[#This Row],[Hygiene Kit]],Table_NFI[Hygiene Kit])</f>
        <v>0</v>
      </c>
      <c r="Z104" s="352">
        <f>IF(NFI_Expiration=1,IF($A104&lt;VLOOKUP(I$5,NFI,5,0),1,0)*Table_NFI[[#This Row],[NFI Core Kit]],Table_NFI[NFI Core Kit])</f>
        <v>0</v>
      </c>
      <c r="AA104" s="352">
        <f>IF(NFI_Expiration=1,IF($A104&lt;VLOOKUP(J$5,NFI,5,0),1,0)*Table_NFI[[#This Row],[Sanitary Kit]],Table_NFI[Sanitary Kit])</f>
        <v>0</v>
      </c>
      <c r="AB104" s="352">
        <f>IF(NFI_Expiration=1,IF($A104&lt;VLOOKUP(K$5,NFI,5,0),1,0)*Table_NFI[[#This Row],[Mosquito net]],Table_NFI[Mosquito net])</f>
        <v>0</v>
      </c>
      <c r="AC104" s="352">
        <f>IF(NFI_Expiration=1,IF($A104&lt;VLOOKUP(L$5,NFI,5,0),1,0)*Table_NFI[[#This Row],[Tarpaulin]],Table_NFI[[#This Row],[Tarpaulin]])</f>
        <v>0</v>
      </c>
      <c r="AD104" s="352">
        <f>IF(NFI_Expiration=1,IF($A104&lt;VLOOKUP(M$5,NFI,5,0),1,0)*Table_NFI[[#This Row],[Blanket]],Table_NFI[[#This Row],[Blanket]])</f>
        <v>0</v>
      </c>
      <c r="AE104" s="352">
        <f>IF(NFI_Expiration=1,IF($A104&lt;VLOOKUP(N$5,NFI,5,0),1,0)*Table_NFI[[#This Row],[Kitchen Set]],Table_NFI[Kitchen Set])</f>
        <v>0</v>
      </c>
      <c r="AF104" s="352">
        <f>IF(NFI_Expiration=1,IF($A104&lt;VLOOKUP(O$5,NFI,5,0),1,0)*Table_NFI[[#This Row],[Clothes Kit]],Table_NFI[Clothes Kit])</f>
        <v>0</v>
      </c>
      <c r="AG104" s="352">
        <f>IF(NFI_Expiration=1,IF($A104&lt;VLOOKUP(P$5,NFI,5,0),1,0)*Table_NFI[[#This Row],[Plastic Bucket]],Table_NFI[Plastic Bucket])</f>
        <v>0</v>
      </c>
      <c r="AH104" s="352">
        <f>IF(NFI_Expiration=1,IF($A104&lt;VLOOKUP(Q$5,NFI,5,0),1,0)*Table_NFI[[#This Row],[Plastic Mat]],Table_NFI[Plastic Mat])*IF(Table_NFI[[#This Row],[Distribution Date]]&gt;"2014-04-01",1,2.5)</f>
        <v>0</v>
      </c>
      <c r="AI104" s="352">
        <f>IF(NFI_Expiration=1,IF($A104&lt;VLOOKUP(R$5,NFI,5,0),1,0)*Table_NFI[[#This Row],[Winter Clothes Adult]],Table_NFI[Winter Clothes Adult])</f>
        <v>0</v>
      </c>
      <c r="AJ104" s="352">
        <f>IF(NFI_Expiration=1,IF($A104&lt;VLOOKUP(S$5,NFI,5,0),1,0)*Table_NFI[[#This Row],[Winter Clothes Children]],Table_NFI[Winter Clothes Children])</f>
        <v>0</v>
      </c>
      <c r="AK104" s="352">
        <f>IF(NFI_Expiration=1,IF($A104&lt;VLOOKUP(T$5,NFI,5,0),1,0)*Table_NFI[[#This Row],[Winter Items Other]],Table_NFI[Winter Items Other])</f>
        <v>0</v>
      </c>
      <c r="AL104" s="352">
        <f>IF(NFI_Expiration=1,IF($A104&lt;VLOOKUP(M$5,NFI,5,0),1,0)*Table_NFI[[#This Row],[Winter Blanket]],Table_NFI[[#This Row],[Winter Blanket]])</f>
        <v>0</v>
      </c>
      <c r="AM104" s="352">
        <f>IF(Table_NFI[[#This Row],[Winter Clothes Adult]]+Table_NFI[[#This Row],[Winter Clothes Children]]+Table_NFI[[#This Row],[Winter Items Other]]+Table_NFI[[#This Row],[Winter Blanket]]&gt;0,1,0)</f>
        <v>0</v>
      </c>
      <c r="AN104" s="392">
        <f>IF(NFI_Expiration=1,IF($A104&lt;VLOOKUP(V$5,NFI,5,0),1,0)*Table_NFI[[#This Row],[Jerry Can]],Table_NFI[Jerry Can])</f>
        <v>0</v>
      </c>
      <c r="AO104" s="540" t="str">
        <f>IFERROR(VLOOKUP(Table_NFI[[#This Row],[Camp Name]],CL,2,0),"")</f>
        <v>MMR001CMP128</v>
      </c>
      <c r="AP104" s="535">
        <f ca="1">IF(Table_NFI[[#This Row],[Pcode]]="","",IF(OFFSET(CampList[Opening Date],MATCH(Table_NFI[[#This Row],[Pcode]],CampList[CP_Pcode],0)-1,0,1,1)&gt;=NFI_Monitor_Date,1,0))</f>
        <v>0</v>
      </c>
      <c r="AQ104" s="540" t="str">
        <f>IFERROR(VLOOKUP(Table_NFI[[#This Row],[Camp Name]],CL,3,0),"")</f>
        <v>Open</v>
      </c>
      <c r="AR104" s="352" t="str">
        <f ca="1">IF(Table_NFI[[#This Row],[Pcode]]="","",OFFSET(CampList[Priority],MATCH(Table_NFI[[#This Row],[Pcode]],CampList[CP_Pcode],0)-1,0,1,1))</f>
        <v>P2</v>
      </c>
      <c r="AS104" s="351">
        <f>IFERROR(Table_NFI[[#This Row],[Kitchen Set]]/VLOOKUP(Table_NFI[[#This Row],[Camp Name]],CL,4,0),"")</f>
        <v>0</v>
      </c>
      <c r="AT104" s="533" t="s">
        <v>1094</v>
      </c>
      <c r="AU104" s="536"/>
    </row>
    <row r="105" spans="1:47" s="129" customFormat="1" hidden="1" x14ac:dyDescent="0.25">
      <c r="A105" s="355">
        <f t="shared" si="1"/>
        <v>43.766666666666666</v>
      </c>
      <c r="B105" s="532">
        <v>41258</v>
      </c>
      <c r="C105" s="533" t="s">
        <v>907</v>
      </c>
      <c r="D105" s="534" t="s">
        <v>461</v>
      </c>
      <c r="E105" s="533" t="s">
        <v>380</v>
      </c>
      <c r="F105" s="348" t="s">
        <v>151</v>
      </c>
      <c r="G105" s="348" t="s">
        <v>188</v>
      </c>
      <c r="H105" s="349">
        <v>587</v>
      </c>
      <c r="I105" s="349"/>
      <c r="J105" s="349"/>
      <c r="K105" s="349"/>
      <c r="L105" s="350"/>
      <c r="M105" s="350"/>
      <c r="N105" s="350"/>
      <c r="O105" s="350"/>
      <c r="P105" s="352">
        <v>0</v>
      </c>
      <c r="Q105" s="352">
        <v>0</v>
      </c>
      <c r="R105" s="352"/>
      <c r="S105" s="352"/>
      <c r="T105" s="352"/>
      <c r="U105" s="352"/>
      <c r="V105" s="497"/>
      <c r="W105" s="352"/>
      <c r="X105" s="352"/>
      <c r="Y105" s="352">
        <f>IF(NFI_Expiration=1,IF($A105&lt;VLOOKUP(H$5,NFI,5,0),1,0)*Table_NFI[[#This Row],[Hygiene Kit]],Table_NFI[Hygiene Kit])</f>
        <v>0</v>
      </c>
      <c r="Z105" s="352">
        <f>IF(NFI_Expiration=1,IF($A105&lt;VLOOKUP(I$5,NFI,5,0),1,0)*Table_NFI[[#This Row],[NFI Core Kit]],Table_NFI[NFI Core Kit])</f>
        <v>0</v>
      </c>
      <c r="AA105" s="352">
        <f>IF(NFI_Expiration=1,IF($A105&lt;VLOOKUP(J$5,NFI,5,0),1,0)*Table_NFI[[#This Row],[Sanitary Kit]],Table_NFI[Sanitary Kit])</f>
        <v>0</v>
      </c>
      <c r="AB105" s="352">
        <f>IF(NFI_Expiration=1,IF($A105&lt;VLOOKUP(K$5,NFI,5,0),1,0)*Table_NFI[[#This Row],[Mosquito net]],Table_NFI[Mosquito net])</f>
        <v>0</v>
      </c>
      <c r="AC105" s="352">
        <f>IF(NFI_Expiration=1,IF($A105&lt;VLOOKUP(L$5,NFI,5,0),1,0)*Table_NFI[[#This Row],[Tarpaulin]],Table_NFI[[#This Row],[Tarpaulin]])</f>
        <v>0</v>
      </c>
      <c r="AD105" s="352">
        <f>IF(NFI_Expiration=1,IF($A105&lt;VLOOKUP(M$5,NFI,5,0),1,0)*Table_NFI[[#This Row],[Blanket]],Table_NFI[[#This Row],[Blanket]])</f>
        <v>0</v>
      </c>
      <c r="AE105" s="352">
        <f>IF(NFI_Expiration=1,IF($A105&lt;VLOOKUP(N$5,NFI,5,0),1,0)*Table_NFI[[#This Row],[Kitchen Set]],Table_NFI[Kitchen Set])</f>
        <v>0</v>
      </c>
      <c r="AF105" s="352">
        <f>IF(NFI_Expiration=1,IF($A105&lt;VLOOKUP(O$5,NFI,5,0),1,0)*Table_NFI[[#This Row],[Clothes Kit]],Table_NFI[Clothes Kit])</f>
        <v>0</v>
      </c>
      <c r="AG105" s="352">
        <f>IF(NFI_Expiration=1,IF($A105&lt;VLOOKUP(P$5,NFI,5,0),1,0)*Table_NFI[[#This Row],[Plastic Bucket]],Table_NFI[Plastic Bucket])</f>
        <v>0</v>
      </c>
      <c r="AH105" s="352">
        <f>IF(NFI_Expiration=1,IF($A105&lt;VLOOKUP(Q$5,NFI,5,0),1,0)*Table_NFI[[#This Row],[Plastic Mat]],Table_NFI[Plastic Mat])*IF(Table_NFI[[#This Row],[Distribution Date]]&gt;"2014-04-01",1,2.5)</f>
        <v>0</v>
      </c>
      <c r="AI105" s="352">
        <f>IF(NFI_Expiration=1,IF($A105&lt;VLOOKUP(R$5,NFI,5,0),1,0)*Table_NFI[[#This Row],[Winter Clothes Adult]],Table_NFI[Winter Clothes Adult])</f>
        <v>0</v>
      </c>
      <c r="AJ105" s="352">
        <f>IF(NFI_Expiration=1,IF($A105&lt;VLOOKUP(S$5,NFI,5,0),1,0)*Table_NFI[[#This Row],[Winter Clothes Children]],Table_NFI[Winter Clothes Children])</f>
        <v>0</v>
      </c>
      <c r="AK105" s="352">
        <f>IF(NFI_Expiration=1,IF($A105&lt;VLOOKUP(T$5,NFI,5,0),1,0)*Table_NFI[[#This Row],[Winter Items Other]],Table_NFI[Winter Items Other])</f>
        <v>0</v>
      </c>
      <c r="AL105" s="352">
        <f>IF(NFI_Expiration=1,IF($A105&lt;VLOOKUP(M$5,NFI,5,0),1,0)*Table_NFI[[#This Row],[Winter Blanket]],Table_NFI[[#This Row],[Winter Blanket]])</f>
        <v>0</v>
      </c>
      <c r="AM105" s="352">
        <f>IF(Table_NFI[[#This Row],[Winter Clothes Adult]]+Table_NFI[[#This Row],[Winter Clothes Children]]+Table_NFI[[#This Row],[Winter Items Other]]+Table_NFI[[#This Row],[Winter Blanket]]&gt;0,1,0)</f>
        <v>0</v>
      </c>
      <c r="AN105" s="392">
        <f>IF(NFI_Expiration=1,IF($A105&lt;VLOOKUP(V$5,NFI,5,0),1,0)*Table_NFI[[#This Row],[Jerry Can]],Table_NFI[Jerry Can])</f>
        <v>0</v>
      </c>
      <c r="AO105" s="540" t="str">
        <f>IFERROR(VLOOKUP(Table_NFI[[#This Row],[Camp Name]],CL,2,0),"")</f>
        <v>MMR001CMP129</v>
      </c>
      <c r="AP105" s="535">
        <f ca="1">IF(Table_NFI[[#This Row],[Pcode]]="","",IF(OFFSET(CampList[Opening Date],MATCH(Table_NFI[[#This Row],[Pcode]],CampList[CP_Pcode],0)-1,0,1,1)&gt;=NFI_Monitor_Date,1,0))</f>
        <v>0</v>
      </c>
      <c r="AQ105" s="540" t="str">
        <f>IFERROR(VLOOKUP(Table_NFI[[#This Row],[Camp Name]],CL,3,0),"")</f>
        <v>Open</v>
      </c>
      <c r="AR105" s="352" t="str">
        <f ca="1">IF(Table_NFI[[#This Row],[Pcode]]="","",OFFSET(CampList[Priority],MATCH(Table_NFI[[#This Row],[Pcode]],CampList[CP_Pcode],0)-1,0,1,1))</f>
        <v>P2</v>
      </c>
      <c r="AS105" s="351">
        <f>IFERROR(Table_NFI[[#This Row],[Kitchen Set]]/VLOOKUP(Table_NFI[[#This Row],[Camp Name]],CL,4,0),"")</f>
        <v>0</v>
      </c>
      <c r="AT105" s="533" t="s">
        <v>1094</v>
      </c>
      <c r="AU105" s="536"/>
    </row>
    <row r="106" spans="1:47" s="129" customFormat="1" ht="14.45" customHeight="1" x14ac:dyDescent="0.25">
      <c r="A106" s="355">
        <f t="shared" si="1"/>
        <v>16.100000000000001</v>
      </c>
      <c r="B106" s="532">
        <v>42088</v>
      </c>
      <c r="C106" s="533" t="s">
        <v>453</v>
      </c>
      <c r="D106" s="533" t="s">
        <v>1091</v>
      </c>
      <c r="E106" s="533" t="s">
        <v>380</v>
      </c>
      <c r="F106" s="533" t="s">
        <v>151</v>
      </c>
      <c r="G106" s="533" t="s">
        <v>1349</v>
      </c>
      <c r="H106" s="349"/>
      <c r="I106" s="352"/>
      <c r="J106" s="352"/>
      <c r="K106" s="352"/>
      <c r="L106" s="350"/>
      <c r="M106" s="350">
        <v>829</v>
      </c>
      <c r="N106" s="350"/>
      <c r="O106" s="350"/>
      <c r="P106" s="352"/>
      <c r="Q106" s="352"/>
      <c r="R106" s="352"/>
      <c r="S106" s="352"/>
      <c r="T106" s="352"/>
      <c r="U106" s="352"/>
      <c r="V106" s="497"/>
      <c r="W106" s="352"/>
      <c r="X106" s="352"/>
      <c r="Y106" s="352">
        <f>IF(NFI_Expiration=1,IF($A106&lt;VLOOKUP(H$5,NFI,5,0),1,0)*Table_NFI[[#This Row],[Hygiene Kit]],Table_NFI[Hygiene Kit])</f>
        <v>0</v>
      </c>
      <c r="Z106" s="352">
        <f>IF(NFI_Expiration=1,IF($A106&lt;VLOOKUP(I$5,NFI,5,0),1,0)*Table_NFI[[#This Row],[NFI Core Kit]],Table_NFI[NFI Core Kit])</f>
        <v>0</v>
      </c>
      <c r="AA106" s="352">
        <f>IF(NFI_Expiration=1,IF($A106&lt;VLOOKUP(J$5,NFI,5,0),1,0)*Table_NFI[[#This Row],[Sanitary Kit]],Table_NFI[Sanitary Kit])</f>
        <v>0</v>
      </c>
      <c r="AB106" s="352">
        <f>IF(NFI_Expiration=1,IF($A106&lt;VLOOKUP(K$5,NFI,5,0),1,0)*Table_NFI[[#This Row],[Mosquito net]],Table_NFI[Mosquito net])</f>
        <v>0</v>
      </c>
      <c r="AC106" s="352">
        <f>IF(NFI_Expiration=1,IF($A106&lt;VLOOKUP(L$5,NFI,5,0),1,0)*Table_NFI[[#This Row],[Tarpaulin]],Table_NFI[[#This Row],[Tarpaulin]])</f>
        <v>0</v>
      </c>
      <c r="AD106" s="352">
        <f>IF(NFI_Expiration=1,IF($A106&lt;VLOOKUP(M$5,NFI,5,0),1,0)*Table_NFI[[#This Row],[Blanket]],Table_NFI[[#This Row],[Blanket]])</f>
        <v>0</v>
      </c>
      <c r="AE106" s="352">
        <f>IF(NFI_Expiration=1,IF($A106&lt;VLOOKUP(N$5,NFI,5,0),1,0)*Table_NFI[[#This Row],[Kitchen Set]],Table_NFI[Kitchen Set])</f>
        <v>0</v>
      </c>
      <c r="AF106" s="352">
        <f>IF(NFI_Expiration=1,IF($A106&lt;VLOOKUP(O$5,NFI,5,0),1,0)*Table_NFI[[#This Row],[Clothes Kit]],Table_NFI[Clothes Kit])</f>
        <v>0</v>
      </c>
      <c r="AG106" s="352">
        <f>IF(NFI_Expiration=1,IF($A106&lt;VLOOKUP(P$5,NFI,5,0),1,0)*Table_NFI[[#This Row],[Plastic Bucket]],Table_NFI[Plastic Bucket])</f>
        <v>0</v>
      </c>
      <c r="AH106" s="352">
        <f>IF(NFI_Expiration=1,IF($A106&lt;VLOOKUP(Q$5,NFI,5,0),1,0)*Table_NFI[[#This Row],[Plastic Mat]],Table_NFI[Plastic Mat])*IF(Table_NFI[[#This Row],[Distribution Date]]&gt;"2014-04-01",1,2.5)</f>
        <v>0</v>
      </c>
      <c r="AI106" s="352">
        <f>IF(NFI_Expiration=1,IF($A106&lt;VLOOKUP(R$5,NFI,5,0),1,0)*Table_NFI[[#This Row],[Winter Clothes Adult]],Table_NFI[Winter Clothes Adult])</f>
        <v>0</v>
      </c>
      <c r="AJ106" s="352">
        <f>IF(NFI_Expiration=1,IF($A106&lt;VLOOKUP(S$5,NFI,5,0),1,0)*Table_NFI[[#This Row],[Winter Clothes Children]],Table_NFI[Winter Clothes Children])</f>
        <v>0</v>
      </c>
      <c r="AK106" s="352">
        <f>IF(NFI_Expiration=1,IF($A106&lt;VLOOKUP(T$5,NFI,5,0),1,0)*Table_NFI[[#This Row],[Winter Items Other]],Table_NFI[Winter Items Other])</f>
        <v>0</v>
      </c>
      <c r="AL106" s="352">
        <f>IF(NFI_Expiration=1,IF($A106&lt;VLOOKUP(M$5,NFI,5,0),1,0)*Table_NFI[[#This Row],[Winter Blanket]],Table_NFI[[#This Row],[Winter Blanket]])</f>
        <v>0</v>
      </c>
      <c r="AM106" s="352">
        <f>IF(Table_NFI[[#This Row],[Winter Clothes Adult]]+Table_NFI[[#This Row],[Winter Clothes Children]]+Table_NFI[[#This Row],[Winter Items Other]]+Table_NFI[[#This Row],[Winter Blanket]]&gt;0,1,0)</f>
        <v>0</v>
      </c>
      <c r="AN106" s="392">
        <f>IF(NFI_Expiration=1,IF($A106&lt;VLOOKUP(V$5,NFI,5,0),1,0)*Table_NFI[[#This Row],[Jerry Can]],Table_NFI[Jerry Can])</f>
        <v>0</v>
      </c>
      <c r="AO106" s="540" t="str">
        <f>IFERROR(VLOOKUP(Table_NFI[[#This Row],[Camp Name]],CL,2,0),"")</f>
        <v/>
      </c>
      <c r="AP106" s="535" t="str">
        <f ca="1">IF(Table_NFI[[#This Row],[Pcode]]="","",IF(OFFSET(CampList[Opening Date],MATCH(Table_NFI[[#This Row],[Pcode]],CampList[CP_Pcode],0)-1,0,1,1)&gt;=NFI_Monitor_Date,1,0))</f>
        <v/>
      </c>
      <c r="AQ106" s="540" t="str">
        <f>IFERROR(VLOOKUP(Table_NFI[[#This Row],[Camp Name]],CL,3,0),"")</f>
        <v/>
      </c>
      <c r="AR106" s="352" t="str">
        <f ca="1">IF(Table_NFI[[#This Row],[Pcode]]="","",OFFSET(CampList[Priority],MATCH(Table_NFI[[#This Row],[Pcode]],CampList[CP_Pcode],0)-1,0,1,1))</f>
        <v/>
      </c>
      <c r="AS106" s="351" t="str">
        <f>IFERROR(Table_NFI[[#This Row],[Kitchen Set]]/VLOOKUP(Table_NFI[[#This Row],[Camp Name]],CL,4,0),"")</f>
        <v/>
      </c>
      <c r="AT106" s="533" t="s">
        <v>1094</v>
      </c>
      <c r="AU106" s="536"/>
    </row>
    <row r="107" spans="1:47" s="129" customFormat="1" ht="14.45" customHeight="1" x14ac:dyDescent="0.25">
      <c r="A107" s="355">
        <f t="shared" si="1"/>
        <v>16.100000000000001</v>
      </c>
      <c r="B107" s="532">
        <v>42088</v>
      </c>
      <c r="C107" s="533" t="s">
        <v>453</v>
      </c>
      <c r="D107" s="533" t="s">
        <v>453</v>
      </c>
      <c r="E107" s="533" t="s">
        <v>380</v>
      </c>
      <c r="F107" s="533" t="s">
        <v>151</v>
      </c>
      <c r="G107" s="533" t="s">
        <v>1346</v>
      </c>
      <c r="H107" s="349"/>
      <c r="I107" s="352"/>
      <c r="J107" s="352"/>
      <c r="K107" s="352">
        <v>1621</v>
      </c>
      <c r="L107" s="350"/>
      <c r="M107" s="350"/>
      <c r="N107" s="350"/>
      <c r="O107" s="350"/>
      <c r="P107" s="352"/>
      <c r="Q107" s="352"/>
      <c r="R107" s="352"/>
      <c r="S107" s="352"/>
      <c r="T107" s="352"/>
      <c r="U107" s="352"/>
      <c r="V107" s="497"/>
      <c r="W107" s="352"/>
      <c r="X107" s="352"/>
      <c r="Y107" s="352">
        <f>IF(NFI_Expiration=1,IF($A107&lt;VLOOKUP(H$5,NFI,5,0),1,0)*Table_NFI[[#This Row],[Hygiene Kit]],Table_NFI[Hygiene Kit])</f>
        <v>0</v>
      </c>
      <c r="Z107" s="352">
        <f>IF(NFI_Expiration=1,IF($A107&lt;VLOOKUP(I$5,NFI,5,0),1,0)*Table_NFI[[#This Row],[NFI Core Kit]],Table_NFI[NFI Core Kit])</f>
        <v>0</v>
      </c>
      <c r="AA107" s="352">
        <f>IF(NFI_Expiration=1,IF($A107&lt;VLOOKUP(J$5,NFI,5,0),1,0)*Table_NFI[[#This Row],[Sanitary Kit]],Table_NFI[Sanitary Kit])</f>
        <v>0</v>
      </c>
      <c r="AB107" s="352">
        <f>IF(NFI_Expiration=1,IF($A107&lt;VLOOKUP(K$5,NFI,5,0),1,0)*Table_NFI[[#This Row],[Mosquito net]],Table_NFI[Mosquito net])</f>
        <v>0</v>
      </c>
      <c r="AC107" s="352">
        <f>IF(NFI_Expiration=1,IF($A107&lt;VLOOKUP(L$5,NFI,5,0),1,0)*Table_NFI[[#This Row],[Tarpaulin]],Table_NFI[[#This Row],[Tarpaulin]])</f>
        <v>0</v>
      </c>
      <c r="AD107" s="352">
        <f>IF(NFI_Expiration=1,IF($A107&lt;VLOOKUP(M$5,NFI,5,0),1,0)*Table_NFI[[#This Row],[Blanket]],Table_NFI[[#This Row],[Blanket]])</f>
        <v>0</v>
      </c>
      <c r="AE107" s="352">
        <f>IF(NFI_Expiration=1,IF($A107&lt;VLOOKUP(N$5,NFI,5,0),1,0)*Table_NFI[[#This Row],[Kitchen Set]],Table_NFI[Kitchen Set])</f>
        <v>0</v>
      </c>
      <c r="AF107" s="352">
        <f>IF(NFI_Expiration=1,IF($A107&lt;VLOOKUP(O$5,NFI,5,0),1,0)*Table_NFI[[#This Row],[Clothes Kit]],Table_NFI[Clothes Kit])</f>
        <v>0</v>
      </c>
      <c r="AG107" s="352">
        <f>IF(NFI_Expiration=1,IF($A107&lt;VLOOKUP(P$5,NFI,5,0),1,0)*Table_NFI[[#This Row],[Plastic Bucket]],Table_NFI[Plastic Bucket])</f>
        <v>0</v>
      </c>
      <c r="AH107" s="352">
        <f>IF(NFI_Expiration=1,IF($A107&lt;VLOOKUP(Q$5,NFI,5,0),1,0)*Table_NFI[[#This Row],[Plastic Mat]],Table_NFI[Plastic Mat])*IF(Table_NFI[[#This Row],[Distribution Date]]&gt;"2014-04-01",1,2.5)</f>
        <v>0</v>
      </c>
      <c r="AI107" s="352">
        <f>IF(NFI_Expiration=1,IF($A107&lt;VLOOKUP(R$5,NFI,5,0),1,0)*Table_NFI[[#This Row],[Winter Clothes Adult]],Table_NFI[Winter Clothes Adult])</f>
        <v>0</v>
      </c>
      <c r="AJ107" s="352">
        <f>IF(NFI_Expiration=1,IF($A107&lt;VLOOKUP(S$5,NFI,5,0),1,0)*Table_NFI[[#This Row],[Winter Clothes Children]],Table_NFI[Winter Clothes Children])</f>
        <v>0</v>
      </c>
      <c r="AK107" s="352">
        <f>IF(NFI_Expiration=1,IF($A107&lt;VLOOKUP(T$5,NFI,5,0),1,0)*Table_NFI[[#This Row],[Winter Items Other]],Table_NFI[Winter Items Other])</f>
        <v>0</v>
      </c>
      <c r="AL107" s="352">
        <f>IF(NFI_Expiration=1,IF($A107&lt;VLOOKUP(M$5,NFI,5,0),1,0)*Table_NFI[[#This Row],[Winter Blanket]],Table_NFI[[#This Row],[Winter Blanket]])</f>
        <v>0</v>
      </c>
      <c r="AM107" s="352">
        <f>IF(Table_NFI[[#This Row],[Winter Clothes Adult]]+Table_NFI[[#This Row],[Winter Clothes Children]]+Table_NFI[[#This Row],[Winter Items Other]]+Table_NFI[[#This Row],[Winter Blanket]]&gt;0,1,0)</f>
        <v>0</v>
      </c>
      <c r="AN107" s="392">
        <f>IF(NFI_Expiration=1,IF($A107&lt;VLOOKUP(V$5,NFI,5,0),1,0)*Table_NFI[[#This Row],[Jerry Can]],Table_NFI[Jerry Can])</f>
        <v>0</v>
      </c>
      <c r="AO107" s="540" t="str">
        <f>IFERROR(VLOOKUP(Table_NFI[[#This Row],[Camp Name]],CL,2,0),"")</f>
        <v/>
      </c>
      <c r="AP107" s="535" t="str">
        <f ca="1">IF(Table_NFI[[#This Row],[Pcode]]="","",IF(OFFSET(CampList[Opening Date],MATCH(Table_NFI[[#This Row],[Pcode]],CampList[CP_Pcode],0)-1,0,1,1)&gt;=NFI_Monitor_Date,1,0))</f>
        <v/>
      </c>
      <c r="AQ107" s="540" t="str">
        <f>IFERROR(VLOOKUP(Table_NFI[[#This Row],[Camp Name]],CL,3,0),"")</f>
        <v/>
      </c>
      <c r="AR107" s="352" t="str">
        <f ca="1">IF(Table_NFI[[#This Row],[Pcode]]="","",OFFSET(CampList[Priority],MATCH(Table_NFI[[#This Row],[Pcode]],CampList[CP_Pcode],0)-1,0,1,1))</f>
        <v/>
      </c>
      <c r="AS107" s="351" t="str">
        <f>IFERROR(Table_NFI[[#This Row],[Kitchen Set]]/VLOOKUP(Table_NFI[[#This Row],[Camp Name]],CL,4,0),"")</f>
        <v/>
      </c>
      <c r="AT107" s="533" t="s">
        <v>1094</v>
      </c>
      <c r="AU107" s="557"/>
    </row>
    <row r="108" spans="1:47" s="537" customFormat="1" ht="14.45" customHeight="1" x14ac:dyDescent="0.25">
      <c r="A108" s="355">
        <f t="shared" si="1"/>
        <v>16.100000000000001</v>
      </c>
      <c r="B108" s="532">
        <v>42088</v>
      </c>
      <c r="C108" s="533" t="s">
        <v>453</v>
      </c>
      <c r="D108" s="533" t="s">
        <v>453</v>
      </c>
      <c r="E108" s="533" t="s">
        <v>380</v>
      </c>
      <c r="F108" s="533" t="s">
        <v>5</v>
      </c>
      <c r="G108" s="348" t="s">
        <v>1348</v>
      </c>
      <c r="H108" s="349"/>
      <c r="I108" s="349"/>
      <c r="J108" s="349"/>
      <c r="K108" s="349"/>
      <c r="L108" s="350"/>
      <c r="M108" s="350"/>
      <c r="N108" s="350"/>
      <c r="O108" s="350"/>
      <c r="P108" s="352"/>
      <c r="Q108" s="352"/>
      <c r="R108" s="352">
        <v>2086</v>
      </c>
      <c r="S108" s="352">
        <v>3036</v>
      </c>
      <c r="T108" s="352"/>
      <c r="U108" s="352"/>
      <c r="V108" s="497"/>
      <c r="W108" s="352"/>
      <c r="X108" s="352"/>
      <c r="Y108" s="352">
        <f>IF(NFI_Expiration=1,IF($A108&lt;VLOOKUP(H$5,NFI,5,0),1,0)*Table_NFI[[#This Row],[Hygiene Kit]],Table_NFI[Hygiene Kit])</f>
        <v>0</v>
      </c>
      <c r="Z108" s="352">
        <f>IF(NFI_Expiration=1,IF($A108&lt;VLOOKUP(I$5,NFI,5,0),1,0)*Table_NFI[[#This Row],[NFI Core Kit]],Table_NFI[NFI Core Kit])</f>
        <v>0</v>
      </c>
      <c r="AA108" s="352">
        <f>IF(NFI_Expiration=1,IF($A108&lt;VLOOKUP(J$5,NFI,5,0),1,0)*Table_NFI[[#This Row],[Sanitary Kit]],Table_NFI[Sanitary Kit])</f>
        <v>0</v>
      </c>
      <c r="AB108" s="352">
        <f>IF(NFI_Expiration=1,IF($A108&lt;VLOOKUP(K$5,NFI,5,0),1,0)*Table_NFI[[#This Row],[Mosquito net]],Table_NFI[Mosquito net])</f>
        <v>0</v>
      </c>
      <c r="AC108" s="352">
        <f>IF(NFI_Expiration=1,IF($A108&lt;VLOOKUP(L$5,NFI,5,0),1,0)*Table_NFI[[#This Row],[Tarpaulin]],Table_NFI[[#This Row],[Tarpaulin]])</f>
        <v>0</v>
      </c>
      <c r="AD108" s="352">
        <f>IF(NFI_Expiration=1,IF($A108&lt;VLOOKUP(M$5,NFI,5,0),1,0)*Table_NFI[[#This Row],[Blanket]],Table_NFI[[#This Row],[Blanket]])</f>
        <v>0</v>
      </c>
      <c r="AE108" s="352">
        <f>IF(NFI_Expiration=1,IF($A108&lt;VLOOKUP(N$5,NFI,5,0),1,0)*Table_NFI[[#This Row],[Kitchen Set]],Table_NFI[Kitchen Set])</f>
        <v>0</v>
      </c>
      <c r="AF108" s="352">
        <f>IF(NFI_Expiration=1,IF($A108&lt;VLOOKUP(O$5,NFI,5,0),1,0)*Table_NFI[[#This Row],[Clothes Kit]],Table_NFI[Clothes Kit])</f>
        <v>0</v>
      </c>
      <c r="AG108" s="352">
        <f>IF(NFI_Expiration=1,IF($A108&lt;VLOOKUP(P$5,NFI,5,0),1,0)*Table_NFI[[#This Row],[Plastic Bucket]],Table_NFI[Plastic Bucket])</f>
        <v>0</v>
      </c>
      <c r="AH108" s="352">
        <f>IF(NFI_Expiration=1,IF($A108&lt;VLOOKUP(Q$5,NFI,5,0),1,0)*Table_NFI[[#This Row],[Plastic Mat]],Table_NFI[Plastic Mat])*IF(Table_NFI[[#This Row],[Distribution Date]]&gt;"2014-04-01",1,2.5)</f>
        <v>0</v>
      </c>
      <c r="AI108" s="352">
        <f>IF(NFI_Expiration=1,IF($A108&lt;VLOOKUP(R$5,NFI,5,0),1,0)*Table_NFI[[#This Row],[Winter Clothes Adult]],Table_NFI[Winter Clothes Adult])</f>
        <v>0</v>
      </c>
      <c r="AJ108" s="352">
        <f>IF(NFI_Expiration=1,IF($A108&lt;VLOOKUP(S$5,NFI,5,0),1,0)*Table_NFI[[#This Row],[Winter Clothes Children]],Table_NFI[Winter Clothes Children])</f>
        <v>0</v>
      </c>
      <c r="AK108" s="352">
        <f>IF(NFI_Expiration=1,IF($A108&lt;VLOOKUP(T$5,NFI,5,0),1,0)*Table_NFI[[#This Row],[Winter Items Other]],Table_NFI[Winter Items Other])</f>
        <v>0</v>
      </c>
      <c r="AL108" s="352">
        <f>IF(NFI_Expiration=1,IF($A108&lt;VLOOKUP(M$5,NFI,5,0),1,0)*Table_NFI[[#This Row],[Winter Blanket]],Table_NFI[[#This Row],[Winter Blanket]])</f>
        <v>0</v>
      </c>
      <c r="AM108" s="352">
        <f>IF(Table_NFI[[#This Row],[Winter Clothes Adult]]+Table_NFI[[#This Row],[Winter Clothes Children]]+Table_NFI[[#This Row],[Winter Items Other]]+Table_NFI[[#This Row],[Winter Blanket]]&gt;0,1,0)</f>
        <v>1</v>
      </c>
      <c r="AN108" s="392">
        <f>IF(NFI_Expiration=1,IF($A108&lt;VLOOKUP(V$5,NFI,5,0),1,0)*Table_NFI[[#This Row],[Jerry Can]],Table_NFI[Jerry Can])</f>
        <v>0</v>
      </c>
      <c r="AO108" s="540" t="str">
        <f>IFERROR(VLOOKUP(Table_NFI[[#This Row],[Camp Name]],CL,2,0),"")</f>
        <v/>
      </c>
      <c r="AP108" s="535" t="str">
        <f ca="1">IF(Table_NFI[[#This Row],[Pcode]]="","",IF(OFFSET(CampList[Opening Date],MATCH(Table_NFI[[#This Row],[Pcode]],CampList[CP_Pcode],0)-1,0,1,1)&gt;=NFI_Monitor_Date,1,0))</f>
        <v/>
      </c>
      <c r="AQ108" s="540" t="str">
        <f>IFERROR(VLOOKUP(Table_NFI[[#This Row],[Camp Name]],CL,3,0),"")</f>
        <v/>
      </c>
      <c r="AR108" s="352" t="str">
        <f ca="1">IF(Table_NFI[[#This Row],[Pcode]]="","",OFFSET(CampList[Priority],MATCH(Table_NFI[[#This Row],[Pcode]],CampList[CP_Pcode],0)-1,0,1,1))</f>
        <v/>
      </c>
      <c r="AS108" s="351" t="str">
        <f>IFERROR(Table_NFI[[#This Row],[Kitchen Set]]/VLOOKUP(Table_NFI[[#This Row],[Camp Name]],CL,4,0),"")</f>
        <v/>
      </c>
      <c r="AT108" s="533" t="s">
        <v>1094</v>
      </c>
      <c r="AU108" s="536"/>
    </row>
    <row r="109" spans="1:47" s="129" customFormat="1" ht="14.45" customHeight="1" x14ac:dyDescent="0.25">
      <c r="A109" s="355">
        <f t="shared" si="1"/>
        <v>16.399999999999999</v>
      </c>
      <c r="B109" s="532">
        <v>42079</v>
      </c>
      <c r="C109" s="533" t="s">
        <v>453</v>
      </c>
      <c r="D109" s="533" t="s">
        <v>453</v>
      </c>
      <c r="E109" s="533" t="s">
        <v>380</v>
      </c>
      <c r="F109" s="533" t="s">
        <v>5</v>
      </c>
      <c r="G109" s="533" t="s">
        <v>1348</v>
      </c>
      <c r="H109" s="349"/>
      <c r="I109" s="349"/>
      <c r="J109" s="352"/>
      <c r="K109" s="352"/>
      <c r="L109" s="350"/>
      <c r="M109" s="350"/>
      <c r="N109" s="350"/>
      <c r="O109" s="350"/>
      <c r="P109" s="352"/>
      <c r="Q109" s="352"/>
      <c r="R109" s="352">
        <v>2460</v>
      </c>
      <c r="S109" s="352">
        <v>3600</v>
      </c>
      <c r="T109" s="352"/>
      <c r="U109" s="352"/>
      <c r="V109" s="497"/>
      <c r="W109" s="352"/>
      <c r="X109" s="352"/>
      <c r="Y109" s="352">
        <f>IF(NFI_Expiration=1,IF($A109&lt;VLOOKUP(H$5,NFI,5,0),1,0)*Table_NFI[[#This Row],[Hygiene Kit]],Table_NFI[Hygiene Kit])</f>
        <v>0</v>
      </c>
      <c r="Z109" s="352">
        <f>IF(NFI_Expiration=1,IF($A109&lt;VLOOKUP(I$5,NFI,5,0),1,0)*Table_NFI[[#This Row],[NFI Core Kit]],Table_NFI[NFI Core Kit])</f>
        <v>0</v>
      </c>
      <c r="AA109" s="352">
        <f>IF(NFI_Expiration=1,IF($A109&lt;VLOOKUP(J$5,NFI,5,0),1,0)*Table_NFI[[#This Row],[Sanitary Kit]],Table_NFI[Sanitary Kit])</f>
        <v>0</v>
      </c>
      <c r="AB109" s="352">
        <f>IF(NFI_Expiration=1,IF($A109&lt;VLOOKUP(K$5,NFI,5,0),1,0)*Table_NFI[[#This Row],[Mosquito net]],Table_NFI[Mosquito net])</f>
        <v>0</v>
      </c>
      <c r="AC109" s="352">
        <f>IF(NFI_Expiration=1,IF($A109&lt;VLOOKUP(L$5,NFI,5,0),1,0)*Table_NFI[[#This Row],[Tarpaulin]],Table_NFI[[#This Row],[Tarpaulin]])</f>
        <v>0</v>
      </c>
      <c r="AD109" s="352">
        <f>IF(NFI_Expiration=1,IF($A109&lt;VLOOKUP(M$5,NFI,5,0),1,0)*Table_NFI[[#This Row],[Blanket]],Table_NFI[[#This Row],[Blanket]])</f>
        <v>0</v>
      </c>
      <c r="AE109" s="352">
        <f>IF(NFI_Expiration=1,IF($A109&lt;VLOOKUP(N$5,NFI,5,0),1,0)*Table_NFI[[#This Row],[Kitchen Set]],Table_NFI[Kitchen Set])</f>
        <v>0</v>
      </c>
      <c r="AF109" s="352">
        <f>IF(NFI_Expiration=1,IF($A109&lt;VLOOKUP(O$5,NFI,5,0),1,0)*Table_NFI[[#This Row],[Clothes Kit]],Table_NFI[Clothes Kit])</f>
        <v>0</v>
      </c>
      <c r="AG109" s="352">
        <f>IF(NFI_Expiration=1,IF($A109&lt;VLOOKUP(P$5,NFI,5,0),1,0)*Table_NFI[[#This Row],[Plastic Bucket]],Table_NFI[Plastic Bucket])</f>
        <v>0</v>
      </c>
      <c r="AH109" s="352">
        <f>IF(NFI_Expiration=1,IF($A109&lt;VLOOKUP(Q$5,NFI,5,0),1,0)*Table_NFI[[#This Row],[Plastic Mat]],Table_NFI[Plastic Mat])*IF(Table_NFI[[#This Row],[Distribution Date]]&gt;"2014-04-01",1,2.5)</f>
        <v>0</v>
      </c>
      <c r="AI109" s="352">
        <f>IF(NFI_Expiration=1,IF($A109&lt;VLOOKUP(R$5,NFI,5,0),1,0)*Table_NFI[[#This Row],[Winter Clothes Adult]],Table_NFI[Winter Clothes Adult])</f>
        <v>0</v>
      </c>
      <c r="AJ109" s="352">
        <f>IF(NFI_Expiration=1,IF($A109&lt;VLOOKUP(S$5,NFI,5,0),1,0)*Table_NFI[[#This Row],[Winter Clothes Children]],Table_NFI[Winter Clothes Children])</f>
        <v>0</v>
      </c>
      <c r="AK109" s="352">
        <f>IF(NFI_Expiration=1,IF($A109&lt;VLOOKUP(T$5,NFI,5,0),1,0)*Table_NFI[[#This Row],[Winter Items Other]],Table_NFI[Winter Items Other])</f>
        <v>0</v>
      </c>
      <c r="AL109" s="352">
        <f>IF(NFI_Expiration=1,IF($A109&lt;VLOOKUP(M$5,NFI,5,0),1,0)*Table_NFI[[#This Row],[Winter Blanket]],Table_NFI[[#This Row],[Winter Blanket]])</f>
        <v>0</v>
      </c>
      <c r="AM109" s="352">
        <f>IF(Table_NFI[[#This Row],[Winter Clothes Adult]]+Table_NFI[[#This Row],[Winter Clothes Children]]+Table_NFI[[#This Row],[Winter Items Other]]+Table_NFI[[#This Row],[Winter Blanket]]&gt;0,1,0)</f>
        <v>1</v>
      </c>
      <c r="AN109" s="392">
        <f>IF(NFI_Expiration=1,IF($A109&lt;VLOOKUP(V$5,NFI,5,0),1,0)*Table_NFI[[#This Row],[Jerry Can]],Table_NFI[Jerry Can])</f>
        <v>0</v>
      </c>
      <c r="AO109" s="540" t="str">
        <f>IFERROR(VLOOKUP(Table_NFI[[#This Row],[Camp Name]],CL,2,0),"")</f>
        <v/>
      </c>
      <c r="AP109" s="535" t="str">
        <f ca="1">IF(Table_NFI[[#This Row],[Pcode]]="","",IF(OFFSET(CampList[Opening Date],MATCH(Table_NFI[[#This Row],[Pcode]],CampList[CP_Pcode],0)-1,0,1,1)&gt;=NFI_Monitor_Date,1,0))</f>
        <v/>
      </c>
      <c r="AQ109" s="540" t="str">
        <f>IFERROR(VLOOKUP(Table_NFI[[#This Row],[Camp Name]],CL,3,0),"")</f>
        <v/>
      </c>
      <c r="AR109" s="352" t="str">
        <f ca="1">IF(Table_NFI[[#This Row],[Pcode]]="","",OFFSET(CampList[Priority],MATCH(Table_NFI[[#This Row],[Pcode]],CampList[CP_Pcode],0)-1,0,1,1))</f>
        <v/>
      </c>
      <c r="AS109" s="351" t="str">
        <f>IFERROR(Table_NFI[[#This Row],[Kitchen Set]]/VLOOKUP(Table_NFI[[#This Row],[Camp Name]],CL,4,0),"")</f>
        <v/>
      </c>
      <c r="AT109" s="533" t="s">
        <v>1094</v>
      </c>
      <c r="AU109" s="536"/>
    </row>
    <row r="110" spans="1:47" s="175" customFormat="1" ht="14.45" customHeight="1" x14ac:dyDescent="0.25">
      <c r="A110" s="355">
        <f t="shared" si="1"/>
        <v>16.5</v>
      </c>
      <c r="B110" s="532">
        <v>42076</v>
      </c>
      <c r="C110" s="538" t="s">
        <v>453</v>
      </c>
      <c r="D110" s="538" t="s">
        <v>507</v>
      </c>
      <c r="E110" s="538" t="s">
        <v>380</v>
      </c>
      <c r="F110" s="538" t="s">
        <v>310</v>
      </c>
      <c r="G110" s="538" t="s">
        <v>330</v>
      </c>
      <c r="H110" s="350"/>
      <c r="I110" s="350"/>
      <c r="J110" s="350"/>
      <c r="K110" s="350"/>
      <c r="L110" s="350">
        <v>1</v>
      </c>
      <c r="M110" s="350"/>
      <c r="N110" s="350"/>
      <c r="O110" s="350"/>
      <c r="P110" s="352"/>
      <c r="Q110" s="392"/>
      <c r="R110" s="392"/>
      <c r="S110" s="392"/>
      <c r="T110" s="392"/>
      <c r="U110" s="392"/>
      <c r="V110" s="497"/>
      <c r="W110" s="392"/>
      <c r="X110" s="392"/>
      <c r="Y110" s="352">
        <f>IF(NFI_Expiration=1,IF($A110&lt;VLOOKUP(H$5,NFI,5,0),1,0)*Table_NFI[[#This Row],[Hygiene Kit]],Table_NFI[Hygiene Kit])</f>
        <v>0</v>
      </c>
      <c r="Z110" s="352">
        <f>IF(NFI_Expiration=1,IF($A110&lt;VLOOKUP(I$5,NFI,5,0),1,0)*Table_NFI[[#This Row],[NFI Core Kit]],Table_NFI[NFI Core Kit])</f>
        <v>0</v>
      </c>
      <c r="AA110" s="352">
        <f>IF(NFI_Expiration=1,IF($A110&lt;VLOOKUP(J$5,NFI,5,0),1,0)*Table_NFI[[#This Row],[Sanitary Kit]],Table_NFI[Sanitary Kit])</f>
        <v>0</v>
      </c>
      <c r="AB110" s="352">
        <f>IF(NFI_Expiration=1,IF($A110&lt;VLOOKUP(K$5,NFI,5,0),1,0)*Table_NFI[[#This Row],[Mosquito net]],Table_NFI[Mosquito net])</f>
        <v>0</v>
      </c>
      <c r="AC110" s="352">
        <f>IF(NFI_Expiration=1,IF($A110&lt;VLOOKUP(L$5,NFI,5,0),1,0)*Table_NFI[[#This Row],[Tarpaulin]],Table_NFI[[#This Row],[Tarpaulin]])</f>
        <v>0</v>
      </c>
      <c r="AD110" s="352">
        <f>IF(NFI_Expiration=1,IF($A110&lt;VLOOKUP(M$5,NFI,5,0),1,0)*Table_NFI[[#This Row],[Blanket]],Table_NFI[[#This Row],[Blanket]])</f>
        <v>0</v>
      </c>
      <c r="AE110" s="352">
        <f>IF(NFI_Expiration=1,IF($A110&lt;VLOOKUP(N$5,NFI,5,0),1,0)*Table_NFI[[#This Row],[Kitchen Set]],Table_NFI[Kitchen Set])</f>
        <v>0</v>
      </c>
      <c r="AF110" s="352">
        <f>IF(NFI_Expiration=1,IF($A110&lt;VLOOKUP(O$5,NFI,5,0),1,0)*Table_NFI[[#This Row],[Clothes Kit]],Table_NFI[Clothes Kit])</f>
        <v>0</v>
      </c>
      <c r="AG110" s="352">
        <f>IF(NFI_Expiration=1,IF($A110&lt;VLOOKUP(P$5,NFI,5,0),1,0)*Table_NFI[[#This Row],[Plastic Bucket]],Table_NFI[Plastic Bucket])</f>
        <v>0</v>
      </c>
      <c r="AH110" s="352">
        <f>IF(NFI_Expiration=1,IF($A110&lt;VLOOKUP(Q$5,NFI,5,0),1,0)*Table_NFI[[#This Row],[Plastic Mat]],Table_NFI[Plastic Mat])*IF(Table_NFI[[#This Row],[Distribution Date]]&gt;"2014-04-01",1,2.5)</f>
        <v>0</v>
      </c>
      <c r="AI110" s="352">
        <f>IF(NFI_Expiration=1,IF($A110&lt;VLOOKUP(R$5,NFI,5,0),1,0)*Table_NFI[[#This Row],[Winter Clothes Adult]],Table_NFI[Winter Clothes Adult])</f>
        <v>0</v>
      </c>
      <c r="AJ110" s="352">
        <f>IF(NFI_Expiration=1,IF($A110&lt;VLOOKUP(S$5,NFI,5,0),1,0)*Table_NFI[[#This Row],[Winter Clothes Children]],Table_NFI[Winter Clothes Children])</f>
        <v>0</v>
      </c>
      <c r="AK110" s="352">
        <f>IF(NFI_Expiration=1,IF($A110&lt;VLOOKUP(T$5,NFI,5,0),1,0)*Table_NFI[[#This Row],[Winter Items Other]],Table_NFI[Winter Items Other])</f>
        <v>0</v>
      </c>
      <c r="AL110" s="352">
        <f>IF(NFI_Expiration=1,IF($A110&lt;VLOOKUP(M$5,NFI,5,0),1,0)*Table_NFI[[#This Row],[Winter Blanket]],Table_NFI[[#This Row],[Winter Blanket]])</f>
        <v>0</v>
      </c>
      <c r="AM110" s="352">
        <f>IF(Table_NFI[[#This Row],[Winter Clothes Adult]]+Table_NFI[[#This Row],[Winter Clothes Children]]+Table_NFI[[#This Row],[Winter Items Other]]+Table_NFI[[#This Row],[Winter Blanket]]&gt;0,1,0)</f>
        <v>0</v>
      </c>
      <c r="AN110" s="392">
        <f>IF(NFI_Expiration=1,IF($A110&lt;VLOOKUP(V$5,NFI,5,0),1,0)*Table_NFI[[#This Row],[Jerry Can]],Table_NFI[Jerry Can])</f>
        <v>0</v>
      </c>
      <c r="AO110" s="540" t="str">
        <f>IFERROR(VLOOKUP(Table_NFI[[#This Row],[Camp Name]],CL,2,0),"")</f>
        <v>MMR001CMP029</v>
      </c>
      <c r="AP110" s="535">
        <f ca="1">IF(Table_NFI[[#This Row],[Pcode]]="","",IF(OFFSET(CampList[Opening Date],MATCH(Table_NFI[[#This Row],[Pcode]],CampList[CP_Pcode],0)-1,0,1,1)&gt;=NFI_Monitor_Date,1,0))</f>
        <v>0</v>
      </c>
      <c r="AQ110" s="540" t="str">
        <f>IFERROR(VLOOKUP(Table_NFI[[#This Row],[Camp Name]],CL,3,0),"")</f>
        <v>Open</v>
      </c>
      <c r="AR110" s="352" t="str">
        <f ca="1">IF(Table_NFI[[#This Row],[Pcode]]="","",OFFSET(CampList[Priority],MATCH(Table_NFI[[#This Row],[Pcode]],CampList[CP_Pcode],0)-1,0,1,1))</f>
        <v>P4</v>
      </c>
      <c r="AS110" s="351">
        <f>IFERROR(Table_NFI[[#This Row],[Kitchen Set]]/VLOOKUP(Table_NFI[[#This Row],[Camp Name]],CL,4,0),"")</f>
        <v>0</v>
      </c>
      <c r="AT110" s="533" t="s">
        <v>1094</v>
      </c>
      <c r="AU110" s="541"/>
    </row>
    <row r="111" spans="1:47" s="129" customFormat="1" ht="14.45" customHeight="1" x14ac:dyDescent="0.25">
      <c r="A111" s="355">
        <f t="shared" si="1"/>
        <v>16.766666666666666</v>
      </c>
      <c r="B111" s="532">
        <v>42068</v>
      </c>
      <c r="C111" s="533" t="s">
        <v>453</v>
      </c>
      <c r="D111" s="533" t="s">
        <v>1265</v>
      </c>
      <c r="E111" s="533" t="s">
        <v>554</v>
      </c>
      <c r="F111" s="533" t="s">
        <v>780</v>
      </c>
      <c r="G111" s="533" t="s">
        <v>1351</v>
      </c>
      <c r="H111" s="349"/>
      <c r="I111" s="349">
        <v>43</v>
      </c>
      <c r="J111" s="352">
        <v>43</v>
      </c>
      <c r="K111" s="352">
        <v>85</v>
      </c>
      <c r="L111" s="350">
        <v>43</v>
      </c>
      <c r="M111" s="350">
        <v>95</v>
      </c>
      <c r="N111" s="350">
        <v>43</v>
      </c>
      <c r="O111" s="350">
        <v>43</v>
      </c>
      <c r="P111" s="352">
        <v>43</v>
      </c>
      <c r="Q111" s="352">
        <v>95</v>
      </c>
      <c r="R111" s="352"/>
      <c r="S111" s="352"/>
      <c r="T111" s="352"/>
      <c r="U111" s="352"/>
      <c r="V111" s="497">
        <v>43</v>
      </c>
      <c r="W111" s="352"/>
      <c r="X111" s="352"/>
      <c r="Y111" s="352">
        <f>IF(NFI_Expiration=1,IF($A111&lt;VLOOKUP(H$5,NFI,5,0),1,0)*Table_NFI[[#This Row],[Hygiene Kit]],Table_NFI[Hygiene Kit])</f>
        <v>0</v>
      </c>
      <c r="Z111" s="352">
        <f>IF(NFI_Expiration=1,IF($A111&lt;VLOOKUP(I$5,NFI,5,0),1,0)*Table_NFI[[#This Row],[NFI Core Kit]],Table_NFI[NFI Core Kit])</f>
        <v>0</v>
      </c>
      <c r="AA111" s="352">
        <f>IF(NFI_Expiration=1,IF($A111&lt;VLOOKUP(J$5,NFI,5,0),1,0)*Table_NFI[[#This Row],[Sanitary Kit]],Table_NFI[Sanitary Kit])</f>
        <v>0</v>
      </c>
      <c r="AB111" s="352">
        <f>IF(NFI_Expiration=1,IF($A111&lt;VLOOKUP(K$5,NFI,5,0),1,0)*Table_NFI[[#This Row],[Mosquito net]],Table_NFI[Mosquito net])</f>
        <v>0</v>
      </c>
      <c r="AC111" s="352">
        <f>IF(NFI_Expiration=1,IF($A111&lt;VLOOKUP(L$5,NFI,5,0),1,0)*Table_NFI[[#This Row],[Tarpaulin]],Table_NFI[[#This Row],[Tarpaulin]])</f>
        <v>0</v>
      </c>
      <c r="AD111" s="352">
        <f>IF(NFI_Expiration=1,IF($A111&lt;VLOOKUP(M$5,NFI,5,0),1,0)*Table_NFI[[#This Row],[Blanket]],Table_NFI[[#This Row],[Blanket]])</f>
        <v>0</v>
      </c>
      <c r="AE111" s="352">
        <f>IF(NFI_Expiration=1,IF($A111&lt;VLOOKUP(N$5,NFI,5,0),1,0)*Table_NFI[[#This Row],[Kitchen Set]],Table_NFI[Kitchen Set])</f>
        <v>0</v>
      </c>
      <c r="AF111" s="352">
        <f>IF(NFI_Expiration=1,IF($A111&lt;VLOOKUP(O$5,NFI,5,0),1,0)*Table_NFI[[#This Row],[Clothes Kit]],Table_NFI[Clothes Kit])</f>
        <v>0</v>
      </c>
      <c r="AG111" s="352">
        <f>IF(NFI_Expiration=1,IF($A111&lt;VLOOKUP(P$5,NFI,5,0),1,0)*Table_NFI[[#This Row],[Plastic Bucket]],Table_NFI[Plastic Bucket])</f>
        <v>0</v>
      </c>
      <c r="AH111" s="352">
        <f>IF(NFI_Expiration=1,IF($A111&lt;VLOOKUP(Q$5,NFI,5,0),1,0)*Table_NFI[[#This Row],[Plastic Mat]],Table_NFI[Plastic Mat])*IF(Table_NFI[[#This Row],[Distribution Date]]&gt;"2014-04-01",1,2.5)</f>
        <v>0</v>
      </c>
      <c r="AI111" s="352">
        <f>IF(NFI_Expiration=1,IF($A111&lt;VLOOKUP(R$5,NFI,5,0),1,0)*Table_NFI[[#This Row],[Winter Clothes Adult]],Table_NFI[Winter Clothes Adult])</f>
        <v>0</v>
      </c>
      <c r="AJ111" s="352">
        <f>IF(NFI_Expiration=1,IF($A111&lt;VLOOKUP(S$5,NFI,5,0),1,0)*Table_NFI[[#This Row],[Winter Clothes Children]],Table_NFI[Winter Clothes Children])</f>
        <v>0</v>
      </c>
      <c r="AK111" s="352">
        <f>IF(NFI_Expiration=1,IF($A111&lt;VLOOKUP(T$5,NFI,5,0),1,0)*Table_NFI[[#This Row],[Winter Items Other]],Table_NFI[Winter Items Other])</f>
        <v>0</v>
      </c>
      <c r="AL111" s="352">
        <f>IF(NFI_Expiration=1,IF($A111&lt;VLOOKUP(M$5,NFI,5,0),1,0)*Table_NFI[[#This Row],[Winter Blanket]],Table_NFI[[#This Row],[Winter Blanket]])</f>
        <v>0</v>
      </c>
      <c r="AM111" s="352">
        <f>IF(Table_NFI[[#This Row],[Winter Clothes Adult]]+Table_NFI[[#This Row],[Winter Clothes Children]]+Table_NFI[[#This Row],[Winter Items Other]]+Table_NFI[[#This Row],[Winter Blanket]]&gt;0,1,0)</f>
        <v>0</v>
      </c>
      <c r="AN111" s="392">
        <f>IF(NFI_Expiration=1,IF($A111&lt;VLOOKUP(V$5,NFI,5,0),1,0)*Table_NFI[[#This Row],[Jerry Can]],Table_NFI[Jerry Can])</f>
        <v>0</v>
      </c>
      <c r="AO111" s="540" t="str">
        <f>IFERROR(VLOOKUP(Table_NFI[[#This Row],[Camp Name]],CL,2,0),"")</f>
        <v/>
      </c>
      <c r="AP111" s="535" t="str">
        <f ca="1">IF(Table_NFI[[#This Row],[Pcode]]="","",IF(OFFSET(CampList[Opening Date],MATCH(Table_NFI[[#This Row],[Pcode]],CampList[CP_Pcode],0)-1,0,1,1)&gt;=NFI_Monitor_Date,1,0))</f>
        <v/>
      </c>
      <c r="AQ111" s="540" t="str">
        <f>IFERROR(VLOOKUP(Table_NFI[[#This Row],[Camp Name]],CL,3,0),"")</f>
        <v/>
      </c>
      <c r="AR111" s="352" t="str">
        <f ca="1">IF(Table_NFI[[#This Row],[Pcode]]="","",OFFSET(CampList[Priority],MATCH(Table_NFI[[#This Row],[Pcode]],CampList[CP_Pcode],0)-1,0,1,1))</f>
        <v/>
      </c>
      <c r="AS111" s="351" t="str">
        <f>IFERROR(Table_NFI[[#This Row],[Kitchen Set]]/VLOOKUP(Table_NFI[[#This Row],[Camp Name]],CL,4,0),"")</f>
        <v/>
      </c>
      <c r="AT111" s="533" t="s">
        <v>1094</v>
      </c>
      <c r="AU111" s="557"/>
    </row>
    <row r="112" spans="1:47" s="537" customFormat="1" ht="14.45" customHeight="1" x14ac:dyDescent="0.25">
      <c r="A112" s="355">
        <f t="shared" si="1"/>
        <v>17.166666666666668</v>
      </c>
      <c r="B112" s="532">
        <v>42056</v>
      </c>
      <c r="C112" s="533" t="s">
        <v>453</v>
      </c>
      <c r="D112" s="533" t="s">
        <v>453</v>
      </c>
      <c r="E112" s="533" t="s">
        <v>554</v>
      </c>
      <c r="F112" s="533" t="s">
        <v>146</v>
      </c>
      <c r="G112" s="533" t="s">
        <v>1357</v>
      </c>
      <c r="H112" s="349"/>
      <c r="I112" s="352"/>
      <c r="J112" s="349"/>
      <c r="K112" s="352">
        <v>161</v>
      </c>
      <c r="L112" s="350">
        <v>76</v>
      </c>
      <c r="M112" s="350"/>
      <c r="N112" s="350">
        <v>76</v>
      </c>
      <c r="O112" s="350"/>
      <c r="P112" s="352">
        <v>76</v>
      </c>
      <c r="Q112" s="352"/>
      <c r="R112" s="352"/>
      <c r="S112" s="352"/>
      <c r="T112" s="352"/>
      <c r="U112" s="352"/>
      <c r="V112" s="497">
        <v>76</v>
      </c>
      <c r="W112" s="352"/>
      <c r="X112" s="352"/>
      <c r="Y112" s="352">
        <f>IF(NFI_Expiration=1,IF($A112&lt;VLOOKUP(H$5,NFI,5,0),1,0)*Table_NFI[[#This Row],[Hygiene Kit]],Table_NFI[Hygiene Kit])</f>
        <v>0</v>
      </c>
      <c r="Z112" s="352">
        <f>IF(NFI_Expiration=1,IF($A112&lt;VLOOKUP(I$5,NFI,5,0),1,0)*Table_NFI[[#This Row],[NFI Core Kit]],Table_NFI[NFI Core Kit])</f>
        <v>0</v>
      </c>
      <c r="AA112" s="352">
        <f>IF(NFI_Expiration=1,IF($A112&lt;VLOOKUP(J$5,NFI,5,0),1,0)*Table_NFI[[#This Row],[Sanitary Kit]],Table_NFI[Sanitary Kit])</f>
        <v>0</v>
      </c>
      <c r="AB112" s="352">
        <f>IF(NFI_Expiration=1,IF($A112&lt;VLOOKUP(K$5,NFI,5,0),1,0)*Table_NFI[[#This Row],[Mosquito net]],Table_NFI[Mosquito net])</f>
        <v>0</v>
      </c>
      <c r="AC112" s="352">
        <f>IF(NFI_Expiration=1,IF($A112&lt;VLOOKUP(L$5,NFI,5,0),1,0)*Table_NFI[[#This Row],[Tarpaulin]],Table_NFI[[#This Row],[Tarpaulin]])</f>
        <v>0</v>
      </c>
      <c r="AD112" s="352">
        <f>IF(NFI_Expiration=1,IF($A112&lt;VLOOKUP(M$5,NFI,5,0),1,0)*Table_NFI[[#This Row],[Blanket]],Table_NFI[[#This Row],[Blanket]])</f>
        <v>0</v>
      </c>
      <c r="AE112" s="352">
        <f>IF(NFI_Expiration=1,IF($A112&lt;VLOOKUP(N$5,NFI,5,0),1,0)*Table_NFI[[#This Row],[Kitchen Set]],Table_NFI[Kitchen Set])</f>
        <v>0</v>
      </c>
      <c r="AF112" s="352">
        <f>IF(NFI_Expiration=1,IF($A112&lt;VLOOKUP(O$5,NFI,5,0),1,0)*Table_NFI[[#This Row],[Clothes Kit]],Table_NFI[Clothes Kit])</f>
        <v>0</v>
      </c>
      <c r="AG112" s="352">
        <f>IF(NFI_Expiration=1,IF($A112&lt;VLOOKUP(P$5,NFI,5,0),1,0)*Table_NFI[[#This Row],[Plastic Bucket]],Table_NFI[Plastic Bucket])</f>
        <v>0</v>
      </c>
      <c r="AH112" s="352">
        <f>IF(NFI_Expiration=1,IF($A112&lt;VLOOKUP(Q$5,NFI,5,0),1,0)*Table_NFI[[#This Row],[Plastic Mat]],Table_NFI[Plastic Mat])*IF(Table_NFI[[#This Row],[Distribution Date]]&gt;"2014-04-01",1,2.5)</f>
        <v>0</v>
      </c>
      <c r="AI112" s="352">
        <f>IF(NFI_Expiration=1,IF($A112&lt;VLOOKUP(R$5,NFI,5,0),1,0)*Table_NFI[[#This Row],[Winter Clothes Adult]],Table_NFI[Winter Clothes Adult])</f>
        <v>0</v>
      </c>
      <c r="AJ112" s="352">
        <f>IF(NFI_Expiration=1,IF($A112&lt;VLOOKUP(S$5,NFI,5,0),1,0)*Table_NFI[[#This Row],[Winter Clothes Children]],Table_NFI[Winter Clothes Children])</f>
        <v>0</v>
      </c>
      <c r="AK112" s="352">
        <f>IF(NFI_Expiration=1,IF($A112&lt;VLOOKUP(T$5,NFI,5,0),1,0)*Table_NFI[[#This Row],[Winter Items Other]],Table_NFI[Winter Items Other])</f>
        <v>0</v>
      </c>
      <c r="AL112" s="352">
        <f>IF(NFI_Expiration=1,IF($A112&lt;VLOOKUP(M$5,NFI,5,0),1,0)*Table_NFI[[#This Row],[Winter Blanket]],Table_NFI[[#This Row],[Winter Blanket]])</f>
        <v>0</v>
      </c>
      <c r="AM112" s="352">
        <f>IF(Table_NFI[[#This Row],[Winter Clothes Adult]]+Table_NFI[[#This Row],[Winter Clothes Children]]+Table_NFI[[#This Row],[Winter Items Other]]+Table_NFI[[#This Row],[Winter Blanket]]&gt;0,1,0)</f>
        <v>0</v>
      </c>
      <c r="AN112" s="392">
        <f>IF(NFI_Expiration=1,IF($A112&lt;VLOOKUP(V$5,NFI,5,0),1,0)*Table_NFI[[#This Row],[Jerry Can]],Table_NFI[Jerry Can])</f>
        <v>0</v>
      </c>
      <c r="AO112" s="540" t="str">
        <f>IFERROR(VLOOKUP(Table_NFI[[#This Row],[Camp Name]],CL,2,0),"")</f>
        <v/>
      </c>
      <c r="AP112" s="535" t="str">
        <f ca="1">IF(Table_NFI[[#This Row],[Pcode]]="","",IF(OFFSET(CampList[Opening Date],MATCH(Table_NFI[[#This Row],[Pcode]],CampList[CP_Pcode],0)-1,0,1,1)&gt;=NFI_Monitor_Date,1,0))</f>
        <v/>
      </c>
      <c r="AQ112" s="540" t="str">
        <f>IFERROR(VLOOKUP(Table_NFI[[#This Row],[Camp Name]],CL,3,0),"")</f>
        <v/>
      </c>
      <c r="AR112" s="352" t="str">
        <f ca="1">IF(Table_NFI[[#This Row],[Pcode]]="","",OFFSET(CampList[Priority],MATCH(Table_NFI[[#This Row],[Pcode]],CampList[CP_Pcode],0)-1,0,1,1))</f>
        <v/>
      </c>
      <c r="AS112" s="351" t="str">
        <f>IFERROR(Table_NFI[[#This Row],[Kitchen Set]]/VLOOKUP(Table_NFI[[#This Row],[Camp Name]],CL,4,0),"")</f>
        <v/>
      </c>
      <c r="AT112" s="533" t="s">
        <v>1094</v>
      </c>
      <c r="AU112" s="536"/>
    </row>
    <row r="113" spans="1:47" s="537" customFormat="1" ht="14.45" hidden="1" customHeight="1" x14ac:dyDescent="0.25">
      <c r="A113" s="355">
        <f t="shared" si="1"/>
        <v>21.133333333333333</v>
      </c>
      <c r="B113" s="532">
        <v>41937</v>
      </c>
      <c r="C113" s="533" t="s">
        <v>1096</v>
      </c>
      <c r="D113" s="533" t="s">
        <v>902</v>
      </c>
      <c r="E113" s="533" t="s">
        <v>380</v>
      </c>
      <c r="F113" s="533" t="s">
        <v>528</v>
      </c>
      <c r="G113" s="533" t="s">
        <v>72</v>
      </c>
      <c r="H113" s="349"/>
      <c r="I113" s="349"/>
      <c r="J113" s="349"/>
      <c r="K113" s="349"/>
      <c r="L113" s="350"/>
      <c r="M113" s="350"/>
      <c r="N113" s="350"/>
      <c r="O113" s="350"/>
      <c r="P113" s="352"/>
      <c r="Q113" s="352"/>
      <c r="R113" s="352">
        <v>15</v>
      </c>
      <c r="S113" s="352">
        <v>10</v>
      </c>
      <c r="T113" s="352"/>
      <c r="U113" s="352"/>
      <c r="V113" s="497"/>
      <c r="W113" s="352"/>
      <c r="X113" s="352"/>
      <c r="Y113" s="352">
        <f>IF(NFI_Expiration=1,IF($A113&lt;VLOOKUP(H$5,NFI,5,0),1,0)*Table_NFI[[#This Row],[Hygiene Kit]],Table_NFI[Hygiene Kit])</f>
        <v>0</v>
      </c>
      <c r="Z113" s="352">
        <f>IF(NFI_Expiration=1,IF($A113&lt;VLOOKUP(I$5,NFI,5,0),1,0)*Table_NFI[[#This Row],[NFI Core Kit]],Table_NFI[NFI Core Kit])</f>
        <v>0</v>
      </c>
      <c r="AA113" s="352">
        <f>IF(NFI_Expiration=1,IF($A113&lt;VLOOKUP(J$5,NFI,5,0),1,0)*Table_NFI[[#This Row],[Sanitary Kit]],Table_NFI[Sanitary Kit])</f>
        <v>0</v>
      </c>
      <c r="AB113" s="352">
        <f>IF(NFI_Expiration=1,IF($A113&lt;VLOOKUP(K$5,NFI,5,0),1,0)*Table_NFI[[#This Row],[Mosquito net]],Table_NFI[Mosquito net])</f>
        <v>0</v>
      </c>
      <c r="AC113" s="352">
        <f>IF(NFI_Expiration=1,IF($A113&lt;VLOOKUP(L$5,NFI,5,0),1,0)*Table_NFI[[#This Row],[Tarpaulin]],Table_NFI[[#This Row],[Tarpaulin]])</f>
        <v>0</v>
      </c>
      <c r="AD113" s="352">
        <f>IF(NFI_Expiration=1,IF($A113&lt;VLOOKUP(M$5,NFI,5,0),1,0)*Table_NFI[[#This Row],[Blanket]],Table_NFI[[#This Row],[Blanket]])</f>
        <v>0</v>
      </c>
      <c r="AE113" s="352">
        <f>IF(NFI_Expiration=1,IF($A113&lt;VLOOKUP(N$5,NFI,5,0),1,0)*Table_NFI[[#This Row],[Kitchen Set]],Table_NFI[Kitchen Set])</f>
        <v>0</v>
      </c>
      <c r="AF113" s="352">
        <f>IF(NFI_Expiration=1,IF($A113&lt;VLOOKUP(O$5,NFI,5,0),1,0)*Table_NFI[[#This Row],[Clothes Kit]],Table_NFI[Clothes Kit])</f>
        <v>0</v>
      </c>
      <c r="AG113" s="352">
        <f>IF(NFI_Expiration=1,IF($A113&lt;VLOOKUP(P$5,NFI,5,0),1,0)*Table_NFI[[#This Row],[Plastic Bucket]],Table_NFI[Plastic Bucket])</f>
        <v>0</v>
      </c>
      <c r="AH113" s="352">
        <f>IF(NFI_Expiration=1,IF($A113&lt;VLOOKUP(Q$5,NFI,5,0),1,0)*Table_NFI[[#This Row],[Plastic Mat]],Table_NFI[Plastic Mat])*IF(Table_NFI[[#This Row],[Distribution Date]]&gt;"2014-04-01",1,2.5)</f>
        <v>0</v>
      </c>
      <c r="AI113" s="352">
        <f>IF(NFI_Expiration=1,IF($A113&lt;VLOOKUP(R$5,NFI,5,0),1,0)*Table_NFI[[#This Row],[Winter Clothes Adult]],Table_NFI[Winter Clothes Adult])</f>
        <v>0</v>
      </c>
      <c r="AJ113" s="352">
        <f>IF(NFI_Expiration=1,IF($A113&lt;VLOOKUP(S$5,NFI,5,0),1,0)*Table_NFI[[#This Row],[Winter Clothes Children]],Table_NFI[Winter Clothes Children])</f>
        <v>0</v>
      </c>
      <c r="AK113" s="352">
        <f>IF(NFI_Expiration=1,IF($A113&lt;VLOOKUP(T$5,NFI,5,0),1,0)*Table_NFI[[#This Row],[Winter Items Other]],Table_NFI[Winter Items Other])</f>
        <v>0</v>
      </c>
      <c r="AL113" s="352">
        <f>IF(NFI_Expiration=1,IF($A113&lt;VLOOKUP(M$5,NFI,5,0),1,0)*Table_NFI[[#This Row],[Winter Blanket]],Table_NFI[[#This Row],[Winter Blanket]])</f>
        <v>0</v>
      </c>
      <c r="AM113" s="352">
        <f>IF(Table_NFI[[#This Row],[Winter Clothes Adult]]+Table_NFI[[#This Row],[Winter Clothes Children]]+Table_NFI[[#This Row],[Winter Items Other]]+Table_NFI[[#This Row],[Winter Blanket]]&gt;0,1,0)</f>
        <v>1</v>
      </c>
      <c r="AN113" s="392">
        <f>IF(NFI_Expiration=1,IF($A113&lt;VLOOKUP(V$5,NFI,5,0),1,0)*Table_NFI[[#This Row],[Jerry Can]],Table_NFI[Jerry Can])</f>
        <v>0</v>
      </c>
      <c r="AO113" s="540" t="str">
        <f>IFERROR(VLOOKUP(Table_NFI[[#This Row],[Camp Name]],CL,2,0),"")</f>
        <v>MMR001CMP109</v>
      </c>
      <c r="AP113" s="535">
        <f ca="1">IF(Table_NFI[[#This Row],[Pcode]]="","",IF(OFFSET(CampList[Opening Date],MATCH(Table_NFI[[#This Row],[Pcode]],CampList[CP_Pcode],0)-1,0,1,1)&gt;=NFI_Monitor_Date,1,0))</f>
        <v>0</v>
      </c>
      <c r="AQ113" s="540" t="str">
        <f>IFERROR(VLOOKUP(Table_NFI[[#This Row],[Camp Name]],CL,3,0),"")</f>
        <v>Open</v>
      </c>
      <c r="AR113" s="352" t="str">
        <f ca="1">IF(Table_NFI[[#This Row],[Pcode]]="","",OFFSET(CampList[Priority],MATCH(Table_NFI[[#This Row],[Pcode]],CampList[CP_Pcode],0)-1,0,1,1))</f>
        <v>P4</v>
      </c>
      <c r="AS113" s="351">
        <f>IFERROR(Table_NFI[[#This Row],[Kitchen Set]]/VLOOKUP(Table_NFI[[#This Row],[Camp Name]],CL,4,0),"")</f>
        <v>0</v>
      </c>
      <c r="AT113" s="533"/>
      <c r="AU113" s="536"/>
    </row>
    <row r="114" spans="1:47" s="537" customFormat="1" ht="14.45" customHeight="1" x14ac:dyDescent="0.25">
      <c r="A114" s="355">
        <f t="shared" si="1"/>
        <v>17.166666666666668</v>
      </c>
      <c r="B114" s="532">
        <v>42056</v>
      </c>
      <c r="C114" s="538" t="s">
        <v>453</v>
      </c>
      <c r="D114" s="538" t="s">
        <v>1265</v>
      </c>
      <c r="E114" s="538" t="s">
        <v>554</v>
      </c>
      <c r="F114" s="538" t="s">
        <v>146</v>
      </c>
      <c r="G114" s="538" t="s">
        <v>373</v>
      </c>
      <c r="H114" s="350"/>
      <c r="I114" s="350">
        <v>54</v>
      </c>
      <c r="J114" s="350">
        <v>36</v>
      </c>
      <c r="K114" s="350">
        <v>108</v>
      </c>
      <c r="L114" s="350">
        <v>54</v>
      </c>
      <c r="M114" s="350">
        <v>108</v>
      </c>
      <c r="N114" s="350">
        <v>54</v>
      </c>
      <c r="O114" s="350">
        <v>54</v>
      </c>
      <c r="P114" s="352">
        <v>54</v>
      </c>
      <c r="Q114" s="352">
        <v>108</v>
      </c>
      <c r="R114" s="352"/>
      <c r="S114" s="352"/>
      <c r="T114" s="352"/>
      <c r="U114" s="352"/>
      <c r="V114" s="497">
        <v>54</v>
      </c>
      <c r="W114" s="352"/>
      <c r="X114" s="352"/>
      <c r="Y114" s="352">
        <f>IF(NFI_Expiration=1,IF($A114&lt;VLOOKUP(H$5,NFI,5,0),1,0)*Table_NFI[[#This Row],[Hygiene Kit]],Table_NFI[Hygiene Kit])</f>
        <v>0</v>
      </c>
      <c r="Z114" s="352">
        <f>IF(NFI_Expiration=1,IF($A114&lt;VLOOKUP(I$5,NFI,5,0),1,0)*Table_NFI[[#This Row],[NFI Core Kit]],Table_NFI[NFI Core Kit])</f>
        <v>0</v>
      </c>
      <c r="AA114" s="352">
        <f>IF(NFI_Expiration=1,IF($A114&lt;VLOOKUP(J$5,NFI,5,0),1,0)*Table_NFI[[#This Row],[Sanitary Kit]],Table_NFI[Sanitary Kit])</f>
        <v>0</v>
      </c>
      <c r="AB114" s="352">
        <f>IF(NFI_Expiration=1,IF($A114&lt;VLOOKUP(K$5,NFI,5,0),1,0)*Table_NFI[[#This Row],[Mosquito net]],Table_NFI[Mosquito net])</f>
        <v>0</v>
      </c>
      <c r="AC114" s="352">
        <f>IF(NFI_Expiration=1,IF($A114&lt;VLOOKUP(L$5,NFI,5,0),1,0)*Table_NFI[[#This Row],[Tarpaulin]],Table_NFI[[#This Row],[Tarpaulin]])</f>
        <v>0</v>
      </c>
      <c r="AD114" s="352">
        <f>IF(NFI_Expiration=1,IF($A114&lt;VLOOKUP(M$5,NFI,5,0),1,0)*Table_NFI[[#This Row],[Blanket]],Table_NFI[[#This Row],[Blanket]])</f>
        <v>0</v>
      </c>
      <c r="AE114" s="352">
        <f>IF(NFI_Expiration=1,IF($A114&lt;VLOOKUP(N$5,NFI,5,0),1,0)*Table_NFI[[#This Row],[Kitchen Set]],Table_NFI[Kitchen Set])</f>
        <v>0</v>
      </c>
      <c r="AF114" s="352">
        <f>IF(NFI_Expiration=1,IF($A114&lt;VLOOKUP(O$5,NFI,5,0),1,0)*Table_NFI[[#This Row],[Clothes Kit]],Table_NFI[Clothes Kit])</f>
        <v>0</v>
      </c>
      <c r="AG114" s="352">
        <f>IF(NFI_Expiration=1,IF($A114&lt;VLOOKUP(P$5,NFI,5,0),1,0)*Table_NFI[[#This Row],[Plastic Bucket]],Table_NFI[Plastic Bucket])</f>
        <v>0</v>
      </c>
      <c r="AH114" s="352">
        <f>IF(NFI_Expiration=1,IF($A114&lt;VLOOKUP(Q$5,NFI,5,0),1,0)*Table_NFI[[#This Row],[Plastic Mat]],Table_NFI[Plastic Mat])*IF(Table_NFI[[#This Row],[Distribution Date]]&gt;"2014-04-01",1,2.5)</f>
        <v>0</v>
      </c>
      <c r="AI114" s="352">
        <f>IF(NFI_Expiration=1,IF($A114&lt;VLOOKUP(R$5,NFI,5,0),1,0)*Table_NFI[[#This Row],[Winter Clothes Adult]],Table_NFI[Winter Clothes Adult])</f>
        <v>0</v>
      </c>
      <c r="AJ114" s="352">
        <f>IF(NFI_Expiration=1,IF($A114&lt;VLOOKUP(S$5,NFI,5,0),1,0)*Table_NFI[[#This Row],[Winter Clothes Children]],Table_NFI[Winter Clothes Children])</f>
        <v>0</v>
      </c>
      <c r="AK114" s="352">
        <f>IF(NFI_Expiration=1,IF($A114&lt;VLOOKUP(T$5,NFI,5,0),1,0)*Table_NFI[[#This Row],[Winter Items Other]],Table_NFI[Winter Items Other])</f>
        <v>0</v>
      </c>
      <c r="AL114" s="352">
        <f>IF(NFI_Expiration=1,IF($A114&lt;VLOOKUP(M$5,NFI,5,0),1,0)*Table_NFI[[#This Row],[Winter Blanket]],Table_NFI[[#This Row],[Winter Blanket]])</f>
        <v>0</v>
      </c>
      <c r="AM114" s="352">
        <f>IF(Table_NFI[[#This Row],[Winter Clothes Adult]]+Table_NFI[[#This Row],[Winter Clothes Children]]+Table_NFI[[#This Row],[Winter Items Other]]+Table_NFI[[#This Row],[Winter Blanket]]&gt;0,1,0)</f>
        <v>0</v>
      </c>
      <c r="AN114" s="392">
        <f>IF(NFI_Expiration=1,IF($A114&lt;VLOOKUP(V$5,NFI,5,0),1,0)*Table_NFI[[#This Row],[Jerry Can]],Table_NFI[Jerry Can])</f>
        <v>0</v>
      </c>
      <c r="AO114" s="540" t="str">
        <f>IFERROR(VLOOKUP(Table_NFI[[#This Row],[Camp Name]],CL,2,0),"")</f>
        <v>MMR015CMP020</v>
      </c>
      <c r="AP114" s="535">
        <f ca="1">IF(Table_NFI[[#This Row],[Pcode]]="","",IF(OFFSET(CampList[Opening Date],MATCH(Table_NFI[[#This Row],[Pcode]],CampList[CP_Pcode],0)-1,0,1,1)&gt;=NFI_Monitor_Date,1,0))</f>
        <v>0</v>
      </c>
      <c r="AQ114" s="540" t="str">
        <f>IFERROR(VLOOKUP(Table_NFI[[#This Row],[Camp Name]],CL,3,0),"")</f>
        <v>Open</v>
      </c>
      <c r="AR114" s="352" t="str">
        <f ca="1">IF(Table_NFI[[#This Row],[Pcode]]="","",OFFSET(CampList[Priority],MATCH(Table_NFI[[#This Row],[Pcode]],CampList[CP_Pcode],0)-1,0,1,1))</f>
        <v>P3</v>
      </c>
      <c r="AS114" s="351">
        <f>IFERROR(Table_NFI[[#This Row],[Kitchen Set]]/VLOOKUP(Table_NFI[[#This Row],[Camp Name]],CL,4,0),"")</f>
        <v>0.26732673267326734</v>
      </c>
      <c r="AT114" s="533" t="s">
        <v>1094</v>
      </c>
      <c r="AU114" s="541"/>
    </row>
    <row r="115" spans="1:47" s="537" customFormat="1" ht="14.45" customHeight="1" x14ac:dyDescent="0.25">
      <c r="A115" s="355">
        <f t="shared" si="1"/>
        <v>17.333333333333332</v>
      </c>
      <c r="B115" s="532">
        <v>42051</v>
      </c>
      <c r="C115" s="538" t="s">
        <v>453</v>
      </c>
      <c r="D115" s="538" t="s">
        <v>507</v>
      </c>
      <c r="E115" s="538" t="s">
        <v>380</v>
      </c>
      <c r="F115" s="538" t="s">
        <v>310</v>
      </c>
      <c r="G115" s="538" t="s">
        <v>194</v>
      </c>
      <c r="H115" s="350"/>
      <c r="I115" s="350"/>
      <c r="J115" s="350"/>
      <c r="K115" s="350"/>
      <c r="L115" s="350"/>
      <c r="M115" s="350"/>
      <c r="N115" s="350"/>
      <c r="O115" s="350"/>
      <c r="P115" s="352"/>
      <c r="Q115" s="352"/>
      <c r="R115" s="352">
        <v>865</v>
      </c>
      <c r="S115" s="352">
        <v>924</v>
      </c>
      <c r="T115" s="352"/>
      <c r="U115" s="352">
        <v>918</v>
      </c>
      <c r="V115" s="497"/>
      <c r="W115" s="352"/>
      <c r="X115" s="352"/>
      <c r="Y115" s="352">
        <f>IF(NFI_Expiration=1,IF($A115&lt;VLOOKUP(H$5,NFI,5,0),1,0)*Table_NFI[[#This Row],[Hygiene Kit]],Table_NFI[Hygiene Kit])</f>
        <v>0</v>
      </c>
      <c r="Z115" s="352">
        <f>IF(NFI_Expiration=1,IF($A115&lt;VLOOKUP(I$5,NFI,5,0),1,0)*Table_NFI[[#This Row],[NFI Core Kit]],Table_NFI[NFI Core Kit])</f>
        <v>0</v>
      </c>
      <c r="AA115" s="352">
        <f>IF(NFI_Expiration=1,IF($A115&lt;VLOOKUP(J$5,NFI,5,0),1,0)*Table_NFI[[#This Row],[Sanitary Kit]],Table_NFI[Sanitary Kit])</f>
        <v>0</v>
      </c>
      <c r="AB115" s="352">
        <f>IF(NFI_Expiration=1,IF($A115&lt;VLOOKUP(K$5,NFI,5,0),1,0)*Table_NFI[[#This Row],[Mosquito net]],Table_NFI[Mosquito net])</f>
        <v>0</v>
      </c>
      <c r="AC115" s="352">
        <f>IF(NFI_Expiration=1,IF($A115&lt;VLOOKUP(L$5,NFI,5,0),1,0)*Table_NFI[[#This Row],[Tarpaulin]],Table_NFI[[#This Row],[Tarpaulin]])</f>
        <v>0</v>
      </c>
      <c r="AD115" s="352">
        <f>IF(NFI_Expiration=1,IF($A115&lt;VLOOKUP(M$5,NFI,5,0),1,0)*Table_NFI[[#This Row],[Blanket]],Table_NFI[[#This Row],[Blanket]])</f>
        <v>0</v>
      </c>
      <c r="AE115" s="352">
        <f>IF(NFI_Expiration=1,IF($A115&lt;VLOOKUP(N$5,NFI,5,0),1,0)*Table_NFI[[#This Row],[Kitchen Set]],Table_NFI[Kitchen Set])</f>
        <v>0</v>
      </c>
      <c r="AF115" s="352">
        <f>IF(NFI_Expiration=1,IF($A115&lt;VLOOKUP(O$5,NFI,5,0),1,0)*Table_NFI[[#This Row],[Clothes Kit]],Table_NFI[Clothes Kit])</f>
        <v>0</v>
      </c>
      <c r="AG115" s="352">
        <f>IF(NFI_Expiration=1,IF($A115&lt;VLOOKUP(P$5,NFI,5,0),1,0)*Table_NFI[[#This Row],[Plastic Bucket]],Table_NFI[Plastic Bucket])</f>
        <v>0</v>
      </c>
      <c r="AH115" s="352">
        <f>IF(NFI_Expiration=1,IF($A115&lt;VLOOKUP(Q$5,NFI,5,0),1,0)*Table_NFI[[#This Row],[Plastic Mat]],Table_NFI[Plastic Mat])*IF(Table_NFI[[#This Row],[Distribution Date]]&gt;"2014-04-01",1,2.5)</f>
        <v>0</v>
      </c>
      <c r="AI115" s="352">
        <f>IF(NFI_Expiration=1,IF($A115&lt;VLOOKUP(R$5,NFI,5,0),1,0)*Table_NFI[[#This Row],[Winter Clothes Adult]],Table_NFI[Winter Clothes Adult])</f>
        <v>0</v>
      </c>
      <c r="AJ115" s="352">
        <f>IF(NFI_Expiration=1,IF($A115&lt;VLOOKUP(S$5,NFI,5,0),1,0)*Table_NFI[[#This Row],[Winter Clothes Children]],Table_NFI[Winter Clothes Children])</f>
        <v>0</v>
      </c>
      <c r="AK115" s="352">
        <f>IF(NFI_Expiration=1,IF($A115&lt;VLOOKUP(T$5,NFI,5,0),1,0)*Table_NFI[[#This Row],[Winter Items Other]],Table_NFI[Winter Items Other])</f>
        <v>0</v>
      </c>
      <c r="AL115" s="352">
        <f>IF(NFI_Expiration=1,IF($A115&lt;VLOOKUP(M$5,NFI,5,0),1,0)*Table_NFI[[#This Row],[Winter Blanket]],Table_NFI[[#This Row],[Winter Blanket]])</f>
        <v>0</v>
      </c>
      <c r="AM115" s="352">
        <f>IF(Table_NFI[[#This Row],[Winter Clothes Adult]]+Table_NFI[[#This Row],[Winter Clothes Children]]+Table_NFI[[#This Row],[Winter Items Other]]+Table_NFI[[#This Row],[Winter Blanket]]&gt;0,1,0)</f>
        <v>1</v>
      </c>
      <c r="AN115" s="392">
        <f>IF(NFI_Expiration=1,IF($A115&lt;VLOOKUP(V$5,NFI,5,0),1,0)*Table_NFI[[#This Row],[Jerry Can]],Table_NFI[Jerry Can])</f>
        <v>0</v>
      </c>
      <c r="AO115" s="540" t="str">
        <f>IFERROR(VLOOKUP(Table_NFI[[#This Row],[Camp Name]],CL,2,0),"")</f>
        <v>MMR001CMP122</v>
      </c>
      <c r="AP115" s="535">
        <f ca="1">IF(Table_NFI[[#This Row],[Pcode]]="","",IF(OFFSET(CampList[Opening Date],MATCH(Table_NFI[[#This Row],[Pcode]],CampList[CP_Pcode],0)-1,0,1,1)&gt;=NFI_Monitor_Date,1,0))</f>
        <v>0</v>
      </c>
      <c r="AQ115" s="540" t="str">
        <f>IFERROR(VLOOKUP(Table_NFI[[#This Row],[Camp Name]],CL,3,0),"")</f>
        <v>Open</v>
      </c>
      <c r="AR115" s="352" t="str">
        <f ca="1">IF(Table_NFI[[#This Row],[Pcode]]="","",OFFSET(CampList[Priority],MATCH(Table_NFI[[#This Row],[Pcode]],CampList[CP_Pcode],0)-1,0,1,1))</f>
        <v>P2</v>
      </c>
      <c r="AS115" s="351">
        <f>IFERROR(Table_NFI[[#This Row],[Kitchen Set]]/VLOOKUP(Table_NFI[[#This Row],[Camp Name]],CL,4,0),"")</f>
        <v>0</v>
      </c>
      <c r="AT115" s="533" t="s">
        <v>1094</v>
      </c>
      <c r="AU115" s="541"/>
    </row>
    <row r="116" spans="1:47" s="537" customFormat="1" ht="14.45" customHeight="1" x14ac:dyDescent="0.25">
      <c r="A116" s="355">
        <f t="shared" si="1"/>
        <v>17.333333333333332</v>
      </c>
      <c r="B116" s="532">
        <v>42051</v>
      </c>
      <c r="C116" s="538" t="s">
        <v>453</v>
      </c>
      <c r="D116" s="538" t="s">
        <v>507</v>
      </c>
      <c r="E116" s="538" t="s">
        <v>380</v>
      </c>
      <c r="F116" s="538" t="s">
        <v>310</v>
      </c>
      <c r="G116" s="538" t="s">
        <v>196</v>
      </c>
      <c r="H116" s="350"/>
      <c r="I116" s="350"/>
      <c r="J116" s="350"/>
      <c r="K116" s="350"/>
      <c r="L116" s="350"/>
      <c r="M116" s="350"/>
      <c r="N116" s="350"/>
      <c r="O116" s="350"/>
      <c r="P116" s="352"/>
      <c r="Q116" s="352"/>
      <c r="R116" s="352">
        <v>2676</v>
      </c>
      <c r="S116" s="352">
        <v>2672</v>
      </c>
      <c r="T116" s="352"/>
      <c r="U116" s="352">
        <v>3186</v>
      </c>
      <c r="V116" s="497"/>
      <c r="W116" s="352"/>
      <c r="X116" s="352"/>
      <c r="Y116" s="352">
        <f>IF(NFI_Expiration=1,IF($A116&lt;VLOOKUP(H$5,NFI,5,0),1,0)*Table_NFI[[#This Row],[Hygiene Kit]],Table_NFI[Hygiene Kit])</f>
        <v>0</v>
      </c>
      <c r="Z116" s="352">
        <f>IF(NFI_Expiration=1,IF($A116&lt;VLOOKUP(I$5,NFI,5,0),1,0)*Table_NFI[[#This Row],[NFI Core Kit]],Table_NFI[NFI Core Kit])</f>
        <v>0</v>
      </c>
      <c r="AA116" s="352">
        <f>IF(NFI_Expiration=1,IF($A116&lt;VLOOKUP(J$5,NFI,5,0),1,0)*Table_NFI[[#This Row],[Sanitary Kit]],Table_NFI[Sanitary Kit])</f>
        <v>0</v>
      </c>
      <c r="AB116" s="352">
        <f>IF(NFI_Expiration=1,IF($A116&lt;VLOOKUP(K$5,NFI,5,0),1,0)*Table_NFI[[#This Row],[Mosquito net]],Table_NFI[Mosquito net])</f>
        <v>0</v>
      </c>
      <c r="AC116" s="352">
        <f>IF(NFI_Expiration=1,IF($A116&lt;VLOOKUP(L$5,NFI,5,0),1,0)*Table_NFI[[#This Row],[Tarpaulin]],Table_NFI[[#This Row],[Tarpaulin]])</f>
        <v>0</v>
      </c>
      <c r="AD116" s="352">
        <f>IF(NFI_Expiration=1,IF($A116&lt;VLOOKUP(M$5,NFI,5,0),1,0)*Table_NFI[[#This Row],[Blanket]],Table_NFI[[#This Row],[Blanket]])</f>
        <v>0</v>
      </c>
      <c r="AE116" s="352">
        <f>IF(NFI_Expiration=1,IF($A116&lt;VLOOKUP(N$5,NFI,5,0),1,0)*Table_NFI[[#This Row],[Kitchen Set]],Table_NFI[Kitchen Set])</f>
        <v>0</v>
      </c>
      <c r="AF116" s="352">
        <f>IF(NFI_Expiration=1,IF($A116&lt;VLOOKUP(O$5,NFI,5,0),1,0)*Table_NFI[[#This Row],[Clothes Kit]],Table_NFI[Clothes Kit])</f>
        <v>0</v>
      </c>
      <c r="AG116" s="352">
        <f>IF(NFI_Expiration=1,IF($A116&lt;VLOOKUP(P$5,NFI,5,0),1,0)*Table_NFI[[#This Row],[Plastic Bucket]],Table_NFI[Plastic Bucket])</f>
        <v>0</v>
      </c>
      <c r="AH116" s="352">
        <f>IF(NFI_Expiration=1,IF($A116&lt;VLOOKUP(Q$5,NFI,5,0),1,0)*Table_NFI[[#This Row],[Plastic Mat]],Table_NFI[Plastic Mat])*IF(Table_NFI[[#This Row],[Distribution Date]]&gt;"2014-04-01",1,2.5)</f>
        <v>0</v>
      </c>
      <c r="AI116" s="352">
        <f>IF(NFI_Expiration=1,IF($A116&lt;VLOOKUP(R$5,NFI,5,0),1,0)*Table_NFI[[#This Row],[Winter Clothes Adult]],Table_NFI[Winter Clothes Adult])</f>
        <v>0</v>
      </c>
      <c r="AJ116" s="352">
        <f>IF(NFI_Expiration=1,IF($A116&lt;VLOOKUP(S$5,NFI,5,0),1,0)*Table_NFI[[#This Row],[Winter Clothes Children]],Table_NFI[Winter Clothes Children])</f>
        <v>0</v>
      </c>
      <c r="AK116" s="352">
        <f>IF(NFI_Expiration=1,IF($A116&lt;VLOOKUP(T$5,NFI,5,0),1,0)*Table_NFI[[#This Row],[Winter Items Other]],Table_NFI[Winter Items Other])</f>
        <v>0</v>
      </c>
      <c r="AL116" s="352">
        <f>IF(NFI_Expiration=1,IF($A116&lt;VLOOKUP(M$5,NFI,5,0),1,0)*Table_NFI[[#This Row],[Winter Blanket]],Table_NFI[[#This Row],[Winter Blanket]])</f>
        <v>0</v>
      </c>
      <c r="AM116" s="352">
        <f>IF(Table_NFI[[#This Row],[Winter Clothes Adult]]+Table_NFI[[#This Row],[Winter Clothes Children]]+Table_NFI[[#This Row],[Winter Items Other]]+Table_NFI[[#This Row],[Winter Blanket]]&gt;0,1,0)</f>
        <v>1</v>
      </c>
      <c r="AN116" s="392">
        <f>IF(NFI_Expiration=1,IF($A116&lt;VLOOKUP(V$5,NFI,5,0),1,0)*Table_NFI[[#This Row],[Jerry Can]],Table_NFI[Jerry Can])</f>
        <v>0</v>
      </c>
      <c r="AO116" s="540" t="str">
        <f>IFERROR(VLOOKUP(Table_NFI[[#This Row],[Camp Name]],CL,2,0),"")</f>
        <v>MMR001CMP121</v>
      </c>
      <c r="AP116" s="535">
        <f ca="1">IF(Table_NFI[[#This Row],[Pcode]]="","",IF(OFFSET(CampList[Opening Date],MATCH(Table_NFI[[#This Row],[Pcode]],CampList[CP_Pcode],0)-1,0,1,1)&gt;=NFI_Monitor_Date,1,0))</f>
        <v>0</v>
      </c>
      <c r="AQ116" s="540" t="str">
        <f>IFERROR(VLOOKUP(Table_NFI[[#This Row],[Camp Name]],CL,3,0),"")</f>
        <v>Open</v>
      </c>
      <c r="AR116" s="352" t="str">
        <f ca="1">IF(Table_NFI[[#This Row],[Pcode]]="","",OFFSET(CampList[Priority],MATCH(Table_NFI[[#This Row],[Pcode]],CampList[CP_Pcode],0)-1,0,1,1))</f>
        <v>P2</v>
      </c>
      <c r="AS116" s="351">
        <f>IFERROR(Table_NFI[[#This Row],[Kitchen Set]]/VLOOKUP(Table_NFI[[#This Row],[Camp Name]],CL,4,0),"")</f>
        <v>0</v>
      </c>
      <c r="AT116" s="533" t="s">
        <v>1094</v>
      </c>
      <c r="AU116" s="541"/>
    </row>
    <row r="117" spans="1:47" s="537" customFormat="1" ht="14.45" customHeight="1" x14ac:dyDescent="0.25">
      <c r="A117" s="355">
        <f t="shared" si="1"/>
        <v>17.333333333333332</v>
      </c>
      <c r="B117" s="532">
        <v>42051</v>
      </c>
      <c r="C117" s="538" t="s">
        <v>453</v>
      </c>
      <c r="D117" s="538" t="s">
        <v>507</v>
      </c>
      <c r="E117" s="538" t="s">
        <v>380</v>
      </c>
      <c r="F117" s="538" t="s">
        <v>310</v>
      </c>
      <c r="G117" s="538" t="s">
        <v>1251</v>
      </c>
      <c r="H117" s="350"/>
      <c r="I117" s="350"/>
      <c r="J117" s="350"/>
      <c r="K117" s="350"/>
      <c r="L117" s="350"/>
      <c r="M117" s="350"/>
      <c r="N117" s="350"/>
      <c r="O117" s="350"/>
      <c r="P117" s="352"/>
      <c r="Q117" s="352"/>
      <c r="R117" s="352">
        <v>1119</v>
      </c>
      <c r="S117" s="352">
        <v>1455</v>
      </c>
      <c r="T117" s="352"/>
      <c r="U117" s="352">
        <v>1080</v>
      </c>
      <c r="V117" s="497"/>
      <c r="W117" s="352"/>
      <c r="X117" s="352"/>
      <c r="Y117" s="352">
        <f>IF(NFI_Expiration=1,IF($A117&lt;VLOOKUP(H$5,NFI,5,0),1,0)*Table_NFI[[#This Row],[Hygiene Kit]],Table_NFI[Hygiene Kit])</f>
        <v>0</v>
      </c>
      <c r="Z117" s="352">
        <f>IF(NFI_Expiration=1,IF($A117&lt;VLOOKUP(I$5,NFI,5,0),1,0)*Table_NFI[[#This Row],[NFI Core Kit]],Table_NFI[NFI Core Kit])</f>
        <v>0</v>
      </c>
      <c r="AA117" s="352">
        <f>IF(NFI_Expiration=1,IF($A117&lt;VLOOKUP(J$5,NFI,5,0),1,0)*Table_NFI[[#This Row],[Sanitary Kit]],Table_NFI[Sanitary Kit])</f>
        <v>0</v>
      </c>
      <c r="AB117" s="352">
        <f>IF(NFI_Expiration=1,IF($A117&lt;VLOOKUP(K$5,NFI,5,0),1,0)*Table_NFI[[#This Row],[Mosquito net]],Table_NFI[Mosquito net])</f>
        <v>0</v>
      </c>
      <c r="AC117" s="352">
        <f>IF(NFI_Expiration=1,IF($A117&lt;VLOOKUP(L$5,NFI,5,0),1,0)*Table_NFI[[#This Row],[Tarpaulin]],Table_NFI[[#This Row],[Tarpaulin]])</f>
        <v>0</v>
      </c>
      <c r="AD117" s="352">
        <f>IF(NFI_Expiration=1,IF($A117&lt;VLOOKUP(M$5,NFI,5,0),1,0)*Table_NFI[[#This Row],[Blanket]],Table_NFI[[#This Row],[Blanket]])</f>
        <v>0</v>
      </c>
      <c r="AE117" s="352">
        <f>IF(NFI_Expiration=1,IF($A117&lt;VLOOKUP(N$5,NFI,5,0),1,0)*Table_NFI[[#This Row],[Kitchen Set]],Table_NFI[Kitchen Set])</f>
        <v>0</v>
      </c>
      <c r="AF117" s="352">
        <f>IF(NFI_Expiration=1,IF($A117&lt;VLOOKUP(O$5,NFI,5,0),1,0)*Table_NFI[[#This Row],[Clothes Kit]],Table_NFI[Clothes Kit])</f>
        <v>0</v>
      </c>
      <c r="AG117" s="352">
        <f>IF(NFI_Expiration=1,IF($A117&lt;VLOOKUP(P$5,NFI,5,0),1,0)*Table_NFI[[#This Row],[Plastic Bucket]],Table_NFI[Plastic Bucket])</f>
        <v>0</v>
      </c>
      <c r="AH117" s="352">
        <f>IF(NFI_Expiration=1,IF($A117&lt;VLOOKUP(Q$5,NFI,5,0),1,0)*Table_NFI[[#This Row],[Plastic Mat]],Table_NFI[Plastic Mat])*IF(Table_NFI[[#This Row],[Distribution Date]]&gt;"2014-04-01",1,2.5)</f>
        <v>0</v>
      </c>
      <c r="AI117" s="352">
        <f>IF(NFI_Expiration=1,IF($A117&lt;VLOOKUP(R$5,NFI,5,0),1,0)*Table_NFI[[#This Row],[Winter Clothes Adult]],Table_NFI[Winter Clothes Adult])</f>
        <v>0</v>
      </c>
      <c r="AJ117" s="352">
        <f>IF(NFI_Expiration=1,IF($A117&lt;VLOOKUP(S$5,NFI,5,0),1,0)*Table_NFI[[#This Row],[Winter Clothes Children]],Table_NFI[Winter Clothes Children])</f>
        <v>0</v>
      </c>
      <c r="AK117" s="352">
        <f>IF(NFI_Expiration=1,IF($A117&lt;VLOOKUP(T$5,NFI,5,0),1,0)*Table_NFI[[#This Row],[Winter Items Other]],Table_NFI[Winter Items Other])</f>
        <v>0</v>
      </c>
      <c r="AL117" s="352">
        <f>IF(NFI_Expiration=1,IF($A117&lt;VLOOKUP(M$5,NFI,5,0),1,0)*Table_NFI[[#This Row],[Winter Blanket]],Table_NFI[[#This Row],[Winter Blanket]])</f>
        <v>0</v>
      </c>
      <c r="AM117" s="352">
        <f>IF(Table_NFI[[#This Row],[Winter Clothes Adult]]+Table_NFI[[#This Row],[Winter Clothes Children]]+Table_NFI[[#This Row],[Winter Items Other]]+Table_NFI[[#This Row],[Winter Blanket]]&gt;0,1,0)</f>
        <v>1</v>
      </c>
      <c r="AN117" s="392">
        <f>IF(NFI_Expiration=1,IF($A117&lt;VLOOKUP(V$5,NFI,5,0),1,0)*Table_NFI[[#This Row],[Jerry Can]],Table_NFI[Jerry Can])</f>
        <v>0</v>
      </c>
      <c r="AO117" s="540" t="str">
        <f>IFERROR(VLOOKUP(Table_NFI[[#This Row],[Camp Name]],CL,2,0),"")</f>
        <v>MMR001CMP117</v>
      </c>
      <c r="AP117" s="535">
        <f ca="1">IF(Table_NFI[[#This Row],[Pcode]]="","",IF(OFFSET(CampList[Opening Date],MATCH(Table_NFI[[#This Row],[Pcode]],CampList[CP_Pcode],0)-1,0,1,1)&gt;=NFI_Monitor_Date,1,0))</f>
        <v>0</v>
      </c>
      <c r="AQ117" s="540" t="str">
        <f>IFERROR(VLOOKUP(Table_NFI[[#This Row],[Camp Name]],CL,3,0),"")</f>
        <v>Closed</v>
      </c>
      <c r="AR117" s="352" t="str">
        <f ca="1">IF(Table_NFI[[#This Row],[Pcode]]="","",OFFSET(CampList[Priority],MATCH(Table_NFI[[#This Row],[Pcode]],CampList[CP_Pcode],0)-1,0,1,1))</f>
        <v>P2</v>
      </c>
      <c r="AS117" s="351" t="str">
        <f>IFERROR(Table_NFI[[#This Row],[Kitchen Set]]/VLOOKUP(Table_NFI[[#This Row],[Camp Name]],CL,4,0),"")</f>
        <v/>
      </c>
      <c r="AT117" s="533" t="s">
        <v>1094</v>
      </c>
      <c r="AU117" s="541"/>
    </row>
    <row r="118" spans="1:47" s="537" customFormat="1" ht="14.45" hidden="1" customHeight="1" x14ac:dyDescent="0.25">
      <c r="A118" s="355">
        <f t="shared" si="1"/>
        <v>18.466666666666665</v>
      </c>
      <c r="B118" s="532">
        <v>42017</v>
      </c>
      <c r="C118" s="533" t="s">
        <v>1096</v>
      </c>
      <c r="D118" s="533" t="s">
        <v>902</v>
      </c>
      <c r="E118" s="533" t="s">
        <v>380</v>
      </c>
      <c r="F118" s="533" t="s">
        <v>27</v>
      </c>
      <c r="G118" s="533" t="s">
        <v>28</v>
      </c>
      <c r="H118" s="349"/>
      <c r="I118" s="352"/>
      <c r="J118" s="352"/>
      <c r="K118" s="352"/>
      <c r="L118" s="350"/>
      <c r="M118" s="350"/>
      <c r="N118" s="350"/>
      <c r="O118" s="350"/>
      <c r="P118" s="352"/>
      <c r="Q118" s="352"/>
      <c r="R118" s="352">
        <v>293</v>
      </c>
      <c r="S118" s="352">
        <v>190</v>
      </c>
      <c r="T118" s="352"/>
      <c r="U118" s="352">
        <v>170</v>
      </c>
      <c r="V118" s="497"/>
      <c r="W118" s="352"/>
      <c r="X118" s="352"/>
      <c r="Y118" s="352">
        <f>IF(NFI_Expiration=1,IF($A118&lt;VLOOKUP(H$5,NFI,5,0),1,0)*Table_NFI[[#This Row],[Hygiene Kit]],Table_NFI[Hygiene Kit])</f>
        <v>0</v>
      </c>
      <c r="Z118" s="352">
        <f>IF(NFI_Expiration=1,IF($A118&lt;VLOOKUP(I$5,NFI,5,0),1,0)*Table_NFI[[#This Row],[NFI Core Kit]],Table_NFI[NFI Core Kit])</f>
        <v>0</v>
      </c>
      <c r="AA118" s="352">
        <f>IF(NFI_Expiration=1,IF($A118&lt;VLOOKUP(J$5,NFI,5,0),1,0)*Table_NFI[[#This Row],[Sanitary Kit]],Table_NFI[Sanitary Kit])</f>
        <v>0</v>
      </c>
      <c r="AB118" s="352">
        <f>IF(NFI_Expiration=1,IF($A118&lt;VLOOKUP(K$5,NFI,5,0),1,0)*Table_NFI[[#This Row],[Mosquito net]],Table_NFI[Mosquito net])</f>
        <v>0</v>
      </c>
      <c r="AC118" s="352">
        <f>IF(NFI_Expiration=1,IF($A118&lt;VLOOKUP(L$5,NFI,5,0),1,0)*Table_NFI[[#This Row],[Tarpaulin]],Table_NFI[[#This Row],[Tarpaulin]])</f>
        <v>0</v>
      </c>
      <c r="AD118" s="352">
        <f>IF(NFI_Expiration=1,IF($A118&lt;VLOOKUP(M$5,NFI,5,0),1,0)*Table_NFI[[#This Row],[Blanket]],Table_NFI[[#This Row],[Blanket]])</f>
        <v>0</v>
      </c>
      <c r="AE118" s="352">
        <f>IF(NFI_Expiration=1,IF($A118&lt;VLOOKUP(N$5,NFI,5,0),1,0)*Table_NFI[[#This Row],[Kitchen Set]],Table_NFI[Kitchen Set])</f>
        <v>0</v>
      </c>
      <c r="AF118" s="352">
        <f>IF(NFI_Expiration=1,IF($A118&lt;VLOOKUP(O$5,NFI,5,0),1,0)*Table_NFI[[#This Row],[Clothes Kit]],Table_NFI[Clothes Kit])</f>
        <v>0</v>
      </c>
      <c r="AG118" s="352">
        <f>IF(NFI_Expiration=1,IF($A118&lt;VLOOKUP(P$5,NFI,5,0),1,0)*Table_NFI[[#This Row],[Plastic Bucket]],Table_NFI[Plastic Bucket])</f>
        <v>0</v>
      </c>
      <c r="AH118" s="352">
        <f>IF(NFI_Expiration=1,IF($A118&lt;VLOOKUP(Q$5,NFI,5,0),1,0)*Table_NFI[[#This Row],[Plastic Mat]],Table_NFI[Plastic Mat])*IF(Table_NFI[[#This Row],[Distribution Date]]&gt;"2014-04-01",1,2.5)</f>
        <v>0</v>
      </c>
      <c r="AI118" s="352">
        <f>IF(NFI_Expiration=1,IF($A118&lt;VLOOKUP(R$5,NFI,5,0),1,0)*Table_NFI[[#This Row],[Winter Clothes Adult]],Table_NFI[Winter Clothes Adult])</f>
        <v>0</v>
      </c>
      <c r="AJ118" s="352">
        <f>IF(NFI_Expiration=1,IF($A118&lt;VLOOKUP(S$5,NFI,5,0),1,0)*Table_NFI[[#This Row],[Winter Clothes Children]],Table_NFI[Winter Clothes Children])</f>
        <v>0</v>
      </c>
      <c r="AK118" s="352">
        <f>IF(NFI_Expiration=1,IF($A118&lt;VLOOKUP(T$5,NFI,5,0),1,0)*Table_NFI[[#This Row],[Winter Items Other]],Table_NFI[Winter Items Other])</f>
        <v>0</v>
      </c>
      <c r="AL118" s="352">
        <f>IF(NFI_Expiration=1,IF($A118&lt;VLOOKUP(M$5,NFI,5,0),1,0)*Table_NFI[[#This Row],[Winter Blanket]],Table_NFI[[#This Row],[Winter Blanket]])</f>
        <v>0</v>
      </c>
      <c r="AM118" s="352">
        <f>IF(Table_NFI[[#This Row],[Winter Clothes Adult]]+Table_NFI[[#This Row],[Winter Clothes Children]]+Table_NFI[[#This Row],[Winter Items Other]]+Table_NFI[[#This Row],[Winter Blanket]]&gt;0,1,0)</f>
        <v>1</v>
      </c>
      <c r="AN118" s="392">
        <f>IF(NFI_Expiration=1,IF($A118&lt;VLOOKUP(V$5,NFI,5,0),1,0)*Table_NFI[[#This Row],[Jerry Can]],Table_NFI[Jerry Can])</f>
        <v>0</v>
      </c>
      <c r="AO118" s="540" t="str">
        <f>IFERROR(VLOOKUP(Table_NFI[[#This Row],[Camp Name]],CL,2,0),"")</f>
        <v>MMR001CMP042</v>
      </c>
      <c r="AP118" s="535">
        <f ca="1">IF(Table_NFI[[#This Row],[Pcode]]="","",IF(OFFSET(CampList[Opening Date],MATCH(Table_NFI[[#This Row],[Pcode]],CampList[CP_Pcode],0)-1,0,1,1)&gt;=NFI_Monitor_Date,1,0))</f>
        <v>0</v>
      </c>
      <c r="AQ118" s="540" t="str">
        <f>IFERROR(VLOOKUP(Table_NFI[[#This Row],[Camp Name]],CL,3,0),"")</f>
        <v>Open</v>
      </c>
      <c r="AR118" s="352" t="str">
        <f ca="1">IF(Table_NFI[[#This Row],[Pcode]]="","",OFFSET(CampList[Priority],MATCH(Table_NFI[[#This Row],[Pcode]],CampList[CP_Pcode],0)-1,0,1,1))</f>
        <v>P1</v>
      </c>
      <c r="AS118" s="351">
        <f>IFERROR(Table_NFI[[#This Row],[Kitchen Set]]/VLOOKUP(Table_NFI[[#This Row],[Camp Name]],CL,4,0),"")</f>
        <v>0</v>
      </c>
      <c r="AT118" s="533"/>
      <c r="AU118" s="557"/>
    </row>
    <row r="119" spans="1:47" s="537" customFormat="1" ht="14.45" customHeight="1" x14ac:dyDescent="0.25">
      <c r="A119" s="355">
        <f t="shared" si="1"/>
        <v>17.333333333333332</v>
      </c>
      <c r="B119" s="532">
        <v>42051</v>
      </c>
      <c r="C119" s="538" t="s">
        <v>453</v>
      </c>
      <c r="D119" s="538" t="s">
        <v>507</v>
      </c>
      <c r="E119" s="538" t="s">
        <v>380</v>
      </c>
      <c r="F119" s="538" t="s">
        <v>310</v>
      </c>
      <c r="G119" s="538" t="s">
        <v>353</v>
      </c>
      <c r="H119" s="350"/>
      <c r="I119" s="350"/>
      <c r="J119" s="350"/>
      <c r="K119" s="350"/>
      <c r="L119" s="350"/>
      <c r="M119" s="350"/>
      <c r="N119" s="350"/>
      <c r="O119" s="350"/>
      <c r="P119" s="352"/>
      <c r="Q119" s="352"/>
      <c r="R119" s="352">
        <v>1620</v>
      </c>
      <c r="S119" s="352">
        <v>2207</v>
      </c>
      <c r="T119" s="352"/>
      <c r="U119" s="352">
        <v>1760</v>
      </c>
      <c r="V119" s="497"/>
      <c r="W119" s="352"/>
      <c r="X119" s="352"/>
      <c r="Y119" s="352">
        <f>IF(NFI_Expiration=1,IF($A119&lt;VLOOKUP(H$5,NFI,5,0),1,0)*Table_NFI[[#This Row],[Hygiene Kit]],Table_NFI[Hygiene Kit])</f>
        <v>0</v>
      </c>
      <c r="Z119" s="352">
        <f>IF(NFI_Expiration=1,IF($A119&lt;VLOOKUP(I$5,NFI,5,0),1,0)*Table_NFI[[#This Row],[NFI Core Kit]],Table_NFI[NFI Core Kit])</f>
        <v>0</v>
      </c>
      <c r="AA119" s="352">
        <f>IF(NFI_Expiration=1,IF($A119&lt;VLOOKUP(J$5,NFI,5,0),1,0)*Table_NFI[[#This Row],[Sanitary Kit]],Table_NFI[Sanitary Kit])</f>
        <v>0</v>
      </c>
      <c r="AB119" s="352">
        <f>IF(NFI_Expiration=1,IF($A119&lt;VLOOKUP(K$5,NFI,5,0),1,0)*Table_NFI[[#This Row],[Mosquito net]],Table_NFI[Mosquito net])</f>
        <v>0</v>
      </c>
      <c r="AC119" s="352">
        <f>IF(NFI_Expiration=1,IF($A119&lt;VLOOKUP(L$5,NFI,5,0),1,0)*Table_NFI[[#This Row],[Tarpaulin]],Table_NFI[[#This Row],[Tarpaulin]])</f>
        <v>0</v>
      </c>
      <c r="AD119" s="352">
        <f>IF(NFI_Expiration=1,IF($A119&lt;VLOOKUP(M$5,NFI,5,0),1,0)*Table_NFI[[#This Row],[Blanket]],Table_NFI[[#This Row],[Blanket]])</f>
        <v>0</v>
      </c>
      <c r="AE119" s="352">
        <f>IF(NFI_Expiration=1,IF($A119&lt;VLOOKUP(N$5,NFI,5,0),1,0)*Table_NFI[[#This Row],[Kitchen Set]],Table_NFI[Kitchen Set])</f>
        <v>0</v>
      </c>
      <c r="AF119" s="352">
        <f>IF(NFI_Expiration=1,IF($A119&lt;VLOOKUP(O$5,NFI,5,0),1,0)*Table_NFI[[#This Row],[Clothes Kit]],Table_NFI[Clothes Kit])</f>
        <v>0</v>
      </c>
      <c r="AG119" s="352">
        <f>IF(NFI_Expiration=1,IF($A119&lt;VLOOKUP(P$5,NFI,5,0),1,0)*Table_NFI[[#This Row],[Plastic Bucket]],Table_NFI[Plastic Bucket])</f>
        <v>0</v>
      </c>
      <c r="AH119" s="352">
        <f>IF(NFI_Expiration=1,IF($A119&lt;VLOOKUP(Q$5,NFI,5,0),1,0)*Table_NFI[[#This Row],[Plastic Mat]],Table_NFI[Plastic Mat])*IF(Table_NFI[[#This Row],[Distribution Date]]&gt;"2014-04-01",1,2.5)</f>
        <v>0</v>
      </c>
      <c r="AI119" s="352">
        <f>IF(NFI_Expiration=1,IF($A119&lt;VLOOKUP(R$5,NFI,5,0),1,0)*Table_NFI[[#This Row],[Winter Clothes Adult]],Table_NFI[Winter Clothes Adult])</f>
        <v>0</v>
      </c>
      <c r="AJ119" s="352">
        <f>IF(NFI_Expiration=1,IF($A119&lt;VLOOKUP(S$5,NFI,5,0),1,0)*Table_NFI[[#This Row],[Winter Clothes Children]],Table_NFI[Winter Clothes Children])</f>
        <v>0</v>
      </c>
      <c r="AK119" s="352">
        <f>IF(NFI_Expiration=1,IF($A119&lt;VLOOKUP(T$5,NFI,5,0),1,0)*Table_NFI[[#This Row],[Winter Items Other]],Table_NFI[Winter Items Other])</f>
        <v>0</v>
      </c>
      <c r="AL119" s="352">
        <f>IF(NFI_Expiration=1,IF($A119&lt;VLOOKUP(M$5,NFI,5,0),1,0)*Table_NFI[[#This Row],[Winter Blanket]],Table_NFI[[#This Row],[Winter Blanket]])</f>
        <v>0</v>
      </c>
      <c r="AM119" s="352">
        <f>IF(Table_NFI[[#This Row],[Winter Clothes Adult]]+Table_NFI[[#This Row],[Winter Clothes Children]]+Table_NFI[[#This Row],[Winter Items Other]]+Table_NFI[[#This Row],[Winter Blanket]]&gt;0,1,0)</f>
        <v>1</v>
      </c>
      <c r="AN119" s="392">
        <f>IF(NFI_Expiration=1,IF($A119&lt;VLOOKUP(V$5,NFI,5,0),1,0)*Table_NFI[[#This Row],[Jerry Can]],Table_NFI[Jerry Can])</f>
        <v>0</v>
      </c>
      <c r="AO119" s="540" t="str">
        <f>IFERROR(VLOOKUP(Table_NFI[[#This Row],[Camp Name]],CL,2,0),"")</f>
        <v>MMR001CMP116</v>
      </c>
      <c r="AP119" s="535">
        <f ca="1">IF(Table_NFI[[#This Row],[Pcode]]="","",IF(OFFSET(CampList[Opening Date],MATCH(Table_NFI[[#This Row],[Pcode]],CampList[CP_Pcode],0)-1,0,1,1)&gt;=NFI_Monitor_Date,1,0))</f>
        <v>0</v>
      </c>
      <c r="AQ119" s="540" t="str">
        <f>IFERROR(VLOOKUP(Table_NFI[[#This Row],[Camp Name]],CL,3,0),"")</f>
        <v>Open</v>
      </c>
      <c r="AR119" s="352" t="str">
        <f ca="1">IF(Table_NFI[[#This Row],[Pcode]]="","",OFFSET(CampList[Priority],MATCH(Table_NFI[[#This Row],[Pcode]],CampList[CP_Pcode],0)-1,0,1,1))</f>
        <v>P4</v>
      </c>
      <c r="AS119" s="351">
        <f>IFERROR(Table_NFI[[#This Row],[Kitchen Set]]/VLOOKUP(Table_NFI[[#This Row],[Camp Name]],CL,4,0),"")</f>
        <v>0</v>
      </c>
      <c r="AT119" s="533" t="s">
        <v>1094</v>
      </c>
      <c r="AU119" s="541"/>
    </row>
    <row r="120" spans="1:47" s="537" customFormat="1" ht="14.45" customHeight="1" x14ac:dyDescent="0.25">
      <c r="A120" s="355">
        <f t="shared" si="1"/>
        <v>17.433333333333334</v>
      </c>
      <c r="B120" s="532">
        <v>42048</v>
      </c>
      <c r="C120" s="538" t="s">
        <v>453</v>
      </c>
      <c r="D120" s="538" t="s">
        <v>507</v>
      </c>
      <c r="E120" s="538" t="s">
        <v>380</v>
      </c>
      <c r="F120" s="538" t="s">
        <v>237</v>
      </c>
      <c r="G120" s="538" t="s">
        <v>273</v>
      </c>
      <c r="H120" s="350"/>
      <c r="I120" s="350"/>
      <c r="J120" s="350"/>
      <c r="K120" s="350"/>
      <c r="L120" s="350"/>
      <c r="M120" s="350">
        <v>18</v>
      </c>
      <c r="N120" s="350">
        <v>9</v>
      </c>
      <c r="O120" s="350"/>
      <c r="P120" s="352">
        <v>29</v>
      </c>
      <c r="Q120" s="352">
        <v>145</v>
      </c>
      <c r="R120" s="352"/>
      <c r="S120" s="352"/>
      <c r="T120" s="352"/>
      <c r="U120" s="352"/>
      <c r="V120" s="497"/>
      <c r="W120" s="352"/>
      <c r="X120" s="352"/>
      <c r="Y120" s="352">
        <f>IF(NFI_Expiration=1,IF($A120&lt;VLOOKUP(H$5,NFI,5,0),1,0)*Table_NFI[[#This Row],[Hygiene Kit]],Table_NFI[Hygiene Kit])</f>
        <v>0</v>
      </c>
      <c r="Z120" s="352">
        <f>IF(NFI_Expiration=1,IF($A120&lt;VLOOKUP(I$5,NFI,5,0),1,0)*Table_NFI[[#This Row],[NFI Core Kit]],Table_NFI[NFI Core Kit])</f>
        <v>0</v>
      </c>
      <c r="AA120" s="352">
        <f>IF(NFI_Expiration=1,IF($A120&lt;VLOOKUP(J$5,NFI,5,0),1,0)*Table_NFI[[#This Row],[Sanitary Kit]],Table_NFI[Sanitary Kit])</f>
        <v>0</v>
      </c>
      <c r="AB120" s="352">
        <f>IF(NFI_Expiration=1,IF($A120&lt;VLOOKUP(K$5,NFI,5,0),1,0)*Table_NFI[[#This Row],[Mosquito net]],Table_NFI[Mosquito net])</f>
        <v>0</v>
      </c>
      <c r="AC120" s="352">
        <f>IF(NFI_Expiration=1,IF($A120&lt;VLOOKUP(L$5,NFI,5,0),1,0)*Table_NFI[[#This Row],[Tarpaulin]],Table_NFI[[#This Row],[Tarpaulin]])</f>
        <v>0</v>
      </c>
      <c r="AD120" s="352">
        <f>IF(NFI_Expiration=1,IF($A120&lt;VLOOKUP(M$5,NFI,5,0),1,0)*Table_NFI[[#This Row],[Blanket]],Table_NFI[[#This Row],[Blanket]])</f>
        <v>0</v>
      </c>
      <c r="AE120" s="352">
        <f>IF(NFI_Expiration=1,IF($A120&lt;VLOOKUP(N$5,NFI,5,0),1,0)*Table_NFI[[#This Row],[Kitchen Set]],Table_NFI[Kitchen Set])</f>
        <v>0</v>
      </c>
      <c r="AF120" s="352">
        <f>IF(NFI_Expiration=1,IF($A120&lt;VLOOKUP(O$5,NFI,5,0),1,0)*Table_NFI[[#This Row],[Clothes Kit]],Table_NFI[Clothes Kit])</f>
        <v>0</v>
      </c>
      <c r="AG120" s="352">
        <f>IF(NFI_Expiration=1,IF($A120&lt;VLOOKUP(P$5,NFI,5,0),1,0)*Table_NFI[[#This Row],[Plastic Bucket]],Table_NFI[Plastic Bucket])</f>
        <v>0</v>
      </c>
      <c r="AH120" s="352">
        <f>IF(NFI_Expiration=1,IF($A120&lt;VLOOKUP(Q$5,NFI,5,0),1,0)*Table_NFI[[#This Row],[Plastic Mat]],Table_NFI[Plastic Mat])*IF(Table_NFI[[#This Row],[Distribution Date]]&gt;"2014-04-01",1,2.5)</f>
        <v>0</v>
      </c>
      <c r="AI120" s="352">
        <f>IF(NFI_Expiration=1,IF($A120&lt;VLOOKUP(R$5,NFI,5,0),1,0)*Table_NFI[[#This Row],[Winter Clothes Adult]],Table_NFI[Winter Clothes Adult])</f>
        <v>0</v>
      </c>
      <c r="AJ120" s="352">
        <f>IF(NFI_Expiration=1,IF($A120&lt;VLOOKUP(S$5,NFI,5,0),1,0)*Table_NFI[[#This Row],[Winter Clothes Children]],Table_NFI[Winter Clothes Children])</f>
        <v>0</v>
      </c>
      <c r="AK120" s="352">
        <f>IF(NFI_Expiration=1,IF($A120&lt;VLOOKUP(T$5,NFI,5,0),1,0)*Table_NFI[[#This Row],[Winter Items Other]],Table_NFI[Winter Items Other])</f>
        <v>0</v>
      </c>
      <c r="AL120" s="352">
        <f>IF(NFI_Expiration=1,IF($A120&lt;VLOOKUP(M$5,NFI,5,0),1,0)*Table_NFI[[#This Row],[Winter Blanket]],Table_NFI[[#This Row],[Winter Blanket]])</f>
        <v>0</v>
      </c>
      <c r="AM120" s="352">
        <f>IF(Table_NFI[[#This Row],[Winter Clothes Adult]]+Table_NFI[[#This Row],[Winter Clothes Children]]+Table_NFI[[#This Row],[Winter Items Other]]+Table_NFI[[#This Row],[Winter Blanket]]&gt;0,1,0)</f>
        <v>0</v>
      </c>
      <c r="AN120" s="392">
        <f>IF(NFI_Expiration=1,IF($A120&lt;VLOOKUP(V$5,NFI,5,0),1,0)*Table_NFI[[#This Row],[Jerry Can]],Table_NFI[Jerry Can])</f>
        <v>0</v>
      </c>
      <c r="AO120" s="540" t="str">
        <f>IFERROR(VLOOKUP(Table_NFI[[#This Row],[Camp Name]],CL,2,0),"")</f>
        <v>MMR001CMP162</v>
      </c>
      <c r="AP120" s="535">
        <f ca="1">IF(Table_NFI[[#This Row],[Pcode]]="","",IF(OFFSET(CampList[Opening Date],MATCH(Table_NFI[[#This Row],[Pcode]],CampList[CP_Pcode],0)-1,0,1,1)&gt;=NFI_Monitor_Date,1,0))</f>
        <v>0</v>
      </c>
      <c r="AQ120" s="540" t="str">
        <f>IFERROR(VLOOKUP(Table_NFI[[#This Row],[Camp Name]],CL,3,0),"")</f>
        <v>Open</v>
      </c>
      <c r="AR120" s="352" t="str">
        <f ca="1">IF(Table_NFI[[#This Row],[Pcode]]="","",OFFSET(CampList[Priority],MATCH(Table_NFI[[#This Row],[Pcode]],CampList[CP_Pcode],0)-1,0,1,1))</f>
        <v>P4</v>
      </c>
      <c r="AS120" s="351">
        <f>IFERROR(Table_NFI[[#This Row],[Kitchen Set]]/VLOOKUP(Table_NFI[[#This Row],[Camp Name]],CL,4,0),"")</f>
        <v>0.20454545454545456</v>
      </c>
      <c r="AT120" s="533" t="s">
        <v>1094</v>
      </c>
      <c r="AU120" s="541"/>
    </row>
    <row r="121" spans="1:47" s="537" customFormat="1" ht="14.45" hidden="1" customHeight="1" x14ac:dyDescent="0.25">
      <c r="A121" s="355">
        <f t="shared" si="1"/>
        <v>29.266666666666666</v>
      </c>
      <c r="B121" s="532">
        <v>41693</v>
      </c>
      <c r="C121" s="533" t="s">
        <v>1106</v>
      </c>
      <c r="D121" s="533" t="s">
        <v>902</v>
      </c>
      <c r="E121" s="533" t="s">
        <v>380</v>
      </c>
      <c r="F121" s="533" t="s">
        <v>27</v>
      </c>
      <c r="G121" s="533" t="s">
        <v>28</v>
      </c>
      <c r="H121" s="349"/>
      <c r="I121" s="349"/>
      <c r="J121" s="349"/>
      <c r="K121" s="349"/>
      <c r="L121" s="350"/>
      <c r="M121" s="350"/>
      <c r="N121" s="350"/>
      <c r="O121" s="350"/>
      <c r="P121" s="352"/>
      <c r="Q121" s="352"/>
      <c r="R121" s="352"/>
      <c r="S121" s="352"/>
      <c r="T121" s="352"/>
      <c r="U121" s="352">
        <v>222</v>
      </c>
      <c r="V121" s="497"/>
      <c r="W121" s="352"/>
      <c r="X121" s="352"/>
      <c r="Y121" s="352">
        <f>IF(NFI_Expiration=1,IF($A121&lt;VLOOKUP(H$5,NFI,5,0),1,0)*Table_NFI[[#This Row],[Hygiene Kit]],Table_NFI[Hygiene Kit])</f>
        <v>0</v>
      </c>
      <c r="Z121" s="352">
        <f>IF(NFI_Expiration=1,IF($A121&lt;VLOOKUP(I$5,NFI,5,0),1,0)*Table_NFI[[#This Row],[NFI Core Kit]],Table_NFI[NFI Core Kit])</f>
        <v>0</v>
      </c>
      <c r="AA121" s="352">
        <f>IF(NFI_Expiration=1,IF($A121&lt;VLOOKUP(J$5,NFI,5,0),1,0)*Table_NFI[[#This Row],[Sanitary Kit]],Table_NFI[Sanitary Kit])</f>
        <v>0</v>
      </c>
      <c r="AB121" s="352">
        <f>IF(NFI_Expiration=1,IF($A121&lt;VLOOKUP(K$5,NFI,5,0),1,0)*Table_NFI[[#This Row],[Mosquito net]],Table_NFI[Mosquito net])</f>
        <v>0</v>
      </c>
      <c r="AC121" s="352">
        <f>IF(NFI_Expiration=1,IF($A121&lt;VLOOKUP(L$5,NFI,5,0),1,0)*Table_NFI[[#This Row],[Tarpaulin]],Table_NFI[[#This Row],[Tarpaulin]])</f>
        <v>0</v>
      </c>
      <c r="AD121" s="352">
        <f>IF(NFI_Expiration=1,IF($A121&lt;VLOOKUP(M$5,NFI,5,0),1,0)*Table_NFI[[#This Row],[Blanket]],Table_NFI[[#This Row],[Blanket]])</f>
        <v>0</v>
      </c>
      <c r="AE121" s="352">
        <f>IF(NFI_Expiration=1,IF($A121&lt;VLOOKUP(N$5,NFI,5,0),1,0)*Table_NFI[[#This Row],[Kitchen Set]],Table_NFI[Kitchen Set])</f>
        <v>0</v>
      </c>
      <c r="AF121" s="352">
        <f>IF(NFI_Expiration=1,IF($A121&lt;VLOOKUP(O$5,NFI,5,0),1,0)*Table_NFI[[#This Row],[Clothes Kit]],Table_NFI[Clothes Kit])</f>
        <v>0</v>
      </c>
      <c r="AG121" s="352">
        <f>IF(NFI_Expiration=1,IF($A121&lt;VLOOKUP(P$5,NFI,5,0),1,0)*Table_NFI[[#This Row],[Plastic Bucket]],Table_NFI[Plastic Bucket])</f>
        <v>0</v>
      </c>
      <c r="AH121" s="352">
        <f>IF(NFI_Expiration=1,IF($A121&lt;VLOOKUP(Q$5,NFI,5,0),1,0)*Table_NFI[[#This Row],[Plastic Mat]],Table_NFI[Plastic Mat])*IF(Table_NFI[[#This Row],[Distribution Date]]&gt;"2014-04-01",1,2.5)</f>
        <v>0</v>
      </c>
      <c r="AI121" s="352">
        <f>IF(NFI_Expiration=1,IF($A121&lt;VLOOKUP(R$5,NFI,5,0),1,0)*Table_NFI[[#This Row],[Winter Clothes Adult]],Table_NFI[Winter Clothes Adult])</f>
        <v>0</v>
      </c>
      <c r="AJ121" s="352">
        <f>IF(NFI_Expiration=1,IF($A121&lt;VLOOKUP(S$5,NFI,5,0),1,0)*Table_NFI[[#This Row],[Winter Clothes Children]],Table_NFI[Winter Clothes Children])</f>
        <v>0</v>
      </c>
      <c r="AK121" s="352">
        <f>IF(NFI_Expiration=1,IF($A121&lt;VLOOKUP(T$5,NFI,5,0),1,0)*Table_NFI[[#This Row],[Winter Items Other]],Table_NFI[Winter Items Other])</f>
        <v>0</v>
      </c>
      <c r="AL121" s="352">
        <f>IF(NFI_Expiration=1,IF($A121&lt;VLOOKUP(M$5,NFI,5,0),1,0)*Table_NFI[[#This Row],[Winter Blanket]],Table_NFI[[#This Row],[Winter Blanket]])</f>
        <v>0</v>
      </c>
      <c r="AM121" s="352">
        <f>IF(Table_NFI[[#This Row],[Winter Clothes Adult]]+Table_NFI[[#This Row],[Winter Clothes Children]]+Table_NFI[[#This Row],[Winter Items Other]]+Table_NFI[[#This Row],[Winter Blanket]]&gt;0,1,0)</f>
        <v>1</v>
      </c>
      <c r="AN121" s="392">
        <f>IF(NFI_Expiration=1,IF($A121&lt;VLOOKUP(V$5,NFI,5,0),1,0)*Table_NFI[[#This Row],[Jerry Can]],Table_NFI[Jerry Can])</f>
        <v>0</v>
      </c>
      <c r="AO121" s="540" t="str">
        <f>IFERROR(VLOOKUP(Table_NFI[[#This Row],[Camp Name]],CL,2,0),"")</f>
        <v>MMR001CMP042</v>
      </c>
      <c r="AP121" s="535">
        <f ca="1">IF(Table_NFI[[#This Row],[Pcode]]="","",IF(OFFSET(CampList[Opening Date],MATCH(Table_NFI[[#This Row],[Pcode]],CampList[CP_Pcode],0)-1,0,1,1)&gt;=NFI_Monitor_Date,1,0))</f>
        <v>0</v>
      </c>
      <c r="AQ121" s="540" t="str">
        <f>IFERROR(VLOOKUP(Table_NFI[[#This Row],[Camp Name]],CL,3,0),"")</f>
        <v>Open</v>
      </c>
      <c r="AR121" s="352" t="str">
        <f ca="1">IF(Table_NFI[[#This Row],[Pcode]]="","",OFFSET(CampList[Priority],MATCH(Table_NFI[[#This Row],[Pcode]],CampList[CP_Pcode],0)-1,0,1,1))</f>
        <v>P1</v>
      </c>
      <c r="AS121" s="351">
        <f>IFERROR(Table_NFI[[#This Row],[Kitchen Set]]/VLOOKUP(Table_NFI[[#This Row],[Camp Name]],CL,4,0),"")</f>
        <v>0</v>
      </c>
      <c r="AT121" s="533"/>
      <c r="AU121" s="536"/>
    </row>
    <row r="122" spans="1:47" s="537" customFormat="1" ht="14.45" hidden="1" customHeight="1" x14ac:dyDescent="0.25">
      <c r="A122" s="355">
        <f t="shared" si="1"/>
        <v>38.5</v>
      </c>
      <c r="B122" s="532">
        <v>41416</v>
      </c>
      <c r="C122" s="533" t="s">
        <v>903</v>
      </c>
      <c r="D122" s="534" t="s">
        <v>507</v>
      </c>
      <c r="E122" s="533" t="s">
        <v>380</v>
      </c>
      <c r="F122" s="348" t="s">
        <v>27</v>
      </c>
      <c r="G122" s="348" t="s">
        <v>28</v>
      </c>
      <c r="H122" s="349">
        <v>510</v>
      </c>
      <c r="I122" s="349"/>
      <c r="J122" s="349"/>
      <c r="K122" s="349"/>
      <c r="L122" s="350"/>
      <c r="M122" s="350"/>
      <c r="N122" s="350"/>
      <c r="O122" s="350"/>
      <c r="P122" s="352"/>
      <c r="Q122" s="352"/>
      <c r="R122" s="352"/>
      <c r="S122" s="352"/>
      <c r="T122" s="352"/>
      <c r="U122" s="352"/>
      <c r="V122" s="497"/>
      <c r="W122" s="352"/>
      <c r="X122" s="352"/>
      <c r="Y122" s="352">
        <f>IF(NFI_Expiration=1,IF($A122&lt;VLOOKUP(H$5,NFI,5,0),1,0)*Table_NFI[[#This Row],[Hygiene Kit]],Table_NFI[Hygiene Kit])</f>
        <v>0</v>
      </c>
      <c r="Z122" s="352">
        <f>IF(NFI_Expiration=1,IF($A122&lt;VLOOKUP(I$5,NFI,5,0),1,0)*Table_NFI[[#This Row],[NFI Core Kit]],Table_NFI[NFI Core Kit])</f>
        <v>0</v>
      </c>
      <c r="AA122" s="352">
        <f>IF(NFI_Expiration=1,IF($A122&lt;VLOOKUP(J$5,NFI,5,0),1,0)*Table_NFI[[#This Row],[Sanitary Kit]],Table_NFI[Sanitary Kit])</f>
        <v>0</v>
      </c>
      <c r="AB122" s="352">
        <f>IF(NFI_Expiration=1,IF($A122&lt;VLOOKUP(K$5,NFI,5,0),1,0)*Table_NFI[[#This Row],[Mosquito net]],Table_NFI[Mosquito net])</f>
        <v>0</v>
      </c>
      <c r="AC122" s="352">
        <f>IF(NFI_Expiration=1,IF($A122&lt;VLOOKUP(L$5,NFI,5,0),1,0)*Table_NFI[[#This Row],[Tarpaulin]],Table_NFI[[#This Row],[Tarpaulin]])</f>
        <v>0</v>
      </c>
      <c r="AD122" s="352">
        <f>IF(NFI_Expiration=1,IF($A122&lt;VLOOKUP(M$5,NFI,5,0),1,0)*Table_NFI[[#This Row],[Blanket]],Table_NFI[[#This Row],[Blanket]])</f>
        <v>0</v>
      </c>
      <c r="AE122" s="352">
        <f>IF(NFI_Expiration=1,IF($A122&lt;VLOOKUP(N$5,NFI,5,0),1,0)*Table_NFI[[#This Row],[Kitchen Set]],Table_NFI[Kitchen Set])</f>
        <v>0</v>
      </c>
      <c r="AF122" s="352">
        <f>IF(NFI_Expiration=1,IF($A122&lt;VLOOKUP(O$5,NFI,5,0),1,0)*Table_NFI[[#This Row],[Clothes Kit]],Table_NFI[Clothes Kit])</f>
        <v>0</v>
      </c>
      <c r="AG122" s="352">
        <f>IF(NFI_Expiration=1,IF($A122&lt;VLOOKUP(P$5,NFI,5,0),1,0)*Table_NFI[[#This Row],[Plastic Bucket]],Table_NFI[Plastic Bucket])</f>
        <v>0</v>
      </c>
      <c r="AH122" s="352">
        <f>IF(NFI_Expiration=1,IF($A122&lt;VLOOKUP(Q$5,NFI,5,0),1,0)*Table_NFI[[#This Row],[Plastic Mat]],Table_NFI[Plastic Mat])*IF(Table_NFI[[#This Row],[Distribution Date]]&gt;"2014-04-01",1,2.5)</f>
        <v>0</v>
      </c>
      <c r="AI122" s="352">
        <f>IF(NFI_Expiration=1,IF($A122&lt;VLOOKUP(R$5,NFI,5,0),1,0)*Table_NFI[[#This Row],[Winter Clothes Adult]],Table_NFI[Winter Clothes Adult])</f>
        <v>0</v>
      </c>
      <c r="AJ122" s="352">
        <f>IF(NFI_Expiration=1,IF($A122&lt;VLOOKUP(S$5,NFI,5,0),1,0)*Table_NFI[[#This Row],[Winter Clothes Children]],Table_NFI[Winter Clothes Children])</f>
        <v>0</v>
      </c>
      <c r="AK122" s="352">
        <f>IF(NFI_Expiration=1,IF($A122&lt;VLOOKUP(T$5,NFI,5,0),1,0)*Table_NFI[[#This Row],[Winter Items Other]],Table_NFI[Winter Items Other])</f>
        <v>0</v>
      </c>
      <c r="AL122" s="352">
        <f>IF(NFI_Expiration=1,IF($A122&lt;VLOOKUP(M$5,NFI,5,0),1,0)*Table_NFI[[#This Row],[Winter Blanket]],Table_NFI[[#This Row],[Winter Blanket]])</f>
        <v>0</v>
      </c>
      <c r="AM122" s="352">
        <f>IF(Table_NFI[[#This Row],[Winter Clothes Adult]]+Table_NFI[[#This Row],[Winter Clothes Children]]+Table_NFI[[#This Row],[Winter Items Other]]+Table_NFI[[#This Row],[Winter Blanket]]&gt;0,1,0)</f>
        <v>0</v>
      </c>
      <c r="AN122" s="392">
        <f>IF(NFI_Expiration=1,IF($A122&lt;VLOOKUP(V$5,NFI,5,0),1,0)*Table_NFI[[#This Row],[Jerry Can]],Table_NFI[Jerry Can])</f>
        <v>0</v>
      </c>
      <c r="AO122" s="540" t="str">
        <f>IFERROR(VLOOKUP(Table_NFI[[#This Row],[Camp Name]],CL,2,0),"")</f>
        <v>MMR001CMP042</v>
      </c>
      <c r="AP122" s="535">
        <f ca="1">IF(Table_NFI[[#This Row],[Pcode]]="","",IF(OFFSET(CampList[Opening Date],MATCH(Table_NFI[[#This Row],[Pcode]],CampList[CP_Pcode],0)-1,0,1,1)&gt;=NFI_Monitor_Date,1,0))</f>
        <v>0</v>
      </c>
      <c r="AQ122" s="540" t="str">
        <f>IFERROR(VLOOKUP(Table_NFI[[#This Row],[Camp Name]],CL,3,0),"")</f>
        <v>Open</v>
      </c>
      <c r="AR122" s="352" t="str">
        <f ca="1">IF(Table_NFI[[#This Row],[Pcode]]="","",OFFSET(CampList[Priority],MATCH(Table_NFI[[#This Row],[Pcode]],CampList[CP_Pcode],0)-1,0,1,1))</f>
        <v>P1</v>
      </c>
      <c r="AS122" s="351">
        <f>IFERROR(Table_NFI[[#This Row],[Kitchen Set]]/VLOOKUP(Table_NFI[[#This Row],[Camp Name]],CL,4,0),"")</f>
        <v>0</v>
      </c>
      <c r="AT122" s="533" t="s">
        <v>1094</v>
      </c>
      <c r="AU122" s="536"/>
    </row>
    <row r="123" spans="1:47" s="537" customFormat="1" ht="14.45" customHeight="1" x14ac:dyDescent="0.25">
      <c r="A123" s="355">
        <f t="shared" si="1"/>
        <v>17.433333333333334</v>
      </c>
      <c r="B123" s="532">
        <v>42048</v>
      </c>
      <c r="C123" s="538" t="s">
        <v>453</v>
      </c>
      <c r="D123" s="538" t="s">
        <v>1265</v>
      </c>
      <c r="E123" s="538" t="s">
        <v>554</v>
      </c>
      <c r="F123" s="538" t="s">
        <v>146</v>
      </c>
      <c r="G123" s="538" t="s">
        <v>1358</v>
      </c>
      <c r="H123" s="350"/>
      <c r="I123" s="350">
        <v>68</v>
      </c>
      <c r="J123" s="350">
        <v>54</v>
      </c>
      <c r="K123" s="350">
        <v>134</v>
      </c>
      <c r="L123" s="350">
        <v>68</v>
      </c>
      <c r="M123" s="350">
        <v>134</v>
      </c>
      <c r="N123" s="350">
        <v>68</v>
      </c>
      <c r="O123" s="350"/>
      <c r="P123" s="352">
        <v>68</v>
      </c>
      <c r="Q123" s="352">
        <v>134</v>
      </c>
      <c r="R123" s="352"/>
      <c r="S123" s="352"/>
      <c r="T123" s="352"/>
      <c r="U123" s="352"/>
      <c r="V123" s="497">
        <v>68</v>
      </c>
      <c r="W123" s="352"/>
      <c r="X123" s="352"/>
      <c r="Y123" s="352">
        <f>IF(NFI_Expiration=1,IF($A123&lt;VLOOKUP(H$5,NFI,5,0),1,0)*Table_NFI[[#This Row],[Hygiene Kit]],Table_NFI[Hygiene Kit])</f>
        <v>0</v>
      </c>
      <c r="Z123" s="352">
        <f>IF(NFI_Expiration=1,IF($A123&lt;VLOOKUP(I$5,NFI,5,0),1,0)*Table_NFI[[#This Row],[NFI Core Kit]],Table_NFI[NFI Core Kit])</f>
        <v>0</v>
      </c>
      <c r="AA123" s="352">
        <f>IF(NFI_Expiration=1,IF($A123&lt;VLOOKUP(J$5,NFI,5,0),1,0)*Table_NFI[[#This Row],[Sanitary Kit]],Table_NFI[Sanitary Kit])</f>
        <v>0</v>
      </c>
      <c r="AB123" s="352">
        <f>IF(NFI_Expiration=1,IF($A123&lt;VLOOKUP(K$5,NFI,5,0),1,0)*Table_NFI[[#This Row],[Mosquito net]],Table_NFI[Mosquito net])</f>
        <v>0</v>
      </c>
      <c r="AC123" s="352">
        <f>IF(NFI_Expiration=1,IF($A123&lt;VLOOKUP(L$5,NFI,5,0),1,0)*Table_NFI[[#This Row],[Tarpaulin]],Table_NFI[[#This Row],[Tarpaulin]])</f>
        <v>0</v>
      </c>
      <c r="AD123" s="352">
        <f>IF(NFI_Expiration=1,IF($A123&lt;VLOOKUP(M$5,NFI,5,0),1,0)*Table_NFI[[#This Row],[Blanket]],Table_NFI[[#This Row],[Blanket]])</f>
        <v>0</v>
      </c>
      <c r="AE123" s="352">
        <f>IF(NFI_Expiration=1,IF($A123&lt;VLOOKUP(N$5,NFI,5,0),1,0)*Table_NFI[[#This Row],[Kitchen Set]],Table_NFI[Kitchen Set])</f>
        <v>0</v>
      </c>
      <c r="AF123" s="352">
        <f>IF(NFI_Expiration=1,IF($A123&lt;VLOOKUP(O$5,NFI,5,0),1,0)*Table_NFI[[#This Row],[Clothes Kit]],Table_NFI[Clothes Kit])</f>
        <v>0</v>
      </c>
      <c r="AG123" s="352">
        <f>IF(NFI_Expiration=1,IF($A123&lt;VLOOKUP(P$5,NFI,5,0),1,0)*Table_NFI[[#This Row],[Plastic Bucket]],Table_NFI[Plastic Bucket])</f>
        <v>0</v>
      </c>
      <c r="AH123" s="352">
        <f>IF(NFI_Expiration=1,IF($A123&lt;VLOOKUP(Q$5,NFI,5,0),1,0)*Table_NFI[[#This Row],[Plastic Mat]],Table_NFI[Plastic Mat])*IF(Table_NFI[[#This Row],[Distribution Date]]&gt;"2014-04-01",1,2.5)</f>
        <v>0</v>
      </c>
      <c r="AI123" s="352">
        <f>IF(NFI_Expiration=1,IF($A123&lt;VLOOKUP(R$5,NFI,5,0),1,0)*Table_NFI[[#This Row],[Winter Clothes Adult]],Table_NFI[Winter Clothes Adult])</f>
        <v>0</v>
      </c>
      <c r="AJ123" s="352">
        <f>IF(NFI_Expiration=1,IF($A123&lt;VLOOKUP(S$5,NFI,5,0),1,0)*Table_NFI[[#This Row],[Winter Clothes Children]],Table_NFI[Winter Clothes Children])</f>
        <v>0</v>
      </c>
      <c r="AK123" s="352">
        <f>IF(NFI_Expiration=1,IF($A123&lt;VLOOKUP(T$5,NFI,5,0),1,0)*Table_NFI[[#This Row],[Winter Items Other]],Table_NFI[Winter Items Other])</f>
        <v>0</v>
      </c>
      <c r="AL123" s="352">
        <f>IF(NFI_Expiration=1,IF($A123&lt;VLOOKUP(M$5,NFI,5,0),1,0)*Table_NFI[[#This Row],[Winter Blanket]],Table_NFI[[#This Row],[Winter Blanket]])</f>
        <v>0</v>
      </c>
      <c r="AM123" s="352">
        <f>IF(Table_NFI[[#This Row],[Winter Clothes Adult]]+Table_NFI[[#This Row],[Winter Clothes Children]]+Table_NFI[[#This Row],[Winter Items Other]]+Table_NFI[[#This Row],[Winter Blanket]]&gt;0,1,0)</f>
        <v>0</v>
      </c>
      <c r="AN123" s="392">
        <f>IF(NFI_Expiration=1,IF($A123&lt;VLOOKUP(V$5,NFI,5,0),1,0)*Table_NFI[[#This Row],[Jerry Can]],Table_NFI[Jerry Can])</f>
        <v>0</v>
      </c>
      <c r="AO123" s="540" t="str">
        <f>IFERROR(VLOOKUP(Table_NFI[[#This Row],[Camp Name]],CL,2,0),"")</f>
        <v/>
      </c>
      <c r="AP123" s="535" t="str">
        <f ca="1">IF(Table_NFI[[#This Row],[Pcode]]="","",IF(OFFSET(CampList[Opening Date],MATCH(Table_NFI[[#This Row],[Pcode]],CampList[CP_Pcode],0)-1,0,1,1)&gt;=NFI_Monitor_Date,1,0))</f>
        <v/>
      </c>
      <c r="AQ123" s="540" t="str">
        <f>IFERROR(VLOOKUP(Table_NFI[[#This Row],[Camp Name]],CL,3,0),"")</f>
        <v/>
      </c>
      <c r="AR123" s="352" t="str">
        <f ca="1">IF(Table_NFI[[#This Row],[Pcode]]="","",OFFSET(CampList[Priority],MATCH(Table_NFI[[#This Row],[Pcode]],CampList[CP_Pcode],0)-1,0,1,1))</f>
        <v/>
      </c>
      <c r="AS123" s="351" t="str">
        <f>IFERROR(Table_NFI[[#This Row],[Kitchen Set]]/VLOOKUP(Table_NFI[[#This Row],[Camp Name]],CL,4,0),"")</f>
        <v/>
      </c>
      <c r="AT123" s="533" t="s">
        <v>1094</v>
      </c>
      <c r="AU123" s="541"/>
    </row>
    <row r="124" spans="1:47" s="537" customFormat="1" ht="14.45" customHeight="1" x14ac:dyDescent="0.25">
      <c r="A124" s="355">
        <f t="shared" si="1"/>
        <v>17.533333333333335</v>
      </c>
      <c r="B124" s="532">
        <v>42045</v>
      </c>
      <c r="C124" s="533" t="s">
        <v>453</v>
      </c>
      <c r="D124" s="538" t="s">
        <v>453</v>
      </c>
      <c r="E124" s="538" t="s">
        <v>554</v>
      </c>
      <c r="F124" s="538" t="s">
        <v>151</v>
      </c>
      <c r="G124" s="538" t="s">
        <v>1361</v>
      </c>
      <c r="H124" s="350"/>
      <c r="I124" s="350"/>
      <c r="J124" s="350"/>
      <c r="K124" s="350">
        <v>49</v>
      </c>
      <c r="L124" s="350">
        <v>16</v>
      </c>
      <c r="M124" s="350">
        <v>49</v>
      </c>
      <c r="N124" s="350">
        <v>16</v>
      </c>
      <c r="O124" s="350"/>
      <c r="P124" s="352">
        <v>16</v>
      </c>
      <c r="Q124" s="352">
        <v>92</v>
      </c>
      <c r="R124" s="352"/>
      <c r="S124" s="352"/>
      <c r="T124" s="352"/>
      <c r="U124" s="352"/>
      <c r="V124" s="497">
        <v>15</v>
      </c>
      <c r="W124" s="352"/>
      <c r="X124" s="352"/>
      <c r="Y124" s="352">
        <f>IF(NFI_Expiration=1,IF($A124&lt;VLOOKUP(H$5,NFI,5,0),1,0)*Table_NFI[[#This Row],[Hygiene Kit]],Table_NFI[Hygiene Kit])</f>
        <v>0</v>
      </c>
      <c r="Z124" s="352">
        <f>IF(NFI_Expiration=1,IF($A124&lt;VLOOKUP(I$5,NFI,5,0),1,0)*Table_NFI[[#This Row],[NFI Core Kit]],Table_NFI[NFI Core Kit])</f>
        <v>0</v>
      </c>
      <c r="AA124" s="352">
        <f>IF(NFI_Expiration=1,IF($A124&lt;VLOOKUP(J$5,NFI,5,0),1,0)*Table_NFI[[#This Row],[Sanitary Kit]],Table_NFI[Sanitary Kit])</f>
        <v>0</v>
      </c>
      <c r="AB124" s="352">
        <f>IF(NFI_Expiration=1,IF($A124&lt;VLOOKUP(K$5,NFI,5,0),1,0)*Table_NFI[[#This Row],[Mosquito net]],Table_NFI[Mosquito net])</f>
        <v>0</v>
      </c>
      <c r="AC124" s="352">
        <f>IF(NFI_Expiration=1,IF($A124&lt;VLOOKUP(L$5,NFI,5,0),1,0)*Table_NFI[[#This Row],[Tarpaulin]],Table_NFI[[#This Row],[Tarpaulin]])</f>
        <v>0</v>
      </c>
      <c r="AD124" s="352">
        <f>IF(NFI_Expiration=1,IF($A124&lt;VLOOKUP(M$5,NFI,5,0),1,0)*Table_NFI[[#This Row],[Blanket]],Table_NFI[[#This Row],[Blanket]])</f>
        <v>0</v>
      </c>
      <c r="AE124" s="352">
        <f>IF(NFI_Expiration=1,IF($A124&lt;VLOOKUP(N$5,NFI,5,0),1,0)*Table_NFI[[#This Row],[Kitchen Set]],Table_NFI[Kitchen Set])</f>
        <v>0</v>
      </c>
      <c r="AF124" s="352">
        <f>IF(NFI_Expiration=1,IF($A124&lt;VLOOKUP(O$5,NFI,5,0),1,0)*Table_NFI[[#This Row],[Clothes Kit]],Table_NFI[Clothes Kit])</f>
        <v>0</v>
      </c>
      <c r="AG124" s="352">
        <f>IF(NFI_Expiration=1,IF($A124&lt;VLOOKUP(P$5,NFI,5,0),1,0)*Table_NFI[[#This Row],[Plastic Bucket]],Table_NFI[Plastic Bucket])</f>
        <v>0</v>
      </c>
      <c r="AH124" s="352">
        <f>IF(NFI_Expiration=1,IF($A124&lt;VLOOKUP(Q$5,NFI,5,0),1,0)*Table_NFI[[#This Row],[Plastic Mat]],Table_NFI[Plastic Mat])*IF(Table_NFI[[#This Row],[Distribution Date]]&gt;"2014-04-01",1,2.5)</f>
        <v>0</v>
      </c>
      <c r="AI124" s="352">
        <f>IF(NFI_Expiration=1,IF($A124&lt;VLOOKUP(R$5,NFI,5,0),1,0)*Table_NFI[[#This Row],[Winter Clothes Adult]],Table_NFI[Winter Clothes Adult])</f>
        <v>0</v>
      </c>
      <c r="AJ124" s="352">
        <f>IF(NFI_Expiration=1,IF($A124&lt;VLOOKUP(S$5,NFI,5,0),1,0)*Table_NFI[[#This Row],[Winter Clothes Children]],Table_NFI[Winter Clothes Children])</f>
        <v>0</v>
      </c>
      <c r="AK124" s="352">
        <f>IF(NFI_Expiration=1,IF($A124&lt;VLOOKUP(T$5,NFI,5,0),1,0)*Table_NFI[[#This Row],[Winter Items Other]],Table_NFI[Winter Items Other])</f>
        <v>0</v>
      </c>
      <c r="AL124" s="352">
        <f>IF(NFI_Expiration=1,IF($A124&lt;VLOOKUP(M$5,NFI,5,0),1,0)*Table_NFI[[#This Row],[Winter Blanket]],Table_NFI[[#This Row],[Winter Blanket]])</f>
        <v>0</v>
      </c>
      <c r="AM124" s="352">
        <f>IF(Table_NFI[[#This Row],[Winter Clothes Adult]]+Table_NFI[[#This Row],[Winter Clothes Children]]+Table_NFI[[#This Row],[Winter Items Other]]+Table_NFI[[#This Row],[Winter Blanket]]&gt;0,1,0)</f>
        <v>0</v>
      </c>
      <c r="AN124" s="392">
        <f>IF(NFI_Expiration=1,IF($A124&lt;VLOOKUP(V$5,NFI,5,0),1,0)*Table_NFI[[#This Row],[Jerry Can]],Table_NFI[Jerry Can])</f>
        <v>0</v>
      </c>
      <c r="AO124" s="540" t="str">
        <f>IFERROR(VLOOKUP(Table_NFI[[#This Row],[Camp Name]],CL,2,0),"")</f>
        <v/>
      </c>
      <c r="AP124" s="535" t="str">
        <f ca="1">IF(Table_NFI[[#This Row],[Pcode]]="","",IF(OFFSET(CampList[Opening Date],MATCH(Table_NFI[[#This Row],[Pcode]],CampList[CP_Pcode],0)-1,0,1,1)&gt;=NFI_Monitor_Date,1,0))</f>
        <v/>
      </c>
      <c r="AQ124" s="540" t="str">
        <f>IFERROR(VLOOKUP(Table_NFI[[#This Row],[Camp Name]],CL,3,0),"")</f>
        <v/>
      </c>
      <c r="AR124" s="352" t="str">
        <f ca="1">IF(Table_NFI[[#This Row],[Pcode]]="","",OFFSET(CampList[Priority],MATCH(Table_NFI[[#This Row],[Pcode]],CampList[CP_Pcode],0)-1,0,1,1))</f>
        <v/>
      </c>
      <c r="AS124" s="351" t="str">
        <f>IFERROR(Table_NFI[[#This Row],[Kitchen Set]]/VLOOKUP(Table_NFI[[#This Row],[Camp Name]],CL,4,0),"")</f>
        <v/>
      </c>
      <c r="AT124" s="533" t="s">
        <v>1094</v>
      </c>
      <c r="AU124" s="536"/>
    </row>
    <row r="125" spans="1:47" s="537" customFormat="1" ht="14.45" customHeight="1" x14ac:dyDescent="0.25">
      <c r="A125" s="355">
        <f t="shared" si="1"/>
        <v>17.533333333333335</v>
      </c>
      <c r="B125" s="532">
        <v>42045</v>
      </c>
      <c r="C125" s="533" t="s">
        <v>453</v>
      </c>
      <c r="D125" s="538" t="s">
        <v>453</v>
      </c>
      <c r="E125" s="538" t="s">
        <v>554</v>
      </c>
      <c r="F125" s="538" t="s">
        <v>151</v>
      </c>
      <c r="G125" s="538" t="s">
        <v>1362</v>
      </c>
      <c r="H125" s="350"/>
      <c r="I125" s="350"/>
      <c r="J125" s="350"/>
      <c r="K125" s="350">
        <v>75</v>
      </c>
      <c r="L125" s="350">
        <v>13</v>
      </c>
      <c r="M125" s="350">
        <v>110</v>
      </c>
      <c r="N125" s="350">
        <v>13</v>
      </c>
      <c r="O125" s="350"/>
      <c r="P125" s="352">
        <v>13</v>
      </c>
      <c r="Q125" s="352">
        <v>45</v>
      </c>
      <c r="R125" s="352"/>
      <c r="S125" s="352"/>
      <c r="T125" s="352"/>
      <c r="U125" s="352"/>
      <c r="V125" s="497"/>
      <c r="W125" s="352"/>
      <c r="X125" s="352"/>
      <c r="Y125" s="352">
        <f>IF(NFI_Expiration=1,IF($A125&lt;VLOOKUP(H$5,NFI,5,0),1,0)*Table_NFI[[#This Row],[Hygiene Kit]],Table_NFI[Hygiene Kit])</f>
        <v>0</v>
      </c>
      <c r="Z125" s="352">
        <f>IF(NFI_Expiration=1,IF($A125&lt;VLOOKUP(I$5,NFI,5,0),1,0)*Table_NFI[[#This Row],[NFI Core Kit]],Table_NFI[NFI Core Kit])</f>
        <v>0</v>
      </c>
      <c r="AA125" s="352">
        <f>IF(NFI_Expiration=1,IF($A125&lt;VLOOKUP(J$5,NFI,5,0),1,0)*Table_NFI[[#This Row],[Sanitary Kit]],Table_NFI[Sanitary Kit])</f>
        <v>0</v>
      </c>
      <c r="AB125" s="352">
        <f>IF(NFI_Expiration=1,IF($A125&lt;VLOOKUP(K$5,NFI,5,0),1,0)*Table_NFI[[#This Row],[Mosquito net]],Table_NFI[Mosquito net])</f>
        <v>0</v>
      </c>
      <c r="AC125" s="352">
        <f>IF(NFI_Expiration=1,IF($A125&lt;VLOOKUP(L$5,NFI,5,0),1,0)*Table_NFI[[#This Row],[Tarpaulin]],Table_NFI[[#This Row],[Tarpaulin]])</f>
        <v>0</v>
      </c>
      <c r="AD125" s="352">
        <f>IF(NFI_Expiration=1,IF($A125&lt;VLOOKUP(M$5,NFI,5,0),1,0)*Table_NFI[[#This Row],[Blanket]],Table_NFI[[#This Row],[Blanket]])</f>
        <v>0</v>
      </c>
      <c r="AE125" s="352">
        <f>IF(NFI_Expiration=1,IF($A125&lt;VLOOKUP(N$5,NFI,5,0),1,0)*Table_NFI[[#This Row],[Kitchen Set]],Table_NFI[Kitchen Set])</f>
        <v>0</v>
      </c>
      <c r="AF125" s="352">
        <f>IF(NFI_Expiration=1,IF($A125&lt;VLOOKUP(O$5,NFI,5,0),1,0)*Table_NFI[[#This Row],[Clothes Kit]],Table_NFI[Clothes Kit])</f>
        <v>0</v>
      </c>
      <c r="AG125" s="352">
        <f>IF(NFI_Expiration=1,IF($A125&lt;VLOOKUP(P$5,NFI,5,0),1,0)*Table_NFI[[#This Row],[Plastic Bucket]],Table_NFI[Plastic Bucket])</f>
        <v>0</v>
      </c>
      <c r="AH125" s="352">
        <f>IF(NFI_Expiration=1,IF($A125&lt;VLOOKUP(Q$5,NFI,5,0),1,0)*Table_NFI[[#This Row],[Plastic Mat]],Table_NFI[Plastic Mat])*IF(Table_NFI[[#This Row],[Distribution Date]]&gt;"2014-04-01",1,2.5)</f>
        <v>0</v>
      </c>
      <c r="AI125" s="352">
        <f>IF(NFI_Expiration=1,IF($A125&lt;VLOOKUP(R$5,NFI,5,0),1,0)*Table_NFI[[#This Row],[Winter Clothes Adult]],Table_NFI[Winter Clothes Adult])</f>
        <v>0</v>
      </c>
      <c r="AJ125" s="352">
        <f>IF(NFI_Expiration=1,IF($A125&lt;VLOOKUP(S$5,NFI,5,0),1,0)*Table_NFI[[#This Row],[Winter Clothes Children]],Table_NFI[Winter Clothes Children])</f>
        <v>0</v>
      </c>
      <c r="AK125" s="352">
        <f>IF(NFI_Expiration=1,IF($A125&lt;VLOOKUP(T$5,NFI,5,0),1,0)*Table_NFI[[#This Row],[Winter Items Other]],Table_NFI[Winter Items Other])</f>
        <v>0</v>
      </c>
      <c r="AL125" s="352">
        <f>IF(NFI_Expiration=1,IF($A125&lt;VLOOKUP(M$5,NFI,5,0),1,0)*Table_NFI[[#This Row],[Winter Blanket]],Table_NFI[[#This Row],[Winter Blanket]])</f>
        <v>0</v>
      </c>
      <c r="AM125" s="352">
        <f>IF(Table_NFI[[#This Row],[Winter Clothes Adult]]+Table_NFI[[#This Row],[Winter Clothes Children]]+Table_NFI[[#This Row],[Winter Items Other]]+Table_NFI[[#This Row],[Winter Blanket]]&gt;0,1,0)</f>
        <v>0</v>
      </c>
      <c r="AN125" s="392">
        <f>IF(NFI_Expiration=1,IF($A125&lt;VLOOKUP(V$5,NFI,5,0),1,0)*Table_NFI[[#This Row],[Jerry Can]],Table_NFI[Jerry Can])</f>
        <v>0</v>
      </c>
      <c r="AO125" s="540" t="str">
        <f>IFERROR(VLOOKUP(Table_NFI[[#This Row],[Camp Name]],CL,2,0),"")</f>
        <v/>
      </c>
      <c r="AP125" s="535" t="str">
        <f ca="1">IF(Table_NFI[[#This Row],[Pcode]]="","",IF(OFFSET(CampList[Opening Date],MATCH(Table_NFI[[#This Row],[Pcode]],CampList[CP_Pcode],0)-1,0,1,1)&gt;=NFI_Monitor_Date,1,0))</f>
        <v/>
      </c>
      <c r="AQ125" s="540" t="str">
        <f>IFERROR(VLOOKUP(Table_NFI[[#This Row],[Camp Name]],CL,3,0),"")</f>
        <v/>
      </c>
      <c r="AR125" s="352" t="str">
        <f ca="1">IF(Table_NFI[[#This Row],[Pcode]]="","",OFFSET(CampList[Priority],MATCH(Table_NFI[[#This Row],[Pcode]],CampList[CP_Pcode],0)-1,0,1,1))</f>
        <v/>
      </c>
      <c r="AS125" s="351" t="str">
        <f>IFERROR(Table_NFI[[#This Row],[Kitchen Set]]/VLOOKUP(Table_NFI[[#This Row],[Camp Name]],CL,4,0),"")</f>
        <v/>
      </c>
      <c r="AT125" s="533" t="s">
        <v>1094</v>
      </c>
      <c r="AU125" s="536"/>
    </row>
    <row r="126" spans="1:47" s="537" customFormat="1" ht="14.45" customHeight="1" x14ac:dyDescent="0.25">
      <c r="A126" s="355">
        <f t="shared" si="1"/>
        <v>17.533333333333335</v>
      </c>
      <c r="B126" s="532">
        <v>42045</v>
      </c>
      <c r="C126" s="538" t="s">
        <v>453</v>
      </c>
      <c r="D126" s="538" t="s">
        <v>453</v>
      </c>
      <c r="E126" s="538" t="s">
        <v>554</v>
      </c>
      <c r="F126" s="538" t="s">
        <v>151</v>
      </c>
      <c r="G126" s="538" t="s">
        <v>1360</v>
      </c>
      <c r="H126" s="350"/>
      <c r="I126" s="350">
        <v>200</v>
      </c>
      <c r="J126" s="350"/>
      <c r="K126" s="350">
        <v>86</v>
      </c>
      <c r="L126" s="350">
        <v>28</v>
      </c>
      <c r="M126" s="350">
        <v>173</v>
      </c>
      <c r="N126" s="350">
        <v>28</v>
      </c>
      <c r="O126" s="350"/>
      <c r="P126" s="352">
        <v>43</v>
      </c>
      <c r="Q126" s="352">
        <v>199</v>
      </c>
      <c r="R126" s="352"/>
      <c r="S126" s="352"/>
      <c r="T126" s="352"/>
      <c r="U126" s="352"/>
      <c r="V126" s="497">
        <v>42</v>
      </c>
      <c r="W126" s="352"/>
      <c r="X126" s="352"/>
      <c r="Y126" s="352">
        <f>IF(NFI_Expiration=1,IF($A126&lt;VLOOKUP(H$5,NFI,5,0),1,0)*Table_NFI[[#This Row],[Hygiene Kit]],Table_NFI[Hygiene Kit])</f>
        <v>0</v>
      </c>
      <c r="Z126" s="352">
        <f>IF(NFI_Expiration=1,IF($A126&lt;VLOOKUP(I$5,NFI,5,0),1,0)*Table_NFI[[#This Row],[NFI Core Kit]],Table_NFI[NFI Core Kit])</f>
        <v>0</v>
      </c>
      <c r="AA126" s="352">
        <f>IF(NFI_Expiration=1,IF($A126&lt;VLOOKUP(J$5,NFI,5,0),1,0)*Table_NFI[[#This Row],[Sanitary Kit]],Table_NFI[Sanitary Kit])</f>
        <v>0</v>
      </c>
      <c r="AB126" s="352">
        <f>IF(NFI_Expiration=1,IF($A126&lt;VLOOKUP(K$5,NFI,5,0),1,0)*Table_NFI[[#This Row],[Mosquito net]],Table_NFI[Mosquito net])</f>
        <v>0</v>
      </c>
      <c r="AC126" s="352">
        <f>IF(NFI_Expiration=1,IF($A126&lt;VLOOKUP(L$5,NFI,5,0),1,0)*Table_NFI[[#This Row],[Tarpaulin]],Table_NFI[[#This Row],[Tarpaulin]])</f>
        <v>0</v>
      </c>
      <c r="AD126" s="352">
        <f>IF(NFI_Expiration=1,IF($A126&lt;VLOOKUP(M$5,NFI,5,0),1,0)*Table_NFI[[#This Row],[Blanket]],Table_NFI[[#This Row],[Blanket]])</f>
        <v>0</v>
      </c>
      <c r="AE126" s="352">
        <f>IF(NFI_Expiration=1,IF($A126&lt;VLOOKUP(N$5,NFI,5,0),1,0)*Table_NFI[[#This Row],[Kitchen Set]],Table_NFI[Kitchen Set])</f>
        <v>0</v>
      </c>
      <c r="AF126" s="352">
        <f>IF(NFI_Expiration=1,IF($A126&lt;VLOOKUP(O$5,NFI,5,0),1,0)*Table_NFI[[#This Row],[Clothes Kit]],Table_NFI[Clothes Kit])</f>
        <v>0</v>
      </c>
      <c r="AG126" s="352">
        <f>IF(NFI_Expiration=1,IF($A126&lt;VLOOKUP(P$5,NFI,5,0),1,0)*Table_NFI[[#This Row],[Plastic Bucket]],Table_NFI[Plastic Bucket])</f>
        <v>0</v>
      </c>
      <c r="AH126" s="352">
        <f>IF(NFI_Expiration=1,IF($A126&lt;VLOOKUP(Q$5,NFI,5,0),1,0)*Table_NFI[[#This Row],[Plastic Mat]],Table_NFI[Plastic Mat])*IF(Table_NFI[[#This Row],[Distribution Date]]&gt;"2014-04-01",1,2.5)</f>
        <v>0</v>
      </c>
      <c r="AI126" s="352">
        <f>IF(NFI_Expiration=1,IF($A126&lt;VLOOKUP(R$5,NFI,5,0),1,0)*Table_NFI[[#This Row],[Winter Clothes Adult]],Table_NFI[Winter Clothes Adult])</f>
        <v>0</v>
      </c>
      <c r="AJ126" s="352">
        <f>IF(NFI_Expiration=1,IF($A126&lt;VLOOKUP(S$5,NFI,5,0),1,0)*Table_NFI[[#This Row],[Winter Clothes Children]],Table_NFI[Winter Clothes Children])</f>
        <v>0</v>
      </c>
      <c r="AK126" s="352">
        <f>IF(NFI_Expiration=1,IF($A126&lt;VLOOKUP(T$5,NFI,5,0),1,0)*Table_NFI[[#This Row],[Winter Items Other]],Table_NFI[Winter Items Other])</f>
        <v>0</v>
      </c>
      <c r="AL126" s="352">
        <f>IF(NFI_Expiration=1,IF($A126&lt;VLOOKUP(M$5,NFI,5,0),1,0)*Table_NFI[[#This Row],[Winter Blanket]],Table_NFI[[#This Row],[Winter Blanket]])</f>
        <v>0</v>
      </c>
      <c r="AM126" s="352">
        <f>IF(Table_NFI[[#This Row],[Winter Clothes Adult]]+Table_NFI[[#This Row],[Winter Clothes Children]]+Table_NFI[[#This Row],[Winter Items Other]]+Table_NFI[[#This Row],[Winter Blanket]]&gt;0,1,0)</f>
        <v>0</v>
      </c>
      <c r="AN126" s="392">
        <f>IF(NFI_Expiration=1,IF($A126&lt;VLOOKUP(V$5,NFI,5,0),1,0)*Table_NFI[[#This Row],[Jerry Can]],Table_NFI[Jerry Can])</f>
        <v>0</v>
      </c>
      <c r="AO126" s="540" t="str">
        <f>IFERROR(VLOOKUP(Table_NFI[[#This Row],[Camp Name]],CL,2,0),"")</f>
        <v/>
      </c>
      <c r="AP126" s="535" t="str">
        <f ca="1">IF(Table_NFI[[#This Row],[Pcode]]="","",IF(OFFSET(CampList[Opening Date],MATCH(Table_NFI[[#This Row],[Pcode]],CampList[CP_Pcode],0)-1,0,1,1)&gt;=NFI_Monitor_Date,1,0))</f>
        <v/>
      </c>
      <c r="AQ126" s="540" t="str">
        <f>IFERROR(VLOOKUP(Table_NFI[[#This Row],[Camp Name]],CL,3,0),"")</f>
        <v/>
      </c>
      <c r="AR126" s="352" t="str">
        <f ca="1">IF(Table_NFI[[#This Row],[Pcode]]="","",OFFSET(CampList[Priority],MATCH(Table_NFI[[#This Row],[Pcode]],CampList[CP_Pcode],0)-1,0,1,1))</f>
        <v/>
      </c>
      <c r="AS126" s="351" t="str">
        <f>IFERROR(Table_NFI[[#This Row],[Kitchen Set]]/VLOOKUP(Table_NFI[[#This Row],[Camp Name]],CL,4,0),"")</f>
        <v/>
      </c>
      <c r="AT126" s="533" t="s">
        <v>1094</v>
      </c>
      <c r="AU126" s="541"/>
    </row>
    <row r="127" spans="1:47" s="537" customFormat="1" ht="14.45" hidden="1" customHeight="1" x14ac:dyDescent="0.25">
      <c r="A127" s="355">
        <f t="shared" si="1"/>
        <v>21.133333333333333</v>
      </c>
      <c r="B127" s="532">
        <v>41937</v>
      </c>
      <c r="C127" s="533" t="s">
        <v>1096</v>
      </c>
      <c r="D127" s="533" t="s">
        <v>902</v>
      </c>
      <c r="E127" s="533" t="s">
        <v>380</v>
      </c>
      <c r="F127" s="533" t="s">
        <v>528</v>
      </c>
      <c r="G127" s="533" t="s">
        <v>76</v>
      </c>
      <c r="H127" s="349"/>
      <c r="I127" s="349"/>
      <c r="J127" s="349"/>
      <c r="K127" s="349"/>
      <c r="L127" s="350"/>
      <c r="M127" s="350"/>
      <c r="N127" s="350"/>
      <c r="O127" s="350"/>
      <c r="P127" s="352"/>
      <c r="Q127" s="352"/>
      <c r="R127" s="352">
        <v>214</v>
      </c>
      <c r="S127" s="352">
        <v>112</v>
      </c>
      <c r="T127" s="352"/>
      <c r="U127" s="352"/>
      <c r="V127" s="497"/>
      <c r="W127" s="352"/>
      <c r="X127" s="352"/>
      <c r="Y127" s="352">
        <f>IF(NFI_Expiration=1,IF($A127&lt;VLOOKUP(H$5,NFI,5,0),1,0)*Table_NFI[[#This Row],[Hygiene Kit]],Table_NFI[Hygiene Kit])</f>
        <v>0</v>
      </c>
      <c r="Z127" s="352">
        <f>IF(NFI_Expiration=1,IF($A127&lt;VLOOKUP(I$5,NFI,5,0),1,0)*Table_NFI[[#This Row],[NFI Core Kit]],Table_NFI[NFI Core Kit])</f>
        <v>0</v>
      </c>
      <c r="AA127" s="352">
        <f>IF(NFI_Expiration=1,IF($A127&lt;VLOOKUP(J$5,NFI,5,0),1,0)*Table_NFI[[#This Row],[Sanitary Kit]],Table_NFI[Sanitary Kit])</f>
        <v>0</v>
      </c>
      <c r="AB127" s="352">
        <f>IF(NFI_Expiration=1,IF($A127&lt;VLOOKUP(K$5,NFI,5,0),1,0)*Table_NFI[[#This Row],[Mosquito net]],Table_NFI[Mosquito net])</f>
        <v>0</v>
      </c>
      <c r="AC127" s="352">
        <f>IF(NFI_Expiration=1,IF($A127&lt;VLOOKUP(L$5,NFI,5,0),1,0)*Table_NFI[[#This Row],[Tarpaulin]],Table_NFI[[#This Row],[Tarpaulin]])</f>
        <v>0</v>
      </c>
      <c r="AD127" s="352">
        <f>IF(NFI_Expiration=1,IF($A127&lt;VLOOKUP(M$5,NFI,5,0),1,0)*Table_NFI[[#This Row],[Blanket]],Table_NFI[[#This Row],[Blanket]])</f>
        <v>0</v>
      </c>
      <c r="AE127" s="352">
        <f>IF(NFI_Expiration=1,IF($A127&lt;VLOOKUP(N$5,NFI,5,0),1,0)*Table_NFI[[#This Row],[Kitchen Set]],Table_NFI[Kitchen Set])</f>
        <v>0</v>
      </c>
      <c r="AF127" s="352">
        <f>IF(NFI_Expiration=1,IF($A127&lt;VLOOKUP(O$5,NFI,5,0),1,0)*Table_NFI[[#This Row],[Clothes Kit]],Table_NFI[Clothes Kit])</f>
        <v>0</v>
      </c>
      <c r="AG127" s="352">
        <f>IF(NFI_Expiration=1,IF($A127&lt;VLOOKUP(P$5,NFI,5,0),1,0)*Table_NFI[[#This Row],[Plastic Bucket]],Table_NFI[Plastic Bucket])</f>
        <v>0</v>
      </c>
      <c r="AH127" s="352">
        <f>IF(NFI_Expiration=1,IF($A127&lt;VLOOKUP(Q$5,NFI,5,0),1,0)*Table_NFI[[#This Row],[Plastic Mat]],Table_NFI[Plastic Mat])*IF(Table_NFI[[#This Row],[Distribution Date]]&gt;"2014-04-01",1,2.5)</f>
        <v>0</v>
      </c>
      <c r="AI127" s="352">
        <f>IF(NFI_Expiration=1,IF($A127&lt;VLOOKUP(R$5,NFI,5,0),1,0)*Table_NFI[[#This Row],[Winter Clothes Adult]],Table_NFI[Winter Clothes Adult])</f>
        <v>0</v>
      </c>
      <c r="AJ127" s="352">
        <f>IF(NFI_Expiration=1,IF($A127&lt;VLOOKUP(S$5,NFI,5,0),1,0)*Table_NFI[[#This Row],[Winter Clothes Children]],Table_NFI[Winter Clothes Children])</f>
        <v>0</v>
      </c>
      <c r="AK127" s="352">
        <f>IF(NFI_Expiration=1,IF($A127&lt;VLOOKUP(T$5,NFI,5,0),1,0)*Table_NFI[[#This Row],[Winter Items Other]],Table_NFI[Winter Items Other])</f>
        <v>0</v>
      </c>
      <c r="AL127" s="352">
        <f>IF(NFI_Expiration=1,IF($A127&lt;VLOOKUP(M$5,NFI,5,0),1,0)*Table_NFI[[#This Row],[Winter Blanket]],Table_NFI[[#This Row],[Winter Blanket]])</f>
        <v>0</v>
      </c>
      <c r="AM127" s="352">
        <f>IF(Table_NFI[[#This Row],[Winter Clothes Adult]]+Table_NFI[[#This Row],[Winter Clothes Children]]+Table_NFI[[#This Row],[Winter Items Other]]+Table_NFI[[#This Row],[Winter Blanket]]&gt;0,1,0)</f>
        <v>1</v>
      </c>
      <c r="AN127" s="392">
        <f>IF(NFI_Expiration=1,IF($A127&lt;VLOOKUP(V$5,NFI,5,0),1,0)*Table_NFI[[#This Row],[Jerry Can]],Table_NFI[Jerry Can])</f>
        <v>0</v>
      </c>
      <c r="AO127" s="540" t="str">
        <f>IFERROR(VLOOKUP(Table_NFI[[#This Row],[Camp Name]],CL,2,0),"")</f>
        <v>MMR001CMP174</v>
      </c>
      <c r="AP127" s="535">
        <f ca="1">IF(Table_NFI[[#This Row],[Pcode]]="","",IF(OFFSET(CampList[Opening Date],MATCH(Table_NFI[[#This Row],[Pcode]],CampList[CP_Pcode],0)-1,0,1,1)&gt;=NFI_Monitor_Date,1,0))</f>
        <v>0</v>
      </c>
      <c r="AQ127" s="540" t="str">
        <f>IFERROR(VLOOKUP(Table_NFI[[#This Row],[Camp Name]],CL,3,0),"")</f>
        <v>Open</v>
      </c>
      <c r="AR127" s="352" t="str">
        <f ca="1">IF(Table_NFI[[#This Row],[Pcode]]="","",OFFSET(CampList[Priority],MATCH(Table_NFI[[#This Row],[Pcode]],CampList[CP_Pcode],0)-1,0,1,1))</f>
        <v>P4</v>
      </c>
      <c r="AS127" s="351">
        <f>IFERROR(Table_NFI[[#This Row],[Kitchen Set]]/VLOOKUP(Table_NFI[[#This Row],[Camp Name]],CL,4,0),"")</f>
        <v>0</v>
      </c>
      <c r="AT127" s="533"/>
      <c r="AU127" s="536"/>
    </row>
    <row r="128" spans="1:47" s="537" customFormat="1" ht="14.45" customHeight="1" x14ac:dyDescent="0.25">
      <c r="A128" s="355">
        <f t="shared" si="1"/>
        <v>17.533333333333335</v>
      </c>
      <c r="B128" s="532">
        <v>42045</v>
      </c>
      <c r="C128" s="533" t="s">
        <v>453</v>
      </c>
      <c r="D128" s="538" t="s">
        <v>453</v>
      </c>
      <c r="E128" s="538" t="s">
        <v>554</v>
      </c>
      <c r="F128" s="538" t="s">
        <v>151</v>
      </c>
      <c r="G128" s="538" t="s">
        <v>1363</v>
      </c>
      <c r="H128" s="350"/>
      <c r="I128" s="350"/>
      <c r="J128" s="350"/>
      <c r="K128" s="350">
        <v>90</v>
      </c>
      <c r="L128" s="350">
        <v>43</v>
      </c>
      <c r="M128" s="350">
        <v>93</v>
      </c>
      <c r="N128" s="350">
        <v>43</v>
      </c>
      <c r="O128" s="350"/>
      <c r="P128" s="352">
        <v>32</v>
      </c>
      <c r="Q128" s="352">
        <v>164</v>
      </c>
      <c r="R128" s="352"/>
      <c r="S128" s="352"/>
      <c r="T128" s="352"/>
      <c r="U128" s="352"/>
      <c r="V128" s="497">
        <v>43</v>
      </c>
      <c r="W128" s="352"/>
      <c r="X128" s="352"/>
      <c r="Y128" s="352">
        <f>IF(NFI_Expiration=1,IF($A128&lt;VLOOKUP(H$5,NFI,5,0),1,0)*Table_NFI[[#This Row],[Hygiene Kit]],Table_NFI[Hygiene Kit])</f>
        <v>0</v>
      </c>
      <c r="Z128" s="352">
        <f>IF(NFI_Expiration=1,IF($A128&lt;VLOOKUP(I$5,NFI,5,0),1,0)*Table_NFI[[#This Row],[NFI Core Kit]],Table_NFI[NFI Core Kit])</f>
        <v>0</v>
      </c>
      <c r="AA128" s="352">
        <f>IF(NFI_Expiration=1,IF($A128&lt;VLOOKUP(J$5,NFI,5,0),1,0)*Table_NFI[[#This Row],[Sanitary Kit]],Table_NFI[Sanitary Kit])</f>
        <v>0</v>
      </c>
      <c r="AB128" s="352">
        <f>IF(NFI_Expiration=1,IF($A128&lt;VLOOKUP(K$5,NFI,5,0),1,0)*Table_NFI[[#This Row],[Mosquito net]],Table_NFI[Mosquito net])</f>
        <v>0</v>
      </c>
      <c r="AC128" s="352">
        <f>IF(NFI_Expiration=1,IF($A128&lt;VLOOKUP(L$5,NFI,5,0),1,0)*Table_NFI[[#This Row],[Tarpaulin]],Table_NFI[[#This Row],[Tarpaulin]])</f>
        <v>0</v>
      </c>
      <c r="AD128" s="352">
        <f>IF(NFI_Expiration=1,IF($A128&lt;VLOOKUP(M$5,NFI,5,0),1,0)*Table_NFI[[#This Row],[Blanket]],Table_NFI[[#This Row],[Blanket]])</f>
        <v>0</v>
      </c>
      <c r="AE128" s="352">
        <f>IF(NFI_Expiration=1,IF($A128&lt;VLOOKUP(N$5,NFI,5,0),1,0)*Table_NFI[[#This Row],[Kitchen Set]],Table_NFI[Kitchen Set])</f>
        <v>0</v>
      </c>
      <c r="AF128" s="352">
        <f>IF(NFI_Expiration=1,IF($A128&lt;VLOOKUP(O$5,NFI,5,0),1,0)*Table_NFI[[#This Row],[Clothes Kit]],Table_NFI[Clothes Kit])</f>
        <v>0</v>
      </c>
      <c r="AG128" s="352">
        <f>IF(NFI_Expiration=1,IF($A128&lt;VLOOKUP(P$5,NFI,5,0),1,0)*Table_NFI[[#This Row],[Plastic Bucket]],Table_NFI[Plastic Bucket])</f>
        <v>0</v>
      </c>
      <c r="AH128" s="352">
        <f>IF(NFI_Expiration=1,IF($A128&lt;VLOOKUP(Q$5,NFI,5,0),1,0)*Table_NFI[[#This Row],[Plastic Mat]],Table_NFI[Plastic Mat])*IF(Table_NFI[[#This Row],[Distribution Date]]&gt;"2014-04-01",1,2.5)</f>
        <v>0</v>
      </c>
      <c r="AI128" s="352">
        <f>IF(NFI_Expiration=1,IF($A128&lt;VLOOKUP(R$5,NFI,5,0),1,0)*Table_NFI[[#This Row],[Winter Clothes Adult]],Table_NFI[Winter Clothes Adult])</f>
        <v>0</v>
      </c>
      <c r="AJ128" s="352">
        <f>IF(NFI_Expiration=1,IF($A128&lt;VLOOKUP(S$5,NFI,5,0),1,0)*Table_NFI[[#This Row],[Winter Clothes Children]],Table_NFI[Winter Clothes Children])</f>
        <v>0</v>
      </c>
      <c r="AK128" s="352">
        <f>IF(NFI_Expiration=1,IF($A128&lt;VLOOKUP(T$5,NFI,5,0),1,0)*Table_NFI[[#This Row],[Winter Items Other]],Table_NFI[Winter Items Other])</f>
        <v>0</v>
      </c>
      <c r="AL128" s="352">
        <f>IF(NFI_Expiration=1,IF($A128&lt;VLOOKUP(M$5,NFI,5,0),1,0)*Table_NFI[[#This Row],[Winter Blanket]],Table_NFI[[#This Row],[Winter Blanket]])</f>
        <v>0</v>
      </c>
      <c r="AM128" s="352">
        <f>IF(Table_NFI[[#This Row],[Winter Clothes Adult]]+Table_NFI[[#This Row],[Winter Clothes Children]]+Table_NFI[[#This Row],[Winter Items Other]]+Table_NFI[[#This Row],[Winter Blanket]]&gt;0,1,0)</f>
        <v>0</v>
      </c>
      <c r="AN128" s="392">
        <f>IF(NFI_Expiration=1,IF($A128&lt;VLOOKUP(V$5,NFI,5,0),1,0)*Table_NFI[[#This Row],[Jerry Can]],Table_NFI[Jerry Can])</f>
        <v>0</v>
      </c>
      <c r="AO128" s="540" t="str">
        <f>IFERROR(VLOOKUP(Table_NFI[[#This Row],[Camp Name]],CL,2,0),"")</f>
        <v/>
      </c>
      <c r="AP128" s="535" t="str">
        <f ca="1">IF(Table_NFI[[#This Row],[Pcode]]="","",IF(OFFSET(CampList[Opening Date],MATCH(Table_NFI[[#This Row],[Pcode]],CampList[CP_Pcode],0)-1,0,1,1)&gt;=NFI_Monitor_Date,1,0))</f>
        <v/>
      </c>
      <c r="AQ128" s="540" t="str">
        <f>IFERROR(VLOOKUP(Table_NFI[[#This Row],[Camp Name]],CL,3,0),"")</f>
        <v/>
      </c>
      <c r="AR128" s="352" t="str">
        <f ca="1">IF(Table_NFI[[#This Row],[Pcode]]="","",OFFSET(CampList[Priority],MATCH(Table_NFI[[#This Row],[Pcode]],CampList[CP_Pcode],0)-1,0,1,1))</f>
        <v/>
      </c>
      <c r="AS128" s="351" t="str">
        <f>IFERROR(Table_NFI[[#This Row],[Kitchen Set]]/VLOOKUP(Table_NFI[[#This Row],[Camp Name]],CL,4,0),"")</f>
        <v/>
      </c>
      <c r="AT128" s="533" t="s">
        <v>1094</v>
      </c>
      <c r="AU128" s="536"/>
    </row>
    <row r="129" spans="1:47" s="129" customFormat="1" ht="14.45" customHeight="1" x14ac:dyDescent="0.25">
      <c r="A129" s="355">
        <f t="shared" si="1"/>
        <v>17.533333333333335</v>
      </c>
      <c r="B129" s="532">
        <v>42045</v>
      </c>
      <c r="C129" s="538" t="s">
        <v>453</v>
      </c>
      <c r="D129" s="538" t="s">
        <v>461</v>
      </c>
      <c r="E129" s="538" t="s">
        <v>380</v>
      </c>
      <c r="F129" s="538" t="s">
        <v>300</v>
      </c>
      <c r="G129" s="538" t="s">
        <v>1326</v>
      </c>
      <c r="H129" s="350"/>
      <c r="I129" s="350"/>
      <c r="J129" s="350">
        <v>46</v>
      </c>
      <c r="K129" s="350">
        <v>92</v>
      </c>
      <c r="L129" s="350">
        <v>46</v>
      </c>
      <c r="M129" s="350">
        <v>92</v>
      </c>
      <c r="N129" s="350">
        <v>46</v>
      </c>
      <c r="O129" s="350"/>
      <c r="P129" s="352">
        <v>46</v>
      </c>
      <c r="Q129" s="352">
        <v>230</v>
      </c>
      <c r="R129" s="352"/>
      <c r="S129" s="352"/>
      <c r="T129" s="352"/>
      <c r="U129" s="352"/>
      <c r="V129" s="497">
        <v>46</v>
      </c>
      <c r="W129" s="352"/>
      <c r="X129" s="352">
        <v>55</v>
      </c>
      <c r="Y129" s="352">
        <f>IF(NFI_Expiration=1,IF($A129&lt;VLOOKUP(H$5,NFI,5,0),1,0)*Table_NFI[[#This Row],[Hygiene Kit]],Table_NFI[Hygiene Kit])</f>
        <v>0</v>
      </c>
      <c r="Z129" s="352">
        <f>IF(NFI_Expiration=1,IF($A129&lt;VLOOKUP(I$5,NFI,5,0),1,0)*Table_NFI[[#This Row],[NFI Core Kit]],Table_NFI[NFI Core Kit])</f>
        <v>0</v>
      </c>
      <c r="AA129" s="352">
        <f>IF(NFI_Expiration=1,IF($A129&lt;VLOOKUP(J$5,NFI,5,0),1,0)*Table_NFI[[#This Row],[Sanitary Kit]],Table_NFI[Sanitary Kit])</f>
        <v>0</v>
      </c>
      <c r="AB129" s="352">
        <f>IF(NFI_Expiration=1,IF($A129&lt;VLOOKUP(K$5,NFI,5,0),1,0)*Table_NFI[[#This Row],[Mosquito net]],Table_NFI[Mosquito net])</f>
        <v>0</v>
      </c>
      <c r="AC129" s="352">
        <f>IF(NFI_Expiration=1,IF($A129&lt;VLOOKUP(L$5,NFI,5,0),1,0)*Table_NFI[[#This Row],[Tarpaulin]],Table_NFI[[#This Row],[Tarpaulin]])</f>
        <v>0</v>
      </c>
      <c r="AD129" s="352">
        <f>IF(NFI_Expiration=1,IF($A129&lt;VLOOKUP(M$5,NFI,5,0),1,0)*Table_NFI[[#This Row],[Blanket]],Table_NFI[[#This Row],[Blanket]])</f>
        <v>0</v>
      </c>
      <c r="AE129" s="352">
        <f>IF(NFI_Expiration=1,IF($A129&lt;VLOOKUP(N$5,NFI,5,0),1,0)*Table_NFI[[#This Row],[Kitchen Set]],Table_NFI[Kitchen Set])</f>
        <v>0</v>
      </c>
      <c r="AF129" s="352">
        <f>IF(NFI_Expiration=1,IF($A129&lt;VLOOKUP(O$5,NFI,5,0),1,0)*Table_NFI[[#This Row],[Clothes Kit]],Table_NFI[Clothes Kit])</f>
        <v>0</v>
      </c>
      <c r="AG129" s="352">
        <f>IF(NFI_Expiration=1,IF($A129&lt;VLOOKUP(P$5,NFI,5,0),1,0)*Table_NFI[[#This Row],[Plastic Bucket]],Table_NFI[Plastic Bucket])</f>
        <v>0</v>
      </c>
      <c r="AH129" s="352">
        <f>IF(NFI_Expiration=1,IF($A129&lt;VLOOKUP(Q$5,NFI,5,0),1,0)*Table_NFI[[#This Row],[Plastic Mat]],Table_NFI[Plastic Mat])*IF(Table_NFI[[#This Row],[Distribution Date]]&gt;"2014-04-01",1,2.5)</f>
        <v>0</v>
      </c>
      <c r="AI129" s="352">
        <f>IF(NFI_Expiration=1,IF($A129&lt;VLOOKUP(R$5,NFI,5,0),1,0)*Table_NFI[[#This Row],[Winter Clothes Adult]],Table_NFI[Winter Clothes Adult])</f>
        <v>0</v>
      </c>
      <c r="AJ129" s="352">
        <f>IF(NFI_Expiration=1,IF($A129&lt;VLOOKUP(S$5,NFI,5,0),1,0)*Table_NFI[[#This Row],[Winter Clothes Children]],Table_NFI[Winter Clothes Children])</f>
        <v>0</v>
      </c>
      <c r="AK129" s="352">
        <f>IF(NFI_Expiration=1,IF($A129&lt;VLOOKUP(T$5,NFI,5,0),1,0)*Table_NFI[[#This Row],[Winter Items Other]],Table_NFI[Winter Items Other])</f>
        <v>0</v>
      </c>
      <c r="AL129" s="352">
        <f>IF(NFI_Expiration=1,IF($A129&lt;VLOOKUP(M$5,NFI,5,0),1,0)*Table_NFI[[#This Row],[Winter Blanket]],Table_NFI[[#This Row],[Winter Blanket]])</f>
        <v>0</v>
      </c>
      <c r="AM129" s="352">
        <f>IF(Table_NFI[[#This Row],[Winter Clothes Adult]]+Table_NFI[[#This Row],[Winter Clothes Children]]+Table_NFI[[#This Row],[Winter Items Other]]+Table_NFI[[#This Row],[Winter Blanket]]&gt;0,1,0)</f>
        <v>0</v>
      </c>
      <c r="AN129" s="392">
        <f>IF(NFI_Expiration=1,IF($A129&lt;VLOOKUP(V$5,NFI,5,0),1,0)*Table_NFI[[#This Row],[Jerry Can]],Table_NFI[Jerry Can])</f>
        <v>0</v>
      </c>
      <c r="AO129" s="540" t="str">
        <f>IFERROR(VLOOKUP(Table_NFI[[#This Row],[Camp Name]],CL,2,0),"")</f>
        <v/>
      </c>
      <c r="AP129" s="535" t="str">
        <f ca="1">IF(Table_NFI[[#This Row],[Pcode]]="","",IF(OFFSET(CampList[Opening Date],MATCH(Table_NFI[[#This Row],[Pcode]],CampList[CP_Pcode],0)-1,0,1,1)&gt;=NFI_Monitor_Date,1,0))</f>
        <v/>
      </c>
      <c r="AQ129" s="540" t="str">
        <f>IFERROR(VLOOKUP(Table_NFI[[#This Row],[Camp Name]],CL,3,0),"")</f>
        <v/>
      </c>
      <c r="AR129" s="352" t="str">
        <f ca="1">IF(Table_NFI[[#This Row],[Pcode]]="","",OFFSET(CampList[Priority],MATCH(Table_NFI[[#This Row],[Pcode]],CampList[CP_Pcode],0)-1,0,1,1))</f>
        <v/>
      </c>
      <c r="AS129" s="351" t="str">
        <f>IFERROR(Table_NFI[[#This Row],[Kitchen Set]]/VLOOKUP(Table_NFI[[#This Row],[Camp Name]],CL,4,0),"")</f>
        <v/>
      </c>
      <c r="AT129" s="533" t="s">
        <v>1094</v>
      </c>
      <c r="AU129" s="541"/>
    </row>
    <row r="130" spans="1:47" s="537" customFormat="1" ht="14.45" hidden="1" customHeight="1" x14ac:dyDescent="0.25">
      <c r="A130" s="355">
        <f t="shared" si="1"/>
        <v>42.06666666666667</v>
      </c>
      <c r="B130" s="532">
        <v>41309</v>
      </c>
      <c r="C130" s="533" t="s">
        <v>902</v>
      </c>
      <c r="D130" s="533" t="s">
        <v>902</v>
      </c>
      <c r="E130" s="533" t="s">
        <v>380</v>
      </c>
      <c r="F130" s="533" t="s">
        <v>528</v>
      </c>
      <c r="G130" s="348" t="s">
        <v>76</v>
      </c>
      <c r="H130" s="349"/>
      <c r="I130" s="349"/>
      <c r="J130" s="349"/>
      <c r="K130" s="349"/>
      <c r="L130" s="350"/>
      <c r="M130" s="350"/>
      <c r="N130" s="350">
        <v>58</v>
      </c>
      <c r="O130" s="350"/>
      <c r="P130" s="352">
        <v>0</v>
      </c>
      <c r="Q130" s="352">
        <v>0</v>
      </c>
      <c r="R130" s="352"/>
      <c r="S130" s="352"/>
      <c r="T130" s="352"/>
      <c r="U130" s="352"/>
      <c r="V130" s="497"/>
      <c r="W130" s="352"/>
      <c r="X130" s="352"/>
      <c r="Y130" s="352">
        <f>IF(NFI_Expiration=1,IF($A130&lt;VLOOKUP(H$5,NFI,5,0),1,0)*Table_NFI[[#This Row],[Hygiene Kit]],Table_NFI[Hygiene Kit])</f>
        <v>0</v>
      </c>
      <c r="Z130" s="352">
        <f>IF(NFI_Expiration=1,IF($A130&lt;VLOOKUP(I$5,NFI,5,0),1,0)*Table_NFI[[#This Row],[NFI Core Kit]],Table_NFI[NFI Core Kit])</f>
        <v>0</v>
      </c>
      <c r="AA130" s="352">
        <f>IF(NFI_Expiration=1,IF($A130&lt;VLOOKUP(J$5,NFI,5,0),1,0)*Table_NFI[[#This Row],[Sanitary Kit]],Table_NFI[Sanitary Kit])</f>
        <v>0</v>
      </c>
      <c r="AB130" s="352">
        <f>IF(NFI_Expiration=1,IF($A130&lt;VLOOKUP(K$5,NFI,5,0),1,0)*Table_NFI[[#This Row],[Mosquito net]],Table_NFI[Mosquito net])</f>
        <v>0</v>
      </c>
      <c r="AC130" s="352">
        <f>IF(NFI_Expiration=1,IF($A130&lt;VLOOKUP(L$5,NFI,5,0),1,0)*Table_NFI[[#This Row],[Tarpaulin]],Table_NFI[[#This Row],[Tarpaulin]])</f>
        <v>0</v>
      </c>
      <c r="AD130" s="352">
        <f>IF(NFI_Expiration=1,IF($A130&lt;VLOOKUP(M$5,NFI,5,0),1,0)*Table_NFI[[#This Row],[Blanket]],Table_NFI[[#This Row],[Blanket]])</f>
        <v>0</v>
      </c>
      <c r="AE130" s="352">
        <f>IF(NFI_Expiration=1,IF($A130&lt;VLOOKUP(N$5,NFI,5,0),1,0)*Table_NFI[[#This Row],[Kitchen Set]],Table_NFI[Kitchen Set])</f>
        <v>0</v>
      </c>
      <c r="AF130" s="352">
        <f>IF(NFI_Expiration=1,IF($A130&lt;VLOOKUP(O$5,NFI,5,0),1,0)*Table_NFI[[#This Row],[Clothes Kit]],Table_NFI[Clothes Kit])</f>
        <v>0</v>
      </c>
      <c r="AG130" s="352">
        <f>IF(NFI_Expiration=1,IF($A130&lt;VLOOKUP(P$5,NFI,5,0),1,0)*Table_NFI[[#This Row],[Plastic Bucket]],Table_NFI[Plastic Bucket])</f>
        <v>0</v>
      </c>
      <c r="AH130" s="352">
        <f>IF(NFI_Expiration=1,IF($A130&lt;VLOOKUP(Q$5,NFI,5,0),1,0)*Table_NFI[[#This Row],[Plastic Mat]],Table_NFI[Plastic Mat])*IF(Table_NFI[[#This Row],[Distribution Date]]&gt;"2014-04-01",1,2.5)</f>
        <v>0</v>
      </c>
      <c r="AI130" s="352">
        <f>IF(NFI_Expiration=1,IF($A130&lt;VLOOKUP(R$5,NFI,5,0),1,0)*Table_NFI[[#This Row],[Winter Clothes Adult]],Table_NFI[Winter Clothes Adult])</f>
        <v>0</v>
      </c>
      <c r="AJ130" s="352">
        <f>IF(NFI_Expiration=1,IF($A130&lt;VLOOKUP(S$5,NFI,5,0),1,0)*Table_NFI[[#This Row],[Winter Clothes Children]],Table_NFI[Winter Clothes Children])</f>
        <v>0</v>
      </c>
      <c r="AK130" s="352">
        <f>IF(NFI_Expiration=1,IF($A130&lt;VLOOKUP(T$5,NFI,5,0),1,0)*Table_NFI[[#This Row],[Winter Items Other]],Table_NFI[Winter Items Other])</f>
        <v>0</v>
      </c>
      <c r="AL130" s="352">
        <f>IF(NFI_Expiration=1,IF($A130&lt;VLOOKUP(M$5,NFI,5,0),1,0)*Table_NFI[[#This Row],[Winter Blanket]],Table_NFI[[#This Row],[Winter Blanket]])</f>
        <v>0</v>
      </c>
      <c r="AM130" s="352">
        <f>IF(Table_NFI[[#This Row],[Winter Clothes Adult]]+Table_NFI[[#This Row],[Winter Clothes Children]]+Table_NFI[[#This Row],[Winter Items Other]]+Table_NFI[[#This Row],[Winter Blanket]]&gt;0,1,0)</f>
        <v>0</v>
      </c>
      <c r="AN130" s="392">
        <f>IF(NFI_Expiration=1,IF($A130&lt;VLOOKUP(V$5,NFI,5,0),1,0)*Table_NFI[[#This Row],[Jerry Can]],Table_NFI[Jerry Can])</f>
        <v>0</v>
      </c>
      <c r="AO130" s="540" t="str">
        <f>IFERROR(VLOOKUP(Table_NFI[[#This Row],[Camp Name]],CL,2,0),"")</f>
        <v>MMR001CMP174</v>
      </c>
      <c r="AP130" s="535">
        <f ca="1">IF(Table_NFI[[#This Row],[Pcode]]="","",IF(OFFSET(CampList[Opening Date],MATCH(Table_NFI[[#This Row],[Pcode]],CampList[CP_Pcode],0)-1,0,1,1)&gt;=NFI_Monitor_Date,1,0))</f>
        <v>0</v>
      </c>
      <c r="AQ130" s="540" t="str">
        <f>IFERROR(VLOOKUP(Table_NFI[[#This Row],[Camp Name]],CL,3,0),"")</f>
        <v>Open</v>
      </c>
      <c r="AR130" s="352" t="str">
        <f ca="1">IF(Table_NFI[[#This Row],[Pcode]]="","",OFFSET(CampList[Priority],MATCH(Table_NFI[[#This Row],[Pcode]],CampList[CP_Pcode],0)-1,0,1,1))</f>
        <v>P4</v>
      </c>
      <c r="AS130" s="351">
        <f>IFERROR(Table_NFI[[#This Row],[Kitchen Set]]/VLOOKUP(Table_NFI[[#This Row],[Camp Name]],CL,4,0),"")</f>
        <v>0.87878787878787878</v>
      </c>
      <c r="AT130" s="533" t="s">
        <v>1094</v>
      </c>
      <c r="AU130" s="536"/>
    </row>
    <row r="131" spans="1:47" s="537" customFormat="1" ht="14.45" hidden="1" customHeight="1" x14ac:dyDescent="0.25">
      <c r="A131" s="355">
        <f t="shared" si="1"/>
        <v>43.233333333333334</v>
      </c>
      <c r="B131" s="532">
        <v>41274</v>
      </c>
      <c r="C131" s="533" t="s">
        <v>454</v>
      </c>
      <c r="D131" s="534" t="s">
        <v>454</v>
      </c>
      <c r="E131" s="533" t="s">
        <v>380</v>
      </c>
      <c r="F131" s="348" t="s">
        <v>528</v>
      </c>
      <c r="G131" s="348" t="s">
        <v>76</v>
      </c>
      <c r="H131" s="349">
        <v>6</v>
      </c>
      <c r="I131" s="349"/>
      <c r="J131" s="349"/>
      <c r="K131" s="349"/>
      <c r="L131" s="350"/>
      <c r="M131" s="350"/>
      <c r="N131" s="350"/>
      <c r="O131" s="350"/>
      <c r="P131" s="352">
        <v>0</v>
      </c>
      <c r="Q131" s="352">
        <v>0</v>
      </c>
      <c r="R131" s="352"/>
      <c r="S131" s="352"/>
      <c r="T131" s="352"/>
      <c r="U131" s="352"/>
      <c r="V131" s="497"/>
      <c r="W131" s="352"/>
      <c r="X131" s="352"/>
      <c r="Y131" s="352">
        <f>IF(NFI_Expiration=1,IF($A131&lt;VLOOKUP(H$5,NFI,5,0),1,0)*Table_NFI[[#This Row],[Hygiene Kit]],Table_NFI[Hygiene Kit])</f>
        <v>0</v>
      </c>
      <c r="Z131" s="352">
        <f>IF(NFI_Expiration=1,IF($A131&lt;VLOOKUP(I$5,NFI,5,0),1,0)*Table_NFI[[#This Row],[NFI Core Kit]],Table_NFI[NFI Core Kit])</f>
        <v>0</v>
      </c>
      <c r="AA131" s="352">
        <f>IF(NFI_Expiration=1,IF($A131&lt;VLOOKUP(J$5,NFI,5,0),1,0)*Table_NFI[[#This Row],[Sanitary Kit]],Table_NFI[Sanitary Kit])</f>
        <v>0</v>
      </c>
      <c r="AB131" s="352">
        <f>IF(NFI_Expiration=1,IF($A131&lt;VLOOKUP(K$5,NFI,5,0),1,0)*Table_NFI[[#This Row],[Mosquito net]],Table_NFI[Mosquito net])</f>
        <v>0</v>
      </c>
      <c r="AC131" s="352">
        <f>IF(NFI_Expiration=1,IF($A131&lt;VLOOKUP(L$5,NFI,5,0),1,0)*Table_NFI[[#This Row],[Tarpaulin]],Table_NFI[[#This Row],[Tarpaulin]])</f>
        <v>0</v>
      </c>
      <c r="AD131" s="352">
        <f>IF(NFI_Expiration=1,IF($A131&lt;VLOOKUP(M$5,NFI,5,0),1,0)*Table_NFI[[#This Row],[Blanket]],Table_NFI[[#This Row],[Blanket]])</f>
        <v>0</v>
      </c>
      <c r="AE131" s="352">
        <f>IF(NFI_Expiration=1,IF($A131&lt;VLOOKUP(N$5,NFI,5,0),1,0)*Table_NFI[[#This Row],[Kitchen Set]],Table_NFI[Kitchen Set])</f>
        <v>0</v>
      </c>
      <c r="AF131" s="352">
        <f>IF(NFI_Expiration=1,IF($A131&lt;VLOOKUP(O$5,NFI,5,0),1,0)*Table_NFI[[#This Row],[Clothes Kit]],Table_NFI[Clothes Kit])</f>
        <v>0</v>
      </c>
      <c r="AG131" s="352">
        <f>IF(NFI_Expiration=1,IF($A131&lt;VLOOKUP(P$5,NFI,5,0),1,0)*Table_NFI[[#This Row],[Plastic Bucket]],Table_NFI[Plastic Bucket])</f>
        <v>0</v>
      </c>
      <c r="AH131" s="352">
        <f>IF(NFI_Expiration=1,IF($A131&lt;VLOOKUP(Q$5,NFI,5,0),1,0)*Table_NFI[[#This Row],[Plastic Mat]],Table_NFI[Plastic Mat])*IF(Table_NFI[[#This Row],[Distribution Date]]&gt;"2014-04-01",1,2.5)</f>
        <v>0</v>
      </c>
      <c r="AI131" s="352">
        <f>IF(NFI_Expiration=1,IF($A131&lt;VLOOKUP(R$5,NFI,5,0),1,0)*Table_NFI[[#This Row],[Winter Clothes Adult]],Table_NFI[Winter Clothes Adult])</f>
        <v>0</v>
      </c>
      <c r="AJ131" s="352">
        <f>IF(NFI_Expiration=1,IF($A131&lt;VLOOKUP(S$5,NFI,5,0),1,0)*Table_NFI[[#This Row],[Winter Clothes Children]],Table_NFI[Winter Clothes Children])</f>
        <v>0</v>
      </c>
      <c r="AK131" s="352">
        <f>IF(NFI_Expiration=1,IF($A131&lt;VLOOKUP(T$5,NFI,5,0),1,0)*Table_NFI[[#This Row],[Winter Items Other]],Table_NFI[Winter Items Other])</f>
        <v>0</v>
      </c>
      <c r="AL131" s="352">
        <f>IF(NFI_Expiration=1,IF($A131&lt;VLOOKUP(M$5,NFI,5,0),1,0)*Table_NFI[[#This Row],[Winter Blanket]],Table_NFI[[#This Row],[Winter Blanket]])</f>
        <v>0</v>
      </c>
      <c r="AM131" s="352">
        <f>IF(Table_NFI[[#This Row],[Winter Clothes Adult]]+Table_NFI[[#This Row],[Winter Clothes Children]]+Table_NFI[[#This Row],[Winter Items Other]]+Table_NFI[[#This Row],[Winter Blanket]]&gt;0,1,0)</f>
        <v>0</v>
      </c>
      <c r="AN131" s="392">
        <f>IF(NFI_Expiration=1,IF($A131&lt;VLOOKUP(V$5,NFI,5,0),1,0)*Table_NFI[[#This Row],[Jerry Can]],Table_NFI[Jerry Can])</f>
        <v>0</v>
      </c>
      <c r="AO131" s="540" t="str">
        <f>IFERROR(VLOOKUP(Table_NFI[[#This Row],[Camp Name]],CL,2,0),"")</f>
        <v>MMR001CMP174</v>
      </c>
      <c r="AP131" s="535">
        <f ca="1">IF(Table_NFI[[#This Row],[Pcode]]="","",IF(OFFSET(CampList[Opening Date],MATCH(Table_NFI[[#This Row],[Pcode]],CampList[CP_Pcode],0)-1,0,1,1)&gt;=NFI_Monitor_Date,1,0))</f>
        <v>0</v>
      </c>
      <c r="AQ131" s="540" t="str">
        <f>IFERROR(VLOOKUP(Table_NFI[[#This Row],[Camp Name]],CL,3,0),"")</f>
        <v>Open</v>
      </c>
      <c r="AR131" s="352" t="str">
        <f ca="1">IF(Table_NFI[[#This Row],[Pcode]]="","",OFFSET(CampList[Priority],MATCH(Table_NFI[[#This Row],[Pcode]],CampList[CP_Pcode],0)-1,0,1,1))</f>
        <v>P4</v>
      </c>
      <c r="AS131" s="351">
        <f>IFERROR(Table_NFI[[#This Row],[Kitchen Set]]/VLOOKUP(Table_NFI[[#This Row],[Camp Name]],CL,4,0),"")</f>
        <v>0</v>
      </c>
      <c r="AT131" s="533" t="s">
        <v>1094</v>
      </c>
      <c r="AU131" s="536"/>
    </row>
    <row r="132" spans="1:47" s="537" customFormat="1" ht="14.45" hidden="1" customHeight="1" x14ac:dyDescent="0.25">
      <c r="A132" s="355">
        <f t="shared" si="1"/>
        <v>25.333333333333332</v>
      </c>
      <c r="B132" s="532">
        <v>41811</v>
      </c>
      <c r="C132" s="533" t="s">
        <v>1106</v>
      </c>
      <c r="D132" s="533" t="s">
        <v>902</v>
      </c>
      <c r="E132" s="533" t="s">
        <v>380</v>
      </c>
      <c r="F132" s="533" t="s">
        <v>237</v>
      </c>
      <c r="G132" s="533" t="s">
        <v>243</v>
      </c>
      <c r="H132" s="349"/>
      <c r="I132" s="349"/>
      <c r="J132" s="349"/>
      <c r="K132" s="349"/>
      <c r="L132" s="350"/>
      <c r="M132" s="350"/>
      <c r="N132" s="350"/>
      <c r="O132" s="350"/>
      <c r="P132" s="352"/>
      <c r="Q132" s="352"/>
      <c r="R132" s="352"/>
      <c r="S132" s="352"/>
      <c r="T132" s="352"/>
      <c r="U132" s="352">
        <v>12</v>
      </c>
      <c r="V132" s="497"/>
      <c r="W132" s="352"/>
      <c r="X132" s="352"/>
      <c r="Y132" s="352">
        <f>IF(NFI_Expiration=1,IF($A132&lt;VLOOKUP(H$5,NFI,5,0),1,0)*Table_NFI[[#This Row],[Hygiene Kit]],Table_NFI[Hygiene Kit])</f>
        <v>0</v>
      </c>
      <c r="Z132" s="352">
        <f>IF(NFI_Expiration=1,IF($A132&lt;VLOOKUP(I$5,NFI,5,0),1,0)*Table_NFI[[#This Row],[NFI Core Kit]],Table_NFI[NFI Core Kit])</f>
        <v>0</v>
      </c>
      <c r="AA132" s="352">
        <f>IF(NFI_Expiration=1,IF($A132&lt;VLOOKUP(J$5,NFI,5,0),1,0)*Table_NFI[[#This Row],[Sanitary Kit]],Table_NFI[Sanitary Kit])</f>
        <v>0</v>
      </c>
      <c r="AB132" s="352">
        <f>IF(NFI_Expiration=1,IF($A132&lt;VLOOKUP(K$5,NFI,5,0),1,0)*Table_NFI[[#This Row],[Mosquito net]],Table_NFI[Mosquito net])</f>
        <v>0</v>
      </c>
      <c r="AC132" s="352">
        <f>IF(NFI_Expiration=1,IF($A132&lt;VLOOKUP(L$5,NFI,5,0),1,0)*Table_NFI[[#This Row],[Tarpaulin]],Table_NFI[[#This Row],[Tarpaulin]])</f>
        <v>0</v>
      </c>
      <c r="AD132" s="352">
        <f>IF(NFI_Expiration=1,IF($A132&lt;VLOOKUP(M$5,NFI,5,0),1,0)*Table_NFI[[#This Row],[Blanket]],Table_NFI[[#This Row],[Blanket]])</f>
        <v>0</v>
      </c>
      <c r="AE132" s="352">
        <f>IF(NFI_Expiration=1,IF($A132&lt;VLOOKUP(N$5,NFI,5,0),1,0)*Table_NFI[[#This Row],[Kitchen Set]],Table_NFI[Kitchen Set])</f>
        <v>0</v>
      </c>
      <c r="AF132" s="352">
        <f>IF(NFI_Expiration=1,IF($A132&lt;VLOOKUP(O$5,NFI,5,0),1,0)*Table_NFI[[#This Row],[Clothes Kit]],Table_NFI[Clothes Kit])</f>
        <v>0</v>
      </c>
      <c r="AG132" s="352">
        <f>IF(NFI_Expiration=1,IF($A132&lt;VLOOKUP(P$5,NFI,5,0),1,0)*Table_NFI[[#This Row],[Plastic Bucket]],Table_NFI[Plastic Bucket])</f>
        <v>0</v>
      </c>
      <c r="AH132" s="352">
        <f>IF(NFI_Expiration=1,IF($A132&lt;VLOOKUP(Q$5,NFI,5,0),1,0)*Table_NFI[[#This Row],[Plastic Mat]],Table_NFI[Plastic Mat])*IF(Table_NFI[[#This Row],[Distribution Date]]&gt;"2014-04-01",1,2.5)</f>
        <v>0</v>
      </c>
      <c r="AI132" s="352">
        <f>IF(NFI_Expiration=1,IF($A132&lt;VLOOKUP(R$5,NFI,5,0),1,0)*Table_NFI[[#This Row],[Winter Clothes Adult]],Table_NFI[Winter Clothes Adult])</f>
        <v>0</v>
      </c>
      <c r="AJ132" s="352">
        <f>IF(NFI_Expiration=1,IF($A132&lt;VLOOKUP(S$5,NFI,5,0),1,0)*Table_NFI[[#This Row],[Winter Clothes Children]],Table_NFI[Winter Clothes Children])</f>
        <v>0</v>
      </c>
      <c r="AK132" s="352">
        <f>IF(NFI_Expiration=1,IF($A132&lt;VLOOKUP(T$5,NFI,5,0),1,0)*Table_NFI[[#This Row],[Winter Items Other]],Table_NFI[Winter Items Other])</f>
        <v>0</v>
      </c>
      <c r="AL132" s="352">
        <f>IF(NFI_Expiration=1,IF($A132&lt;VLOOKUP(M$5,NFI,5,0),1,0)*Table_NFI[[#This Row],[Winter Blanket]],Table_NFI[[#This Row],[Winter Blanket]])</f>
        <v>0</v>
      </c>
      <c r="AM132" s="352">
        <f>IF(Table_NFI[[#This Row],[Winter Clothes Adult]]+Table_NFI[[#This Row],[Winter Clothes Children]]+Table_NFI[[#This Row],[Winter Items Other]]+Table_NFI[[#This Row],[Winter Blanket]]&gt;0,1,0)</f>
        <v>1</v>
      </c>
      <c r="AN132" s="392">
        <f>IF(NFI_Expiration=1,IF($A132&lt;VLOOKUP(V$5,NFI,5,0),1,0)*Table_NFI[[#This Row],[Jerry Can]],Table_NFI[Jerry Can])</f>
        <v>0</v>
      </c>
      <c r="AO132" s="540" t="str">
        <f>IFERROR(VLOOKUP(Table_NFI[[#This Row],[Camp Name]],CL,2,0),"")</f>
        <v>MMR001CMP012</v>
      </c>
      <c r="AP132" s="535">
        <f ca="1">IF(Table_NFI[[#This Row],[Pcode]]="","",IF(OFFSET(CampList[Opening Date],MATCH(Table_NFI[[#This Row],[Pcode]],CampList[CP_Pcode],0)-1,0,1,1)&gt;=NFI_Monitor_Date,1,0))</f>
        <v>0</v>
      </c>
      <c r="AQ132" s="540" t="str">
        <f>IFERROR(VLOOKUP(Table_NFI[[#This Row],[Camp Name]],CL,3,0),"")</f>
        <v>Open</v>
      </c>
      <c r="AR132" s="352" t="str">
        <f ca="1">IF(Table_NFI[[#This Row],[Pcode]]="","",OFFSET(CampList[Priority],MATCH(Table_NFI[[#This Row],[Pcode]],CampList[CP_Pcode],0)-1,0,1,1))</f>
        <v>P4</v>
      </c>
      <c r="AS132" s="351">
        <f>IFERROR(Table_NFI[[#This Row],[Kitchen Set]]/VLOOKUP(Table_NFI[[#This Row],[Camp Name]],CL,4,0),"")</f>
        <v>0</v>
      </c>
      <c r="AT132" s="533"/>
      <c r="AU132" s="536"/>
    </row>
    <row r="133" spans="1:47" s="537" customFormat="1" ht="14.45" customHeight="1" x14ac:dyDescent="0.25">
      <c r="A133" s="355">
        <f t="shared" si="1"/>
        <v>18.033333333333335</v>
      </c>
      <c r="B133" s="532">
        <v>42030</v>
      </c>
      <c r="C133" s="538" t="s">
        <v>453</v>
      </c>
      <c r="D133" s="538" t="s">
        <v>461</v>
      </c>
      <c r="E133" s="538" t="s">
        <v>380</v>
      </c>
      <c r="F133" s="538" t="s">
        <v>528</v>
      </c>
      <c r="G133" s="538" t="s">
        <v>120</v>
      </c>
      <c r="H133" s="350"/>
      <c r="I133" s="350">
        <v>100</v>
      </c>
      <c r="J133" s="350"/>
      <c r="K133" s="350">
        <v>200</v>
      </c>
      <c r="L133" s="350">
        <v>200</v>
      </c>
      <c r="M133" s="350">
        <v>200</v>
      </c>
      <c r="N133" s="350">
        <v>100</v>
      </c>
      <c r="O133" s="350"/>
      <c r="P133" s="352">
        <v>100</v>
      </c>
      <c r="Q133" s="352">
        <v>500</v>
      </c>
      <c r="R133" s="352"/>
      <c r="S133" s="352"/>
      <c r="T133" s="352"/>
      <c r="U133" s="352"/>
      <c r="V133" s="497">
        <v>100</v>
      </c>
      <c r="W133" s="352"/>
      <c r="X133" s="352"/>
      <c r="Y133" s="352">
        <f>IF(NFI_Expiration=1,IF($A133&lt;VLOOKUP(H$5,NFI,5,0),1,0)*Table_NFI[[#This Row],[Hygiene Kit]],Table_NFI[Hygiene Kit])</f>
        <v>0</v>
      </c>
      <c r="Z133" s="352">
        <f>IF(NFI_Expiration=1,IF($A133&lt;VLOOKUP(I$5,NFI,5,0),1,0)*Table_NFI[[#This Row],[NFI Core Kit]],Table_NFI[NFI Core Kit])</f>
        <v>0</v>
      </c>
      <c r="AA133" s="352">
        <f>IF(NFI_Expiration=1,IF($A133&lt;VLOOKUP(J$5,NFI,5,0),1,0)*Table_NFI[[#This Row],[Sanitary Kit]],Table_NFI[Sanitary Kit])</f>
        <v>0</v>
      </c>
      <c r="AB133" s="352">
        <f>IF(NFI_Expiration=1,IF($A133&lt;VLOOKUP(K$5,NFI,5,0),1,0)*Table_NFI[[#This Row],[Mosquito net]],Table_NFI[Mosquito net])</f>
        <v>0</v>
      </c>
      <c r="AC133" s="352">
        <f>IF(NFI_Expiration=1,IF($A133&lt;VLOOKUP(L$5,NFI,5,0),1,0)*Table_NFI[[#This Row],[Tarpaulin]],Table_NFI[[#This Row],[Tarpaulin]])</f>
        <v>0</v>
      </c>
      <c r="AD133" s="352">
        <f>IF(NFI_Expiration=1,IF($A133&lt;VLOOKUP(M$5,NFI,5,0),1,0)*Table_NFI[[#This Row],[Blanket]],Table_NFI[[#This Row],[Blanket]])</f>
        <v>0</v>
      </c>
      <c r="AE133" s="352">
        <f>IF(NFI_Expiration=1,IF($A133&lt;VLOOKUP(N$5,NFI,5,0),1,0)*Table_NFI[[#This Row],[Kitchen Set]],Table_NFI[Kitchen Set])</f>
        <v>0</v>
      </c>
      <c r="AF133" s="352">
        <f>IF(NFI_Expiration=1,IF($A133&lt;VLOOKUP(O$5,NFI,5,0),1,0)*Table_NFI[[#This Row],[Clothes Kit]],Table_NFI[Clothes Kit])</f>
        <v>0</v>
      </c>
      <c r="AG133" s="352">
        <f>IF(NFI_Expiration=1,IF($A133&lt;VLOOKUP(P$5,NFI,5,0),1,0)*Table_NFI[[#This Row],[Plastic Bucket]],Table_NFI[Plastic Bucket])</f>
        <v>0</v>
      </c>
      <c r="AH133" s="352">
        <f>IF(NFI_Expiration=1,IF($A133&lt;VLOOKUP(Q$5,NFI,5,0),1,0)*Table_NFI[[#This Row],[Plastic Mat]],Table_NFI[Plastic Mat])*IF(Table_NFI[[#This Row],[Distribution Date]]&gt;"2014-04-01",1,2.5)</f>
        <v>0</v>
      </c>
      <c r="AI133" s="352">
        <f>IF(NFI_Expiration=1,IF($A133&lt;VLOOKUP(R$5,NFI,5,0),1,0)*Table_NFI[[#This Row],[Winter Clothes Adult]],Table_NFI[Winter Clothes Adult])</f>
        <v>0</v>
      </c>
      <c r="AJ133" s="352">
        <f>IF(NFI_Expiration=1,IF($A133&lt;VLOOKUP(S$5,NFI,5,0),1,0)*Table_NFI[[#This Row],[Winter Clothes Children]],Table_NFI[Winter Clothes Children])</f>
        <v>0</v>
      </c>
      <c r="AK133" s="352">
        <f>IF(NFI_Expiration=1,IF($A133&lt;VLOOKUP(T$5,NFI,5,0),1,0)*Table_NFI[[#This Row],[Winter Items Other]],Table_NFI[Winter Items Other])</f>
        <v>0</v>
      </c>
      <c r="AL133" s="352">
        <f>IF(NFI_Expiration=1,IF($A133&lt;VLOOKUP(M$5,NFI,5,0),1,0)*Table_NFI[[#This Row],[Winter Blanket]],Table_NFI[[#This Row],[Winter Blanket]])</f>
        <v>0</v>
      </c>
      <c r="AM133" s="352">
        <f>IF(Table_NFI[[#This Row],[Winter Clothes Adult]]+Table_NFI[[#This Row],[Winter Clothes Children]]+Table_NFI[[#This Row],[Winter Items Other]]+Table_NFI[[#This Row],[Winter Blanket]]&gt;0,1,0)</f>
        <v>0</v>
      </c>
      <c r="AN133" s="392">
        <f>IF(NFI_Expiration=1,IF($A133&lt;VLOOKUP(V$5,NFI,5,0),1,0)*Table_NFI[[#This Row],[Jerry Can]],Table_NFI[Jerry Can])</f>
        <v>0</v>
      </c>
      <c r="AO133" s="540" t="str">
        <f>IFERROR(VLOOKUP(Table_NFI[[#This Row],[Camp Name]],CL,2,0),"")</f>
        <v>MMR001CMP168</v>
      </c>
      <c r="AP133" s="535">
        <f ca="1">IF(Table_NFI[[#This Row],[Pcode]]="","",IF(OFFSET(CampList[Opening Date],MATCH(Table_NFI[[#This Row],[Pcode]],CampList[CP_Pcode],0)-1,0,1,1)&gt;=NFI_Monitor_Date,1,0))</f>
        <v>0</v>
      </c>
      <c r="AQ133" s="540" t="str">
        <f>IFERROR(VLOOKUP(Table_NFI[[#This Row],[Camp Name]],CL,3,0),"")</f>
        <v>Open</v>
      </c>
      <c r="AR133" s="352" t="str">
        <f ca="1">IF(Table_NFI[[#This Row],[Pcode]]="","",OFFSET(CampList[Priority],MATCH(Table_NFI[[#This Row],[Pcode]],CampList[CP_Pcode],0)-1,0,1,1))</f>
        <v>P4</v>
      </c>
      <c r="AS133" s="351">
        <f>IFERROR(Table_NFI[[#This Row],[Kitchen Set]]/VLOOKUP(Table_NFI[[#This Row],[Camp Name]],CL,4,0),"")</f>
        <v>1.2987012987012987</v>
      </c>
      <c r="AT133" s="533" t="s">
        <v>1094</v>
      </c>
      <c r="AU133" s="541" t="s">
        <v>1367</v>
      </c>
    </row>
    <row r="134" spans="1:47" s="129" customFormat="1" ht="14.45" customHeight="1" x14ac:dyDescent="0.25">
      <c r="A134" s="355">
        <f t="shared" ref="A134:A197" si="2">IF(ISBLANK(B134),"",(Report_Date-B134)/30)</f>
        <v>18.033333333333335</v>
      </c>
      <c r="B134" s="532">
        <v>42030</v>
      </c>
      <c r="C134" s="533" t="s">
        <v>453</v>
      </c>
      <c r="D134" s="538" t="s">
        <v>507</v>
      </c>
      <c r="E134" s="538" t="s">
        <v>380</v>
      </c>
      <c r="F134" s="538" t="s">
        <v>528</v>
      </c>
      <c r="G134" s="538" t="s">
        <v>1364</v>
      </c>
      <c r="H134" s="350"/>
      <c r="I134" s="350">
        <v>200</v>
      </c>
      <c r="J134" s="350"/>
      <c r="K134" s="350">
        <v>400</v>
      </c>
      <c r="L134" s="350">
        <v>250</v>
      </c>
      <c r="M134" s="350">
        <v>400</v>
      </c>
      <c r="N134" s="350">
        <v>200</v>
      </c>
      <c r="O134" s="350"/>
      <c r="P134" s="352">
        <v>200</v>
      </c>
      <c r="Q134" s="352">
        <v>1200</v>
      </c>
      <c r="R134" s="352"/>
      <c r="S134" s="352"/>
      <c r="T134" s="352"/>
      <c r="U134" s="352"/>
      <c r="V134" s="497">
        <v>200</v>
      </c>
      <c r="W134" s="352"/>
      <c r="X134" s="352">
        <v>30</v>
      </c>
      <c r="Y134" s="352">
        <f>IF(NFI_Expiration=1,IF($A134&lt;VLOOKUP(H$5,NFI,5,0),1,0)*Table_NFI[[#This Row],[Hygiene Kit]],Table_NFI[Hygiene Kit])</f>
        <v>0</v>
      </c>
      <c r="Z134" s="352">
        <f>IF(NFI_Expiration=1,IF($A134&lt;VLOOKUP(I$5,NFI,5,0),1,0)*Table_NFI[[#This Row],[NFI Core Kit]],Table_NFI[NFI Core Kit])</f>
        <v>0</v>
      </c>
      <c r="AA134" s="352">
        <f>IF(NFI_Expiration=1,IF($A134&lt;VLOOKUP(J$5,NFI,5,0),1,0)*Table_NFI[[#This Row],[Sanitary Kit]],Table_NFI[Sanitary Kit])</f>
        <v>0</v>
      </c>
      <c r="AB134" s="352">
        <f>IF(NFI_Expiration=1,IF($A134&lt;VLOOKUP(K$5,NFI,5,0),1,0)*Table_NFI[[#This Row],[Mosquito net]],Table_NFI[Mosquito net])</f>
        <v>0</v>
      </c>
      <c r="AC134" s="352">
        <f>IF(NFI_Expiration=1,IF($A134&lt;VLOOKUP(L$5,NFI,5,0),1,0)*Table_NFI[[#This Row],[Tarpaulin]],Table_NFI[[#This Row],[Tarpaulin]])</f>
        <v>0</v>
      </c>
      <c r="AD134" s="352">
        <f>IF(NFI_Expiration=1,IF($A134&lt;VLOOKUP(M$5,NFI,5,0),1,0)*Table_NFI[[#This Row],[Blanket]],Table_NFI[[#This Row],[Blanket]])</f>
        <v>0</v>
      </c>
      <c r="AE134" s="352">
        <f>IF(NFI_Expiration=1,IF($A134&lt;VLOOKUP(N$5,NFI,5,0),1,0)*Table_NFI[[#This Row],[Kitchen Set]],Table_NFI[Kitchen Set])</f>
        <v>0</v>
      </c>
      <c r="AF134" s="352">
        <f>IF(NFI_Expiration=1,IF($A134&lt;VLOOKUP(O$5,NFI,5,0),1,0)*Table_NFI[[#This Row],[Clothes Kit]],Table_NFI[Clothes Kit])</f>
        <v>0</v>
      </c>
      <c r="AG134" s="352">
        <f>IF(NFI_Expiration=1,IF($A134&lt;VLOOKUP(P$5,NFI,5,0),1,0)*Table_NFI[[#This Row],[Plastic Bucket]],Table_NFI[Plastic Bucket])</f>
        <v>0</v>
      </c>
      <c r="AH134" s="352">
        <f>IF(NFI_Expiration=1,IF($A134&lt;VLOOKUP(Q$5,NFI,5,0),1,0)*Table_NFI[[#This Row],[Plastic Mat]],Table_NFI[Plastic Mat])*IF(Table_NFI[[#This Row],[Distribution Date]]&gt;"2014-04-01",1,2.5)</f>
        <v>0</v>
      </c>
      <c r="AI134" s="352">
        <f>IF(NFI_Expiration=1,IF($A134&lt;VLOOKUP(R$5,NFI,5,0),1,0)*Table_NFI[[#This Row],[Winter Clothes Adult]],Table_NFI[Winter Clothes Adult])</f>
        <v>0</v>
      </c>
      <c r="AJ134" s="352">
        <f>IF(NFI_Expiration=1,IF($A134&lt;VLOOKUP(S$5,NFI,5,0),1,0)*Table_NFI[[#This Row],[Winter Clothes Children]],Table_NFI[Winter Clothes Children])</f>
        <v>0</v>
      </c>
      <c r="AK134" s="352">
        <f>IF(NFI_Expiration=1,IF($A134&lt;VLOOKUP(T$5,NFI,5,0),1,0)*Table_NFI[[#This Row],[Winter Items Other]],Table_NFI[Winter Items Other])</f>
        <v>0</v>
      </c>
      <c r="AL134" s="352">
        <f>IF(NFI_Expiration=1,IF($A134&lt;VLOOKUP(M$5,NFI,5,0),1,0)*Table_NFI[[#This Row],[Winter Blanket]],Table_NFI[[#This Row],[Winter Blanket]])</f>
        <v>0</v>
      </c>
      <c r="AM134" s="352">
        <f>IF(Table_NFI[[#This Row],[Winter Clothes Adult]]+Table_NFI[[#This Row],[Winter Clothes Children]]+Table_NFI[[#This Row],[Winter Items Other]]+Table_NFI[[#This Row],[Winter Blanket]]&gt;0,1,0)</f>
        <v>0</v>
      </c>
      <c r="AN134" s="392">
        <f>IF(NFI_Expiration=1,IF($A134&lt;VLOOKUP(V$5,NFI,5,0),1,0)*Table_NFI[[#This Row],[Jerry Can]],Table_NFI[Jerry Can])</f>
        <v>0</v>
      </c>
      <c r="AO134" s="540" t="str">
        <f>IFERROR(VLOOKUP(Table_NFI[[#This Row],[Camp Name]],CL,2,0),"")</f>
        <v/>
      </c>
      <c r="AP134" s="535" t="str">
        <f ca="1">IF(Table_NFI[[#This Row],[Pcode]]="","",IF(OFFSET(CampList[Opening Date],MATCH(Table_NFI[[#This Row],[Pcode]],CampList[CP_Pcode],0)-1,0,1,1)&gt;=NFI_Monitor_Date,1,0))</f>
        <v/>
      </c>
      <c r="AQ134" s="540" t="str">
        <f>IFERROR(VLOOKUP(Table_NFI[[#This Row],[Camp Name]],CL,3,0),"")</f>
        <v/>
      </c>
      <c r="AR134" s="352" t="str">
        <f ca="1">IF(Table_NFI[[#This Row],[Pcode]]="","",OFFSET(CampList[Priority],MATCH(Table_NFI[[#This Row],[Pcode]],CampList[CP_Pcode],0)-1,0,1,1))</f>
        <v/>
      </c>
      <c r="AS134" s="351" t="str">
        <f>IFERROR(Table_NFI[[#This Row],[Kitchen Set]]/VLOOKUP(Table_NFI[[#This Row],[Camp Name]],CL,4,0),"")</f>
        <v/>
      </c>
      <c r="AT134" s="533" t="s">
        <v>1094</v>
      </c>
      <c r="AU134" s="536"/>
    </row>
    <row r="135" spans="1:47" s="537" customFormat="1" ht="14.45" hidden="1" customHeight="1" x14ac:dyDescent="0.25">
      <c r="A135" s="355">
        <f t="shared" si="2"/>
        <v>25.333333333333332</v>
      </c>
      <c r="B135" s="532">
        <v>41811</v>
      </c>
      <c r="C135" s="533" t="s">
        <v>1106</v>
      </c>
      <c r="D135" s="533" t="s">
        <v>902</v>
      </c>
      <c r="E135" s="533" t="s">
        <v>380</v>
      </c>
      <c r="F135" s="533" t="s">
        <v>237</v>
      </c>
      <c r="G135" s="533" t="s">
        <v>245</v>
      </c>
      <c r="H135" s="349"/>
      <c r="I135" s="349"/>
      <c r="J135" s="349"/>
      <c r="K135" s="349"/>
      <c r="L135" s="350"/>
      <c r="M135" s="350"/>
      <c r="N135" s="350"/>
      <c r="O135" s="350"/>
      <c r="P135" s="352"/>
      <c r="Q135" s="352"/>
      <c r="R135" s="352"/>
      <c r="S135" s="352"/>
      <c r="T135" s="352"/>
      <c r="U135" s="352">
        <v>12</v>
      </c>
      <c r="V135" s="497"/>
      <c r="W135" s="352"/>
      <c r="X135" s="352"/>
      <c r="Y135" s="352">
        <f>IF(NFI_Expiration=1,IF($A135&lt;VLOOKUP(H$5,NFI,5,0),1,0)*Table_NFI[[#This Row],[Hygiene Kit]],Table_NFI[Hygiene Kit])</f>
        <v>0</v>
      </c>
      <c r="Z135" s="352">
        <f>IF(NFI_Expiration=1,IF($A135&lt;VLOOKUP(I$5,NFI,5,0),1,0)*Table_NFI[[#This Row],[NFI Core Kit]],Table_NFI[NFI Core Kit])</f>
        <v>0</v>
      </c>
      <c r="AA135" s="352">
        <f>IF(NFI_Expiration=1,IF($A135&lt;VLOOKUP(J$5,NFI,5,0),1,0)*Table_NFI[[#This Row],[Sanitary Kit]],Table_NFI[Sanitary Kit])</f>
        <v>0</v>
      </c>
      <c r="AB135" s="352">
        <f>IF(NFI_Expiration=1,IF($A135&lt;VLOOKUP(K$5,NFI,5,0),1,0)*Table_NFI[[#This Row],[Mosquito net]],Table_NFI[Mosquito net])</f>
        <v>0</v>
      </c>
      <c r="AC135" s="352">
        <f>IF(NFI_Expiration=1,IF($A135&lt;VLOOKUP(L$5,NFI,5,0),1,0)*Table_NFI[[#This Row],[Tarpaulin]],Table_NFI[[#This Row],[Tarpaulin]])</f>
        <v>0</v>
      </c>
      <c r="AD135" s="352">
        <f>IF(NFI_Expiration=1,IF($A135&lt;VLOOKUP(M$5,NFI,5,0),1,0)*Table_NFI[[#This Row],[Blanket]],Table_NFI[[#This Row],[Blanket]])</f>
        <v>0</v>
      </c>
      <c r="AE135" s="352">
        <f>IF(NFI_Expiration=1,IF($A135&lt;VLOOKUP(N$5,NFI,5,0),1,0)*Table_NFI[[#This Row],[Kitchen Set]],Table_NFI[Kitchen Set])</f>
        <v>0</v>
      </c>
      <c r="AF135" s="352">
        <f>IF(NFI_Expiration=1,IF($A135&lt;VLOOKUP(O$5,NFI,5,0),1,0)*Table_NFI[[#This Row],[Clothes Kit]],Table_NFI[Clothes Kit])</f>
        <v>0</v>
      </c>
      <c r="AG135" s="352">
        <f>IF(NFI_Expiration=1,IF($A135&lt;VLOOKUP(P$5,NFI,5,0),1,0)*Table_NFI[[#This Row],[Plastic Bucket]],Table_NFI[Plastic Bucket])</f>
        <v>0</v>
      </c>
      <c r="AH135" s="352">
        <f>IF(NFI_Expiration=1,IF($A135&lt;VLOOKUP(Q$5,NFI,5,0),1,0)*Table_NFI[[#This Row],[Plastic Mat]],Table_NFI[Plastic Mat])*IF(Table_NFI[[#This Row],[Distribution Date]]&gt;"2014-04-01",1,2.5)</f>
        <v>0</v>
      </c>
      <c r="AI135" s="352">
        <f>IF(NFI_Expiration=1,IF($A135&lt;VLOOKUP(R$5,NFI,5,0),1,0)*Table_NFI[[#This Row],[Winter Clothes Adult]],Table_NFI[Winter Clothes Adult])</f>
        <v>0</v>
      </c>
      <c r="AJ135" s="352">
        <f>IF(NFI_Expiration=1,IF($A135&lt;VLOOKUP(S$5,NFI,5,0),1,0)*Table_NFI[[#This Row],[Winter Clothes Children]],Table_NFI[Winter Clothes Children])</f>
        <v>0</v>
      </c>
      <c r="AK135" s="352">
        <f>IF(NFI_Expiration=1,IF($A135&lt;VLOOKUP(T$5,NFI,5,0),1,0)*Table_NFI[[#This Row],[Winter Items Other]],Table_NFI[Winter Items Other])</f>
        <v>0</v>
      </c>
      <c r="AL135" s="352">
        <f>IF(NFI_Expiration=1,IF($A135&lt;VLOOKUP(M$5,NFI,5,0),1,0)*Table_NFI[[#This Row],[Winter Blanket]],Table_NFI[[#This Row],[Winter Blanket]])</f>
        <v>0</v>
      </c>
      <c r="AM135" s="352">
        <f>IF(Table_NFI[[#This Row],[Winter Clothes Adult]]+Table_NFI[[#This Row],[Winter Clothes Children]]+Table_NFI[[#This Row],[Winter Items Other]]+Table_NFI[[#This Row],[Winter Blanket]]&gt;0,1,0)</f>
        <v>1</v>
      </c>
      <c r="AN135" s="392">
        <f>IF(NFI_Expiration=1,IF($A135&lt;VLOOKUP(V$5,NFI,5,0),1,0)*Table_NFI[[#This Row],[Jerry Can]],Table_NFI[Jerry Can])</f>
        <v>0</v>
      </c>
      <c r="AO135" s="540" t="str">
        <f>IFERROR(VLOOKUP(Table_NFI[[#This Row],[Camp Name]],CL,2,0),"")</f>
        <v>MMR001CMP010</v>
      </c>
      <c r="AP135" s="535">
        <f ca="1">IF(Table_NFI[[#This Row],[Pcode]]="","",IF(OFFSET(CampList[Opening Date],MATCH(Table_NFI[[#This Row],[Pcode]],CampList[CP_Pcode],0)-1,0,1,1)&gt;=NFI_Monitor_Date,1,0))</f>
        <v>0</v>
      </c>
      <c r="AQ135" s="540" t="str">
        <f>IFERROR(VLOOKUP(Table_NFI[[#This Row],[Camp Name]],CL,3,0),"")</f>
        <v>Open</v>
      </c>
      <c r="AR135" s="352" t="str">
        <f ca="1">IF(Table_NFI[[#This Row],[Pcode]]="","",OFFSET(CampList[Priority],MATCH(Table_NFI[[#This Row],[Pcode]],CampList[CP_Pcode],0)-1,0,1,1))</f>
        <v>P4</v>
      </c>
      <c r="AS135" s="351">
        <f>IFERROR(Table_NFI[[#This Row],[Kitchen Set]]/VLOOKUP(Table_NFI[[#This Row],[Camp Name]],CL,4,0),"")</f>
        <v>0</v>
      </c>
      <c r="AT135" s="533"/>
      <c r="AU135" s="536"/>
    </row>
    <row r="136" spans="1:47" s="537" customFormat="1" ht="14.45" customHeight="1" x14ac:dyDescent="0.25">
      <c r="A136" s="355">
        <f t="shared" si="2"/>
        <v>18.466666666666665</v>
      </c>
      <c r="B136" s="532">
        <v>42017</v>
      </c>
      <c r="C136" s="538" t="s">
        <v>453</v>
      </c>
      <c r="D136" s="538" t="s">
        <v>506</v>
      </c>
      <c r="E136" s="538" t="s">
        <v>380</v>
      </c>
      <c r="F136" s="538" t="s">
        <v>237</v>
      </c>
      <c r="G136" s="538" t="s">
        <v>1247</v>
      </c>
      <c r="H136" s="350"/>
      <c r="I136" s="350"/>
      <c r="J136" s="350"/>
      <c r="K136" s="350"/>
      <c r="L136" s="350">
        <v>2</v>
      </c>
      <c r="M136" s="350"/>
      <c r="N136" s="350"/>
      <c r="O136" s="350"/>
      <c r="P136" s="352"/>
      <c r="Q136" s="352"/>
      <c r="R136" s="352"/>
      <c r="S136" s="352"/>
      <c r="T136" s="352"/>
      <c r="U136" s="352"/>
      <c r="V136" s="497"/>
      <c r="W136" s="352"/>
      <c r="X136" s="352"/>
      <c r="Y136" s="352">
        <f>IF(NFI_Expiration=1,IF($A136&lt;VLOOKUP(H$5,NFI,5,0),1,0)*Table_NFI[[#This Row],[Hygiene Kit]],Table_NFI[Hygiene Kit])</f>
        <v>0</v>
      </c>
      <c r="Z136" s="352">
        <f>IF(NFI_Expiration=1,IF($A136&lt;VLOOKUP(I$5,NFI,5,0),1,0)*Table_NFI[[#This Row],[NFI Core Kit]],Table_NFI[NFI Core Kit])</f>
        <v>0</v>
      </c>
      <c r="AA136" s="352">
        <f>IF(NFI_Expiration=1,IF($A136&lt;VLOOKUP(J$5,NFI,5,0),1,0)*Table_NFI[[#This Row],[Sanitary Kit]],Table_NFI[Sanitary Kit])</f>
        <v>0</v>
      </c>
      <c r="AB136" s="352">
        <f>IF(NFI_Expiration=1,IF($A136&lt;VLOOKUP(K$5,NFI,5,0),1,0)*Table_NFI[[#This Row],[Mosquito net]],Table_NFI[Mosquito net])</f>
        <v>0</v>
      </c>
      <c r="AC136" s="352">
        <f>IF(NFI_Expiration=1,IF($A136&lt;VLOOKUP(L$5,NFI,5,0),1,0)*Table_NFI[[#This Row],[Tarpaulin]],Table_NFI[[#This Row],[Tarpaulin]])</f>
        <v>0</v>
      </c>
      <c r="AD136" s="352">
        <f>IF(NFI_Expiration=1,IF($A136&lt;VLOOKUP(M$5,NFI,5,0),1,0)*Table_NFI[[#This Row],[Blanket]],Table_NFI[[#This Row],[Blanket]])</f>
        <v>0</v>
      </c>
      <c r="AE136" s="352">
        <f>IF(NFI_Expiration=1,IF($A136&lt;VLOOKUP(N$5,NFI,5,0),1,0)*Table_NFI[[#This Row],[Kitchen Set]],Table_NFI[Kitchen Set])</f>
        <v>0</v>
      </c>
      <c r="AF136" s="352">
        <f>IF(NFI_Expiration=1,IF($A136&lt;VLOOKUP(O$5,NFI,5,0),1,0)*Table_NFI[[#This Row],[Clothes Kit]],Table_NFI[Clothes Kit])</f>
        <v>0</v>
      </c>
      <c r="AG136" s="352">
        <f>IF(NFI_Expiration=1,IF($A136&lt;VLOOKUP(P$5,NFI,5,0),1,0)*Table_NFI[[#This Row],[Plastic Bucket]],Table_NFI[Plastic Bucket])</f>
        <v>0</v>
      </c>
      <c r="AH136" s="352">
        <f>IF(NFI_Expiration=1,IF($A136&lt;VLOOKUP(Q$5,NFI,5,0),1,0)*Table_NFI[[#This Row],[Plastic Mat]],Table_NFI[Plastic Mat])*IF(Table_NFI[[#This Row],[Distribution Date]]&gt;"2014-04-01",1,2.5)</f>
        <v>0</v>
      </c>
      <c r="AI136" s="352">
        <f>IF(NFI_Expiration=1,IF($A136&lt;VLOOKUP(R$5,NFI,5,0),1,0)*Table_NFI[[#This Row],[Winter Clothes Adult]],Table_NFI[Winter Clothes Adult])</f>
        <v>0</v>
      </c>
      <c r="AJ136" s="352">
        <f>IF(NFI_Expiration=1,IF($A136&lt;VLOOKUP(S$5,NFI,5,0),1,0)*Table_NFI[[#This Row],[Winter Clothes Children]],Table_NFI[Winter Clothes Children])</f>
        <v>0</v>
      </c>
      <c r="AK136" s="352">
        <f>IF(NFI_Expiration=1,IF($A136&lt;VLOOKUP(T$5,NFI,5,0),1,0)*Table_NFI[[#This Row],[Winter Items Other]],Table_NFI[Winter Items Other])</f>
        <v>0</v>
      </c>
      <c r="AL136" s="352">
        <f>IF(NFI_Expiration=1,IF($A136&lt;VLOOKUP(M$5,NFI,5,0),1,0)*Table_NFI[[#This Row],[Winter Blanket]],Table_NFI[[#This Row],[Winter Blanket]])</f>
        <v>0</v>
      </c>
      <c r="AM136" s="352">
        <f>IF(Table_NFI[[#This Row],[Winter Clothes Adult]]+Table_NFI[[#This Row],[Winter Clothes Children]]+Table_NFI[[#This Row],[Winter Items Other]]+Table_NFI[[#This Row],[Winter Blanket]]&gt;0,1,0)</f>
        <v>0</v>
      </c>
      <c r="AN136" s="392">
        <f>IF(NFI_Expiration=1,IF($A136&lt;VLOOKUP(V$5,NFI,5,0),1,0)*Table_NFI[[#This Row],[Jerry Can]],Table_NFI[Jerry Can])</f>
        <v>0</v>
      </c>
      <c r="AO136" s="540" t="str">
        <f>IFERROR(VLOOKUP(Table_NFI[[#This Row],[Camp Name]],CL,2,0),"")</f>
        <v>MMR001CMP023</v>
      </c>
      <c r="AP136" s="535">
        <f ca="1">IF(Table_NFI[[#This Row],[Pcode]]="","",IF(OFFSET(CampList[Opening Date],MATCH(Table_NFI[[#This Row],[Pcode]],CampList[CP_Pcode],0)-1,0,1,1)&gt;=NFI_Monitor_Date,1,0))</f>
        <v>0</v>
      </c>
      <c r="AQ136" s="540" t="str">
        <f>IFERROR(VLOOKUP(Table_NFI[[#This Row],[Camp Name]],CL,3,0),"")</f>
        <v>Open</v>
      </c>
      <c r="AR136" s="352" t="str">
        <f ca="1">IF(Table_NFI[[#This Row],[Pcode]]="","",OFFSET(CampList[Priority],MATCH(Table_NFI[[#This Row],[Pcode]],CampList[CP_Pcode],0)-1,0,1,1))</f>
        <v>P4</v>
      </c>
      <c r="AS136" s="351">
        <f>IFERROR(Table_NFI[[#This Row],[Kitchen Set]]/VLOOKUP(Table_NFI[[#This Row],[Camp Name]],CL,4,0),"")</f>
        <v>0</v>
      </c>
      <c r="AT136" s="533" t="s">
        <v>1094</v>
      </c>
      <c r="AU136" s="541"/>
    </row>
    <row r="137" spans="1:47" s="537" customFormat="1" ht="14.45" customHeight="1" x14ac:dyDescent="0.25">
      <c r="A137" s="355">
        <f t="shared" si="2"/>
        <v>18.566666666666666</v>
      </c>
      <c r="B137" s="532">
        <v>42014</v>
      </c>
      <c r="C137" s="533" t="s">
        <v>453</v>
      </c>
      <c r="D137" s="538" t="s">
        <v>453</v>
      </c>
      <c r="E137" s="538" t="s">
        <v>380</v>
      </c>
      <c r="F137" s="538" t="s">
        <v>300</v>
      </c>
      <c r="G137" s="538" t="s">
        <v>892</v>
      </c>
      <c r="H137" s="350"/>
      <c r="I137" s="350"/>
      <c r="J137" s="350">
        <v>55</v>
      </c>
      <c r="K137" s="350">
        <v>110</v>
      </c>
      <c r="L137" s="350">
        <v>55</v>
      </c>
      <c r="M137" s="350">
        <v>110</v>
      </c>
      <c r="N137" s="350">
        <v>55</v>
      </c>
      <c r="O137" s="350"/>
      <c r="P137" s="352">
        <v>55</v>
      </c>
      <c r="Q137" s="352">
        <v>275</v>
      </c>
      <c r="R137" s="352"/>
      <c r="S137" s="352"/>
      <c r="T137" s="352"/>
      <c r="U137" s="352"/>
      <c r="V137" s="497">
        <v>55</v>
      </c>
      <c r="W137" s="352"/>
      <c r="X137" s="352"/>
      <c r="Y137" s="352">
        <f>IF(NFI_Expiration=1,IF($A137&lt;VLOOKUP(H$5,NFI,5,0),1,0)*Table_NFI[[#This Row],[Hygiene Kit]],Table_NFI[Hygiene Kit])</f>
        <v>0</v>
      </c>
      <c r="Z137" s="352">
        <f>IF(NFI_Expiration=1,IF($A137&lt;VLOOKUP(I$5,NFI,5,0),1,0)*Table_NFI[[#This Row],[NFI Core Kit]],Table_NFI[NFI Core Kit])</f>
        <v>0</v>
      </c>
      <c r="AA137" s="352">
        <f>IF(NFI_Expiration=1,IF($A137&lt;VLOOKUP(J$5,NFI,5,0),1,0)*Table_NFI[[#This Row],[Sanitary Kit]],Table_NFI[Sanitary Kit])</f>
        <v>0</v>
      </c>
      <c r="AB137" s="352">
        <f>IF(NFI_Expiration=1,IF($A137&lt;VLOOKUP(K$5,NFI,5,0),1,0)*Table_NFI[[#This Row],[Mosquito net]],Table_NFI[Mosquito net])</f>
        <v>0</v>
      </c>
      <c r="AC137" s="352">
        <f>IF(NFI_Expiration=1,IF($A137&lt;VLOOKUP(L$5,NFI,5,0),1,0)*Table_NFI[[#This Row],[Tarpaulin]],Table_NFI[[#This Row],[Tarpaulin]])</f>
        <v>0</v>
      </c>
      <c r="AD137" s="352">
        <f>IF(NFI_Expiration=1,IF($A137&lt;VLOOKUP(M$5,NFI,5,0),1,0)*Table_NFI[[#This Row],[Blanket]],Table_NFI[[#This Row],[Blanket]])</f>
        <v>0</v>
      </c>
      <c r="AE137" s="352">
        <f>IF(NFI_Expiration=1,IF($A137&lt;VLOOKUP(N$5,NFI,5,0),1,0)*Table_NFI[[#This Row],[Kitchen Set]],Table_NFI[Kitchen Set])</f>
        <v>0</v>
      </c>
      <c r="AF137" s="352">
        <f>IF(NFI_Expiration=1,IF($A137&lt;VLOOKUP(O$5,NFI,5,0),1,0)*Table_NFI[[#This Row],[Clothes Kit]],Table_NFI[Clothes Kit])</f>
        <v>0</v>
      </c>
      <c r="AG137" s="352">
        <f>IF(NFI_Expiration=1,IF($A137&lt;VLOOKUP(P$5,NFI,5,0),1,0)*Table_NFI[[#This Row],[Plastic Bucket]],Table_NFI[Plastic Bucket])</f>
        <v>0</v>
      </c>
      <c r="AH137" s="352">
        <f>IF(NFI_Expiration=1,IF($A137&lt;VLOOKUP(Q$5,NFI,5,0),1,0)*Table_NFI[[#This Row],[Plastic Mat]],Table_NFI[Plastic Mat])*IF(Table_NFI[[#This Row],[Distribution Date]]&gt;"2014-04-01",1,2.5)</f>
        <v>0</v>
      </c>
      <c r="AI137" s="352">
        <f>IF(NFI_Expiration=1,IF($A137&lt;VLOOKUP(R$5,NFI,5,0),1,0)*Table_NFI[[#This Row],[Winter Clothes Adult]],Table_NFI[Winter Clothes Adult])</f>
        <v>0</v>
      </c>
      <c r="AJ137" s="352">
        <f>IF(NFI_Expiration=1,IF($A137&lt;VLOOKUP(S$5,NFI,5,0),1,0)*Table_NFI[[#This Row],[Winter Clothes Children]],Table_NFI[Winter Clothes Children])</f>
        <v>0</v>
      </c>
      <c r="AK137" s="352">
        <f>IF(NFI_Expiration=1,IF($A137&lt;VLOOKUP(T$5,NFI,5,0),1,0)*Table_NFI[[#This Row],[Winter Items Other]],Table_NFI[Winter Items Other])</f>
        <v>0</v>
      </c>
      <c r="AL137" s="352">
        <f>IF(NFI_Expiration=1,IF($A137&lt;VLOOKUP(M$5,NFI,5,0),1,0)*Table_NFI[[#This Row],[Winter Blanket]],Table_NFI[[#This Row],[Winter Blanket]])</f>
        <v>0</v>
      </c>
      <c r="AM137" s="352">
        <f>IF(Table_NFI[[#This Row],[Winter Clothes Adult]]+Table_NFI[[#This Row],[Winter Clothes Children]]+Table_NFI[[#This Row],[Winter Items Other]]+Table_NFI[[#This Row],[Winter Blanket]]&gt;0,1,0)</f>
        <v>0</v>
      </c>
      <c r="AN137" s="392">
        <f>IF(NFI_Expiration=1,IF($A137&lt;VLOOKUP(V$5,NFI,5,0),1,0)*Table_NFI[[#This Row],[Jerry Can]],Table_NFI[Jerry Can])</f>
        <v>0</v>
      </c>
      <c r="AO137" s="540" t="str">
        <f>IFERROR(VLOOKUP(Table_NFI[[#This Row],[Camp Name]],CL,2,0),"")</f>
        <v>MMR001CMP220</v>
      </c>
      <c r="AP137" s="535">
        <f ca="1">IF(Table_NFI[[#This Row],[Pcode]]="","",IF(OFFSET(CampList[Opening Date],MATCH(Table_NFI[[#This Row],[Pcode]],CampList[CP_Pcode],0)-1,0,1,1)&gt;=NFI_Monitor_Date,1,0))</f>
        <v>0</v>
      </c>
      <c r="AQ137" s="540" t="str">
        <f>IFERROR(VLOOKUP(Table_NFI[[#This Row],[Camp Name]],CL,3,0),"")</f>
        <v>Closed</v>
      </c>
      <c r="AR137" s="352" t="str">
        <f ca="1">IF(Table_NFI[[#This Row],[Pcode]]="","",OFFSET(CampList[Priority],MATCH(Table_NFI[[#This Row],[Pcode]],CampList[CP_Pcode],0)-1,0,1,1))</f>
        <v>P3</v>
      </c>
      <c r="AS137" s="351" t="str">
        <f>IFERROR(Table_NFI[[#This Row],[Kitchen Set]]/VLOOKUP(Table_NFI[[#This Row],[Camp Name]],CL,4,0),"")</f>
        <v/>
      </c>
      <c r="AT137" s="533" t="s">
        <v>1094</v>
      </c>
      <c r="AU137" s="536"/>
    </row>
    <row r="138" spans="1:47" s="537" customFormat="1" ht="14.45" hidden="1" customHeight="1" x14ac:dyDescent="0.25">
      <c r="A138" s="355">
        <f t="shared" si="2"/>
        <v>25.333333333333332</v>
      </c>
      <c r="B138" s="532">
        <v>41811</v>
      </c>
      <c r="C138" s="533" t="s">
        <v>1106</v>
      </c>
      <c r="D138" s="533" t="s">
        <v>902</v>
      </c>
      <c r="E138" s="533" t="s">
        <v>380</v>
      </c>
      <c r="F138" s="533" t="s">
        <v>237</v>
      </c>
      <c r="G138" s="533" t="s">
        <v>247</v>
      </c>
      <c r="H138" s="349"/>
      <c r="I138" s="349"/>
      <c r="J138" s="349"/>
      <c r="K138" s="349"/>
      <c r="L138" s="350"/>
      <c r="M138" s="350"/>
      <c r="N138" s="350"/>
      <c r="O138" s="350"/>
      <c r="P138" s="352"/>
      <c r="Q138" s="352"/>
      <c r="R138" s="352"/>
      <c r="S138" s="352"/>
      <c r="T138" s="352"/>
      <c r="U138" s="352">
        <v>16</v>
      </c>
      <c r="V138" s="497"/>
      <c r="W138" s="352"/>
      <c r="X138" s="352"/>
      <c r="Y138" s="352">
        <f>IF(NFI_Expiration=1,IF($A138&lt;VLOOKUP(H$5,NFI,5,0),1,0)*Table_NFI[[#This Row],[Hygiene Kit]],Table_NFI[Hygiene Kit])</f>
        <v>0</v>
      </c>
      <c r="Z138" s="352">
        <f>IF(NFI_Expiration=1,IF($A138&lt;VLOOKUP(I$5,NFI,5,0),1,0)*Table_NFI[[#This Row],[NFI Core Kit]],Table_NFI[NFI Core Kit])</f>
        <v>0</v>
      </c>
      <c r="AA138" s="352">
        <f>IF(NFI_Expiration=1,IF($A138&lt;VLOOKUP(J$5,NFI,5,0),1,0)*Table_NFI[[#This Row],[Sanitary Kit]],Table_NFI[Sanitary Kit])</f>
        <v>0</v>
      </c>
      <c r="AB138" s="352">
        <f>IF(NFI_Expiration=1,IF($A138&lt;VLOOKUP(K$5,NFI,5,0),1,0)*Table_NFI[[#This Row],[Mosquito net]],Table_NFI[Mosquito net])</f>
        <v>0</v>
      </c>
      <c r="AC138" s="352">
        <f>IF(NFI_Expiration=1,IF($A138&lt;VLOOKUP(L$5,NFI,5,0),1,0)*Table_NFI[[#This Row],[Tarpaulin]],Table_NFI[[#This Row],[Tarpaulin]])</f>
        <v>0</v>
      </c>
      <c r="AD138" s="352">
        <f>IF(NFI_Expiration=1,IF($A138&lt;VLOOKUP(M$5,NFI,5,0),1,0)*Table_NFI[[#This Row],[Blanket]],Table_NFI[[#This Row],[Blanket]])</f>
        <v>0</v>
      </c>
      <c r="AE138" s="352">
        <f>IF(NFI_Expiration=1,IF($A138&lt;VLOOKUP(N$5,NFI,5,0),1,0)*Table_NFI[[#This Row],[Kitchen Set]],Table_NFI[Kitchen Set])</f>
        <v>0</v>
      </c>
      <c r="AF138" s="352">
        <f>IF(NFI_Expiration=1,IF($A138&lt;VLOOKUP(O$5,NFI,5,0),1,0)*Table_NFI[[#This Row],[Clothes Kit]],Table_NFI[Clothes Kit])</f>
        <v>0</v>
      </c>
      <c r="AG138" s="352">
        <f>IF(NFI_Expiration=1,IF($A138&lt;VLOOKUP(P$5,NFI,5,0),1,0)*Table_NFI[[#This Row],[Plastic Bucket]],Table_NFI[Plastic Bucket])</f>
        <v>0</v>
      </c>
      <c r="AH138" s="352">
        <f>IF(NFI_Expiration=1,IF($A138&lt;VLOOKUP(Q$5,NFI,5,0),1,0)*Table_NFI[[#This Row],[Plastic Mat]],Table_NFI[Plastic Mat])*IF(Table_NFI[[#This Row],[Distribution Date]]&gt;"2014-04-01",1,2.5)</f>
        <v>0</v>
      </c>
      <c r="AI138" s="352">
        <f>IF(NFI_Expiration=1,IF($A138&lt;VLOOKUP(R$5,NFI,5,0),1,0)*Table_NFI[[#This Row],[Winter Clothes Adult]],Table_NFI[Winter Clothes Adult])</f>
        <v>0</v>
      </c>
      <c r="AJ138" s="352">
        <f>IF(NFI_Expiration=1,IF($A138&lt;VLOOKUP(S$5,NFI,5,0),1,0)*Table_NFI[[#This Row],[Winter Clothes Children]],Table_NFI[Winter Clothes Children])</f>
        <v>0</v>
      </c>
      <c r="AK138" s="352">
        <f>IF(NFI_Expiration=1,IF($A138&lt;VLOOKUP(T$5,NFI,5,0),1,0)*Table_NFI[[#This Row],[Winter Items Other]],Table_NFI[Winter Items Other])</f>
        <v>0</v>
      </c>
      <c r="AL138" s="352">
        <f>IF(NFI_Expiration=1,IF($A138&lt;VLOOKUP(M$5,NFI,5,0),1,0)*Table_NFI[[#This Row],[Winter Blanket]],Table_NFI[[#This Row],[Winter Blanket]])</f>
        <v>0</v>
      </c>
      <c r="AM138" s="352">
        <f>IF(Table_NFI[[#This Row],[Winter Clothes Adult]]+Table_NFI[[#This Row],[Winter Clothes Children]]+Table_NFI[[#This Row],[Winter Items Other]]+Table_NFI[[#This Row],[Winter Blanket]]&gt;0,1,0)</f>
        <v>1</v>
      </c>
      <c r="AN138" s="392">
        <f>IF(NFI_Expiration=1,IF($A138&lt;VLOOKUP(V$5,NFI,5,0),1,0)*Table_NFI[[#This Row],[Jerry Can]],Table_NFI[Jerry Can])</f>
        <v>0</v>
      </c>
      <c r="AO138" s="540" t="str">
        <f>IFERROR(VLOOKUP(Table_NFI[[#This Row],[Camp Name]],CL,2,0),"")</f>
        <v>MMR001CMP011</v>
      </c>
      <c r="AP138" s="535">
        <f ca="1">IF(Table_NFI[[#This Row],[Pcode]]="","",IF(OFFSET(CampList[Opening Date],MATCH(Table_NFI[[#This Row],[Pcode]],CampList[CP_Pcode],0)-1,0,1,1)&gt;=NFI_Monitor_Date,1,0))</f>
        <v>0</v>
      </c>
      <c r="AQ138" s="540" t="str">
        <f>IFERROR(VLOOKUP(Table_NFI[[#This Row],[Camp Name]],CL,3,0),"")</f>
        <v>Open</v>
      </c>
      <c r="AR138" s="352" t="str">
        <f ca="1">IF(Table_NFI[[#This Row],[Pcode]]="","",OFFSET(CampList[Priority],MATCH(Table_NFI[[#This Row],[Pcode]],CampList[CP_Pcode],0)-1,0,1,1))</f>
        <v>P4</v>
      </c>
      <c r="AS138" s="351">
        <f>IFERROR(Table_NFI[[#This Row],[Kitchen Set]]/VLOOKUP(Table_NFI[[#This Row],[Camp Name]],CL,4,0),"")</f>
        <v>0</v>
      </c>
      <c r="AT138" s="533"/>
      <c r="AU138" s="536"/>
    </row>
    <row r="139" spans="1:47" s="537" customFormat="1" ht="14.45" customHeight="1" x14ac:dyDescent="0.25">
      <c r="A139" s="355">
        <f t="shared" si="2"/>
        <v>18.866666666666667</v>
      </c>
      <c r="B139" s="532">
        <v>42005</v>
      </c>
      <c r="C139" s="538" t="s">
        <v>453</v>
      </c>
      <c r="D139" s="538" t="s">
        <v>461</v>
      </c>
      <c r="E139" s="538" t="s">
        <v>380</v>
      </c>
      <c r="F139" s="538" t="s">
        <v>310</v>
      </c>
      <c r="G139" s="538" t="s">
        <v>347</v>
      </c>
      <c r="H139" s="350"/>
      <c r="I139" s="350"/>
      <c r="J139" s="350"/>
      <c r="K139" s="350"/>
      <c r="L139" s="350"/>
      <c r="M139" s="350"/>
      <c r="N139" s="350">
        <v>50</v>
      </c>
      <c r="O139" s="350"/>
      <c r="P139" s="352"/>
      <c r="Q139" s="352"/>
      <c r="R139" s="352"/>
      <c r="S139" s="352"/>
      <c r="T139" s="352"/>
      <c r="U139" s="352"/>
      <c r="V139" s="497"/>
      <c r="W139" s="352"/>
      <c r="X139" s="352">
        <v>90</v>
      </c>
      <c r="Y139" s="352">
        <f>IF(NFI_Expiration=1,IF($A139&lt;VLOOKUP(H$5,NFI,5,0),1,0)*Table_NFI[[#This Row],[Hygiene Kit]],Table_NFI[Hygiene Kit])</f>
        <v>0</v>
      </c>
      <c r="Z139" s="352">
        <f>IF(NFI_Expiration=1,IF($A139&lt;VLOOKUP(I$5,NFI,5,0),1,0)*Table_NFI[[#This Row],[NFI Core Kit]],Table_NFI[NFI Core Kit])</f>
        <v>0</v>
      </c>
      <c r="AA139" s="352">
        <f>IF(NFI_Expiration=1,IF($A139&lt;VLOOKUP(J$5,NFI,5,0),1,0)*Table_NFI[[#This Row],[Sanitary Kit]],Table_NFI[Sanitary Kit])</f>
        <v>0</v>
      </c>
      <c r="AB139" s="352">
        <f>IF(NFI_Expiration=1,IF($A139&lt;VLOOKUP(K$5,NFI,5,0),1,0)*Table_NFI[[#This Row],[Mosquito net]],Table_NFI[Mosquito net])</f>
        <v>0</v>
      </c>
      <c r="AC139" s="352">
        <f>IF(NFI_Expiration=1,IF($A139&lt;VLOOKUP(L$5,NFI,5,0),1,0)*Table_NFI[[#This Row],[Tarpaulin]],Table_NFI[[#This Row],[Tarpaulin]])</f>
        <v>0</v>
      </c>
      <c r="AD139" s="352">
        <f>IF(NFI_Expiration=1,IF($A139&lt;VLOOKUP(M$5,NFI,5,0),1,0)*Table_NFI[[#This Row],[Blanket]],Table_NFI[[#This Row],[Blanket]])</f>
        <v>0</v>
      </c>
      <c r="AE139" s="352">
        <f>IF(NFI_Expiration=1,IF($A139&lt;VLOOKUP(N$5,NFI,5,0),1,0)*Table_NFI[[#This Row],[Kitchen Set]],Table_NFI[Kitchen Set])</f>
        <v>0</v>
      </c>
      <c r="AF139" s="352">
        <f>IF(NFI_Expiration=1,IF($A139&lt;VLOOKUP(O$5,NFI,5,0),1,0)*Table_NFI[[#This Row],[Clothes Kit]],Table_NFI[Clothes Kit])</f>
        <v>0</v>
      </c>
      <c r="AG139" s="352">
        <f>IF(NFI_Expiration=1,IF($A139&lt;VLOOKUP(P$5,NFI,5,0),1,0)*Table_NFI[[#This Row],[Plastic Bucket]],Table_NFI[Plastic Bucket])</f>
        <v>0</v>
      </c>
      <c r="AH139" s="352">
        <f>IF(NFI_Expiration=1,IF($A139&lt;VLOOKUP(Q$5,NFI,5,0),1,0)*Table_NFI[[#This Row],[Plastic Mat]],Table_NFI[Plastic Mat])*IF(Table_NFI[[#This Row],[Distribution Date]]&gt;"2014-04-01",1,2.5)</f>
        <v>0</v>
      </c>
      <c r="AI139" s="352">
        <f>IF(NFI_Expiration=1,IF($A139&lt;VLOOKUP(R$5,NFI,5,0),1,0)*Table_NFI[[#This Row],[Winter Clothes Adult]],Table_NFI[Winter Clothes Adult])</f>
        <v>0</v>
      </c>
      <c r="AJ139" s="352">
        <f>IF(NFI_Expiration=1,IF($A139&lt;VLOOKUP(S$5,NFI,5,0),1,0)*Table_NFI[[#This Row],[Winter Clothes Children]],Table_NFI[Winter Clothes Children])</f>
        <v>0</v>
      </c>
      <c r="AK139" s="352">
        <f>IF(NFI_Expiration=1,IF($A139&lt;VLOOKUP(T$5,NFI,5,0),1,0)*Table_NFI[[#This Row],[Winter Items Other]],Table_NFI[Winter Items Other])</f>
        <v>0</v>
      </c>
      <c r="AL139" s="352">
        <f>IF(NFI_Expiration=1,IF($A139&lt;VLOOKUP(M$5,NFI,5,0),1,0)*Table_NFI[[#This Row],[Winter Blanket]],Table_NFI[[#This Row],[Winter Blanket]])</f>
        <v>0</v>
      </c>
      <c r="AM139" s="352">
        <f>IF(Table_NFI[[#This Row],[Winter Clothes Adult]]+Table_NFI[[#This Row],[Winter Clothes Children]]+Table_NFI[[#This Row],[Winter Items Other]]+Table_NFI[[#This Row],[Winter Blanket]]&gt;0,1,0)</f>
        <v>0</v>
      </c>
      <c r="AN139" s="392">
        <f>IF(NFI_Expiration=1,IF($A139&lt;VLOOKUP(V$5,NFI,5,0),1,0)*Table_NFI[[#This Row],[Jerry Can]],Table_NFI[Jerry Can])</f>
        <v>0</v>
      </c>
      <c r="AO139" s="540" t="str">
        <f>IFERROR(VLOOKUP(Table_NFI[[#This Row],[Camp Name]],CL,2,0),"")</f>
        <v>MMR001CMP041</v>
      </c>
      <c r="AP139" s="535">
        <f ca="1">IF(Table_NFI[[#This Row],[Pcode]]="","",IF(OFFSET(CampList[Opening Date],MATCH(Table_NFI[[#This Row],[Pcode]],CampList[CP_Pcode],0)-1,0,1,1)&gt;=NFI_Monitor_Date,1,0))</f>
        <v>0</v>
      </c>
      <c r="AQ139" s="540" t="str">
        <f>IFERROR(VLOOKUP(Table_NFI[[#This Row],[Camp Name]],CL,3,0),"")</f>
        <v>Open</v>
      </c>
      <c r="AR139" s="352" t="str">
        <f ca="1">IF(Table_NFI[[#This Row],[Pcode]]="","",OFFSET(CampList[Priority],MATCH(Table_NFI[[#This Row],[Pcode]],CampList[CP_Pcode],0)-1,0,1,1))</f>
        <v>P1</v>
      </c>
      <c r="AS139" s="351">
        <f>IFERROR(Table_NFI[[#This Row],[Kitchen Set]]/VLOOKUP(Table_NFI[[#This Row],[Camp Name]],CL,4,0),"")</f>
        <v>0.27932960893854747</v>
      </c>
      <c r="AT139" s="533" t="s">
        <v>1094</v>
      </c>
      <c r="AU139" s="541"/>
    </row>
    <row r="140" spans="1:47" s="537" customFormat="1" ht="14.45" customHeight="1" x14ac:dyDescent="0.25">
      <c r="A140" s="355">
        <f t="shared" si="2"/>
        <v>18.933333333333334</v>
      </c>
      <c r="B140" s="532">
        <v>42003</v>
      </c>
      <c r="C140" s="533" t="s">
        <v>453</v>
      </c>
      <c r="D140" s="533" t="s">
        <v>461</v>
      </c>
      <c r="E140" s="533" t="s">
        <v>380</v>
      </c>
      <c r="F140" s="533" t="s">
        <v>310</v>
      </c>
      <c r="G140" s="533" t="s">
        <v>347</v>
      </c>
      <c r="H140" s="349"/>
      <c r="I140" s="349"/>
      <c r="J140" s="349">
        <v>120</v>
      </c>
      <c r="K140" s="349">
        <v>240</v>
      </c>
      <c r="L140" s="350">
        <v>135</v>
      </c>
      <c r="M140" s="350">
        <v>240</v>
      </c>
      <c r="N140" s="350">
        <v>170</v>
      </c>
      <c r="O140" s="350">
        <v>120</v>
      </c>
      <c r="P140" s="352">
        <v>120</v>
      </c>
      <c r="Q140" s="352">
        <v>600</v>
      </c>
      <c r="R140" s="352"/>
      <c r="S140" s="352"/>
      <c r="T140" s="352"/>
      <c r="U140" s="352"/>
      <c r="V140" s="497"/>
      <c r="W140" s="352"/>
      <c r="X140" s="352"/>
      <c r="Y140" s="352">
        <f>IF(NFI_Expiration=1,IF($A140&lt;VLOOKUP(H$5,NFI,5,0),1,0)*Table_NFI[[#This Row],[Hygiene Kit]],Table_NFI[Hygiene Kit])</f>
        <v>0</v>
      </c>
      <c r="Z140" s="352">
        <f>IF(NFI_Expiration=1,IF($A140&lt;VLOOKUP(I$5,NFI,5,0),1,0)*Table_NFI[[#This Row],[NFI Core Kit]],Table_NFI[NFI Core Kit])</f>
        <v>0</v>
      </c>
      <c r="AA140" s="352">
        <f>IF(NFI_Expiration=1,IF($A140&lt;VLOOKUP(J$5,NFI,5,0),1,0)*Table_NFI[[#This Row],[Sanitary Kit]],Table_NFI[Sanitary Kit])</f>
        <v>0</v>
      </c>
      <c r="AB140" s="352">
        <f>IF(NFI_Expiration=1,IF($A140&lt;VLOOKUP(K$5,NFI,5,0),1,0)*Table_NFI[[#This Row],[Mosquito net]],Table_NFI[Mosquito net])</f>
        <v>0</v>
      </c>
      <c r="AC140" s="352">
        <f>IF(NFI_Expiration=1,IF($A140&lt;VLOOKUP(L$5,NFI,5,0),1,0)*Table_NFI[[#This Row],[Tarpaulin]],Table_NFI[[#This Row],[Tarpaulin]])</f>
        <v>0</v>
      </c>
      <c r="AD140" s="352">
        <f>IF(NFI_Expiration=1,IF($A140&lt;VLOOKUP(M$5,NFI,5,0),1,0)*Table_NFI[[#This Row],[Blanket]],Table_NFI[[#This Row],[Blanket]])</f>
        <v>0</v>
      </c>
      <c r="AE140" s="352">
        <f>IF(NFI_Expiration=1,IF($A140&lt;VLOOKUP(N$5,NFI,5,0),1,0)*Table_NFI[[#This Row],[Kitchen Set]],Table_NFI[Kitchen Set])</f>
        <v>0</v>
      </c>
      <c r="AF140" s="352">
        <f>IF(NFI_Expiration=1,IF($A140&lt;VLOOKUP(O$5,NFI,5,0),1,0)*Table_NFI[[#This Row],[Clothes Kit]],Table_NFI[Clothes Kit])</f>
        <v>0</v>
      </c>
      <c r="AG140" s="352">
        <f>IF(NFI_Expiration=1,IF($A140&lt;VLOOKUP(P$5,NFI,5,0),1,0)*Table_NFI[[#This Row],[Plastic Bucket]],Table_NFI[Plastic Bucket])</f>
        <v>0</v>
      </c>
      <c r="AH140" s="352">
        <f>IF(NFI_Expiration=1,IF($A140&lt;VLOOKUP(Q$5,NFI,5,0),1,0)*Table_NFI[[#This Row],[Plastic Mat]],Table_NFI[Plastic Mat])*IF(Table_NFI[[#This Row],[Distribution Date]]&gt;"2014-04-01",1,2.5)</f>
        <v>0</v>
      </c>
      <c r="AI140" s="352">
        <f>IF(NFI_Expiration=1,IF($A140&lt;VLOOKUP(R$5,NFI,5,0),1,0)*Table_NFI[[#This Row],[Winter Clothes Adult]],Table_NFI[Winter Clothes Adult])</f>
        <v>0</v>
      </c>
      <c r="AJ140" s="352">
        <f>IF(NFI_Expiration=1,IF($A140&lt;VLOOKUP(S$5,NFI,5,0),1,0)*Table_NFI[[#This Row],[Winter Clothes Children]],Table_NFI[Winter Clothes Children])</f>
        <v>0</v>
      </c>
      <c r="AK140" s="352">
        <f>IF(NFI_Expiration=1,IF($A140&lt;VLOOKUP(T$5,NFI,5,0),1,0)*Table_NFI[[#This Row],[Winter Items Other]],Table_NFI[Winter Items Other])</f>
        <v>0</v>
      </c>
      <c r="AL140" s="352">
        <f>IF(NFI_Expiration=1,IF($A140&lt;VLOOKUP(M$5,NFI,5,0),1,0)*Table_NFI[[#This Row],[Winter Blanket]],Table_NFI[[#This Row],[Winter Blanket]])</f>
        <v>0</v>
      </c>
      <c r="AM140" s="352">
        <f>IF(Table_NFI[[#This Row],[Winter Clothes Adult]]+Table_NFI[[#This Row],[Winter Clothes Children]]+Table_NFI[[#This Row],[Winter Items Other]]+Table_NFI[[#This Row],[Winter Blanket]]&gt;0,1,0)</f>
        <v>0</v>
      </c>
      <c r="AN140" s="392">
        <f>IF(NFI_Expiration=1,IF($A140&lt;VLOOKUP(V$5,NFI,5,0),1,0)*Table_NFI[[#This Row],[Jerry Can]],Table_NFI[Jerry Can])</f>
        <v>0</v>
      </c>
      <c r="AO140" s="540" t="str">
        <f>IFERROR(VLOOKUP(Table_NFI[[#This Row],[Camp Name]],CL,2,0),"")</f>
        <v>MMR001CMP041</v>
      </c>
      <c r="AP140" s="535">
        <f ca="1">IF(Table_NFI[[#This Row],[Pcode]]="","",IF(OFFSET(CampList[Opening Date],MATCH(Table_NFI[[#This Row],[Pcode]],CampList[CP_Pcode],0)-1,0,1,1)&gt;=NFI_Monitor_Date,1,0))</f>
        <v>0</v>
      </c>
      <c r="AQ140" s="540" t="str">
        <f>IFERROR(VLOOKUP(Table_NFI[[#This Row],[Camp Name]],CL,3,0),"")</f>
        <v>Open</v>
      </c>
      <c r="AR140" s="352" t="str">
        <f ca="1">IF(Table_NFI[[#This Row],[Pcode]]="","",OFFSET(CampList[Priority],MATCH(Table_NFI[[#This Row],[Pcode]],CampList[CP_Pcode],0)-1,0,1,1))</f>
        <v>P1</v>
      </c>
      <c r="AS140" s="351">
        <f>IFERROR(Table_NFI[[#This Row],[Kitchen Set]]/VLOOKUP(Table_NFI[[#This Row],[Camp Name]],CL,4,0),"")</f>
        <v>0.94972067039106145</v>
      </c>
      <c r="AT140" s="533"/>
      <c r="AU140" s="536"/>
    </row>
    <row r="141" spans="1:47" s="129" customFormat="1" ht="14.45" customHeight="1" x14ac:dyDescent="0.25">
      <c r="A141" s="355">
        <f t="shared" si="2"/>
        <v>19.3</v>
      </c>
      <c r="B141" s="532">
        <v>41992</v>
      </c>
      <c r="C141" s="533" t="s">
        <v>453</v>
      </c>
      <c r="D141" s="533" t="s">
        <v>461</v>
      </c>
      <c r="E141" s="533" t="s">
        <v>380</v>
      </c>
      <c r="F141" s="533" t="s">
        <v>310</v>
      </c>
      <c r="G141" s="533" t="s">
        <v>336</v>
      </c>
      <c r="H141" s="349"/>
      <c r="I141" s="349"/>
      <c r="J141" s="349"/>
      <c r="K141" s="349"/>
      <c r="L141" s="350"/>
      <c r="M141" s="350"/>
      <c r="N141" s="350"/>
      <c r="O141" s="350"/>
      <c r="P141" s="352"/>
      <c r="Q141" s="352"/>
      <c r="R141" s="352">
        <v>364</v>
      </c>
      <c r="S141" s="352">
        <v>543</v>
      </c>
      <c r="T141" s="352"/>
      <c r="U141" s="352">
        <v>362</v>
      </c>
      <c r="V141" s="497"/>
      <c r="W141" s="352"/>
      <c r="X141" s="352"/>
      <c r="Y141" s="352">
        <f>IF(NFI_Expiration=1,IF($A141&lt;VLOOKUP(H$5,NFI,5,0),1,0)*Table_NFI[[#This Row],[Hygiene Kit]],Table_NFI[Hygiene Kit])</f>
        <v>0</v>
      </c>
      <c r="Z141" s="352">
        <f>IF(NFI_Expiration=1,IF($A141&lt;VLOOKUP(I$5,NFI,5,0),1,0)*Table_NFI[[#This Row],[NFI Core Kit]],Table_NFI[NFI Core Kit])</f>
        <v>0</v>
      </c>
      <c r="AA141" s="352">
        <f>IF(NFI_Expiration=1,IF($A141&lt;VLOOKUP(J$5,NFI,5,0),1,0)*Table_NFI[[#This Row],[Sanitary Kit]],Table_NFI[Sanitary Kit])</f>
        <v>0</v>
      </c>
      <c r="AB141" s="352">
        <f>IF(NFI_Expiration=1,IF($A141&lt;VLOOKUP(K$5,NFI,5,0),1,0)*Table_NFI[[#This Row],[Mosquito net]],Table_NFI[Mosquito net])</f>
        <v>0</v>
      </c>
      <c r="AC141" s="352">
        <f>IF(NFI_Expiration=1,IF($A141&lt;VLOOKUP(L$5,NFI,5,0),1,0)*Table_NFI[[#This Row],[Tarpaulin]],Table_NFI[[#This Row],[Tarpaulin]])</f>
        <v>0</v>
      </c>
      <c r="AD141" s="352">
        <f>IF(NFI_Expiration=1,IF($A141&lt;VLOOKUP(M$5,NFI,5,0),1,0)*Table_NFI[[#This Row],[Blanket]],Table_NFI[[#This Row],[Blanket]])</f>
        <v>0</v>
      </c>
      <c r="AE141" s="352">
        <f>IF(NFI_Expiration=1,IF($A141&lt;VLOOKUP(N$5,NFI,5,0),1,0)*Table_NFI[[#This Row],[Kitchen Set]],Table_NFI[Kitchen Set])</f>
        <v>0</v>
      </c>
      <c r="AF141" s="352">
        <f>IF(NFI_Expiration=1,IF($A141&lt;VLOOKUP(O$5,NFI,5,0),1,0)*Table_NFI[[#This Row],[Clothes Kit]],Table_NFI[Clothes Kit])</f>
        <v>0</v>
      </c>
      <c r="AG141" s="352">
        <f>IF(NFI_Expiration=1,IF($A141&lt;VLOOKUP(P$5,NFI,5,0),1,0)*Table_NFI[[#This Row],[Plastic Bucket]],Table_NFI[Plastic Bucket])</f>
        <v>0</v>
      </c>
      <c r="AH141" s="352">
        <f>IF(NFI_Expiration=1,IF($A141&lt;VLOOKUP(Q$5,NFI,5,0),1,0)*Table_NFI[[#This Row],[Plastic Mat]],Table_NFI[Plastic Mat])*IF(Table_NFI[[#This Row],[Distribution Date]]&gt;"2014-04-01",1,2.5)</f>
        <v>0</v>
      </c>
      <c r="AI141" s="352">
        <f>IF(NFI_Expiration=1,IF($A141&lt;VLOOKUP(R$5,NFI,5,0),1,0)*Table_NFI[[#This Row],[Winter Clothes Adult]],Table_NFI[Winter Clothes Adult])</f>
        <v>0</v>
      </c>
      <c r="AJ141" s="352">
        <f>IF(NFI_Expiration=1,IF($A141&lt;VLOOKUP(S$5,NFI,5,0),1,0)*Table_NFI[[#This Row],[Winter Clothes Children]],Table_NFI[Winter Clothes Children])</f>
        <v>0</v>
      </c>
      <c r="AK141" s="352">
        <f>IF(NFI_Expiration=1,IF($A141&lt;VLOOKUP(T$5,NFI,5,0),1,0)*Table_NFI[[#This Row],[Winter Items Other]],Table_NFI[Winter Items Other])</f>
        <v>0</v>
      </c>
      <c r="AL141" s="352">
        <f>IF(NFI_Expiration=1,IF($A141&lt;VLOOKUP(M$5,NFI,5,0),1,0)*Table_NFI[[#This Row],[Winter Blanket]],Table_NFI[[#This Row],[Winter Blanket]])</f>
        <v>0</v>
      </c>
      <c r="AM141" s="352">
        <f>IF(Table_NFI[[#This Row],[Winter Clothes Adult]]+Table_NFI[[#This Row],[Winter Clothes Children]]+Table_NFI[[#This Row],[Winter Items Other]]+Table_NFI[[#This Row],[Winter Blanket]]&gt;0,1,0)</f>
        <v>1</v>
      </c>
      <c r="AN141" s="392">
        <f>IF(NFI_Expiration=1,IF($A141&lt;VLOOKUP(V$5,NFI,5,0),1,0)*Table_NFI[[#This Row],[Jerry Can]],Table_NFI[Jerry Can])</f>
        <v>0</v>
      </c>
      <c r="AO141" s="540" t="str">
        <f>IFERROR(VLOOKUP(Table_NFI[[#This Row],[Camp Name]],CL,2,0),"")</f>
        <v>MMR001CMP115</v>
      </c>
      <c r="AP141" s="535">
        <f ca="1">IF(Table_NFI[[#This Row],[Pcode]]="","",IF(OFFSET(CampList[Opening Date],MATCH(Table_NFI[[#This Row],[Pcode]],CampList[CP_Pcode],0)-1,0,1,1)&gt;=NFI_Monitor_Date,1,0))</f>
        <v>0</v>
      </c>
      <c r="AQ141" s="540" t="str">
        <f>IFERROR(VLOOKUP(Table_NFI[[#This Row],[Camp Name]],CL,3,0),"")</f>
        <v>Open</v>
      </c>
      <c r="AR141" s="352" t="str">
        <f ca="1">IF(Table_NFI[[#This Row],[Pcode]]="","",OFFSET(CampList[Priority],MATCH(Table_NFI[[#This Row],[Pcode]],CampList[CP_Pcode],0)-1,0,1,1))</f>
        <v>P1</v>
      </c>
      <c r="AS141" s="351">
        <f>IFERROR(Table_NFI[[#This Row],[Kitchen Set]]/VLOOKUP(Table_NFI[[#This Row],[Camp Name]],CL,4,0),"")</f>
        <v>0</v>
      </c>
      <c r="AT141" s="533"/>
      <c r="AU141" s="536"/>
    </row>
    <row r="142" spans="1:47" s="129" customFormat="1" ht="14.45" customHeight="1" x14ac:dyDescent="0.25">
      <c r="A142" s="355">
        <f t="shared" si="2"/>
        <v>19.3</v>
      </c>
      <c r="B142" s="532">
        <v>41992</v>
      </c>
      <c r="C142" s="533" t="s">
        <v>453</v>
      </c>
      <c r="D142" s="533"/>
      <c r="E142" s="533" t="s">
        <v>380</v>
      </c>
      <c r="F142" s="533" t="s">
        <v>27</v>
      </c>
      <c r="G142" s="533" t="s">
        <v>364</v>
      </c>
      <c r="H142" s="349"/>
      <c r="I142" s="349"/>
      <c r="J142" s="349"/>
      <c r="K142" s="349"/>
      <c r="L142" s="350"/>
      <c r="M142" s="350"/>
      <c r="N142" s="350"/>
      <c r="O142" s="350"/>
      <c r="P142" s="352"/>
      <c r="Q142" s="352"/>
      <c r="R142" s="352">
        <v>320</v>
      </c>
      <c r="S142" s="352">
        <v>465</v>
      </c>
      <c r="T142" s="352"/>
      <c r="U142" s="352">
        <v>310</v>
      </c>
      <c r="V142" s="497"/>
      <c r="W142" s="352"/>
      <c r="X142" s="352"/>
      <c r="Y142" s="352">
        <f>IF(NFI_Expiration=1,IF($A142&lt;VLOOKUP(H$5,NFI,5,0),1,0)*Table_NFI[[#This Row],[Hygiene Kit]],Table_NFI[Hygiene Kit])</f>
        <v>0</v>
      </c>
      <c r="Z142" s="352">
        <f>IF(NFI_Expiration=1,IF($A142&lt;VLOOKUP(I$5,NFI,5,0),1,0)*Table_NFI[[#This Row],[NFI Core Kit]],Table_NFI[NFI Core Kit])</f>
        <v>0</v>
      </c>
      <c r="AA142" s="352">
        <f>IF(NFI_Expiration=1,IF($A142&lt;VLOOKUP(J$5,NFI,5,0),1,0)*Table_NFI[[#This Row],[Sanitary Kit]],Table_NFI[Sanitary Kit])</f>
        <v>0</v>
      </c>
      <c r="AB142" s="352">
        <f>IF(NFI_Expiration=1,IF($A142&lt;VLOOKUP(K$5,NFI,5,0),1,0)*Table_NFI[[#This Row],[Mosquito net]],Table_NFI[Mosquito net])</f>
        <v>0</v>
      </c>
      <c r="AC142" s="352">
        <f>IF(NFI_Expiration=1,IF($A142&lt;VLOOKUP(L$5,NFI,5,0),1,0)*Table_NFI[[#This Row],[Tarpaulin]],Table_NFI[[#This Row],[Tarpaulin]])</f>
        <v>0</v>
      </c>
      <c r="AD142" s="352">
        <f>IF(NFI_Expiration=1,IF($A142&lt;VLOOKUP(M$5,NFI,5,0),1,0)*Table_NFI[[#This Row],[Blanket]],Table_NFI[[#This Row],[Blanket]])</f>
        <v>0</v>
      </c>
      <c r="AE142" s="352">
        <f>IF(NFI_Expiration=1,IF($A142&lt;VLOOKUP(N$5,NFI,5,0),1,0)*Table_NFI[[#This Row],[Kitchen Set]],Table_NFI[Kitchen Set])</f>
        <v>0</v>
      </c>
      <c r="AF142" s="352">
        <f>IF(NFI_Expiration=1,IF($A142&lt;VLOOKUP(O$5,NFI,5,0),1,0)*Table_NFI[[#This Row],[Clothes Kit]],Table_NFI[Clothes Kit])</f>
        <v>0</v>
      </c>
      <c r="AG142" s="352">
        <f>IF(NFI_Expiration=1,IF($A142&lt;VLOOKUP(P$5,NFI,5,0),1,0)*Table_NFI[[#This Row],[Plastic Bucket]],Table_NFI[Plastic Bucket])</f>
        <v>0</v>
      </c>
      <c r="AH142" s="352">
        <f>IF(NFI_Expiration=1,IF($A142&lt;VLOOKUP(Q$5,NFI,5,0),1,0)*Table_NFI[[#This Row],[Plastic Mat]],Table_NFI[Plastic Mat])*IF(Table_NFI[[#This Row],[Distribution Date]]&gt;"2014-04-01",1,2.5)</f>
        <v>0</v>
      </c>
      <c r="AI142" s="352">
        <f>IF(NFI_Expiration=1,IF($A142&lt;VLOOKUP(R$5,NFI,5,0),1,0)*Table_NFI[[#This Row],[Winter Clothes Adult]],Table_NFI[Winter Clothes Adult])</f>
        <v>0</v>
      </c>
      <c r="AJ142" s="352">
        <f>IF(NFI_Expiration=1,IF($A142&lt;VLOOKUP(S$5,NFI,5,0),1,0)*Table_NFI[[#This Row],[Winter Clothes Children]],Table_NFI[Winter Clothes Children])</f>
        <v>0</v>
      </c>
      <c r="AK142" s="352">
        <f>IF(NFI_Expiration=1,IF($A142&lt;VLOOKUP(T$5,NFI,5,0),1,0)*Table_NFI[[#This Row],[Winter Items Other]],Table_NFI[Winter Items Other])</f>
        <v>0</v>
      </c>
      <c r="AL142" s="352">
        <f>IF(NFI_Expiration=1,IF($A142&lt;VLOOKUP(M$5,NFI,5,0),1,0)*Table_NFI[[#This Row],[Winter Blanket]],Table_NFI[[#This Row],[Winter Blanket]])</f>
        <v>0</v>
      </c>
      <c r="AM142" s="352">
        <f>IF(Table_NFI[[#This Row],[Winter Clothes Adult]]+Table_NFI[[#This Row],[Winter Clothes Children]]+Table_NFI[[#This Row],[Winter Items Other]]+Table_NFI[[#This Row],[Winter Blanket]]&gt;0,1,0)</f>
        <v>1</v>
      </c>
      <c r="AN142" s="392">
        <f>IF(NFI_Expiration=1,IF($A142&lt;VLOOKUP(V$5,NFI,5,0),1,0)*Table_NFI[[#This Row],[Jerry Can]],Table_NFI[Jerry Can])</f>
        <v>0</v>
      </c>
      <c r="AO142" s="540" t="str">
        <f>IFERROR(VLOOKUP(Table_NFI[[#This Row],[Camp Name]],CL,2,0),"")</f>
        <v>MMR001CMP043</v>
      </c>
      <c r="AP142" s="535">
        <f ca="1">IF(Table_NFI[[#This Row],[Pcode]]="","",IF(OFFSET(CampList[Opening Date],MATCH(Table_NFI[[#This Row],[Pcode]],CampList[CP_Pcode],0)-1,0,1,1)&gt;=NFI_Monitor_Date,1,0))</f>
        <v>0</v>
      </c>
      <c r="AQ142" s="540" t="str">
        <f>IFERROR(VLOOKUP(Table_NFI[[#This Row],[Camp Name]],CL,3,0),"")</f>
        <v>Open</v>
      </c>
      <c r="AR142" s="352" t="str">
        <f ca="1">IF(Table_NFI[[#This Row],[Pcode]]="","",OFFSET(CampList[Priority],MATCH(Table_NFI[[#This Row],[Pcode]],CampList[CP_Pcode],0)-1,0,1,1))</f>
        <v>P1</v>
      </c>
      <c r="AS142" s="351">
        <f>IFERROR(Table_NFI[[#This Row],[Kitchen Set]]/VLOOKUP(Table_NFI[[#This Row],[Camp Name]],CL,4,0),"")</f>
        <v>0</v>
      </c>
      <c r="AT142" s="533"/>
      <c r="AU142" s="536"/>
    </row>
    <row r="143" spans="1:47" s="129" customFormat="1" ht="14.45" hidden="1" customHeight="1" x14ac:dyDescent="0.25">
      <c r="A143" s="355">
        <f t="shared" si="2"/>
        <v>30.666666666666668</v>
      </c>
      <c r="B143" s="532">
        <v>41651</v>
      </c>
      <c r="C143" s="533" t="s">
        <v>454</v>
      </c>
      <c r="D143" s="533" t="s">
        <v>507</v>
      </c>
      <c r="E143" s="533" t="s">
        <v>380</v>
      </c>
      <c r="F143" s="533" t="s">
        <v>185</v>
      </c>
      <c r="G143" s="533" t="s">
        <v>192</v>
      </c>
      <c r="H143" s="349"/>
      <c r="I143" s="349"/>
      <c r="J143" s="349"/>
      <c r="K143" s="349"/>
      <c r="L143" s="350"/>
      <c r="M143" s="350"/>
      <c r="N143" s="350"/>
      <c r="O143" s="350">
        <v>125</v>
      </c>
      <c r="P143" s="352"/>
      <c r="Q143" s="352"/>
      <c r="R143" s="352"/>
      <c r="S143" s="352"/>
      <c r="T143" s="352"/>
      <c r="U143" s="352"/>
      <c r="V143" s="497"/>
      <c r="W143" s="352"/>
      <c r="X143" s="352"/>
      <c r="Y143" s="352">
        <f>IF(NFI_Expiration=1,IF($A143&lt;VLOOKUP(H$5,NFI,5,0),1,0)*Table_NFI[[#This Row],[Hygiene Kit]],Table_NFI[Hygiene Kit])</f>
        <v>0</v>
      </c>
      <c r="Z143" s="352">
        <f>IF(NFI_Expiration=1,IF($A143&lt;VLOOKUP(I$5,NFI,5,0),1,0)*Table_NFI[[#This Row],[NFI Core Kit]],Table_NFI[NFI Core Kit])</f>
        <v>0</v>
      </c>
      <c r="AA143" s="352">
        <f>IF(NFI_Expiration=1,IF($A143&lt;VLOOKUP(J$5,NFI,5,0),1,0)*Table_NFI[[#This Row],[Sanitary Kit]],Table_NFI[Sanitary Kit])</f>
        <v>0</v>
      </c>
      <c r="AB143" s="352">
        <f>IF(NFI_Expiration=1,IF($A143&lt;VLOOKUP(K$5,NFI,5,0),1,0)*Table_NFI[[#This Row],[Mosquito net]],Table_NFI[Mosquito net])</f>
        <v>0</v>
      </c>
      <c r="AC143" s="352">
        <f>IF(NFI_Expiration=1,IF($A143&lt;VLOOKUP(L$5,NFI,5,0),1,0)*Table_NFI[[#This Row],[Tarpaulin]],Table_NFI[[#This Row],[Tarpaulin]])</f>
        <v>0</v>
      </c>
      <c r="AD143" s="352">
        <f>IF(NFI_Expiration=1,IF($A143&lt;VLOOKUP(M$5,NFI,5,0),1,0)*Table_NFI[[#This Row],[Blanket]],Table_NFI[[#This Row],[Blanket]])</f>
        <v>0</v>
      </c>
      <c r="AE143" s="352">
        <f>IF(NFI_Expiration=1,IF($A143&lt;VLOOKUP(N$5,NFI,5,0),1,0)*Table_NFI[[#This Row],[Kitchen Set]],Table_NFI[Kitchen Set])</f>
        <v>0</v>
      </c>
      <c r="AF143" s="352">
        <f>IF(NFI_Expiration=1,IF($A143&lt;VLOOKUP(O$5,NFI,5,0),1,0)*Table_NFI[[#This Row],[Clothes Kit]],Table_NFI[Clothes Kit])</f>
        <v>0</v>
      </c>
      <c r="AG143" s="352">
        <f>IF(NFI_Expiration=1,IF($A143&lt;VLOOKUP(P$5,NFI,5,0),1,0)*Table_NFI[[#This Row],[Plastic Bucket]],Table_NFI[Plastic Bucket])</f>
        <v>0</v>
      </c>
      <c r="AH143" s="352">
        <f>IF(NFI_Expiration=1,IF($A143&lt;VLOOKUP(Q$5,NFI,5,0),1,0)*Table_NFI[[#This Row],[Plastic Mat]],Table_NFI[Plastic Mat])*IF(Table_NFI[[#This Row],[Distribution Date]]&gt;"2014-04-01",1,2.5)</f>
        <v>0</v>
      </c>
      <c r="AI143" s="352">
        <f>IF(NFI_Expiration=1,IF($A143&lt;VLOOKUP(R$5,NFI,5,0),1,0)*Table_NFI[[#This Row],[Winter Clothes Adult]],Table_NFI[Winter Clothes Adult])</f>
        <v>0</v>
      </c>
      <c r="AJ143" s="352">
        <f>IF(NFI_Expiration=1,IF($A143&lt;VLOOKUP(S$5,NFI,5,0),1,0)*Table_NFI[[#This Row],[Winter Clothes Children]],Table_NFI[Winter Clothes Children])</f>
        <v>0</v>
      </c>
      <c r="AK143" s="352">
        <f>IF(NFI_Expiration=1,IF($A143&lt;VLOOKUP(T$5,NFI,5,0),1,0)*Table_NFI[[#This Row],[Winter Items Other]],Table_NFI[Winter Items Other])</f>
        <v>0</v>
      </c>
      <c r="AL143" s="352">
        <f>IF(NFI_Expiration=1,IF($A143&lt;VLOOKUP(M$5,NFI,5,0),1,0)*Table_NFI[[#This Row],[Winter Blanket]],Table_NFI[[#This Row],[Winter Blanket]])</f>
        <v>0</v>
      </c>
      <c r="AM143" s="352">
        <f>IF(Table_NFI[[#This Row],[Winter Clothes Adult]]+Table_NFI[[#This Row],[Winter Clothes Children]]+Table_NFI[[#This Row],[Winter Items Other]]+Table_NFI[[#This Row],[Winter Blanket]]&gt;0,1,0)</f>
        <v>0</v>
      </c>
      <c r="AN143" s="392">
        <f>IF(NFI_Expiration=1,IF($A143&lt;VLOOKUP(V$5,NFI,5,0),1,0)*Table_NFI[[#This Row],[Jerry Can]],Table_NFI[Jerry Can])</f>
        <v>0</v>
      </c>
      <c r="AO143" s="540" t="str">
        <f>IFERROR(VLOOKUP(Table_NFI[[#This Row],[Camp Name]],CL,2,0),"")</f>
        <v>MMR001CMP123</v>
      </c>
      <c r="AP143" s="535">
        <f ca="1">IF(Table_NFI[[#This Row],[Pcode]]="","",IF(OFFSET(CampList[Opening Date],MATCH(Table_NFI[[#This Row],[Pcode]],CampList[CP_Pcode],0)-1,0,1,1)&gt;=NFI_Monitor_Date,1,0))</f>
        <v>0</v>
      </c>
      <c r="AQ143" s="540" t="str">
        <f>IFERROR(VLOOKUP(Table_NFI[[#This Row],[Camp Name]],CL,3,0),"")</f>
        <v>Open</v>
      </c>
      <c r="AR143" s="352" t="str">
        <f ca="1">IF(Table_NFI[[#This Row],[Pcode]]="","",OFFSET(CampList[Priority],MATCH(Table_NFI[[#This Row],[Pcode]],CampList[CP_Pcode],0)-1,0,1,1))</f>
        <v>P2</v>
      </c>
      <c r="AS143" s="351">
        <f>IFERROR(Table_NFI[[#This Row],[Kitchen Set]]/VLOOKUP(Table_NFI[[#This Row],[Camp Name]],CL,4,0),"")</f>
        <v>0</v>
      </c>
      <c r="AT143" s="533" t="s">
        <v>1094</v>
      </c>
      <c r="AU143" s="536"/>
    </row>
    <row r="144" spans="1:47" s="129" customFormat="1" ht="14.45" hidden="1" customHeight="1" x14ac:dyDescent="0.25">
      <c r="A144" s="355">
        <f t="shared" si="2"/>
        <v>30.666666666666668</v>
      </c>
      <c r="B144" s="532">
        <v>41651</v>
      </c>
      <c r="C144" s="533" t="s">
        <v>454</v>
      </c>
      <c r="D144" s="533" t="s">
        <v>507</v>
      </c>
      <c r="E144" s="533" t="s">
        <v>380</v>
      </c>
      <c r="F144" s="533" t="s">
        <v>185</v>
      </c>
      <c r="G144" s="533" t="s">
        <v>192</v>
      </c>
      <c r="H144" s="349"/>
      <c r="I144" s="349"/>
      <c r="J144" s="349"/>
      <c r="K144" s="349"/>
      <c r="L144" s="350"/>
      <c r="M144" s="350"/>
      <c r="N144" s="350"/>
      <c r="O144" s="350"/>
      <c r="P144" s="352"/>
      <c r="Q144" s="352"/>
      <c r="R144" s="352">
        <v>393</v>
      </c>
      <c r="S144" s="352">
        <v>232</v>
      </c>
      <c r="T144" s="352"/>
      <c r="U144" s="352"/>
      <c r="V144" s="497"/>
      <c r="W144" s="352"/>
      <c r="X144" s="352"/>
      <c r="Y144" s="352">
        <f>IF(NFI_Expiration=1,IF($A144&lt;VLOOKUP(H$5,NFI,5,0),1,0)*Table_NFI[[#This Row],[Hygiene Kit]],Table_NFI[Hygiene Kit])</f>
        <v>0</v>
      </c>
      <c r="Z144" s="352">
        <f>IF(NFI_Expiration=1,IF($A144&lt;VLOOKUP(I$5,NFI,5,0),1,0)*Table_NFI[[#This Row],[NFI Core Kit]],Table_NFI[NFI Core Kit])</f>
        <v>0</v>
      </c>
      <c r="AA144" s="352">
        <f>IF(NFI_Expiration=1,IF($A144&lt;VLOOKUP(J$5,NFI,5,0),1,0)*Table_NFI[[#This Row],[Sanitary Kit]],Table_NFI[Sanitary Kit])</f>
        <v>0</v>
      </c>
      <c r="AB144" s="352">
        <f>IF(NFI_Expiration=1,IF($A144&lt;VLOOKUP(K$5,NFI,5,0),1,0)*Table_NFI[[#This Row],[Mosquito net]],Table_NFI[Mosquito net])</f>
        <v>0</v>
      </c>
      <c r="AC144" s="352">
        <f>IF(NFI_Expiration=1,IF($A144&lt;VLOOKUP(L$5,NFI,5,0),1,0)*Table_NFI[[#This Row],[Tarpaulin]],Table_NFI[[#This Row],[Tarpaulin]])</f>
        <v>0</v>
      </c>
      <c r="AD144" s="352">
        <f>IF(NFI_Expiration=1,IF($A144&lt;VLOOKUP(M$5,NFI,5,0),1,0)*Table_NFI[[#This Row],[Blanket]],Table_NFI[[#This Row],[Blanket]])</f>
        <v>0</v>
      </c>
      <c r="AE144" s="352">
        <f>IF(NFI_Expiration=1,IF($A144&lt;VLOOKUP(N$5,NFI,5,0),1,0)*Table_NFI[[#This Row],[Kitchen Set]],Table_NFI[Kitchen Set])</f>
        <v>0</v>
      </c>
      <c r="AF144" s="352">
        <f>IF(NFI_Expiration=1,IF($A144&lt;VLOOKUP(O$5,NFI,5,0),1,0)*Table_NFI[[#This Row],[Clothes Kit]],Table_NFI[Clothes Kit])</f>
        <v>0</v>
      </c>
      <c r="AG144" s="352">
        <f>IF(NFI_Expiration=1,IF($A144&lt;VLOOKUP(P$5,NFI,5,0),1,0)*Table_NFI[[#This Row],[Plastic Bucket]],Table_NFI[Plastic Bucket])</f>
        <v>0</v>
      </c>
      <c r="AH144" s="352">
        <f>IF(NFI_Expiration=1,IF($A144&lt;VLOOKUP(Q$5,NFI,5,0),1,0)*Table_NFI[[#This Row],[Plastic Mat]],Table_NFI[Plastic Mat])*IF(Table_NFI[[#This Row],[Distribution Date]]&gt;"2014-04-01",1,2.5)</f>
        <v>0</v>
      </c>
      <c r="AI144" s="352">
        <f>IF(NFI_Expiration=1,IF($A144&lt;VLOOKUP(R$5,NFI,5,0),1,0)*Table_NFI[[#This Row],[Winter Clothes Adult]],Table_NFI[Winter Clothes Adult])</f>
        <v>0</v>
      </c>
      <c r="AJ144" s="352">
        <f>IF(NFI_Expiration=1,IF($A144&lt;VLOOKUP(S$5,NFI,5,0),1,0)*Table_NFI[[#This Row],[Winter Clothes Children]],Table_NFI[Winter Clothes Children])</f>
        <v>0</v>
      </c>
      <c r="AK144" s="352">
        <f>IF(NFI_Expiration=1,IF($A144&lt;VLOOKUP(T$5,NFI,5,0),1,0)*Table_NFI[[#This Row],[Winter Items Other]],Table_NFI[Winter Items Other])</f>
        <v>0</v>
      </c>
      <c r="AL144" s="352">
        <f>IF(NFI_Expiration=1,IF($A144&lt;VLOOKUP(M$5,NFI,5,0),1,0)*Table_NFI[[#This Row],[Winter Blanket]],Table_NFI[[#This Row],[Winter Blanket]])</f>
        <v>0</v>
      </c>
      <c r="AM144" s="352">
        <f>IF(Table_NFI[[#This Row],[Winter Clothes Adult]]+Table_NFI[[#This Row],[Winter Clothes Children]]+Table_NFI[[#This Row],[Winter Items Other]]+Table_NFI[[#This Row],[Winter Blanket]]&gt;0,1,0)</f>
        <v>1</v>
      </c>
      <c r="AN144" s="392">
        <f>IF(NFI_Expiration=1,IF($A144&lt;VLOOKUP(V$5,NFI,5,0),1,0)*Table_NFI[[#This Row],[Jerry Can]],Table_NFI[Jerry Can])</f>
        <v>0</v>
      </c>
      <c r="AO144" s="540" t="str">
        <f>IFERROR(VLOOKUP(Table_NFI[[#This Row],[Camp Name]],CL,2,0),"")</f>
        <v>MMR001CMP123</v>
      </c>
      <c r="AP144" s="535">
        <f ca="1">IF(Table_NFI[[#This Row],[Pcode]]="","",IF(OFFSET(CampList[Opening Date],MATCH(Table_NFI[[#This Row],[Pcode]],CampList[CP_Pcode],0)-1,0,1,1)&gt;=NFI_Monitor_Date,1,0))</f>
        <v>0</v>
      </c>
      <c r="AQ144" s="540" t="str">
        <f>IFERROR(VLOOKUP(Table_NFI[[#This Row],[Camp Name]],CL,3,0),"")</f>
        <v>Open</v>
      </c>
      <c r="AR144" s="352" t="str">
        <f ca="1">IF(Table_NFI[[#This Row],[Pcode]]="","",OFFSET(CampList[Priority],MATCH(Table_NFI[[#This Row],[Pcode]],CampList[CP_Pcode],0)-1,0,1,1))</f>
        <v>P2</v>
      </c>
      <c r="AS144" s="351">
        <f>IFERROR(Table_NFI[[#This Row],[Kitchen Set]]/VLOOKUP(Table_NFI[[#This Row],[Camp Name]],CL,4,0),"")</f>
        <v>0</v>
      </c>
      <c r="AT144" s="533" t="s">
        <v>1094</v>
      </c>
      <c r="AU144" s="536"/>
    </row>
    <row r="145" spans="1:47" s="129" customFormat="1" hidden="1" x14ac:dyDescent="0.25">
      <c r="A145" s="355">
        <f t="shared" si="2"/>
        <v>31.933333333333334</v>
      </c>
      <c r="B145" s="532">
        <v>41613</v>
      </c>
      <c r="C145" s="533" t="s">
        <v>907</v>
      </c>
      <c r="D145" s="533" t="s">
        <v>461</v>
      </c>
      <c r="E145" s="533" t="s">
        <v>380</v>
      </c>
      <c r="F145" s="533" t="s">
        <v>185</v>
      </c>
      <c r="G145" s="533" t="s">
        <v>192</v>
      </c>
      <c r="H145" s="349"/>
      <c r="I145" s="349"/>
      <c r="J145" s="349"/>
      <c r="K145" s="349"/>
      <c r="L145" s="350"/>
      <c r="M145" s="350"/>
      <c r="N145" s="350"/>
      <c r="O145" s="350"/>
      <c r="P145" s="352"/>
      <c r="Q145" s="352"/>
      <c r="R145" s="352">
        <v>120</v>
      </c>
      <c r="S145" s="352">
        <v>240</v>
      </c>
      <c r="T145" s="352">
        <v>720</v>
      </c>
      <c r="U145" s="352">
        <v>360</v>
      </c>
      <c r="V145" s="497"/>
      <c r="W145" s="352"/>
      <c r="X145" s="352"/>
      <c r="Y145" s="352">
        <f>IF(NFI_Expiration=1,IF($A145&lt;VLOOKUP(H$5,NFI,5,0),1,0)*Table_NFI[[#This Row],[Hygiene Kit]],Table_NFI[Hygiene Kit])</f>
        <v>0</v>
      </c>
      <c r="Z145" s="352">
        <f>IF(NFI_Expiration=1,IF($A145&lt;VLOOKUP(I$5,NFI,5,0),1,0)*Table_NFI[[#This Row],[NFI Core Kit]],Table_NFI[NFI Core Kit])</f>
        <v>0</v>
      </c>
      <c r="AA145" s="352">
        <f>IF(NFI_Expiration=1,IF($A145&lt;VLOOKUP(J$5,NFI,5,0),1,0)*Table_NFI[[#This Row],[Sanitary Kit]],Table_NFI[Sanitary Kit])</f>
        <v>0</v>
      </c>
      <c r="AB145" s="352">
        <f>IF(NFI_Expiration=1,IF($A145&lt;VLOOKUP(K$5,NFI,5,0),1,0)*Table_NFI[[#This Row],[Mosquito net]],Table_NFI[Mosquito net])</f>
        <v>0</v>
      </c>
      <c r="AC145" s="352">
        <f>IF(NFI_Expiration=1,IF($A145&lt;VLOOKUP(L$5,NFI,5,0),1,0)*Table_NFI[[#This Row],[Tarpaulin]],Table_NFI[[#This Row],[Tarpaulin]])</f>
        <v>0</v>
      </c>
      <c r="AD145" s="352">
        <f>IF(NFI_Expiration=1,IF($A145&lt;VLOOKUP(M$5,NFI,5,0),1,0)*Table_NFI[[#This Row],[Blanket]],Table_NFI[[#This Row],[Blanket]])</f>
        <v>0</v>
      </c>
      <c r="AE145" s="352">
        <f>IF(NFI_Expiration=1,IF($A145&lt;VLOOKUP(N$5,NFI,5,0),1,0)*Table_NFI[[#This Row],[Kitchen Set]],Table_NFI[Kitchen Set])</f>
        <v>0</v>
      </c>
      <c r="AF145" s="352">
        <f>IF(NFI_Expiration=1,IF($A145&lt;VLOOKUP(O$5,NFI,5,0),1,0)*Table_NFI[[#This Row],[Clothes Kit]],Table_NFI[Clothes Kit])</f>
        <v>0</v>
      </c>
      <c r="AG145" s="352">
        <f>IF(NFI_Expiration=1,IF($A145&lt;VLOOKUP(P$5,NFI,5,0),1,0)*Table_NFI[[#This Row],[Plastic Bucket]],Table_NFI[Plastic Bucket])</f>
        <v>0</v>
      </c>
      <c r="AH145" s="352">
        <f>IF(NFI_Expiration=1,IF($A145&lt;VLOOKUP(Q$5,NFI,5,0),1,0)*Table_NFI[[#This Row],[Plastic Mat]],Table_NFI[Plastic Mat])*IF(Table_NFI[[#This Row],[Distribution Date]]&gt;"2014-04-01",1,2.5)</f>
        <v>0</v>
      </c>
      <c r="AI145" s="352">
        <f>IF(NFI_Expiration=1,IF($A145&lt;VLOOKUP(R$5,NFI,5,0),1,0)*Table_NFI[[#This Row],[Winter Clothes Adult]],Table_NFI[Winter Clothes Adult])</f>
        <v>0</v>
      </c>
      <c r="AJ145" s="352">
        <f>IF(NFI_Expiration=1,IF($A145&lt;VLOOKUP(S$5,NFI,5,0),1,0)*Table_NFI[[#This Row],[Winter Clothes Children]],Table_NFI[Winter Clothes Children])</f>
        <v>0</v>
      </c>
      <c r="AK145" s="352">
        <f>IF(NFI_Expiration=1,IF($A145&lt;VLOOKUP(T$5,NFI,5,0),1,0)*Table_NFI[[#This Row],[Winter Items Other]],Table_NFI[Winter Items Other])</f>
        <v>0</v>
      </c>
      <c r="AL145" s="352">
        <f>IF(NFI_Expiration=1,IF($A145&lt;VLOOKUP(M$5,NFI,5,0),1,0)*Table_NFI[[#This Row],[Winter Blanket]],Table_NFI[[#This Row],[Winter Blanket]])</f>
        <v>0</v>
      </c>
      <c r="AM145" s="352">
        <f>IF(Table_NFI[[#This Row],[Winter Clothes Adult]]+Table_NFI[[#This Row],[Winter Clothes Children]]+Table_NFI[[#This Row],[Winter Items Other]]+Table_NFI[[#This Row],[Winter Blanket]]&gt;0,1,0)</f>
        <v>1</v>
      </c>
      <c r="AN145" s="392">
        <f>IF(NFI_Expiration=1,IF($A145&lt;VLOOKUP(V$5,NFI,5,0),1,0)*Table_NFI[[#This Row],[Jerry Can]],Table_NFI[Jerry Can])</f>
        <v>0</v>
      </c>
      <c r="AO145" s="540" t="str">
        <f>IFERROR(VLOOKUP(Table_NFI[[#This Row],[Camp Name]],CL,2,0),"")</f>
        <v>MMR001CMP123</v>
      </c>
      <c r="AP145" s="535">
        <f ca="1">IF(Table_NFI[[#This Row],[Pcode]]="","",IF(OFFSET(CampList[Opening Date],MATCH(Table_NFI[[#This Row],[Pcode]],CampList[CP_Pcode],0)-1,0,1,1)&gt;=NFI_Monitor_Date,1,0))</f>
        <v>0</v>
      </c>
      <c r="AQ145" s="540" t="str">
        <f>IFERROR(VLOOKUP(Table_NFI[[#This Row],[Camp Name]],CL,3,0),"")</f>
        <v>Open</v>
      </c>
      <c r="AR145" s="352" t="str">
        <f ca="1">IF(Table_NFI[[#This Row],[Pcode]]="","",OFFSET(CampList[Priority],MATCH(Table_NFI[[#This Row],[Pcode]],CampList[CP_Pcode],0)-1,0,1,1))</f>
        <v>P2</v>
      </c>
      <c r="AS145" s="351">
        <f>IFERROR(Table_NFI[[#This Row],[Kitchen Set]]/VLOOKUP(Table_NFI[[#This Row],[Camp Name]],CL,4,0),"")</f>
        <v>0</v>
      </c>
      <c r="AT145" s="533"/>
      <c r="AU145" s="536"/>
    </row>
    <row r="146" spans="1:47" s="129" customFormat="1" hidden="1" x14ac:dyDescent="0.25">
      <c r="A146" s="355">
        <f t="shared" si="2"/>
        <v>48.766666666666666</v>
      </c>
      <c r="B146" s="532">
        <v>41108</v>
      </c>
      <c r="C146" s="533" t="s">
        <v>907</v>
      </c>
      <c r="D146" s="533" t="s">
        <v>1004</v>
      </c>
      <c r="E146" s="533" t="s">
        <v>380</v>
      </c>
      <c r="F146" s="533" t="s">
        <v>185</v>
      </c>
      <c r="G146" s="533" t="s">
        <v>192</v>
      </c>
      <c r="H146" s="352">
        <v>33</v>
      </c>
      <c r="I146" s="349"/>
      <c r="J146" s="349"/>
      <c r="K146" s="349"/>
      <c r="L146" s="350"/>
      <c r="M146" s="350"/>
      <c r="N146" s="350"/>
      <c r="O146" s="350"/>
      <c r="P146" s="352"/>
      <c r="Q146" s="392"/>
      <c r="R146" s="392"/>
      <c r="S146" s="392"/>
      <c r="T146" s="392"/>
      <c r="U146" s="392"/>
      <c r="V146" s="497"/>
      <c r="W146" s="392"/>
      <c r="X146" s="392"/>
      <c r="Y146" s="352">
        <f>IF(NFI_Expiration=1,IF($A146&lt;VLOOKUP(H$5,NFI,5,0),1,0)*Table_NFI[[#This Row],[Hygiene Kit]],Table_NFI[Hygiene Kit])</f>
        <v>0</v>
      </c>
      <c r="Z146" s="352">
        <f>IF(NFI_Expiration=1,IF($A146&lt;VLOOKUP(I$5,NFI,5,0),1,0)*Table_NFI[[#This Row],[NFI Core Kit]],Table_NFI[NFI Core Kit])</f>
        <v>0</v>
      </c>
      <c r="AA146" s="352">
        <f>IF(NFI_Expiration=1,IF($A146&lt;VLOOKUP(J$5,NFI,5,0),1,0)*Table_NFI[[#This Row],[Sanitary Kit]],Table_NFI[Sanitary Kit])</f>
        <v>0</v>
      </c>
      <c r="AB146" s="352">
        <f>IF(NFI_Expiration=1,IF($A146&lt;VLOOKUP(K$5,NFI,5,0),1,0)*Table_NFI[[#This Row],[Mosquito net]],Table_NFI[Mosquito net])</f>
        <v>0</v>
      </c>
      <c r="AC146" s="352">
        <f>IF(NFI_Expiration=1,IF($A146&lt;VLOOKUP(L$5,NFI,5,0),1,0)*Table_NFI[[#This Row],[Tarpaulin]],Table_NFI[[#This Row],[Tarpaulin]])</f>
        <v>0</v>
      </c>
      <c r="AD146" s="352">
        <f>IF(NFI_Expiration=1,IF($A146&lt;VLOOKUP(M$5,NFI,5,0),1,0)*Table_NFI[[#This Row],[Blanket]],Table_NFI[[#This Row],[Blanket]])</f>
        <v>0</v>
      </c>
      <c r="AE146" s="352">
        <f>IF(NFI_Expiration=1,IF($A146&lt;VLOOKUP(N$5,NFI,5,0),1,0)*Table_NFI[[#This Row],[Kitchen Set]],Table_NFI[Kitchen Set])</f>
        <v>0</v>
      </c>
      <c r="AF146" s="352">
        <f>IF(NFI_Expiration=1,IF($A146&lt;VLOOKUP(O$5,NFI,5,0),1,0)*Table_NFI[[#This Row],[Clothes Kit]],Table_NFI[Clothes Kit])</f>
        <v>0</v>
      </c>
      <c r="AG146" s="352">
        <f>IF(NFI_Expiration=1,IF($A146&lt;VLOOKUP(P$5,NFI,5,0),1,0)*Table_NFI[[#This Row],[Plastic Bucket]],Table_NFI[Plastic Bucket])</f>
        <v>0</v>
      </c>
      <c r="AH146" s="352">
        <f>IF(NFI_Expiration=1,IF($A146&lt;VLOOKUP(Q$5,NFI,5,0),1,0)*Table_NFI[[#This Row],[Plastic Mat]],Table_NFI[Plastic Mat])*IF(Table_NFI[[#This Row],[Distribution Date]]&gt;"2014-04-01",1,2.5)</f>
        <v>0</v>
      </c>
      <c r="AI146" s="352">
        <f>IF(NFI_Expiration=1,IF($A146&lt;VLOOKUP(R$5,NFI,5,0),1,0)*Table_NFI[[#This Row],[Winter Clothes Adult]],Table_NFI[Winter Clothes Adult])</f>
        <v>0</v>
      </c>
      <c r="AJ146" s="352">
        <f>IF(NFI_Expiration=1,IF($A146&lt;VLOOKUP(S$5,NFI,5,0),1,0)*Table_NFI[[#This Row],[Winter Clothes Children]],Table_NFI[Winter Clothes Children])</f>
        <v>0</v>
      </c>
      <c r="AK146" s="352">
        <f>IF(NFI_Expiration=1,IF($A146&lt;VLOOKUP(T$5,NFI,5,0),1,0)*Table_NFI[[#This Row],[Winter Items Other]],Table_NFI[Winter Items Other])</f>
        <v>0</v>
      </c>
      <c r="AL146" s="352">
        <f>IF(NFI_Expiration=1,IF($A146&lt;VLOOKUP(M$5,NFI,5,0),1,0)*Table_NFI[[#This Row],[Winter Blanket]],Table_NFI[[#This Row],[Winter Blanket]])</f>
        <v>0</v>
      </c>
      <c r="AM146" s="352">
        <f>IF(Table_NFI[[#This Row],[Winter Clothes Adult]]+Table_NFI[[#This Row],[Winter Clothes Children]]+Table_NFI[[#This Row],[Winter Items Other]]+Table_NFI[[#This Row],[Winter Blanket]]&gt;0,1,0)</f>
        <v>0</v>
      </c>
      <c r="AN146" s="392">
        <f>IF(NFI_Expiration=1,IF($A146&lt;VLOOKUP(V$5,NFI,5,0),1,0)*Table_NFI[[#This Row],[Jerry Can]],Table_NFI[Jerry Can])</f>
        <v>0</v>
      </c>
      <c r="AO146" s="540" t="str">
        <f>IFERROR(VLOOKUP(Table_NFI[[#This Row],[Camp Name]],CL,2,0),"")</f>
        <v>MMR001CMP123</v>
      </c>
      <c r="AP146" s="535">
        <f ca="1">IF(Table_NFI[[#This Row],[Pcode]]="","",IF(OFFSET(CampList[Opening Date],MATCH(Table_NFI[[#This Row],[Pcode]],CampList[CP_Pcode],0)-1,0,1,1)&gt;=NFI_Monitor_Date,1,0))</f>
        <v>0</v>
      </c>
      <c r="AQ146" s="540" t="str">
        <f>IFERROR(VLOOKUP(Table_NFI[[#This Row],[Camp Name]],CL,3,0),"")</f>
        <v>Open</v>
      </c>
      <c r="AR146" s="352" t="str">
        <f ca="1">IF(Table_NFI[[#This Row],[Pcode]]="","",OFFSET(CampList[Priority],MATCH(Table_NFI[[#This Row],[Pcode]],CampList[CP_Pcode],0)-1,0,1,1))</f>
        <v>P2</v>
      </c>
      <c r="AS146" s="351">
        <f>IFERROR(Table_NFI[[#This Row],[Kitchen Set]]/VLOOKUP(Table_NFI[[#This Row],[Camp Name]],CL,4,0),"")</f>
        <v>0</v>
      </c>
      <c r="AT146" s="533"/>
      <c r="AU146" s="536"/>
    </row>
    <row r="147" spans="1:47" s="129" customFormat="1" hidden="1" x14ac:dyDescent="0.25">
      <c r="A147" s="355">
        <f t="shared" si="2"/>
        <v>32.1</v>
      </c>
      <c r="B147" s="532">
        <v>41608</v>
      </c>
      <c r="C147" s="533" t="s">
        <v>907</v>
      </c>
      <c r="D147" s="533" t="s">
        <v>461</v>
      </c>
      <c r="E147" s="533" t="s">
        <v>380</v>
      </c>
      <c r="F147" s="348" t="s">
        <v>185</v>
      </c>
      <c r="G147" s="348" t="s">
        <v>192</v>
      </c>
      <c r="H147" s="349"/>
      <c r="I147" s="349"/>
      <c r="J147" s="349"/>
      <c r="K147" s="349"/>
      <c r="L147" s="350"/>
      <c r="M147" s="350"/>
      <c r="N147" s="350"/>
      <c r="O147" s="350"/>
      <c r="P147" s="352"/>
      <c r="Q147" s="352"/>
      <c r="R147" s="352"/>
      <c r="S147" s="352"/>
      <c r="T147" s="352"/>
      <c r="U147" s="352"/>
      <c r="V147" s="497"/>
      <c r="W147" s="352"/>
      <c r="X147" s="352"/>
      <c r="Y147" s="352">
        <f>IF(NFI_Expiration=1,IF($A147&lt;VLOOKUP(H$5,NFI,5,0),1,0)*Table_NFI[[#This Row],[Hygiene Kit]],Table_NFI[Hygiene Kit])</f>
        <v>0</v>
      </c>
      <c r="Z147" s="352">
        <f>IF(NFI_Expiration=1,IF($A147&lt;VLOOKUP(I$5,NFI,5,0),1,0)*Table_NFI[[#This Row],[NFI Core Kit]],Table_NFI[NFI Core Kit])</f>
        <v>0</v>
      </c>
      <c r="AA147" s="352">
        <f>IF(NFI_Expiration=1,IF($A147&lt;VLOOKUP(J$5,NFI,5,0),1,0)*Table_NFI[[#This Row],[Sanitary Kit]],Table_NFI[Sanitary Kit])</f>
        <v>0</v>
      </c>
      <c r="AB147" s="352">
        <f>IF(NFI_Expiration=1,IF($A147&lt;VLOOKUP(K$5,NFI,5,0),1,0)*Table_NFI[[#This Row],[Mosquito net]],Table_NFI[Mosquito net])</f>
        <v>0</v>
      </c>
      <c r="AC147" s="352">
        <f>IF(NFI_Expiration=1,IF($A147&lt;VLOOKUP(L$5,NFI,5,0),1,0)*Table_NFI[[#This Row],[Tarpaulin]],Table_NFI[[#This Row],[Tarpaulin]])</f>
        <v>0</v>
      </c>
      <c r="AD147" s="352">
        <f>IF(NFI_Expiration=1,IF($A147&lt;VLOOKUP(M$5,NFI,5,0),1,0)*Table_NFI[[#This Row],[Blanket]],Table_NFI[[#This Row],[Blanket]])</f>
        <v>0</v>
      </c>
      <c r="AE147" s="352">
        <f>IF(NFI_Expiration=1,IF($A147&lt;VLOOKUP(N$5,NFI,5,0),1,0)*Table_NFI[[#This Row],[Kitchen Set]],Table_NFI[Kitchen Set])</f>
        <v>0</v>
      </c>
      <c r="AF147" s="352">
        <f>IF(NFI_Expiration=1,IF($A147&lt;VLOOKUP(O$5,NFI,5,0),1,0)*Table_NFI[[#This Row],[Clothes Kit]],Table_NFI[Clothes Kit])</f>
        <v>0</v>
      </c>
      <c r="AG147" s="352">
        <f>IF(NFI_Expiration=1,IF($A147&lt;VLOOKUP(P$5,NFI,5,0),1,0)*Table_NFI[[#This Row],[Plastic Bucket]],Table_NFI[Plastic Bucket])</f>
        <v>0</v>
      </c>
      <c r="AH147" s="352">
        <f>IF(NFI_Expiration=1,IF($A147&lt;VLOOKUP(Q$5,NFI,5,0),1,0)*Table_NFI[[#This Row],[Plastic Mat]],Table_NFI[Plastic Mat])*IF(Table_NFI[[#This Row],[Distribution Date]]&gt;"2014-04-01",1,2.5)</f>
        <v>0</v>
      </c>
      <c r="AI147" s="352">
        <f>IF(NFI_Expiration=1,IF($A147&lt;VLOOKUP(R$5,NFI,5,0),1,0)*Table_NFI[[#This Row],[Winter Clothes Adult]],Table_NFI[Winter Clothes Adult])</f>
        <v>0</v>
      </c>
      <c r="AJ147" s="352">
        <f>IF(NFI_Expiration=1,IF($A147&lt;VLOOKUP(S$5,NFI,5,0),1,0)*Table_NFI[[#This Row],[Winter Clothes Children]],Table_NFI[Winter Clothes Children])</f>
        <v>0</v>
      </c>
      <c r="AK147" s="352">
        <f>IF(NFI_Expiration=1,IF($A147&lt;VLOOKUP(T$5,NFI,5,0),1,0)*Table_NFI[[#This Row],[Winter Items Other]],Table_NFI[Winter Items Other])</f>
        <v>0</v>
      </c>
      <c r="AL147" s="352">
        <f>IF(NFI_Expiration=1,IF($A147&lt;VLOOKUP(M$5,NFI,5,0),1,0)*Table_NFI[[#This Row],[Winter Blanket]],Table_NFI[[#This Row],[Winter Blanket]])</f>
        <v>0</v>
      </c>
      <c r="AM147" s="352">
        <f>IF(Table_NFI[[#This Row],[Winter Clothes Adult]]+Table_NFI[[#This Row],[Winter Clothes Children]]+Table_NFI[[#This Row],[Winter Items Other]]+Table_NFI[[#This Row],[Winter Blanket]]&gt;0,1,0)</f>
        <v>0</v>
      </c>
      <c r="AN147" s="392">
        <f>IF(NFI_Expiration=1,IF($A147&lt;VLOOKUP(V$5,NFI,5,0),1,0)*Table_NFI[[#This Row],[Jerry Can]],Table_NFI[Jerry Can])</f>
        <v>0</v>
      </c>
      <c r="AO147" s="540" t="str">
        <f>IFERROR(VLOOKUP(Table_NFI[[#This Row],[Camp Name]],CL,2,0),"")</f>
        <v>MMR001CMP123</v>
      </c>
      <c r="AP147" s="535">
        <f ca="1">IF(Table_NFI[[#This Row],[Pcode]]="","",IF(OFFSET(CampList[Opening Date],MATCH(Table_NFI[[#This Row],[Pcode]],CampList[CP_Pcode],0)-1,0,1,1)&gt;=NFI_Monitor_Date,1,0))</f>
        <v>0</v>
      </c>
      <c r="AQ147" s="540" t="str">
        <f>IFERROR(VLOOKUP(Table_NFI[[#This Row],[Camp Name]],CL,3,0),"")</f>
        <v>Open</v>
      </c>
      <c r="AR147" s="352" t="str">
        <f ca="1">IF(Table_NFI[[#This Row],[Pcode]]="","",OFFSET(CampList[Priority],MATCH(Table_NFI[[#This Row],[Pcode]],CampList[CP_Pcode],0)-1,0,1,1))</f>
        <v>P2</v>
      </c>
      <c r="AS147" s="351">
        <f>IFERROR(Table_NFI[[#This Row],[Kitchen Set]]/VLOOKUP(Table_NFI[[#This Row],[Camp Name]],CL,4,0),"")</f>
        <v>0</v>
      </c>
      <c r="AT147" s="533" t="s">
        <v>1094</v>
      </c>
      <c r="AU147" s="536"/>
    </row>
    <row r="148" spans="1:47" s="129" customFormat="1" ht="14.45" customHeight="1" x14ac:dyDescent="0.25">
      <c r="A148" s="355">
        <f t="shared" si="2"/>
        <v>19.3</v>
      </c>
      <c r="B148" s="532">
        <v>41992</v>
      </c>
      <c r="C148" s="533" t="s">
        <v>453</v>
      </c>
      <c r="D148" s="533"/>
      <c r="E148" s="533" t="s">
        <v>380</v>
      </c>
      <c r="F148" s="533" t="s">
        <v>310</v>
      </c>
      <c r="G148" s="533" t="s">
        <v>1246</v>
      </c>
      <c r="H148" s="349"/>
      <c r="I148" s="349"/>
      <c r="J148" s="349"/>
      <c r="K148" s="349"/>
      <c r="L148" s="350"/>
      <c r="M148" s="350"/>
      <c r="N148" s="350"/>
      <c r="O148" s="350"/>
      <c r="P148" s="352"/>
      <c r="Q148" s="352"/>
      <c r="R148" s="352">
        <v>384</v>
      </c>
      <c r="S148" s="352">
        <v>573</v>
      </c>
      <c r="T148" s="352"/>
      <c r="U148" s="352">
        <v>382</v>
      </c>
      <c r="V148" s="497"/>
      <c r="W148" s="352"/>
      <c r="X148" s="352"/>
      <c r="Y148" s="352">
        <f>IF(NFI_Expiration=1,IF($A148&lt;VLOOKUP(H$5,NFI,5,0),1,0)*Table_NFI[[#This Row],[Hygiene Kit]],Table_NFI[Hygiene Kit])</f>
        <v>0</v>
      </c>
      <c r="Z148" s="352">
        <f>IF(NFI_Expiration=1,IF($A148&lt;VLOOKUP(I$5,NFI,5,0),1,0)*Table_NFI[[#This Row],[NFI Core Kit]],Table_NFI[NFI Core Kit])</f>
        <v>0</v>
      </c>
      <c r="AA148" s="352">
        <f>IF(NFI_Expiration=1,IF($A148&lt;VLOOKUP(J$5,NFI,5,0),1,0)*Table_NFI[[#This Row],[Sanitary Kit]],Table_NFI[Sanitary Kit])</f>
        <v>0</v>
      </c>
      <c r="AB148" s="352">
        <f>IF(NFI_Expiration=1,IF($A148&lt;VLOOKUP(K$5,NFI,5,0),1,0)*Table_NFI[[#This Row],[Mosquito net]],Table_NFI[Mosquito net])</f>
        <v>0</v>
      </c>
      <c r="AC148" s="352">
        <f>IF(NFI_Expiration=1,IF($A148&lt;VLOOKUP(L$5,NFI,5,0),1,0)*Table_NFI[[#This Row],[Tarpaulin]],Table_NFI[[#This Row],[Tarpaulin]])</f>
        <v>0</v>
      </c>
      <c r="AD148" s="352">
        <f>IF(NFI_Expiration=1,IF($A148&lt;VLOOKUP(M$5,NFI,5,0),1,0)*Table_NFI[[#This Row],[Blanket]],Table_NFI[[#This Row],[Blanket]])</f>
        <v>0</v>
      </c>
      <c r="AE148" s="352">
        <f>IF(NFI_Expiration=1,IF($A148&lt;VLOOKUP(N$5,NFI,5,0),1,0)*Table_NFI[[#This Row],[Kitchen Set]],Table_NFI[Kitchen Set])</f>
        <v>0</v>
      </c>
      <c r="AF148" s="352">
        <f>IF(NFI_Expiration=1,IF($A148&lt;VLOOKUP(O$5,NFI,5,0),1,0)*Table_NFI[[#This Row],[Clothes Kit]],Table_NFI[Clothes Kit])</f>
        <v>0</v>
      </c>
      <c r="AG148" s="352">
        <f>IF(NFI_Expiration=1,IF($A148&lt;VLOOKUP(P$5,NFI,5,0),1,0)*Table_NFI[[#This Row],[Plastic Bucket]],Table_NFI[Plastic Bucket])</f>
        <v>0</v>
      </c>
      <c r="AH148" s="352">
        <f>IF(NFI_Expiration=1,IF($A148&lt;VLOOKUP(Q$5,NFI,5,0),1,0)*Table_NFI[[#This Row],[Plastic Mat]],Table_NFI[Plastic Mat])*IF(Table_NFI[[#This Row],[Distribution Date]]&gt;"2014-04-01",1,2.5)</f>
        <v>0</v>
      </c>
      <c r="AI148" s="352">
        <f>IF(NFI_Expiration=1,IF($A148&lt;VLOOKUP(R$5,NFI,5,0),1,0)*Table_NFI[[#This Row],[Winter Clothes Adult]],Table_NFI[Winter Clothes Adult])</f>
        <v>0</v>
      </c>
      <c r="AJ148" s="352">
        <f>IF(NFI_Expiration=1,IF($A148&lt;VLOOKUP(S$5,NFI,5,0),1,0)*Table_NFI[[#This Row],[Winter Clothes Children]],Table_NFI[Winter Clothes Children])</f>
        <v>0</v>
      </c>
      <c r="AK148" s="352">
        <f>IF(NFI_Expiration=1,IF($A148&lt;VLOOKUP(T$5,NFI,5,0),1,0)*Table_NFI[[#This Row],[Winter Items Other]],Table_NFI[Winter Items Other])</f>
        <v>0</v>
      </c>
      <c r="AL148" s="352">
        <f>IF(NFI_Expiration=1,IF($A148&lt;VLOOKUP(M$5,NFI,5,0),1,0)*Table_NFI[[#This Row],[Winter Blanket]],Table_NFI[[#This Row],[Winter Blanket]])</f>
        <v>0</v>
      </c>
      <c r="AM148" s="352">
        <f>IF(Table_NFI[[#This Row],[Winter Clothes Adult]]+Table_NFI[[#This Row],[Winter Clothes Children]]+Table_NFI[[#This Row],[Winter Items Other]]+Table_NFI[[#This Row],[Winter Blanket]]&gt;0,1,0)</f>
        <v>1</v>
      </c>
      <c r="AN148" s="392">
        <f>IF(NFI_Expiration=1,IF($A148&lt;VLOOKUP(V$5,NFI,5,0),1,0)*Table_NFI[[#This Row],[Jerry Can]],Table_NFI[Jerry Can])</f>
        <v>0</v>
      </c>
      <c r="AO148" s="540" t="str">
        <f>IFERROR(VLOOKUP(Table_NFI[[#This Row],[Camp Name]],CL,2,0),"")</f>
        <v>MMR001CMP120</v>
      </c>
      <c r="AP148" s="535">
        <f ca="1">IF(Table_NFI[[#This Row],[Pcode]]="","",IF(OFFSET(CampList[Opening Date],MATCH(Table_NFI[[#This Row],[Pcode]],CampList[CP_Pcode],0)-1,0,1,1)&gt;=NFI_Monitor_Date,1,0))</f>
        <v>0</v>
      </c>
      <c r="AQ148" s="540" t="str">
        <f>IFERROR(VLOOKUP(Table_NFI[[#This Row],[Camp Name]],CL,3,0),"")</f>
        <v>Open</v>
      </c>
      <c r="AR148" s="352" t="str">
        <f ca="1">IF(Table_NFI[[#This Row],[Pcode]]="","",OFFSET(CampList[Priority],MATCH(Table_NFI[[#This Row],[Pcode]],CampList[CP_Pcode],0)-1,0,1,1))</f>
        <v>P1</v>
      </c>
      <c r="AS148" s="351">
        <f>IFERROR(Table_NFI[[#This Row],[Kitchen Set]]/VLOOKUP(Table_NFI[[#This Row],[Camp Name]],CL,4,0),"")</f>
        <v>0</v>
      </c>
      <c r="AT148" s="533"/>
      <c r="AU148" s="536"/>
    </row>
    <row r="149" spans="1:47" s="537" customFormat="1" ht="14.45" customHeight="1" x14ac:dyDescent="0.25">
      <c r="A149" s="355">
        <f t="shared" si="2"/>
        <v>19.3</v>
      </c>
      <c r="B149" s="532">
        <v>41992</v>
      </c>
      <c r="C149" s="533" t="s">
        <v>453</v>
      </c>
      <c r="D149" s="533" t="s">
        <v>461</v>
      </c>
      <c r="E149" s="533" t="s">
        <v>380</v>
      </c>
      <c r="F149" s="533" t="s">
        <v>310</v>
      </c>
      <c r="G149" s="533" t="s">
        <v>1248</v>
      </c>
      <c r="H149" s="349"/>
      <c r="I149" s="349"/>
      <c r="J149" s="349"/>
      <c r="K149" s="349"/>
      <c r="L149" s="350"/>
      <c r="M149" s="350"/>
      <c r="N149" s="350"/>
      <c r="O149" s="350"/>
      <c r="P149" s="352"/>
      <c r="Q149" s="352"/>
      <c r="R149" s="352">
        <v>1292</v>
      </c>
      <c r="S149" s="352">
        <v>1938</v>
      </c>
      <c r="T149" s="352"/>
      <c r="U149" s="352">
        <v>1292</v>
      </c>
      <c r="V149" s="497"/>
      <c r="W149" s="352"/>
      <c r="X149" s="352"/>
      <c r="Y149" s="352">
        <f>IF(NFI_Expiration=1,IF($A149&lt;VLOOKUP(H$5,NFI,5,0),1,0)*Table_NFI[[#This Row],[Hygiene Kit]],Table_NFI[Hygiene Kit])</f>
        <v>0</v>
      </c>
      <c r="Z149" s="352">
        <f>IF(NFI_Expiration=1,IF($A149&lt;VLOOKUP(I$5,NFI,5,0),1,0)*Table_NFI[[#This Row],[NFI Core Kit]],Table_NFI[NFI Core Kit])</f>
        <v>0</v>
      </c>
      <c r="AA149" s="352">
        <f>IF(NFI_Expiration=1,IF($A149&lt;VLOOKUP(J$5,NFI,5,0),1,0)*Table_NFI[[#This Row],[Sanitary Kit]],Table_NFI[Sanitary Kit])</f>
        <v>0</v>
      </c>
      <c r="AB149" s="352">
        <f>IF(NFI_Expiration=1,IF($A149&lt;VLOOKUP(K$5,NFI,5,0),1,0)*Table_NFI[[#This Row],[Mosquito net]],Table_NFI[Mosquito net])</f>
        <v>0</v>
      </c>
      <c r="AC149" s="352">
        <f>IF(NFI_Expiration=1,IF($A149&lt;VLOOKUP(L$5,NFI,5,0),1,0)*Table_NFI[[#This Row],[Tarpaulin]],Table_NFI[[#This Row],[Tarpaulin]])</f>
        <v>0</v>
      </c>
      <c r="AD149" s="352">
        <f>IF(NFI_Expiration=1,IF($A149&lt;VLOOKUP(M$5,NFI,5,0),1,0)*Table_NFI[[#This Row],[Blanket]],Table_NFI[[#This Row],[Blanket]])</f>
        <v>0</v>
      </c>
      <c r="AE149" s="352">
        <f>IF(NFI_Expiration=1,IF($A149&lt;VLOOKUP(N$5,NFI,5,0),1,0)*Table_NFI[[#This Row],[Kitchen Set]],Table_NFI[Kitchen Set])</f>
        <v>0</v>
      </c>
      <c r="AF149" s="352">
        <f>IF(NFI_Expiration=1,IF($A149&lt;VLOOKUP(O$5,NFI,5,0),1,0)*Table_NFI[[#This Row],[Clothes Kit]],Table_NFI[Clothes Kit])</f>
        <v>0</v>
      </c>
      <c r="AG149" s="352">
        <f>IF(NFI_Expiration=1,IF($A149&lt;VLOOKUP(P$5,NFI,5,0),1,0)*Table_NFI[[#This Row],[Plastic Bucket]],Table_NFI[Plastic Bucket])</f>
        <v>0</v>
      </c>
      <c r="AH149" s="352">
        <f>IF(NFI_Expiration=1,IF($A149&lt;VLOOKUP(Q$5,NFI,5,0),1,0)*Table_NFI[[#This Row],[Plastic Mat]],Table_NFI[Plastic Mat])*IF(Table_NFI[[#This Row],[Distribution Date]]&gt;"2014-04-01",1,2.5)</f>
        <v>0</v>
      </c>
      <c r="AI149" s="352">
        <f>IF(NFI_Expiration=1,IF($A149&lt;VLOOKUP(R$5,NFI,5,0),1,0)*Table_NFI[[#This Row],[Winter Clothes Adult]],Table_NFI[Winter Clothes Adult])</f>
        <v>0</v>
      </c>
      <c r="AJ149" s="352">
        <f>IF(NFI_Expiration=1,IF($A149&lt;VLOOKUP(S$5,NFI,5,0),1,0)*Table_NFI[[#This Row],[Winter Clothes Children]],Table_NFI[Winter Clothes Children])</f>
        <v>0</v>
      </c>
      <c r="AK149" s="352">
        <f>IF(NFI_Expiration=1,IF($A149&lt;VLOOKUP(T$5,NFI,5,0),1,0)*Table_NFI[[#This Row],[Winter Items Other]],Table_NFI[Winter Items Other])</f>
        <v>0</v>
      </c>
      <c r="AL149" s="352">
        <f>IF(NFI_Expiration=1,IF($A149&lt;VLOOKUP(M$5,NFI,5,0),1,0)*Table_NFI[[#This Row],[Winter Blanket]],Table_NFI[[#This Row],[Winter Blanket]])</f>
        <v>0</v>
      </c>
      <c r="AM149" s="352">
        <f>IF(Table_NFI[[#This Row],[Winter Clothes Adult]]+Table_NFI[[#This Row],[Winter Clothes Children]]+Table_NFI[[#This Row],[Winter Items Other]]+Table_NFI[[#This Row],[Winter Blanket]]&gt;0,1,0)</f>
        <v>1</v>
      </c>
      <c r="AN149" s="392">
        <f>IF(NFI_Expiration=1,IF($A149&lt;VLOOKUP(V$5,NFI,5,0),1,0)*Table_NFI[[#This Row],[Jerry Can]],Table_NFI[Jerry Can])</f>
        <v>0</v>
      </c>
      <c r="AO149" s="540" t="str">
        <f>IFERROR(VLOOKUP(Table_NFI[[#This Row],[Camp Name]],CL,2,0),"")</f>
        <v>MMR001CMP111</v>
      </c>
      <c r="AP149" s="535">
        <f ca="1">IF(Table_NFI[[#This Row],[Pcode]]="","",IF(OFFSET(CampList[Opening Date],MATCH(Table_NFI[[#This Row],[Pcode]],CampList[CP_Pcode],0)-1,0,1,1)&gt;=NFI_Monitor_Date,1,0))</f>
        <v>0</v>
      </c>
      <c r="AQ149" s="540" t="str">
        <f>IFERROR(VLOOKUP(Table_NFI[[#This Row],[Camp Name]],CL,3,0),"")</f>
        <v>Open</v>
      </c>
      <c r="AR149" s="352" t="str">
        <f ca="1">IF(Table_NFI[[#This Row],[Pcode]]="","",OFFSET(CampList[Priority],MATCH(Table_NFI[[#This Row],[Pcode]],CampList[CP_Pcode],0)-1,0,1,1))</f>
        <v>P2</v>
      </c>
      <c r="AS149" s="351">
        <f>IFERROR(Table_NFI[[#This Row],[Kitchen Set]]/VLOOKUP(Table_NFI[[#This Row],[Camp Name]],CL,4,0),"")</f>
        <v>0</v>
      </c>
      <c r="AT149" s="533"/>
      <c r="AU149" s="536"/>
    </row>
    <row r="150" spans="1:47" s="129" customFormat="1" ht="14.45" customHeight="1" x14ac:dyDescent="0.25">
      <c r="A150" s="355">
        <f t="shared" si="2"/>
        <v>19.766666666666666</v>
      </c>
      <c r="B150" s="532">
        <v>41978</v>
      </c>
      <c r="C150" s="533" t="s">
        <v>453</v>
      </c>
      <c r="D150" s="533" t="s">
        <v>507</v>
      </c>
      <c r="E150" s="533" t="s">
        <v>380</v>
      </c>
      <c r="F150" s="533" t="s">
        <v>310</v>
      </c>
      <c r="G150" s="533" t="s">
        <v>334</v>
      </c>
      <c r="H150" s="349"/>
      <c r="I150" s="349"/>
      <c r="J150" s="349"/>
      <c r="K150" s="349">
        <v>164</v>
      </c>
      <c r="L150" s="350"/>
      <c r="M150" s="350"/>
      <c r="N150" s="350"/>
      <c r="O150" s="350"/>
      <c r="P150" s="352"/>
      <c r="Q150" s="352"/>
      <c r="R150" s="352">
        <v>302</v>
      </c>
      <c r="S150" s="352">
        <v>440</v>
      </c>
      <c r="T150" s="352"/>
      <c r="U150" s="352">
        <v>297</v>
      </c>
      <c r="V150" s="497"/>
      <c r="W150" s="352"/>
      <c r="X150" s="352"/>
      <c r="Y150" s="352">
        <f>IF(NFI_Expiration=1,IF($A150&lt;VLOOKUP(H$5,NFI,5,0),1,0)*Table_NFI[[#This Row],[Hygiene Kit]],Table_NFI[Hygiene Kit])</f>
        <v>0</v>
      </c>
      <c r="Z150" s="352">
        <f>IF(NFI_Expiration=1,IF($A150&lt;VLOOKUP(I$5,NFI,5,0),1,0)*Table_NFI[[#This Row],[NFI Core Kit]],Table_NFI[NFI Core Kit])</f>
        <v>0</v>
      </c>
      <c r="AA150" s="352">
        <f>IF(NFI_Expiration=1,IF($A150&lt;VLOOKUP(J$5,NFI,5,0),1,0)*Table_NFI[[#This Row],[Sanitary Kit]],Table_NFI[Sanitary Kit])</f>
        <v>0</v>
      </c>
      <c r="AB150" s="352">
        <f>IF(NFI_Expiration=1,IF($A150&lt;VLOOKUP(K$5,NFI,5,0),1,0)*Table_NFI[[#This Row],[Mosquito net]],Table_NFI[Mosquito net])</f>
        <v>0</v>
      </c>
      <c r="AC150" s="352">
        <f>IF(NFI_Expiration=1,IF($A150&lt;VLOOKUP(L$5,NFI,5,0),1,0)*Table_NFI[[#This Row],[Tarpaulin]],Table_NFI[[#This Row],[Tarpaulin]])</f>
        <v>0</v>
      </c>
      <c r="AD150" s="352">
        <f>IF(NFI_Expiration=1,IF($A150&lt;VLOOKUP(M$5,NFI,5,0),1,0)*Table_NFI[[#This Row],[Blanket]],Table_NFI[[#This Row],[Blanket]])</f>
        <v>0</v>
      </c>
      <c r="AE150" s="352">
        <f>IF(NFI_Expiration=1,IF($A150&lt;VLOOKUP(N$5,NFI,5,0),1,0)*Table_NFI[[#This Row],[Kitchen Set]],Table_NFI[Kitchen Set])</f>
        <v>0</v>
      </c>
      <c r="AF150" s="352">
        <f>IF(NFI_Expiration=1,IF($A150&lt;VLOOKUP(O$5,NFI,5,0),1,0)*Table_NFI[[#This Row],[Clothes Kit]],Table_NFI[Clothes Kit])</f>
        <v>0</v>
      </c>
      <c r="AG150" s="352">
        <f>IF(NFI_Expiration=1,IF($A150&lt;VLOOKUP(P$5,NFI,5,0),1,0)*Table_NFI[[#This Row],[Plastic Bucket]],Table_NFI[Plastic Bucket])</f>
        <v>0</v>
      </c>
      <c r="AH150" s="352">
        <f>IF(NFI_Expiration=1,IF($A150&lt;VLOOKUP(Q$5,NFI,5,0),1,0)*Table_NFI[[#This Row],[Plastic Mat]],Table_NFI[Plastic Mat])*IF(Table_NFI[[#This Row],[Distribution Date]]&gt;"2014-04-01",1,2.5)</f>
        <v>0</v>
      </c>
      <c r="AI150" s="352">
        <f>IF(NFI_Expiration=1,IF($A150&lt;VLOOKUP(R$5,NFI,5,0),1,0)*Table_NFI[[#This Row],[Winter Clothes Adult]],Table_NFI[Winter Clothes Adult])</f>
        <v>0</v>
      </c>
      <c r="AJ150" s="352">
        <f>IF(NFI_Expiration=1,IF($A150&lt;VLOOKUP(S$5,NFI,5,0),1,0)*Table_NFI[[#This Row],[Winter Clothes Children]],Table_NFI[Winter Clothes Children])</f>
        <v>0</v>
      </c>
      <c r="AK150" s="352">
        <f>IF(NFI_Expiration=1,IF($A150&lt;VLOOKUP(T$5,NFI,5,0),1,0)*Table_NFI[[#This Row],[Winter Items Other]],Table_NFI[Winter Items Other])</f>
        <v>0</v>
      </c>
      <c r="AL150" s="352">
        <f>IF(NFI_Expiration=1,IF($A150&lt;VLOOKUP(M$5,NFI,5,0),1,0)*Table_NFI[[#This Row],[Winter Blanket]],Table_NFI[[#This Row],[Winter Blanket]])</f>
        <v>0</v>
      </c>
      <c r="AM150" s="352">
        <f>IF(Table_NFI[[#This Row],[Winter Clothes Adult]]+Table_NFI[[#This Row],[Winter Clothes Children]]+Table_NFI[[#This Row],[Winter Items Other]]+Table_NFI[[#This Row],[Winter Blanket]]&gt;0,1,0)</f>
        <v>1</v>
      </c>
      <c r="AN150" s="392">
        <f>IF(NFI_Expiration=1,IF($A150&lt;VLOOKUP(V$5,NFI,5,0),1,0)*Table_NFI[[#This Row],[Jerry Can]],Table_NFI[Jerry Can])</f>
        <v>0</v>
      </c>
      <c r="AO150" s="540" t="str">
        <f>IFERROR(VLOOKUP(Table_NFI[[#This Row],[Camp Name]],CL,2,0),"")</f>
        <v>MMR001CMP113</v>
      </c>
      <c r="AP150" s="535">
        <f ca="1">IF(Table_NFI[[#This Row],[Pcode]]="","",IF(OFFSET(CampList[Opening Date],MATCH(Table_NFI[[#This Row],[Pcode]],CampList[CP_Pcode],0)-1,0,1,1)&gt;=NFI_Monitor_Date,1,0))</f>
        <v>0</v>
      </c>
      <c r="AQ150" s="540" t="str">
        <f>IFERROR(VLOOKUP(Table_NFI[[#This Row],[Camp Name]],CL,3,0),"")</f>
        <v>Open</v>
      </c>
      <c r="AR150" s="352" t="str">
        <f ca="1">IF(Table_NFI[[#This Row],[Pcode]]="","",OFFSET(CampList[Priority],MATCH(Table_NFI[[#This Row],[Pcode]],CampList[CP_Pcode],0)-1,0,1,1))</f>
        <v>P1</v>
      </c>
      <c r="AS150" s="351">
        <f>IFERROR(Table_NFI[[#This Row],[Kitchen Set]]/VLOOKUP(Table_NFI[[#This Row],[Camp Name]],CL,4,0),"")</f>
        <v>0</v>
      </c>
      <c r="AT150" s="533"/>
      <c r="AU150" s="536"/>
    </row>
    <row r="151" spans="1:47" s="129" customFormat="1" ht="14.45" customHeight="1" x14ac:dyDescent="0.25">
      <c r="A151" s="355">
        <f t="shared" si="2"/>
        <v>19.766666666666666</v>
      </c>
      <c r="B151" s="532">
        <v>41978</v>
      </c>
      <c r="C151" s="533" t="s">
        <v>453</v>
      </c>
      <c r="D151" s="533" t="s">
        <v>507</v>
      </c>
      <c r="E151" s="533" t="s">
        <v>380</v>
      </c>
      <c r="F151" s="533" t="s">
        <v>310</v>
      </c>
      <c r="G151" s="533" t="s">
        <v>355</v>
      </c>
      <c r="H151" s="349"/>
      <c r="I151" s="349"/>
      <c r="J151" s="349"/>
      <c r="K151" s="349">
        <v>124</v>
      </c>
      <c r="L151" s="350"/>
      <c r="M151" s="350"/>
      <c r="N151" s="350"/>
      <c r="O151" s="350"/>
      <c r="P151" s="352"/>
      <c r="Q151" s="352"/>
      <c r="R151" s="352">
        <v>262</v>
      </c>
      <c r="S151" s="352">
        <v>400</v>
      </c>
      <c r="T151" s="352"/>
      <c r="U151" s="352">
        <v>257</v>
      </c>
      <c r="V151" s="497"/>
      <c r="W151" s="352"/>
      <c r="X151" s="352"/>
      <c r="Y151" s="352">
        <f>IF(NFI_Expiration=1,IF($A151&lt;VLOOKUP(H$5,NFI,5,0),1,0)*Table_NFI[[#This Row],[Hygiene Kit]],Table_NFI[Hygiene Kit])</f>
        <v>0</v>
      </c>
      <c r="Z151" s="352">
        <f>IF(NFI_Expiration=1,IF($A151&lt;VLOOKUP(I$5,NFI,5,0),1,0)*Table_NFI[[#This Row],[NFI Core Kit]],Table_NFI[NFI Core Kit])</f>
        <v>0</v>
      </c>
      <c r="AA151" s="352">
        <f>IF(NFI_Expiration=1,IF($A151&lt;VLOOKUP(J$5,NFI,5,0),1,0)*Table_NFI[[#This Row],[Sanitary Kit]],Table_NFI[Sanitary Kit])</f>
        <v>0</v>
      </c>
      <c r="AB151" s="352">
        <f>IF(NFI_Expiration=1,IF($A151&lt;VLOOKUP(K$5,NFI,5,0),1,0)*Table_NFI[[#This Row],[Mosquito net]],Table_NFI[Mosquito net])</f>
        <v>0</v>
      </c>
      <c r="AC151" s="352">
        <f>IF(NFI_Expiration=1,IF($A151&lt;VLOOKUP(L$5,NFI,5,0),1,0)*Table_NFI[[#This Row],[Tarpaulin]],Table_NFI[[#This Row],[Tarpaulin]])</f>
        <v>0</v>
      </c>
      <c r="AD151" s="352">
        <f>IF(NFI_Expiration=1,IF($A151&lt;VLOOKUP(M$5,NFI,5,0),1,0)*Table_NFI[[#This Row],[Blanket]],Table_NFI[[#This Row],[Blanket]])</f>
        <v>0</v>
      </c>
      <c r="AE151" s="352">
        <f>IF(NFI_Expiration=1,IF($A151&lt;VLOOKUP(N$5,NFI,5,0),1,0)*Table_NFI[[#This Row],[Kitchen Set]],Table_NFI[Kitchen Set])</f>
        <v>0</v>
      </c>
      <c r="AF151" s="352">
        <f>IF(NFI_Expiration=1,IF($A151&lt;VLOOKUP(O$5,NFI,5,0),1,0)*Table_NFI[[#This Row],[Clothes Kit]],Table_NFI[Clothes Kit])</f>
        <v>0</v>
      </c>
      <c r="AG151" s="352">
        <f>IF(NFI_Expiration=1,IF($A151&lt;VLOOKUP(P$5,NFI,5,0),1,0)*Table_NFI[[#This Row],[Plastic Bucket]],Table_NFI[Plastic Bucket])</f>
        <v>0</v>
      </c>
      <c r="AH151" s="352">
        <f>IF(NFI_Expiration=1,IF($A151&lt;VLOOKUP(Q$5,NFI,5,0),1,0)*Table_NFI[[#This Row],[Plastic Mat]],Table_NFI[Plastic Mat])*IF(Table_NFI[[#This Row],[Distribution Date]]&gt;"2014-04-01",1,2.5)</f>
        <v>0</v>
      </c>
      <c r="AI151" s="352">
        <f>IF(NFI_Expiration=1,IF($A151&lt;VLOOKUP(R$5,NFI,5,0),1,0)*Table_NFI[[#This Row],[Winter Clothes Adult]],Table_NFI[Winter Clothes Adult])</f>
        <v>0</v>
      </c>
      <c r="AJ151" s="352">
        <f>IF(NFI_Expiration=1,IF($A151&lt;VLOOKUP(S$5,NFI,5,0),1,0)*Table_NFI[[#This Row],[Winter Clothes Children]],Table_NFI[Winter Clothes Children])</f>
        <v>0</v>
      </c>
      <c r="AK151" s="352">
        <f>IF(NFI_Expiration=1,IF($A151&lt;VLOOKUP(T$5,NFI,5,0),1,0)*Table_NFI[[#This Row],[Winter Items Other]],Table_NFI[Winter Items Other])</f>
        <v>0</v>
      </c>
      <c r="AL151" s="352">
        <f>IF(NFI_Expiration=1,IF($A151&lt;VLOOKUP(M$5,NFI,5,0),1,0)*Table_NFI[[#This Row],[Winter Blanket]],Table_NFI[[#This Row],[Winter Blanket]])</f>
        <v>0</v>
      </c>
      <c r="AM151" s="352">
        <f>IF(Table_NFI[[#This Row],[Winter Clothes Adult]]+Table_NFI[[#This Row],[Winter Clothes Children]]+Table_NFI[[#This Row],[Winter Items Other]]+Table_NFI[[#This Row],[Winter Blanket]]&gt;0,1,0)</f>
        <v>1</v>
      </c>
      <c r="AN151" s="392">
        <f>IF(NFI_Expiration=1,IF($A151&lt;VLOOKUP(V$5,NFI,5,0),1,0)*Table_NFI[[#This Row],[Jerry Can]],Table_NFI[Jerry Can])</f>
        <v>0</v>
      </c>
      <c r="AO151" s="540" t="str">
        <f>IFERROR(VLOOKUP(Table_NFI[[#This Row],[Camp Name]],CL,2,0),"")</f>
        <v>MMR001CMP160</v>
      </c>
      <c r="AP151" s="535">
        <f ca="1">IF(Table_NFI[[#This Row],[Pcode]]="","",IF(OFFSET(CampList[Opening Date],MATCH(Table_NFI[[#This Row],[Pcode]],CampList[CP_Pcode],0)-1,0,1,1)&gt;=NFI_Monitor_Date,1,0))</f>
        <v>0</v>
      </c>
      <c r="AQ151" s="540" t="str">
        <f>IFERROR(VLOOKUP(Table_NFI[[#This Row],[Camp Name]],CL,3,0),"")</f>
        <v>Open</v>
      </c>
      <c r="AR151" s="352" t="str">
        <f ca="1">IF(Table_NFI[[#This Row],[Pcode]]="","",OFFSET(CampList[Priority],MATCH(Table_NFI[[#This Row],[Pcode]],CampList[CP_Pcode],0)-1,0,1,1))</f>
        <v>P1</v>
      </c>
      <c r="AS151" s="351">
        <f>IFERROR(Table_NFI[[#This Row],[Kitchen Set]]/VLOOKUP(Table_NFI[[#This Row],[Camp Name]],CL,4,0),"")</f>
        <v>0</v>
      </c>
      <c r="AT151" s="533"/>
      <c r="AU151" s="536"/>
    </row>
    <row r="152" spans="1:47" s="129" customFormat="1" ht="14.45" customHeight="1" x14ac:dyDescent="0.25">
      <c r="A152" s="355">
        <f t="shared" si="2"/>
        <v>20.166666666666668</v>
      </c>
      <c r="B152" s="532">
        <v>41966</v>
      </c>
      <c r="C152" s="533" t="s">
        <v>453</v>
      </c>
      <c r="D152" s="533" t="s">
        <v>461</v>
      </c>
      <c r="E152" s="533" t="s">
        <v>380</v>
      </c>
      <c r="F152" s="533" t="s">
        <v>237</v>
      </c>
      <c r="G152" s="533" t="s">
        <v>253</v>
      </c>
      <c r="H152" s="349"/>
      <c r="I152" s="349"/>
      <c r="J152" s="349"/>
      <c r="K152" s="349">
        <v>72</v>
      </c>
      <c r="L152" s="350">
        <v>36</v>
      </c>
      <c r="M152" s="350">
        <v>72</v>
      </c>
      <c r="N152" s="350">
        <v>36</v>
      </c>
      <c r="O152" s="350"/>
      <c r="P152" s="352">
        <v>36</v>
      </c>
      <c r="Q152" s="352">
        <v>180</v>
      </c>
      <c r="R152" s="352"/>
      <c r="S152" s="352"/>
      <c r="T152" s="352"/>
      <c r="U152" s="352"/>
      <c r="V152" s="497"/>
      <c r="W152" s="352"/>
      <c r="X152" s="352"/>
      <c r="Y152" s="352">
        <f>IF(NFI_Expiration=1,IF($A152&lt;VLOOKUP(H$5,NFI,5,0),1,0)*Table_NFI[[#This Row],[Hygiene Kit]],Table_NFI[Hygiene Kit])</f>
        <v>0</v>
      </c>
      <c r="Z152" s="352">
        <f>IF(NFI_Expiration=1,IF($A152&lt;VLOOKUP(I$5,NFI,5,0),1,0)*Table_NFI[[#This Row],[NFI Core Kit]],Table_NFI[NFI Core Kit])</f>
        <v>0</v>
      </c>
      <c r="AA152" s="352">
        <f>IF(NFI_Expiration=1,IF($A152&lt;VLOOKUP(J$5,NFI,5,0),1,0)*Table_NFI[[#This Row],[Sanitary Kit]],Table_NFI[Sanitary Kit])</f>
        <v>0</v>
      </c>
      <c r="AB152" s="352">
        <f>IF(NFI_Expiration=1,IF($A152&lt;VLOOKUP(K$5,NFI,5,0),1,0)*Table_NFI[[#This Row],[Mosquito net]],Table_NFI[Mosquito net])</f>
        <v>0</v>
      </c>
      <c r="AC152" s="352">
        <f>IF(NFI_Expiration=1,IF($A152&lt;VLOOKUP(L$5,NFI,5,0),1,0)*Table_NFI[[#This Row],[Tarpaulin]],Table_NFI[[#This Row],[Tarpaulin]])</f>
        <v>0</v>
      </c>
      <c r="AD152" s="352">
        <f>IF(NFI_Expiration=1,IF($A152&lt;VLOOKUP(M$5,NFI,5,0),1,0)*Table_NFI[[#This Row],[Blanket]],Table_NFI[[#This Row],[Blanket]])</f>
        <v>0</v>
      </c>
      <c r="AE152" s="352">
        <f>IF(NFI_Expiration=1,IF($A152&lt;VLOOKUP(N$5,NFI,5,0),1,0)*Table_NFI[[#This Row],[Kitchen Set]],Table_NFI[Kitchen Set])</f>
        <v>0</v>
      </c>
      <c r="AF152" s="352">
        <f>IF(NFI_Expiration=1,IF($A152&lt;VLOOKUP(O$5,NFI,5,0),1,0)*Table_NFI[[#This Row],[Clothes Kit]],Table_NFI[Clothes Kit])</f>
        <v>0</v>
      </c>
      <c r="AG152" s="352">
        <f>IF(NFI_Expiration=1,IF($A152&lt;VLOOKUP(P$5,NFI,5,0),1,0)*Table_NFI[[#This Row],[Plastic Bucket]],Table_NFI[Plastic Bucket])</f>
        <v>0</v>
      </c>
      <c r="AH152" s="352">
        <f>IF(NFI_Expiration=1,IF($A152&lt;VLOOKUP(Q$5,NFI,5,0),1,0)*Table_NFI[[#This Row],[Plastic Mat]],Table_NFI[Plastic Mat])*IF(Table_NFI[[#This Row],[Distribution Date]]&gt;"2014-04-01",1,2.5)</f>
        <v>0</v>
      </c>
      <c r="AI152" s="352">
        <f>IF(NFI_Expiration=1,IF($A152&lt;VLOOKUP(R$5,NFI,5,0),1,0)*Table_NFI[[#This Row],[Winter Clothes Adult]],Table_NFI[Winter Clothes Adult])</f>
        <v>0</v>
      </c>
      <c r="AJ152" s="352">
        <f>IF(NFI_Expiration=1,IF($A152&lt;VLOOKUP(S$5,NFI,5,0),1,0)*Table_NFI[[#This Row],[Winter Clothes Children]],Table_NFI[Winter Clothes Children])</f>
        <v>0</v>
      </c>
      <c r="AK152" s="352">
        <f>IF(NFI_Expiration=1,IF($A152&lt;VLOOKUP(T$5,NFI,5,0),1,0)*Table_NFI[[#This Row],[Winter Items Other]],Table_NFI[Winter Items Other])</f>
        <v>0</v>
      </c>
      <c r="AL152" s="352">
        <f>IF(NFI_Expiration=1,IF($A152&lt;VLOOKUP(M$5,NFI,5,0),1,0)*Table_NFI[[#This Row],[Winter Blanket]],Table_NFI[[#This Row],[Winter Blanket]])</f>
        <v>0</v>
      </c>
      <c r="AM152" s="352">
        <f>IF(Table_NFI[[#This Row],[Winter Clothes Adult]]+Table_NFI[[#This Row],[Winter Clothes Children]]+Table_NFI[[#This Row],[Winter Items Other]]+Table_NFI[[#This Row],[Winter Blanket]]&gt;0,1,0)</f>
        <v>0</v>
      </c>
      <c r="AN152" s="392">
        <f>IF(NFI_Expiration=1,IF($A152&lt;VLOOKUP(V$5,NFI,5,0),1,0)*Table_NFI[[#This Row],[Jerry Can]],Table_NFI[Jerry Can])</f>
        <v>0</v>
      </c>
      <c r="AO152" s="540" t="str">
        <f>IFERROR(VLOOKUP(Table_NFI[[#This Row],[Camp Name]],CL,2,0),"")</f>
        <v>MMR001CMP018</v>
      </c>
      <c r="AP152" s="535">
        <f ca="1">IF(Table_NFI[[#This Row],[Pcode]]="","",IF(OFFSET(CampList[Opening Date],MATCH(Table_NFI[[#This Row],[Pcode]],CampList[CP_Pcode],0)-1,0,1,1)&gt;=NFI_Monitor_Date,1,0))</f>
        <v>0</v>
      </c>
      <c r="AQ152" s="540" t="str">
        <f>IFERROR(VLOOKUP(Table_NFI[[#This Row],[Camp Name]],CL,3,0),"")</f>
        <v>Open</v>
      </c>
      <c r="AR152" s="352" t="str">
        <f ca="1">IF(Table_NFI[[#This Row],[Pcode]]="","",OFFSET(CampList[Priority],MATCH(Table_NFI[[#This Row],[Pcode]],CampList[CP_Pcode],0)-1,0,1,1))</f>
        <v>P4</v>
      </c>
      <c r="AS152" s="351">
        <f>IFERROR(Table_NFI[[#This Row],[Kitchen Set]]/VLOOKUP(Table_NFI[[#This Row],[Camp Name]],CL,4,0),"")</f>
        <v>0.18181818181818182</v>
      </c>
      <c r="AT152" s="533"/>
      <c r="AU152" s="536"/>
    </row>
    <row r="153" spans="1:47" s="129" customFormat="1" ht="14.45" customHeight="1" x14ac:dyDescent="0.25">
      <c r="A153" s="355">
        <f t="shared" si="2"/>
        <v>20.566666666666666</v>
      </c>
      <c r="B153" s="532">
        <v>41954</v>
      </c>
      <c r="C153" s="533" t="s">
        <v>453</v>
      </c>
      <c r="D153" s="533" t="s">
        <v>461</v>
      </c>
      <c r="E153" s="533" t="s">
        <v>380</v>
      </c>
      <c r="F153" s="533" t="s">
        <v>528</v>
      </c>
      <c r="G153" s="533" t="s">
        <v>88</v>
      </c>
      <c r="H153" s="349"/>
      <c r="I153" s="349"/>
      <c r="J153" s="349">
        <v>19</v>
      </c>
      <c r="K153" s="349">
        <v>38</v>
      </c>
      <c r="L153" s="350">
        <v>19</v>
      </c>
      <c r="M153" s="350">
        <v>38</v>
      </c>
      <c r="N153" s="350">
        <v>19</v>
      </c>
      <c r="O153" s="350"/>
      <c r="P153" s="352">
        <v>19</v>
      </c>
      <c r="Q153" s="352">
        <v>95</v>
      </c>
      <c r="R153" s="352"/>
      <c r="S153" s="352"/>
      <c r="T153" s="352"/>
      <c r="U153" s="352"/>
      <c r="V153" s="497"/>
      <c r="W153" s="352"/>
      <c r="X153" s="352"/>
      <c r="Y153" s="352">
        <f>IF(NFI_Expiration=1,IF($A153&lt;VLOOKUP(H$5,NFI,5,0),1,0)*Table_NFI[[#This Row],[Hygiene Kit]],Table_NFI[Hygiene Kit])</f>
        <v>0</v>
      </c>
      <c r="Z153" s="352">
        <f>IF(NFI_Expiration=1,IF($A153&lt;VLOOKUP(I$5,NFI,5,0),1,0)*Table_NFI[[#This Row],[NFI Core Kit]],Table_NFI[NFI Core Kit])</f>
        <v>0</v>
      </c>
      <c r="AA153" s="352">
        <f>IF(NFI_Expiration=1,IF($A153&lt;VLOOKUP(J$5,NFI,5,0),1,0)*Table_NFI[[#This Row],[Sanitary Kit]],Table_NFI[Sanitary Kit])</f>
        <v>0</v>
      </c>
      <c r="AB153" s="352">
        <f>IF(NFI_Expiration=1,IF($A153&lt;VLOOKUP(K$5,NFI,5,0),1,0)*Table_NFI[[#This Row],[Mosquito net]],Table_NFI[Mosquito net])</f>
        <v>0</v>
      </c>
      <c r="AC153" s="352">
        <f>IF(NFI_Expiration=1,IF($A153&lt;VLOOKUP(L$5,NFI,5,0),1,0)*Table_NFI[[#This Row],[Tarpaulin]],Table_NFI[[#This Row],[Tarpaulin]])</f>
        <v>0</v>
      </c>
      <c r="AD153" s="352">
        <f>IF(NFI_Expiration=1,IF($A153&lt;VLOOKUP(M$5,NFI,5,0),1,0)*Table_NFI[[#This Row],[Blanket]],Table_NFI[[#This Row],[Blanket]])</f>
        <v>0</v>
      </c>
      <c r="AE153" s="352">
        <f>IF(NFI_Expiration=1,IF($A153&lt;VLOOKUP(N$5,NFI,5,0),1,0)*Table_NFI[[#This Row],[Kitchen Set]],Table_NFI[Kitchen Set])</f>
        <v>0</v>
      </c>
      <c r="AF153" s="352">
        <f>IF(NFI_Expiration=1,IF($A153&lt;VLOOKUP(O$5,NFI,5,0),1,0)*Table_NFI[[#This Row],[Clothes Kit]],Table_NFI[Clothes Kit])</f>
        <v>0</v>
      </c>
      <c r="AG153" s="352">
        <f>IF(NFI_Expiration=1,IF($A153&lt;VLOOKUP(P$5,NFI,5,0),1,0)*Table_NFI[[#This Row],[Plastic Bucket]],Table_NFI[Plastic Bucket])</f>
        <v>0</v>
      </c>
      <c r="AH153" s="352">
        <f>IF(NFI_Expiration=1,IF($A153&lt;VLOOKUP(Q$5,NFI,5,0),1,0)*Table_NFI[[#This Row],[Plastic Mat]],Table_NFI[Plastic Mat])*IF(Table_NFI[[#This Row],[Distribution Date]]&gt;"2014-04-01",1,2.5)</f>
        <v>0</v>
      </c>
      <c r="AI153" s="352">
        <f>IF(NFI_Expiration=1,IF($A153&lt;VLOOKUP(R$5,NFI,5,0),1,0)*Table_NFI[[#This Row],[Winter Clothes Adult]],Table_NFI[Winter Clothes Adult])</f>
        <v>0</v>
      </c>
      <c r="AJ153" s="352">
        <f>IF(NFI_Expiration=1,IF($A153&lt;VLOOKUP(S$5,NFI,5,0),1,0)*Table_NFI[[#This Row],[Winter Clothes Children]],Table_NFI[Winter Clothes Children])</f>
        <v>0</v>
      </c>
      <c r="AK153" s="352">
        <f>IF(NFI_Expiration=1,IF($A153&lt;VLOOKUP(T$5,NFI,5,0),1,0)*Table_NFI[[#This Row],[Winter Items Other]],Table_NFI[Winter Items Other])</f>
        <v>0</v>
      </c>
      <c r="AL153" s="352">
        <f>IF(NFI_Expiration=1,IF($A153&lt;VLOOKUP(M$5,NFI,5,0),1,0)*Table_NFI[[#This Row],[Winter Blanket]],Table_NFI[[#This Row],[Winter Blanket]])</f>
        <v>0</v>
      </c>
      <c r="AM153" s="352">
        <f>IF(Table_NFI[[#This Row],[Winter Clothes Adult]]+Table_NFI[[#This Row],[Winter Clothes Children]]+Table_NFI[[#This Row],[Winter Items Other]]+Table_NFI[[#This Row],[Winter Blanket]]&gt;0,1,0)</f>
        <v>0</v>
      </c>
      <c r="AN153" s="392">
        <f>IF(NFI_Expiration=1,IF($A153&lt;VLOOKUP(V$5,NFI,5,0),1,0)*Table_NFI[[#This Row],[Jerry Can]],Table_NFI[Jerry Can])</f>
        <v>0</v>
      </c>
      <c r="AO153" s="540" t="str">
        <f>IFERROR(VLOOKUP(Table_NFI[[#This Row],[Camp Name]],CL,2,0),"")</f>
        <v>MMR001CMP148</v>
      </c>
      <c r="AP153" s="535">
        <f ca="1">IF(Table_NFI[[#This Row],[Pcode]]="","",IF(OFFSET(CampList[Opening Date],MATCH(Table_NFI[[#This Row],[Pcode]],CampList[CP_Pcode],0)-1,0,1,1)&gt;=NFI_Monitor_Date,1,0))</f>
        <v>0</v>
      </c>
      <c r="AQ153" s="540" t="str">
        <f>IFERROR(VLOOKUP(Table_NFI[[#This Row],[Camp Name]],CL,3,0),"")</f>
        <v>Open</v>
      </c>
      <c r="AR153" s="352" t="str">
        <f ca="1">IF(Table_NFI[[#This Row],[Pcode]]="","",OFFSET(CampList[Priority],MATCH(Table_NFI[[#This Row],[Pcode]],CampList[CP_Pcode],0)-1,0,1,1))</f>
        <v>P4</v>
      </c>
      <c r="AS153" s="351">
        <f>IFERROR(Table_NFI[[#This Row],[Kitchen Set]]/VLOOKUP(Table_NFI[[#This Row],[Camp Name]],CL,4,0),"")</f>
        <v>1.3571428571428572</v>
      </c>
      <c r="AT153" s="533"/>
      <c r="AU153" s="536"/>
    </row>
    <row r="154" spans="1:47" s="129" customFormat="1" ht="14.45" customHeight="1" x14ac:dyDescent="0.25">
      <c r="A154" s="355">
        <f t="shared" si="2"/>
        <v>20.833333333333332</v>
      </c>
      <c r="B154" s="532">
        <v>41946</v>
      </c>
      <c r="C154" s="533" t="s">
        <v>453</v>
      </c>
      <c r="D154" s="533" t="s">
        <v>506</v>
      </c>
      <c r="E154" s="533" t="s">
        <v>380</v>
      </c>
      <c r="F154" s="533" t="s">
        <v>310</v>
      </c>
      <c r="G154" s="533" t="s">
        <v>313</v>
      </c>
      <c r="H154" s="349"/>
      <c r="I154" s="349"/>
      <c r="J154" s="349">
        <v>15</v>
      </c>
      <c r="K154" s="349">
        <v>30</v>
      </c>
      <c r="L154" s="350">
        <v>15</v>
      </c>
      <c r="M154" s="350">
        <v>30</v>
      </c>
      <c r="N154" s="350">
        <v>15</v>
      </c>
      <c r="O154" s="350"/>
      <c r="P154" s="352">
        <v>15</v>
      </c>
      <c r="Q154" s="352">
        <v>75</v>
      </c>
      <c r="R154" s="352"/>
      <c r="S154" s="352"/>
      <c r="T154" s="352"/>
      <c r="U154" s="352"/>
      <c r="V154" s="497"/>
      <c r="W154" s="352"/>
      <c r="X154" s="352"/>
      <c r="Y154" s="352">
        <f>IF(NFI_Expiration=1,IF($A154&lt;VLOOKUP(H$5,NFI,5,0),1,0)*Table_NFI[[#This Row],[Hygiene Kit]],Table_NFI[Hygiene Kit])</f>
        <v>0</v>
      </c>
      <c r="Z154" s="352">
        <f>IF(NFI_Expiration=1,IF($A154&lt;VLOOKUP(I$5,NFI,5,0),1,0)*Table_NFI[[#This Row],[NFI Core Kit]],Table_NFI[NFI Core Kit])</f>
        <v>0</v>
      </c>
      <c r="AA154" s="352">
        <f>IF(NFI_Expiration=1,IF($A154&lt;VLOOKUP(J$5,NFI,5,0),1,0)*Table_NFI[[#This Row],[Sanitary Kit]],Table_NFI[Sanitary Kit])</f>
        <v>0</v>
      </c>
      <c r="AB154" s="352">
        <f>IF(NFI_Expiration=1,IF($A154&lt;VLOOKUP(K$5,NFI,5,0),1,0)*Table_NFI[[#This Row],[Mosquito net]],Table_NFI[Mosquito net])</f>
        <v>0</v>
      </c>
      <c r="AC154" s="352">
        <f>IF(NFI_Expiration=1,IF($A154&lt;VLOOKUP(L$5,NFI,5,0),1,0)*Table_NFI[[#This Row],[Tarpaulin]],Table_NFI[[#This Row],[Tarpaulin]])</f>
        <v>0</v>
      </c>
      <c r="AD154" s="352">
        <f>IF(NFI_Expiration=1,IF($A154&lt;VLOOKUP(M$5,NFI,5,0),1,0)*Table_NFI[[#This Row],[Blanket]],Table_NFI[[#This Row],[Blanket]])</f>
        <v>0</v>
      </c>
      <c r="AE154" s="352">
        <f>IF(NFI_Expiration=1,IF($A154&lt;VLOOKUP(N$5,NFI,5,0),1,0)*Table_NFI[[#This Row],[Kitchen Set]],Table_NFI[Kitchen Set])</f>
        <v>0</v>
      </c>
      <c r="AF154" s="352">
        <f>IF(NFI_Expiration=1,IF($A154&lt;VLOOKUP(O$5,NFI,5,0),1,0)*Table_NFI[[#This Row],[Clothes Kit]],Table_NFI[Clothes Kit])</f>
        <v>0</v>
      </c>
      <c r="AG154" s="352">
        <f>IF(NFI_Expiration=1,IF($A154&lt;VLOOKUP(P$5,NFI,5,0),1,0)*Table_NFI[[#This Row],[Plastic Bucket]],Table_NFI[Plastic Bucket])</f>
        <v>0</v>
      </c>
      <c r="AH154" s="352">
        <f>IF(NFI_Expiration=1,IF($A154&lt;VLOOKUP(Q$5,NFI,5,0),1,0)*Table_NFI[[#This Row],[Plastic Mat]],Table_NFI[Plastic Mat])*IF(Table_NFI[[#This Row],[Distribution Date]]&gt;"2014-04-01",1,2.5)</f>
        <v>0</v>
      </c>
      <c r="AI154" s="352">
        <f>IF(NFI_Expiration=1,IF($A154&lt;VLOOKUP(R$5,NFI,5,0),1,0)*Table_NFI[[#This Row],[Winter Clothes Adult]],Table_NFI[Winter Clothes Adult])</f>
        <v>0</v>
      </c>
      <c r="AJ154" s="352">
        <f>IF(NFI_Expiration=1,IF($A154&lt;VLOOKUP(S$5,NFI,5,0),1,0)*Table_NFI[[#This Row],[Winter Clothes Children]],Table_NFI[Winter Clothes Children])</f>
        <v>0</v>
      </c>
      <c r="AK154" s="352">
        <f>IF(NFI_Expiration=1,IF($A154&lt;VLOOKUP(T$5,NFI,5,0),1,0)*Table_NFI[[#This Row],[Winter Items Other]],Table_NFI[Winter Items Other])</f>
        <v>0</v>
      </c>
      <c r="AL154" s="352">
        <f>IF(NFI_Expiration=1,IF($A154&lt;VLOOKUP(M$5,NFI,5,0),1,0)*Table_NFI[[#This Row],[Winter Blanket]],Table_NFI[[#This Row],[Winter Blanket]])</f>
        <v>0</v>
      </c>
      <c r="AM154" s="352">
        <f>IF(Table_NFI[[#This Row],[Winter Clothes Adult]]+Table_NFI[[#This Row],[Winter Clothes Children]]+Table_NFI[[#This Row],[Winter Items Other]]+Table_NFI[[#This Row],[Winter Blanket]]&gt;0,1,0)</f>
        <v>0</v>
      </c>
      <c r="AN154" s="392">
        <f>IF(NFI_Expiration=1,IF($A154&lt;VLOOKUP(V$5,NFI,5,0),1,0)*Table_NFI[[#This Row],[Jerry Can]],Table_NFI[Jerry Can])</f>
        <v>0</v>
      </c>
      <c r="AO154" s="540" t="str">
        <f>IFERROR(VLOOKUP(Table_NFI[[#This Row],[Camp Name]],CL,2,0),"")</f>
        <v>MMR001CMP028</v>
      </c>
      <c r="AP154" s="535">
        <f ca="1">IF(Table_NFI[[#This Row],[Pcode]]="","",IF(OFFSET(CampList[Opening Date],MATCH(Table_NFI[[#This Row],[Pcode]],CampList[CP_Pcode],0)-1,0,1,1)&gt;=NFI_Monitor_Date,1,0))</f>
        <v>0</v>
      </c>
      <c r="AQ154" s="540" t="str">
        <f>IFERROR(VLOOKUP(Table_NFI[[#This Row],[Camp Name]],CL,3,0),"")</f>
        <v>Open</v>
      </c>
      <c r="AR154" s="352" t="str">
        <f ca="1">IF(Table_NFI[[#This Row],[Pcode]]="","",OFFSET(CampList[Priority],MATCH(Table_NFI[[#This Row],[Pcode]],CampList[CP_Pcode],0)-1,0,1,1))</f>
        <v>P4</v>
      </c>
      <c r="AS154" s="351">
        <f>IFERROR(Table_NFI[[#This Row],[Kitchen Set]]/VLOOKUP(Table_NFI[[#This Row],[Camp Name]],CL,4,0),"")</f>
        <v>0.15151515151515152</v>
      </c>
      <c r="AT154" s="533"/>
      <c r="AU154" s="536"/>
    </row>
    <row r="155" spans="1:47" s="129" customFormat="1" ht="14.45" customHeight="1" x14ac:dyDescent="0.25">
      <c r="A155" s="355">
        <f t="shared" si="2"/>
        <v>20.933333333333334</v>
      </c>
      <c r="B155" s="532">
        <v>41943</v>
      </c>
      <c r="C155" s="533" t="s">
        <v>453</v>
      </c>
      <c r="D155" s="533"/>
      <c r="E155" s="533" t="s">
        <v>380</v>
      </c>
      <c r="F155" s="533" t="s">
        <v>528</v>
      </c>
      <c r="G155" s="533" t="s">
        <v>62</v>
      </c>
      <c r="H155" s="349"/>
      <c r="I155" s="349"/>
      <c r="J155" s="349">
        <v>77</v>
      </c>
      <c r="K155" s="349">
        <v>154</v>
      </c>
      <c r="L155" s="350">
        <v>77</v>
      </c>
      <c r="M155" s="350">
        <v>154</v>
      </c>
      <c r="N155" s="350">
        <v>77</v>
      </c>
      <c r="O155" s="350"/>
      <c r="P155" s="352">
        <v>77</v>
      </c>
      <c r="Q155" s="352">
        <v>385</v>
      </c>
      <c r="R155" s="352"/>
      <c r="S155" s="352"/>
      <c r="T155" s="352"/>
      <c r="U155" s="352"/>
      <c r="V155" s="497"/>
      <c r="W155" s="352"/>
      <c r="X155" s="352"/>
      <c r="Y155" s="352">
        <f>IF(NFI_Expiration=1,IF($A155&lt;VLOOKUP(H$5,NFI,5,0),1,0)*Table_NFI[[#This Row],[Hygiene Kit]],Table_NFI[Hygiene Kit])</f>
        <v>0</v>
      </c>
      <c r="Z155" s="352">
        <f>IF(NFI_Expiration=1,IF($A155&lt;VLOOKUP(I$5,NFI,5,0),1,0)*Table_NFI[[#This Row],[NFI Core Kit]],Table_NFI[NFI Core Kit])</f>
        <v>0</v>
      </c>
      <c r="AA155" s="352">
        <f>IF(NFI_Expiration=1,IF($A155&lt;VLOOKUP(J$5,NFI,5,0),1,0)*Table_NFI[[#This Row],[Sanitary Kit]],Table_NFI[Sanitary Kit])</f>
        <v>0</v>
      </c>
      <c r="AB155" s="352">
        <f>IF(NFI_Expiration=1,IF($A155&lt;VLOOKUP(K$5,NFI,5,0),1,0)*Table_NFI[[#This Row],[Mosquito net]],Table_NFI[Mosquito net])</f>
        <v>0</v>
      </c>
      <c r="AC155" s="352">
        <f>IF(NFI_Expiration=1,IF($A155&lt;VLOOKUP(L$5,NFI,5,0),1,0)*Table_NFI[[#This Row],[Tarpaulin]],Table_NFI[[#This Row],[Tarpaulin]])</f>
        <v>0</v>
      </c>
      <c r="AD155" s="352">
        <f>IF(NFI_Expiration=1,IF($A155&lt;VLOOKUP(M$5,NFI,5,0),1,0)*Table_NFI[[#This Row],[Blanket]],Table_NFI[[#This Row],[Blanket]])</f>
        <v>0</v>
      </c>
      <c r="AE155" s="352">
        <f>IF(NFI_Expiration=1,IF($A155&lt;VLOOKUP(N$5,NFI,5,0),1,0)*Table_NFI[[#This Row],[Kitchen Set]],Table_NFI[Kitchen Set])</f>
        <v>0</v>
      </c>
      <c r="AF155" s="352">
        <f>IF(NFI_Expiration=1,IF($A155&lt;VLOOKUP(O$5,NFI,5,0),1,0)*Table_NFI[[#This Row],[Clothes Kit]],Table_NFI[Clothes Kit])</f>
        <v>0</v>
      </c>
      <c r="AG155" s="352">
        <f>IF(NFI_Expiration=1,IF($A155&lt;VLOOKUP(P$5,NFI,5,0),1,0)*Table_NFI[[#This Row],[Plastic Bucket]],Table_NFI[Plastic Bucket])</f>
        <v>0</v>
      </c>
      <c r="AH155" s="352">
        <f>IF(NFI_Expiration=1,IF($A155&lt;VLOOKUP(Q$5,NFI,5,0),1,0)*Table_NFI[[#This Row],[Plastic Mat]],Table_NFI[Plastic Mat])*IF(Table_NFI[[#This Row],[Distribution Date]]&gt;"2014-04-01",1,2.5)</f>
        <v>0</v>
      </c>
      <c r="AI155" s="352">
        <f>IF(NFI_Expiration=1,IF($A155&lt;VLOOKUP(R$5,NFI,5,0),1,0)*Table_NFI[[#This Row],[Winter Clothes Adult]],Table_NFI[Winter Clothes Adult])</f>
        <v>0</v>
      </c>
      <c r="AJ155" s="352">
        <f>IF(NFI_Expiration=1,IF($A155&lt;VLOOKUP(S$5,NFI,5,0),1,0)*Table_NFI[[#This Row],[Winter Clothes Children]],Table_NFI[Winter Clothes Children])</f>
        <v>0</v>
      </c>
      <c r="AK155" s="352">
        <f>IF(NFI_Expiration=1,IF($A155&lt;VLOOKUP(T$5,NFI,5,0),1,0)*Table_NFI[[#This Row],[Winter Items Other]],Table_NFI[Winter Items Other])</f>
        <v>0</v>
      </c>
      <c r="AL155" s="352">
        <f>IF(NFI_Expiration=1,IF($A155&lt;VLOOKUP(M$5,NFI,5,0),1,0)*Table_NFI[[#This Row],[Winter Blanket]],Table_NFI[[#This Row],[Winter Blanket]])</f>
        <v>0</v>
      </c>
      <c r="AM155" s="352">
        <f>IF(Table_NFI[[#This Row],[Winter Clothes Adult]]+Table_NFI[[#This Row],[Winter Clothes Children]]+Table_NFI[[#This Row],[Winter Items Other]]+Table_NFI[[#This Row],[Winter Blanket]]&gt;0,1,0)</f>
        <v>0</v>
      </c>
      <c r="AN155" s="392">
        <f>IF(NFI_Expiration=1,IF($A155&lt;VLOOKUP(V$5,NFI,5,0),1,0)*Table_NFI[[#This Row],[Jerry Can]],Table_NFI[Jerry Can])</f>
        <v>0</v>
      </c>
      <c r="AO155" s="540" t="str">
        <f>IFERROR(VLOOKUP(Table_NFI[[#This Row],[Camp Name]],CL,2,0),"")</f>
        <v>MMR001CMP179</v>
      </c>
      <c r="AP155" s="535">
        <f ca="1">IF(Table_NFI[[#This Row],[Pcode]]="","",IF(OFFSET(CampList[Opening Date],MATCH(Table_NFI[[#This Row],[Pcode]],CampList[CP_Pcode],0)-1,0,1,1)&gt;=NFI_Monitor_Date,1,0))</f>
        <v>0</v>
      </c>
      <c r="AQ155" s="540" t="str">
        <f>IFERROR(VLOOKUP(Table_NFI[[#This Row],[Camp Name]],CL,3,0),"")</f>
        <v>Open</v>
      </c>
      <c r="AR155" s="352" t="str">
        <f ca="1">IF(Table_NFI[[#This Row],[Pcode]]="","",OFFSET(CampList[Priority],MATCH(Table_NFI[[#This Row],[Pcode]],CampList[CP_Pcode],0)-1,0,1,1))</f>
        <v>P4</v>
      </c>
      <c r="AS155" s="351">
        <f>IFERROR(Table_NFI[[#This Row],[Kitchen Set]]/VLOOKUP(Table_NFI[[#This Row],[Camp Name]],CL,4,0),"")</f>
        <v>1.0547945205479452</v>
      </c>
      <c r="AT155" s="533"/>
      <c r="AU155" s="536"/>
    </row>
    <row r="156" spans="1:47" s="129" customFormat="1" ht="14.45" customHeight="1" x14ac:dyDescent="0.25">
      <c r="A156" s="355">
        <f t="shared" si="2"/>
        <v>20.933333333333334</v>
      </c>
      <c r="B156" s="532">
        <v>41943</v>
      </c>
      <c r="C156" s="533" t="s">
        <v>453</v>
      </c>
      <c r="D156" s="533"/>
      <c r="E156" s="533" t="s">
        <v>380</v>
      </c>
      <c r="F156" s="533" t="s">
        <v>528</v>
      </c>
      <c r="G156" s="533" t="s">
        <v>120</v>
      </c>
      <c r="H156" s="349"/>
      <c r="I156" s="349"/>
      <c r="J156" s="349">
        <v>59</v>
      </c>
      <c r="K156" s="349">
        <v>118</v>
      </c>
      <c r="L156" s="350">
        <v>59</v>
      </c>
      <c r="M156" s="350">
        <v>118</v>
      </c>
      <c r="N156" s="350">
        <v>59</v>
      </c>
      <c r="O156" s="350"/>
      <c r="P156" s="352">
        <v>59</v>
      </c>
      <c r="Q156" s="352">
        <v>295</v>
      </c>
      <c r="R156" s="352"/>
      <c r="S156" s="352"/>
      <c r="T156" s="352"/>
      <c r="U156" s="352"/>
      <c r="V156" s="497"/>
      <c r="W156" s="352"/>
      <c r="X156" s="352"/>
      <c r="Y156" s="352">
        <f>IF(NFI_Expiration=1,IF($A156&lt;VLOOKUP(H$5,NFI,5,0),1,0)*Table_NFI[[#This Row],[Hygiene Kit]],Table_NFI[Hygiene Kit])</f>
        <v>0</v>
      </c>
      <c r="Z156" s="352">
        <f>IF(NFI_Expiration=1,IF($A156&lt;VLOOKUP(I$5,NFI,5,0),1,0)*Table_NFI[[#This Row],[NFI Core Kit]],Table_NFI[NFI Core Kit])</f>
        <v>0</v>
      </c>
      <c r="AA156" s="352">
        <f>IF(NFI_Expiration=1,IF($A156&lt;VLOOKUP(J$5,NFI,5,0),1,0)*Table_NFI[[#This Row],[Sanitary Kit]],Table_NFI[Sanitary Kit])</f>
        <v>0</v>
      </c>
      <c r="AB156" s="352">
        <f>IF(NFI_Expiration=1,IF($A156&lt;VLOOKUP(K$5,NFI,5,0),1,0)*Table_NFI[[#This Row],[Mosquito net]],Table_NFI[Mosquito net])</f>
        <v>0</v>
      </c>
      <c r="AC156" s="352">
        <f>IF(NFI_Expiration=1,IF($A156&lt;VLOOKUP(L$5,NFI,5,0),1,0)*Table_NFI[[#This Row],[Tarpaulin]],Table_NFI[[#This Row],[Tarpaulin]])</f>
        <v>0</v>
      </c>
      <c r="AD156" s="352">
        <f>IF(NFI_Expiration=1,IF($A156&lt;VLOOKUP(M$5,NFI,5,0),1,0)*Table_NFI[[#This Row],[Blanket]],Table_NFI[[#This Row],[Blanket]])</f>
        <v>0</v>
      </c>
      <c r="AE156" s="352">
        <f>IF(NFI_Expiration=1,IF($A156&lt;VLOOKUP(N$5,NFI,5,0),1,0)*Table_NFI[[#This Row],[Kitchen Set]],Table_NFI[Kitchen Set])</f>
        <v>0</v>
      </c>
      <c r="AF156" s="352">
        <f>IF(NFI_Expiration=1,IF($A156&lt;VLOOKUP(O$5,NFI,5,0),1,0)*Table_NFI[[#This Row],[Clothes Kit]],Table_NFI[Clothes Kit])</f>
        <v>0</v>
      </c>
      <c r="AG156" s="352">
        <f>IF(NFI_Expiration=1,IF($A156&lt;VLOOKUP(P$5,NFI,5,0),1,0)*Table_NFI[[#This Row],[Plastic Bucket]],Table_NFI[Plastic Bucket])</f>
        <v>0</v>
      </c>
      <c r="AH156" s="352">
        <f>IF(NFI_Expiration=1,IF($A156&lt;VLOOKUP(Q$5,NFI,5,0),1,0)*Table_NFI[[#This Row],[Plastic Mat]],Table_NFI[Plastic Mat])*IF(Table_NFI[[#This Row],[Distribution Date]]&gt;"2014-04-01",1,2.5)</f>
        <v>0</v>
      </c>
      <c r="AI156" s="352">
        <f>IF(NFI_Expiration=1,IF($A156&lt;VLOOKUP(R$5,NFI,5,0),1,0)*Table_NFI[[#This Row],[Winter Clothes Adult]],Table_NFI[Winter Clothes Adult])</f>
        <v>0</v>
      </c>
      <c r="AJ156" s="352">
        <f>IF(NFI_Expiration=1,IF($A156&lt;VLOOKUP(S$5,NFI,5,0),1,0)*Table_NFI[[#This Row],[Winter Clothes Children]],Table_NFI[Winter Clothes Children])</f>
        <v>0</v>
      </c>
      <c r="AK156" s="352">
        <f>IF(NFI_Expiration=1,IF($A156&lt;VLOOKUP(T$5,NFI,5,0),1,0)*Table_NFI[[#This Row],[Winter Items Other]],Table_NFI[Winter Items Other])</f>
        <v>0</v>
      </c>
      <c r="AL156" s="352">
        <f>IF(NFI_Expiration=1,IF($A156&lt;VLOOKUP(M$5,NFI,5,0),1,0)*Table_NFI[[#This Row],[Winter Blanket]],Table_NFI[[#This Row],[Winter Blanket]])</f>
        <v>0</v>
      </c>
      <c r="AM156" s="352">
        <f>IF(Table_NFI[[#This Row],[Winter Clothes Adult]]+Table_NFI[[#This Row],[Winter Clothes Children]]+Table_NFI[[#This Row],[Winter Items Other]]+Table_NFI[[#This Row],[Winter Blanket]]&gt;0,1,0)</f>
        <v>0</v>
      </c>
      <c r="AN156" s="392">
        <f>IF(NFI_Expiration=1,IF($A156&lt;VLOOKUP(V$5,NFI,5,0),1,0)*Table_NFI[[#This Row],[Jerry Can]],Table_NFI[Jerry Can])</f>
        <v>0</v>
      </c>
      <c r="AO156" s="540" t="str">
        <f>IFERROR(VLOOKUP(Table_NFI[[#This Row],[Camp Name]],CL,2,0),"")</f>
        <v>MMR001CMP168</v>
      </c>
      <c r="AP156" s="535">
        <f ca="1">IF(Table_NFI[[#This Row],[Pcode]]="","",IF(OFFSET(CampList[Opening Date],MATCH(Table_NFI[[#This Row],[Pcode]],CampList[CP_Pcode],0)-1,0,1,1)&gt;=NFI_Monitor_Date,1,0))</f>
        <v>0</v>
      </c>
      <c r="AQ156" s="540" t="str">
        <f>IFERROR(VLOOKUP(Table_NFI[[#This Row],[Camp Name]],CL,3,0),"")</f>
        <v>Open</v>
      </c>
      <c r="AR156" s="352" t="str">
        <f ca="1">IF(Table_NFI[[#This Row],[Pcode]]="","",OFFSET(CampList[Priority],MATCH(Table_NFI[[#This Row],[Pcode]],CampList[CP_Pcode],0)-1,0,1,1))</f>
        <v>P4</v>
      </c>
      <c r="AS156" s="351">
        <f>IFERROR(Table_NFI[[#This Row],[Kitchen Set]]/VLOOKUP(Table_NFI[[#This Row],[Camp Name]],CL,4,0),"")</f>
        <v>0.76623376623376627</v>
      </c>
      <c r="AT156" s="533"/>
      <c r="AU156" s="536"/>
    </row>
    <row r="157" spans="1:47" s="129" customFormat="1" ht="14.45" customHeight="1" x14ac:dyDescent="0.25">
      <c r="A157" s="355">
        <f t="shared" si="2"/>
        <v>20.933333333333334</v>
      </c>
      <c r="B157" s="532">
        <v>41943</v>
      </c>
      <c r="C157" s="533" t="s">
        <v>453</v>
      </c>
      <c r="D157" s="533"/>
      <c r="E157" s="533" t="s">
        <v>380</v>
      </c>
      <c r="F157" s="533" t="s">
        <v>528</v>
      </c>
      <c r="G157" s="533" t="s">
        <v>41</v>
      </c>
      <c r="H157" s="349"/>
      <c r="I157" s="349"/>
      <c r="J157" s="349">
        <v>67</v>
      </c>
      <c r="K157" s="349">
        <v>134</v>
      </c>
      <c r="L157" s="350">
        <v>67</v>
      </c>
      <c r="M157" s="350">
        <v>134</v>
      </c>
      <c r="N157" s="350">
        <v>67</v>
      </c>
      <c r="O157" s="350"/>
      <c r="P157" s="352">
        <v>67</v>
      </c>
      <c r="Q157" s="352">
        <v>335</v>
      </c>
      <c r="R157" s="352"/>
      <c r="S157" s="352"/>
      <c r="T157" s="352"/>
      <c r="U157" s="352"/>
      <c r="V157" s="497"/>
      <c r="W157" s="352"/>
      <c r="X157" s="352"/>
      <c r="Y157" s="352">
        <f>IF(NFI_Expiration=1,IF($A157&lt;VLOOKUP(H$5,NFI,5,0),1,0)*Table_NFI[[#This Row],[Hygiene Kit]],Table_NFI[Hygiene Kit])</f>
        <v>0</v>
      </c>
      <c r="Z157" s="352">
        <f>IF(NFI_Expiration=1,IF($A157&lt;VLOOKUP(I$5,NFI,5,0),1,0)*Table_NFI[[#This Row],[NFI Core Kit]],Table_NFI[NFI Core Kit])</f>
        <v>0</v>
      </c>
      <c r="AA157" s="352">
        <f>IF(NFI_Expiration=1,IF($A157&lt;VLOOKUP(J$5,NFI,5,0),1,0)*Table_NFI[[#This Row],[Sanitary Kit]],Table_NFI[Sanitary Kit])</f>
        <v>0</v>
      </c>
      <c r="AB157" s="352">
        <f>IF(NFI_Expiration=1,IF($A157&lt;VLOOKUP(K$5,NFI,5,0),1,0)*Table_NFI[[#This Row],[Mosquito net]],Table_NFI[Mosquito net])</f>
        <v>0</v>
      </c>
      <c r="AC157" s="352">
        <f>IF(NFI_Expiration=1,IF($A157&lt;VLOOKUP(L$5,NFI,5,0),1,0)*Table_NFI[[#This Row],[Tarpaulin]],Table_NFI[[#This Row],[Tarpaulin]])</f>
        <v>0</v>
      </c>
      <c r="AD157" s="352">
        <f>IF(NFI_Expiration=1,IF($A157&lt;VLOOKUP(M$5,NFI,5,0),1,0)*Table_NFI[[#This Row],[Blanket]],Table_NFI[[#This Row],[Blanket]])</f>
        <v>0</v>
      </c>
      <c r="AE157" s="352">
        <f>IF(NFI_Expiration=1,IF($A157&lt;VLOOKUP(N$5,NFI,5,0),1,0)*Table_NFI[[#This Row],[Kitchen Set]],Table_NFI[Kitchen Set])</f>
        <v>0</v>
      </c>
      <c r="AF157" s="352">
        <f>IF(NFI_Expiration=1,IF($A157&lt;VLOOKUP(O$5,NFI,5,0),1,0)*Table_NFI[[#This Row],[Clothes Kit]],Table_NFI[Clothes Kit])</f>
        <v>0</v>
      </c>
      <c r="AG157" s="352">
        <f>IF(NFI_Expiration=1,IF($A157&lt;VLOOKUP(P$5,NFI,5,0),1,0)*Table_NFI[[#This Row],[Plastic Bucket]],Table_NFI[Plastic Bucket])</f>
        <v>0</v>
      </c>
      <c r="AH157" s="352">
        <f>IF(NFI_Expiration=1,IF($A157&lt;VLOOKUP(Q$5,NFI,5,0),1,0)*Table_NFI[[#This Row],[Plastic Mat]],Table_NFI[Plastic Mat])*IF(Table_NFI[[#This Row],[Distribution Date]]&gt;"2014-04-01",1,2.5)</f>
        <v>0</v>
      </c>
      <c r="AI157" s="352">
        <f>IF(NFI_Expiration=1,IF($A157&lt;VLOOKUP(R$5,NFI,5,0),1,0)*Table_NFI[[#This Row],[Winter Clothes Adult]],Table_NFI[Winter Clothes Adult])</f>
        <v>0</v>
      </c>
      <c r="AJ157" s="352">
        <f>IF(NFI_Expiration=1,IF($A157&lt;VLOOKUP(S$5,NFI,5,0),1,0)*Table_NFI[[#This Row],[Winter Clothes Children]],Table_NFI[Winter Clothes Children])</f>
        <v>0</v>
      </c>
      <c r="AK157" s="352">
        <f>IF(NFI_Expiration=1,IF($A157&lt;VLOOKUP(T$5,NFI,5,0),1,0)*Table_NFI[[#This Row],[Winter Items Other]],Table_NFI[Winter Items Other])</f>
        <v>0</v>
      </c>
      <c r="AL157" s="352">
        <f>IF(NFI_Expiration=1,IF($A157&lt;VLOOKUP(M$5,NFI,5,0),1,0)*Table_NFI[[#This Row],[Winter Blanket]],Table_NFI[[#This Row],[Winter Blanket]])</f>
        <v>0</v>
      </c>
      <c r="AM157" s="352">
        <f>IF(Table_NFI[[#This Row],[Winter Clothes Adult]]+Table_NFI[[#This Row],[Winter Clothes Children]]+Table_NFI[[#This Row],[Winter Items Other]]+Table_NFI[[#This Row],[Winter Blanket]]&gt;0,1,0)</f>
        <v>0</v>
      </c>
      <c r="AN157" s="392">
        <f>IF(NFI_Expiration=1,IF($A157&lt;VLOOKUP(V$5,NFI,5,0),1,0)*Table_NFI[[#This Row],[Jerry Can]],Table_NFI[Jerry Can])</f>
        <v>0</v>
      </c>
      <c r="AO157" s="540" t="str">
        <f>IFERROR(VLOOKUP(Table_NFI[[#This Row],[Camp Name]],CL,2,0),"")</f>
        <v>MMR001CMP176</v>
      </c>
      <c r="AP157" s="535">
        <f ca="1">IF(Table_NFI[[#This Row],[Pcode]]="","",IF(OFFSET(CampList[Opening Date],MATCH(Table_NFI[[#This Row],[Pcode]],CampList[CP_Pcode],0)-1,0,1,1)&gt;=NFI_Monitor_Date,1,0))</f>
        <v>0</v>
      </c>
      <c r="AQ157" s="540" t="str">
        <f>IFERROR(VLOOKUP(Table_NFI[[#This Row],[Camp Name]],CL,3,0),"")</f>
        <v>Open</v>
      </c>
      <c r="AR157" s="352" t="str">
        <f ca="1">IF(Table_NFI[[#This Row],[Pcode]]="","",OFFSET(CampList[Priority],MATCH(Table_NFI[[#This Row],[Pcode]],CampList[CP_Pcode],0)-1,0,1,1))</f>
        <v>P4</v>
      </c>
      <c r="AS157" s="351">
        <f>IFERROR(Table_NFI[[#This Row],[Kitchen Set]]/VLOOKUP(Table_NFI[[#This Row],[Camp Name]],CL,4,0),"")</f>
        <v>1</v>
      </c>
      <c r="AT157" s="533"/>
      <c r="AU157" s="536"/>
    </row>
    <row r="158" spans="1:47" s="129" customFormat="1" ht="14.45" hidden="1" customHeight="1" x14ac:dyDescent="0.25">
      <c r="A158" s="355">
        <f t="shared" si="2"/>
        <v>26.233333333333334</v>
      </c>
      <c r="B158" s="532">
        <v>41784</v>
      </c>
      <c r="C158" s="533" t="s">
        <v>1106</v>
      </c>
      <c r="D158" s="533" t="s">
        <v>902</v>
      </c>
      <c r="E158" s="533" t="s">
        <v>380</v>
      </c>
      <c r="F158" s="533" t="s">
        <v>310</v>
      </c>
      <c r="G158" s="533" t="s">
        <v>313</v>
      </c>
      <c r="H158" s="349"/>
      <c r="I158" s="349"/>
      <c r="J158" s="349"/>
      <c r="K158" s="349"/>
      <c r="L158" s="350"/>
      <c r="M158" s="350"/>
      <c r="N158" s="350"/>
      <c r="O158" s="350"/>
      <c r="P158" s="352"/>
      <c r="Q158" s="352"/>
      <c r="R158" s="352"/>
      <c r="S158" s="352"/>
      <c r="T158" s="352"/>
      <c r="U158" s="352">
        <v>224</v>
      </c>
      <c r="V158" s="497"/>
      <c r="W158" s="352"/>
      <c r="X158" s="352"/>
      <c r="Y158" s="352">
        <f>IF(NFI_Expiration=1,IF($A158&lt;VLOOKUP(H$5,NFI,5,0),1,0)*Table_NFI[[#This Row],[Hygiene Kit]],Table_NFI[Hygiene Kit])</f>
        <v>0</v>
      </c>
      <c r="Z158" s="352">
        <f>IF(NFI_Expiration=1,IF($A158&lt;VLOOKUP(I$5,NFI,5,0),1,0)*Table_NFI[[#This Row],[NFI Core Kit]],Table_NFI[NFI Core Kit])</f>
        <v>0</v>
      </c>
      <c r="AA158" s="352">
        <f>IF(NFI_Expiration=1,IF($A158&lt;VLOOKUP(J$5,NFI,5,0),1,0)*Table_NFI[[#This Row],[Sanitary Kit]],Table_NFI[Sanitary Kit])</f>
        <v>0</v>
      </c>
      <c r="AB158" s="352">
        <f>IF(NFI_Expiration=1,IF($A158&lt;VLOOKUP(K$5,NFI,5,0),1,0)*Table_NFI[[#This Row],[Mosquito net]],Table_NFI[Mosquito net])</f>
        <v>0</v>
      </c>
      <c r="AC158" s="352">
        <f>IF(NFI_Expiration=1,IF($A158&lt;VLOOKUP(L$5,NFI,5,0),1,0)*Table_NFI[[#This Row],[Tarpaulin]],Table_NFI[[#This Row],[Tarpaulin]])</f>
        <v>0</v>
      </c>
      <c r="AD158" s="352">
        <f>IF(NFI_Expiration=1,IF($A158&lt;VLOOKUP(M$5,NFI,5,0),1,0)*Table_NFI[[#This Row],[Blanket]],Table_NFI[[#This Row],[Blanket]])</f>
        <v>0</v>
      </c>
      <c r="AE158" s="352">
        <f>IF(NFI_Expiration=1,IF($A158&lt;VLOOKUP(N$5,NFI,5,0),1,0)*Table_NFI[[#This Row],[Kitchen Set]],Table_NFI[Kitchen Set])</f>
        <v>0</v>
      </c>
      <c r="AF158" s="352">
        <f>IF(NFI_Expiration=1,IF($A158&lt;VLOOKUP(O$5,NFI,5,0),1,0)*Table_NFI[[#This Row],[Clothes Kit]],Table_NFI[Clothes Kit])</f>
        <v>0</v>
      </c>
      <c r="AG158" s="352">
        <f>IF(NFI_Expiration=1,IF($A158&lt;VLOOKUP(P$5,NFI,5,0),1,0)*Table_NFI[[#This Row],[Plastic Bucket]],Table_NFI[Plastic Bucket])</f>
        <v>0</v>
      </c>
      <c r="AH158" s="352">
        <f>IF(NFI_Expiration=1,IF($A158&lt;VLOOKUP(Q$5,NFI,5,0),1,0)*Table_NFI[[#This Row],[Plastic Mat]],Table_NFI[Plastic Mat])*IF(Table_NFI[[#This Row],[Distribution Date]]&gt;"2014-04-01",1,2.5)</f>
        <v>0</v>
      </c>
      <c r="AI158" s="352">
        <f>IF(NFI_Expiration=1,IF($A158&lt;VLOOKUP(R$5,NFI,5,0),1,0)*Table_NFI[[#This Row],[Winter Clothes Adult]],Table_NFI[Winter Clothes Adult])</f>
        <v>0</v>
      </c>
      <c r="AJ158" s="352">
        <f>IF(NFI_Expiration=1,IF($A158&lt;VLOOKUP(S$5,NFI,5,0),1,0)*Table_NFI[[#This Row],[Winter Clothes Children]],Table_NFI[Winter Clothes Children])</f>
        <v>0</v>
      </c>
      <c r="AK158" s="352">
        <f>IF(NFI_Expiration=1,IF($A158&lt;VLOOKUP(T$5,NFI,5,0),1,0)*Table_NFI[[#This Row],[Winter Items Other]],Table_NFI[Winter Items Other])</f>
        <v>0</v>
      </c>
      <c r="AL158" s="352">
        <f>IF(NFI_Expiration=1,IF($A158&lt;VLOOKUP(M$5,NFI,5,0),1,0)*Table_NFI[[#This Row],[Winter Blanket]],Table_NFI[[#This Row],[Winter Blanket]])</f>
        <v>0</v>
      </c>
      <c r="AM158" s="352">
        <f>IF(Table_NFI[[#This Row],[Winter Clothes Adult]]+Table_NFI[[#This Row],[Winter Clothes Children]]+Table_NFI[[#This Row],[Winter Items Other]]+Table_NFI[[#This Row],[Winter Blanket]]&gt;0,1,0)</f>
        <v>1</v>
      </c>
      <c r="AN158" s="392">
        <f>IF(NFI_Expiration=1,IF($A158&lt;VLOOKUP(V$5,NFI,5,0),1,0)*Table_NFI[[#This Row],[Jerry Can]],Table_NFI[Jerry Can])</f>
        <v>0</v>
      </c>
      <c r="AO158" s="540" t="str">
        <f>IFERROR(VLOOKUP(Table_NFI[[#This Row],[Camp Name]],CL,2,0),"")</f>
        <v>MMR001CMP028</v>
      </c>
      <c r="AP158" s="535">
        <f ca="1">IF(Table_NFI[[#This Row],[Pcode]]="","",IF(OFFSET(CampList[Opening Date],MATCH(Table_NFI[[#This Row],[Pcode]],CampList[CP_Pcode],0)-1,0,1,1)&gt;=NFI_Monitor_Date,1,0))</f>
        <v>0</v>
      </c>
      <c r="AQ158" s="540" t="str">
        <f>IFERROR(VLOOKUP(Table_NFI[[#This Row],[Camp Name]],CL,3,0),"")</f>
        <v>Open</v>
      </c>
      <c r="AR158" s="352" t="str">
        <f ca="1">IF(Table_NFI[[#This Row],[Pcode]]="","",OFFSET(CampList[Priority],MATCH(Table_NFI[[#This Row],[Pcode]],CampList[CP_Pcode],0)-1,0,1,1))</f>
        <v>P4</v>
      </c>
      <c r="AS158" s="351">
        <f>IFERROR(Table_NFI[[#This Row],[Kitchen Set]]/VLOOKUP(Table_NFI[[#This Row],[Camp Name]],CL,4,0),"")</f>
        <v>0</v>
      </c>
      <c r="AT158" s="533"/>
      <c r="AU158" s="536"/>
    </row>
    <row r="159" spans="1:47" s="129" customFormat="1" hidden="1" x14ac:dyDescent="0.25">
      <c r="A159" s="355">
        <f t="shared" si="2"/>
        <v>31.5</v>
      </c>
      <c r="B159" s="532">
        <v>41626</v>
      </c>
      <c r="C159" s="533" t="s">
        <v>907</v>
      </c>
      <c r="D159" s="533" t="s">
        <v>461</v>
      </c>
      <c r="E159" s="533" t="s">
        <v>380</v>
      </c>
      <c r="F159" s="533" t="s">
        <v>310</v>
      </c>
      <c r="G159" s="533" t="s">
        <v>313</v>
      </c>
      <c r="H159" s="349"/>
      <c r="I159" s="349"/>
      <c r="J159" s="349"/>
      <c r="K159" s="349"/>
      <c r="L159" s="350"/>
      <c r="M159" s="350"/>
      <c r="N159" s="350"/>
      <c r="O159" s="350"/>
      <c r="P159" s="352"/>
      <c r="Q159" s="352"/>
      <c r="R159" s="352">
        <v>134</v>
      </c>
      <c r="S159" s="352">
        <v>238</v>
      </c>
      <c r="T159" s="352">
        <v>744</v>
      </c>
      <c r="U159" s="352">
        <v>372</v>
      </c>
      <c r="V159" s="497"/>
      <c r="W159" s="352"/>
      <c r="X159" s="352"/>
      <c r="Y159" s="352">
        <f>IF(NFI_Expiration=1,IF($A159&lt;VLOOKUP(H$5,NFI,5,0),1,0)*Table_NFI[[#This Row],[Hygiene Kit]],Table_NFI[Hygiene Kit])</f>
        <v>0</v>
      </c>
      <c r="Z159" s="352">
        <f>IF(NFI_Expiration=1,IF($A159&lt;VLOOKUP(I$5,NFI,5,0),1,0)*Table_NFI[[#This Row],[NFI Core Kit]],Table_NFI[NFI Core Kit])</f>
        <v>0</v>
      </c>
      <c r="AA159" s="352">
        <f>IF(NFI_Expiration=1,IF($A159&lt;VLOOKUP(J$5,NFI,5,0),1,0)*Table_NFI[[#This Row],[Sanitary Kit]],Table_NFI[Sanitary Kit])</f>
        <v>0</v>
      </c>
      <c r="AB159" s="352">
        <f>IF(NFI_Expiration=1,IF($A159&lt;VLOOKUP(K$5,NFI,5,0),1,0)*Table_NFI[[#This Row],[Mosquito net]],Table_NFI[Mosquito net])</f>
        <v>0</v>
      </c>
      <c r="AC159" s="352">
        <f>IF(NFI_Expiration=1,IF($A159&lt;VLOOKUP(L$5,NFI,5,0),1,0)*Table_NFI[[#This Row],[Tarpaulin]],Table_NFI[[#This Row],[Tarpaulin]])</f>
        <v>0</v>
      </c>
      <c r="AD159" s="352">
        <f>IF(NFI_Expiration=1,IF($A159&lt;VLOOKUP(M$5,NFI,5,0),1,0)*Table_NFI[[#This Row],[Blanket]],Table_NFI[[#This Row],[Blanket]])</f>
        <v>0</v>
      </c>
      <c r="AE159" s="352">
        <f>IF(NFI_Expiration=1,IF($A159&lt;VLOOKUP(N$5,NFI,5,0),1,0)*Table_NFI[[#This Row],[Kitchen Set]],Table_NFI[Kitchen Set])</f>
        <v>0</v>
      </c>
      <c r="AF159" s="352">
        <f>IF(NFI_Expiration=1,IF($A159&lt;VLOOKUP(O$5,NFI,5,0),1,0)*Table_NFI[[#This Row],[Clothes Kit]],Table_NFI[Clothes Kit])</f>
        <v>0</v>
      </c>
      <c r="AG159" s="352">
        <f>IF(NFI_Expiration=1,IF($A159&lt;VLOOKUP(P$5,NFI,5,0),1,0)*Table_NFI[[#This Row],[Plastic Bucket]],Table_NFI[Plastic Bucket])</f>
        <v>0</v>
      </c>
      <c r="AH159" s="352">
        <f>IF(NFI_Expiration=1,IF($A159&lt;VLOOKUP(Q$5,NFI,5,0),1,0)*Table_NFI[[#This Row],[Plastic Mat]],Table_NFI[Plastic Mat])*IF(Table_NFI[[#This Row],[Distribution Date]]&gt;"2014-04-01",1,2.5)</f>
        <v>0</v>
      </c>
      <c r="AI159" s="352">
        <f>IF(NFI_Expiration=1,IF($A159&lt;VLOOKUP(R$5,NFI,5,0),1,0)*Table_NFI[[#This Row],[Winter Clothes Adult]],Table_NFI[Winter Clothes Adult])</f>
        <v>0</v>
      </c>
      <c r="AJ159" s="352">
        <f>IF(NFI_Expiration=1,IF($A159&lt;VLOOKUP(S$5,NFI,5,0),1,0)*Table_NFI[[#This Row],[Winter Clothes Children]],Table_NFI[Winter Clothes Children])</f>
        <v>0</v>
      </c>
      <c r="AK159" s="352">
        <f>IF(NFI_Expiration=1,IF($A159&lt;VLOOKUP(T$5,NFI,5,0),1,0)*Table_NFI[[#This Row],[Winter Items Other]],Table_NFI[Winter Items Other])</f>
        <v>0</v>
      </c>
      <c r="AL159" s="352">
        <f>IF(NFI_Expiration=1,IF($A159&lt;VLOOKUP(M$5,NFI,5,0),1,0)*Table_NFI[[#This Row],[Winter Blanket]],Table_NFI[[#This Row],[Winter Blanket]])</f>
        <v>0</v>
      </c>
      <c r="AM159" s="352">
        <f>IF(Table_NFI[[#This Row],[Winter Clothes Adult]]+Table_NFI[[#This Row],[Winter Clothes Children]]+Table_NFI[[#This Row],[Winter Items Other]]+Table_NFI[[#This Row],[Winter Blanket]]&gt;0,1,0)</f>
        <v>1</v>
      </c>
      <c r="AN159" s="392">
        <f>IF(NFI_Expiration=1,IF($A159&lt;VLOOKUP(V$5,NFI,5,0),1,0)*Table_NFI[[#This Row],[Jerry Can]],Table_NFI[Jerry Can])</f>
        <v>0</v>
      </c>
      <c r="AO159" s="540" t="str">
        <f>IFERROR(VLOOKUP(Table_NFI[[#This Row],[Camp Name]],CL,2,0),"")</f>
        <v>MMR001CMP028</v>
      </c>
      <c r="AP159" s="535">
        <f ca="1">IF(Table_NFI[[#This Row],[Pcode]]="","",IF(OFFSET(CampList[Opening Date],MATCH(Table_NFI[[#This Row],[Pcode]],CampList[CP_Pcode],0)-1,0,1,1)&gt;=NFI_Monitor_Date,1,0))</f>
        <v>0</v>
      </c>
      <c r="AQ159" s="540" t="str">
        <f>IFERROR(VLOOKUP(Table_NFI[[#This Row],[Camp Name]],CL,3,0),"")</f>
        <v>Open</v>
      </c>
      <c r="AR159" s="352" t="str">
        <f ca="1">IF(Table_NFI[[#This Row],[Pcode]]="","",OFFSET(CampList[Priority],MATCH(Table_NFI[[#This Row],[Pcode]],CampList[CP_Pcode],0)-1,0,1,1))</f>
        <v>P4</v>
      </c>
      <c r="AS159" s="351">
        <f>IFERROR(Table_NFI[[#This Row],[Kitchen Set]]/VLOOKUP(Table_NFI[[#This Row],[Camp Name]],CL,4,0),"")</f>
        <v>0</v>
      </c>
      <c r="AT159" s="533"/>
      <c r="AU159" s="536"/>
    </row>
    <row r="160" spans="1:47" s="129" customFormat="1" hidden="1" x14ac:dyDescent="0.25">
      <c r="A160" s="355">
        <f t="shared" si="2"/>
        <v>32.1</v>
      </c>
      <c r="B160" s="532">
        <v>41608</v>
      </c>
      <c r="C160" s="533" t="s">
        <v>907</v>
      </c>
      <c r="D160" s="533" t="s">
        <v>461</v>
      </c>
      <c r="E160" s="533" t="s">
        <v>380</v>
      </c>
      <c r="F160" s="533" t="s">
        <v>310</v>
      </c>
      <c r="G160" s="348" t="s">
        <v>313</v>
      </c>
      <c r="H160" s="349"/>
      <c r="I160" s="349"/>
      <c r="J160" s="349"/>
      <c r="K160" s="349"/>
      <c r="L160" s="350"/>
      <c r="M160" s="350"/>
      <c r="N160" s="350"/>
      <c r="O160" s="350"/>
      <c r="P160" s="352"/>
      <c r="Q160" s="352"/>
      <c r="R160" s="352"/>
      <c r="S160" s="352"/>
      <c r="T160" s="352"/>
      <c r="U160" s="352"/>
      <c r="V160" s="497"/>
      <c r="W160" s="352"/>
      <c r="X160" s="352"/>
      <c r="Y160" s="352">
        <f>IF(NFI_Expiration=1,IF($A160&lt;VLOOKUP(H$5,NFI,5,0),1,0)*Table_NFI[[#This Row],[Hygiene Kit]],Table_NFI[Hygiene Kit])</f>
        <v>0</v>
      </c>
      <c r="Z160" s="352">
        <f>IF(NFI_Expiration=1,IF($A160&lt;VLOOKUP(I$5,NFI,5,0),1,0)*Table_NFI[[#This Row],[NFI Core Kit]],Table_NFI[NFI Core Kit])</f>
        <v>0</v>
      </c>
      <c r="AA160" s="352">
        <f>IF(NFI_Expiration=1,IF($A160&lt;VLOOKUP(J$5,NFI,5,0),1,0)*Table_NFI[[#This Row],[Sanitary Kit]],Table_NFI[Sanitary Kit])</f>
        <v>0</v>
      </c>
      <c r="AB160" s="352">
        <f>IF(NFI_Expiration=1,IF($A160&lt;VLOOKUP(K$5,NFI,5,0),1,0)*Table_NFI[[#This Row],[Mosquito net]],Table_NFI[Mosquito net])</f>
        <v>0</v>
      </c>
      <c r="AC160" s="352">
        <f>IF(NFI_Expiration=1,IF($A160&lt;VLOOKUP(L$5,NFI,5,0),1,0)*Table_NFI[[#This Row],[Tarpaulin]],Table_NFI[[#This Row],[Tarpaulin]])</f>
        <v>0</v>
      </c>
      <c r="AD160" s="352">
        <f>IF(NFI_Expiration=1,IF($A160&lt;VLOOKUP(M$5,NFI,5,0),1,0)*Table_NFI[[#This Row],[Blanket]],Table_NFI[[#This Row],[Blanket]])</f>
        <v>0</v>
      </c>
      <c r="AE160" s="352">
        <f>IF(NFI_Expiration=1,IF($A160&lt;VLOOKUP(N$5,NFI,5,0),1,0)*Table_NFI[[#This Row],[Kitchen Set]],Table_NFI[Kitchen Set])</f>
        <v>0</v>
      </c>
      <c r="AF160" s="352">
        <f>IF(NFI_Expiration=1,IF($A160&lt;VLOOKUP(O$5,NFI,5,0),1,0)*Table_NFI[[#This Row],[Clothes Kit]],Table_NFI[Clothes Kit])</f>
        <v>0</v>
      </c>
      <c r="AG160" s="352">
        <f>IF(NFI_Expiration=1,IF($A160&lt;VLOOKUP(P$5,NFI,5,0),1,0)*Table_NFI[[#This Row],[Plastic Bucket]],Table_NFI[Plastic Bucket])</f>
        <v>0</v>
      </c>
      <c r="AH160" s="352">
        <f>IF(NFI_Expiration=1,IF($A160&lt;VLOOKUP(Q$5,NFI,5,0),1,0)*Table_NFI[[#This Row],[Plastic Mat]],Table_NFI[Plastic Mat])*IF(Table_NFI[[#This Row],[Distribution Date]]&gt;"2014-04-01",1,2.5)</f>
        <v>0</v>
      </c>
      <c r="AI160" s="352">
        <f>IF(NFI_Expiration=1,IF($A160&lt;VLOOKUP(R$5,NFI,5,0),1,0)*Table_NFI[[#This Row],[Winter Clothes Adult]],Table_NFI[Winter Clothes Adult])</f>
        <v>0</v>
      </c>
      <c r="AJ160" s="352">
        <f>IF(NFI_Expiration=1,IF($A160&lt;VLOOKUP(S$5,NFI,5,0),1,0)*Table_NFI[[#This Row],[Winter Clothes Children]],Table_NFI[Winter Clothes Children])</f>
        <v>0</v>
      </c>
      <c r="AK160" s="352">
        <f>IF(NFI_Expiration=1,IF($A160&lt;VLOOKUP(T$5,NFI,5,0),1,0)*Table_NFI[[#This Row],[Winter Items Other]],Table_NFI[Winter Items Other])</f>
        <v>0</v>
      </c>
      <c r="AL160" s="352">
        <f>IF(NFI_Expiration=1,IF($A160&lt;VLOOKUP(M$5,NFI,5,0),1,0)*Table_NFI[[#This Row],[Winter Blanket]],Table_NFI[[#This Row],[Winter Blanket]])</f>
        <v>0</v>
      </c>
      <c r="AM160" s="352">
        <f>IF(Table_NFI[[#This Row],[Winter Clothes Adult]]+Table_NFI[[#This Row],[Winter Clothes Children]]+Table_NFI[[#This Row],[Winter Items Other]]+Table_NFI[[#This Row],[Winter Blanket]]&gt;0,1,0)</f>
        <v>0</v>
      </c>
      <c r="AN160" s="392">
        <f>IF(NFI_Expiration=1,IF($A160&lt;VLOOKUP(V$5,NFI,5,0),1,0)*Table_NFI[[#This Row],[Jerry Can]],Table_NFI[Jerry Can])</f>
        <v>0</v>
      </c>
      <c r="AO160" s="540" t="str">
        <f>IFERROR(VLOOKUP(Table_NFI[[#This Row],[Camp Name]],CL,2,0),"")</f>
        <v>MMR001CMP028</v>
      </c>
      <c r="AP160" s="535">
        <f ca="1">IF(Table_NFI[[#This Row],[Pcode]]="","",IF(OFFSET(CampList[Opening Date],MATCH(Table_NFI[[#This Row],[Pcode]],CampList[CP_Pcode],0)-1,0,1,1)&gt;=NFI_Monitor_Date,1,0))</f>
        <v>0</v>
      </c>
      <c r="AQ160" s="540" t="str">
        <f>IFERROR(VLOOKUP(Table_NFI[[#This Row],[Camp Name]],CL,3,0),"")</f>
        <v>Open</v>
      </c>
      <c r="AR160" s="352" t="str">
        <f ca="1">IF(Table_NFI[[#This Row],[Pcode]]="","",OFFSET(CampList[Priority],MATCH(Table_NFI[[#This Row],[Pcode]],CampList[CP_Pcode],0)-1,0,1,1))</f>
        <v>P4</v>
      </c>
      <c r="AS160" s="351">
        <f>IFERROR(Table_NFI[[#This Row],[Kitchen Set]]/VLOOKUP(Table_NFI[[#This Row],[Camp Name]],CL,4,0),"")</f>
        <v>0</v>
      </c>
      <c r="AT160" s="533" t="s">
        <v>1094</v>
      </c>
      <c r="AU160" s="536"/>
    </row>
    <row r="161" spans="1:47" s="129" customFormat="1" ht="14.45" hidden="1" customHeight="1" x14ac:dyDescent="0.25">
      <c r="A161" s="355">
        <f t="shared" si="2"/>
        <v>41.333333333333336</v>
      </c>
      <c r="B161" s="532">
        <v>41331</v>
      </c>
      <c r="C161" s="533" t="s">
        <v>902</v>
      </c>
      <c r="D161" s="534" t="s">
        <v>902</v>
      </c>
      <c r="E161" s="533" t="s">
        <v>380</v>
      </c>
      <c r="F161" s="533" t="s">
        <v>310</v>
      </c>
      <c r="G161" s="348" t="s">
        <v>313</v>
      </c>
      <c r="H161" s="349"/>
      <c r="I161" s="349"/>
      <c r="J161" s="349">
        <v>136</v>
      </c>
      <c r="K161" s="349"/>
      <c r="L161" s="350">
        <v>66</v>
      </c>
      <c r="M161" s="350"/>
      <c r="N161" s="350">
        <v>70</v>
      </c>
      <c r="O161" s="350"/>
      <c r="P161" s="352">
        <v>0</v>
      </c>
      <c r="Q161" s="352">
        <v>0</v>
      </c>
      <c r="R161" s="352"/>
      <c r="S161" s="352"/>
      <c r="T161" s="352"/>
      <c r="U161" s="352"/>
      <c r="V161" s="497"/>
      <c r="W161" s="352"/>
      <c r="X161" s="352"/>
      <c r="Y161" s="352">
        <f>IF(NFI_Expiration=1,IF($A161&lt;VLOOKUP(H$5,NFI,5,0),1,0)*Table_NFI[[#This Row],[Hygiene Kit]],Table_NFI[Hygiene Kit])</f>
        <v>0</v>
      </c>
      <c r="Z161" s="352">
        <f>IF(NFI_Expiration=1,IF($A161&lt;VLOOKUP(I$5,NFI,5,0),1,0)*Table_NFI[[#This Row],[NFI Core Kit]],Table_NFI[NFI Core Kit])</f>
        <v>0</v>
      </c>
      <c r="AA161" s="352">
        <f>IF(NFI_Expiration=1,IF($A161&lt;VLOOKUP(J$5,NFI,5,0),1,0)*Table_NFI[[#This Row],[Sanitary Kit]],Table_NFI[Sanitary Kit])</f>
        <v>0</v>
      </c>
      <c r="AB161" s="352">
        <f>IF(NFI_Expiration=1,IF($A161&lt;VLOOKUP(K$5,NFI,5,0),1,0)*Table_NFI[[#This Row],[Mosquito net]],Table_NFI[Mosquito net])</f>
        <v>0</v>
      </c>
      <c r="AC161" s="352">
        <f>IF(NFI_Expiration=1,IF($A161&lt;VLOOKUP(L$5,NFI,5,0),1,0)*Table_NFI[[#This Row],[Tarpaulin]],Table_NFI[[#This Row],[Tarpaulin]])</f>
        <v>0</v>
      </c>
      <c r="AD161" s="352">
        <f>IF(NFI_Expiration=1,IF($A161&lt;VLOOKUP(M$5,NFI,5,0),1,0)*Table_NFI[[#This Row],[Blanket]],Table_NFI[[#This Row],[Blanket]])</f>
        <v>0</v>
      </c>
      <c r="AE161" s="352">
        <f>IF(NFI_Expiration=1,IF($A161&lt;VLOOKUP(N$5,NFI,5,0),1,0)*Table_NFI[[#This Row],[Kitchen Set]],Table_NFI[Kitchen Set])</f>
        <v>0</v>
      </c>
      <c r="AF161" s="352">
        <f>IF(NFI_Expiration=1,IF($A161&lt;VLOOKUP(O$5,NFI,5,0),1,0)*Table_NFI[[#This Row],[Clothes Kit]],Table_NFI[Clothes Kit])</f>
        <v>0</v>
      </c>
      <c r="AG161" s="352">
        <f>IF(NFI_Expiration=1,IF($A161&lt;VLOOKUP(P$5,NFI,5,0),1,0)*Table_NFI[[#This Row],[Plastic Bucket]],Table_NFI[Plastic Bucket])</f>
        <v>0</v>
      </c>
      <c r="AH161" s="352">
        <f>IF(NFI_Expiration=1,IF($A161&lt;VLOOKUP(Q$5,NFI,5,0),1,0)*Table_NFI[[#This Row],[Plastic Mat]],Table_NFI[Plastic Mat])*IF(Table_NFI[[#This Row],[Distribution Date]]&gt;"2014-04-01",1,2.5)</f>
        <v>0</v>
      </c>
      <c r="AI161" s="352">
        <f>IF(NFI_Expiration=1,IF($A161&lt;VLOOKUP(R$5,NFI,5,0),1,0)*Table_NFI[[#This Row],[Winter Clothes Adult]],Table_NFI[Winter Clothes Adult])</f>
        <v>0</v>
      </c>
      <c r="AJ161" s="352">
        <f>IF(NFI_Expiration=1,IF($A161&lt;VLOOKUP(S$5,NFI,5,0),1,0)*Table_NFI[[#This Row],[Winter Clothes Children]],Table_NFI[Winter Clothes Children])</f>
        <v>0</v>
      </c>
      <c r="AK161" s="352">
        <f>IF(NFI_Expiration=1,IF($A161&lt;VLOOKUP(T$5,NFI,5,0),1,0)*Table_NFI[[#This Row],[Winter Items Other]],Table_NFI[Winter Items Other])</f>
        <v>0</v>
      </c>
      <c r="AL161" s="352">
        <f>IF(NFI_Expiration=1,IF($A161&lt;VLOOKUP(M$5,NFI,5,0),1,0)*Table_NFI[[#This Row],[Winter Blanket]],Table_NFI[[#This Row],[Winter Blanket]])</f>
        <v>0</v>
      </c>
      <c r="AM161" s="352">
        <f>IF(Table_NFI[[#This Row],[Winter Clothes Adult]]+Table_NFI[[#This Row],[Winter Clothes Children]]+Table_NFI[[#This Row],[Winter Items Other]]+Table_NFI[[#This Row],[Winter Blanket]]&gt;0,1,0)</f>
        <v>0</v>
      </c>
      <c r="AN161" s="392">
        <f>IF(NFI_Expiration=1,IF($A161&lt;VLOOKUP(V$5,NFI,5,0),1,0)*Table_NFI[[#This Row],[Jerry Can]],Table_NFI[Jerry Can])</f>
        <v>0</v>
      </c>
      <c r="AO161" s="540" t="str">
        <f>IFERROR(VLOOKUP(Table_NFI[[#This Row],[Camp Name]],CL,2,0),"")</f>
        <v>MMR001CMP028</v>
      </c>
      <c r="AP161" s="535">
        <f ca="1">IF(Table_NFI[[#This Row],[Pcode]]="","",IF(OFFSET(CampList[Opening Date],MATCH(Table_NFI[[#This Row],[Pcode]],CampList[CP_Pcode],0)-1,0,1,1)&gt;=NFI_Monitor_Date,1,0))</f>
        <v>0</v>
      </c>
      <c r="AQ161" s="540" t="str">
        <f>IFERROR(VLOOKUP(Table_NFI[[#This Row],[Camp Name]],CL,3,0),"")</f>
        <v>Open</v>
      </c>
      <c r="AR161" s="352" t="str">
        <f ca="1">IF(Table_NFI[[#This Row],[Pcode]]="","",OFFSET(CampList[Priority],MATCH(Table_NFI[[#This Row],[Pcode]],CampList[CP_Pcode],0)-1,0,1,1))</f>
        <v>P4</v>
      </c>
      <c r="AS161" s="351">
        <f>IFERROR(Table_NFI[[#This Row],[Kitchen Set]]/VLOOKUP(Table_NFI[[#This Row],[Camp Name]],CL,4,0),"")</f>
        <v>0.70707070707070707</v>
      </c>
      <c r="AT161" s="533" t="s">
        <v>1094</v>
      </c>
      <c r="AU161" s="536"/>
    </row>
    <row r="162" spans="1:47" s="129" customFormat="1" ht="14.45" hidden="1" customHeight="1" x14ac:dyDescent="0.25">
      <c r="A162" s="355">
        <f t="shared" si="2"/>
        <v>41.366666666666667</v>
      </c>
      <c r="B162" s="532">
        <v>41330</v>
      </c>
      <c r="C162" s="533" t="s">
        <v>902</v>
      </c>
      <c r="D162" s="534" t="s">
        <v>902</v>
      </c>
      <c r="E162" s="533" t="s">
        <v>380</v>
      </c>
      <c r="F162" s="533" t="s">
        <v>310</v>
      </c>
      <c r="G162" s="348" t="s">
        <v>313</v>
      </c>
      <c r="H162" s="349"/>
      <c r="I162" s="349"/>
      <c r="J162" s="349"/>
      <c r="K162" s="349"/>
      <c r="L162" s="350">
        <v>1</v>
      </c>
      <c r="M162" s="350"/>
      <c r="N162" s="350"/>
      <c r="O162" s="350"/>
      <c r="P162" s="352">
        <v>0</v>
      </c>
      <c r="Q162" s="352">
        <v>0</v>
      </c>
      <c r="R162" s="352"/>
      <c r="S162" s="352"/>
      <c r="T162" s="352"/>
      <c r="U162" s="352"/>
      <c r="V162" s="497"/>
      <c r="W162" s="352"/>
      <c r="X162" s="352"/>
      <c r="Y162" s="352">
        <f>IF(NFI_Expiration=1,IF($A162&lt;VLOOKUP(H$5,NFI,5,0),1,0)*Table_NFI[[#This Row],[Hygiene Kit]],Table_NFI[Hygiene Kit])</f>
        <v>0</v>
      </c>
      <c r="Z162" s="352">
        <f>IF(NFI_Expiration=1,IF($A162&lt;VLOOKUP(I$5,NFI,5,0),1,0)*Table_NFI[[#This Row],[NFI Core Kit]],Table_NFI[NFI Core Kit])</f>
        <v>0</v>
      </c>
      <c r="AA162" s="352">
        <f>IF(NFI_Expiration=1,IF($A162&lt;VLOOKUP(J$5,NFI,5,0),1,0)*Table_NFI[[#This Row],[Sanitary Kit]],Table_NFI[Sanitary Kit])</f>
        <v>0</v>
      </c>
      <c r="AB162" s="352">
        <f>IF(NFI_Expiration=1,IF($A162&lt;VLOOKUP(K$5,NFI,5,0),1,0)*Table_NFI[[#This Row],[Mosquito net]],Table_NFI[Mosquito net])</f>
        <v>0</v>
      </c>
      <c r="AC162" s="352">
        <f>IF(NFI_Expiration=1,IF($A162&lt;VLOOKUP(L$5,NFI,5,0),1,0)*Table_NFI[[#This Row],[Tarpaulin]],Table_NFI[[#This Row],[Tarpaulin]])</f>
        <v>0</v>
      </c>
      <c r="AD162" s="352">
        <f>IF(NFI_Expiration=1,IF($A162&lt;VLOOKUP(M$5,NFI,5,0),1,0)*Table_NFI[[#This Row],[Blanket]],Table_NFI[[#This Row],[Blanket]])</f>
        <v>0</v>
      </c>
      <c r="AE162" s="352">
        <f>IF(NFI_Expiration=1,IF($A162&lt;VLOOKUP(N$5,NFI,5,0),1,0)*Table_NFI[[#This Row],[Kitchen Set]],Table_NFI[Kitchen Set])</f>
        <v>0</v>
      </c>
      <c r="AF162" s="352">
        <f>IF(NFI_Expiration=1,IF($A162&lt;VLOOKUP(O$5,NFI,5,0),1,0)*Table_NFI[[#This Row],[Clothes Kit]],Table_NFI[Clothes Kit])</f>
        <v>0</v>
      </c>
      <c r="AG162" s="352">
        <f>IF(NFI_Expiration=1,IF($A162&lt;VLOOKUP(P$5,NFI,5,0),1,0)*Table_NFI[[#This Row],[Plastic Bucket]],Table_NFI[Plastic Bucket])</f>
        <v>0</v>
      </c>
      <c r="AH162" s="352">
        <f>IF(NFI_Expiration=1,IF($A162&lt;VLOOKUP(Q$5,NFI,5,0),1,0)*Table_NFI[[#This Row],[Plastic Mat]],Table_NFI[Plastic Mat])*IF(Table_NFI[[#This Row],[Distribution Date]]&gt;"2014-04-01",1,2.5)</f>
        <v>0</v>
      </c>
      <c r="AI162" s="352">
        <f>IF(NFI_Expiration=1,IF($A162&lt;VLOOKUP(R$5,NFI,5,0),1,0)*Table_NFI[[#This Row],[Winter Clothes Adult]],Table_NFI[Winter Clothes Adult])</f>
        <v>0</v>
      </c>
      <c r="AJ162" s="352">
        <f>IF(NFI_Expiration=1,IF($A162&lt;VLOOKUP(S$5,NFI,5,0),1,0)*Table_NFI[[#This Row],[Winter Clothes Children]],Table_NFI[Winter Clothes Children])</f>
        <v>0</v>
      </c>
      <c r="AK162" s="352">
        <f>IF(NFI_Expiration=1,IF($A162&lt;VLOOKUP(T$5,NFI,5,0),1,0)*Table_NFI[[#This Row],[Winter Items Other]],Table_NFI[Winter Items Other])</f>
        <v>0</v>
      </c>
      <c r="AL162" s="352">
        <f>IF(NFI_Expiration=1,IF($A162&lt;VLOOKUP(M$5,NFI,5,0),1,0)*Table_NFI[[#This Row],[Winter Blanket]],Table_NFI[[#This Row],[Winter Blanket]])</f>
        <v>0</v>
      </c>
      <c r="AM162" s="352">
        <f>IF(Table_NFI[[#This Row],[Winter Clothes Adult]]+Table_NFI[[#This Row],[Winter Clothes Children]]+Table_NFI[[#This Row],[Winter Items Other]]+Table_NFI[[#This Row],[Winter Blanket]]&gt;0,1,0)</f>
        <v>0</v>
      </c>
      <c r="AN162" s="392">
        <f>IF(NFI_Expiration=1,IF($A162&lt;VLOOKUP(V$5,NFI,5,0),1,0)*Table_NFI[[#This Row],[Jerry Can]],Table_NFI[Jerry Can])</f>
        <v>0</v>
      </c>
      <c r="AO162" s="540" t="str">
        <f>IFERROR(VLOOKUP(Table_NFI[[#This Row],[Camp Name]],CL,2,0),"")</f>
        <v>MMR001CMP028</v>
      </c>
      <c r="AP162" s="535">
        <f ca="1">IF(Table_NFI[[#This Row],[Pcode]]="","",IF(OFFSET(CampList[Opening Date],MATCH(Table_NFI[[#This Row],[Pcode]],CampList[CP_Pcode],0)-1,0,1,1)&gt;=NFI_Monitor_Date,1,0))</f>
        <v>0</v>
      </c>
      <c r="AQ162" s="540" t="str">
        <f>IFERROR(VLOOKUP(Table_NFI[[#This Row],[Camp Name]],CL,3,0),"")</f>
        <v>Open</v>
      </c>
      <c r="AR162" s="352" t="str">
        <f ca="1">IF(Table_NFI[[#This Row],[Pcode]]="","",OFFSET(CampList[Priority],MATCH(Table_NFI[[#This Row],[Pcode]],CampList[CP_Pcode],0)-1,0,1,1))</f>
        <v>P4</v>
      </c>
      <c r="AS162" s="351">
        <f>IFERROR(Table_NFI[[#This Row],[Kitchen Set]]/VLOOKUP(Table_NFI[[#This Row],[Camp Name]],CL,4,0),"")</f>
        <v>0</v>
      </c>
      <c r="AT162" s="533" t="s">
        <v>1094</v>
      </c>
      <c r="AU162" s="536"/>
    </row>
    <row r="163" spans="1:47" s="129" customFormat="1" ht="14.45" hidden="1" customHeight="1" x14ac:dyDescent="0.25">
      <c r="A163" s="355">
        <f t="shared" si="2"/>
        <v>42.2</v>
      </c>
      <c r="B163" s="532">
        <v>41305</v>
      </c>
      <c r="C163" s="533" t="s">
        <v>570</v>
      </c>
      <c r="D163" s="534" t="s">
        <v>570</v>
      </c>
      <c r="E163" s="533" t="s">
        <v>380</v>
      </c>
      <c r="F163" s="533" t="s">
        <v>310</v>
      </c>
      <c r="G163" s="348" t="s">
        <v>313</v>
      </c>
      <c r="H163" s="349"/>
      <c r="I163" s="349"/>
      <c r="J163" s="349"/>
      <c r="K163" s="349"/>
      <c r="L163" s="350"/>
      <c r="M163" s="350">
        <v>256</v>
      </c>
      <c r="N163" s="350"/>
      <c r="O163" s="350"/>
      <c r="P163" s="352">
        <v>0</v>
      </c>
      <c r="Q163" s="352">
        <v>0</v>
      </c>
      <c r="R163" s="352"/>
      <c r="S163" s="352"/>
      <c r="T163" s="352"/>
      <c r="U163" s="352"/>
      <c r="V163" s="497"/>
      <c r="W163" s="352"/>
      <c r="X163" s="352"/>
      <c r="Y163" s="352">
        <f>IF(NFI_Expiration=1,IF($A163&lt;VLOOKUP(H$5,NFI,5,0),1,0)*Table_NFI[[#This Row],[Hygiene Kit]],Table_NFI[Hygiene Kit])</f>
        <v>0</v>
      </c>
      <c r="Z163" s="352">
        <f>IF(NFI_Expiration=1,IF($A163&lt;VLOOKUP(I$5,NFI,5,0),1,0)*Table_NFI[[#This Row],[NFI Core Kit]],Table_NFI[NFI Core Kit])</f>
        <v>0</v>
      </c>
      <c r="AA163" s="352">
        <f>IF(NFI_Expiration=1,IF($A163&lt;VLOOKUP(J$5,NFI,5,0),1,0)*Table_NFI[[#This Row],[Sanitary Kit]],Table_NFI[Sanitary Kit])</f>
        <v>0</v>
      </c>
      <c r="AB163" s="352">
        <f>IF(NFI_Expiration=1,IF($A163&lt;VLOOKUP(K$5,NFI,5,0),1,0)*Table_NFI[[#This Row],[Mosquito net]],Table_NFI[Mosquito net])</f>
        <v>0</v>
      </c>
      <c r="AC163" s="352">
        <f>IF(NFI_Expiration=1,IF($A163&lt;VLOOKUP(L$5,NFI,5,0),1,0)*Table_NFI[[#This Row],[Tarpaulin]],Table_NFI[[#This Row],[Tarpaulin]])</f>
        <v>0</v>
      </c>
      <c r="AD163" s="352">
        <f>IF(NFI_Expiration=1,IF($A163&lt;VLOOKUP(M$5,NFI,5,0),1,0)*Table_NFI[[#This Row],[Blanket]],Table_NFI[[#This Row],[Blanket]])</f>
        <v>0</v>
      </c>
      <c r="AE163" s="352">
        <f>IF(NFI_Expiration=1,IF($A163&lt;VLOOKUP(N$5,NFI,5,0),1,0)*Table_NFI[[#This Row],[Kitchen Set]],Table_NFI[Kitchen Set])</f>
        <v>0</v>
      </c>
      <c r="AF163" s="352">
        <f>IF(NFI_Expiration=1,IF($A163&lt;VLOOKUP(O$5,NFI,5,0),1,0)*Table_NFI[[#This Row],[Clothes Kit]],Table_NFI[Clothes Kit])</f>
        <v>0</v>
      </c>
      <c r="AG163" s="352">
        <f>IF(NFI_Expiration=1,IF($A163&lt;VLOOKUP(P$5,NFI,5,0),1,0)*Table_NFI[[#This Row],[Plastic Bucket]],Table_NFI[Plastic Bucket])</f>
        <v>0</v>
      </c>
      <c r="AH163" s="352">
        <f>IF(NFI_Expiration=1,IF($A163&lt;VLOOKUP(Q$5,NFI,5,0),1,0)*Table_NFI[[#This Row],[Plastic Mat]],Table_NFI[Plastic Mat])*IF(Table_NFI[[#This Row],[Distribution Date]]&gt;"2014-04-01",1,2.5)</f>
        <v>0</v>
      </c>
      <c r="AI163" s="352">
        <f>IF(NFI_Expiration=1,IF($A163&lt;VLOOKUP(R$5,NFI,5,0),1,0)*Table_NFI[[#This Row],[Winter Clothes Adult]],Table_NFI[Winter Clothes Adult])</f>
        <v>0</v>
      </c>
      <c r="AJ163" s="352">
        <f>IF(NFI_Expiration=1,IF($A163&lt;VLOOKUP(S$5,NFI,5,0),1,0)*Table_NFI[[#This Row],[Winter Clothes Children]],Table_NFI[Winter Clothes Children])</f>
        <v>0</v>
      </c>
      <c r="AK163" s="352">
        <f>IF(NFI_Expiration=1,IF($A163&lt;VLOOKUP(T$5,NFI,5,0),1,0)*Table_NFI[[#This Row],[Winter Items Other]],Table_NFI[Winter Items Other])</f>
        <v>0</v>
      </c>
      <c r="AL163" s="352">
        <f>IF(NFI_Expiration=1,IF($A163&lt;VLOOKUP(M$5,NFI,5,0),1,0)*Table_NFI[[#This Row],[Winter Blanket]],Table_NFI[[#This Row],[Winter Blanket]])</f>
        <v>0</v>
      </c>
      <c r="AM163" s="352">
        <f>IF(Table_NFI[[#This Row],[Winter Clothes Adult]]+Table_NFI[[#This Row],[Winter Clothes Children]]+Table_NFI[[#This Row],[Winter Items Other]]+Table_NFI[[#This Row],[Winter Blanket]]&gt;0,1,0)</f>
        <v>0</v>
      </c>
      <c r="AN163" s="392">
        <f>IF(NFI_Expiration=1,IF($A163&lt;VLOOKUP(V$5,NFI,5,0),1,0)*Table_NFI[[#This Row],[Jerry Can]],Table_NFI[Jerry Can])</f>
        <v>0</v>
      </c>
      <c r="AO163" s="540" t="str">
        <f>IFERROR(VLOOKUP(Table_NFI[[#This Row],[Camp Name]],CL,2,0),"")</f>
        <v>MMR001CMP028</v>
      </c>
      <c r="AP163" s="535">
        <f ca="1">IF(Table_NFI[[#This Row],[Pcode]]="","",IF(OFFSET(CampList[Opening Date],MATCH(Table_NFI[[#This Row],[Pcode]],CampList[CP_Pcode],0)-1,0,1,1)&gt;=NFI_Monitor_Date,1,0))</f>
        <v>0</v>
      </c>
      <c r="AQ163" s="540" t="str">
        <f>IFERROR(VLOOKUP(Table_NFI[[#This Row],[Camp Name]],CL,3,0),"")</f>
        <v>Open</v>
      </c>
      <c r="AR163" s="352" t="str">
        <f ca="1">IF(Table_NFI[[#This Row],[Pcode]]="","",OFFSET(CampList[Priority],MATCH(Table_NFI[[#This Row],[Pcode]],CampList[CP_Pcode],0)-1,0,1,1))</f>
        <v>P4</v>
      </c>
      <c r="AS163" s="351">
        <f>IFERROR(Table_NFI[[#This Row],[Kitchen Set]]/VLOOKUP(Table_NFI[[#This Row],[Camp Name]],CL,4,0),"")</f>
        <v>0</v>
      </c>
      <c r="AT163" s="533" t="s">
        <v>1094</v>
      </c>
      <c r="AU163" s="536"/>
    </row>
    <row r="164" spans="1:47" s="129" customFormat="1" ht="14.45" hidden="1" customHeight="1" x14ac:dyDescent="0.25">
      <c r="A164" s="355">
        <f t="shared" si="2"/>
        <v>43.233333333333334</v>
      </c>
      <c r="B164" s="532">
        <v>41274</v>
      </c>
      <c r="C164" s="533" t="s">
        <v>454</v>
      </c>
      <c r="D164" s="534" t="s">
        <v>454</v>
      </c>
      <c r="E164" s="533" t="s">
        <v>380</v>
      </c>
      <c r="F164" s="533" t="s">
        <v>310</v>
      </c>
      <c r="G164" s="348" t="s">
        <v>313</v>
      </c>
      <c r="H164" s="349">
        <v>136</v>
      </c>
      <c r="I164" s="349"/>
      <c r="J164" s="349"/>
      <c r="K164" s="349"/>
      <c r="L164" s="350"/>
      <c r="M164" s="350"/>
      <c r="N164" s="350"/>
      <c r="O164" s="350"/>
      <c r="P164" s="352">
        <v>0</v>
      </c>
      <c r="Q164" s="352">
        <v>0</v>
      </c>
      <c r="R164" s="352"/>
      <c r="S164" s="352"/>
      <c r="T164" s="352"/>
      <c r="U164" s="352"/>
      <c r="V164" s="497"/>
      <c r="W164" s="352"/>
      <c r="X164" s="352"/>
      <c r="Y164" s="352">
        <f>IF(NFI_Expiration=1,IF($A164&lt;VLOOKUP(H$5,NFI,5,0),1,0)*Table_NFI[[#This Row],[Hygiene Kit]],Table_NFI[Hygiene Kit])</f>
        <v>0</v>
      </c>
      <c r="Z164" s="352">
        <f>IF(NFI_Expiration=1,IF($A164&lt;VLOOKUP(I$5,NFI,5,0),1,0)*Table_NFI[[#This Row],[NFI Core Kit]],Table_NFI[NFI Core Kit])</f>
        <v>0</v>
      </c>
      <c r="AA164" s="352">
        <f>IF(NFI_Expiration=1,IF($A164&lt;VLOOKUP(J$5,NFI,5,0),1,0)*Table_NFI[[#This Row],[Sanitary Kit]],Table_NFI[Sanitary Kit])</f>
        <v>0</v>
      </c>
      <c r="AB164" s="352">
        <f>IF(NFI_Expiration=1,IF($A164&lt;VLOOKUP(K$5,NFI,5,0),1,0)*Table_NFI[[#This Row],[Mosquito net]],Table_NFI[Mosquito net])</f>
        <v>0</v>
      </c>
      <c r="AC164" s="352">
        <f>IF(NFI_Expiration=1,IF($A164&lt;VLOOKUP(L$5,NFI,5,0),1,0)*Table_NFI[[#This Row],[Tarpaulin]],Table_NFI[[#This Row],[Tarpaulin]])</f>
        <v>0</v>
      </c>
      <c r="AD164" s="352">
        <f>IF(NFI_Expiration=1,IF($A164&lt;VLOOKUP(M$5,NFI,5,0),1,0)*Table_NFI[[#This Row],[Blanket]],Table_NFI[[#This Row],[Blanket]])</f>
        <v>0</v>
      </c>
      <c r="AE164" s="352">
        <f>IF(NFI_Expiration=1,IF($A164&lt;VLOOKUP(N$5,NFI,5,0),1,0)*Table_NFI[[#This Row],[Kitchen Set]],Table_NFI[Kitchen Set])</f>
        <v>0</v>
      </c>
      <c r="AF164" s="352">
        <f>IF(NFI_Expiration=1,IF($A164&lt;VLOOKUP(O$5,NFI,5,0),1,0)*Table_NFI[[#This Row],[Clothes Kit]],Table_NFI[Clothes Kit])</f>
        <v>0</v>
      </c>
      <c r="AG164" s="352">
        <f>IF(NFI_Expiration=1,IF($A164&lt;VLOOKUP(P$5,NFI,5,0),1,0)*Table_NFI[[#This Row],[Plastic Bucket]],Table_NFI[Plastic Bucket])</f>
        <v>0</v>
      </c>
      <c r="AH164" s="352">
        <f>IF(NFI_Expiration=1,IF($A164&lt;VLOOKUP(Q$5,NFI,5,0),1,0)*Table_NFI[[#This Row],[Plastic Mat]],Table_NFI[Plastic Mat])*IF(Table_NFI[[#This Row],[Distribution Date]]&gt;"2014-04-01",1,2.5)</f>
        <v>0</v>
      </c>
      <c r="AI164" s="352">
        <f>IF(NFI_Expiration=1,IF($A164&lt;VLOOKUP(R$5,NFI,5,0),1,0)*Table_NFI[[#This Row],[Winter Clothes Adult]],Table_NFI[Winter Clothes Adult])</f>
        <v>0</v>
      </c>
      <c r="AJ164" s="352">
        <f>IF(NFI_Expiration=1,IF($A164&lt;VLOOKUP(S$5,NFI,5,0),1,0)*Table_NFI[[#This Row],[Winter Clothes Children]],Table_NFI[Winter Clothes Children])</f>
        <v>0</v>
      </c>
      <c r="AK164" s="352">
        <f>IF(NFI_Expiration=1,IF($A164&lt;VLOOKUP(T$5,NFI,5,0),1,0)*Table_NFI[[#This Row],[Winter Items Other]],Table_NFI[Winter Items Other])</f>
        <v>0</v>
      </c>
      <c r="AL164" s="352">
        <f>IF(NFI_Expiration=1,IF($A164&lt;VLOOKUP(M$5,NFI,5,0),1,0)*Table_NFI[[#This Row],[Winter Blanket]],Table_NFI[[#This Row],[Winter Blanket]])</f>
        <v>0</v>
      </c>
      <c r="AM164" s="352">
        <f>IF(Table_NFI[[#This Row],[Winter Clothes Adult]]+Table_NFI[[#This Row],[Winter Clothes Children]]+Table_NFI[[#This Row],[Winter Items Other]]+Table_NFI[[#This Row],[Winter Blanket]]&gt;0,1,0)</f>
        <v>0</v>
      </c>
      <c r="AN164" s="392">
        <f>IF(NFI_Expiration=1,IF($A164&lt;VLOOKUP(V$5,NFI,5,0),1,0)*Table_NFI[[#This Row],[Jerry Can]],Table_NFI[Jerry Can])</f>
        <v>0</v>
      </c>
      <c r="AO164" s="540" t="str">
        <f>IFERROR(VLOOKUP(Table_NFI[[#This Row],[Camp Name]],CL,2,0),"")</f>
        <v>MMR001CMP028</v>
      </c>
      <c r="AP164" s="535">
        <f ca="1">IF(Table_NFI[[#This Row],[Pcode]]="","",IF(OFFSET(CampList[Opening Date],MATCH(Table_NFI[[#This Row],[Pcode]],CampList[CP_Pcode],0)-1,0,1,1)&gt;=NFI_Monitor_Date,1,0))</f>
        <v>0</v>
      </c>
      <c r="AQ164" s="540" t="str">
        <f>IFERROR(VLOOKUP(Table_NFI[[#This Row],[Camp Name]],CL,3,0),"")</f>
        <v>Open</v>
      </c>
      <c r="AR164" s="352" t="str">
        <f ca="1">IF(Table_NFI[[#This Row],[Pcode]]="","",OFFSET(CampList[Priority],MATCH(Table_NFI[[#This Row],[Pcode]],CampList[CP_Pcode],0)-1,0,1,1))</f>
        <v>P4</v>
      </c>
      <c r="AS164" s="351">
        <f>IFERROR(Table_NFI[[#This Row],[Kitchen Set]]/VLOOKUP(Table_NFI[[#This Row],[Camp Name]],CL,4,0),"")</f>
        <v>0</v>
      </c>
      <c r="AT164" s="533" t="s">
        <v>1094</v>
      </c>
      <c r="AU164" s="536"/>
    </row>
    <row r="165" spans="1:47" s="129" customFormat="1" ht="14.45" customHeight="1" x14ac:dyDescent="0.25">
      <c r="A165" s="355">
        <f t="shared" si="2"/>
        <v>20.933333333333334</v>
      </c>
      <c r="B165" s="532">
        <v>41943</v>
      </c>
      <c r="C165" s="533" t="s">
        <v>453</v>
      </c>
      <c r="D165" s="533"/>
      <c r="E165" s="533" t="s">
        <v>380</v>
      </c>
      <c r="F165" s="533" t="s">
        <v>528</v>
      </c>
      <c r="G165" s="533" t="s">
        <v>43</v>
      </c>
      <c r="H165" s="349"/>
      <c r="I165" s="349"/>
      <c r="J165" s="349">
        <v>14</v>
      </c>
      <c r="K165" s="349">
        <v>28</v>
      </c>
      <c r="L165" s="350">
        <v>14</v>
      </c>
      <c r="M165" s="350">
        <v>28</v>
      </c>
      <c r="N165" s="350">
        <v>14</v>
      </c>
      <c r="O165" s="350"/>
      <c r="P165" s="352">
        <v>14</v>
      </c>
      <c r="Q165" s="352">
        <v>70</v>
      </c>
      <c r="R165" s="352"/>
      <c r="S165" s="352"/>
      <c r="T165" s="352"/>
      <c r="U165" s="352"/>
      <c r="V165" s="497"/>
      <c r="W165" s="352"/>
      <c r="X165" s="352"/>
      <c r="Y165" s="352">
        <f>IF(NFI_Expiration=1,IF($A165&lt;VLOOKUP(H$5,NFI,5,0),1,0)*Table_NFI[[#This Row],[Hygiene Kit]],Table_NFI[Hygiene Kit])</f>
        <v>0</v>
      </c>
      <c r="Z165" s="352">
        <f>IF(NFI_Expiration=1,IF($A165&lt;VLOOKUP(I$5,NFI,5,0),1,0)*Table_NFI[[#This Row],[NFI Core Kit]],Table_NFI[NFI Core Kit])</f>
        <v>0</v>
      </c>
      <c r="AA165" s="352">
        <f>IF(NFI_Expiration=1,IF($A165&lt;VLOOKUP(J$5,NFI,5,0),1,0)*Table_NFI[[#This Row],[Sanitary Kit]],Table_NFI[Sanitary Kit])</f>
        <v>0</v>
      </c>
      <c r="AB165" s="352">
        <f>IF(NFI_Expiration=1,IF($A165&lt;VLOOKUP(K$5,NFI,5,0),1,0)*Table_NFI[[#This Row],[Mosquito net]],Table_NFI[Mosquito net])</f>
        <v>0</v>
      </c>
      <c r="AC165" s="352">
        <f>IF(NFI_Expiration=1,IF($A165&lt;VLOOKUP(L$5,NFI,5,0),1,0)*Table_NFI[[#This Row],[Tarpaulin]],Table_NFI[[#This Row],[Tarpaulin]])</f>
        <v>0</v>
      </c>
      <c r="AD165" s="352">
        <f>IF(NFI_Expiration=1,IF($A165&lt;VLOOKUP(M$5,NFI,5,0),1,0)*Table_NFI[[#This Row],[Blanket]],Table_NFI[[#This Row],[Blanket]])</f>
        <v>0</v>
      </c>
      <c r="AE165" s="352">
        <f>IF(NFI_Expiration=1,IF($A165&lt;VLOOKUP(N$5,NFI,5,0),1,0)*Table_NFI[[#This Row],[Kitchen Set]],Table_NFI[Kitchen Set])</f>
        <v>0</v>
      </c>
      <c r="AF165" s="352">
        <f>IF(NFI_Expiration=1,IF($A165&lt;VLOOKUP(O$5,NFI,5,0),1,0)*Table_NFI[[#This Row],[Clothes Kit]],Table_NFI[Clothes Kit])</f>
        <v>0</v>
      </c>
      <c r="AG165" s="352">
        <f>IF(NFI_Expiration=1,IF($A165&lt;VLOOKUP(P$5,NFI,5,0),1,0)*Table_NFI[[#This Row],[Plastic Bucket]],Table_NFI[Plastic Bucket])</f>
        <v>0</v>
      </c>
      <c r="AH165" s="352">
        <f>IF(NFI_Expiration=1,IF($A165&lt;VLOOKUP(Q$5,NFI,5,0),1,0)*Table_NFI[[#This Row],[Plastic Mat]],Table_NFI[Plastic Mat])*IF(Table_NFI[[#This Row],[Distribution Date]]&gt;"2014-04-01",1,2.5)</f>
        <v>0</v>
      </c>
      <c r="AI165" s="352">
        <f>IF(NFI_Expiration=1,IF($A165&lt;VLOOKUP(R$5,NFI,5,0),1,0)*Table_NFI[[#This Row],[Winter Clothes Adult]],Table_NFI[Winter Clothes Adult])</f>
        <v>0</v>
      </c>
      <c r="AJ165" s="352">
        <f>IF(NFI_Expiration=1,IF($A165&lt;VLOOKUP(S$5,NFI,5,0),1,0)*Table_NFI[[#This Row],[Winter Clothes Children]],Table_NFI[Winter Clothes Children])</f>
        <v>0</v>
      </c>
      <c r="AK165" s="352">
        <f>IF(NFI_Expiration=1,IF($A165&lt;VLOOKUP(T$5,NFI,5,0),1,0)*Table_NFI[[#This Row],[Winter Items Other]],Table_NFI[Winter Items Other])</f>
        <v>0</v>
      </c>
      <c r="AL165" s="352">
        <f>IF(NFI_Expiration=1,IF($A165&lt;VLOOKUP(M$5,NFI,5,0),1,0)*Table_NFI[[#This Row],[Winter Blanket]],Table_NFI[[#This Row],[Winter Blanket]])</f>
        <v>0</v>
      </c>
      <c r="AM165" s="352">
        <f>IF(Table_NFI[[#This Row],[Winter Clothes Adult]]+Table_NFI[[#This Row],[Winter Clothes Children]]+Table_NFI[[#This Row],[Winter Items Other]]+Table_NFI[[#This Row],[Winter Blanket]]&gt;0,1,0)</f>
        <v>0</v>
      </c>
      <c r="AN165" s="392">
        <f>IF(NFI_Expiration=1,IF($A165&lt;VLOOKUP(V$5,NFI,5,0),1,0)*Table_NFI[[#This Row],[Jerry Can]],Table_NFI[Jerry Can])</f>
        <v>0</v>
      </c>
      <c r="AO165" s="540" t="str">
        <f>IFERROR(VLOOKUP(Table_NFI[[#This Row],[Camp Name]],CL,2,0),"")</f>
        <v>MMR001CMP190</v>
      </c>
      <c r="AP165" s="535">
        <f ca="1">IF(Table_NFI[[#This Row],[Pcode]]="","",IF(OFFSET(CampList[Opening Date],MATCH(Table_NFI[[#This Row],[Pcode]],CampList[CP_Pcode],0)-1,0,1,1)&gt;=NFI_Monitor_Date,1,0))</f>
        <v>0</v>
      </c>
      <c r="AQ165" s="540" t="str">
        <f>IFERROR(VLOOKUP(Table_NFI[[#This Row],[Camp Name]],CL,3,0),"")</f>
        <v>Open</v>
      </c>
      <c r="AR165" s="352" t="str">
        <f ca="1">IF(Table_NFI[[#This Row],[Pcode]]="","",OFFSET(CampList[Priority],MATCH(Table_NFI[[#This Row],[Pcode]],CampList[CP_Pcode],0)-1,0,1,1))</f>
        <v>P4</v>
      </c>
      <c r="AS165" s="351">
        <f>IFERROR(Table_NFI[[#This Row],[Kitchen Set]]/VLOOKUP(Table_NFI[[#This Row],[Camp Name]],CL,4,0),"")</f>
        <v>1</v>
      </c>
      <c r="AT165" s="533"/>
      <c r="AU165" s="536"/>
    </row>
    <row r="166" spans="1:47" s="129" customFormat="1" ht="14.45" customHeight="1" x14ac:dyDescent="0.25">
      <c r="A166" s="355">
        <f t="shared" si="2"/>
        <v>20.933333333333334</v>
      </c>
      <c r="B166" s="532">
        <v>41943</v>
      </c>
      <c r="C166" s="533" t="s">
        <v>453</v>
      </c>
      <c r="D166" s="533"/>
      <c r="E166" s="533" t="s">
        <v>380</v>
      </c>
      <c r="F166" s="533" t="s">
        <v>528</v>
      </c>
      <c r="G166" s="533" t="s">
        <v>52</v>
      </c>
      <c r="H166" s="349"/>
      <c r="I166" s="349"/>
      <c r="J166" s="349">
        <v>38</v>
      </c>
      <c r="K166" s="349">
        <v>76</v>
      </c>
      <c r="L166" s="350">
        <v>38</v>
      </c>
      <c r="M166" s="350">
        <v>76</v>
      </c>
      <c r="N166" s="350">
        <v>38</v>
      </c>
      <c r="O166" s="350"/>
      <c r="P166" s="352">
        <v>38</v>
      </c>
      <c r="Q166" s="352">
        <v>190</v>
      </c>
      <c r="R166" s="352"/>
      <c r="S166" s="352"/>
      <c r="T166" s="352"/>
      <c r="U166" s="352"/>
      <c r="V166" s="497"/>
      <c r="W166" s="352"/>
      <c r="X166" s="352"/>
      <c r="Y166" s="352">
        <f>IF(NFI_Expiration=1,IF($A166&lt;VLOOKUP(H$5,NFI,5,0),1,0)*Table_NFI[[#This Row],[Hygiene Kit]],Table_NFI[Hygiene Kit])</f>
        <v>0</v>
      </c>
      <c r="Z166" s="352">
        <f>IF(NFI_Expiration=1,IF($A166&lt;VLOOKUP(I$5,NFI,5,0),1,0)*Table_NFI[[#This Row],[NFI Core Kit]],Table_NFI[NFI Core Kit])</f>
        <v>0</v>
      </c>
      <c r="AA166" s="352">
        <f>IF(NFI_Expiration=1,IF($A166&lt;VLOOKUP(J$5,NFI,5,0),1,0)*Table_NFI[[#This Row],[Sanitary Kit]],Table_NFI[Sanitary Kit])</f>
        <v>0</v>
      </c>
      <c r="AB166" s="352">
        <f>IF(NFI_Expiration=1,IF($A166&lt;VLOOKUP(K$5,NFI,5,0),1,0)*Table_NFI[[#This Row],[Mosquito net]],Table_NFI[Mosquito net])</f>
        <v>0</v>
      </c>
      <c r="AC166" s="352">
        <f>IF(NFI_Expiration=1,IF($A166&lt;VLOOKUP(L$5,NFI,5,0),1,0)*Table_NFI[[#This Row],[Tarpaulin]],Table_NFI[[#This Row],[Tarpaulin]])</f>
        <v>0</v>
      </c>
      <c r="AD166" s="352">
        <f>IF(NFI_Expiration=1,IF($A166&lt;VLOOKUP(M$5,NFI,5,0),1,0)*Table_NFI[[#This Row],[Blanket]],Table_NFI[[#This Row],[Blanket]])</f>
        <v>0</v>
      </c>
      <c r="AE166" s="352">
        <f>IF(NFI_Expiration=1,IF($A166&lt;VLOOKUP(N$5,NFI,5,0),1,0)*Table_NFI[[#This Row],[Kitchen Set]],Table_NFI[Kitchen Set])</f>
        <v>0</v>
      </c>
      <c r="AF166" s="352">
        <f>IF(NFI_Expiration=1,IF($A166&lt;VLOOKUP(O$5,NFI,5,0),1,0)*Table_NFI[[#This Row],[Clothes Kit]],Table_NFI[Clothes Kit])</f>
        <v>0</v>
      </c>
      <c r="AG166" s="352">
        <f>IF(NFI_Expiration=1,IF($A166&lt;VLOOKUP(P$5,NFI,5,0),1,0)*Table_NFI[[#This Row],[Plastic Bucket]],Table_NFI[Plastic Bucket])</f>
        <v>0</v>
      </c>
      <c r="AH166" s="352">
        <f>IF(NFI_Expiration=1,IF($A166&lt;VLOOKUP(Q$5,NFI,5,0),1,0)*Table_NFI[[#This Row],[Plastic Mat]],Table_NFI[Plastic Mat])*IF(Table_NFI[[#This Row],[Distribution Date]]&gt;"2014-04-01",1,2.5)</f>
        <v>0</v>
      </c>
      <c r="AI166" s="352">
        <f>IF(NFI_Expiration=1,IF($A166&lt;VLOOKUP(R$5,NFI,5,0),1,0)*Table_NFI[[#This Row],[Winter Clothes Adult]],Table_NFI[Winter Clothes Adult])</f>
        <v>0</v>
      </c>
      <c r="AJ166" s="352">
        <f>IF(NFI_Expiration=1,IF($A166&lt;VLOOKUP(S$5,NFI,5,0),1,0)*Table_NFI[[#This Row],[Winter Clothes Children]],Table_NFI[Winter Clothes Children])</f>
        <v>0</v>
      </c>
      <c r="AK166" s="352">
        <f>IF(NFI_Expiration=1,IF($A166&lt;VLOOKUP(T$5,NFI,5,0),1,0)*Table_NFI[[#This Row],[Winter Items Other]],Table_NFI[Winter Items Other])</f>
        <v>0</v>
      </c>
      <c r="AL166" s="352">
        <f>IF(NFI_Expiration=1,IF($A166&lt;VLOOKUP(M$5,NFI,5,0),1,0)*Table_NFI[[#This Row],[Winter Blanket]],Table_NFI[[#This Row],[Winter Blanket]])</f>
        <v>0</v>
      </c>
      <c r="AM166" s="352">
        <f>IF(Table_NFI[[#This Row],[Winter Clothes Adult]]+Table_NFI[[#This Row],[Winter Clothes Children]]+Table_NFI[[#This Row],[Winter Items Other]]+Table_NFI[[#This Row],[Winter Blanket]]&gt;0,1,0)</f>
        <v>0</v>
      </c>
      <c r="AN166" s="392">
        <f>IF(NFI_Expiration=1,IF($A166&lt;VLOOKUP(V$5,NFI,5,0),1,0)*Table_NFI[[#This Row],[Jerry Can]],Table_NFI[Jerry Can])</f>
        <v>0</v>
      </c>
      <c r="AO166" s="540" t="str">
        <f>IFERROR(VLOOKUP(Table_NFI[[#This Row],[Camp Name]],CL,2,0),"")</f>
        <v>MMR001CMP169</v>
      </c>
      <c r="AP166" s="535">
        <f ca="1">IF(Table_NFI[[#This Row],[Pcode]]="","",IF(OFFSET(CampList[Opening Date],MATCH(Table_NFI[[#This Row],[Pcode]],CampList[CP_Pcode],0)-1,0,1,1)&gt;=NFI_Monitor_Date,1,0))</f>
        <v>0</v>
      </c>
      <c r="AQ166" s="540" t="str">
        <f>IFERROR(VLOOKUP(Table_NFI[[#This Row],[Camp Name]],CL,3,0),"")</f>
        <v>Open</v>
      </c>
      <c r="AR166" s="352" t="str">
        <f ca="1">IF(Table_NFI[[#This Row],[Pcode]]="","",OFFSET(CampList[Priority],MATCH(Table_NFI[[#This Row],[Pcode]],CampList[CP_Pcode],0)-1,0,1,1))</f>
        <v>P4</v>
      </c>
      <c r="AS166" s="351">
        <f>IFERROR(Table_NFI[[#This Row],[Kitchen Set]]/VLOOKUP(Table_NFI[[#This Row],[Camp Name]],CL,4,0),"")</f>
        <v>1.0857142857142856</v>
      </c>
      <c r="AT166" s="533"/>
      <c r="AU166" s="536"/>
    </row>
    <row r="167" spans="1:47" s="129" customFormat="1" ht="14.45" customHeight="1" x14ac:dyDescent="0.25">
      <c r="A167" s="355">
        <f t="shared" si="2"/>
        <v>20.933333333333334</v>
      </c>
      <c r="B167" s="532">
        <v>41943</v>
      </c>
      <c r="C167" s="533" t="s">
        <v>453</v>
      </c>
      <c r="D167" s="533"/>
      <c r="E167" s="533" t="s">
        <v>380</v>
      </c>
      <c r="F167" s="533" t="s">
        <v>528</v>
      </c>
      <c r="G167" s="533" t="s">
        <v>72</v>
      </c>
      <c r="H167" s="349"/>
      <c r="I167" s="349"/>
      <c r="J167" s="349">
        <v>5</v>
      </c>
      <c r="K167" s="349">
        <v>10</v>
      </c>
      <c r="L167" s="350">
        <v>5</v>
      </c>
      <c r="M167" s="350">
        <v>10</v>
      </c>
      <c r="N167" s="350">
        <v>5</v>
      </c>
      <c r="O167" s="350"/>
      <c r="P167" s="352">
        <v>5</v>
      </c>
      <c r="Q167" s="352">
        <v>25</v>
      </c>
      <c r="R167" s="352"/>
      <c r="S167" s="352"/>
      <c r="T167" s="352"/>
      <c r="U167" s="352"/>
      <c r="V167" s="497"/>
      <c r="W167" s="352"/>
      <c r="X167" s="352"/>
      <c r="Y167" s="352">
        <f>IF(NFI_Expiration=1,IF($A167&lt;VLOOKUP(H$5,NFI,5,0),1,0)*Table_NFI[[#This Row],[Hygiene Kit]],Table_NFI[Hygiene Kit])</f>
        <v>0</v>
      </c>
      <c r="Z167" s="352">
        <f>IF(NFI_Expiration=1,IF($A167&lt;VLOOKUP(I$5,NFI,5,0),1,0)*Table_NFI[[#This Row],[NFI Core Kit]],Table_NFI[NFI Core Kit])</f>
        <v>0</v>
      </c>
      <c r="AA167" s="352">
        <f>IF(NFI_Expiration=1,IF($A167&lt;VLOOKUP(J$5,NFI,5,0),1,0)*Table_NFI[[#This Row],[Sanitary Kit]],Table_NFI[Sanitary Kit])</f>
        <v>0</v>
      </c>
      <c r="AB167" s="352">
        <f>IF(NFI_Expiration=1,IF($A167&lt;VLOOKUP(K$5,NFI,5,0),1,0)*Table_NFI[[#This Row],[Mosquito net]],Table_NFI[Mosquito net])</f>
        <v>0</v>
      </c>
      <c r="AC167" s="352">
        <f>IF(NFI_Expiration=1,IF($A167&lt;VLOOKUP(L$5,NFI,5,0),1,0)*Table_NFI[[#This Row],[Tarpaulin]],Table_NFI[[#This Row],[Tarpaulin]])</f>
        <v>0</v>
      </c>
      <c r="AD167" s="352">
        <f>IF(NFI_Expiration=1,IF($A167&lt;VLOOKUP(M$5,NFI,5,0),1,0)*Table_NFI[[#This Row],[Blanket]],Table_NFI[[#This Row],[Blanket]])</f>
        <v>0</v>
      </c>
      <c r="AE167" s="352">
        <f>IF(NFI_Expiration=1,IF($A167&lt;VLOOKUP(N$5,NFI,5,0),1,0)*Table_NFI[[#This Row],[Kitchen Set]],Table_NFI[Kitchen Set])</f>
        <v>0</v>
      </c>
      <c r="AF167" s="352">
        <f>IF(NFI_Expiration=1,IF($A167&lt;VLOOKUP(O$5,NFI,5,0),1,0)*Table_NFI[[#This Row],[Clothes Kit]],Table_NFI[Clothes Kit])</f>
        <v>0</v>
      </c>
      <c r="AG167" s="352">
        <f>IF(NFI_Expiration=1,IF($A167&lt;VLOOKUP(P$5,NFI,5,0),1,0)*Table_NFI[[#This Row],[Plastic Bucket]],Table_NFI[Plastic Bucket])</f>
        <v>0</v>
      </c>
      <c r="AH167" s="352">
        <f>IF(NFI_Expiration=1,IF($A167&lt;VLOOKUP(Q$5,NFI,5,0),1,0)*Table_NFI[[#This Row],[Plastic Mat]],Table_NFI[Plastic Mat])*IF(Table_NFI[[#This Row],[Distribution Date]]&gt;"2014-04-01",1,2.5)</f>
        <v>0</v>
      </c>
      <c r="AI167" s="352">
        <f>IF(NFI_Expiration=1,IF($A167&lt;VLOOKUP(R$5,NFI,5,0),1,0)*Table_NFI[[#This Row],[Winter Clothes Adult]],Table_NFI[Winter Clothes Adult])</f>
        <v>0</v>
      </c>
      <c r="AJ167" s="352">
        <f>IF(NFI_Expiration=1,IF($A167&lt;VLOOKUP(S$5,NFI,5,0),1,0)*Table_NFI[[#This Row],[Winter Clothes Children]],Table_NFI[Winter Clothes Children])</f>
        <v>0</v>
      </c>
      <c r="AK167" s="352">
        <f>IF(NFI_Expiration=1,IF($A167&lt;VLOOKUP(T$5,NFI,5,0),1,0)*Table_NFI[[#This Row],[Winter Items Other]],Table_NFI[Winter Items Other])</f>
        <v>0</v>
      </c>
      <c r="AL167" s="352">
        <f>IF(NFI_Expiration=1,IF($A167&lt;VLOOKUP(M$5,NFI,5,0),1,0)*Table_NFI[[#This Row],[Winter Blanket]],Table_NFI[[#This Row],[Winter Blanket]])</f>
        <v>0</v>
      </c>
      <c r="AM167" s="352">
        <f>IF(Table_NFI[[#This Row],[Winter Clothes Adult]]+Table_NFI[[#This Row],[Winter Clothes Children]]+Table_NFI[[#This Row],[Winter Items Other]]+Table_NFI[[#This Row],[Winter Blanket]]&gt;0,1,0)</f>
        <v>0</v>
      </c>
      <c r="AN167" s="392">
        <f>IF(NFI_Expiration=1,IF($A167&lt;VLOOKUP(V$5,NFI,5,0),1,0)*Table_NFI[[#This Row],[Jerry Can]],Table_NFI[Jerry Can])</f>
        <v>0</v>
      </c>
      <c r="AO167" s="540" t="str">
        <f>IFERROR(VLOOKUP(Table_NFI[[#This Row],[Camp Name]],CL,2,0),"")</f>
        <v>MMR001CMP109</v>
      </c>
      <c r="AP167" s="535">
        <f ca="1">IF(Table_NFI[[#This Row],[Pcode]]="","",IF(OFFSET(CampList[Opening Date],MATCH(Table_NFI[[#This Row],[Pcode]],CampList[CP_Pcode],0)-1,0,1,1)&gt;=NFI_Monitor_Date,1,0))</f>
        <v>0</v>
      </c>
      <c r="AQ167" s="540" t="str">
        <f>IFERROR(VLOOKUP(Table_NFI[[#This Row],[Camp Name]],CL,3,0),"")</f>
        <v>Open</v>
      </c>
      <c r="AR167" s="352" t="str">
        <f ca="1">IF(Table_NFI[[#This Row],[Pcode]]="","",OFFSET(CampList[Priority],MATCH(Table_NFI[[#This Row],[Pcode]],CampList[CP_Pcode],0)-1,0,1,1))</f>
        <v>P4</v>
      </c>
      <c r="AS167" s="351">
        <f>IFERROR(Table_NFI[[#This Row],[Kitchen Set]]/VLOOKUP(Table_NFI[[#This Row],[Camp Name]],CL,4,0),"")</f>
        <v>0.83333333333333337</v>
      </c>
      <c r="AT167" s="533"/>
      <c r="AU167" s="536"/>
    </row>
    <row r="168" spans="1:47" s="129" customFormat="1" ht="14.45" hidden="1" customHeight="1" x14ac:dyDescent="0.25">
      <c r="A168" s="355">
        <f t="shared" si="2"/>
        <v>22.933333333333334</v>
      </c>
      <c r="B168" s="532">
        <v>41883</v>
      </c>
      <c r="C168" s="538" t="s">
        <v>1038</v>
      </c>
      <c r="D168" s="538"/>
      <c r="E168" s="538" t="s">
        <v>380</v>
      </c>
      <c r="F168" s="538" t="s">
        <v>310</v>
      </c>
      <c r="G168" s="538" t="s">
        <v>336</v>
      </c>
      <c r="H168" s="350"/>
      <c r="I168" s="350"/>
      <c r="J168" s="350"/>
      <c r="K168" s="350"/>
      <c r="L168" s="350"/>
      <c r="M168" s="350"/>
      <c r="N168" s="350"/>
      <c r="O168" s="350"/>
      <c r="P168" s="352"/>
      <c r="Q168" s="352"/>
      <c r="R168" s="352"/>
      <c r="S168" s="352">
        <v>407</v>
      </c>
      <c r="T168" s="352"/>
      <c r="U168" s="352"/>
      <c r="V168" s="497"/>
      <c r="W168" s="352"/>
      <c r="X168" s="352"/>
      <c r="Y168" s="352">
        <f>IF(NFI_Expiration=1,IF($A168&lt;VLOOKUP(H$5,NFI,5,0),1,0)*Table_NFI[[#This Row],[Hygiene Kit]],Table_NFI[Hygiene Kit])</f>
        <v>0</v>
      </c>
      <c r="Z168" s="352">
        <f>IF(NFI_Expiration=1,IF($A168&lt;VLOOKUP(I$5,NFI,5,0),1,0)*Table_NFI[[#This Row],[NFI Core Kit]],Table_NFI[NFI Core Kit])</f>
        <v>0</v>
      </c>
      <c r="AA168" s="352">
        <f>IF(NFI_Expiration=1,IF($A168&lt;VLOOKUP(J$5,NFI,5,0),1,0)*Table_NFI[[#This Row],[Sanitary Kit]],Table_NFI[Sanitary Kit])</f>
        <v>0</v>
      </c>
      <c r="AB168" s="352">
        <f>IF(NFI_Expiration=1,IF($A168&lt;VLOOKUP(K$5,NFI,5,0),1,0)*Table_NFI[[#This Row],[Mosquito net]],Table_NFI[Mosquito net])</f>
        <v>0</v>
      </c>
      <c r="AC168" s="352">
        <f>IF(NFI_Expiration=1,IF($A168&lt;VLOOKUP(L$5,NFI,5,0),1,0)*Table_NFI[[#This Row],[Tarpaulin]],Table_NFI[[#This Row],[Tarpaulin]])</f>
        <v>0</v>
      </c>
      <c r="AD168" s="352">
        <f>IF(NFI_Expiration=1,IF($A168&lt;VLOOKUP(M$5,NFI,5,0),1,0)*Table_NFI[[#This Row],[Blanket]],Table_NFI[[#This Row],[Blanket]])</f>
        <v>0</v>
      </c>
      <c r="AE168" s="352">
        <f>IF(NFI_Expiration=1,IF($A168&lt;VLOOKUP(N$5,NFI,5,0),1,0)*Table_NFI[[#This Row],[Kitchen Set]],Table_NFI[Kitchen Set])</f>
        <v>0</v>
      </c>
      <c r="AF168" s="352">
        <f>IF(NFI_Expiration=1,IF($A168&lt;VLOOKUP(O$5,NFI,5,0),1,0)*Table_NFI[[#This Row],[Clothes Kit]],Table_NFI[Clothes Kit])</f>
        <v>0</v>
      </c>
      <c r="AG168" s="352">
        <f>IF(NFI_Expiration=1,IF($A168&lt;VLOOKUP(P$5,NFI,5,0),1,0)*Table_NFI[[#This Row],[Plastic Bucket]],Table_NFI[Plastic Bucket])</f>
        <v>0</v>
      </c>
      <c r="AH168" s="352">
        <f>IF(NFI_Expiration=1,IF($A168&lt;VLOOKUP(Q$5,NFI,5,0),1,0)*Table_NFI[[#This Row],[Plastic Mat]],Table_NFI[Plastic Mat])*IF(Table_NFI[[#This Row],[Distribution Date]]&gt;"2014-04-01",1,2.5)</f>
        <v>0</v>
      </c>
      <c r="AI168" s="352">
        <f>IF(NFI_Expiration=1,IF($A168&lt;VLOOKUP(R$5,NFI,5,0),1,0)*Table_NFI[[#This Row],[Winter Clothes Adult]],Table_NFI[Winter Clothes Adult])</f>
        <v>0</v>
      </c>
      <c r="AJ168" s="352">
        <f>IF(NFI_Expiration=1,IF($A168&lt;VLOOKUP(S$5,NFI,5,0),1,0)*Table_NFI[[#This Row],[Winter Clothes Children]],Table_NFI[Winter Clothes Children])</f>
        <v>0</v>
      </c>
      <c r="AK168" s="352">
        <f>IF(NFI_Expiration=1,IF($A168&lt;VLOOKUP(T$5,NFI,5,0),1,0)*Table_NFI[[#This Row],[Winter Items Other]],Table_NFI[Winter Items Other])</f>
        <v>0</v>
      </c>
      <c r="AL168" s="352">
        <f>IF(NFI_Expiration=1,IF($A168&lt;VLOOKUP(M$5,NFI,5,0),1,0)*Table_NFI[[#This Row],[Winter Blanket]],Table_NFI[[#This Row],[Winter Blanket]])</f>
        <v>0</v>
      </c>
      <c r="AM168" s="352">
        <f>IF(Table_NFI[[#This Row],[Winter Clothes Adult]]+Table_NFI[[#This Row],[Winter Clothes Children]]+Table_NFI[[#This Row],[Winter Items Other]]+Table_NFI[[#This Row],[Winter Blanket]]&gt;0,1,0)</f>
        <v>1</v>
      </c>
      <c r="AN168" s="392">
        <f>IF(NFI_Expiration=1,IF($A168&lt;VLOOKUP(V$5,NFI,5,0),1,0)*Table_NFI[[#This Row],[Jerry Can]],Table_NFI[Jerry Can])</f>
        <v>0</v>
      </c>
      <c r="AO168" s="540" t="str">
        <f>IFERROR(VLOOKUP(Table_NFI[[#This Row],[Camp Name]],CL,2,0),"")</f>
        <v>MMR001CMP115</v>
      </c>
      <c r="AP168" s="535">
        <f ca="1">IF(Table_NFI[[#This Row],[Pcode]]="","",IF(OFFSET(CampList[Opening Date],MATCH(Table_NFI[[#This Row],[Pcode]],CampList[CP_Pcode],0)-1,0,1,1)&gt;=NFI_Monitor_Date,1,0))</f>
        <v>0</v>
      </c>
      <c r="AQ168" s="540" t="str">
        <f>IFERROR(VLOOKUP(Table_NFI[[#This Row],[Camp Name]],CL,3,0),"")</f>
        <v>Open</v>
      </c>
      <c r="AR168" s="352" t="str">
        <f ca="1">IF(Table_NFI[[#This Row],[Pcode]]="","",OFFSET(CampList[Priority],MATCH(Table_NFI[[#This Row],[Pcode]],CampList[CP_Pcode],0)-1,0,1,1))</f>
        <v>P1</v>
      </c>
      <c r="AS168" s="351">
        <f>IFERROR(Table_NFI[[#This Row],[Kitchen Set]]/VLOOKUP(Table_NFI[[#This Row],[Camp Name]],CL,4,0),"")</f>
        <v>0</v>
      </c>
      <c r="AT168" s="538"/>
      <c r="AU168" s="541"/>
    </row>
    <row r="169" spans="1:47" s="129" customFormat="1" ht="14.45" hidden="1" customHeight="1" x14ac:dyDescent="0.25">
      <c r="A169" s="355">
        <f t="shared" si="2"/>
        <v>30.166666666666668</v>
      </c>
      <c r="B169" s="532">
        <v>41666</v>
      </c>
      <c r="C169" s="533" t="s">
        <v>1038</v>
      </c>
      <c r="D169" s="533" t="s">
        <v>461</v>
      </c>
      <c r="E169" s="533" t="s">
        <v>380</v>
      </c>
      <c r="F169" s="533" t="s">
        <v>310</v>
      </c>
      <c r="G169" s="533" t="s">
        <v>336</v>
      </c>
      <c r="H169" s="349"/>
      <c r="I169" s="349"/>
      <c r="J169" s="349"/>
      <c r="K169" s="349"/>
      <c r="L169" s="350"/>
      <c r="M169" s="350">
        <v>181</v>
      </c>
      <c r="N169" s="350">
        <v>181</v>
      </c>
      <c r="O169" s="350">
        <v>181</v>
      </c>
      <c r="P169" s="352"/>
      <c r="Q169" s="352">
        <v>181</v>
      </c>
      <c r="R169" s="352"/>
      <c r="S169" s="352"/>
      <c r="T169" s="352"/>
      <c r="U169" s="352"/>
      <c r="V169" s="497"/>
      <c r="W169" s="352"/>
      <c r="X169" s="352"/>
      <c r="Y169" s="352">
        <f>IF(NFI_Expiration=1,IF($A169&lt;VLOOKUP(H$5,NFI,5,0),1,0)*Table_NFI[[#This Row],[Hygiene Kit]],Table_NFI[Hygiene Kit])</f>
        <v>0</v>
      </c>
      <c r="Z169" s="352">
        <f>IF(NFI_Expiration=1,IF($A169&lt;VLOOKUP(I$5,NFI,5,0),1,0)*Table_NFI[[#This Row],[NFI Core Kit]],Table_NFI[NFI Core Kit])</f>
        <v>0</v>
      </c>
      <c r="AA169" s="352">
        <f>IF(NFI_Expiration=1,IF($A169&lt;VLOOKUP(J$5,NFI,5,0),1,0)*Table_NFI[[#This Row],[Sanitary Kit]],Table_NFI[Sanitary Kit])</f>
        <v>0</v>
      </c>
      <c r="AB169" s="352">
        <f>IF(NFI_Expiration=1,IF($A169&lt;VLOOKUP(K$5,NFI,5,0),1,0)*Table_NFI[[#This Row],[Mosquito net]],Table_NFI[Mosquito net])</f>
        <v>0</v>
      </c>
      <c r="AC169" s="352">
        <f>IF(NFI_Expiration=1,IF($A169&lt;VLOOKUP(L$5,NFI,5,0),1,0)*Table_NFI[[#This Row],[Tarpaulin]],Table_NFI[[#This Row],[Tarpaulin]])</f>
        <v>0</v>
      </c>
      <c r="AD169" s="352">
        <f>IF(NFI_Expiration=1,IF($A169&lt;VLOOKUP(M$5,NFI,5,0),1,0)*Table_NFI[[#This Row],[Blanket]],Table_NFI[[#This Row],[Blanket]])</f>
        <v>0</v>
      </c>
      <c r="AE169" s="352">
        <f>IF(NFI_Expiration=1,IF($A169&lt;VLOOKUP(N$5,NFI,5,0),1,0)*Table_NFI[[#This Row],[Kitchen Set]],Table_NFI[Kitchen Set])</f>
        <v>0</v>
      </c>
      <c r="AF169" s="352">
        <f>IF(NFI_Expiration=1,IF($A169&lt;VLOOKUP(O$5,NFI,5,0),1,0)*Table_NFI[[#This Row],[Clothes Kit]],Table_NFI[Clothes Kit])</f>
        <v>0</v>
      </c>
      <c r="AG169" s="352">
        <f>IF(NFI_Expiration=1,IF($A169&lt;VLOOKUP(P$5,NFI,5,0),1,0)*Table_NFI[[#This Row],[Plastic Bucket]],Table_NFI[Plastic Bucket])</f>
        <v>0</v>
      </c>
      <c r="AH169" s="352">
        <f>IF(NFI_Expiration=1,IF($A169&lt;VLOOKUP(Q$5,NFI,5,0),1,0)*Table_NFI[[#This Row],[Plastic Mat]],Table_NFI[Plastic Mat])*IF(Table_NFI[[#This Row],[Distribution Date]]&gt;"2014-04-01",1,2.5)</f>
        <v>0</v>
      </c>
      <c r="AI169" s="352">
        <f>IF(NFI_Expiration=1,IF($A169&lt;VLOOKUP(R$5,NFI,5,0),1,0)*Table_NFI[[#This Row],[Winter Clothes Adult]],Table_NFI[Winter Clothes Adult])</f>
        <v>0</v>
      </c>
      <c r="AJ169" s="352">
        <f>IF(NFI_Expiration=1,IF($A169&lt;VLOOKUP(S$5,NFI,5,0),1,0)*Table_NFI[[#This Row],[Winter Clothes Children]],Table_NFI[Winter Clothes Children])</f>
        <v>0</v>
      </c>
      <c r="AK169" s="352">
        <f>IF(NFI_Expiration=1,IF($A169&lt;VLOOKUP(T$5,NFI,5,0),1,0)*Table_NFI[[#This Row],[Winter Items Other]],Table_NFI[Winter Items Other])</f>
        <v>0</v>
      </c>
      <c r="AL169" s="352">
        <f>IF(NFI_Expiration=1,IF($A169&lt;VLOOKUP(M$5,NFI,5,0),1,0)*Table_NFI[[#This Row],[Winter Blanket]],Table_NFI[[#This Row],[Winter Blanket]])</f>
        <v>0</v>
      </c>
      <c r="AM169" s="352">
        <f>IF(Table_NFI[[#This Row],[Winter Clothes Adult]]+Table_NFI[[#This Row],[Winter Clothes Children]]+Table_NFI[[#This Row],[Winter Items Other]]+Table_NFI[[#This Row],[Winter Blanket]]&gt;0,1,0)</f>
        <v>0</v>
      </c>
      <c r="AN169" s="392">
        <f>IF(NFI_Expiration=1,IF($A169&lt;VLOOKUP(V$5,NFI,5,0),1,0)*Table_NFI[[#This Row],[Jerry Can]],Table_NFI[Jerry Can])</f>
        <v>0</v>
      </c>
      <c r="AO169" s="540" t="str">
        <f>IFERROR(VLOOKUP(Table_NFI[[#This Row],[Camp Name]],CL,2,0),"")</f>
        <v>MMR001CMP115</v>
      </c>
      <c r="AP169" s="535">
        <f ca="1">IF(Table_NFI[[#This Row],[Pcode]]="","",IF(OFFSET(CampList[Opening Date],MATCH(Table_NFI[[#This Row],[Pcode]],CampList[CP_Pcode],0)-1,0,1,1)&gt;=NFI_Monitor_Date,1,0))</f>
        <v>0</v>
      </c>
      <c r="AQ169" s="540" t="str">
        <f>IFERROR(VLOOKUP(Table_NFI[[#This Row],[Camp Name]],CL,3,0),"")</f>
        <v>Open</v>
      </c>
      <c r="AR169" s="352" t="str">
        <f ca="1">IF(Table_NFI[[#This Row],[Pcode]]="","",OFFSET(CampList[Priority],MATCH(Table_NFI[[#This Row],[Pcode]],CampList[CP_Pcode],0)-1,0,1,1))</f>
        <v>P1</v>
      </c>
      <c r="AS169" s="351">
        <f>IFERROR(Table_NFI[[#This Row],[Kitchen Set]]/VLOOKUP(Table_NFI[[#This Row],[Camp Name]],CL,4,0),"")</f>
        <v>1.2397260273972603</v>
      </c>
      <c r="AT169" s="533" t="s">
        <v>1094</v>
      </c>
      <c r="AU169" s="536"/>
    </row>
    <row r="170" spans="1:47" s="129" customFormat="1" hidden="1" x14ac:dyDescent="0.25">
      <c r="A170" s="355">
        <f t="shared" si="2"/>
        <v>32.1</v>
      </c>
      <c r="B170" s="532">
        <v>41608</v>
      </c>
      <c r="C170" s="533" t="s">
        <v>907</v>
      </c>
      <c r="D170" s="533" t="s">
        <v>461</v>
      </c>
      <c r="E170" s="533" t="s">
        <v>380</v>
      </c>
      <c r="F170" s="348" t="s">
        <v>310</v>
      </c>
      <c r="G170" s="348" t="s">
        <v>336</v>
      </c>
      <c r="H170" s="349"/>
      <c r="I170" s="349"/>
      <c r="J170" s="349"/>
      <c r="K170" s="349"/>
      <c r="L170" s="350"/>
      <c r="M170" s="350"/>
      <c r="N170" s="350"/>
      <c r="O170" s="350"/>
      <c r="P170" s="352"/>
      <c r="Q170" s="352"/>
      <c r="R170" s="352"/>
      <c r="S170" s="352"/>
      <c r="T170" s="352"/>
      <c r="U170" s="352"/>
      <c r="V170" s="497"/>
      <c r="W170" s="352"/>
      <c r="X170" s="352"/>
      <c r="Y170" s="352">
        <f>IF(NFI_Expiration=1,IF($A170&lt;VLOOKUP(H$5,NFI,5,0),1,0)*Table_NFI[[#This Row],[Hygiene Kit]],Table_NFI[Hygiene Kit])</f>
        <v>0</v>
      </c>
      <c r="Z170" s="352">
        <f>IF(NFI_Expiration=1,IF($A170&lt;VLOOKUP(I$5,NFI,5,0),1,0)*Table_NFI[[#This Row],[NFI Core Kit]],Table_NFI[NFI Core Kit])</f>
        <v>0</v>
      </c>
      <c r="AA170" s="352">
        <f>IF(NFI_Expiration=1,IF($A170&lt;VLOOKUP(J$5,NFI,5,0),1,0)*Table_NFI[[#This Row],[Sanitary Kit]],Table_NFI[Sanitary Kit])</f>
        <v>0</v>
      </c>
      <c r="AB170" s="352">
        <f>IF(NFI_Expiration=1,IF($A170&lt;VLOOKUP(K$5,NFI,5,0),1,0)*Table_NFI[[#This Row],[Mosquito net]],Table_NFI[Mosquito net])</f>
        <v>0</v>
      </c>
      <c r="AC170" s="352">
        <f>IF(NFI_Expiration=1,IF($A170&lt;VLOOKUP(L$5,NFI,5,0),1,0)*Table_NFI[[#This Row],[Tarpaulin]],Table_NFI[[#This Row],[Tarpaulin]])</f>
        <v>0</v>
      </c>
      <c r="AD170" s="352">
        <f>IF(NFI_Expiration=1,IF($A170&lt;VLOOKUP(M$5,NFI,5,0),1,0)*Table_NFI[[#This Row],[Blanket]],Table_NFI[[#This Row],[Blanket]])</f>
        <v>0</v>
      </c>
      <c r="AE170" s="352">
        <f>IF(NFI_Expiration=1,IF($A170&lt;VLOOKUP(N$5,NFI,5,0),1,0)*Table_NFI[[#This Row],[Kitchen Set]],Table_NFI[Kitchen Set])</f>
        <v>0</v>
      </c>
      <c r="AF170" s="352">
        <f>IF(NFI_Expiration=1,IF($A170&lt;VLOOKUP(O$5,NFI,5,0),1,0)*Table_NFI[[#This Row],[Clothes Kit]],Table_NFI[Clothes Kit])</f>
        <v>0</v>
      </c>
      <c r="AG170" s="352">
        <f>IF(NFI_Expiration=1,IF($A170&lt;VLOOKUP(P$5,NFI,5,0),1,0)*Table_NFI[[#This Row],[Plastic Bucket]],Table_NFI[Plastic Bucket])</f>
        <v>0</v>
      </c>
      <c r="AH170" s="352">
        <f>IF(NFI_Expiration=1,IF($A170&lt;VLOOKUP(Q$5,NFI,5,0),1,0)*Table_NFI[[#This Row],[Plastic Mat]],Table_NFI[Plastic Mat])*IF(Table_NFI[[#This Row],[Distribution Date]]&gt;"2014-04-01",1,2.5)</f>
        <v>0</v>
      </c>
      <c r="AI170" s="352">
        <f>IF(NFI_Expiration=1,IF($A170&lt;VLOOKUP(R$5,NFI,5,0),1,0)*Table_NFI[[#This Row],[Winter Clothes Adult]],Table_NFI[Winter Clothes Adult])</f>
        <v>0</v>
      </c>
      <c r="AJ170" s="352">
        <f>IF(NFI_Expiration=1,IF($A170&lt;VLOOKUP(S$5,NFI,5,0),1,0)*Table_NFI[[#This Row],[Winter Clothes Children]],Table_NFI[Winter Clothes Children])</f>
        <v>0</v>
      </c>
      <c r="AK170" s="352">
        <f>IF(NFI_Expiration=1,IF($A170&lt;VLOOKUP(T$5,NFI,5,0),1,0)*Table_NFI[[#This Row],[Winter Items Other]],Table_NFI[Winter Items Other])</f>
        <v>0</v>
      </c>
      <c r="AL170" s="352">
        <f>IF(NFI_Expiration=1,IF($A170&lt;VLOOKUP(M$5,NFI,5,0),1,0)*Table_NFI[[#This Row],[Winter Blanket]],Table_NFI[[#This Row],[Winter Blanket]])</f>
        <v>0</v>
      </c>
      <c r="AM170" s="352">
        <f>IF(Table_NFI[[#This Row],[Winter Clothes Adult]]+Table_NFI[[#This Row],[Winter Clothes Children]]+Table_NFI[[#This Row],[Winter Items Other]]+Table_NFI[[#This Row],[Winter Blanket]]&gt;0,1,0)</f>
        <v>0</v>
      </c>
      <c r="AN170" s="392">
        <f>IF(NFI_Expiration=1,IF($A170&lt;VLOOKUP(V$5,NFI,5,0),1,0)*Table_NFI[[#This Row],[Jerry Can]],Table_NFI[Jerry Can])</f>
        <v>0</v>
      </c>
      <c r="AO170" s="540" t="str">
        <f>IFERROR(VLOOKUP(Table_NFI[[#This Row],[Camp Name]],CL,2,0),"")</f>
        <v>MMR001CMP115</v>
      </c>
      <c r="AP170" s="535">
        <f ca="1">IF(Table_NFI[[#This Row],[Pcode]]="","",IF(OFFSET(CampList[Opening Date],MATCH(Table_NFI[[#This Row],[Pcode]],CampList[CP_Pcode],0)-1,0,1,1)&gt;=NFI_Monitor_Date,1,0))</f>
        <v>0</v>
      </c>
      <c r="AQ170" s="540" t="str">
        <f>IFERROR(VLOOKUP(Table_NFI[[#This Row],[Camp Name]],CL,3,0),"")</f>
        <v>Open</v>
      </c>
      <c r="AR170" s="352" t="str">
        <f ca="1">IF(Table_NFI[[#This Row],[Pcode]]="","",OFFSET(CampList[Priority],MATCH(Table_NFI[[#This Row],[Pcode]],CampList[CP_Pcode],0)-1,0,1,1))</f>
        <v>P1</v>
      </c>
      <c r="AS170" s="351">
        <f>IFERROR(Table_NFI[[#This Row],[Kitchen Set]]/VLOOKUP(Table_NFI[[#This Row],[Camp Name]],CL,4,0),"")</f>
        <v>0</v>
      </c>
      <c r="AT170" s="533" t="s">
        <v>1094</v>
      </c>
      <c r="AU170" s="536"/>
    </row>
    <row r="171" spans="1:47" s="129" customFormat="1" hidden="1" x14ac:dyDescent="0.25">
      <c r="A171" s="355">
        <f t="shared" si="2"/>
        <v>32.133333333333333</v>
      </c>
      <c r="B171" s="532">
        <v>41607</v>
      </c>
      <c r="C171" s="533" t="s">
        <v>907</v>
      </c>
      <c r="D171" s="533" t="s">
        <v>461</v>
      </c>
      <c r="E171" s="533" t="s">
        <v>380</v>
      </c>
      <c r="F171" s="533" t="s">
        <v>310</v>
      </c>
      <c r="G171" s="533" t="s">
        <v>336</v>
      </c>
      <c r="H171" s="349"/>
      <c r="I171" s="349"/>
      <c r="J171" s="349"/>
      <c r="K171" s="349"/>
      <c r="L171" s="350"/>
      <c r="M171" s="350"/>
      <c r="N171" s="350"/>
      <c r="O171" s="350"/>
      <c r="P171" s="352"/>
      <c r="Q171" s="352"/>
      <c r="R171" s="352">
        <v>177</v>
      </c>
      <c r="S171" s="352">
        <v>354</v>
      </c>
      <c r="T171" s="352">
        <v>1062</v>
      </c>
      <c r="U171" s="352">
        <v>531</v>
      </c>
      <c r="V171" s="497"/>
      <c r="W171" s="352"/>
      <c r="X171" s="352"/>
      <c r="Y171" s="352">
        <f>IF(NFI_Expiration=1,IF($A171&lt;VLOOKUP(H$5,NFI,5,0),1,0)*Table_NFI[[#This Row],[Hygiene Kit]],Table_NFI[Hygiene Kit])</f>
        <v>0</v>
      </c>
      <c r="Z171" s="352">
        <f>IF(NFI_Expiration=1,IF($A171&lt;VLOOKUP(I$5,NFI,5,0),1,0)*Table_NFI[[#This Row],[NFI Core Kit]],Table_NFI[NFI Core Kit])</f>
        <v>0</v>
      </c>
      <c r="AA171" s="352">
        <f>IF(NFI_Expiration=1,IF($A171&lt;VLOOKUP(J$5,NFI,5,0),1,0)*Table_NFI[[#This Row],[Sanitary Kit]],Table_NFI[Sanitary Kit])</f>
        <v>0</v>
      </c>
      <c r="AB171" s="352">
        <f>IF(NFI_Expiration=1,IF($A171&lt;VLOOKUP(K$5,NFI,5,0),1,0)*Table_NFI[[#This Row],[Mosquito net]],Table_NFI[Mosquito net])</f>
        <v>0</v>
      </c>
      <c r="AC171" s="352">
        <f>IF(NFI_Expiration=1,IF($A171&lt;VLOOKUP(L$5,NFI,5,0),1,0)*Table_NFI[[#This Row],[Tarpaulin]],Table_NFI[[#This Row],[Tarpaulin]])</f>
        <v>0</v>
      </c>
      <c r="AD171" s="352">
        <f>IF(NFI_Expiration=1,IF($A171&lt;VLOOKUP(M$5,NFI,5,0),1,0)*Table_NFI[[#This Row],[Blanket]],Table_NFI[[#This Row],[Blanket]])</f>
        <v>0</v>
      </c>
      <c r="AE171" s="352">
        <f>IF(NFI_Expiration=1,IF($A171&lt;VLOOKUP(N$5,NFI,5,0),1,0)*Table_NFI[[#This Row],[Kitchen Set]],Table_NFI[Kitchen Set])</f>
        <v>0</v>
      </c>
      <c r="AF171" s="352">
        <f>IF(NFI_Expiration=1,IF($A171&lt;VLOOKUP(O$5,NFI,5,0),1,0)*Table_NFI[[#This Row],[Clothes Kit]],Table_NFI[Clothes Kit])</f>
        <v>0</v>
      </c>
      <c r="AG171" s="352">
        <f>IF(NFI_Expiration=1,IF($A171&lt;VLOOKUP(P$5,NFI,5,0),1,0)*Table_NFI[[#This Row],[Plastic Bucket]],Table_NFI[Plastic Bucket])</f>
        <v>0</v>
      </c>
      <c r="AH171" s="352">
        <f>IF(NFI_Expiration=1,IF($A171&lt;VLOOKUP(Q$5,NFI,5,0),1,0)*Table_NFI[[#This Row],[Plastic Mat]],Table_NFI[Plastic Mat])*IF(Table_NFI[[#This Row],[Distribution Date]]&gt;"2014-04-01",1,2.5)</f>
        <v>0</v>
      </c>
      <c r="AI171" s="352">
        <f>IF(NFI_Expiration=1,IF($A171&lt;VLOOKUP(R$5,NFI,5,0),1,0)*Table_NFI[[#This Row],[Winter Clothes Adult]],Table_NFI[Winter Clothes Adult])</f>
        <v>0</v>
      </c>
      <c r="AJ171" s="352">
        <f>IF(NFI_Expiration=1,IF($A171&lt;VLOOKUP(S$5,NFI,5,0),1,0)*Table_NFI[[#This Row],[Winter Clothes Children]],Table_NFI[Winter Clothes Children])</f>
        <v>0</v>
      </c>
      <c r="AK171" s="352">
        <f>IF(NFI_Expiration=1,IF($A171&lt;VLOOKUP(T$5,NFI,5,0),1,0)*Table_NFI[[#This Row],[Winter Items Other]],Table_NFI[Winter Items Other])</f>
        <v>0</v>
      </c>
      <c r="AL171" s="352">
        <f>IF(NFI_Expiration=1,IF($A171&lt;VLOOKUP(M$5,NFI,5,0),1,0)*Table_NFI[[#This Row],[Winter Blanket]],Table_NFI[[#This Row],[Winter Blanket]])</f>
        <v>0</v>
      </c>
      <c r="AM171" s="352">
        <f>IF(Table_NFI[[#This Row],[Winter Clothes Adult]]+Table_NFI[[#This Row],[Winter Clothes Children]]+Table_NFI[[#This Row],[Winter Items Other]]+Table_NFI[[#This Row],[Winter Blanket]]&gt;0,1,0)</f>
        <v>1</v>
      </c>
      <c r="AN171" s="392">
        <f>IF(NFI_Expiration=1,IF($A171&lt;VLOOKUP(V$5,NFI,5,0),1,0)*Table_NFI[[#This Row],[Jerry Can]],Table_NFI[Jerry Can])</f>
        <v>0</v>
      </c>
      <c r="AO171" s="540" t="str">
        <f>IFERROR(VLOOKUP(Table_NFI[[#This Row],[Camp Name]],CL,2,0),"")</f>
        <v>MMR001CMP115</v>
      </c>
      <c r="AP171" s="535">
        <f ca="1">IF(Table_NFI[[#This Row],[Pcode]]="","",IF(OFFSET(CampList[Opening Date],MATCH(Table_NFI[[#This Row],[Pcode]],CampList[CP_Pcode],0)-1,0,1,1)&gt;=NFI_Monitor_Date,1,0))</f>
        <v>0</v>
      </c>
      <c r="AQ171" s="540" t="str">
        <f>IFERROR(VLOOKUP(Table_NFI[[#This Row],[Camp Name]],CL,3,0),"")</f>
        <v>Open</v>
      </c>
      <c r="AR171" s="352" t="str">
        <f ca="1">IF(Table_NFI[[#This Row],[Pcode]]="","",OFFSET(CampList[Priority],MATCH(Table_NFI[[#This Row],[Pcode]],CampList[CP_Pcode],0)-1,0,1,1))</f>
        <v>P1</v>
      </c>
      <c r="AS171" s="351">
        <f>IFERROR(Table_NFI[[#This Row],[Kitchen Set]]/VLOOKUP(Table_NFI[[#This Row],[Camp Name]],CL,4,0),"")</f>
        <v>0</v>
      </c>
      <c r="AT171" s="533"/>
      <c r="AU171" s="536"/>
    </row>
    <row r="172" spans="1:47" s="129" customFormat="1" ht="14.45" customHeight="1" x14ac:dyDescent="0.25">
      <c r="A172" s="355">
        <f t="shared" si="2"/>
        <v>20.933333333333334</v>
      </c>
      <c r="B172" s="532">
        <v>41943</v>
      </c>
      <c r="C172" s="533" t="s">
        <v>453</v>
      </c>
      <c r="D172" s="533"/>
      <c r="E172" s="533" t="s">
        <v>380</v>
      </c>
      <c r="F172" s="533" t="s">
        <v>528</v>
      </c>
      <c r="G172" s="533" t="s">
        <v>76</v>
      </c>
      <c r="H172" s="349"/>
      <c r="I172" s="349"/>
      <c r="J172" s="349">
        <v>67</v>
      </c>
      <c r="K172" s="349">
        <v>134</v>
      </c>
      <c r="L172" s="350">
        <v>67</v>
      </c>
      <c r="M172" s="350">
        <v>134</v>
      </c>
      <c r="N172" s="350">
        <v>67</v>
      </c>
      <c r="O172" s="350"/>
      <c r="P172" s="352">
        <v>67</v>
      </c>
      <c r="Q172" s="352">
        <v>335</v>
      </c>
      <c r="R172" s="352"/>
      <c r="S172" s="352"/>
      <c r="T172" s="352"/>
      <c r="U172" s="352"/>
      <c r="V172" s="497"/>
      <c r="W172" s="352"/>
      <c r="X172" s="352"/>
      <c r="Y172" s="352">
        <f>IF(NFI_Expiration=1,IF($A172&lt;VLOOKUP(H$5,NFI,5,0),1,0)*Table_NFI[[#This Row],[Hygiene Kit]],Table_NFI[Hygiene Kit])</f>
        <v>0</v>
      </c>
      <c r="Z172" s="352">
        <f>IF(NFI_Expiration=1,IF($A172&lt;VLOOKUP(I$5,NFI,5,0),1,0)*Table_NFI[[#This Row],[NFI Core Kit]],Table_NFI[NFI Core Kit])</f>
        <v>0</v>
      </c>
      <c r="AA172" s="352">
        <f>IF(NFI_Expiration=1,IF($A172&lt;VLOOKUP(J$5,NFI,5,0),1,0)*Table_NFI[[#This Row],[Sanitary Kit]],Table_NFI[Sanitary Kit])</f>
        <v>0</v>
      </c>
      <c r="AB172" s="352">
        <f>IF(NFI_Expiration=1,IF($A172&lt;VLOOKUP(K$5,NFI,5,0),1,0)*Table_NFI[[#This Row],[Mosquito net]],Table_NFI[Mosquito net])</f>
        <v>0</v>
      </c>
      <c r="AC172" s="352">
        <f>IF(NFI_Expiration=1,IF($A172&lt;VLOOKUP(L$5,NFI,5,0),1,0)*Table_NFI[[#This Row],[Tarpaulin]],Table_NFI[[#This Row],[Tarpaulin]])</f>
        <v>0</v>
      </c>
      <c r="AD172" s="352">
        <f>IF(NFI_Expiration=1,IF($A172&lt;VLOOKUP(M$5,NFI,5,0),1,0)*Table_NFI[[#This Row],[Blanket]],Table_NFI[[#This Row],[Blanket]])</f>
        <v>0</v>
      </c>
      <c r="AE172" s="352">
        <f>IF(NFI_Expiration=1,IF($A172&lt;VLOOKUP(N$5,NFI,5,0),1,0)*Table_NFI[[#This Row],[Kitchen Set]],Table_NFI[Kitchen Set])</f>
        <v>0</v>
      </c>
      <c r="AF172" s="352">
        <f>IF(NFI_Expiration=1,IF($A172&lt;VLOOKUP(O$5,NFI,5,0),1,0)*Table_NFI[[#This Row],[Clothes Kit]],Table_NFI[Clothes Kit])</f>
        <v>0</v>
      </c>
      <c r="AG172" s="352">
        <f>IF(NFI_Expiration=1,IF($A172&lt;VLOOKUP(P$5,NFI,5,0),1,0)*Table_NFI[[#This Row],[Plastic Bucket]],Table_NFI[Plastic Bucket])</f>
        <v>0</v>
      </c>
      <c r="AH172" s="352">
        <f>IF(NFI_Expiration=1,IF($A172&lt;VLOOKUP(Q$5,NFI,5,0),1,0)*Table_NFI[[#This Row],[Plastic Mat]],Table_NFI[Plastic Mat])*IF(Table_NFI[[#This Row],[Distribution Date]]&gt;"2014-04-01",1,2.5)</f>
        <v>0</v>
      </c>
      <c r="AI172" s="352">
        <f>IF(NFI_Expiration=1,IF($A172&lt;VLOOKUP(R$5,NFI,5,0),1,0)*Table_NFI[[#This Row],[Winter Clothes Adult]],Table_NFI[Winter Clothes Adult])</f>
        <v>0</v>
      </c>
      <c r="AJ172" s="352">
        <f>IF(NFI_Expiration=1,IF($A172&lt;VLOOKUP(S$5,NFI,5,0),1,0)*Table_NFI[[#This Row],[Winter Clothes Children]],Table_NFI[Winter Clothes Children])</f>
        <v>0</v>
      </c>
      <c r="AK172" s="352">
        <f>IF(NFI_Expiration=1,IF($A172&lt;VLOOKUP(T$5,NFI,5,0),1,0)*Table_NFI[[#This Row],[Winter Items Other]],Table_NFI[Winter Items Other])</f>
        <v>0</v>
      </c>
      <c r="AL172" s="352">
        <f>IF(NFI_Expiration=1,IF($A172&lt;VLOOKUP(M$5,NFI,5,0),1,0)*Table_NFI[[#This Row],[Winter Blanket]],Table_NFI[[#This Row],[Winter Blanket]])</f>
        <v>0</v>
      </c>
      <c r="AM172" s="352">
        <f>IF(Table_NFI[[#This Row],[Winter Clothes Adult]]+Table_NFI[[#This Row],[Winter Clothes Children]]+Table_NFI[[#This Row],[Winter Items Other]]+Table_NFI[[#This Row],[Winter Blanket]]&gt;0,1,0)</f>
        <v>0</v>
      </c>
      <c r="AN172" s="392">
        <f>IF(NFI_Expiration=1,IF($A172&lt;VLOOKUP(V$5,NFI,5,0),1,0)*Table_NFI[[#This Row],[Jerry Can]],Table_NFI[Jerry Can])</f>
        <v>0</v>
      </c>
      <c r="AO172" s="540" t="str">
        <f>IFERROR(VLOOKUP(Table_NFI[[#This Row],[Camp Name]],CL,2,0),"")</f>
        <v>MMR001CMP174</v>
      </c>
      <c r="AP172" s="535">
        <f ca="1">IF(Table_NFI[[#This Row],[Pcode]]="","",IF(OFFSET(CampList[Opening Date],MATCH(Table_NFI[[#This Row],[Pcode]],CampList[CP_Pcode],0)-1,0,1,1)&gt;=NFI_Monitor_Date,1,0))</f>
        <v>0</v>
      </c>
      <c r="AQ172" s="540" t="str">
        <f>IFERROR(VLOOKUP(Table_NFI[[#This Row],[Camp Name]],CL,3,0),"")</f>
        <v>Open</v>
      </c>
      <c r="AR172" s="352" t="str">
        <f ca="1">IF(Table_NFI[[#This Row],[Pcode]]="","",OFFSET(CampList[Priority],MATCH(Table_NFI[[#This Row],[Pcode]],CampList[CP_Pcode],0)-1,0,1,1))</f>
        <v>P4</v>
      </c>
      <c r="AS172" s="351">
        <f>IFERROR(Table_NFI[[#This Row],[Kitchen Set]]/VLOOKUP(Table_NFI[[#This Row],[Camp Name]],CL,4,0),"")</f>
        <v>1.0151515151515151</v>
      </c>
      <c r="AT172" s="533"/>
      <c r="AU172" s="536"/>
    </row>
    <row r="173" spans="1:47" s="129" customFormat="1" ht="14.45" hidden="1" customHeight="1" x14ac:dyDescent="0.25">
      <c r="A173" s="355">
        <f t="shared" si="2"/>
        <v>21.133333333333333</v>
      </c>
      <c r="B173" s="532">
        <v>41937</v>
      </c>
      <c r="C173" s="533" t="s">
        <v>1096</v>
      </c>
      <c r="D173" s="533" t="s">
        <v>902</v>
      </c>
      <c r="E173" s="533" t="s">
        <v>380</v>
      </c>
      <c r="F173" s="533" t="s">
        <v>528</v>
      </c>
      <c r="G173" s="533" t="s">
        <v>88</v>
      </c>
      <c r="H173" s="349"/>
      <c r="I173" s="349"/>
      <c r="J173" s="349"/>
      <c r="K173" s="349"/>
      <c r="L173" s="350"/>
      <c r="M173" s="350"/>
      <c r="N173" s="350"/>
      <c r="O173" s="350"/>
      <c r="P173" s="352"/>
      <c r="Q173" s="352"/>
      <c r="R173" s="352">
        <v>37</v>
      </c>
      <c r="S173" s="352">
        <v>24</v>
      </c>
      <c r="T173" s="352"/>
      <c r="U173" s="352"/>
      <c r="V173" s="497"/>
      <c r="W173" s="352"/>
      <c r="X173" s="352"/>
      <c r="Y173" s="352">
        <f>IF(NFI_Expiration=1,IF($A173&lt;VLOOKUP(H$5,NFI,5,0),1,0)*Table_NFI[[#This Row],[Hygiene Kit]],Table_NFI[Hygiene Kit])</f>
        <v>0</v>
      </c>
      <c r="Z173" s="352">
        <f>IF(NFI_Expiration=1,IF($A173&lt;VLOOKUP(I$5,NFI,5,0),1,0)*Table_NFI[[#This Row],[NFI Core Kit]],Table_NFI[NFI Core Kit])</f>
        <v>0</v>
      </c>
      <c r="AA173" s="352">
        <f>IF(NFI_Expiration=1,IF($A173&lt;VLOOKUP(J$5,NFI,5,0),1,0)*Table_NFI[[#This Row],[Sanitary Kit]],Table_NFI[Sanitary Kit])</f>
        <v>0</v>
      </c>
      <c r="AB173" s="352">
        <f>IF(NFI_Expiration=1,IF($A173&lt;VLOOKUP(K$5,NFI,5,0),1,0)*Table_NFI[[#This Row],[Mosquito net]],Table_NFI[Mosquito net])</f>
        <v>0</v>
      </c>
      <c r="AC173" s="352">
        <f>IF(NFI_Expiration=1,IF($A173&lt;VLOOKUP(L$5,NFI,5,0),1,0)*Table_NFI[[#This Row],[Tarpaulin]],Table_NFI[[#This Row],[Tarpaulin]])</f>
        <v>0</v>
      </c>
      <c r="AD173" s="352">
        <f>IF(NFI_Expiration=1,IF($A173&lt;VLOOKUP(M$5,NFI,5,0),1,0)*Table_NFI[[#This Row],[Blanket]],Table_NFI[[#This Row],[Blanket]])</f>
        <v>0</v>
      </c>
      <c r="AE173" s="352">
        <f>IF(NFI_Expiration=1,IF($A173&lt;VLOOKUP(N$5,NFI,5,0),1,0)*Table_NFI[[#This Row],[Kitchen Set]],Table_NFI[Kitchen Set])</f>
        <v>0</v>
      </c>
      <c r="AF173" s="352">
        <f>IF(NFI_Expiration=1,IF($A173&lt;VLOOKUP(O$5,NFI,5,0),1,0)*Table_NFI[[#This Row],[Clothes Kit]],Table_NFI[Clothes Kit])</f>
        <v>0</v>
      </c>
      <c r="AG173" s="352">
        <f>IF(NFI_Expiration=1,IF($A173&lt;VLOOKUP(P$5,NFI,5,0),1,0)*Table_NFI[[#This Row],[Plastic Bucket]],Table_NFI[Plastic Bucket])</f>
        <v>0</v>
      </c>
      <c r="AH173" s="352">
        <f>IF(NFI_Expiration=1,IF($A173&lt;VLOOKUP(Q$5,NFI,5,0),1,0)*Table_NFI[[#This Row],[Plastic Mat]],Table_NFI[Plastic Mat])*IF(Table_NFI[[#This Row],[Distribution Date]]&gt;"2014-04-01",1,2.5)</f>
        <v>0</v>
      </c>
      <c r="AI173" s="352">
        <f>IF(NFI_Expiration=1,IF($A173&lt;VLOOKUP(R$5,NFI,5,0),1,0)*Table_NFI[[#This Row],[Winter Clothes Adult]],Table_NFI[Winter Clothes Adult])</f>
        <v>0</v>
      </c>
      <c r="AJ173" s="352">
        <f>IF(NFI_Expiration=1,IF($A173&lt;VLOOKUP(S$5,NFI,5,0),1,0)*Table_NFI[[#This Row],[Winter Clothes Children]],Table_NFI[Winter Clothes Children])</f>
        <v>0</v>
      </c>
      <c r="AK173" s="352">
        <f>IF(NFI_Expiration=1,IF($A173&lt;VLOOKUP(T$5,NFI,5,0),1,0)*Table_NFI[[#This Row],[Winter Items Other]],Table_NFI[Winter Items Other])</f>
        <v>0</v>
      </c>
      <c r="AL173" s="352">
        <f>IF(NFI_Expiration=1,IF($A173&lt;VLOOKUP(M$5,NFI,5,0),1,0)*Table_NFI[[#This Row],[Winter Blanket]],Table_NFI[[#This Row],[Winter Blanket]])</f>
        <v>0</v>
      </c>
      <c r="AM173" s="352">
        <f>IF(Table_NFI[[#This Row],[Winter Clothes Adult]]+Table_NFI[[#This Row],[Winter Clothes Children]]+Table_NFI[[#This Row],[Winter Items Other]]+Table_NFI[[#This Row],[Winter Blanket]]&gt;0,1,0)</f>
        <v>1</v>
      </c>
      <c r="AN173" s="392">
        <f>IF(NFI_Expiration=1,IF($A173&lt;VLOOKUP(V$5,NFI,5,0),1,0)*Table_NFI[[#This Row],[Jerry Can]],Table_NFI[Jerry Can])</f>
        <v>0</v>
      </c>
      <c r="AO173" s="540" t="str">
        <f>IFERROR(VLOOKUP(Table_NFI[[#This Row],[Camp Name]],CL,2,0),"")</f>
        <v>MMR001CMP148</v>
      </c>
      <c r="AP173" s="535">
        <f ca="1">IF(Table_NFI[[#This Row],[Pcode]]="","",IF(OFFSET(CampList[Opening Date],MATCH(Table_NFI[[#This Row],[Pcode]],CampList[CP_Pcode],0)-1,0,1,1)&gt;=NFI_Monitor_Date,1,0))</f>
        <v>0</v>
      </c>
      <c r="AQ173" s="540" t="str">
        <f>IFERROR(VLOOKUP(Table_NFI[[#This Row],[Camp Name]],CL,3,0),"")</f>
        <v>Open</v>
      </c>
      <c r="AR173" s="352" t="str">
        <f ca="1">IF(Table_NFI[[#This Row],[Pcode]]="","",OFFSET(CampList[Priority],MATCH(Table_NFI[[#This Row],[Pcode]],CampList[CP_Pcode],0)-1,0,1,1))</f>
        <v>P4</v>
      </c>
      <c r="AS173" s="351">
        <f>IFERROR(Table_NFI[[#This Row],[Kitchen Set]]/VLOOKUP(Table_NFI[[#This Row],[Camp Name]],CL,4,0),"")</f>
        <v>0</v>
      </c>
      <c r="AT173" s="533"/>
      <c r="AU173" s="536"/>
    </row>
    <row r="174" spans="1:47" s="129" customFormat="1" ht="14.45" hidden="1" customHeight="1" x14ac:dyDescent="0.25">
      <c r="A174" s="355">
        <f t="shared" si="2"/>
        <v>27.9</v>
      </c>
      <c r="B174" s="532">
        <v>41734</v>
      </c>
      <c r="C174" s="533" t="s">
        <v>1106</v>
      </c>
      <c r="D174" s="533" t="s">
        <v>902</v>
      </c>
      <c r="E174" s="533" t="s">
        <v>380</v>
      </c>
      <c r="F174" s="533" t="s">
        <v>528</v>
      </c>
      <c r="G174" s="533" t="s">
        <v>88</v>
      </c>
      <c r="H174" s="349"/>
      <c r="I174" s="349"/>
      <c r="J174" s="349"/>
      <c r="K174" s="349"/>
      <c r="L174" s="350"/>
      <c r="M174" s="350"/>
      <c r="N174" s="350"/>
      <c r="O174" s="350"/>
      <c r="P174" s="352"/>
      <c r="Q174" s="352"/>
      <c r="R174" s="352"/>
      <c r="S174" s="352"/>
      <c r="T174" s="352"/>
      <c r="U174" s="352">
        <v>44</v>
      </c>
      <c r="V174" s="497"/>
      <c r="W174" s="352"/>
      <c r="X174" s="352"/>
      <c r="Y174" s="352">
        <f>IF(NFI_Expiration=1,IF($A174&lt;VLOOKUP(H$5,NFI,5,0),1,0)*Table_NFI[[#This Row],[Hygiene Kit]],Table_NFI[Hygiene Kit])</f>
        <v>0</v>
      </c>
      <c r="Z174" s="352">
        <f>IF(NFI_Expiration=1,IF($A174&lt;VLOOKUP(I$5,NFI,5,0),1,0)*Table_NFI[[#This Row],[NFI Core Kit]],Table_NFI[NFI Core Kit])</f>
        <v>0</v>
      </c>
      <c r="AA174" s="352">
        <f>IF(NFI_Expiration=1,IF($A174&lt;VLOOKUP(J$5,NFI,5,0),1,0)*Table_NFI[[#This Row],[Sanitary Kit]],Table_NFI[Sanitary Kit])</f>
        <v>0</v>
      </c>
      <c r="AB174" s="352">
        <f>IF(NFI_Expiration=1,IF($A174&lt;VLOOKUP(K$5,NFI,5,0),1,0)*Table_NFI[[#This Row],[Mosquito net]],Table_NFI[Mosquito net])</f>
        <v>0</v>
      </c>
      <c r="AC174" s="352">
        <f>IF(NFI_Expiration=1,IF($A174&lt;VLOOKUP(L$5,NFI,5,0),1,0)*Table_NFI[[#This Row],[Tarpaulin]],Table_NFI[[#This Row],[Tarpaulin]])</f>
        <v>0</v>
      </c>
      <c r="AD174" s="352">
        <f>IF(NFI_Expiration=1,IF($A174&lt;VLOOKUP(M$5,NFI,5,0),1,0)*Table_NFI[[#This Row],[Blanket]],Table_NFI[[#This Row],[Blanket]])</f>
        <v>0</v>
      </c>
      <c r="AE174" s="352">
        <f>IF(NFI_Expiration=1,IF($A174&lt;VLOOKUP(N$5,NFI,5,0),1,0)*Table_NFI[[#This Row],[Kitchen Set]],Table_NFI[Kitchen Set])</f>
        <v>0</v>
      </c>
      <c r="AF174" s="352">
        <f>IF(NFI_Expiration=1,IF($A174&lt;VLOOKUP(O$5,NFI,5,0),1,0)*Table_NFI[[#This Row],[Clothes Kit]],Table_NFI[Clothes Kit])</f>
        <v>0</v>
      </c>
      <c r="AG174" s="352">
        <f>IF(NFI_Expiration=1,IF($A174&lt;VLOOKUP(P$5,NFI,5,0),1,0)*Table_NFI[[#This Row],[Plastic Bucket]],Table_NFI[Plastic Bucket])</f>
        <v>0</v>
      </c>
      <c r="AH174" s="352">
        <f>IF(NFI_Expiration=1,IF($A174&lt;VLOOKUP(Q$5,NFI,5,0),1,0)*Table_NFI[[#This Row],[Plastic Mat]],Table_NFI[Plastic Mat])*IF(Table_NFI[[#This Row],[Distribution Date]]&gt;"2014-04-01",1,2.5)</f>
        <v>0</v>
      </c>
      <c r="AI174" s="352">
        <f>IF(NFI_Expiration=1,IF($A174&lt;VLOOKUP(R$5,NFI,5,0),1,0)*Table_NFI[[#This Row],[Winter Clothes Adult]],Table_NFI[Winter Clothes Adult])</f>
        <v>0</v>
      </c>
      <c r="AJ174" s="352">
        <f>IF(NFI_Expiration=1,IF($A174&lt;VLOOKUP(S$5,NFI,5,0),1,0)*Table_NFI[[#This Row],[Winter Clothes Children]],Table_NFI[Winter Clothes Children])</f>
        <v>0</v>
      </c>
      <c r="AK174" s="352">
        <f>IF(NFI_Expiration=1,IF($A174&lt;VLOOKUP(T$5,NFI,5,0),1,0)*Table_NFI[[#This Row],[Winter Items Other]],Table_NFI[Winter Items Other])</f>
        <v>0</v>
      </c>
      <c r="AL174" s="352">
        <f>IF(NFI_Expiration=1,IF($A174&lt;VLOOKUP(M$5,NFI,5,0),1,0)*Table_NFI[[#This Row],[Winter Blanket]],Table_NFI[[#This Row],[Winter Blanket]])</f>
        <v>0</v>
      </c>
      <c r="AM174" s="352">
        <f>IF(Table_NFI[[#This Row],[Winter Clothes Adult]]+Table_NFI[[#This Row],[Winter Clothes Children]]+Table_NFI[[#This Row],[Winter Items Other]]+Table_NFI[[#This Row],[Winter Blanket]]&gt;0,1,0)</f>
        <v>1</v>
      </c>
      <c r="AN174" s="392">
        <f>IF(NFI_Expiration=1,IF($A174&lt;VLOOKUP(V$5,NFI,5,0),1,0)*Table_NFI[[#This Row],[Jerry Can]],Table_NFI[Jerry Can])</f>
        <v>0</v>
      </c>
      <c r="AO174" s="540" t="str">
        <f>IFERROR(VLOOKUP(Table_NFI[[#This Row],[Camp Name]],CL,2,0),"")</f>
        <v>MMR001CMP148</v>
      </c>
      <c r="AP174" s="535">
        <f ca="1">IF(Table_NFI[[#This Row],[Pcode]]="","",IF(OFFSET(CampList[Opening Date],MATCH(Table_NFI[[#This Row],[Pcode]],CampList[CP_Pcode],0)-1,0,1,1)&gt;=NFI_Monitor_Date,1,0))</f>
        <v>0</v>
      </c>
      <c r="AQ174" s="540" t="str">
        <f>IFERROR(VLOOKUP(Table_NFI[[#This Row],[Camp Name]],CL,3,0),"")</f>
        <v>Open</v>
      </c>
      <c r="AR174" s="352" t="str">
        <f ca="1">IF(Table_NFI[[#This Row],[Pcode]]="","",OFFSET(CampList[Priority],MATCH(Table_NFI[[#This Row],[Pcode]],CampList[CP_Pcode],0)-1,0,1,1))</f>
        <v>P4</v>
      </c>
      <c r="AS174" s="351">
        <f>IFERROR(Table_NFI[[#This Row],[Kitchen Set]]/VLOOKUP(Table_NFI[[#This Row],[Camp Name]],CL,4,0),"")</f>
        <v>0</v>
      </c>
      <c r="AT174" s="533"/>
      <c r="AU174" s="536"/>
    </row>
    <row r="175" spans="1:47" s="129" customFormat="1" ht="14.45" customHeight="1" x14ac:dyDescent="0.25">
      <c r="A175" s="355">
        <f t="shared" si="2"/>
        <v>20.933333333333334</v>
      </c>
      <c r="B175" s="532">
        <v>41943</v>
      </c>
      <c r="C175" s="533" t="s">
        <v>453</v>
      </c>
      <c r="D175" s="533"/>
      <c r="E175" s="533" t="s">
        <v>380</v>
      </c>
      <c r="F175" s="533" t="s">
        <v>528</v>
      </c>
      <c r="G175" s="533" t="s">
        <v>44</v>
      </c>
      <c r="H175" s="349"/>
      <c r="I175" s="349"/>
      <c r="J175" s="349">
        <v>10</v>
      </c>
      <c r="K175" s="349">
        <v>20</v>
      </c>
      <c r="L175" s="350">
        <v>10</v>
      </c>
      <c r="M175" s="350">
        <v>20</v>
      </c>
      <c r="N175" s="350">
        <v>10</v>
      </c>
      <c r="O175" s="350"/>
      <c r="P175" s="352">
        <v>10</v>
      </c>
      <c r="Q175" s="352">
        <v>50</v>
      </c>
      <c r="R175" s="352"/>
      <c r="S175" s="352"/>
      <c r="T175" s="352"/>
      <c r="U175" s="352"/>
      <c r="V175" s="497"/>
      <c r="W175" s="352"/>
      <c r="X175" s="352"/>
      <c r="Y175" s="352">
        <f>IF(NFI_Expiration=1,IF($A175&lt;VLOOKUP(H$5,NFI,5,0),1,0)*Table_NFI[[#This Row],[Hygiene Kit]],Table_NFI[Hygiene Kit])</f>
        <v>0</v>
      </c>
      <c r="Z175" s="352">
        <f>IF(NFI_Expiration=1,IF($A175&lt;VLOOKUP(I$5,NFI,5,0),1,0)*Table_NFI[[#This Row],[NFI Core Kit]],Table_NFI[NFI Core Kit])</f>
        <v>0</v>
      </c>
      <c r="AA175" s="352">
        <f>IF(NFI_Expiration=1,IF($A175&lt;VLOOKUP(J$5,NFI,5,0),1,0)*Table_NFI[[#This Row],[Sanitary Kit]],Table_NFI[Sanitary Kit])</f>
        <v>0</v>
      </c>
      <c r="AB175" s="352">
        <f>IF(NFI_Expiration=1,IF($A175&lt;VLOOKUP(K$5,NFI,5,0),1,0)*Table_NFI[[#This Row],[Mosquito net]],Table_NFI[Mosquito net])</f>
        <v>0</v>
      </c>
      <c r="AC175" s="352">
        <f>IF(NFI_Expiration=1,IF($A175&lt;VLOOKUP(L$5,NFI,5,0),1,0)*Table_NFI[[#This Row],[Tarpaulin]],Table_NFI[[#This Row],[Tarpaulin]])</f>
        <v>0</v>
      </c>
      <c r="AD175" s="352">
        <f>IF(NFI_Expiration=1,IF($A175&lt;VLOOKUP(M$5,NFI,5,0),1,0)*Table_NFI[[#This Row],[Blanket]],Table_NFI[[#This Row],[Blanket]])</f>
        <v>0</v>
      </c>
      <c r="AE175" s="352">
        <f>IF(NFI_Expiration=1,IF($A175&lt;VLOOKUP(N$5,NFI,5,0),1,0)*Table_NFI[[#This Row],[Kitchen Set]],Table_NFI[Kitchen Set])</f>
        <v>0</v>
      </c>
      <c r="AF175" s="352">
        <f>IF(NFI_Expiration=1,IF($A175&lt;VLOOKUP(O$5,NFI,5,0),1,0)*Table_NFI[[#This Row],[Clothes Kit]],Table_NFI[Clothes Kit])</f>
        <v>0</v>
      </c>
      <c r="AG175" s="352">
        <f>IF(NFI_Expiration=1,IF($A175&lt;VLOOKUP(P$5,NFI,5,0),1,0)*Table_NFI[[#This Row],[Plastic Bucket]],Table_NFI[Plastic Bucket])</f>
        <v>0</v>
      </c>
      <c r="AH175" s="352">
        <f>IF(NFI_Expiration=1,IF($A175&lt;VLOOKUP(Q$5,NFI,5,0),1,0)*Table_NFI[[#This Row],[Plastic Mat]],Table_NFI[Plastic Mat])*IF(Table_NFI[[#This Row],[Distribution Date]]&gt;"2014-04-01",1,2.5)</f>
        <v>0</v>
      </c>
      <c r="AI175" s="352">
        <f>IF(NFI_Expiration=1,IF($A175&lt;VLOOKUP(R$5,NFI,5,0),1,0)*Table_NFI[[#This Row],[Winter Clothes Adult]],Table_NFI[Winter Clothes Adult])</f>
        <v>0</v>
      </c>
      <c r="AJ175" s="352">
        <f>IF(NFI_Expiration=1,IF($A175&lt;VLOOKUP(S$5,NFI,5,0),1,0)*Table_NFI[[#This Row],[Winter Clothes Children]],Table_NFI[Winter Clothes Children])</f>
        <v>0</v>
      </c>
      <c r="AK175" s="352">
        <f>IF(NFI_Expiration=1,IF($A175&lt;VLOOKUP(T$5,NFI,5,0),1,0)*Table_NFI[[#This Row],[Winter Items Other]],Table_NFI[Winter Items Other])</f>
        <v>0</v>
      </c>
      <c r="AL175" s="352">
        <f>IF(NFI_Expiration=1,IF($A175&lt;VLOOKUP(M$5,NFI,5,0),1,0)*Table_NFI[[#This Row],[Winter Blanket]],Table_NFI[[#This Row],[Winter Blanket]])</f>
        <v>0</v>
      </c>
      <c r="AM175" s="352">
        <f>IF(Table_NFI[[#This Row],[Winter Clothes Adult]]+Table_NFI[[#This Row],[Winter Clothes Children]]+Table_NFI[[#This Row],[Winter Items Other]]+Table_NFI[[#This Row],[Winter Blanket]]&gt;0,1,0)</f>
        <v>0</v>
      </c>
      <c r="AN175" s="392">
        <f>IF(NFI_Expiration=1,IF($A175&lt;VLOOKUP(V$5,NFI,5,0),1,0)*Table_NFI[[#This Row],[Jerry Can]],Table_NFI[Jerry Can])</f>
        <v>0</v>
      </c>
      <c r="AO175" s="540" t="str">
        <f>IFERROR(VLOOKUP(Table_NFI[[#This Row],[Camp Name]],CL,2,0),"")</f>
        <v>MMR001CMP191</v>
      </c>
      <c r="AP175" s="535">
        <f ca="1">IF(Table_NFI[[#This Row],[Pcode]]="","",IF(OFFSET(CampList[Opening Date],MATCH(Table_NFI[[#This Row],[Pcode]],CampList[CP_Pcode],0)-1,0,1,1)&gt;=NFI_Monitor_Date,1,0))</f>
        <v>0</v>
      </c>
      <c r="AQ175" s="540" t="str">
        <f>IFERROR(VLOOKUP(Table_NFI[[#This Row],[Camp Name]],CL,3,0),"")</f>
        <v>Open</v>
      </c>
      <c r="AR175" s="352" t="str">
        <f ca="1">IF(Table_NFI[[#This Row],[Pcode]]="","",OFFSET(CampList[Priority],MATCH(Table_NFI[[#This Row],[Pcode]],CampList[CP_Pcode],0)-1,0,1,1))</f>
        <v>P4</v>
      </c>
      <c r="AS175" s="351">
        <f>IFERROR(Table_NFI[[#This Row],[Kitchen Set]]/VLOOKUP(Table_NFI[[#This Row],[Camp Name]],CL,4,0),"")</f>
        <v>1.25</v>
      </c>
      <c r="AT175" s="533"/>
      <c r="AU175" s="536"/>
    </row>
    <row r="176" spans="1:47" s="129" customFormat="1" ht="14.45" hidden="1" customHeight="1" x14ac:dyDescent="0.25">
      <c r="A176" s="355">
        <f t="shared" si="2"/>
        <v>43.233333333333334</v>
      </c>
      <c r="B176" s="532">
        <v>41274</v>
      </c>
      <c r="C176" s="533" t="s">
        <v>454</v>
      </c>
      <c r="D176" s="533" t="s">
        <v>454</v>
      </c>
      <c r="E176" s="533" t="s">
        <v>380</v>
      </c>
      <c r="F176" s="533" t="s">
        <v>528</v>
      </c>
      <c r="G176" s="348" t="s">
        <v>88</v>
      </c>
      <c r="H176" s="349">
        <v>4</v>
      </c>
      <c r="I176" s="349"/>
      <c r="J176" s="349"/>
      <c r="K176" s="349"/>
      <c r="L176" s="350"/>
      <c r="M176" s="350"/>
      <c r="N176" s="350"/>
      <c r="O176" s="350"/>
      <c r="P176" s="352">
        <v>0</v>
      </c>
      <c r="Q176" s="352">
        <v>0</v>
      </c>
      <c r="R176" s="352"/>
      <c r="S176" s="352"/>
      <c r="T176" s="352"/>
      <c r="U176" s="352"/>
      <c r="V176" s="497"/>
      <c r="W176" s="352"/>
      <c r="X176" s="352"/>
      <c r="Y176" s="352">
        <f>IF(NFI_Expiration=1,IF($A176&lt;VLOOKUP(H$5,NFI,5,0),1,0)*Table_NFI[[#This Row],[Hygiene Kit]],Table_NFI[Hygiene Kit])</f>
        <v>0</v>
      </c>
      <c r="Z176" s="352">
        <f>IF(NFI_Expiration=1,IF($A176&lt;VLOOKUP(I$5,NFI,5,0),1,0)*Table_NFI[[#This Row],[NFI Core Kit]],Table_NFI[NFI Core Kit])</f>
        <v>0</v>
      </c>
      <c r="AA176" s="352">
        <f>IF(NFI_Expiration=1,IF($A176&lt;VLOOKUP(J$5,NFI,5,0),1,0)*Table_NFI[[#This Row],[Sanitary Kit]],Table_NFI[Sanitary Kit])</f>
        <v>0</v>
      </c>
      <c r="AB176" s="352">
        <f>IF(NFI_Expiration=1,IF($A176&lt;VLOOKUP(K$5,NFI,5,0),1,0)*Table_NFI[[#This Row],[Mosquito net]],Table_NFI[Mosquito net])</f>
        <v>0</v>
      </c>
      <c r="AC176" s="352">
        <f>IF(NFI_Expiration=1,IF($A176&lt;VLOOKUP(L$5,NFI,5,0),1,0)*Table_NFI[[#This Row],[Tarpaulin]],Table_NFI[[#This Row],[Tarpaulin]])</f>
        <v>0</v>
      </c>
      <c r="AD176" s="352">
        <f>IF(NFI_Expiration=1,IF($A176&lt;VLOOKUP(M$5,NFI,5,0),1,0)*Table_NFI[[#This Row],[Blanket]],Table_NFI[[#This Row],[Blanket]])</f>
        <v>0</v>
      </c>
      <c r="AE176" s="352">
        <f>IF(NFI_Expiration=1,IF($A176&lt;VLOOKUP(N$5,NFI,5,0),1,0)*Table_NFI[[#This Row],[Kitchen Set]],Table_NFI[Kitchen Set])</f>
        <v>0</v>
      </c>
      <c r="AF176" s="352">
        <f>IF(NFI_Expiration=1,IF($A176&lt;VLOOKUP(O$5,NFI,5,0),1,0)*Table_NFI[[#This Row],[Clothes Kit]],Table_NFI[Clothes Kit])</f>
        <v>0</v>
      </c>
      <c r="AG176" s="352">
        <f>IF(NFI_Expiration=1,IF($A176&lt;VLOOKUP(P$5,NFI,5,0),1,0)*Table_NFI[[#This Row],[Plastic Bucket]],Table_NFI[Plastic Bucket])</f>
        <v>0</v>
      </c>
      <c r="AH176" s="352">
        <f>IF(NFI_Expiration=1,IF($A176&lt;VLOOKUP(Q$5,NFI,5,0),1,0)*Table_NFI[[#This Row],[Plastic Mat]],Table_NFI[Plastic Mat])*IF(Table_NFI[[#This Row],[Distribution Date]]&gt;"2014-04-01",1,2.5)</f>
        <v>0</v>
      </c>
      <c r="AI176" s="352">
        <f>IF(NFI_Expiration=1,IF($A176&lt;VLOOKUP(R$5,NFI,5,0),1,0)*Table_NFI[[#This Row],[Winter Clothes Adult]],Table_NFI[Winter Clothes Adult])</f>
        <v>0</v>
      </c>
      <c r="AJ176" s="352">
        <f>IF(NFI_Expiration=1,IF($A176&lt;VLOOKUP(S$5,NFI,5,0),1,0)*Table_NFI[[#This Row],[Winter Clothes Children]],Table_NFI[Winter Clothes Children])</f>
        <v>0</v>
      </c>
      <c r="AK176" s="352">
        <f>IF(NFI_Expiration=1,IF($A176&lt;VLOOKUP(T$5,NFI,5,0),1,0)*Table_NFI[[#This Row],[Winter Items Other]],Table_NFI[Winter Items Other])</f>
        <v>0</v>
      </c>
      <c r="AL176" s="352">
        <f>IF(NFI_Expiration=1,IF($A176&lt;VLOOKUP(M$5,NFI,5,0),1,0)*Table_NFI[[#This Row],[Winter Blanket]],Table_NFI[[#This Row],[Winter Blanket]])</f>
        <v>0</v>
      </c>
      <c r="AM176" s="352">
        <f>IF(Table_NFI[[#This Row],[Winter Clothes Adult]]+Table_NFI[[#This Row],[Winter Clothes Children]]+Table_NFI[[#This Row],[Winter Items Other]]+Table_NFI[[#This Row],[Winter Blanket]]&gt;0,1,0)</f>
        <v>0</v>
      </c>
      <c r="AN176" s="392">
        <f>IF(NFI_Expiration=1,IF($A176&lt;VLOOKUP(V$5,NFI,5,0),1,0)*Table_NFI[[#This Row],[Jerry Can]],Table_NFI[Jerry Can])</f>
        <v>0</v>
      </c>
      <c r="AO176" s="540" t="str">
        <f>IFERROR(VLOOKUP(Table_NFI[[#This Row],[Camp Name]],CL,2,0),"")</f>
        <v>MMR001CMP148</v>
      </c>
      <c r="AP176" s="535">
        <f ca="1">IF(Table_NFI[[#This Row],[Pcode]]="","",IF(OFFSET(CampList[Opening Date],MATCH(Table_NFI[[#This Row],[Pcode]],CampList[CP_Pcode],0)-1,0,1,1)&gt;=NFI_Monitor_Date,1,0))</f>
        <v>0</v>
      </c>
      <c r="AQ176" s="540" t="str">
        <f>IFERROR(VLOOKUP(Table_NFI[[#This Row],[Camp Name]],CL,3,0),"")</f>
        <v>Open</v>
      </c>
      <c r="AR176" s="352" t="str">
        <f ca="1">IF(Table_NFI[[#This Row],[Pcode]]="","",OFFSET(CampList[Priority],MATCH(Table_NFI[[#This Row],[Pcode]],CampList[CP_Pcode],0)-1,0,1,1))</f>
        <v>P4</v>
      </c>
      <c r="AS176" s="351">
        <f>IFERROR(Table_NFI[[#This Row],[Kitchen Set]]/VLOOKUP(Table_NFI[[#This Row],[Camp Name]],CL,4,0),"")</f>
        <v>0</v>
      </c>
      <c r="AT176" s="533" t="s">
        <v>1094</v>
      </c>
      <c r="AU176" s="536"/>
    </row>
    <row r="177" spans="1:47" s="129" customFormat="1" ht="14.45" customHeight="1" x14ac:dyDescent="0.25">
      <c r="A177" s="355">
        <f t="shared" si="2"/>
        <v>20.933333333333334</v>
      </c>
      <c r="B177" s="532">
        <v>41943</v>
      </c>
      <c r="C177" s="533" t="s">
        <v>453</v>
      </c>
      <c r="D177" s="533"/>
      <c r="E177" s="533" t="s">
        <v>380</v>
      </c>
      <c r="F177" s="533" t="s">
        <v>528</v>
      </c>
      <c r="G177" s="533" t="s">
        <v>1067</v>
      </c>
      <c r="H177" s="349"/>
      <c r="I177" s="349"/>
      <c r="J177" s="349">
        <v>64</v>
      </c>
      <c r="K177" s="349">
        <v>128</v>
      </c>
      <c r="L177" s="350">
        <v>64</v>
      </c>
      <c r="M177" s="350">
        <v>128</v>
      </c>
      <c r="N177" s="350">
        <v>64</v>
      </c>
      <c r="O177" s="350"/>
      <c r="P177" s="352">
        <v>64</v>
      </c>
      <c r="Q177" s="352">
        <v>320</v>
      </c>
      <c r="R177" s="352"/>
      <c r="S177" s="352"/>
      <c r="T177" s="352"/>
      <c r="U177" s="352"/>
      <c r="V177" s="497"/>
      <c r="W177" s="352"/>
      <c r="X177" s="352"/>
      <c r="Y177" s="352">
        <f>IF(NFI_Expiration=1,IF($A177&lt;VLOOKUP(H$5,NFI,5,0),1,0)*Table_NFI[[#This Row],[Hygiene Kit]],Table_NFI[Hygiene Kit])</f>
        <v>0</v>
      </c>
      <c r="Z177" s="352">
        <f>IF(NFI_Expiration=1,IF($A177&lt;VLOOKUP(I$5,NFI,5,0),1,0)*Table_NFI[[#This Row],[NFI Core Kit]],Table_NFI[NFI Core Kit])</f>
        <v>0</v>
      </c>
      <c r="AA177" s="352">
        <f>IF(NFI_Expiration=1,IF($A177&lt;VLOOKUP(J$5,NFI,5,0),1,0)*Table_NFI[[#This Row],[Sanitary Kit]],Table_NFI[Sanitary Kit])</f>
        <v>0</v>
      </c>
      <c r="AB177" s="352">
        <f>IF(NFI_Expiration=1,IF($A177&lt;VLOOKUP(K$5,NFI,5,0),1,0)*Table_NFI[[#This Row],[Mosquito net]],Table_NFI[Mosquito net])</f>
        <v>0</v>
      </c>
      <c r="AC177" s="352">
        <f>IF(NFI_Expiration=1,IF($A177&lt;VLOOKUP(L$5,NFI,5,0),1,0)*Table_NFI[[#This Row],[Tarpaulin]],Table_NFI[[#This Row],[Tarpaulin]])</f>
        <v>0</v>
      </c>
      <c r="AD177" s="352">
        <f>IF(NFI_Expiration=1,IF($A177&lt;VLOOKUP(M$5,NFI,5,0),1,0)*Table_NFI[[#This Row],[Blanket]],Table_NFI[[#This Row],[Blanket]])</f>
        <v>0</v>
      </c>
      <c r="AE177" s="352">
        <f>IF(NFI_Expiration=1,IF($A177&lt;VLOOKUP(N$5,NFI,5,0),1,0)*Table_NFI[[#This Row],[Kitchen Set]],Table_NFI[Kitchen Set])</f>
        <v>0</v>
      </c>
      <c r="AF177" s="352">
        <f>IF(NFI_Expiration=1,IF($A177&lt;VLOOKUP(O$5,NFI,5,0),1,0)*Table_NFI[[#This Row],[Clothes Kit]],Table_NFI[Clothes Kit])</f>
        <v>0</v>
      </c>
      <c r="AG177" s="352">
        <f>IF(NFI_Expiration=1,IF($A177&lt;VLOOKUP(P$5,NFI,5,0),1,0)*Table_NFI[[#This Row],[Plastic Bucket]],Table_NFI[Plastic Bucket])</f>
        <v>0</v>
      </c>
      <c r="AH177" s="352">
        <f>IF(NFI_Expiration=1,IF($A177&lt;VLOOKUP(Q$5,NFI,5,0),1,0)*Table_NFI[[#This Row],[Plastic Mat]],Table_NFI[Plastic Mat])*IF(Table_NFI[[#This Row],[Distribution Date]]&gt;"2014-04-01",1,2.5)</f>
        <v>0</v>
      </c>
      <c r="AI177" s="352">
        <f>IF(NFI_Expiration=1,IF($A177&lt;VLOOKUP(R$5,NFI,5,0),1,0)*Table_NFI[[#This Row],[Winter Clothes Adult]],Table_NFI[Winter Clothes Adult])</f>
        <v>0</v>
      </c>
      <c r="AJ177" s="352">
        <f>IF(NFI_Expiration=1,IF($A177&lt;VLOOKUP(S$5,NFI,5,0),1,0)*Table_NFI[[#This Row],[Winter Clothes Children]],Table_NFI[Winter Clothes Children])</f>
        <v>0</v>
      </c>
      <c r="AK177" s="352">
        <f>IF(NFI_Expiration=1,IF($A177&lt;VLOOKUP(T$5,NFI,5,0),1,0)*Table_NFI[[#This Row],[Winter Items Other]],Table_NFI[Winter Items Other])</f>
        <v>0</v>
      </c>
      <c r="AL177" s="352">
        <f>IF(NFI_Expiration=1,IF($A177&lt;VLOOKUP(M$5,NFI,5,0),1,0)*Table_NFI[[#This Row],[Winter Blanket]],Table_NFI[[#This Row],[Winter Blanket]])</f>
        <v>0</v>
      </c>
      <c r="AM177" s="352">
        <f>IF(Table_NFI[[#This Row],[Winter Clothes Adult]]+Table_NFI[[#This Row],[Winter Clothes Children]]+Table_NFI[[#This Row],[Winter Items Other]]+Table_NFI[[#This Row],[Winter Blanket]]&gt;0,1,0)</f>
        <v>0</v>
      </c>
      <c r="AN177" s="392">
        <f>IF(NFI_Expiration=1,IF($A177&lt;VLOOKUP(V$5,NFI,5,0),1,0)*Table_NFI[[#This Row],[Jerry Can]],Table_NFI[Jerry Can])</f>
        <v>0</v>
      </c>
      <c r="AO177" s="540" t="str">
        <f>IFERROR(VLOOKUP(Table_NFI[[#This Row],[Camp Name]],CL,2,0),"")</f>
        <v>MMR001CMP229</v>
      </c>
      <c r="AP177" s="535">
        <f ca="1">IF(Table_NFI[[#This Row],[Pcode]]="","",IF(OFFSET(CampList[Opening Date],MATCH(Table_NFI[[#This Row],[Pcode]],CampList[CP_Pcode],0)-1,0,1,1)&gt;=NFI_Monitor_Date,1,0))</f>
        <v>0</v>
      </c>
      <c r="AQ177" s="540" t="str">
        <f>IFERROR(VLOOKUP(Table_NFI[[#This Row],[Camp Name]],CL,3,0),"")</f>
        <v>Open</v>
      </c>
      <c r="AR177" s="352" t="str">
        <f ca="1">IF(Table_NFI[[#This Row],[Pcode]]="","",OFFSET(CampList[Priority],MATCH(Table_NFI[[#This Row],[Pcode]],CampList[CP_Pcode],0)-1,0,1,1))</f>
        <v>P4</v>
      </c>
      <c r="AS177" s="351">
        <f>IFERROR(Table_NFI[[#This Row],[Kitchen Set]]/VLOOKUP(Table_NFI[[#This Row],[Camp Name]],CL,4,0),"")</f>
        <v>0.60952380952380958</v>
      </c>
      <c r="AT177" s="533"/>
      <c r="AU177" s="536"/>
    </row>
    <row r="178" spans="1:47" s="129" customFormat="1" ht="14.45" customHeight="1" x14ac:dyDescent="0.25">
      <c r="A178" s="355">
        <f t="shared" si="2"/>
        <v>20.933333333333334</v>
      </c>
      <c r="B178" s="532">
        <v>41943</v>
      </c>
      <c r="C178" s="533" t="s">
        <v>453</v>
      </c>
      <c r="D178" s="533"/>
      <c r="E178" s="533" t="s">
        <v>380</v>
      </c>
      <c r="F178" s="533" t="s">
        <v>528</v>
      </c>
      <c r="G178" s="533" t="s">
        <v>90</v>
      </c>
      <c r="H178" s="349"/>
      <c r="I178" s="349"/>
      <c r="J178" s="349">
        <v>25</v>
      </c>
      <c r="K178" s="349">
        <v>50</v>
      </c>
      <c r="L178" s="350">
        <v>25</v>
      </c>
      <c r="M178" s="350">
        <v>50</v>
      </c>
      <c r="N178" s="350">
        <v>25</v>
      </c>
      <c r="O178" s="350"/>
      <c r="P178" s="352">
        <v>25</v>
      </c>
      <c r="Q178" s="352">
        <v>125</v>
      </c>
      <c r="R178" s="352"/>
      <c r="S178" s="352"/>
      <c r="T178" s="352"/>
      <c r="U178" s="352"/>
      <c r="V178" s="497"/>
      <c r="W178" s="352"/>
      <c r="X178" s="352"/>
      <c r="Y178" s="352">
        <f>IF(NFI_Expiration=1,IF($A178&lt;VLOOKUP(H$5,NFI,5,0),1,0)*Table_NFI[[#This Row],[Hygiene Kit]],Table_NFI[Hygiene Kit])</f>
        <v>0</v>
      </c>
      <c r="Z178" s="352">
        <f>IF(NFI_Expiration=1,IF($A178&lt;VLOOKUP(I$5,NFI,5,0),1,0)*Table_NFI[[#This Row],[NFI Core Kit]],Table_NFI[NFI Core Kit])</f>
        <v>0</v>
      </c>
      <c r="AA178" s="352">
        <f>IF(NFI_Expiration=1,IF($A178&lt;VLOOKUP(J$5,NFI,5,0),1,0)*Table_NFI[[#This Row],[Sanitary Kit]],Table_NFI[Sanitary Kit])</f>
        <v>0</v>
      </c>
      <c r="AB178" s="352">
        <f>IF(NFI_Expiration=1,IF($A178&lt;VLOOKUP(K$5,NFI,5,0),1,0)*Table_NFI[[#This Row],[Mosquito net]],Table_NFI[Mosquito net])</f>
        <v>0</v>
      </c>
      <c r="AC178" s="352">
        <f>IF(NFI_Expiration=1,IF($A178&lt;VLOOKUP(L$5,NFI,5,0),1,0)*Table_NFI[[#This Row],[Tarpaulin]],Table_NFI[[#This Row],[Tarpaulin]])</f>
        <v>0</v>
      </c>
      <c r="AD178" s="352">
        <f>IF(NFI_Expiration=1,IF($A178&lt;VLOOKUP(M$5,NFI,5,0),1,0)*Table_NFI[[#This Row],[Blanket]],Table_NFI[[#This Row],[Blanket]])</f>
        <v>0</v>
      </c>
      <c r="AE178" s="352">
        <f>IF(NFI_Expiration=1,IF($A178&lt;VLOOKUP(N$5,NFI,5,0),1,0)*Table_NFI[[#This Row],[Kitchen Set]],Table_NFI[Kitchen Set])</f>
        <v>0</v>
      </c>
      <c r="AF178" s="352">
        <f>IF(NFI_Expiration=1,IF($A178&lt;VLOOKUP(O$5,NFI,5,0),1,0)*Table_NFI[[#This Row],[Clothes Kit]],Table_NFI[Clothes Kit])</f>
        <v>0</v>
      </c>
      <c r="AG178" s="352">
        <f>IF(NFI_Expiration=1,IF($A178&lt;VLOOKUP(P$5,NFI,5,0),1,0)*Table_NFI[[#This Row],[Plastic Bucket]],Table_NFI[Plastic Bucket])</f>
        <v>0</v>
      </c>
      <c r="AH178" s="352">
        <f>IF(NFI_Expiration=1,IF($A178&lt;VLOOKUP(Q$5,NFI,5,0),1,0)*Table_NFI[[#This Row],[Plastic Mat]],Table_NFI[Plastic Mat])*IF(Table_NFI[[#This Row],[Distribution Date]]&gt;"2014-04-01",1,2.5)</f>
        <v>0</v>
      </c>
      <c r="AI178" s="352">
        <f>IF(NFI_Expiration=1,IF($A178&lt;VLOOKUP(R$5,NFI,5,0),1,0)*Table_NFI[[#This Row],[Winter Clothes Adult]],Table_NFI[Winter Clothes Adult])</f>
        <v>0</v>
      </c>
      <c r="AJ178" s="352">
        <f>IF(NFI_Expiration=1,IF($A178&lt;VLOOKUP(S$5,NFI,5,0),1,0)*Table_NFI[[#This Row],[Winter Clothes Children]],Table_NFI[Winter Clothes Children])</f>
        <v>0</v>
      </c>
      <c r="AK178" s="352">
        <f>IF(NFI_Expiration=1,IF($A178&lt;VLOOKUP(T$5,NFI,5,0),1,0)*Table_NFI[[#This Row],[Winter Items Other]],Table_NFI[Winter Items Other])</f>
        <v>0</v>
      </c>
      <c r="AL178" s="352">
        <f>IF(NFI_Expiration=1,IF($A178&lt;VLOOKUP(M$5,NFI,5,0),1,0)*Table_NFI[[#This Row],[Winter Blanket]],Table_NFI[[#This Row],[Winter Blanket]])</f>
        <v>0</v>
      </c>
      <c r="AM178" s="352">
        <f>IF(Table_NFI[[#This Row],[Winter Clothes Adult]]+Table_NFI[[#This Row],[Winter Clothes Children]]+Table_NFI[[#This Row],[Winter Items Other]]+Table_NFI[[#This Row],[Winter Blanket]]&gt;0,1,0)</f>
        <v>0</v>
      </c>
      <c r="AN178" s="392">
        <f>IF(NFI_Expiration=1,IF($A178&lt;VLOOKUP(V$5,NFI,5,0),1,0)*Table_NFI[[#This Row],[Jerry Can]],Table_NFI[Jerry Can])</f>
        <v>0</v>
      </c>
      <c r="AO178" s="540" t="str">
        <f>IFERROR(VLOOKUP(Table_NFI[[#This Row],[Camp Name]],CL,2,0),"")</f>
        <v>MMR001CMP181</v>
      </c>
      <c r="AP178" s="535">
        <f ca="1">IF(Table_NFI[[#This Row],[Pcode]]="","",IF(OFFSET(CampList[Opening Date],MATCH(Table_NFI[[#This Row],[Pcode]],CampList[CP_Pcode],0)-1,0,1,1)&gt;=NFI_Monitor_Date,1,0))</f>
        <v>0</v>
      </c>
      <c r="AQ178" s="540" t="str">
        <f>IFERROR(VLOOKUP(Table_NFI[[#This Row],[Camp Name]],CL,3,0),"")</f>
        <v>Open</v>
      </c>
      <c r="AR178" s="352" t="str">
        <f ca="1">IF(Table_NFI[[#This Row],[Pcode]]="","",OFFSET(CampList[Priority],MATCH(Table_NFI[[#This Row],[Pcode]],CampList[CP_Pcode],0)-1,0,1,1))</f>
        <v>P4</v>
      </c>
      <c r="AS178" s="351">
        <f>IFERROR(Table_NFI[[#This Row],[Kitchen Set]]/VLOOKUP(Table_NFI[[#This Row],[Camp Name]],CL,4,0),"")</f>
        <v>1</v>
      </c>
      <c r="AT178" s="533"/>
      <c r="AU178" s="536"/>
    </row>
    <row r="179" spans="1:47" s="129" customFormat="1" ht="14.45" customHeight="1" x14ac:dyDescent="0.25">
      <c r="A179" s="355">
        <f t="shared" si="2"/>
        <v>20.933333333333334</v>
      </c>
      <c r="B179" s="532">
        <v>41943</v>
      </c>
      <c r="C179" s="533" t="s">
        <v>453</v>
      </c>
      <c r="D179" s="533"/>
      <c r="E179" s="533" t="s">
        <v>380</v>
      </c>
      <c r="F179" s="533" t="s">
        <v>528</v>
      </c>
      <c r="G179" s="533" t="s">
        <v>92</v>
      </c>
      <c r="H179" s="349"/>
      <c r="I179" s="349"/>
      <c r="J179" s="349">
        <v>15</v>
      </c>
      <c r="K179" s="349">
        <v>30</v>
      </c>
      <c r="L179" s="350">
        <v>15</v>
      </c>
      <c r="M179" s="350">
        <v>30</v>
      </c>
      <c r="N179" s="350">
        <v>15</v>
      </c>
      <c r="O179" s="350"/>
      <c r="P179" s="352">
        <v>15</v>
      </c>
      <c r="Q179" s="352">
        <v>75</v>
      </c>
      <c r="R179" s="352"/>
      <c r="S179" s="352"/>
      <c r="T179" s="352"/>
      <c r="U179" s="352"/>
      <c r="V179" s="497"/>
      <c r="W179" s="352"/>
      <c r="X179" s="352"/>
      <c r="Y179" s="352">
        <f>IF(NFI_Expiration=1,IF($A179&lt;VLOOKUP(H$5,NFI,5,0),1,0)*Table_NFI[[#This Row],[Hygiene Kit]],Table_NFI[Hygiene Kit])</f>
        <v>0</v>
      </c>
      <c r="Z179" s="352">
        <f>IF(NFI_Expiration=1,IF($A179&lt;VLOOKUP(I$5,NFI,5,0),1,0)*Table_NFI[[#This Row],[NFI Core Kit]],Table_NFI[NFI Core Kit])</f>
        <v>0</v>
      </c>
      <c r="AA179" s="352">
        <f>IF(NFI_Expiration=1,IF($A179&lt;VLOOKUP(J$5,NFI,5,0),1,0)*Table_NFI[[#This Row],[Sanitary Kit]],Table_NFI[Sanitary Kit])</f>
        <v>0</v>
      </c>
      <c r="AB179" s="352">
        <f>IF(NFI_Expiration=1,IF($A179&lt;VLOOKUP(K$5,NFI,5,0),1,0)*Table_NFI[[#This Row],[Mosquito net]],Table_NFI[Mosquito net])</f>
        <v>0</v>
      </c>
      <c r="AC179" s="352">
        <f>IF(NFI_Expiration=1,IF($A179&lt;VLOOKUP(L$5,NFI,5,0),1,0)*Table_NFI[[#This Row],[Tarpaulin]],Table_NFI[[#This Row],[Tarpaulin]])</f>
        <v>0</v>
      </c>
      <c r="AD179" s="352">
        <f>IF(NFI_Expiration=1,IF($A179&lt;VLOOKUP(M$5,NFI,5,0),1,0)*Table_NFI[[#This Row],[Blanket]],Table_NFI[[#This Row],[Blanket]])</f>
        <v>0</v>
      </c>
      <c r="AE179" s="352">
        <f>IF(NFI_Expiration=1,IF($A179&lt;VLOOKUP(N$5,NFI,5,0),1,0)*Table_NFI[[#This Row],[Kitchen Set]],Table_NFI[Kitchen Set])</f>
        <v>0</v>
      </c>
      <c r="AF179" s="352">
        <f>IF(NFI_Expiration=1,IF($A179&lt;VLOOKUP(O$5,NFI,5,0),1,0)*Table_NFI[[#This Row],[Clothes Kit]],Table_NFI[Clothes Kit])</f>
        <v>0</v>
      </c>
      <c r="AG179" s="352">
        <f>IF(NFI_Expiration=1,IF($A179&lt;VLOOKUP(P$5,NFI,5,0),1,0)*Table_NFI[[#This Row],[Plastic Bucket]],Table_NFI[Plastic Bucket])</f>
        <v>0</v>
      </c>
      <c r="AH179" s="352">
        <f>IF(NFI_Expiration=1,IF($A179&lt;VLOOKUP(Q$5,NFI,5,0),1,0)*Table_NFI[[#This Row],[Plastic Mat]],Table_NFI[Plastic Mat])*IF(Table_NFI[[#This Row],[Distribution Date]]&gt;"2014-04-01",1,2.5)</f>
        <v>0</v>
      </c>
      <c r="AI179" s="352">
        <f>IF(NFI_Expiration=1,IF($A179&lt;VLOOKUP(R$5,NFI,5,0),1,0)*Table_NFI[[#This Row],[Winter Clothes Adult]],Table_NFI[Winter Clothes Adult])</f>
        <v>0</v>
      </c>
      <c r="AJ179" s="352">
        <f>IF(NFI_Expiration=1,IF($A179&lt;VLOOKUP(S$5,NFI,5,0),1,0)*Table_NFI[[#This Row],[Winter Clothes Children]],Table_NFI[Winter Clothes Children])</f>
        <v>0</v>
      </c>
      <c r="AK179" s="352">
        <f>IF(NFI_Expiration=1,IF($A179&lt;VLOOKUP(T$5,NFI,5,0),1,0)*Table_NFI[[#This Row],[Winter Items Other]],Table_NFI[Winter Items Other])</f>
        <v>0</v>
      </c>
      <c r="AL179" s="352">
        <f>IF(NFI_Expiration=1,IF($A179&lt;VLOOKUP(M$5,NFI,5,0),1,0)*Table_NFI[[#This Row],[Winter Blanket]],Table_NFI[[#This Row],[Winter Blanket]])</f>
        <v>0</v>
      </c>
      <c r="AM179" s="352">
        <f>IF(Table_NFI[[#This Row],[Winter Clothes Adult]]+Table_NFI[[#This Row],[Winter Clothes Children]]+Table_NFI[[#This Row],[Winter Items Other]]+Table_NFI[[#This Row],[Winter Blanket]]&gt;0,1,0)</f>
        <v>0</v>
      </c>
      <c r="AN179" s="392">
        <f>IF(NFI_Expiration=1,IF($A179&lt;VLOOKUP(V$5,NFI,5,0),1,0)*Table_NFI[[#This Row],[Jerry Can]],Table_NFI[Jerry Can])</f>
        <v>0</v>
      </c>
      <c r="AO179" s="540" t="str">
        <f>IFERROR(VLOOKUP(Table_NFI[[#This Row],[Camp Name]],CL,2,0),"")</f>
        <v>MMR001CMP167</v>
      </c>
      <c r="AP179" s="535">
        <f ca="1">IF(Table_NFI[[#This Row],[Pcode]]="","",IF(OFFSET(CampList[Opening Date],MATCH(Table_NFI[[#This Row],[Pcode]],CampList[CP_Pcode],0)-1,0,1,1)&gt;=NFI_Monitor_Date,1,0))</f>
        <v>0</v>
      </c>
      <c r="AQ179" s="540" t="str">
        <f>IFERROR(VLOOKUP(Table_NFI[[#This Row],[Camp Name]],CL,3,0),"")</f>
        <v>Open</v>
      </c>
      <c r="AR179" s="352" t="str">
        <f ca="1">IF(Table_NFI[[#This Row],[Pcode]]="","",OFFSET(CampList[Priority],MATCH(Table_NFI[[#This Row],[Pcode]],CampList[CP_Pcode],0)-1,0,1,1))</f>
        <v>P4</v>
      </c>
      <c r="AS179" s="351">
        <f>IFERROR(Table_NFI[[#This Row],[Kitchen Set]]/VLOOKUP(Table_NFI[[#This Row],[Camp Name]],CL,4,0),"")</f>
        <v>1</v>
      </c>
      <c r="AT179" s="533"/>
      <c r="AU179" s="536"/>
    </row>
    <row r="180" spans="1:47" s="129" customFormat="1" ht="14.45" customHeight="1" x14ac:dyDescent="0.25">
      <c r="A180" s="355">
        <f t="shared" si="2"/>
        <v>20.933333333333334</v>
      </c>
      <c r="B180" s="532">
        <v>41943</v>
      </c>
      <c r="C180" s="533" t="s">
        <v>453</v>
      </c>
      <c r="D180" s="533"/>
      <c r="E180" s="533" t="s">
        <v>380</v>
      </c>
      <c r="F180" s="533" t="s">
        <v>528</v>
      </c>
      <c r="G180" s="533" t="s">
        <v>100</v>
      </c>
      <c r="H180" s="349"/>
      <c r="I180" s="349"/>
      <c r="J180" s="349">
        <v>5</v>
      </c>
      <c r="K180" s="349">
        <v>10</v>
      </c>
      <c r="L180" s="350">
        <v>5</v>
      </c>
      <c r="M180" s="350">
        <v>10</v>
      </c>
      <c r="N180" s="350">
        <v>5</v>
      </c>
      <c r="O180" s="350"/>
      <c r="P180" s="352">
        <v>5</v>
      </c>
      <c r="Q180" s="352">
        <v>25</v>
      </c>
      <c r="R180" s="352"/>
      <c r="S180" s="352"/>
      <c r="T180" s="352"/>
      <c r="U180" s="352"/>
      <c r="V180" s="497"/>
      <c r="W180" s="352"/>
      <c r="X180" s="352"/>
      <c r="Y180" s="352">
        <f>IF(NFI_Expiration=1,IF($A180&lt;VLOOKUP(H$5,NFI,5,0),1,0)*Table_NFI[[#This Row],[Hygiene Kit]],Table_NFI[Hygiene Kit])</f>
        <v>0</v>
      </c>
      <c r="Z180" s="352">
        <f>IF(NFI_Expiration=1,IF($A180&lt;VLOOKUP(I$5,NFI,5,0),1,0)*Table_NFI[[#This Row],[NFI Core Kit]],Table_NFI[NFI Core Kit])</f>
        <v>0</v>
      </c>
      <c r="AA180" s="352">
        <f>IF(NFI_Expiration=1,IF($A180&lt;VLOOKUP(J$5,NFI,5,0),1,0)*Table_NFI[[#This Row],[Sanitary Kit]],Table_NFI[Sanitary Kit])</f>
        <v>0</v>
      </c>
      <c r="AB180" s="352">
        <f>IF(NFI_Expiration=1,IF($A180&lt;VLOOKUP(K$5,NFI,5,0),1,0)*Table_NFI[[#This Row],[Mosquito net]],Table_NFI[Mosquito net])</f>
        <v>0</v>
      </c>
      <c r="AC180" s="352">
        <f>IF(NFI_Expiration=1,IF($A180&lt;VLOOKUP(L$5,NFI,5,0),1,0)*Table_NFI[[#This Row],[Tarpaulin]],Table_NFI[[#This Row],[Tarpaulin]])</f>
        <v>0</v>
      </c>
      <c r="AD180" s="352">
        <f>IF(NFI_Expiration=1,IF($A180&lt;VLOOKUP(M$5,NFI,5,0),1,0)*Table_NFI[[#This Row],[Blanket]],Table_NFI[[#This Row],[Blanket]])</f>
        <v>0</v>
      </c>
      <c r="AE180" s="352">
        <f>IF(NFI_Expiration=1,IF($A180&lt;VLOOKUP(N$5,NFI,5,0),1,0)*Table_NFI[[#This Row],[Kitchen Set]],Table_NFI[Kitchen Set])</f>
        <v>0</v>
      </c>
      <c r="AF180" s="352">
        <f>IF(NFI_Expiration=1,IF($A180&lt;VLOOKUP(O$5,NFI,5,0),1,0)*Table_NFI[[#This Row],[Clothes Kit]],Table_NFI[Clothes Kit])</f>
        <v>0</v>
      </c>
      <c r="AG180" s="352">
        <f>IF(NFI_Expiration=1,IF($A180&lt;VLOOKUP(P$5,NFI,5,0),1,0)*Table_NFI[[#This Row],[Plastic Bucket]],Table_NFI[Plastic Bucket])</f>
        <v>0</v>
      </c>
      <c r="AH180" s="352">
        <f>IF(NFI_Expiration=1,IF($A180&lt;VLOOKUP(Q$5,NFI,5,0),1,0)*Table_NFI[[#This Row],[Plastic Mat]],Table_NFI[Plastic Mat])*IF(Table_NFI[[#This Row],[Distribution Date]]&gt;"2014-04-01",1,2.5)</f>
        <v>0</v>
      </c>
      <c r="AI180" s="352">
        <f>IF(NFI_Expiration=1,IF($A180&lt;VLOOKUP(R$5,NFI,5,0),1,0)*Table_NFI[[#This Row],[Winter Clothes Adult]],Table_NFI[Winter Clothes Adult])</f>
        <v>0</v>
      </c>
      <c r="AJ180" s="352">
        <f>IF(NFI_Expiration=1,IF($A180&lt;VLOOKUP(S$5,NFI,5,0),1,0)*Table_NFI[[#This Row],[Winter Clothes Children]],Table_NFI[Winter Clothes Children])</f>
        <v>0</v>
      </c>
      <c r="AK180" s="352">
        <f>IF(NFI_Expiration=1,IF($A180&lt;VLOOKUP(T$5,NFI,5,0),1,0)*Table_NFI[[#This Row],[Winter Items Other]],Table_NFI[Winter Items Other])</f>
        <v>0</v>
      </c>
      <c r="AL180" s="352">
        <f>IF(NFI_Expiration=1,IF($A180&lt;VLOOKUP(M$5,NFI,5,0),1,0)*Table_NFI[[#This Row],[Winter Blanket]],Table_NFI[[#This Row],[Winter Blanket]])</f>
        <v>0</v>
      </c>
      <c r="AM180" s="352">
        <f>IF(Table_NFI[[#This Row],[Winter Clothes Adult]]+Table_NFI[[#This Row],[Winter Clothes Children]]+Table_NFI[[#This Row],[Winter Items Other]]+Table_NFI[[#This Row],[Winter Blanket]]&gt;0,1,0)</f>
        <v>0</v>
      </c>
      <c r="AN180" s="392">
        <f>IF(NFI_Expiration=1,IF($A180&lt;VLOOKUP(V$5,NFI,5,0),1,0)*Table_NFI[[#This Row],[Jerry Can]],Table_NFI[Jerry Can])</f>
        <v>0</v>
      </c>
      <c r="AO180" s="540" t="str">
        <f>IFERROR(VLOOKUP(Table_NFI[[#This Row],[Camp Name]],CL,2,0),"")</f>
        <v>MMR001CMP091</v>
      </c>
      <c r="AP180" s="535">
        <f ca="1">IF(Table_NFI[[#This Row],[Pcode]]="","",IF(OFFSET(CampList[Opening Date],MATCH(Table_NFI[[#This Row],[Pcode]],CampList[CP_Pcode],0)-1,0,1,1)&gt;=NFI_Monitor_Date,1,0))</f>
        <v>0</v>
      </c>
      <c r="AQ180" s="540" t="str">
        <f>IFERROR(VLOOKUP(Table_NFI[[#This Row],[Camp Name]],CL,3,0),"")</f>
        <v>Open</v>
      </c>
      <c r="AR180" s="352" t="str">
        <f ca="1">IF(Table_NFI[[#This Row],[Pcode]]="","",OFFSET(CampList[Priority],MATCH(Table_NFI[[#This Row],[Pcode]],CampList[CP_Pcode],0)-1,0,1,1))</f>
        <v>P4</v>
      </c>
      <c r="AS180" s="351">
        <f>IFERROR(Table_NFI[[#This Row],[Kitchen Set]]/VLOOKUP(Table_NFI[[#This Row],[Camp Name]],CL,4,0),"")</f>
        <v>1</v>
      </c>
      <c r="AT180" s="533"/>
      <c r="AU180" s="536"/>
    </row>
    <row r="181" spans="1:47" s="129" customFormat="1" ht="14.45" customHeight="1" x14ac:dyDescent="0.25">
      <c r="A181" s="355">
        <f t="shared" si="2"/>
        <v>20.933333333333334</v>
      </c>
      <c r="B181" s="532">
        <v>41943</v>
      </c>
      <c r="C181" s="533" t="s">
        <v>453</v>
      </c>
      <c r="D181" s="533"/>
      <c r="E181" s="533" t="s">
        <v>380</v>
      </c>
      <c r="F181" s="533" t="s">
        <v>528</v>
      </c>
      <c r="G181" s="533" t="s">
        <v>612</v>
      </c>
      <c r="H181" s="349"/>
      <c r="I181" s="349"/>
      <c r="J181" s="349">
        <v>17</v>
      </c>
      <c r="K181" s="349">
        <v>34</v>
      </c>
      <c r="L181" s="350">
        <v>17</v>
      </c>
      <c r="M181" s="350">
        <v>34</v>
      </c>
      <c r="N181" s="350">
        <v>17</v>
      </c>
      <c r="O181" s="350"/>
      <c r="P181" s="352">
        <v>17</v>
      </c>
      <c r="Q181" s="352">
        <v>85</v>
      </c>
      <c r="R181" s="352"/>
      <c r="S181" s="352"/>
      <c r="T181" s="352"/>
      <c r="U181" s="352"/>
      <c r="V181" s="497"/>
      <c r="W181" s="352"/>
      <c r="X181" s="352"/>
      <c r="Y181" s="352">
        <f>IF(NFI_Expiration=1,IF($A181&lt;VLOOKUP(H$5,NFI,5,0),1,0)*Table_NFI[[#This Row],[Hygiene Kit]],Table_NFI[Hygiene Kit])</f>
        <v>0</v>
      </c>
      <c r="Z181" s="352">
        <f>IF(NFI_Expiration=1,IF($A181&lt;VLOOKUP(I$5,NFI,5,0),1,0)*Table_NFI[[#This Row],[NFI Core Kit]],Table_NFI[NFI Core Kit])</f>
        <v>0</v>
      </c>
      <c r="AA181" s="352">
        <f>IF(NFI_Expiration=1,IF($A181&lt;VLOOKUP(J$5,NFI,5,0),1,0)*Table_NFI[[#This Row],[Sanitary Kit]],Table_NFI[Sanitary Kit])</f>
        <v>0</v>
      </c>
      <c r="AB181" s="352">
        <f>IF(NFI_Expiration=1,IF($A181&lt;VLOOKUP(K$5,NFI,5,0),1,0)*Table_NFI[[#This Row],[Mosquito net]],Table_NFI[Mosquito net])</f>
        <v>0</v>
      </c>
      <c r="AC181" s="352">
        <f>IF(NFI_Expiration=1,IF($A181&lt;VLOOKUP(L$5,NFI,5,0),1,0)*Table_NFI[[#This Row],[Tarpaulin]],Table_NFI[[#This Row],[Tarpaulin]])</f>
        <v>0</v>
      </c>
      <c r="AD181" s="352">
        <f>IF(NFI_Expiration=1,IF($A181&lt;VLOOKUP(M$5,NFI,5,0),1,0)*Table_NFI[[#This Row],[Blanket]],Table_NFI[[#This Row],[Blanket]])</f>
        <v>0</v>
      </c>
      <c r="AE181" s="352">
        <f>IF(NFI_Expiration=1,IF($A181&lt;VLOOKUP(N$5,NFI,5,0),1,0)*Table_NFI[[#This Row],[Kitchen Set]],Table_NFI[Kitchen Set])</f>
        <v>0</v>
      </c>
      <c r="AF181" s="352">
        <f>IF(NFI_Expiration=1,IF($A181&lt;VLOOKUP(O$5,NFI,5,0),1,0)*Table_NFI[[#This Row],[Clothes Kit]],Table_NFI[Clothes Kit])</f>
        <v>0</v>
      </c>
      <c r="AG181" s="352">
        <f>IF(NFI_Expiration=1,IF($A181&lt;VLOOKUP(P$5,NFI,5,0),1,0)*Table_NFI[[#This Row],[Plastic Bucket]],Table_NFI[Plastic Bucket])</f>
        <v>0</v>
      </c>
      <c r="AH181" s="352">
        <f>IF(NFI_Expiration=1,IF($A181&lt;VLOOKUP(Q$5,NFI,5,0),1,0)*Table_NFI[[#This Row],[Plastic Mat]],Table_NFI[Plastic Mat])*IF(Table_NFI[[#This Row],[Distribution Date]]&gt;"2014-04-01",1,2.5)</f>
        <v>0</v>
      </c>
      <c r="AI181" s="352">
        <f>IF(NFI_Expiration=1,IF($A181&lt;VLOOKUP(R$5,NFI,5,0),1,0)*Table_NFI[[#This Row],[Winter Clothes Adult]],Table_NFI[Winter Clothes Adult])</f>
        <v>0</v>
      </c>
      <c r="AJ181" s="352">
        <f>IF(NFI_Expiration=1,IF($A181&lt;VLOOKUP(S$5,NFI,5,0),1,0)*Table_NFI[[#This Row],[Winter Clothes Children]],Table_NFI[Winter Clothes Children])</f>
        <v>0</v>
      </c>
      <c r="AK181" s="352">
        <f>IF(NFI_Expiration=1,IF($A181&lt;VLOOKUP(T$5,NFI,5,0),1,0)*Table_NFI[[#This Row],[Winter Items Other]],Table_NFI[Winter Items Other])</f>
        <v>0</v>
      </c>
      <c r="AL181" s="352">
        <f>IF(NFI_Expiration=1,IF($A181&lt;VLOOKUP(M$5,NFI,5,0),1,0)*Table_NFI[[#This Row],[Winter Blanket]],Table_NFI[[#This Row],[Winter Blanket]])</f>
        <v>0</v>
      </c>
      <c r="AM181" s="352">
        <f>IF(Table_NFI[[#This Row],[Winter Clothes Adult]]+Table_NFI[[#This Row],[Winter Clothes Children]]+Table_NFI[[#This Row],[Winter Items Other]]+Table_NFI[[#This Row],[Winter Blanket]]&gt;0,1,0)</f>
        <v>0</v>
      </c>
      <c r="AN181" s="392">
        <f>IF(NFI_Expiration=1,IF($A181&lt;VLOOKUP(V$5,NFI,5,0),1,0)*Table_NFI[[#This Row],[Jerry Can]],Table_NFI[Jerry Can])</f>
        <v>0</v>
      </c>
      <c r="AO181" s="540" t="str">
        <f>IFERROR(VLOOKUP(Table_NFI[[#This Row],[Camp Name]],CL,2,0),"")</f>
        <v>MMR001CMP192</v>
      </c>
      <c r="AP181" s="535">
        <f ca="1">IF(Table_NFI[[#This Row],[Pcode]]="","",IF(OFFSET(CampList[Opening Date],MATCH(Table_NFI[[#This Row],[Pcode]],CampList[CP_Pcode],0)-1,0,1,1)&gt;=NFI_Monitor_Date,1,0))</f>
        <v>0</v>
      </c>
      <c r="AQ181" s="540" t="str">
        <f>IFERROR(VLOOKUP(Table_NFI[[#This Row],[Camp Name]],CL,3,0),"")</f>
        <v>Open</v>
      </c>
      <c r="AR181" s="352" t="str">
        <f ca="1">IF(Table_NFI[[#This Row],[Pcode]]="","",OFFSET(CampList[Priority],MATCH(Table_NFI[[#This Row],[Pcode]],CampList[CP_Pcode],0)-1,0,1,1))</f>
        <v>P4</v>
      </c>
      <c r="AS181" s="351">
        <f>IFERROR(Table_NFI[[#This Row],[Kitchen Set]]/VLOOKUP(Table_NFI[[#This Row],[Camp Name]],CL,4,0),"")</f>
        <v>1</v>
      </c>
      <c r="AT181" s="533"/>
      <c r="AU181" s="536"/>
    </row>
    <row r="182" spans="1:47" s="129" customFormat="1" ht="14.45" hidden="1" customHeight="1" x14ac:dyDescent="0.25">
      <c r="A182" s="355">
        <f t="shared" si="2"/>
        <v>21.133333333333333</v>
      </c>
      <c r="B182" s="532">
        <v>41937</v>
      </c>
      <c r="C182" s="533" t="s">
        <v>1096</v>
      </c>
      <c r="D182" s="533" t="s">
        <v>902</v>
      </c>
      <c r="E182" s="533" t="s">
        <v>380</v>
      </c>
      <c r="F182" s="533" t="s">
        <v>528</v>
      </c>
      <c r="G182" s="533" t="s">
        <v>44</v>
      </c>
      <c r="H182" s="349"/>
      <c r="I182" s="349"/>
      <c r="J182" s="349"/>
      <c r="K182" s="349"/>
      <c r="L182" s="350"/>
      <c r="M182" s="350"/>
      <c r="N182" s="350"/>
      <c r="O182" s="350"/>
      <c r="P182" s="352"/>
      <c r="Q182" s="352"/>
      <c r="R182" s="352">
        <v>33</v>
      </c>
      <c r="S182" s="352">
        <v>24</v>
      </c>
      <c r="T182" s="352"/>
      <c r="U182" s="352"/>
      <c r="V182" s="497"/>
      <c r="W182" s="352"/>
      <c r="X182" s="352"/>
      <c r="Y182" s="352">
        <f>IF(NFI_Expiration=1,IF($A182&lt;VLOOKUP(H$5,NFI,5,0),1,0)*Table_NFI[[#This Row],[Hygiene Kit]],Table_NFI[Hygiene Kit])</f>
        <v>0</v>
      </c>
      <c r="Z182" s="352">
        <f>IF(NFI_Expiration=1,IF($A182&lt;VLOOKUP(I$5,NFI,5,0),1,0)*Table_NFI[[#This Row],[NFI Core Kit]],Table_NFI[NFI Core Kit])</f>
        <v>0</v>
      </c>
      <c r="AA182" s="352">
        <f>IF(NFI_Expiration=1,IF($A182&lt;VLOOKUP(J$5,NFI,5,0),1,0)*Table_NFI[[#This Row],[Sanitary Kit]],Table_NFI[Sanitary Kit])</f>
        <v>0</v>
      </c>
      <c r="AB182" s="352">
        <f>IF(NFI_Expiration=1,IF($A182&lt;VLOOKUP(K$5,NFI,5,0),1,0)*Table_NFI[[#This Row],[Mosquito net]],Table_NFI[Mosquito net])</f>
        <v>0</v>
      </c>
      <c r="AC182" s="352">
        <f>IF(NFI_Expiration=1,IF($A182&lt;VLOOKUP(L$5,NFI,5,0),1,0)*Table_NFI[[#This Row],[Tarpaulin]],Table_NFI[[#This Row],[Tarpaulin]])</f>
        <v>0</v>
      </c>
      <c r="AD182" s="352">
        <f>IF(NFI_Expiration=1,IF($A182&lt;VLOOKUP(M$5,NFI,5,0),1,0)*Table_NFI[[#This Row],[Blanket]],Table_NFI[[#This Row],[Blanket]])</f>
        <v>0</v>
      </c>
      <c r="AE182" s="352">
        <f>IF(NFI_Expiration=1,IF($A182&lt;VLOOKUP(N$5,NFI,5,0),1,0)*Table_NFI[[#This Row],[Kitchen Set]],Table_NFI[Kitchen Set])</f>
        <v>0</v>
      </c>
      <c r="AF182" s="352">
        <f>IF(NFI_Expiration=1,IF($A182&lt;VLOOKUP(O$5,NFI,5,0),1,0)*Table_NFI[[#This Row],[Clothes Kit]],Table_NFI[Clothes Kit])</f>
        <v>0</v>
      </c>
      <c r="AG182" s="352">
        <f>IF(NFI_Expiration=1,IF($A182&lt;VLOOKUP(P$5,NFI,5,0),1,0)*Table_NFI[[#This Row],[Plastic Bucket]],Table_NFI[Plastic Bucket])</f>
        <v>0</v>
      </c>
      <c r="AH182" s="352">
        <f>IF(NFI_Expiration=1,IF($A182&lt;VLOOKUP(Q$5,NFI,5,0),1,0)*Table_NFI[[#This Row],[Plastic Mat]],Table_NFI[Plastic Mat])*IF(Table_NFI[[#This Row],[Distribution Date]]&gt;"2014-04-01",1,2.5)</f>
        <v>0</v>
      </c>
      <c r="AI182" s="352">
        <f>IF(NFI_Expiration=1,IF($A182&lt;VLOOKUP(R$5,NFI,5,0),1,0)*Table_NFI[[#This Row],[Winter Clothes Adult]],Table_NFI[Winter Clothes Adult])</f>
        <v>0</v>
      </c>
      <c r="AJ182" s="352">
        <f>IF(NFI_Expiration=1,IF($A182&lt;VLOOKUP(S$5,NFI,5,0),1,0)*Table_NFI[[#This Row],[Winter Clothes Children]],Table_NFI[Winter Clothes Children])</f>
        <v>0</v>
      </c>
      <c r="AK182" s="352">
        <f>IF(NFI_Expiration=1,IF($A182&lt;VLOOKUP(T$5,NFI,5,0),1,0)*Table_NFI[[#This Row],[Winter Items Other]],Table_NFI[Winter Items Other])</f>
        <v>0</v>
      </c>
      <c r="AL182" s="352">
        <f>IF(NFI_Expiration=1,IF($A182&lt;VLOOKUP(M$5,NFI,5,0),1,0)*Table_NFI[[#This Row],[Winter Blanket]],Table_NFI[[#This Row],[Winter Blanket]])</f>
        <v>0</v>
      </c>
      <c r="AM182" s="352">
        <f>IF(Table_NFI[[#This Row],[Winter Clothes Adult]]+Table_NFI[[#This Row],[Winter Clothes Children]]+Table_NFI[[#This Row],[Winter Items Other]]+Table_NFI[[#This Row],[Winter Blanket]]&gt;0,1,0)</f>
        <v>1</v>
      </c>
      <c r="AN182" s="392">
        <f>IF(NFI_Expiration=1,IF($A182&lt;VLOOKUP(V$5,NFI,5,0),1,0)*Table_NFI[[#This Row],[Jerry Can]],Table_NFI[Jerry Can])</f>
        <v>0</v>
      </c>
      <c r="AO182" s="540" t="str">
        <f>IFERROR(VLOOKUP(Table_NFI[[#This Row],[Camp Name]],CL,2,0),"")</f>
        <v>MMR001CMP191</v>
      </c>
      <c r="AP182" s="535">
        <f ca="1">IF(Table_NFI[[#This Row],[Pcode]]="","",IF(OFFSET(CampList[Opening Date],MATCH(Table_NFI[[#This Row],[Pcode]],CampList[CP_Pcode],0)-1,0,1,1)&gt;=NFI_Monitor_Date,1,0))</f>
        <v>0</v>
      </c>
      <c r="AQ182" s="540" t="str">
        <f>IFERROR(VLOOKUP(Table_NFI[[#This Row],[Camp Name]],CL,3,0),"")</f>
        <v>Open</v>
      </c>
      <c r="AR182" s="352" t="str">
        <f ca="1">IF(Table_NFI[[#This Row],[Pcode]]="","",OFFSET(CampList[Priority],MATCH(Table_NFI[[#This Row],[Pcode]],CampList[CP_Pcode],0)-1,0,1,1))</f>
        <v>P4</v>
      </c>
      <c r="AS182" s="351">
        <f>IFERROR(Table_NFI[[#This Row],[Kitchen Set]]/VLOOKUP(Table_NFI[[#This Row],[Camp Name]],CL,4,0),"")</f>
        <v>0</v>
      </c>
      <c r="AT182" s="533"/>
      <c r="AU182" s="536"/>
    </row>
    <row r="183" spans="1:47" s="129" customFormat="1" ht="14.45" customHeight="1" x14ac:dyDescent="0.25">
      <c r="A183" s="355">
        <f t="shared" si="2"/>
        <v>20.933333333333334</v>
      </c>
      <c r="B183" s="532">
        <v>41943</v>
      </c>
      <c r="C183" s="533" t="s">
        <v>453</v>
      </c>
      <c r="D183" s="533"/>
      <c r="E183" s="533" t="s">
        <v>380</v>
      </c>
      <c r="F183" s="533" t="s">
        <v>528</v>
      </c>
      <c r="G183" s="533" t="s">
        <v>108</v>
      </c>
      <c r="H183" s="349"/>
      <c r="I183" s="349"/>
      <c r="J183" s="349">
        <v>36</v>
      </c>
      <c r="K183" s="349">
        <v>72</v>
      </c>
      <c r="L183" s="350">
        <v>36</v>
      </c>
      <c r="M183" s="350">
        <v>72</v>
      </c>
      <c r="N183" s="350">
        <v>36</v>
      </c>
      <c r="O183" s="350"/>
      <c r="P183" s="352">
        <v>36</v>
      </c>
      <c r="Q183" s="352">
        <v>180</v>
      </c>
      <c r="R183" s="352"/>
      <c r="S183" s="352"/>
      <c r="T183" s="352"/>
      <c r="U183" s="352"/>
      <c r="V183" s="497"/>
      <c r="W183" s="352"/>
      <c r="X183" s="352"/>
      <c r="Y183" s="352">
        <f>IF(NFI_Expiration=1,IF($A183&lt;VLOOKUP(H$5,NFI,5,0),1,0)*Table_NFI[[#This Row],[Hygiene Kit]],Table_NFI[Hygiene Kit])</f>
        <v>0</v>
      </c>
      <c r="Z183" s="352">
        <f>IF(NFI_Expiration=1,IF($A183&lt;VLOOKUP(I$5,NFI,5,0),1,0)*Table_NFI[[#This Row],[NFI Core Kit]],Table_NFI[NFI Core Kit])</f>
        <v>0</v>
      </c>
      <c r="AA183" s="352">
        <f>IF(NFI_Expiration=1,IF($A183&lt;VLOOKUP(J$5,NFI,5,0),1,0)*Table_NFI[[#This Row],[Sanitary Kit]],Table_NFI[Sanitary Kit])</f>
        <v>0</v>
      </c>
      <c r="AB183" s="352">
        <f>IF(NFI_Expiration=1,IF($A183&lt;VLOOKUP(K$5,NFI,5,0),1,0)*Table_NFI[[#This Row],[Mosquito net]],Table_NFI[Mosquito net])</f>
        <v>0</v>
      </c>
      <c r="AC183" s="352">
        <f>IF(NFI_Expiration=1,IF($A183&lt;VLOOKUP(L$5,NFI,5,0),1,0)*Table_NFI[[#This Row],[Tarpaulin]],Table_NFI[[#This Row],[Tarpaulin]])</f>
        <v>0</v>
      </c>
      <c r="AD183" s="352">
        <f>IF(NFI_Expiration=1,IF($A183&lt;VLOOKUP(M$5,NFI,5,0),1,0)*Table_NFI[[#This Row],[Blanket]],Table_NFI[[#This Row],[Blanket]])</f>
        <v>0</v>
      </c>
      <c r="AE183" s="352">
        <f>IF(NFI_Expiration=1,IF($A183&lt;VLOOKUP(N$5,NFI,5,0),1,0)*Table_NFI[[#This Row],[Kitchen Set]],Table_NFI[Kitchen Set])</f>
        <v>0</v>
      </c>
      <c r="AF183" s="352">
        <f>IF(NFI_Expiration=1,IF($A183&lt;VLOOKUP(O$5,NFI,5,0),1,0)*Table_NFI[[#This Row],[Clothes Kit]],Table_NFI[Clothes Kit])</f>
        <v>0</v>
      </c>
      <c r="AG183" s="352">
        <f>IF(NFI_Expiration=1,IF($A183&lt;VLOOKUP(P$5,NFI,5,0),1,0)*Table_NFI[[#This Row],[Plastic Bucket]],Table_NFI[Plastic Bucket])</f>
        <v>0</v>
      </c>
      <c r="AH183" s="352">
        <f>IF(NFI_Expiration=1,IF($A183&lt;VLOOKUP(Q$5,NFI,5,0),1,0)*Table_NFI[[#This Row],[Plastic Mat]],Table_NFI[Plastic Mat])*IF(Table_NFI[[#This Row],[Distribution Date]]&gt;"2014-04-01",1,2.5)</f>
        <v>0</v>
      </c>
      <c r="AI183" s="352">
        <f>IF(NFI_Expiration=1,IF($A183&lt;VLOOKUP(R$5,NFI,5,0),1,0)*Table_NFI[[#This Row],[Winter Clothes Adult]],Table_NFI[Winter Clothes Adult])</f>
        <v>0</v>
      </c>
      <c r="AJ183" s="352">
        <f>IF(NFI_Expiration=1,IF($A183&lt;VLOOKUP(S$5,NFI,5,0),1,0)*Table_NFI[[#This Row],[Winter Clothes Children]],Table_NFI[Winter Clothes Children])</f>
        <v>0</v>
      </c>
      <c r="AK183" s="352">
        <f>IF(NFI_Expiration=1,IF($A183&lt;VLOOKUP(T$5,NFI,5,0),1,0)*Table_NFI[[#This Row],[Winter Items Other]],Table_NFI[Winter Items Other])</f>
        <v>0</v>
      </c>
      <c r="AL183" s="352">
        <f>IF(NFI_Expiration=1,IF($A183&lt;VLOOKUP(M$5,NFI,5,0),1,0)*Table_NFI[[#This Row],[Winter Blanket]],Table_NFI[[#This Row],[Winter Blanket]])</f>
        <v>0</v>
      </c>
      <c r="AM183" s="352">
        <f>IF(Table_NFI[[#This Row],[Winter Clothes Adult]]+Table_NFI[[#This Row],[Winter Clothes Children]]+Table_NFI[[#This Row],[Winter Items Other]]+Table_NFI[[#This Row],[Winter Blanket]]&gt;0,1,0)</f>
        <v>0</v>
      </c>
      <c r="AN183" s="392">
        <f>IF(NFI_Expiration=1,IF($A183&lt;VLOOKUP(V$5,NFI,5,0),1,0)*Table_NFI[[#This Row],[Jerry Can]],Table_NFI[Jerry Can])</f>
        <v>0</v>
      </c>
      <c r="AO183" s="540" t="str">
        <f>IFERROR(VLOOKUP(Table_NFI[[#This Row],[Camp Name]],CL,2,0),"")</f>
        <v>MMR001CMP103</v>
      </c>
      <c r="AP183" s="535">
        <f ca="1">IF(Table_NFI[[#This Row],[Pcode]]="","",IF(OFFSET(CampList[Opening Date],MATCH(Table_NFI[[#This Row],[Pcode]],CampList[CP_Pcode],0)-1,0,1,1)&gt;=NFI_Monitor_Date,1,0))</f>
        <v>0</v>
      </c>
      <c r="AQ183" s="540" t="str">
        <f>IFERROR(VLOOKUP(Table_NFI[[#This Row],[Camp Name]],CL,3,0),"")</f>
        <v>Open</v>
      </c>
      <c r="AR183" s="352" t="str">
        <f ca="1">IF(Table_NFI[[#This Row],[Pcode]]="","",OFFSET(CampList[Priority],MATCH(Table_NFI[[#This Row],[Pcode]],CampList[CP_Pcode],0)-1,0,1,1))</f>
        <v>P4</v>
      </c>
      <c r="AS183" s="351">
        <f>IFERROR(Table_NFI[[#This Row],[Kitchen Set]]/VLOOKUP(Table_NFI[[#This Row],[Camp Name]],CL,4,0),"")</f>
        <v>0.69230769230769229</v>
      </c>
      <c r="AT183" s="533"/>
      <c r="AU183" s="536" t="s">
        <v>1112</v>
      </c>
    </row>
    <row r="184" spans="1:47" s="129" customFormat="1" ht="14.45" hidden="1" customHeight="1" x14ac:dyDescent="0.25">
      <c r="A184" s="355">
        <f t="shared" si="2"/>
        <v>43.233333333333334</v>
      </c>
      <c r="B184" s="532">
        <v>41274</v>
      </c>
      <c r="C184" s="533" t="s">
        <v>454</v>
      </c>
      <c r="D184" s="534" t="s">
        <v>454</v>
      </c>
      <c r="E184" s="533" t="s">
        <v>380</v>
      </c>
      <c r="F184" s="348" t="s">
        <v>528</v>
      </c>
      <c r="G184" s="348" t="s">
        <v>44</v>
      </c>
      <c r="H184" s="349">
        <v>3</v>
      </c>
      <c r="I184" s="349"/>
      <c r="J184" s="349"/>
      <c r="K184" s="349"/>
      <c r="L184" s="350"/>
      <c r="M184" s="350"/>
      <c r="N184" s="350"/>
      <c r="O184" s="350"/>
      <c r="P184" s="352">
        <v>0</v>
      </c>
      <c r="Q184" s="352">
        <v>0</v>
      </c>
      <c r="R184" s="352"/>
      <c r="S184" s="352"/>
      <c r="T184" s="352"/>
      <c r="U184" s="352"/>
      <c r="V184" s="497"/>
      <c r="W184" s="352"/>
      <c r="X184" s="352"/>
      <c r="Y184" s="352">
        <f>IF(NFI_Expiration=1,IF($A184&lt;VLOOKUP(H$5,NFI,5,0),1,0)*Table_NFI[[#This Row],[Hygiene Kit]],Table_NFI[Hygiene Kit])</f>
        <v>0</v>
      </c>
      <c r="Z184" s="352">
        <f>IF(NFI_Expiration=1,IF($A184&lt;VLOOKUP(I$5,NFI,5,0),1,0)*Table_NFI[[#This Row],[NFI Core Kit]],Table_NFI[NFI Core Kit])</f>
        <v>0</v>
      </c>
      <c r="AA184" s="352">
        <f>IF(NFI_Expiration=1,IF($A184&lt;VLOOKUP(J$5,NFI,5,0),1,0)*Table_NFI[[#This Row],[Sanitary Kit]],Table_NFI[Sanitary Kit])</f>
        <v>0</v>
      </c>
      <c r="AB184" s="352">
        <f>IF(NFI_Expiration=1,IF($A184&lt;VLOOKUP(K$5,NFI,5,0),1,0)*Table_NFI[[#This Row],[Mosquito net]],Table_NFI[Mosquito net])</f>
        <v>0</v>
      </c>
      <c r="AC184" s="352">
        <f>IF(NFI_Expiration=1,IF($A184&lt;VLOOKUP(L$5,NFI,5,0),1,0)*Table_NFI[[#This Row],[Tarpaulin]],Table_NFI[[#This Row],[Tarpaulin]])</f>
        <v>0</v>
      </c>
      <c r="AD184" s="352">
        <f>IF(NFI_Expiration=1,IF($A184&lt;VLOOKUP(M$5,NFI,5,0),1,0)*Table_NFI[[#This Row],[Blanket]],Table_NFI[[#This Row],[Blanket]])</f>
        <v>0</v>
      </c>
      <c r="AE184" s="352">
        <f>IF(NFI_Expiration=1,IF($A184&lt;VLOOKUP(N$5,NFI,5,0),1,0)*Table_NFI[[#This Row],[Kitchen Set]],Table_NFI[Kitchen Set])</f>
        <v>0</v>
      </c>
      <c r="AF184" s="352">
        <f>IF(NFI_Expiration=1,IF($A184&lt;VLOOKUP(O$5,NFI,5,0),1,0)*Table_NFI[[#This Row],[Clothes Kit]],Table_NFI[Clothes Kit])</f>
        <v>0</v>
      </c>
      <c r="AG184" s="352">
        <f>IF(NFI_Expiration=1,IF($A184&lt;VLOOKUP(P$5,NFI,5,0),1,0)*Table_NFI[[#This Row],[Plastic Bucket]],Table_NFI[Plastic Bucket])</f>
        <v>0</v>
      </c>
      <c r="AH184" s="352">
        <f>IF(NFI_Expiration=1,IF($A184&lt;VLOOKUP(Q$5,NFI,5,0),1,0)*Table_NFI[[#This Row],[Plastic Mat]],Table_NFI[Plastic Mat])*IF(Table_NFI[[#This Row],[Distribution Date]]&gt;"2014-04-01",1,2.5)</f>
        <v>0</v>
      </c>
      <c r="AI184" s="352">
        <f>IF(NFI_Expiration=1,IF($A184&lt;VLOOKUP(R$5,NFI,5,0),1,0)*Table_NFI[[#This Row],[Winter Clothes Adult]],Table_NFI[Winter Clothes Adult])</f>
        <v>0</v>
      </c>
      <c r="AJ184" s="352">
        <f>IF(NFI_Expiration=1,IF($A184&lt;VLOOKUP(S$5,NFI,5,0),1,0)*Table_NFI[[#This Row],[Winter Clothes Children]],Table_NFI[Winter Clothes Children])</f>
        <v>0</v>
      </c>
      <c r="AK184" s="352">
        <f>IF(NFI_Expiration=1,IF($A184&lt;VLOOKUP(T$5,NFI,5,0),1,0)*Table_NFI[[#This Row],[Winter Items Other]],Table_NFI[Winter Items Other])</f>
        <v>0</v>
      </c>
      <c r="AL184" s="352">
        <f>IF(NFI_Expiration=1,IF($A184&lt;VLOOKUP(M$5,NFI,5,0),1,0)*Table_NFI[[#This Row],[Winter Blanket]],Table_NFI[[#This Row],[Winter Blanket]])</f>
        <v>0</v>
      </c>
      <c r="AM184" s="352">
        <f>IF(Table_NFI[[#This Row],[Winter Clothes Adult]]+Table_NFI[[#This Row],[Winter Clothes Children]]+Table_NFI[[#This Row],[Winter Items Other]]+Table_NFI[[#This Row],[Winter Blanket]]&gt;0,1,0)</f>
        <v>0</v>
      </c>
      <c r="AN184" s="392">
        <f>IF(NFI_Expiration=1,IF($A184&lt;VLOOKUP(V$5,NFI,5,0),1,0)*Table_NFI[[#This Row],[Jerry Can]],Table_NFI[Jerry Can])</f>
        <v>0</v>
      </c>
      <c r="AO184" s="540" t="str">
        <f>IFERROR(VLOOKUP(Table_NFI[[#This Row],[Camp Name]],CL,2,0),"")</f>
        <v>MMR001CMP191</v>
      </c>
      <c r="AP184" s="535">
        <f ca="1">IF(Table_NFI[[#This Row],[Pcode]]="","",IF(OFFSET(CampList[Opening Date],MATCH(Table_NFI[[#This Row],[Pcode]],CampList[CP_Pcode],0)-1,0,1,1)&gt;=NFI_Monitor_Date,1,0))</f>
        <v>0</v>
      </c>
      <c r="AQ184" s="540" t="str">
        <f>IFERROR(VLOOKUP(Table_NFI[[#This Row],[Camp Name]],CL,3,0),"")</f>
        <v>Open</v>
      </c>
      <c r="AR184" s="352" t="str">
        <f ca="1">IF(Table_NFI[[#This Row],[Pcode]]="","",OFFSET(CampList[Priority],MATCH(Table_NFI[[#This Row],[Pcode]],CampList[CP_Pcode],0)-1,0,1,1))</f>
        <v>P4</v>
      </c>
      <c r="AS184" s="351">
        <f>IFERROR(Table_NFI[[#This Row],[Kitchen Set]]/VLOOKUP(Table_NFI[[#This Row],[Camp Name]],CL,4,0),"")</f>
        <v>0</v>
      </c>
      <c r="AT184" s="533" t="s">
        <v>1094</v>
      </c>
      <c r="AU184" s="536"/>
    </row>
    <row r="185" spans="1:47" s="537" customFormat="1" ht="14.45" hidden="1" customHeight="1" x14ac:dyDescent="0.25">
      <c r="A185" s="355">
        <f t="shared" si="2"/>
        <v>27.833333333333332</v>
      </c>
      <c r="B185" s="532">
        <v>41736</v>
      </c>
      <c r="C185" s="533" t="s">
        <v>1106</v>
      </c>
      <c r="D185" s="533" t="s">
        <v>902</v>
      </c>
      <c r="E185" s="533" t="s">
        <v>380</v>
      </c>
      <c r="F185" s="533" t="s">
        <v>151</v>
      </c>
      <c r="G185" s="533" t="s">
        <v>12</v>
      </c>
      <c r="H185" s="349"/>
      <c r="I185" s="349"/>
      <c r="J185" s="349"/>
      <c r="K185" s="349"/>
      <c r="L185" s="350"/>
      <c r="M185" s="350"/>
      <c r="N185" s="350"/>
      <c r="O185" s="350"/>
      <c r="P185" s="352"/>
      <c r="Q185" s="352"/>
      <c r="R185" s="352"/>
      <c r="S185" s="352"/>
      <c r="T185" s="352"/>
      <c r="U185" s="352">
        <v>558</v>
      </c>
      <c r="V185" s="497"/>
      <c r="W185" s="352"/>
      <c r="X185" s="352"/>
      <c r="Y185" s="352">
        <f>IF(NFI_Expiration=1,IF($A185&lt;VLOOKUP(H$5,NFI,5,0),1,0)*Table_NFI[[#This Row],[Hygiene Kit]],Table_NFI[Hygiene Kit])</f>
        <v>0</v>
      </c>
      <c r="Z185" s="352">
        <f>IF(NFI_Expiration=1,IF($A185&lt;VLOOKUP(I$5,NFI,5,0),1,0)*Table_NFI[[#This Row],[NFI Core Kit]],Table_NFI[NFI Core Kit])</f>
        <v>0</v>
      </c>
      <c r="AA185" s="352">
        <f>IF(NFI_Expiration=1,IF($A185&lt;VLOOKUP(J$5,NFI,5,0),1,0)*Table_NFI[[#This Row],[Sanitary Kit]],Table_NFI[Sanitary Kit])</f>
        <v>0</v>
      </c>
      <c r="AB185" s="352">
        <f>IF(NFI_Expiration=1,IF($A185&lt;VLOOKUP(K$5,NFI,5,0),1,0)*Table_NFI[[#This Row],[Mosquito net]],Table_NFI[Mosquito net])</f>
        <v>0</v>
      </c>
      <c r="AC185" s="352">
        <f>IF(NFI_Expiration=1,IF($A185&lt;VLOOKUP(L$5,NFI,5,0),1,0)*Table_NFI[[#This Row],[Tarpaulin]],Table_NFI[[#This Row],[Tarpaulin]])</f>
        <v>0</v>
      </c>
      <c r="AD185" s="352">
        <f>IF(NFI_Expiration=1,IF($A185&lt;VLOOKUP(M$5,NFI,5,0),1,0)*Table_NFI[[#This Row],[Blanket]],Table_NFI[[#This Row],[Blanket]])</f>
        <v>0</v>
      </c>
      <c r="AE185" s="352">
        <f>IF(NFI_Expiration=1,IF($A185&lt;VLOOKUP(N$5,NFI,5,0),1,0)*Table_NFI[[#This Row],[Kitchen Set]],Table_NFI[Kitchen Set])</f>
        <v>0</v>
      </c>
      <c r="AF185" s="352">
        <f>IF(NFI_Expiration=1,IF($A185&lt;VLOOKUP(O$5,NFI,5,0),1,0)*Table_NFI[[#This Row],[Clothes Kit]],Table_NFI[Clothes Kit])</f>
        <v>0</v>
      </c>
      <c r="AG185" s="352">
        <f>IF(NFI_Expiration=1,IF($A185&lt;VLOOKUP(P$5,NFI,5,0),1,0)*Table_NFI[[#This Row],[Plastic Bucket]],Table_NFI[Plastic Bucket])</f>
        <v>0</v>
      </c>
      <c r="AH185" s="352">
        <f>IF(NFI_Expiration=1,IF($A185&lt;VLOOKUP(Q$5,NFI,5,0),1,0)*Table_NFI[[#This Row],[Plastic Mat]],Table_NFI[Plastic Mat])*IF(Table_NFI[[#This Row],[Distribution Date]]&gt;"2014-04-01",1,2.5)</f>
        <v>0</v>
      </c>
      <c r="AI185" s="352">
        <f>IF(NFI_Expiration=1,IF($A185&lt;VLOOKUP(R$5,NFI,5,0),1,0)*Table_NFI[[#This Row],[Winter Clothes Adult]],Table_NFI[Winter Clothes Adult])</f>
        <v>0</v>
      </c>
      <c r="AJ185" s="352">
        <f>IF(NFI_Expiration=1,IF($A185&lt;VLOOKUP(S$5,NFI,5,0),1,0)*Table_NFI[[#This Row],[Winter Clothes Children]],Table_NFI[Winter Clothes Children])</f>
        <v>0</v>
      </c>
      <c r="AK185" s="352">
        <f>IF(NFI_Expiration=1,IF($A185&lt;VLOOKUP(T$5,NFI,5,0),1,0)*Table_NFI[[#This Row],[Winter Items Other]],Table_NFI[Winter Items Other])</f>
        <v>0</v>
      </c>
      <c r="AL185" s="352">
        <f>IF(NFI_Expiration=1,IF($A185&lt;VLOOKUP(M$5,NFI,5,0),1,0)*Table_NFI[[#This Row],[Winter Blanket]],Table_NFI[[#This Row],[Winter Blanket]])</f>
        <v>0</v>
      </c>
      <c r="AM185" s="352">
        <f>IF(Table_NFI[[#This Row],[Winter Clothes Adult]]+Table_NFI[[#This Row],[Winter Clothes Children]]+Table_NFI[[#This Row],[Winter Items Other]]+Table_NFI[[#This Row],[Winter Blanket]]&gt;0,1,0)</f>
        <v>1</v>
      </c>
      <c r="AN185" s="392">
        <f>IF(NFI_Expiration=1,IF($A185&lt;VLOOKUP(V$5,NFI,5,0),1,0)*Table_NFI[[#This Row],[Jerry Can]],Table_NFI[Jerry Can])</f>
        <v>0</v>
      </c>
      <c r="AO185" s="540" t="str">
        <f>IFERROR(VLOOKUP(Table_NFI[[#This Row],[Camp Name]],CL,2,0),"")</f>
        <v>MMR001CMP163</v>
      </c>
      <c r="AP185" s="535">
        <f ca="1">IF(Table_NFI[[#This Row],[Pcode]]="","",IF(OFFSET(CampList[Opening Date],MATCH(Table_NFI[[#This Row],[Pcode]],CampList[CP_Pcode],0)-1,0,1,1)&gt;=NFI_Monitor_Date,1,0))</f>
        <v>0</v>
      </c>
      <c r="AQ185" s="540" t="str">
        <f>IFERROR(VLOOKUP(Table_NFI[[#This Row],[Camp Name]],CL,3,0),"")</f>
        <v>Open</v>
      </c>
      <c r="AR185" s="352" t="str">
        <f ca="1">IF(Table_NFI[[#This Row],[Pcode]]="","",OFFSET(CampList[Priority],MATCH(Table_NFI[[#This Row],[Pcode]],CampList[CP_Pcode],0)-1,0,1,1))</f>
        <v>P4</v>
      </c>
      <c r="AS185" s="351">
        <f>IFERROR(Table_NFI[[#This Row],[Kitchen Set]]/VLOOKUP(Table_NFI[[#This Row],[Camp Name]],CL,4,0),"")</f>
        <v>0</v>
      </c>
      <c r="AT185" s="533"/>
      <c r="AU185" s="536"/>
    </row>
    <row r="186" spans="1:47" s="537" customFormat="1" ht="14.45" customHeight="1" x14ac:dyDescent="0.25">
      <c r="A186" s="355">
        <f t="shared" si="2"/>
        <v>20.933333333333334</v>
      </c>
      <c r="B186" s="532">
        <v>41943</v>
      </c>
      <c r="C186" s="533" t="s">
        <v>453</v>
      </c>
      <c r="D186" s="533"/>
      <c r="E186" s="533" t="s">
        <v>380</v>
      </c>
      <c r="F186" s="533" t="s">
        <v>528</v>
      </c>
      <c r="G186" s="533" t="s">
        <v>118</v>
      </c>
      <c r="H186" s="349"/>
      <c r="I186" s="349"/>
      <c r="J186" s="349">
        <v>12</v>
      </c>
      <c r="K186" s="349">
        <v>24</v>
      </c>
      <c r="L186" s="350">
        <v>12</v>
      </c>
      <c r="M186" s="350">
        <v>24</v>
      </c>
      <c r="N186" s="350">
        <v>12</v>
      </c>
      <c r="O186" s="350"/>
      <c r="P186" s="352">
        <v>12</v>
      </c>
      <c r="Q186" s="352">
        <v>60</v>
      </c>
      <c r="R186" s="352"/>
      <c r="S186" s="352"/>
      <c r="T186" s="352"/>
      <c r="U186" s="352"/>
      <c r="V186" s="497"/>
      <c r="W186" s="352"/>
      <c r="X186" s="352"/>
      <c r="Y186" s="352">
        <f>IF(NFI_Expiration=1,IF($A186&lt;VLOOKUP(H$5,NFI,5,0),1,0)*Table_NFI[[#This Row],[Hygiene Kit]],Table_NFI[Hygiene Kit])</f>
        <v>0</v>
      </c>
      <c r="Z186" s="352">
        <f>IF(NFI_Expiration=1,IF($A186&lt;VLOOKUP(I$5,NFI,5,0),1,0)*Table_NFI[[#This Row],[NFI Core Kit]],Table_NFI[NFI Core Kit])</f>
        <v>0</v>
      </c>
      <c r="AA186" s="352">
        <f>IF(NFI_Expiration=1,IF($A186&lt;VLOOKUP(J$5,NFI,5,0),1,0)*Table_NFI[[#This Row],[Sanitary Kit]],Table_NFI[Sanitary Kit])</f>
        <v>0</v>
      </c>
      <c r="AB186" s="352">
        <f>IF(NFI_Expiration=1,IF($A186&lt;VLOOKUP(K$5,NFI,5,0),1,0)*Table_NFI[[#This Row],[Mosquito net]],Table_NFI[Mosquito net])</f>
        <v>0</v>
      </c>
      <c r="AC186" s="352">
        <f>IF(NFI_Expiration=1,IF($A186&lt;VLOOKUP(L$5,NFI,5,0),1,0)*Table_NFI[[#This Row],[Tarpaulin]],Table_NFI[[#This Row],[Tarpaulin]])</f>
        <v>0</v>
      </c>
      <c r="AD186" s="352">
        <f>IF(NFI_Expiration=1,IF($A186&lt;VLOOKUP(M$5,NFI,5,0),1,0)*Table_NFI[[#This Row],[Blanket]],Table_NFI[[#This Row],[Blanket]])</f>
        <v>0</v>
      </c>
      <c r="AE186" s="352">
        <f>IF(NFI_Expiration=1,IF($A186&lt;VLOOKUP(N$5,NFI,5,0),1,0)*Table_NFI[[#This Row],[Kitchen Set]],Table_NFI[Kitchen Set])</f>
        <v>0</v>
      </c>
      <c r="AF186" s="352">
        <f>IF(NFI_Expiration=1,IF($A186&lt;VLOOKUP(O$5,NFI,5,0),1,0)*Table_NFI[[#This Row],[Clothes Kit]],Table_NFI[Clothes Kit])</f>
        <v>0</v>
      </c>
      <c r="AG186" s="352">
        <f>IF(NFI_Expiration=1,IF($A186&lt;VLOOKUP(P$5,NFI,5,0),1,0)*Table_NFI[[#This Row],[Plastic Bucket]],Table_NFI[Plastic Bucket])</f>
        <v>0</v>
      </c>
      <c r="AH186" s="352">
        <f>IF(NFI_Expiration=1,IF($A186&lt;VLOOKUP(Q$5,NFI,5,0),1,0)*Table_NFI[[#This Row],[Plastic Mat]],Table_NFI[Plastic Mat])*IF(Table_NFI[[#This Row],[Distribution Date]]&gt;"2014-04-01",1,2.5)</f>
        <v>0</v>
      </c>
      <c r="AI186" s="352">
        <f>IF(NFI_Expiration=1,IF($A186&lt;VLOOKUP(R$5,NFI,5,0),1,0)*Table_NFI[[#This Row],[Winter Clothes Adult]],Table_NFI[Winter Clothes Adult])</f>
        <v>0</v>
      </c>
      <c r="AJ186" s="352">
        <f>IF(NFI_Expiration=1,IF($A186&lt;VLOOKUP(S$5,NFI,5,0),1,0)*Table_NFI[[#This Row],[Winter Clothes Children]],Table_NFI[Winter Clothes Children])</f>
        <v>0</v>
      </c>
      <c r="AK186" s="352">
        <f>IF(NFI_Expiration=1,IF($A186&lt;VLOOKUP(T$5,NFI,5,0),1,0)*Table_NFI[[#This Row],[Winter Items Other]],Table_NFI[Winter Items Other])</f>
        <v>0</v>
      </c>
      <c r="AL186" s="352">
        <f>IF(NFI_Expiration=1,IF($A186&lt;VLOOKUP(M$5,NFI,5,0),1,0)*Table_NFI[[#This Row],[Winter Blanket]],Table_NFI[[#This Row],[Winter Blanket]])</f>
        <v>0</v>
      </c>
      <c r="AM186" s="352">
        <f>IF(Table_NFI[[#This Row],[Winter Clothes Adult]]+Table_NFI[[#This Row],[Winter Clothes Children]]+Table_NFI[[#This Row],[Winter Items Other]]+Table_NFI[[#This Row],[Winter Blanket]]&gt;0,1,0)</f>
        <v>0</v>
      </c>
      <c r="AN186" s="392">
        <f>IF(NFI_Expiration=1,IF($A186&lt;VLOOKUP(V$5,NFI,5,0),1,0)*Table_NFI[[#This Row],[Jerry Can]],Table_NFI[Jerry Can])</f>
        <v>0</v>
      </c>
      <c r="AO186" s="540" t="str">
        <f>IFERROR(VLOOKUP(Table_NFI[[#This Row],[Camp Name]],CL,2,0),"")</f>
        <v>MMR001CMP182</v>
      </c>
      <c r="AP186" s="535">
        <f ca="1">IF(Table_NFI[[#This Row],[Pcode]]="","",IF(OFFSET(CampList[Opening Date],MATCH(Table_NFI[[#This Row],[Pcode]],CampList[CP_Pcode],0)-1,0,1,1)&gt;=NFI_Monitor_Date,1,0))</f>
        <v>0</v>
      </c>
      <c r="AQ186" s="540" t="str">
        <f>IFERROR(VLOOKUP(Table_NFI[[#This Row],[Camp Name]],CL,3,0),"")</f>
        <v>Open</v>
      </c>
      <c r="AR186" s="352" t="str">
        <f ca="1">IF(Table_NFI[[#This Row],[Pcode]]="","",OFFSET(CampList[Priority],MATCH(Table_NFI[[#This Row],[Pcode]],CampList[CP_Pcode],0)-1,0,1,1))</f>
        <v>P4</v>
      </c>
      <c r="AS186" s="351">
        <f>IFERROR(Table_NFI[[#This Row],[Kitchen Set]]/VLOOKUP(Table_NFI[[#This Row],[Camp Name]],CL,4,0),"")</f>
        <v>1.2</v>
      </c>
      <c r="AT186" s="533"/>
      <c r="AU186" s="536"/>
    </row>
    <row r="187" spans="1:47" s="129" customFormat="1" ht="14.45" customHeight="1" x14ac:dyDescent="0.25">
      <c r="A187" s="355">
        <f t="shared" si="2"/>
        <v>20.933333333333334</v>
      </c>
      <c r="B187" s="532">
        <v>41943</v>
      </c>
      <c r="C187" s="533" t="s">
        <v>453</v>
      </c>
      <c r="D187" s="533"/>
      <c r="E187" s="533" t="s">
        <v>380</v>
      </c>
      <c r="F187" s="533" t="s">
        <v>528</v>
      </c>
      <c r="G187" s="533" t="s">
        <v>124</v>
      </c>
      <c r="H187" s="349"/>
      <c r="I187" s="349"/>
      <c r="J187" s="349">
        <v>9</v>
      </c>
      <c r="K187" s="349">
        <v>18</v>
      </c>
      <c r="L187" s="350">
        <v>9</v>
      </c>
      <c r="M187" s="350">
        <v>18</v>
      </c>
      <c r="N187" s="350">
        <v>9</v>
      </c>
      <c r="O187" s="350"/>
      <c r="P187" s="352">
        <v>9</v>
      </c>
      <c r="Q187" s="352">
        <v>45</v>
      </c>
      <c r="R187" s="352"/>
      <c r="S187" s="352"/>
      <c r="T187" s="352"/>
      <c r="U187" s="352"/>
      <c r="V187" s="497"/>
      <c r="W187" s="352"/>
      <c r="X187" s="352"/>
      <c r="Y187" s="352">
        <f>IF(NFI_Expiration=1,IF($A187&lt;VLOOKUP(H$5,NFI,5,0),1,0)*Table_NFI[[#This Row],[Hygiene Kit]],Table_NFI[Hygiene Kit])</f>
        <v>0</v>
      </c>
      <c r="Z187" s="352">
        <f>IF(NFI_Expiration=1,IF($A187&lt;VLOOKUP(I$5,NFI,5,0),1,0)*Table_NFI[[#This Row],[NFI Core Kit]],Table_NFI[NFI Core Kit])</f>
        <v>0</v>
      </c>
      <c r="AA187" s="352">
        <f>IF(NFI_Expiration=1,IF($A187&lt;VLOOKUP(J$5,NFI,5,0),1,0)*Table_NFI[[#This Row],[Sanitary Kit]],Table_NFI[Sanitary Kit])</f>
        <v>0</v>
      </c>
      <c r="AB187" s="352">
        <f>IF(NFI_Expiration=1,IF($A187&lt;VLOOKUP(K$5,NFI,5,0),1,0)*Table_NFI[[#This Row],[Mosquito net]],Table_NFI[Mosquito net])</f>
        <v>0</v>
      </c>
      <c r="AC187" s="352">
        <f>IF(NFI_Expiration=1,IF($A187&lt;VLOOKUP(L$5,NFI,5,0),1,0)*Table_NFI[[#This Row],[Tarpaulin]],Table_NFI[[#This Row],[Tarpaulin]])</f>
        <v>0</v>
      </c>
      <c r="AD187" s="352">
        <f>IF(NFI_Expiration=1,IF($A187&lt;VLOOKUP(M$5,NFI,5,0),1,0)*Table_NFI[[#This Row],[Blanket]],Table_NFI[[#This Row],[Blanket]])</f>
        <v>0</v>
      </c>
      <c r="AE187" s="352">
        <f>IF(NFI_Expiration=1,IF($A187&lt;VLOOKUP(N$5,NFI,5,0),1,0)*Table_NFI[[#This Row],[Kitchen Set]],Table_NFI[Kitchen Set])</f>
        <v>0</v>
      </c>
      <c r="AF187" s="352">
        <f>IF(NFI_Expiration=1,IF($A187&lt;VLOOKUP(O$5,NFI,5,0),1,0)*Table_NFI[[#This Row],[Clothes Kit]],Table_NFI[Clothes Kit])</f>
        <v>0</v>
      </c>
      <c r="AG187" s="352">
        <f>IF(NFI_Expiration=1,IF($A187&lt;VLOOKUP(P$5,NFI,5,0),1,0)*Table_NFI[[#This Row],[Plastic Bucket]],Table_NFI[Plastic Bucket])</f>
        <v>0</v>
      </c>
      <c r="AH187" s="352">
        <f>IF(NFI_Expiration=1,IF($A187&lt;VLOOKUP(Q$5,NFI,5,0),1,0)*Table_NFI[[#This Row],[Plastic Mat]],Table_NFI[Plastic Mat])*IF(Table_NFI[[#This Row],[Distribution Date]]&gt;"2014-04-01",1,2.5)</f>
        <v>0</v>
      </c>
      <c r="AI187" s="352">
        <f>IF(NFI_Expiration=1,IF($A187&lt;VLOOKUP(R$5,NFI,5,0),1,0)*Table_NFI[[#This Row],[Winter Clothes Adult]],Table_NFI[Winter Clothes Adult])</f>
        <v>0</v>
      </c>
      <c r="AJ187" s="352">
        <f>IF(NFI_Expiration=1,IF($A187&lt;VLOOKUP(S$5,NFI,5,0),1,0)*Table_NFI[[#This Row],[Winter Clothes Children]],Table_NFI[Winter Clothes Children])</f>
        <v>0</v>
      </c>
      <c r="AK187" s="352">
        <f>IF(NFI_Expiration=1,IF($A187&lt;VLOOKUP(T$5,NFI,5,0),1,0)*Table_NFI[[#This Row],[Winter Items Other]],Table_NFI[Winter Items Other])</f>
        <v>0</v>
      </c>
      <c r="AL187" s="352">
        <f>IF(NFI_Expiration=1,IF($A187&lt;VLOOKUP(M$5,NFI,5,0),1,0)*Table_NFI[[#This Row],[Winter Blanket]],Table_NFI[[#This Row],[Winter Blanket]])</f>
        <v>0</v>
      </c>
      <c r="AM187" s="352">
        <f>IF(Table_NFI[[#This Row],[Winter Clothes Adult]]+Table_NFI[[#This Row],[Winter Clothes Children]]+Table_NFI[[#This Row],[Winter Items Other]]+Table_NFI[[#This Row],[Winter Blanket]]&gt;0,1,0)</f>
        <v>0</v>
      </c>
      <c r="AN187" s="392">
        <f>IF(NFI_Expiration=1,IF($A187&lt;VLOOKUP(V$5,NFI,5,0),1,0)*Table_NFI[[#This Row],[Jerry Can]],Table_NFI[Jerry Can])</f>
        <v>0</v>
      </c>
      <c r="AO187" s="540" t="str">
        <f>IFERROR(VLOOKUP(Table_NFI[[#This Row],[Camp Name]],CL,2,0),"")</f>
        <v>MMR001CMP183</v>
      </c>
      <c r="AP187" s="535">
        <f ca="1">IF(Table_NFI[[#This Row],[Pcode]]="","",IF(OFFSET(CampList[Opening Date],MATCH(Table_NFI[[#This Row],[Pcode]],CampList[CP_Pcode],0)-1,0,1,1)&gt;=NFI_Monitor_Date,1,0))</f>
        <v>0</v>
      </c>
      <c r="AQ187" s="540" t="str">
        <f>IFERROR(VLOOKUP(Table_NFI[[#This Row],[Camp Name]],CL,3,0),"")</f>
        <v>Open</v>
      </c>
      <c r="AR187" s="352" t="str">
        <f ca="1">IF(Table_NFI[[#This Row],[Pcode]]="","",OFFSET(CampList[Priority],MATCH(Table_NFI[[#This Row],[Pcode]],CampList[CP_Pcode],0)-1,0,1,1))</f>
        <v>P4</v>
      </c>
      <c r="AS187" s="351">
        <f>IFERROR(Table_NFI[[#This Row],[Kitchen Set]]/VLOOKUP(Table_NFI[[#This Row],[Camp Name]],CL,4,0),"")</f>
        <v>1.125</v>
      </c>
      <c r="AT187" s="533"/>
      <c r="AU187" s="536"/>
    </row>
    <row r="188" spans="1:47" s="129" customFormat="1" hidden="1" x14ac:dyDescent="0.25">
      <c r="A188" s="355">
        <f t="shared" si="2"/>
        <v>53.93333333333333</v>
      </c>
      <c r="B188" s="532">
        <v>40953</v>
      </c>
      <c r="C188" s="534" t="s">
        <v>907</v>
      </c>
      <c r="D188" s="534" t="s">
        <v>907</v>
      </c>
      <c r="E188" s="533" t="s">
        <v>380</v>
      </c>
      <c r="F188" s="533" t="s">
        <v>302</v>
      </c>
      <c r="G188" s="348" t="s">
        <v>12</v>
      </c>
      <c r="H188" s="352">
        <v>429</v>
      </c>
      <c r="I188" s="349"/>
      <c r="J188" s="349"/>
      <c r="K188" s="349"/>
      <c r="L188" s="350"/>
      <c r="M188" s="350"/>
      <c r="N188" s="350"/>
      <c r="O188" s="350"/>
      <c r="P188" s="352"/>
      <c r="Q188" s="392"/>
      <c r="R188" s="392"/>
      <c r="S188" s="392"/>
      <c r="T188" s="392"/>
      <c r="U188" s="392"/>
      <c r="V188" s="497"/>
      <c r="W188" s="392"/>
      <c r="X188" s="392"/>
      <c r="Y188" s="352">
        <f>IF(NFI_Expiration=1,IF($A188&lt;VLOOKUP(H$5,NFI,5,0),1,0)*Table_NFI[[#This Row],[Hygiene Kit]],Table_NFI[Hygiene Kit])</f>
        <v>0</v>
      </c>
      <c r="Z188" s="352">
        <f>IF(NFI_Expiration=1,IF($A188&lt;VLOOKUP(I$5,NFI,5,0),1,0)*Table_NFI[[#This Row],[NFI Core Kit]],Table_NFI[NFI Core Kit])</f>
        <v>0</v>
      </c>
      <c r="AA188" s="352">
        <f>IF(NFI_Expiration=1,IF($A188&lt;VLOOKUP(J$5,NFI,5,0),1,0)*Table_NFI[[#This Row],[Sanitary Kit]],Table_NFI[Sanitary Kit])</f>
        <v>0</v>
      </c>
      <c r="AB188" s="352">
        <f>IF(NFI_Expiration=1,IF($A188&lt;VLOOKUP(K$5,NFI,5,0),1,0)*Table_NFI[[#This Row],[Mosquito net]],Table_NFI[Mosquito net])</f>
        <v>0</v>
      </c>
      <c r="AC188" s="352">
        <f>IF(NFI_Expiration=1,IF($A188&lt;VLOOKUP(L$5,NFI,5,0),1,0)*Table_NFI[[#This Row],[Tarpaulin]],Table_NFI[[#This Row],[Tarpaulin]])</f>
        <v>0</v>
      </c>
      <c r="AD188" s="352">
        <f>IF(NFI_Expiration=1,IF($A188&lt;VLOOKUP(M$5,NFI,5,0),1,0)*Table_NFI[[#This Row],[Blanket]],Table_NFI[[#This Row],[Blanket]])</f>
        <v>0</v>
      </c>
      <c r="AE188" s="352">
        <f>IF(NFI_Expiration=1,IF($A188&lt;VLOOKUP(N$5,NFI,5,0),1,0)*Table_NFI[[#This Row],[Kitchen Set]],Table_NFI[Kitchen Set])</f>
        <v>0</v>
      </c>
      <c r="AF188" s="352">
        <f>IF(NFI_Expiration=1,IF($A188&lt;VLOOKUP(O$5,NFI,5,0),1,0)*Table_NFI[[#This Row],[Clothes Kit]],Table_NFI[Clothes Kit])</f>
        <v>0</v>
      </c>
      <c r="AG188" s="352">
        <f>IF(NFI_Expiration=1,IF($A188&lt;VLOOKUP(P$5,NFI,5,0),1,0)*Table_NFI[[#This Row],[Plastic Bucket]],Table_NFI[Plastic Bucket])</f>
        <v>0</v>
      </c>
      <c r="AH188" s="352">
        <f>IF(NFI_Expiration=1,IF($A188&lt;VLOOKUP(Q$5,NFI,5,0),1,0)*Table_NFI[[#This Row],[Plastic Mat]],Table_NFI[Plastic Mat])*IF(Table_NFI[[#This Row],[Distribution Date]]&gt;"2014-04-01",1,2.5)</f>
        <v>0</v>
      </c>
      <c r="AI188" s="352">
        <f>IF(NFI_Expiration=1,IF($A188&lt;VLOOKUP(R$5,NFI,5,0),1,0)*Table_NFI[[#This Row],[Winter Clothes Adult]],Table_NFI[Winter Clothes Adult])</f>
        <v>0</v>
      </c>
      <c r="AJ188" s="352">
        <f>IF(NFI_Expiration=1,IF($A188&lt;VLOOKUP(S$5,NFI,5,0),1,0)*Table_NFI[[#This Row],[Winter Clothes Children]],Table_NFI[Winter Clothes Children])</f>
        <v>0</v>
      </c>
      <c r="AK188" s="352">
        <f>IF(NFI_Expiration=1,IF($A188&lt;VLOOKUP(T$5,NFI,5,0),1,0)*Table_NFI[[#This Row],[Winter Items Other]],Table_NFI[Winter Items Other])</f>
        <v>0</v>
      </c>
      <c r="AL188" s="352">
        <f>IF(NFI_Expiration=1,IF($A188&lt;VLOOKUP(M$5,NFI,5,0),1,0)*Table_NFI[[#This Row],[Winter Blanket]],Table_NFI[[#This Row],[Winter Blanket]])</f>
        <v>0</v>
      </c>
      <c r="AM188" s="352">
        <f>IF(Table_NFI[[#This Row],[Winter Clothes Adult]]+Table_NFI[[#This Row],[Winter Clothes Children]]+Table_NFI[[#This Row],[Winter Items Other]]+Table_NFI[[#This Row],[Winter Blanket]]&gt;0,1,0)</f>
        <v>0</v>
      </c>
      <c r="AN188" s="392">
        <f>IF(NFI_Expiration=1,IF($A188&lt;VLOOKUP(V$5,NFI,5,0),1,0)*Table_NFI[[#This Row],[Jerry Can]],Table_NFI[Jerry Can])</f>
        <v>0</v>
      </c>
      <c r="AO188" s="540" t="str">
        <f>IFERROR(VLOOKUP(Table_NFI[[#This Row],[Camp Name]],CL,2,0),"")</f>
        <v>MMR001CMP163</v>
      </c>
      <c r="AP188" s="535">
        <f ca="1">IF(Table_NFI[[#This Row],[Pcode]]="","",IF(OFFSET(CampList[Opening Date],MATCH(Table_NFI[[#This Row],[Pcode]],CampList[CP_Pcode],0)-1,0,1,1)&gt;=NFI_Monitor_Date,1,0))</f>
        <v>0</v>
      </c>
      <c r="AQ188" s="540" t="str">
        <f>IFERROR(VLOOKUP(Table_NFI[[#This Row],[Camp Name]],CL,3,0),"")</f>
        <v>Open</v>
      </c>
      <c r="AR188" s="352" t="str">
        <f ca="1">IF(Table_NFI[[#This Row],[Pcode]]="","",OFFSET(CampList[Priority],MATCH(Table_NFI[[#This Row],[Pcode]],CampList[CP_Pcode],0)-1,0,1,1))</f>
        <v>P4</v>
      </c>
      <c r="AS188" s="351">
        <f>IFERROR(Table_NFI[[#This Row],[Kitchen Set]]/VLOOKUP(Table_NFI[[#This Row],[Camp Name]],CL,4,0),"")</f>
        <v>0</v>
      </c>
      <c r="AT188" s="533"/>
      <c r="AU188" s="536"/>
    </row>
    <row r="189" spans="1:47" s="129" customFormat="1" hidden="1" x14ac:dyDescent="0.25">
      <c r="A189" s="355">
        <f t="shared" si="2"/>
        <v>53.9</v>
      </c>
      <c r="B189" s="532">
        <v>40954</v>
      </c>
      <c r="C189" s="534" t="s">
        <v>907</v>
      </c>
      <c r="D189" s="534" t="s">
        <v>907</v>
      </c>
      <c r="E189" s="533" t="s">
        <v>380</v>
      </c>
      <c r="F189" s="533" t="s">
        <v>302</v>
      </c>
      <c r="G189" s="348" t="s">
        <v>12</v>
      </c>
      <c r="H189" s="352">
        <v>1070</v>
      </c>
      <c r="I189" s="349"/>
      <c r="J189" s="349"/>
      <c r="K189" s="349"/>
      <c r="L189" s="350"/>
      <c r="M189" s="350"/>
      <c r="N189" s="350"/>
      <c r="O189" s="350"/>
      <c r="P189" s="352"/>
      <c r="Q189" s="392"/>
      <c r="R189" s="392"/>
      <c r="S189" s="392"/>
      <c r="T189" s="392"/>
      <c r="U189" s="392"/>
      <c r="V189" s="497"/>
      <c r="W189" s="392"/>
      <c r="X189" s="392"/>
      <c r="Y189" s="352">
        <f>IF(NFI_Expiration=1,IF($A189&lt;VLOOKUP(H$5,NFI,5,0),1,0)*Table_NFI[[#This Row],[Hygiene Kit]],Table_NFI[Hygiene Kit])</f>
        <v>0</v>
      </c>
      <c r="Z189" s="352">
        <f>IF(NFI_Expiration=1,IF($A189&lt;VLOOKUP(I$5,NFI,5,0),1,0)*Table_NFI[[#This Row],[NFI Core Kit]],Table_NFI[NFI Core Kit])</f>
        <v>0</v>
      </c>
      <c r="AA189" s="352">
        <f>IF(NFI_Expiration=1,IF($A189&lt;VLOOKUP(J$5,NFI,5,0),1,0)*Table_NFI[[#This Row],[Sanitary Kit]],Table_NFI[Sanitary Kit])</f>
        <v>0</v>
      </c>
      <c r="AB189" s="352">
        <f>IF(NFI_Expiration=1,IF($A189&lt;VLOOKUP(K$5,NFI,5,0),1,0)*Table_NFI[[#This Row],[Mosquito net]],Table_NFI[Mosquito net])</f>
        <v>0</v>
      </c>
      <c r="AC189" s="352">
        <f>IF(NFI_Expiration=1,IF($A189&lt;VLOOKUP(L$5,NFI,5,0),1,0)*Table_NFI[[#This Row],[Tarpaulin]],Table_NFI[[#This Row],[Tarpaulin]])</f>
        <v>0</v>
      </c>
      <c r="AD189" s="352">
        <f>IF(NFI_Expiration=1,IF($A189&lt;VLOOKUP(M$5,NFI,5,0),1,0)*Table_NFI[[#This Row],[Blanket]],Table_NFI[[#This Row],[Blanket]])</f>
        <v>0</v>
      </c>
      <c r="AE189" s="352">
        <f>IF(NFI_Expiration=1,IF($A189&lt;VLOOKUP(N$5,NFI,5,0),1,0)*Table_NFI[[#This Row],[Kitchen Set]],Table_NFI[Kitchen Set])</f>
        <v>0</v>
      </c>
      <c r="AF189" s="352">
        <f>IF(NFI_Expiration=1,IF($A189&lt;VLOOKUP(O$5,NFI,5,0),1,0)*Table_NFI[[#This Row],[Clothes Kit]],Table_NFI[Clothes Kit])</f>
        <v>0</v>
      </c>
      <c r="AG189" s="352">
        <f>IF(NFI_Expiration=1,IF($A189&lt;VLOOKUP(P$5,NFI,5,0),1,0)*Table_NFI[[#This Row],[Plastic Bucket]],Table_NFI[Plastic Bucket])</f>
        <v>0</v>
      </c>
      <c r="AH189" s="352">
        <f>IF(NFI_Expiration=1,IF($A189&lt;VLOOKUP(Q$5,NFI,5,0),1,0)*Table_NFI[[#This Row],[Plastic Mat]],Table_NFI[Plastic Mat])*IF(Table_NFI[[#This Row],[Distribution Date]]&gt;"2014-04-01",1,2.5)</f>
        <v>0</v>
      </c>
      <c r="AI189" s="352">
        <f>IF(NFI_Expiration=1,IF($A189&lt;VLOOKUP(R$5,NFI,5,0),1,0)*Table_NFI[[#This Row],[Winter Clothes Adult]],Table_NFI[Winter Clothes Adult])</f>
        <v>0</v>
      </c>
      <c r="AJ189" s="352">
        <f>IF(NFI_Expiration=1,IF($A189&lt;VLOOKUP(S$5,NFI,5,0),1,0)*Table_NFI[[#This Row],[Winter Clothes Children]],Table_NFI[Winter Clothes Children])</f>
        <v>0</v>
      </c>
      <c r="AK189" s="352">
        <f>IF(NFI_Expiration=1,IF($A189&lt;VLOOKUP(T$5,NFI,5,0),1,0)*Table_NFI[[#This Row],[Winter Items Other]],Table_NFI[Winter Items Other])</f>
        <v>0</v>
      </c>
      <c r="AL189" s="352">
        <f>IF(NFI_Expiration=1,IF($A189&lt;VLOOKUP(M$5,NFI,5,0),1,0)*Table_NFI[[#This Row],[Winter Blanket]],Table_NFI[[#This Row],[Winter Blanket]])</f>
        <v>0</v>
      </c>
      <c r="AM189" s="352">
        <f>IF(Table_NFI[[#This Row],[Winter Clothes Adult]]+Table_NFI[[#This Row],[Winter Clothes Children]]+Table_NFI[[#This Row],[Winter Items Other]]+Table_NFI[[#This Row],[Winter Blanket]]&gt;0,1,0)</f>
        <v>0</v>
      </c>
      <c r="AN189" s="392">
        <f>IF(NFI_Expiration=1,IF($A189&lt;VLOOKUP(V$5,NFI,5,0),1,0)*Table_NFI[[#This Row],[Jerry Can]],Table_NFI[Jerry Can])</f>
        <v>0</v>
      </c>
      <c r="AO189" s="540" t="str">
        <f>IFERROR(VLOOKUP(Table_NFI[[#This Row],[Camp Name]],CL,2,0),"")</f>
        <v>MMR001CMP163</v>
      </c>
      <c r="AP189" s="535">
        <f ca="1">IF(Table_NFI[[#This Row],[Pcode]]="","",IF(OFFSET(CampList[Opening Date],MATCH(Table_NFI[[#This Row],[Pcode]],CampList[CP_Pcode],0)-1,0,1,1)&gt;=NFI_Monitor_Date,1,0))</f>
        <v>0</v>
      </c>
      <c r="AQ189" s="540" t="str">
        <f>IFERROR(VLOOKUP(Table_NFI[[#This Row],[Camp Name]],CL,3,0),"")</f>
        <v>Open</v>
      </c>
      <c r="AR189" s="352" t="str">
        <f ca="1">IF(Table_NFI[[#This Row],[Pcode]]="","",OFFSET(CampList[Priority],MATCH(Table_NFI[[#This Row],[Pcode]],CampList[CP_Pcode],0)-1,0,1,1))</f>
        <v>P4</v>
      </c>
      <c r="AS189" s="351">
        <f>IFERROR(Table_NFI[[#This Row],[Kitchen Set]]/VLOOKUP(Table_NFI[[#This Row],[Camp Name]],CL,4,0),"")</f>
        <v>0</v>
      </c>
      <c r="AT189" s="533"/>
      <c r="AU189" s="536"/>
    </row>
    <row r="190" spans="1:47" s="129" customFormat="1" ht="14.45" customHeight="1" x14ac:dyDescent="0.25">
      <c r="A190" s="355">
        <f t="shared" si="2"/>
        <v>20.933333333333334</v>
      </c>
      <c r="B190" s="532">
        <v>41943</v>
      </c>
      <c r="C190" s="533" t="s">
        <v>453</v>
      </c>
      <c r="D190" s="533"/>
      <c r="E190" s="533" t="s">
        <v>380</v>
      </c>
      <c r="F190" s="533" t="s">
        <v>528</v>
      </c>
      <c r="G190" s="533" t="s">
        <v>126</v>
      </c>
      <c r="H190" s="349"/>
      <c r="I190" s="349"/>
      <c r="J190" s="349">
        <v>38</v>
      </c>
      <c r="K190" s="349">
        <v>76</v>
      </c>
      <c r="L190" s="350">
        <v>38</v>
      </c>
      <c r="M190" s="350">
        <v>76</v>
      </c>
      <c r="N190" s="350">
        <v>38</v>
      </c>
      <c r="O190" s="350"/>
      <c r="P190" s="352">
        <v>38</v>
      </c>
      <c r="Q190" s="352">
        <v>190</v>
      </c>
      <c r="R190" s="352"/>
      <c r="S190" s="352"/>
      <c r="T190" s="352"/>
      <c r="U190" s="352"/>
      <c r="V190" s="497"/>
      <c r="W190" s="352"/>
      <c r="X190" s="352"/>
      <c r="Y190" s="352">
        <f>IF(NFI_Expiration=1,IF($A190&lt;VLOOKUP(H$5,NFI,5,0),1,0)*Table_NFI[[#This Row],[Hygiene Kit]],Table_NFI[Hygiene Kit])</f>
        <v>0</v>
      </c>
      <c r="Z190" s="352">
        <f>IF(NFI_Expiration=1,IF($A190&lt;VLOOKUP(I$5,NFI,5,0),1,0)*Table_NFI[[#This Row],[NFI Core Kit]],Table_NFI[NFI Core Kit])</f>
        <v>0</v>
      </c>
      <c r="AA190" s="352">
        <f>IF(NFI_Expiration=1,IF($A190&lt;VLOOKUP(J$5,NFI,5,0),1,0)*Table_NFI[[#This Row],[Sanitary Kit]],Table_NFI[Sanitary Kit])</f>
        <v>0</v>
      </c>
      <c r="AB190" s="352">
        <f>IF(NFI_Expiration=1,IF($A190&lt;VLOOKUP(K$5,NFI,5,0),1,0)*Table_NFI[[#This Row],[Mosquito net]],Table_NFI[Mosquito net])</f>
        <v>0</v>
      </c>
      <c r="AC190" s="352">
        <f>IF(NFI_Expiration=1,IF($A190&lt;VLOOKUP(L$5,NFI,5,0),1,0)*Table_NFI[[#This Row],[Tarpaulin]],Table_NFI[[#This Row],[Tarpaulin]])</f>
        <v>0</v>
      </c>
      <c r="AD190" s="352">
        <f>IF(NFI_Expiration=1,IF($A190&lt;VLOOKUP(M$5,NFI,5,0),1,0)*Table_NFI[[#This Row],[Blanket]],Table_NFI[[#This Row],[Blanket]])</f>
        <v>0</v>
      </c>
      <c r="AE190" s="352">
        <f>IF(NFI_Expiration=1,IF($A190&lt;VLOOKUP(N$5,NFI,5,0),1,0)*Table_NFI[[#This Row],[Kitchen Set]],Table_NFI[Kitchen Set])</f>
        <v>0</v>
      </c>
      <c r="AF190" s="352">
        <f>IF(NFI_Expiration=1,IF($A190&lt;VLOOKUP(O$5,NFI,5,0),1,0)*Table_NFI[[#This Row],[Clothes Kit]],Table_NFI[Clothes Kit])</f>
        <v>0</v>
      </c>
      <c r="AG190" s="352">
        <f>IF(NFI_Expiration=1,IF($A190&lt;VLOOKUP(P$5,NFI,5,0),1,0)*Table_NFI[[#This Row],[Plastic Bucket]],Table_NFI[Plastic Bucket])</f>
        <v>0</v>
      </c>
      <c r="AH190" s="352">
        <f>IF(NFI_Expiration=1,IF($A190&lt;VLOOKUP(Q$5,NFI,5,0),1,0)*Table_NFI[[#This Row],[Plastic Mat]],Table_NFI[Plastic Mat])*IF(Table_NFI[[#This Row],[Distribution Date]]&gt;"2014-04-01",1,2.5)</f>
        <v>0</v>
      </c>
      <c r="AI190" s="352">
        <f>IF(NFI_Expiration=1,IF($A190&lt;VLOOKUP(R$5,NFI,5,0),1,0)*Table_NFI[[#This Row],[Winter Clothes Adult]],Table_NFI[Winter Clothes Adult])</f>
        <v>0</v>
      </c>
      <c r="AJ190" s="352">
        <f>IF(NFI_Expiration=1,IF($A190&lt;VLOOKUP(S$5,NFI,5,0),1,0)*Table_NFI[[#This Row],[Winter Clothes Children]],Table_NFI[Winter Clothes Children])</f>
        <v>0</v>
      </c>
      <c r="AK190" s="352">
        <f>IF(NFI_Expiration=1,IF($A190&lt;VLOOKUP(T$5,NFI,5,0),1,0)*Table_NFI[[#This Row],[Winter Items Other]],Table_NFI[Winter Items Other])</f>
        <v>0</v>
      </c>
      <c r="AL190" s="352">
        <f>IF(NFI_Expiration=1,IF($A190&lt;VLOOKUP(M$5,NFI,5,0),1,0)*Table_NFI[[#This Row],[Winter Blanket]],Table_NFI[[#This Row],[Winter Blanket]])</f>
        <v>0</v>
      </c>
      <c r="AM190" s="352">
        <f>IF(Table_NFI[[#This Row],[Winter Clothes Adult]]+Table_NFI[[#This Row],[Winter Clothes Children]]+Table_NFI[[#This Row],[Winter Items Other]]+Table_NFI[[#This Row],[Winter Blanket]]&gt;0,1,0)</f>
        <v>0</v>
      </c>
      <c r="AN190" s="392">
        <f>IF(NFI_Expiration=1,IF($A190&lt;VLOOKUP(V$5,NFI,5,0),1,0)*Table_NFI[[#This Row],[Jerry Can]],Table_NFI[Jerry Can])</f>
        <v>0</v>
      </c>
      <c r="AO190" s="540" t="str">
        <f>IFERROR(VLOOKUP(Table_NFI[[#This Row],[Camp Name]],CL,2,0),"")</f>
        <v>MMR001CMP184</v>
      </c>
      <c r="AP190" s="535">
        <f ca="1">IF(Table_NFI[[#This Row],[Pcode]]="","",IF(OFFSET(CampList[Opening Date],MATCH(Table_NFI[[#This Row],[Pcode]],CampList[CP_Pcode],0)-1,0,1,1)&gt;=NFI_Monitor_Date,1,0))</f>
        <v>0</v>
      </c>
      <c r="AQ190" s="540" t="str">
        <f>IFERROR(VLOOKUP(Table_NFI[[#This Row],[Camp Name]],CL,3,0),"")</f>
        <v>Open</v>
      </c>
      <c r="AR190" s="352" t="str">
        <f ca="1">IF(Table_NFI[[#This Row],[Pcode]]="","",OFFSET(CampList[Priority],MATCH(Table_NFI[[#This Row],[Pcode]],CampList[CP_Pcode],0)-1,0,1,1))</f>
        <v>P4</v>
      </c>
      <c r="AS190" s="351">
        <f>IFERROR(Table_NFI[[#This Row],[Kitchen Set]]/VLOOKUP(Table_NFI[[#This Row],[Camp Name]],CL,4,0),"")</f>
        <v>1.0857142857142856</v>
      </c>
      <c r="AT190" s="533"/>
      <c r="AU190" s="536"/>
    </row>
    <row r="191" spans="1:47" s="129" customFormat="1" ht="14.45" customHeight="1" x14ac:dyDescent="0.25">
      <c r="A191" s="355">
        <f t="shared" si="2"/>
        <v>20.933333333333334</v>
      </c>
      <c r="B191" s="532">
        <v>41943</v>
      </c>
      <c r="C191" s="533" t="s">
        <v>453</v>
      </c>
      <c r="D191" s="533"/>
      <c r="E191" s="533" t="s">
        <v>380</v>
      </c>
      <c r="F191" s="533" t="s">
        <v>528</v>
      </c>
      <c r="G191" s="533" t="s">
        <v>140</v>
      </c>
      <c r="H191" s="349"/>
      <c r="I191" s="349"/>
      <c r="J191" s="349">
        <v>10</v>
      </c>
      <c r="K191" s="349">
        <v>20</v>
      </c>
      <c r="L191" s="350">
        <v>10</v>
      </c>
      <c r="M191" s="350">
        <v>20</v>
      </c>
      <c r="N191" s="350">
        <v>10</v>
      </c>
      <c r="O191" s="350"/>
      <c r="P191" s="352">
        <v>10</v>
      </c>
      <c r="Q191" s="352">
        <v>50</v>
      </c>
      <c r="R191" s="352"/>
      <c r="S191" s="352"/>
      <c r="T191" s="352"/>
      <c r="U191" s="352"/>
      <c r="V191" s="497"/>
      <c r="W191" s="352"/>
      <c r="X191" s="352"/>
      <c r="Y191" s="352">
        <f>IF(NFI_Expiration=1,IF($A191&lt;VLOOKUP(H$5,NFI,5,0),1,0)*Table_NFI[[#This Row],[Hygiene Kit]],Table_NFI[Hygiene Kit])</f>
        <v>0</v>
      </c>
      <c r="Z191" s="352">
        <f>IF(NFI_Expiration=1,IF($A191&lt;VLOOKUP(I$5,NFI,5,0),1,0)*Table_NFI[[#This Row],[NFI Core Kit]],Table_NFI[NFI Core Kit])</f>
        <v>0</v>
      </c>
      <c r="AA191" s="352">
        <f>IF(NFI_Expiration=1,IF($A191&lt;VLOOKUP(J$5,NFI,5,0),1,0)*Table_NFI[[#This Row],[Sanitary Kit]],Table_NFI[Sanitary Kit])</f>
        <v>0</v>
      </c>
      <c r="AB191" s="352">
        <f>IF(NFI_Expiration=1,IF($A191&lt;VLOOKUP(K$5,NFI,5,0),1,0)*Table_NFI[[#This Row],[Mosquito net]],Table_NFI[Mosquito net])</f>
        <v>0</v>
      </c>
      <c r="AC191" s="352">
        <f>IF(NFI_Expiration=1,IF($A191&lt;VLOOKUP(L$5,NFI,5,0),1,0)*Table_NFI[[#This Row],[Tarpaulin]],Table_NFI[[#This Row],[Tarpaulin]])</f>
        <v>0</v>
      </c>
      <c r="AD191" s="352">
        <f>IF(NFI_Expiration=1,IF($A191&lt;VLOOKUP(M$5,NFI,5,0),1,0)*Table_NFI[[#This Row],[Blanket]],Table_NFI[[#This Row],[Blanket]])</f>
        <v>0</v>
      </c>
      <c r="AE191" s="352">
        <f>IF(NFI_Expiration=1,IF($A191&lt;VLOOKUP(N$5,NFI,5,0),1,0)*Table_NFI[[#This Row],[Kitchen Set]],Table_NFI[Kitchen Set])</f>
        <v>0</v>
      </c>
      <c r="AF191" s="352">
        <f>IF(NFI_Expiration=1,IF($A191&lt;VLOOKUP(O$5,NFI,5,0),1,0)*Table_NFI[[#This Row],[Clothes Kit]],Table_NFI[Clothes Kit])</f>
        <v>0</v>
      </c>
      <c r="AG191" s="352">
        <f>IF(NFI_Expiration=1,IF($A191&lt;VLOOKUP(P$5,NFI,5,0),1,0)*Table_NFI[[#This Row],[Plastic Bucket]],Table_NFI[Plastic Bucket])</f>
        <v>0</v>
      </c>
      <c r="AH191" s="352">
        <f>IF(NFI_Expiration=1,IF($A191&lt;VLOOKUP(Q$5,NFI,5,0),1,0)*Table_NFI[[#This Row],[Plastic Mat]],Table_NFI[Plastic Mat])*IF(Table_NFI[[#This Row],[Distribution Date]]&gt;"2014-04-01",1,2.5)</f>
        <v>0</v>
      </c>
      <c r="AI191" s="352">
        <f>IF(NFI_Expiration=1,IF($A191&lt;VLOOKUP(R$5,NFI,5,0),1,0)*Table_NFI[[#This Row],[Winter Clothes Adult]],Table_NFI[Winter Clothes Adult])</f>
        <v>0</v>
      </c>
      <c r="AJ191" s="352">
        <f>IF(NFI_Expiration=1,IF($A191&lt;VLOOKUP(S$5,NFI,5,0),1,0)*Table_NFI[[#This Row],[Winter Clothes Children]],Table_NFI[Winter Clothes Children])</f>
        <v>0</v>
      </c>
      <c r="AK191" s="352">
        <f>IF(NFI_Expiration=1,IF($A191&lt;VLOOKUP(T$5,NFI,5,0),1,0)*Table_NFI[[#This Row],[Winter Items Other]],Table_NFI[Winter Items Other])</f>
        <v>0</v>
      </c>
      <c r="AL191" s="352">
        <f>IF(NFI_Expiration=1,IF($A191&lt;VLOOKUP(M$5,NFI,5,0),1,0)*Table_NFI[[#This Row],[Winter Blanket]],Table_NFI[[#This Row],[Winter Blanket]])</f>
        <v>0</v>
      </c>
      <c r="AM191" s="352">
        <f>IF(Table_NFI[[#This Row],[Winter Clothes Adult]]+Table_NFI[[#This Row],[Winter Clothes Children]]+Table_NFI[[#This Row],[Winter Items Other]]+Table_NFI[[#This Row],[Winter Blanket]]&gt;0,1,0)</f>
        <v>0</v>
      </c>
      <c r="AN191" s="392">
        <f>IF(NFI_Expiration=1,IF($A191&lt;VLOOKUP(V$5,NFI,5,0),1,0)*Table_NFI[[#This Row],[Jerry Can]],Table_NFI[Jerry Can])</f>
        <v>0</v>
      </c>
      <c r="AO191" s="540" t="str">
        <f>IFERROR(VLOOKUP(Table_NFI[[#This Row],[Camp Name]],CL,2,0),"")</f>
        <v>MMR001CMP105</v>
      </c>
      <c r="AP191" s="535">
        <f ca="1">IF(Table_NFI[[#This Row],[Pcode]]="","",IF(OFFSET(CampList[Opening Date],MATCH(Table_NFI[[#This Row],[Pcode]],CampList[CP_Pcode],0)-1,0,1,1)&gt;=NFI_Monitor_Date,1,0))</f>
        <v>0</v>
      </c>
      <c r="AQ191" s="540" t="str">
        <f>IFERROR(VLOOKUP(Table_NFI[[#This Row],[Camp Name]],CL,3,0),"")</f>
        <v>Open</v>
      </c>
      <c r="AR191" s="352" t="str">
        <f ca="1">IF(Table_NFI[[#This Row],[Pcode]]="","",OFFSET(CampList[Priority],MATCH(Table_NFI[[#This Row],[Pcode]],CampList[CP_Pcode],0)-1,0,1,1))</f>
        <v>P4</v>
      </c>
      <c r="AS191" s="351">
        <f>IFERROR(Table_NFI[[#This Row],[Kitchen Set]]/VLOOKUP(Table_NFI[[#This Row],[Camp Name]],CL,4,0),"")</f>
        <v>0.83333333333333337</v>
      </c>
      <c r="AT191" s="533"/>
      <c r="AU191" s="536"/>
    </row>
    <row r="192" spans="1:47" s="129" customFormat="1" ht="14.45" customHeight="1" x14ac:dyDescent="0.25">
      <c r="A192" s="355">
        <f t="shared" si="2"/>
        <v>20.966666666666665</v>
      </c>
      <c r="B192" s="532">
        <v>41942</v>
      </c>
      <c r="C192" s="538" t="s">
        <v>453</v>
      </c>
      <c r="D192" s="538"/>
      <c r="E192" s="538" t="s">
        <v>380</v>
      </c>
      <c r="F192" s="538" t="s">
        <v>5</v>
      </c>
      <c r="G192" s="538" t="s">
        <v>513</v>
      </c>
      <c r="H192" s="350"/>
      <c r="I192" s="350"/>
      <c r="J192" s="350"/>
      <c r="K192" s="350"/>
      <c r="L192" s="350"/>
      <c r="M192" s="350"/>
      <c r="N192" s="350"/>
      <c r="O192" s="350"/>
      <c r="P192" s="352"/>
      <c r="Q192" s="352"/>
      <c r="R192" s="352"/>
      <c r="S192" s="352"/>
      <c r="T192" s="352"/>
      <c r="U192" s="352"/>
      <c r="V192" s="497"/>
      <c r="W192" s="352"/>
      <c r="X192" s="352"/>
      <c r="Y192" s="352">
        <f>IF(NFI_Expiration=1,IF($A192&lt;VLOOKUP(H$5,NFI,5,0),1,0)*Table_NFI[[#This Row],[Hygiene Kit]],Table_NFI[Hygiene Kit])</f>
        <v>0</v>
      </c>
      <c r="Z192" s="352">
        <f>IF(NFI_Expiration=1,IF($A192&lt;VLOOKUP(I$5,NFI,5,0),1,0)*Table_NFI[[#This Row],[NFI Core Kit]],Table_NFI[NFI Core Kit])</f>
        <v>0</v>
      </c>
      <c r="AA192" s="352">
        <f>IF(NFI_Expiration=1,IF($A192&lt;VLOOKUP(J$5,NFI,5,0),1,0)*Table_NFI[[#This Row],[Sanitary Kit]],Table_NFI[Sanitary Kit])</f>
        <v>0</v>
      </c>
      <c r="AB192" s="352">
        <f>IF(NFI_Expiration=1,IF($A192&lt;VLOOKUP(K$5,NFI,5,0),1,0)*Table_NFI[[#This Row],[Mosquito net]],Table_NFI[Mosquito net])</f>
        <v>0</v>
      </c>
      <c r="AC192" s="352">
        <f>IF(NFI_Expiration=1,IF($A192&lt;VLOOKUP(L$5,NFI,5,0),1,0)*Table_NFI[[#This Row],[Tarpaulin]],Table_NFI[[#This Row],[Tarpaulin]])</f>
        <v>0</v>
      </c>
      <c r="AD192" s="352">
        <f>IF(NFI_Expiration=1,IF($A192&lt;VLOOKUP(M$5,NFI,5,0),1,0)*Table_NFI[[#This Row],[Blanket]],Table_NFI[[#This Row],[Blanket]])</f>
        <v>0</v>
      </c>
      <c r="AE192" s="352">
        <f>IF(NFI_Expiration=1,IF($A192&lt;VLOOKUP(N$5,NFI,5,0),1,0)*Table_NFI[[#This Row],[Kitchen Set]],Table_NFI[Kitchen Set])</f>
        <v>0</v>
      </c>
      <c r="AF192" s="352">
        <f>IF(NFI_Expiration=1,IF($A192&lt;VLOOKUP(O$5,NFI,5,0),1,0)*Table_NFI[[#This Row],[Clothes Kit]],Table_NFI[Clothes Kit])</f>
        <v>0</v>
      </c>
      <c r="AG192" s="352">
        <f>IF(NFI_Expiration=1,IF($A192&lt;VLOOKUP(P$5,NFI,5,0),1,0)*Table_NFI[[#This Row],[Plastic Bucket]],Table_NFI[Plastic Bucket])</f>
        <v>0</v>
      </c>
      <c r="AH192" s="352">
        <f>IF(NFI_Expiration=1,IF($A192&lt;VLOOKUP(Q$5,NFI,5,0),1,0)*Table_NFI[[#This Row],[Plastic Mat]],Table_NFI[Plastic Mat])*IF(Table_NFI[[#This Row],[Distribution Date]]&gt;"2014-04-01",1,2.5)</f>
        <v>0</v>
      </c>
      <c r="AI192" s="352">
        <f>IF(NFI_Expiration=1,IF($A192&lt;VLOOKUP(R$5,NFI,5,0),1,0)*Table_NFI[[#This Row],[Winter Clothes Adult]],Table_NFI[Winter Clothes Adult])</f>
        <v>0</v>
      </c>
      <c r="AJ192" s="352">
        <f>IF(NFI_Expiration=1,IF($A192&lt;VLOOKUP(S$5,NFI,5,0),1,0)*Table_NFI[[#This Row],[Winter Clothes Children]],Table_NFI[Winter Clothes Children])</f>
        <v>0</v>
      </c>
      <c r="AK192" s="352">
        <f>IF(NFI_Expiration=1,IF($A192&lt;VLOOKUP(T$5,NFI,5,0),1,0)*Table_NFI[[#This Row],[Winter Items Other]],Table_NFI[Winter Items Other])</f>
        <v>0</v>
      </c>
      <c r="AL192" s="352">
        <f>IF(NFI_Expiration=1,IF($A192&lt;VLOOKUP(M$5,NFI,5,0),1,0)*Table_NFI[[#This Row],[Winter Blanket]],Table_NFI[[#This Row],[Winter Blanket]])</f>
        <v>0</v>
      </c>
      <c r="AM192" s="352">
        <f>IF(Table_NFI[[#This Row],[Winter Clothes Adult]]+Table_NFI[[#This Row],[Winter Clothes Children]]+Table_NFI[[#This Row],[Winter Items Other]]+Table_NFI[[#This Row],[Winter Blanket]]&gt;0,1,0)</f>
        <v>0</v>
      </c>
      <c r="AN192" s="392">
        <f>IF(NFI_Expiration=1,IF($A192&lt;VLOOKUP(V$5,NFI,5,0),1,0)*Table_NFI[[#This Row],[Jerry Can]],Table_NFI[Jerry Can])</f>
        <v>0</v>
      </c>
      <c r="AO192" s="540" t="str">
        <f>IFERROR(VLOOKUP(Table_NFI[[#This Row],[Camp Name]],CL,2,0),"")</f>
        <v>MMR001CMP194</v>
      </c>
      <c r="AP192" s="535">
        <f ca="1">IF(Table_NFI[[#This Row],[Pcode]]="","",IF(OFFSET(CampList[Opening Date],MATCH(Table_NFI[[#This Row],[Pcode]],CampList[CP_Pcode],0)-1,0,1,1)&gt;=NFI_Monitor_Date,1,0))</f>
        <v>0</v>
      </c>
      <c r="AQ192" s="540" t="str">
        <f>IFERROR(VLOOKUP(Table_NFI[[#This Row],[Camp Name]],CL,3,0),"")</f>
        <v>Open</v>
      </c>
      <c r="AR192" s="352" t="str">
        <f ca="1">IF(Table_NFI[[#This Row],[Pcode]]="","",OFFSET(CampList[Priority],MATCH(Table_NFI[[#This Row],[Pcode]],CampList[CP_Pcode],0)-1,0,1,1))</f>
        <v>P4</v>
      </c>
      <c r="AS192" s="351">
        <f>IFERROR(Table_NFI[[#This Row],[Kitchen Set]]/VLOOKUP(Table_NFI[[#This Row],[Camp Name]],CL,4,0),"")</f>
        <v>0</v>
      </c>
      <c r="AT192" s="538"/>
      <c r="AU192" s="541"/>
    </row>
    <row r="193" spans="1:47" s="129" customFormat="1" ht="14.45" hidden="1" customHeight="1" x14ac:dyDescent="0.25">
      <c r="A193" s="355">
        <f t="shared" si="2"/>
        <v>21.133333333333333</v>
      </c>
      <c r="B193" s="532">
        <v>41937</v>
      </c>
      <c r="C193" s="533" t="s">
        <v>1096</v>
      </c>
      <c r="D193" s="533" t="s">
        <v>902</v>
      </c>
      <c r="E193" s="533" t="s">
        <v>380</v>
      </c>
      <c r="F193" s="533" t="s">
        <v>528</v>
      </c>
      <c r="G193" s="533" t="s">
        <v>1067</v>
      </c>
      <c r="H193" s="349"/>
      <c r="I193" s="349"/>
      <c r="J193" s="349"/>
      <c r="K193" s="349"/>
      <c r="L193" s="350"/>
      <c r="M193" s="350"/>
      <c r="N193" s="350"/>
      <c r="O193" s="350"/>
      <c r="P193" s="352"/>
      <c r="Q193" s="352"/>
      <c r="R193" s="352">
        <v>186</v>
      </c>
      <c r="S193" s="352">
        <v>125</v>
      </c>
      <c r="T193" s="352"/>
      <c r="U193" s="352"/>
      <c r="V193" s="497"/>
      <c r="W193" s="352"/>
      <c r="X193" s="352"/>
      <c r="Y193" s="352">
        <f>IF(NFI_Expiration=1,IF($A193&lt;VLOOKUP(H$5,NFI,5,0),1,0)*Table_NFI[[#This Row],[Hygiene Kit]],Table_NFI[Hygiene Kit])</f>
        <v>0</v>
      </c>
      <c r="Z193" s="352">
        <f>IF(NFI_Expiration=1,IF($A193&lt;VLOOKUP(I$5,NFI,5,0),1,0)*Table_NFI[[#This Row],[NFI Core Kit]],Table_NFI[NFI Core Kit])</f>
        <v>0</v>
      </c>
      <c r="AA193" s="352">
        <f>IF(NFI_Expiration=1,IF($A193&lt;VLOOKUP(J$5,NFI,5,0),1,0)*Table_NFI[[#This Row],[Sanitary Kit]],Table_NFI[Sanitary Kit])</f>
        <v>0</v>
      </c>
      <c r="AB193" s="352">
        <f>IF(NFI_Expiration=1,IF($A193&lt;VLOOKUP(K$5,NFI,5,0),1,0)*Table_NFI[[#This Row],[Mosquito net]],Table_NFI[Mosquito net])</f>
        <v>0</v>
      </c>
      <c r="AC193" s="352">
        <f>IF(NFI_Expiration=1,IF($A193&lt;VLOOKUP(L$5,NFI,5,0),1,0)*Table_NFI[[#This Row],[Tarpaulin]],Table_NFI[[#This Row],[Tarpaulin]])</f>
        <v>0</v>
      </c>
      <c r="AD193" s="352">
        <f>IF(NFI_Expiration=1,IF($A193&lt;VLOOKUP(M$5,NFI,5,0),1,0)*Table_NFI[[#This Row],[Blanket]],Table_NFI[[#This Row],[Blanket]])</f>
        <v>0</v>
      </c>
      <c r="AE193" s="352">
        <f>IF(NFI_Expiration=1,IF($A193&lt;VLOOKUP(N$5,NFI,5,0),1,0)*Table_NFI[[#This Row],[Kitchen Set]],Table_NFI[Kitchen Set])</f>
        <v>0</v>
      </c>
      <c r="AF193" s="352">
        <f>IF(NFI_Expiration=1,IF($A193&lt;VLOOKUP(O$5,NFI,5,0),1,0)*Table_NFI[[#This Row],[Clothes Kit]],Table_NFI[Clothes Kit])</f>
        <v>0</v>
      </c>
      <c r="AG193" s="352">
        <f>IF(NFI_Expiration=1,IF($A193&lt;VLOOKUP(P$5,NFI,5,0),1,0)*Table_NFI[[#This Row],[Plastic Bucket]],Table_NFI[Plastic Bucket])</f>
        <v>0</v>
      </c>
      <c r="AH193" s="352">
        <f>IF(NFI_Expiration=1,IF($A193&lt;VLOOKUP(Q$5,NFI,5,0),1,0)*Table_NFI[[#This Row],[Plastic Mat]],Table_NFI[Plastic Mat])*IF(Table_NFI[[#This Row],[Distribution Date]]&gt;"2014-04-01",1,2.5)</f>
        <v>0</v>
      </c>
      <c r="AI193" s="352">
        <f>IF(NFI_Expiration=1,IF($A193&lt;VLOOKUP(R$5,NFI,5,0),1,0)*Table_NFI[[#This Row],[Winter Clothes Adult]],Table_NFI[Winter Clothes Adult])</f>
        <v>0</v>
      </c>
      <c r="AJ193" s="352">
        <f>IF(NFI_Expiration=1,IF($A193&lt;VLOOKUP(S$5,NFI,5,0),1,0)*Table_NFI[[#This Row],[Winter Clothes Children]],Table_NFI[Winter Clothes Children])</f>
        <v>0</v>
      </c>
      <c r="AK193" s="352">
        <f>IF(NFI_Expiration=1,IF($A193&lt;VLOOKUP(T$5,NFI,5,0),1,0)*Table_NFI[[#This Row],[Winter Items Other]],Table_NFI[Winter Items Other])</f>
        <v>0</v>
      </c>
      <c r="AL193" s="352">
        <f>IF(NFI_Expiration=1,IF($A193&lt;VLOOKUP(M$5,NFI,5,0),1,0)*Table_NFI[[#This Row],[Winter Blanket]],Table_NFI[[#This Row],[Winter Blanket]])</f>
        <v>0</v>
      </c>
      <c r="AM193" s="352">
        <f>IF(Table_NFI[[#This Row],[Winter Clothes Adult]]+Table_NFI[[#This Row],[Winter Clothes Children]]+Table_NFI[[#This Row],[Winter Items Other]]+Table_NFI[[#This Row],[Winter Blanket]]&gt;0,1,0)</f>
        <v>1</v>
      </c>
      <c r="AN193" s="392">
        <f>IF(NFI_Expiration=1,IF($A193&lt;VLOOKUP(V$5,NFI,5,0),1,0)*Table_NFI[[#This Row],[Jerry Can]],Table_NFI[Jerry Can])</f>
        <v>0</v>
      </c>
      <c r="AO193" s="540" t="str">
        <f>IFERROR(VLOOKUP(Table_NFI[[#This Row],[Camp Name]],CL,2,0),"")</f>
        <v>MMR001CMP229</v>
      </c>
      <c r="AP193" s="535">
        <f ca="1">IF(Table_NFI[[#This Row],[Pcode]]="","",IF(OFFSET(CampList[Opening Date],MATCH(Table_NFI[[#This Row],[Pcode]],CampList[CP_Pcode],0)-1,0,1,1)&gt;=NFI_Monitor_Date,1,0))</f>
        <v>0</v>
      </c>
      <c r="AQ193" s="540" t="str">
        <f>IFERROR(VLOOKUP(Table_NFI[[#This Row],[Camp Name]],CL,3,0),"")</f>
        <v>Open</v>
      </c>
      <c r="AR193" s="352" t="str">
        <f ca="1">IF(Table_NFI[[#This Row],[Pcode]]="","",OFFSET(CampList[Priority],MATCH(Table_NFI[[#This Row],[Pcode]],CampList[CP_Pcode],0)-1,0,1,1))</f>
        <v>P4</v>
      </c>
      <c r="AS193" s="351">
        <f>IFERROR(Table_NFI[[#This Row],[Kitchen Set]]/VLOOKUP(Table_NFI[[#This Row],[Camp Name]],CL,4,0),"")</f>
        <v>0</v>
      </c>
      <c r="AT193" s="533"/>
      <c r="AU193" s="536"/>
    </row>
    <row r="194" spans="1:47" s="129" customFormat="1" ht="14.45" customHeight="1" x14ac:dyDescent="0.25">
      <c r="A194" s="355">
        <f t="shared" si="2"/>
        <v>21.566666666666666</v>
      </c>
      <c r="B194" s="532">
        <v>41924</v>
      </c>
      <c r="C194" s="533" t="s">
        <v>453</v>
      </c>
      <c r="D194" s="533"/>
      <c r="E194" s="533" t="s">
        <v>380</v>
      </c>
      <c r="F194" s="533" t="s">
        <v>185</v>
      </c>
      <c r="G194" s="533" t="s">
        <v>202</v>
      </c>
      <c r="H194" s="349"/>
      <c r="I194" s="349"/>
      <c r="J194" s="349"/>
      <c r="K194" s="349"/>
      <c r="L194" s="350">
        <v>25</v>
      </c>
      <c r="M194" s="350"/>
      <c r="N194" s="350"/>
      <c r="O194" s="350"/>
      <c r="P194" s="352"/>
      <c r="Q194" s="352"/>
      <c r="R194" s="352"/>
      <c r="S194" s="352"/>
      <c r="T194" s="352"/>
      <c r="U194" s="352"/>
      <c r="V194" s="497"/>
      <c r="W194" s="352"/>
      <c r="X194" s="352"/>
      <c r="Y194" s="352">
        <f>IF(NFI_Expiration=1,IF($A194&lt;VLOOKUP(H$5,NFI,5,0),1,0)*Table_NFI[[#This Row],[Hygiene Kit]],Table_NFI[Hygiene Kit])</f>
        <v>0</v>
      </c>
      <c r="Z194" s="352">
        <f>IF(NFI_Expiration=1,IF($A194&lt;VLOOKUP(I$5,NFI,5,0),1,0)*Table_NFI[[#This Row],[NFI Core Kit]],Table_NFI[NFI Core Kit])</f>
        <v>0</v>
      </c>
      <c r="AA194" s="352">
        <f>IF(NFI_Expiration=1,IF($A194&lt;VLOOKUP(J$5,NFI,5,0),1,0)*Table_NFI[[#This Row],[Sanitary Kit]],Table_NFI[Sanitary Kit])</f>
        <v>0</v>
      </c>
      <c r="AB194" s="352">
        <f>IF(NFI_Expiration=1,IF($A194&lt;VLOOKUP(K$5,NFI,5,0),1,0)*Table_NFI[[#This Row],[Mosquito net]],Table_NFI[Mosquito net])</f>
        <v>0</v>
      </c>
      <c r="AC194" s="352">
        <f>IF(NFI_Expiration=1,IF($A194&lt;VLOOKUP(L$5,NFI,5,0),1,0)*Table_NFI[[#This Row],[Tarpaulin]],Table_NFI[[#This Row],[Tarpaulin]])</f>
        <v>0</v>
      </c>
      <c r="AD194" s="352">
        <f>IF(NFI_Expiration=1,IF($A194&lt;VLOOKUP(M$5,NFI,5,0),1,0)*Table_NFI[[#This Row],[Blanket]],Table_NFI[[#This Row],[Blanket]])</f>
        <v>0</v>
      </c>
      <c r="AE194" s="352">
        <f>IF(NFI_Expiration=1,IF($A194&lt;VLOOKUP(N$5,NFI,5,0),1,0)*Table_NFI[[#This Row],[Kitchen Set]],Table_NFI[Kitchen Set])</f>
        <v>0</v>
      </c>
      <c r="AF194" s="352">
        <f>IF(NFI_Expiration=1,IF($A194&lt;VLOOKUP(O$5,NFI,5,0),1,0)*Table_NFI[[#This Row],[Clothes Kit]],Table_NFI[Clothes Kit])</f>
        <v>0</v>
      </c>
      <c r="AG194" s="352">
        <f>IF(NFI_Expiration=1,IF($A194&lt;VLOOKUP(P$5,NFI,5,0),1,0)*Table_NFI[[#This Row],[Plastic Bucket]],Table_NFI[Plastic Bucket])</f>
        <v>0</v>
      </c>
      <c r="AH194" s="352">
        <f>IF(NFI_Expiration=1,IF($A194&lt;VLOOKUP(Q$5,NFI,5,0),1,0)*Table_NFI[[#This Row],[Plastic Mat]],Table_NFI[Plastic Mat])*IF(Table_NFI[[#This Row],[Distribution Date]]&gt;"2014-04-01",1,2.5)</f>
        <v>0</v>
      </c>
      <c r="AI194" s="352">
        <f>IF(NFI_Expiration=1,IF($A194&lt;VLOOKUP(R$5,NFI,5,0),1,0)*Table_NFI[[#This Row],[Winter Clothes Adult]],Table_NFI[Winter Clothes Adult])</f>
        <v>0</v>
      </c>
      <c r="AJ194" s="352">
        <f>IF(NFI_Expiration=1,IF($A194&lt;VLOOKUP(S$5,NFI,5,0),1,0)*Table_NFI[[#This Row],[Winter Clothes Children]],Table_NFI[Winter Clothes Children])</f>
        <v>0</v>
      </c>
      <c r="AK194" s="352">
        <f>IF(NFI_Expiration=1,IF($A194&lt;VLOOKUP(T$5,NFI,5,0),1,0)*Table_NFI[[#This Row],[Winter Items Other]],Table_NFI[Winter Items Other])</f>
        <v>0</v>
      </c>
      <c r="AL194" s="352">
        <f>IF(NFI_Expiration=1,IF($A194&lt;VLOOKUP(M$5,NFI,5,0),1,0)*Table_NFI[[#This Row],[Winter Blanket]],Table_NFI[[#This Row],[Winter Blanket]])</f>
        <v>0</v>
      </c>
      <c r="AM194" s="352">
        <f>IF(Table_NFI[[#This Row],[Winter Clothes Adult]]+Table_NFI[[#This Row],[Winter Clothes Children]]+Table_NFI[[#This Row],[Winter Items Other]]+Table_NFI[[#This Row],[Winter Blanket]]&gt;0,1,0)</f>
        <v>0</v>
      </c>
      <c r="AN194" s="392">
        <f>IF(NFI_Expiration=1,IF($A194&lt;VLOOKUP(V$5,NFI,5,0),1,0)*Table_NFI[[#This Row],[Jerry Can]],Table_NFI[Jerry Can])</f>
        <v>0</v>
      </c>
      <c r="AO194" s="540" t="str">
        <f>IFERROR(VLOOKUP(Table_NFI[[#This Row],[Camp Name]],CL,2,0),"")</f>
        <v>MMR001CMP062</v>
      </c>
      <c r="AP194" s="535">
        <f ca="1">IF(Table_NFI[[#This Row],[Pcode]]="","",IF(OFFSET(CampList[Opening Date],MATCH(Table_NFI[[#This Row],[Pcode]],CampList[CP_Pcode],0)-1,0,1,1)&gt;=NFI_Monitor_Date,1,0))</f>
        <v>0</v>
      </c>
      <c r="AQ194" s="540" t="str">
        <f>IFERROR(VLOOKUP(Table_NFI[[#This Row],[Camp Name]],CL,3,0),"")</f>
        <v>Open</v>
      </c>
      <c r="AR194" s="352" t="str">
        <f ca="1">IF(Table_NFI[[#This Row],[Pcode]]="","",OFFSET(CampList[Priority],MATCH(Table_NFI[[#This Row],[Pcode]],CampList[CP_Pcode],0)-1,0,1,1))</f>
        <v>P4</v>
      </c>
      <c r="AS194" s="351">
        <f>IFERROR(Table_NFI[[#This Row],[Kitchen Set]]/VLOOKUP(Table_NFI[[#This Row],[Camp Name]],CL,4,0),"")</f>
        <v>0</v>
      </c>
      <c r="AT194" s="533"/>
      <c r="AU194" s="536"/>
    </row>
    <row r="195" spans="1:47" s="537" customFormat="1" ht="21.75" customHeight="1" x14ac:dyDescent="0.25">
      <c r="A195" s="355">
        <f t="shared" si="2"/>
        <v>21.633333333333333</v>
      </c>
      <c r="B195" s="532">
        <v>41922</v>
      </c>
      <c r="C195" s="533" t="s">
        <v>453</v>
      </c>
      <c r="D195" s="533"/>
      <c r="E195" s="533" t="s">
        <v>380</v>
      </c>
      <c r="F195" s="533" t="s">
        <v>185</v>
      </c>
      <c r="G195" s="533" t="s">
        <v>186</v>
      </c>
      <c r="H195" s="349"/>
      <c r="I195" s="349"/>
      <c r="J195" s="349"/>
      <c r="K195" s="349"/>
      <c r="L195" s="350">
        <v>60</v>
      </c>
      <c r="M195" s="350"/>
      <c r="N195" s="350"/>
      <c r="O195" s="350"/>
      <c r="P195" s="352"/>
      <c r="Q195" s="352"/>
      <c r="R195" s="352"/>
      <c r="S195" s="352"/>
      <c r="T195" s="352"/>
      <c r="U195" s="352"/>
      <c r="V195" s="497"/>
      <c r="W195" s="352"/>
      <c r="X195" s="352"/>
      <c r="Y195" s="352">
        <f>IF(NFI_Expiration=1,IF($A195&lt;VLOOKUP(H$5,NFI,5,0),1,0)*Table_NFI[[#This Row],[Hygiene Kit]],Table_NFI[Hygiene Kit])</f>
        <v>0</v>
      </c>
      <c r="Z195" s="352">
        <f>IF(NFI_Expiration=1,IF($A195&lt;VLOOKUP(I$5,NFI,5,0),1,0)*Table_NFI[[#This Row],[NFI Core Kit]],Table_NFI[NFI Core Kit])</f>
        <v>0</v>
      </c>
      <c r="AA195" s="352">
        <f>IF(NFI_Expiration=1,IF($A195&lt;VLOOKUP(J$5,NFI,5,0),1,0)*Table_NFI[[#This Row],[Sanitary Kit]],Table_NFI[Sanitary Kit])</f>
        <v>0</v>
      </c>
      <c r="AB195" s="352">
        <f>IF(NFI_Expiration=1,IF($A195&lt;VLOOKUP(K$5,NFI,5,0),1,0)*Table_NFI[[#This Row],[Mosquito net]],Table_NFI[Mosquito net])</f>
        <v>0</v>
      </c>
      <c r="AC195" s="352">
        <f>IF(NFI_Expiration=1,IF($A195&lt;VLOOKUP(L$5,NFI,5,0),1,0)*Table_NFI[[#This Row],[Tarpaulin]],Table_NFI[[#This Row],[Tarpaulin]])</f>
        <v>0</v>
      </c>
      <c r="AD195" s="352">
        <f>IF(NFI_Expiration=1,IF($A195&lt;VLOOKUP(M$5,NFI,5,0),1,0)*Table_NFI[[#This Row],[Blanket]],Table_NFI[[#This Row],[Blanket]])</f>
        <v>0</v>
      </c>
      <c r="AE195" s="352">
        <f>IF(NFI_Expiration=1,IF($A195&lt;VLOOKUP(N$5,NFI,5,0),1,0)*Table_NFI[[#This Row],[Kitchen Set]],Table_NFI[Kitchen Set])</f>
        <v>0</v>
      </c>
      <c r="AF195" s="352">
        <f>IF(NFI_Expiration=1,IF($A195&lt;VLOOKUP(O$5,NFI,5,0),1,0)*Table_NFI[[#This Row],[Clothes Kit]],Table_NFI[Clothes Kit])</f>
        <v>0</v>
      </c>
      <c r="AG195" s="352">
        <f>IF(NFI_Expiration=1,IF($A195&lt;VLOOKUP(P$5,NFI,5,0),1,0)*Table_NFI[[#This Row],[Plastic Bucket]],Table_NFI[Plastic Bucket])</f>
        <v>0</v>
      </c>
      <c r="AH195" s="352">
        <f>IF(NFI_Expiration=1,IF($A195&lt;VLOOKUP(Q$5,NFI,5,0),1,0)*Table_NFI[[#This Row],[Plastic Mat]],Table_NFI[Plastic Mat])*IF(Table_NFI[[#This Row],[Distribution Date]]&gt;"2014-04-01",1,2.5)</f>
        <v>0</v>
      </c>
      <c r="AI195" s="352">
        <f>IF(NFI_Expiration=1,IF($A195&lt;VLOOKUP(R$5,NFI,5,0),1,0)*Table_NFI[[#This Row],[Winter Clothes Adult]],Table_NFI[Winter Clothes Adult])</f>
        <v>0</v>
      </c>
      <c r="AJ195" s="352">
        <f>IF(NFI_Expiration=1,IF($A195&lt;VLOOKUP(S$5,NFI,5,0),1,0)*Table_NFI[[#This Row],[Winter Clothes Children]],Table_NFI[Winter Clothes Children])</f>
        <v>0</v>
      </c>
      <c r="AK195" s="352">
        <f>IF(NFI_Expiration=1,IF($A195&lt;VLOOKUP(T$5,NFI,5,0),1,0)*Table_NFI[[#This Row],[Winter Items Other]],Table_NFI[Winter Items Other])</f>
        <v>0</v>
      </c>
      <c r="AL195" s="352">
        <f>IF(NFI_Expiration=1,IF($A195&lt;VLOOKUP(M$5,NFI,5,0),1,0)*Table_NFI[[#This Row],[Winter Blanket]],Table_NFI[[#This Row],[Winter Blanket]])</f>
        <v>0</v>
      </c>
      <c r="AM195" s="352">
        <f>IF(Table_NFI[[#This Row],[Winter Clothes Adult]]+Table_NFI[[#This Row],[Winter Clothes Children]]+Table_NFI[[#This Row],[Winter Items Other]]+Table_NFI[[#This Row],[Winter Blanket]]&gt;0,1,0)</f>
        <v>0</v>
      </c>
      <c r="AN195" s="392">
        <f>IF(NFI_Expiration=1,IF($A195&lt;VLOOKUP(V$5,NFI,5,0),1,0)*Table_NFI[[#This Row],[Jerry Can]],Table_NFI[Jerry Can])</f>
        <v>0</v>
      </c>
      <c r="AO195" s="540" t="str">
        <f>IFERROR(VLOOKUP(Table_NFI[[#This Row],[Camp Name]],CL,2,0),"")</f>
        <v>MMR001CMP071</v>
      </c>
      <c r="AP195" s="535">
        <f ca="1">IF(Table_NFI[[#This Row],[Pcode]]="","",IF(OFFSET(CampList[Opening Date],MATCH(Table_NFI[[#This Row],[Pcode]],CampList[CP_Pcode],0)-1,0,1,1)&gt;=NFI_Monitor_Date,1,0))</f>
        <v>0</v>
      </c>
      <c r="AQ195" s="540" t="str">
        <f>IFERROR(VLOOKUP(Table_NFI[[#This Row],[Camp Name]],CL,3,0),"")</f>
        <v>Open</v>
      </c>
      <c r="AR195" s="352" t="str">
        <f ca="1">IF(Table_NFI[[#This Row],[Pcode]]="","",OFFSET(CampList[Priority],MATCH(Table_NFI[[#This Row],[Pcode]],CampList[CP_Pcode],0)-1,0,1,1))</f>
        <v>P3</v>
      </c>
      <c r="AS195" s="351">
        <f>IFERROR(Table_NFI[[#This Row],[Kitchen Set]]/VLOOKUP(Table_NFI[[#This Row],[Camp Name]],CL,4,0),"")</f>
        <v>0</v>
      </c>
      <c r="AT195" s="533"/>
      <c r="AU195" s="536"/>
    </row>
    <row r="196" spans="1:47" s="537" customFormat="1" ht="14.45" customHeight="1" x14ac:dyDescent="0.25">
      <c r="A196" s="355">
        <f t="shared" si="2"/>
        <v>21.633333333333333</v>
      </c>
      <c r="B196" s="532">
        <v>41922</v>
      </c>
      <c r="C196" s="533" t="s">
        <v>453</v>
      </c>
      <c r="D196" s="533"/>
      <c r="E196" s="533" t="s">
        <v>380</v>
      </c>
      <c r="F196" s="533" t="s">
        <v>185</v>
      </c>
      <c r="G196" s="533" t="s">
        <v>190</v>
      </c>
      <c r="H196" s="349"/>
      <c r="I196" s="349"/>
      <c r="J196" s="349"/>
      <c r="K196" s="349"/>
      <c r="L196" s="350">
        <v>30</v>
      </c>
      <c r="M196" s="350"/>
      <c r="N196" s="350"/>
      <c r="O196" s="350"/>
      <c r="P196" s="352"/>
      <c r="Q196" s="352"/>
      <c r="R196" s="352"/>
      <c r="S196" s="352"/>
      <c r="T196" s="352"/>
      <c r="U196" s="352"/>
      <c r="V196" s="497"/>
      <c r="W196" s="352"/>
      <c r="X196" s="352"/>
      <c r="Y196" s="352">
        <f>IF(NFI_Expiration=1,IF($A196&lt;VLOOKUP(H$5,NFI,5,0),1,0)*Table_NFI[[#This Row],[Hygiene Kit]],Table_NFI[Hygiene Kit])</f>
        <v>0</v>
      </c>
      <c r="Z196" s="352">
        <f>IF(NFI_Expiration=1,IF($A196&lt;VLOOKUP(I$5,NFI,5,0),1,0)*Table_NFI[[#This Row],[NFI Core Kit]],Table_NFI[NFI Core Kit])</f>
        <v>0</v>
      </c>
      <c r="AA196" s="352">
        <f>IF(NFI_Expiration=1,IF($A196&lt;VLOOKUP(J$5,NFI,5,0),1,0)*Table_NFI[[#This Row],[Sanitary Kit]],Table_NFI[Sanitary Kit])</f>
        <v>0</v>
      </c>
      <c r="AB196" s="352">
        <f>IF(NFI_Expiration=1,IF($A196&lt;VLOOKUP(K$5,NFI,5,0),1,0)*Table_NFI[[#This Row],[Mosquito net]],Table_NFI[Mosquito net])</f>
        <v>0</v>
      </c>
      <c r="AC196" s="352">
        <f>IF(NFI_Expiration=1,IF($A196&lt;VLOOKUP(L$5,NFI,5,0),1,0)*Table_NFI[[#This Row],[Tarpaulin]],Table_NFI[[#This Row],[Tarpaulin]])</f>
        <v>0</v>
      </c>
      <c r="AD196" s="352">
        <f>IF(NFI_Expiration=1,IF($A196&lt;VLOOKUP(M$5,NFI,5,0),1,0)*Table_NFI[[#This Row],[Blanket]],Table_NFI[[#This Row],[Blanket]])</f>
        <v>0</v>
      </c>
      <c r="AE196" s="352">
        <f>IF(NFI_Expiration=1,IF($A196&lt;VLOOKUP(N$5,NFI,5,0),1,0)*Table_NFI[[#This Row],[Kitchen Set]],Table_NFI[Kitchen Set])</f>
        <v>0</v>
      </c>
      <c r="AF196" s="352">
        <f>IF(NFI_Expiration=1,IF($A196&lt;VLOOKUP(O$5,NFI,5,0),1,0)*Table_NFI[[#This Row],[Clothes Kit]],Table_NFI[Clothes Kit])</f>
        <v>0</v>
      </c>
      <c r="AG196" s="352">
        <f>IF(NFI_Expiration=1,IF($A196&lt;VLOOKUP(P$5,NFI,5,0),1,0)*Table_NFI[[#This Row],[Plastic Bucket]],Table_NFI[Plastic Bucket])</f>
        <v>0</v>
      </c>
      <c r="AH196" s="352">
        <f>IF(NFI_Expiration=1,IF($A196&lt;VLOOKUP(Q$5,NFI,5,0),1,0)*Table_NFI[[#This Row],[Plastic Mat]],Table_NFI[Plastic Mat])*IF(Table_NFI[[#This Row],[Distribution Date]]&gt;"2014-04-01",1,2.5)</f>
        <v>0</v>
      </c>
      <c r="AI196" s="352">
        <f>IF(NFI_Expiration=1,IF($A196&lt;VLOOKUP(R$5,NFI,5,0),1,0)*Table_NFI[[#This Row],[Winter Clothes Adult]],Table_NFI[Winter Clothes Adult])</f>
        <v>0</v>
      </c>
      <c r="AJ196" s="352">
        <f>IF(NFI_Expiration=1,IF($A196&lt;VLOOKUP(S$5,NFI,5,0),1,0)*Table_NFI[[#This Row],[Winter Clothes Children]],Table_NFI[Winter Clothes Children])</f>
        <v>0</v>
      </c>
      <c r="AK196" s="352">
        <f>IF(NFI_Expiration=1,IF($A196&lt;VLOOKUP(T$5,NFI,5,0),1,0)*Table_NFI[[#This Row],[Winter Items Other]],Table_NFI[Winter Items Other])</f>
        <v>0</v>
      </c>
      <c r="AL196" s="352">
        <f>IF(NFI_Expiration=1,IF($A196&lt;VLOOKUP(M$5,NFI,5,0),1,0)*Table_NFI[[#This Row],[Winter Blanket]],Table_NFI[[#This Row],[Winter Blanket]])</f>
        <v>0</v>
      </c>
      <c r="AM196" s="352">
        <f>IF(Table_NFI[[#This Row],[Winter Clothes Adult]]+Table_NFI[[#This Row],[Winter Clothes Children]]+Table_NFI[[#This Row],[Winter Items Other]]+Table_NFI[[#This Row],[Winter Blanket]]&gt;0,1,0)</f>
        <v>0</v>
      </c>
      <c r="AN196" s="392">
        <f>IF(NFI_Expiration=1,IF($A196&lt;VLOOKUP(V$5,NFI,5,0),1,0)*Table_NFI[[#This Row],[Jerry Can]],Table_NFI[Jerry Can])</f>
        <v>0</v>
      </c>
      <c r="AO196" s="540" t="str">
        <f>IFERROR(VLOOKUP(Table_NFI[[#This Row],[Camp Name]],CL,2,0),"")</f>
        <v>MMR001CMP070</v>
      </c>
      <c r="AP196" s="535">
        <f ca="1">IF(Table_NFI[[#This Row],[Pcode]]="","",IF(OFFSET(CampList[Opening Date],MATCH(Table_NFI[[#This Row],[Pcode]],CampList[CP_Pcode],0)-1,0,1,1)&gt;=NFI_Monitor_Date,1,0))</f>
        <v>0</v>
      </c>
      <c r="AQ196" s="540" t="str">
        <f>IFERROR(VLOOKUP(Table_NFI[[#This Row],[Camp Name]],CL,3,0),"")</f>
        <v>Open</v>
      </c>
      <c r="AR196" s="352" t="str">
        <f ca="1">IF(Table_NFI[[#This Row],[Pcode]]="","",OFFSET(CampList[Priority],MATCH(Table_NFI[[#This Row],[Pcode]],CampList[CP_Pcode],0)-1,0,1,1))</f>
        <v>P3</v>
      </c>
      <c r="AS196" s="351">
        <f>IFERROR(Table_NFI[[#This Row],[Kitchen Set]]/VLOOKUP(Table_NFI[[#This Row],[Camp Name]],CL,4,0),"")</f>
        <v>0</v>
      </c>
      <c r="AT196" s="533"/>
      <c r="AU196" s="536"/>
    </row>
    <row r="197" spans="1:47" s="537" customFormat="1" ht="14.45" hidden="1" customHeight="1" x14ac:dyDescent="0.25">
      <c r="A197" s="355">
        <f t="shared" si="2"/>
        <v>22.933333333333334</v>
      </c>
      <c r="B197" s="532">
        <v>41883</v>
      </c>
      <c r="C197" s="538" t="s">
        <v>1038</v>
      </c>
      <c r="D197" s="538"/>
      <c r="E197" s="538" t="s">
        <v>380</v>
      </c>
      <c r="F197" s="538" t="s">
        <v>27</v>
      </c>
      <c r="G197" s="538" t="s">
        <v>364</v>
      </c>
      <c r="H197" s="350"/>
      <c r="I197" s="350"/>
      <c r="J197" s="350"/>
      <c r="K197" s="350"/>
      <c r="L197" s="350"/>
      <c r="M197" s="350"/>
      <c r="N197" s="350"/>
      <c r="O197" s="350"/>
      <c r="P197" s="352"/>
      <c r="Q197" s="352"/>
      <c r="R197" s="352"/>
      <c r="S197" s="352">
        <v>347</v>
      </c>
      <c r="T197" s="352"/>
      <c r="U197" s="352"/>
      <c r="V197" s="497"/>
      <c r="W197" s="352"/>
      <c r="X197" s="352"/>
      <c r="Y197" s="352">
        <f>IF(NFI_Expiration=1,IF($A197&lt;VLOOKUP(H$5,NFI,5,0),1,0)*Table_NFI[[#This Row],[Hygiene Kit]],Table_NFI[Hygiene Kit])</f>
        <v>0</v>
      </c>
      <c r="Z197" s="352">
        <f>IF(NFI_Expiration=1,IF($A197&lt;VLOOKUP(I$5,NFI,5,0),1,0)*Table_NFI[[#This Row],[NFI Core Kit]],Table_NFI[NFI Core Kit])</f>
        <v>0</v>
      </c>
      <c r="AA197" s="352">
        <f>IF(NFI_Expiration=1,IF($A197&lt;VLOOKUP(J$5,NFI,5,0),1,0)*Table_NFI[[#This Row],[Sanitary Kit]],Table_NFI[Sanitary Kit])</f>
        <v>0</v>
      </c>
      <c r="AB197" s="352">
        <f>IF(NFI_Expiration=1,IF($A197&lt;VLOOKUP(K$5,NFI,5,0),1,0)*Table_NFI[[#This Row],[Mosquito net]],Table_NFI[Mosquito net])</f>
        <v>0</v>
      </c>
      <c r="AC197" s="352">
        <f>IF(NFI_Expiration=1,IF($A197&lt;VLOOKUP(L$5,NFI,5,0),1,0)*Table_NFI[[#This Row],[Tarpaulin]],Table_NFI[[#This Row],[Tarpaulin]])</f>
        <v>0</v>
      </c>
      <c r="AD197" s="352">
        <f>IF(NFI_Expiration=1,IF($A197&lt;VLOOKUP(M$5,NFI,5,0),1,0)*Table_NFI[[#This Row],[Blanket]],Table_NFI[[#This Row],[Blanket]])</f>
        <v>0</v>
      </c>
      <c r="AE197" s="352">
        <f>IF(NFI_Expiration=1,IF($A197&lt;VLOOKUP(N$5,NFI,5,0),1,0)*Table_NFI[[#This Row],[Kitchen Set]],Table_NFI[Kitchen Set])</f>
        <v>0</v>
      </c>
      <c r="AF197" s="352">
        <f>IF(NFI_Expiration=1,IF($A197&lt;VLOOKUP(O$5,NFI,5,0),1,0)*Table_NFI[[#This Row],[Clothes Kit]],Table_NFI[Clothes Kit])</f>
        <v>0</v>
      </c>
      <c r="AG197" s="352">
        <f>IF(NFI_Expiration=1,IF($A197&lt;VLOOKUP(P$5,NFI,5,0),1,0)*Table_NFI[[#This Row],[Plastic Bucket]],Table_NFI[Plastic Bucket])</f>
        <v>0</v>
      </c>
      <c r="AH197" s="352">
        <f>IF(NFI_Expiration=1,IF($A197&lt;VLOOKUP(Q$5,NFI,5,0),1,0)*Table_NFI[[#This Row],[Plastic Mat]],Table_NFI[Plastic Mat])*IF(Table_NFI[[#This Row],[Distribution Date]]&gt;"2014-04-01",1,2.5)</f>
        <v>0</v>
      </c>
      <c r="AI197" s="352">
        <f>IF(NFI_Expiration=1,IF($A197&lt;VLOOKUP(R$5,NFI,5,0),1,0)*Table_NFI[[#This Row],[Winter Clothes Adult]],Table_NFI[Winter Clothes Adult])</f>
        <v>0</v>
      </c>
      <c r="AJ197" s="352">
        <f>IF(NFI_Expiration=1,IF($A197&lt;VLOOKUP(S$5,NFI,5,0),1,0)*Table_NFI[[#This Row],[Winter Clothes Children]],Table_NFI[Winter Clothes Children])</f>
        <v>0</v>
      </c>
      <c r="AK197" s="352">
        <f>IF(NFI_Expiration=1,IF($A197&lt;VLOOKUP(T$5,NFI,5,0),1,0)*Table_NFI[[#This Row],[Winter Items Other]],Table_NFI[Winter Items Other])</f>
        <v>0</v>
      </c>
      <c r="AL197" s="352">
        <f>IF(NFI_Expiration=1,IF($A197&lt;VLOOKUP(M$5,NFI,5,0),1,0)*Table_NFI[[#This Row],[Winter Blanket]],Table_NFI[[#This Row],[Winter Blanket]])</f>
        <v>0</v>
      </c>
      <c r="AM197" s="352">
        <f>IF(Table_NFI[[#This Row],[Winter Clothes Adult]]+Table_NFI[[#This Row],[Winter Clothes Children]]+Table_NFI[[#This Row],[Winter Items Other]]+Table_NFI[[#This Row],[Winter Blanket]]&gt;0,1,0)</f>
        <v>1</v>
      </c>
      <c r="AN197" s="392">
        <f>IF(NFI_Expiration=1,IF($A197&lt;VLOOKUP(V$5,NFI,5,0),1,0)*Table_NFI[[#This Row],[Jerry Can]],Table_NFI[Jerry Can])</f>
        <v>0</v>
      </c>
      <c r="AO197" s="540" t="str">
        <f>IFERROR(VLOOKUP(Table_NFI[[#This Row],[Camp Name]],CL,2,0),"")</f>
        <v>MMR001CMP043</v>
      </c>
      <c r="AP197" s="535">
        <f ca="1">IF(Table_NFI[[#This Row],[Pcode]]="","",IF(OFFSET(CampList[Opening Date],MATCH(Table_NFI[[#This Row],[Pcode]],CampList[CP_Pcode],0)-1,0,1,1)&gt;=NFI_Monitor_Date,1,0))</f>
        <v>0</v>
      </c>
      <c r="AQ197" s="540" t="str">
        <f>IFERROR(VLOOKUP(Table_NFI[[#This Row],[Camp Name]],CL,3,0),"")</f>
        <v>Open</v>
      </c>
      <c r="AR197" s="352" t="str">
        <f ca="1">IF(Table_NFI[[#This Row],[Pcode]]="","",OFFSET(CampList[Priority],MATCH(Table_NFI[[#This Row],[Pcode]],CampList[CP_Pcode],0)-1,0,1,1))</f>
        <v>P1</v>
      </c>
      <c r="AS197" s="351">
        <f>IFERROR(Table_NFI[[#This Row],[Kitchen Set]]/VLOOKUP(Table_NFI[[#This Row],[Camp Name]],CL,4,0),"")</f>
        <v>0</v>
      </c>
      <c r="AT197" s="538"/>
      <c r="AU197" s="541"/>
    </row>
    <row r="198" spans="1:47" s="537" customFormat="1" ht="14.45" hidden="1" customHeight="1" x14ac:dyDescent="0.25">
      <c r="A198" s="355">
        <f t="shared" ref="A198:A261" si="3">IF(ISBLANK(B198),"",(Report_Date-B198)/30)</f>
        <v>30.166666666666668</v>
      </c>
      <c r="B198" s="532">
        <v>41666</v>
      </c>
      <c r="C198" s="533" t="s">
        <v>1038</v>
      </c>
      <c r="D198" s="533" t="s">
        <v>461</v>
      </c>
      <c r="E198" s="533" t="s">
        <v>380</v>
      </c>
      <c r="F198" s="533" t="s">
        <v>27</v>
      </c>
      <c r="G198" s="533" t="s">
        <v>364</v>
      </c>
      <c r="H198" s="349"/>
      <c r="I198" s="349"/>
      <c r="J198" s="349"/>
      <c r="K198" s="349"/>
      <c r="L198" s="350"/>
      <c r="M198" s="350">
        <v>155</v>
      </c>
      <c r="N198" s="350">
        <v>155</v>
      </c>
      <c r="O198" s="350">
        <v>155</v>
      </c>
      <c r="P198" s="352"/>
      <c r="Q198" s="352">
        <v>155</v>
      </c>
      <c r="R198" s="352"/>
      <c r="S198" s="352"/>
      <c r="T198" s="352"/>
      <c r="U198" s="352"/>
      <c r="V198" s="497"/>
      <c r="W198" s="352"/>
      <c r="X198" s="352"/>
      <c r="Y198" s="352">
        <f>IF(NFI_Expiration=1,IF($A198&lt;VLOOKUP(H$5,NFI,5,0),1,0)*Table_NFI[[#This Row],[Hygiene Kit]],Table_NFI[Hygiene Kit])</f>
        <v>0</v>
      </c>
      <c r="Z198" s="352">
        <f>IF(NFI_Expiration=1,IF($A198&lt;VLOOKUP(I$5,NFI,5,0),1,0)*Table_NFI[[#This Row],[NFI Core Kit]],Table_NFI[NFI Core Kit])</f>
        <v>0</v>
      </c>
      <c r="AA198" s="352">
        <f>IF(NFI_Expiration=1,IF($A198&lt;VLOOKUP(J$5,NFI,5,0),1,0)*Table_NFI[[#This Row],[Sanitary Kit]],Table_NFI[Sanitary Kit])</f>
        <v>0</v>
      </c>
      <c r="AB198" s="352">
        <f>IF(NFI_Expiration=1,IF($A198&lt;VLOOKUP(K$5,NFI,5,0),1,0)*Table_NFI[[#This Row],[Mosquito net]],Table_NFI[Mosquito net])</f>
        <v>0</v>
      </c>
      <c r="AC198" s="352">
        <f>IF(NFI_Expiration=1,IF($A198&lt;VLOOKUP(L$5,NFI,5,0),1,0)*Table_NFI[[#This Row],[Tarpaulin]],Table_NFI[[#This Row],[Tarpaulin]])</f>
        <v>0</v>
      </c>
      <c r="AD198" s="352">
        <f>IF(NFI_Expiration=1,IF($A198&lt;VLOOKUP(M$5,NFI,5,0),1,0)*Table_NFI[[#This Row],[Blanket]],Table_NFI[[#This Row],[Blanket]])</f>
        <v>0</v>
      </c>
      <c r="AE198" s="352">
        <f>IF(NFI_Expiration=1,IF($A198&lt;VLOOKUP(N$5,NFI,5,0),1,0)*Table_NFI[[#This Row],[Kitchen Set]],Table_NFI[Kitchen Set])</f>
        <v>0</v>
      </c>
      <c r="AF198" s="352">
        <f>IF(NFI_Expiration=1,IF($A198&lt;VLOOKUP(O$5,NFI,5,0),1,0)*Table_NFI[[#This Row],[Clothes Kit]],Table_NFI[Clothes Kit])</f>
        <v>0</v>
      </c>
      <c r="AG198" s="352">
        <f>IF(NFI_Expiration=1,IF($A198&lt;VLOOKUP(P$5,NFI,5,0),1,0)*Table_NFI[[#This Row],[Plastic Bucket]],Table_NFI[Plastic Bucket])</f>
        <v>0</v>
      </c>
      <c r="AH198" s="352">
        <f>IF(NFI_Expiration=1,IF($A198&lt;VLOOKUP(Q$5,NFI,5,0),1,0)*Table_NFI[[#This Row],[Plastic Mat]],Table_NFI[Plastic Mat])*IF(Table_NFI[[#This Row],[Distribution Date]]&gt;"2014-04-01",1,2.5)</f>
        <v>0</v>
      </c>
      <c r="AI198" s="352">
        <f>IF(NFI_Expiration=1,IF($A198&lt;VLOOKUP(R$5,NFI,5,0),1,0)*Table_NFI[[#This Row],[Winter Clothes Adult]],Table_NFI[Winter Clothes Adult])</f>
        <v>0</v>
      </c>
      <c r="AJ198" s="352">
        <f>IF(NFI_Expiration=1,IF($A198&lt;VLOOKUP(S$5,NFI,5,0),1,0)*Table_NFI[[#This Row],[Winter Clothes Children]],Table_NFI[Winter Clothes Children])</f>
        <v>0</v>
      </c>
      <c r="AK198" s="352">
        <f>IF(NFI_Expiration=1,IF($A198&lt;VLOOKUP(T$5,NFI,5,0),1,0)*Table_NFI[[#This Row],[Winter Items Other]],Table_NFI[Winter Items Other])</f>
        <v>0</v>
      </c>
      <c r="AL198" s="352">
        <f>IF(NFI_Expiration=1,IF($A198&lt;VLOOKUP(M$5,NFI,5,0),1,0)*Table_NFI[[#This Row],[Winter Blanket]],Table_NFI[[#This Row],[Winter Blanket]])</f>
        <v>0</v>
      </c>
      <c r="AM198" s="352">
        <f>IF(Table_NFI[[#This Row],[Winter Clothes Adult]]+Table_NFI[[#This Row],[Winter Clothes Children]]+Table_NFI[[#This Row],[Winter Items Other]]+Table_NFI[[#This Row],[Winter Blanket]]&gt;0,1,0)</f>
        <v>0</v>
      </c>
      <c r="AN198" s="392">
        <f>IF(NFI_Expiration=1,IF($A198&lt;VLOOKUP(V$5,NFI,5,0),1,0)*Table_NFI[[#This Row],[Jerry Can]],Table_NFI[Jerry Can])</f>
        <v>0</v>
      </c>
      <c r="AO198" s="540" t="str">
        <f>IFERROR(VLOOKUP(Table_NFI[[#This Row],[Camp Name]],CL,2,0),"")</f>
        <v>MMR001CMP043</v>
      </c>
      <c r="AP198" s="535">
        <f ca="1">IF(Table_NFI[[#This Row],[Pcode]]="","",IF(OFFSET(CampList[Opening Date],MATCH(Table_NFI[[#This Row],[Pcode]],CampList[CP_Pcode],0)-1,0,1,1)&gt;=NFI_Monitor_Date,1,0))</f>
        <v>0</v>
      </c>
      <c r="AQ198" s="540" t="str">
        <f>IFERROR(VLOOKUP(Table_NFI[[#This Row],[Camp Name]],CL,3,0),"")</f>
        <v>Open</v>
      </c>
      <c r="AR198" s="352" t="str">
        <f ca="1">IF(Table_NFI[[#This Row],[Pcode]]="","",OFFSET(CampList[Priority],MATCH(Table_NFI[[#This Row],[Pcode]],CampList[CP_Pcode],0)-1,0,1,1))</f>
        <v>P1</v>
      </c>
      <c r="AS198" s="351">
        <f>IFERROR(Table_NFI[[#This Row],[Kitchen Set]]/VLOOKUP(Table_NFI[[#This Row],[Camp Name]],CL,4,0),"")</f>
        <v>1.0197368421052631</v>
      </c>
      <c r="AT198" s="533" t="s">
        <v>1094</v>
      </c>
      <c r="AU198" s="536"/>
    </row>
    <row r="199" spans="1:47" s="537" customFormat="1" ht="14.45" customHeight="1" x14ac:dyDescent="0.25">
      <c r="A199" s="355">
        <f t="shared" si="3"/>
        <v>21.633333333333333</v>
      </c>
      <c r="B199" s="532">
        <v>41922</v>
      </c>
      <c r="C199" s="533" t="s">
        <v>453</v>
      </c>
      <c r="D199" s="533"/>
      <c r="E199" s="533" t="s">
        <v>380</v>
      </c>
      <c r="F199" s="533" t="s">
        <v>185</v>
      </c>
      <c r="G199" s="533" t="s">
        <v>229</v>
      </c>
      <c r="H199" s="349"/>
      <c r="I199" s="349"/>
      <c r="J199" s="349"/>
      <c r="K199" s="349"/>
      <c r="L199" s="350">
        <v>60</v>
      </c>
      <c r="M199" s="350"/>
      <c r="N199" s="350"/>
      <c r="O199" s="350"/>
      <c r="P199" s="352"/>
      <c r="Q199" s="352"/>
      <c r="R199" s="352"/>
      <c r="S199" s="352"/>
      <c r="T199" s="352"/>
      <c r="U199" s="352"/>
      <c r="V199" s="497"/>
      <c r="W199" s="352"/>
      <c r="X199" s="352"/>
      <c r="Y199" s="352">
        <f>IF(NFI_Expiration=1,IF($A199&lt;VLOOKUP(H$5,NFI,5,0),1,0)*Table_NFI[[#This Row],[Hygiene Kit]],Table_NFI[Hygiene Kit])</f>
        <v>0</v>
      </c>
      <c r="Z199" s="352">
        <f>IF(NFI_Expiration=1,IF($A199&lt;VLOOKUP(I$5,NFI,5,0),1,0)*Table_NFI[[#This Row],[NFI Core Kit]],Table_NFI[NFI Core Kit])</f>
        <v>0</v>
      </c>
      <c r="AA199" s="352">
        <f>IF(NFI_Expiration=1,IF($A199&lt;VLOOKUP(J$5,NFI,5,0),1,0)*Table_NFI[[#This Row],[Sanitary Kit]],Table_NFI[Sanitary Kit])</f>
        <v>0</v>
      </c>
      <c r="AB199" s="352">
        <f>IF(NFI_Expiration=1,IF($A199&lt;VLOOKUP(K$5,NFI,5,0),1,0)*Table_NFI[[#This Row],[Mosquito net]],Table_NFI[Mosquito net])</f>
        <v>0</v>
      </c>
      <c r="AC199" s="352">
        <f>IF(NFI_Expiration=1,IF($A199&lt;VLOOKUP(L$5,NFI,5,0),1,0)*Table_NFI[[#This Row],[Tarpaulin]],Table_NFI[[#This Row],[Tarpaulin]])</f>
        <v>0</v>
      </c>
      <c r="AD199" s="352">
        <f>IF(NFI_Expiration=1,IF($A199&lt;VLOOKUP(M$5,NFI,5,0),1,0)*Table_NFI[[#This Row],[Blanket]],Table_NFI[[#This Row],[Blanket]])</f>
        <v>0</v>
      </c>
      <c r="AE199" s="352">
        <f>IF(NFI_Expiration=1,IF($A199&lt;VLOOKUP(N$5,NFI,5,0),1,0)*Table_NFI[[#This Row],[Kitchen Set]],Table_NFI[Kitchen Set])</f>
        <v>0</v>
      </c>
      <c r="AF199" s="352">
        <f>IF(NFI_Expiration=1,IF($A199&lt;VLOOKUP(O$5,NFI,5,0),1,0)*Table_NFI[[#This Row],[Clothes Kit]],Table_NFI[Clothes Kit])</f>
        <v>0</v>
      </c>
      <c r="AG199" s="352">
        <f>IF(NFI_Expiration=1,IF($A199&lt;VLOOKUP(P$5,NFI,5,0),1,0)*Table_NFI[[#This Row],[Plastic Bucket]],Table_NFI[Plastic Bucket])</f>
        <v>0</v>
      </c>
      <c r="AH199" s="352">
        <f>IF(NFI_Expiration=1,IF($A199&lt;VLOOKUP(Q$5,NFI,5,0),1,0)*Table_NFI[[#This Row],[Plastic Mat]],Table_NFI[Plastic Mat])*IF(Table_NFI[[#This Row],[Distribution Date]]&gt;"2014-04-01",1,2.5)</f>
        <v>0</v>
      </c>
      <c r="AI199" s="352">
        <f>IF(NFI_Expiration=1,IF($A199&lt;VLOOKUP(R$5,NFI,5,0),1,0)*Table_NFI[[#This Row],[Winter Clothes Adult]],Table_NFI[Winter Clothes Adult])</f>
        <v>0</v>
      </c>
      <c r="AJ199" s="352">
        <f>IF(NFI_Expiration=1,IF($A199&lt;VLOOKUP(S$5,NFI,5,0),1,0)*Table_NFI[[#This Row],[Winter Clothes Children]],Table_NFI[Winter Clothes Children])</f>
        <v>0</v>
      </c>
      <c r="AK199" s="352">
        <f>IF(NFI_Expiration=1,IF($A199&lt;VLOOKUP(T$5,NFI,5,0),1,0)*Table_NFI[[#This Row],[Winter Items Other]],Table_NFI[Winter Items Other])</f>
        <v>0</v>
      </c>
      <c r="AL199" s="352">
        <f>IF(NFI_Expiration=1,IF($A199&lt;VLOOKUP(M$5,NFI,5,0),1,0)*Table_NFI[[#This Row],[Winter Blanket]],Table_NFI[[#This Row],[Winter Blanket]])</f>
        <v>0</v>
      </c>
      <c r="AM199" s="352">
        <f>IF(Table_NFI[[#This Row],[Winter Clothes Adult]]+Table_NFI[[#This Row],[Winter Clothes Children]]+Table_NFI[[#This Row],[Winter Items Other]]+Table_NFI[[#This Row],[Winter Blanket]]&gt;0,1,0)</f>
        <v>0</v>
      </c>
      <c r="AN199" s="392">
        <f>IF(NFI_Expiration=1,IF($A199&lt;VLOOKUP(V$5,NFI,5,0),1,0)*Table_NFI[[#This Row],[Jerry Can]],Table_NFI[Jerry Can])</f>
        <v>0</v>
      </c>
      <c r="AO199" s="540" t="str">
        <f>IFERROR(VLOOKUP(Table_NFI[[#This Row],[Camp Name]],CL,2,0),"")</f>
        <v>MMR001CMP072</v>
      </c>
      <c r="AP199" s="535">
        <f ca="1">IF(Table_NFI[[#This Row],[Pcode]]="","",IF(OFFSET(CampList[Opening Date],MATCH(Table_NFI[[#This Row],[Pcode]],CampList[CP_Pcode],0)-1,0,1,1)&gt;=NFI_Monitor_Date,1,0))</f>
        <v>0</v>
      </c>
      <c r="AQ199" s="540" t="str">
        <f>IFERROR(VLOOKUP(Table_NFI[[#This Row],[Camp Name]],CL,3,0),"")</f>
        <v>Open</v>
      </c>
      <c r="AR199" s="352" t="str">
        <f ca="1">IF(Table_NFI[[#This Row],[Pcode]]="","",OFFSET(CampList[Priority],MATCH(Table_NFI[[#This Row],[Pcode]],CampList[CP_Pcode],0)-1,0,1,1))</f>
        <v>P3</v>
      </c>
      <c r="AS199" s="351">
        <f>IFERROR(Table_NFI[[#This Row],[Kitchen Set]]/VLOOKUP(Table_NFI[[#This Row],[Camp Name]],CL,4,0),"")</f>
        <v>0</v>
      </c>
      <c r="AT199" s="533"/>
      <c r="AU199" s="536"/>
    </row>
    <row r="200" spans="1:47" s="537" customFormat="1" ht="14.45" customHeight="1" x14ac:dyDescent="0.25">
      <c r="A200" s="355">
        <f t="shared" si="3"/>
        <v>21.933333333333334</v>
      </c>
      <c r="B200" s="532">
        <v>41913</v>
      </c>
      <c r="C200" s="533" t="s">
        <v>453</v>
      </c>
      <c r="D200" s="538" t="s">
        <v>507</v>
      </c>
      <c r="E200" s="538" t="s">
        <v>380</v>
      </c>
      <c r="F200" s="538" t="s">
        <v>528</v>
      </c>
      <c r="G200" s="538" t="s">
        <v>120</v>
      </c>
      <c r="H200" s="350"/>
      <c r="I200" s="350"/>
      <c r="J200" s="350"/>
      <c r="K200" s="350">
        <v>156</v>
      </c>
      <c r="L200" s="350"/>
      <c r="M200" s="350"/>
      <c r="N200" s="350"/>
      <c r="O200" s="350"/>
      <c r="P200" s="352"/>
      <c r="Q200" s="352"/>
      <c r="R200" s="352"/>
      <c r="S200" s="352"/>
      <c r="T200" s="352"/>
      <c r="U200" s="352"/>
      <c r="V200" s="497"/>
      <c r="W200" s="352"/>
      <c r="X200" s="352"/>
      <c r="Y200" s="352">
        <f>IF(NFI_Expiration=1,IF($A200&lt;VLOOKUP(H$5,NFI,5,0),1,0)*Table_NFI[[#This Row],[Hygiene Kit]],Table_NFI[Hygiene Kit])</f>
        <v>0</v>
      </c>
      <c r="Z200" s="352">
        <f>IF(NFI_Expiration=1,IF($A200&lt;VLOOKUP(I$5,NFI,5,0),1,0)*Table_NFI[[#This Row],[NFI Core Kit]],Table_NFI[NFI Core Kit])</f>
        <v>0</v>
      </c>
      <c r="AA200" s="352">
        <f>IF(NFI_Expiration=1,IF($A200&lt;VLOOKUP(J$5,NFI,5,0),1,0)*Table_NFI[[#This Row],[Sanitary Kit]],Table_NFI[Sanitary Kit])</f>
        <v>0</v>
      </c>
      <c r="AB200" s="352">
        <f>IF(NFI_Expiration=1,IF($A200&lt;VLOOKUP(K$5,NFI,5,0),1,0)*Table_NFI[[#This Row],[Mosquito net]],Table_NFI[Mosquito net])</f>
        <v>0</v>
      </c>
      <c r="AC200" s="352">
        <f>IF(NFI_Expiration=1,IF($A200&lt;VLOOKUP(L$5,NFI,5,0),1,0)*Table_NFI[[#This Row],[Tarpaulin]],Table_NFI[[#This Row],[Tarpaulin]])</f>
        <v>0</v>
      </c>
      <c r="AD200" s="352">
        <f>IF(NFI_Expiration=1,IF($A200&lt;VLOOKUP(M$5,NFI,5,0),1,0)*Table_NFI[[#This Row],[Blanket]],Table_NFI[[#This Row],[Blanket]])</f>
        <v>0</v>
      </c>
      <c r="AE200" s="352">
        <f>IF(NFI_Expiration=1,IF($A200&lt;VLOOKUP(N$5,NFI,5,0),1,0)*Table_NFI[[#This Row],[Kitchen Set]],Table_NFI[Kitchen Set])</f>
        <v>0</v>
      </c>
      <c r="AF200" s="352">
        <f>IF(NFI_Expiration=1,IF($A200&lt;VLOOKUP(O$5,NFI,5,0),1,0)*Table_NFI[[#This Row],[Clothes Kit]],Table_NFI[Clothes Kit])</f>
        <v>0</v>
      </c>
      <c r="AG200" s="352">
        <f>IF(NFI_Expiration=1,IF($A200&lt;VLOOKUP(P$5,NFI,5,0),1,0)*Table_NFI[[#This Row],[Plastic Bucket]],Table_NFI[Plastic Bucket])</f>
        <v>0</v>
      </c>
      <c r="AH200" s="352">
        <f>IF(NFI_Expiration=1,IF($A200&lt;VLOOKUP(Q$5,NFI,5,0),1,0)*Table_NFI[[#This Row],[Plastic Mat]],Table_NFI[Plastic Mat])*IF(Table_NFI[[#This Row],[Distribution Date]]&gt;"2014-04-01",1,2.5)</f>
        <v>0</v>
      </c>
      <c r="AI200" s="352">
        <f>IF(NFI_Expiration=1,IF($A200&lt;VLOOKUP(R$5,NFI,5,0),1,0)*Table_NFI[[#This Row],[Winter Clothes Adult]],Table_NFI[Winter Clothes Adult])</f>
        <v>0</v>
      </c>
      <c r="AJ200" s="352">
        <f>IF(NFI_Expiration=1,IF($A200&lt;VLOOKUP(S$5,NFI,5,0),1,0)*Table_NFI[[#This Row],[Winter Clothes Children]],Table_NFI[Winter Clothes Children])</f>
        <v>0</v>
      </c>
      <c r="AK200" s="352">
        <f>IF(NFI_Expiration=1,IF($A200&lt;VLOOKUP(T$5,NFI,5,0),1,0)*Table_NFI[[#This Row],[Winter Items Other]],Table_NFI[Winter Items Other])</f>
        <v>0</v>
      </c>
      <c r="AL200" s="352">
        <f>IF(NFI_Expiration=1,IF($A200&lt;VLOOKUP(M$5,NFI,5,0),1,0)*Table_NFI[[#This Row],[Winter Blanket]],Table_NFI[[#This Row],[Winter Blanket]])</f>
        <v>0</v>
      </c>
      <c r="AM200" s="352">
        <f>IF(Table_NFI[[#This Row],[Winter Clothes Adult]]+Table_NFI[[#This Row],[Winter Clothes Children]]+Table_NFI[[#This Row],[Winter Items Other]]+Table_NFI[[#This Row],[Winter Blanket]]&gt;0,1,0)</f>
        <v>0</v>
      </c>
      <c r="AN200" s="392">
        <f>IF(NFI_Expiration=1,IF($A200&lt;VLOOKUP(V$5,NFI,5,0),1,0)*Table_NFI[[#This Row],[Jerry Can]],Table_NFI[Jerry Can])</f>
        <v>0</v>
      </c>
      <c r="AO200" s="540" t="str">
        <f>IFERROR(VLOOKUP(Table_NFI[[#This Row],[Camp Name]],CL,2,0),"")</f>
        <v>MMR001CMP168</v>
      </c>
      <c r="AP200" s="535">
        <f ca="1">IF(Table_NFI[[#This Row],[Pcode]]="","",IF(OFFSET(CampList[Opening Date],MATCH(Table_NFI[[#This Row],[Pcode]],CampList[CP_Pcode],0)-1,0,1,1)&gt;=NFI_Monitor_Date,1,0))</f>
        <v>0</v>
      </c>
      <c r="AQ200" s="540" t="str">
        <f>IFERROR(VLOOKUP(Table_NFI[[#This Row],[Camp Name]],CL,3,0),"")</f>
        <v>Open</v>
      </c>
      <c r="AR200" s="352" t="str">
        <f ca="1">IF(Table_NFI[[#This Row],[Pcode]]="","",OFFSET(CampList[Priority],MATCH(Table_NFI[[#This Row],[Pcode]],CampList[CP_Pcode],0)-1,0,1,1))</f>
        <v>P4</v>
      </c>
      <c r="AS200" s="351">
        <f>IFERROR(Table_NFI[[#This Row],[Kitchen Set]]/VLOOKUP(Table_NFI[[#This Row],[Camp Name]],CL,4,0),"")</f>
        <v>0</v>
      </c>
      <c r="AT200" s="538"/>
      <c r="AU200" s="541"/>
    </row>
    <row r="201" spans="1:47" s="537" customFormat="1" ht="14.45" customHeight="1" x14ac:dyDescent="0.25">
      <c r="A201" s="355">
        <f t="shared" si="3"/>
        <v>21.933333333333334</v>
      </c>
      <c r="B201" s="532">
        <v>41913</v>
      </c>
      <c r="C201" s="533" t="s">
        <v>453</v>
      </c>
      <c r="D201" s="538" t="s">
        <v>506</v>
      </c>
      <c r="E201" s="538" t="s">
        <v>380</v>
      </c>
      <c r="F201" s="538" t="s">
        <v>528</v>
      </c>
      <c r="G201" s="538" t="s">
        <v>41</v>
      </c>
      <c r="H201" s="350"/>
      <c r="I201" s="350"/>
      <c r="J201" s="350"/>
      <c r="K201" s="350">
        <v>130</v>
      </c>
      <c r="L201" s="350"/>
      <c r="M201" s="350"/>
      <c r="N201" s="350"/>
      <c r="O201" s="350"/>
      <c r="P201" s="352"/>
      <c r="Q201" s="352"/>
      <c r="R201" s="352"/>
      <c r="S201" s="352"/>
      <c r="T201" s="352"/>
      <c r="U201" s="352"/>
      <c r="V201" s="497"/>
      <c r="W201" s="352"/>
      <c r="X201" s="352"/>
      <c r="Y201" s="352">
        <f>IF(NFI_Expiration=1,IF($A201&lt;VLOOKUP(H$5,NFI,5,0),1,0)*Table_NFI[[#This Row],[Hygiene Kit]],Table_NFI[Hygiene Kit])</f>
        <v>0</v>
      </c>
      <c r="Z201" s="352">
        <f>IF(NFI_Expiration=1,IF($A201&lt;VLOOKUP(I$5,NFI,5,0),1,0)*Table_NFI[[#This Row],[NFI Core Kit]],Table_NFI[NFI Core Kit])</f>
        <v>0</v>
      </c>
      <c r="AA201" s="352">
        <f>IF(NFI_Expiration=1,IF($A201&lt;VLOOKUP(J$5,NFI,5,0),1,0)*Table_NFI[[#This Row],[Sanitary Kit]],Table_NFI[Sanitary Kit])</f>
        <v>0</v>
      </c>
      <c r="AB201" s="352">
        <f>IF(NFI_Expiration=1,IF($A201&lt;VLOOKUP(K$5,NFI,5,0),1,0)*Table_NFI[[#This Row],[Mosquito net]],Table_NFI[Mosquito net])</f>
        <v>0</v>
      </c>
      <c r="AC201" s="352">
        <f>IF(NFI_Expiration=1,IF($A201&lt;VLOOKUP(L$5,NFI,5,0),1,0)*Table_NFI[[#This Row],[Tarpaulin]],Table_NFI[[#This Row],[Tarpaulin]])</f>
        <v>0</v>
      </c>
      <c r="AD201" s="352">
        <f>IF(NFI_Expiration=1,IF($A201&lt;VLOOKUP(M$5,NFI,5,0),1,0)*Table_NFI[[#This Row],[Blanket]],Table_NFI[[#This Row],[Blanket]])</f>
        <v>0</v>
      </c>
      <c r="AE201" s="352">
        <f>IF(NFI_Expiration=1,IF($A201&lt;VLOOKUP(N$5,NFI,5,0),1,0)*Table_NFI[[#This Row],[Kitchen Set]],Table_NFI[Kitchen Set])</f>
        <v>0</v>
      </c>
      <c r="AF201" s="352">
        <f>IF(NFI_Expiration=1,IF($A201&lt;VLOOKUP(O$5,NFI,5,0),1,0)*Table_NFI[[#This Row],[Clothes Kit]],Table_NFI[Clothes Kit])</f>
        <v>0</v>
      </c>
      <c r="AG201" s="352">
        <f>IF(NFI_Expiration=1,IF($A201&lt;VLOOKUP(P$5,NFI,5,0),1,0)*Table_NFI[[#This Row],[Plastic Bucket]],Table_NFI[Plastic Bucket])</f>
        <v>0</v>
      </c>
      <c r="AH201" s="352">
        <f>IF(NFI_Expiration=1,IF($A201&lt;VLOOKUP(Q$5,NFI,5,0),1,0)*Table_NFI[[#This Row],[Plastic Mat]],Table_NFI[Plastic Mat])*IF(Table_NFI[[#This Row],[Distribution Date]]&gt;"2014-04-01",1,2.5)</f>
        <v>0</v>
      </c>
      <c r="AI201" s="352">
        <f>IF(NFI_Expiration=1,IF($A201&lt;VLOOKUP(R$5,NFI,5,0),1,0)*Table_NFI[[#This Row],[Winter Clothes Adult]],Table_NFI[Winter Clothes Adult])</f>
        <v>0</v>
      </c>
      <c r="AJ201" s="352">
        <f>IF(NFI_Expiration=1,IF($A201&lt;VLOOKUP(S$5,NFI,5,0),1,0)*Table_NFI[[#This Row],[Winter Clothes Children]],Table_NFI[Winter Clothes Children])</f>
        <v>0</v>
      </c>
      <c r="AK201" s="352">
        <f>IF(NFI_Expiration=1,IF($A201&lt;VLOOKUP(T$5,NFI,5,0),1,0)*Table_NFI[[#This Row],[Winter Items Other]],Table_NFI[Winter Items Other])</f>
        <v>0</v>
      </c>
      <c r="AL201" s="352">
        <f>IF(NFI_Expiration=1,IF($A201&lt;VLOOKUP(M$5,NFI,5,0),1,0)*Table_NFI[[#This Row],[Winter Blanket]],Table_NFI[[#This Row],[Winter Blanket]])</f>
        <v>0</v>
      </c>
      <c r="AM201" s="352">
        <f>IF(Table_NFI[[#This Row],[Winter Clothes Adult]]+Table_NFI[[#This Row],[Winter Clothes Children]]+Table_NFI[[#This Row],[Winter Items Other]]+Table_NFI[[#This Row],[Winter Blanket]]&gt;0,1,0)</f>
        <v>0</v>
      </c>
      <c r="AN201" s="392">
        <f>IF(NFI_Expiration=1,IF($A201&lt;VLOOKUP(V$5,NFI,5,0),1,0)*Table_NFI[[#This Row],[Jerry Can]],Table_NFI[Jerry Can])</f>
        <v>0</v>
      </c>
      <c r="AO201" s="540" t="str">
        <f>IFERROR(VLOOKUP(Table_NFI[[#This Row],[Camp Name]],CL,2,0),"")</f>
        <v>MMR001CMP176</v>
      </c>
      <c r="AP201" s="535">
        <f ca="1">IF(Table_NFI[[#This Row],[Pcode]]="","",IF(OFFSET(CampList[Opening Date],MATCH(Table_NFI[[#This Row],[Pcode]],CampList[CP_Pcode],0)-1,0,1,1)&gt;=NFI_Monitor_Date,1,0))</f>
        <v>0</v>
      </c>
      <c r="AQ201" s="540" t="str">
        <f>IFERROR(VLOOKUP(Table_NFI[[#This Row],[Camp Name]],CL,3,0),"")</f>
        <v>Open</v>
      </c>
      <c r="AR201" s="352" t="str">
        <f ca="1">IF(Table_NFI[[#This Row],[Pcode]]="","",OFFSET(CampList[Priority],MATCH(Table_NFI[[#This Row],[Pcode]],CampList[CP_Pcode],0)-1,0,1,1))</f>
        <v>P4</v>
      </c>
      <c r="AS201" s="351">
        <f>IFERROR(Table_NFI[[#This Row],[Kitchen Set]]/VLOOKUP(Table_NFI[[#This Row],[Camp Name]],CL,4,0),"")</f>
        <v>0</v>
      </c>
      <c r="AT201" s="538"/>
      <c r="AU201" s="541"/>
    </row>
    <row r="202" spans="1:47" s="537" customFormat="1" hidden="1" x14ac:dyDescent="0.25">
      <c r="A202" s="355">
        <f t="shared" si="3"/>
        <v>32.1</v>
      </c>
      <c r="B202" s="532">
        <v>41608</v>
      </c>
      <c r="C202" s="533" t="s">
        <v>907</v>
      </c>
      <c r="D202" s="533" t="s">
        <v>461</v>
      </c>
      <c r="E202" s="533" t="s">
        <v>380</v>
      </c>
      <c r="F202" s="348" t="s">
        <v>185</v>
      </c>
      <c r="G202" s="348" t="s">
        <v>194</v>
      </c>
      <c r="H202" s="349"/>
      <c r="I202" s="349"/>
      <c r="J202" s="349"/>
      <c r="K202" s="349"/>
      <c r="L202" s="350"/>
      <c r="M202" s="350"/>
      <c r="N202" s="350"/>
      <c r="O202" s="350"/>
      <c r="P202" s="352"/>
      <c r="Q202" s="352">
        <v>978</v>
      </c>
      <c r="R202" s="352"/>
      <c r="S202" s="352"/>
      <c r="T202" s="352"/>
      <c r="U202" s="352"/>
      <c r="V202" s="497"/>
      <c r="W202" s="352"/>
      <c r="X202" s="352"/>
      <c r="Y202" s="352">
        <f>IF(NFI_Expiration=1,IF($A202&lt;VLOOKUP(H$5,NFI,5,0),1,0)*Table_NFI[[#This Row],[Hygiene Kit]],Table_NFI[Hygiene Kit])</f>
        <v>0</v>
      </c>
      <c r="Z202" s="352">
        <f>IF(NFI_Expiration=1,IF($A202&lt;VLOOKUP(I$5,NFI,5,0),1,0)*Table_NFI[[#This Row],[NFI Core Kit]],Table_NFI[NFI Core Kit])</f>
        <v>0</v>
      </c>
      <c r="AA202" s="352">
        <f>IF(NFI_Expiration=1,IF($A202&lt;VLOOKUP(J$5,NFI,5,0),1,0)*Table_NFI[[#This Row],[Sanitary Kit]],Table_NFI[Sanitary Kit])</f>
        <v>0</v>
      </c>
      <c r="AB202" s="352">
        <f>IF(NFI_Expiration=1,IF($A202&lt;VLOOKUP(K$5,NFI,5,0),1,0)*Table_NFI[[#This Row],[Mosquito net]],Table_NFI[Mosquito net])</f>
        <v>0</v>
      </c>
      <c r="AC202" s="352">
        <f>IF(NFI_Expiration=1,IF($A202&lt;VLOOKUP(L$5,NFI,5,0),1,0)*Table_NFI[[#This Row],[Tarpaulin]],Table_NFI[[#This Row],[Tarpaulin]])</f>
        <v>0</v>
      </c>
      <c r="AD202" s="352">
        <f>IF(NFI_Expiration=1,IF($A202&lt;VLOOKUP(M$5,NFI,5,0),1,0)*Table_NFI[[#This Row],[Blanket]],Table_NFI[[#This Row],[Blanket]])</f>
        <v>0</v>
      </c>
      <c r="AE202" s="352">
        <f>IF(NFI_Expiration=1,IF($A202&lt;VLOOKUP(N$5,NFI,5,0),1,0)*Table_NFI[[#This Row],[Kitchen Set]],Table_NFI[Kitchen Set])</f>
        <v>0</v>
      </c>
      <c r="AF202" s="352">
        <f>IF(NFI_Expiration=1,IF($A202&lt;VLOOKUP(O$5,NFI,5,0),1,0)*Table_NFI[[#This Row],[Clothes Kit]],Table_NFI[Clothes Kit])</f>
        <v>0</v>
      </c>
      <c r="AG202" s="352">
        <f>IF(NFI_Expiration=1,IF($A202&lt;VLOOKUP(P$5,NFI,5,0),1,0)*Table_NFI[[#This Row],[Plastic Bucket]],Table_NFI[Plastic Bucket])</f>
        <v>0</v>
      </c>
      <c r="AH202" s="352">
        <f>IF(NFI_Expiration=1,IF($A202&lt;VLOOKUP(Q$5,NFI,5,0),1,0)*Table_NFI[[#This Row],[Plastic Mat]],Table_NFI[Plastic Mat])*IF(Table_NFI[[#This Row],[Distribution Date]]&gt;"2014-04-01",1,2.5)</f>
        <v>0</v>
      </c>
      <c r="AI202" s="352">
        <f>IF(NFI_Expiration=1,IF($A202&lt;VLOOKUP(R$5,NFI,5,0),1,0)*Table_NFI[[#This Row],[Winter Clothes Adult]],Table_NFI[Winter Clothes Adult])</f>
        <v>0</v>
      </c>
      <c r="AJ202" s="352">
        <f>IF(NFI_Expiration=1,IF($A202&lt;VLOOKUP(S$5,NFI,5,0),1,0)*Table_NFI[[#This Row],[Winter Clothes Children]],Table_NFI[Winter Clothes Children])</f>
        <v>0</v>
      </c>
      <c r="AK202" s="352">
        <f>IF(NFI_Expiration=1,IF($A202&lt;VLOOKUP(T$5,NFI,5,0),1,0)*Table_NFI[[#This Row],[Winter Items Other]],Table_NFI[Winter Items Other])</f>
        <v>0</v>
      </c>
      <c r="AL202" s="352">
        <f>IF(NFI_Expiration=1,IF($A202&lt;VLOOKUP(M$5,NFI,5,0),1,0)*Table_NFI[[#This Row],[Winter Blanket]],Table_NFI[[#This Row],[Winter Blanket]])</f>
        <v>0</v>
      </c>
      <c r="AM202" s="352">
        <f>IF(Table_NFI[[#This Row],[Winter Clothes Adult]]+Table_NFI[[#This Row],[Winter Clothes Children]]+Table_NFI[[#This Row],[Winter Items Other]]+Table_NFI[[#This Row],[Winter Blanket]]&gt;0,1,0)</f>
        <v>0</v>
      </c>
      <c r="AN202" s="392">
        <f>IF(NFI_Expiration=1,IF($A202&lt;VLOOKUP(V$5,NFI,5,0),1,0)*Table_NFI[[#This Row],[Jerry Can]],Table_NFI[Jerry Can])</f>
        <v>0</v>
      </c>
      <c r="AO202" s="540" t="str">
        <f>IFERROR(VLOOKUP(Table_NFI[[#This Row],[Camp Name]],CL,2,0),"")</f>
        <v>MMR001CMP122</v>
      </c>
      <c r="AP202" s="535">
        <f ca="1">IF(Table_NFI[[#This Row],[Pcode]]="","",IF(OFFSET(CampList[Opening Date],MATCH(Table_NFI[[#This Row],[Pcode]],CampList[CP_Pcode],0)-1,0,1,1)&gt;=NFI_Monitor_Date,1,0))</f>
        <v>0</v>
      </c>
      <c r="AQ202" s="540" t="str">
        <f>IFERROR(VLOOKUP(Table_NFI[[#This Row],[Camp Name]],CL,3,0),"")</f>
        <v>Open</v>
      </c>
      <c r="AR202" s="352" t="str">
        <f ca="1">IF(Table_NFI[[#This Row],[Pcode]]="","",OFFSET(CampList[Priority],MATCH(Table_NFI[[#This Row],[Pcode]],CampList[CP_Pcode],0)-1,0,1,1))</f>
        <v>P2</v>
      </c>
      <c r="AS202" s="351">
        <f>IFERROR(Table_NFI[[#This Row],[Kitchen Set]]/VLOOKUP(Table_NFI[[#This Row],[Camp Name]],CL,4,0),"")</f>
        <v>0</v>
      </c>
      <c r="AT202" s="533" t="s">
        <v>1094</v>
      </c>
      <c r="AU202" s="536"/>
    </row>
    <row r="203" spans="1:47" s="537" customFormat="1" ht="14.45" customHeight="1" x14ac:dyDescent="0.25">
      <c r="A203" s="355">
        <f t="shared" si="3"/>
        <v>21.933333333333334</v>
      </c>
      <c r="B203" s="532">
        <v>41913</v>
      </c>
      <c r="C203" s="533" t="s">
        <v>453</v>
      </c>
      <c r="D203" s="538" t="s">
        <v>506</v>
      </c>
      <c r="E203" s="538" t="s">
        <v>380</v>
      </c>
      <c r="F203" s="538" t="s">
        <v>528</v>
      </c>
      <c r="G203" s="538" t="s">
        <v>43</v>
      </c>
      <c r="H203" s="350"/>
      <c r="I203" s="350"/>
      <c r="J203" s="350"/>
      <c r="K203" s="350">
        <v>30</v>
      </c>
      <c r="L203" s="350"/>
      <c r="M203" s="350"/>
      <c r="N203" s="350"/>
      <c r="O203" s="350"/>
      <c r="P203" s="352"/>
      <c r="Q203" s="352"/>
      <c r="R203" s="352"/>
      <c r="S203" s="352"/>
      <c r="T203" s="352"/>
      <c r="U203" s="352"/>
      <c r="V203" s="497"/>
      <c r="W203" s="352"/>
      <c r="X203" s="352"/>
      <c r="Y203" s="352">
        <f>IF(NFI_Expiration=1,IF($A203&lt;VLOOKUP(H$5,NFI,5,0),1,0)*Table_NFI[[#This Row],[Hygiene Kit]],Table_NFI[Hygiene Kit])</f>
        <v>0</v>
      </c>
      <c r="Z203" s="352">
        <f>IF(NFI_Expiration=1,IF($A203&lt;VLOOKUP(I$5,NFI,5,0),1,0)*Table_NFI[[#This Row],[NFI Core Kit]],Table_NFI[NFI Core Kit])</f>
        <v>0</v>
      </c>
      <c r="AA203" s="352">
        <f>IF(NFI_Expiration=1,IF($A203&lt;VLOOKUP(J$5,NFI,5,0),1,0)*Table_NFI[[#This Row],[Sanitary Kit]],Table_NFI[Sanitary Kit])</f>
        <v>0</v>
      </c>
      <c r="AB203" s="352">
        <f>IF(NFI_Expiration=1,IF($A203&lt;VLOOKUP(K$5,NFI,5,0),1,0)*Table_NFI[[#This Row],[Mosquito net]],Table_NFI[Mosquito net])</f>
        <v>0</v>
      </c>
      <c r="AC203" s="352">
        <f>IF(NFI_Expiration=1,IF($A203&lt;VLOOKUP(L$5,NFI,5,0),1,0)*Table_NFI[[#This Row],[Tarpaulin]],Table_NFI[[#This Row],[Tarpaulin]])</f>
        <v>0</v>
      </c>
      <c r="AD203" s="352">
        <f>IF(NFI_Expiration=1,IF($A203&lt;VLOOKUP(M$5,NFI,5,0),1,0)*Table_NFI[[#This Row],[Blanket]],Table_NFI[[#This Row],[Blanket]])</f>
        <v>0</v>
      </c>
      <c r="AE203" s="352">
        <f>IF(NFI_Expiration=1,IF($A203&lt;VLOOKUP(N$5,NFI,5,0),1,0)*Table_NFI[[#This Row],[Kitchen Set]],Table_NFI[Kitchen Set])</f>
        <v>0</v>
      </c>
      <c r="AF203" s="352">
        <f>IF(NFI_Expiration=1,IF($A203&lt;VLOOKUP(O$5,NFI,5,0),1,0)*Table_NFI[[#This Row],[Clothes Kit]],Table_NFI[Clothes Kit])</f>
        <v>0</v>
      </c>
      <c r="AG203" s="352">
        <f>IF(NFI_Expiration=1,IF($A203&lt;VLOOKUP(P$5,NFI,5,0),1,0)*Table_NFI[[#This Row],[Plastic Bucket]],Table_NFI[Plastic Bucket])</f>
        <v>0</v>
      </c>
      <c r="AH203" s="352">
        <f>IF(NFI_Expiration=1,IF($A203&lt;VLOOKUP(Q$5,NFI,5,0),1,0)*Table_NFI[[#This Row],[Plastic Mat]],Table_NFI[Plastic Mat])*IF(Table_NFI[[#This Row],[Distribution Date]]&gt;"2014-04-01",1,2.5)</f>
        <v>0</v>
      </c>
      <c r="AI203" s="352">
        <f>IF(NFI_Expiration=1,IF($A203&lt;VLOOKUP(R$5,NFI,5,0),1,0)*Table_NFI[[#This Row],[Winter Clothes Adult]],Table_NFI[Winter Clothes Adult])</f>
        <v>0</v>
      </c>
      <c r="AJ203" s="352">
        <f>IF(NFI_Expiration=1,IF($A203&lt;VLOOKUP(S$5,NFI,5,0),1,0)*Table_NFI[[#This Row],[Winter Clothes Children]],Table_NFI[Winter Clothes Children])</f>
        <v>0</v>
      </c>
      <c r="AK203" s="352">
        <f>IF(NFI_Expiration=1,IF($A203&lt;VLOOKUP(T$5,NFI,5,0),1,0)*Table_NFI[[#This Row],[Winter Items Other]],Table_NFI[Winter Items Other])</f>
        <v>0</v>
      </c>
      <c r="AL203" s="352">
        <f>IF(NFI_Expiration=1,IF($A203&lt;VLOOKUP(M$5,NFI,5,0),1,0)*Table_NFI[[#This Row],[Winter Blanket]],Table_NFI[[#This Row],[Winter Blanket]])</f>
        <v>0</v>
      </c>
      <c r="AM203" s="352">
        <f>IF(Table_NFI[[#This Row],[Winter Clothes Adult]]+Table_NFI[[#This Row],[Winter Clothes Children]]+Table_NFI[[#This Row],[Winter Items Other]]+Table_NFI[[#This Row],[Winter Blanket]]&gt;0,1,0)</f>
        <v>0</v>
      </c>
      <c r="AN203" s="392">
        <f>IF(NFI_Expiration=1,IF($A203&lt;VLOOKUP(V$5,NFI,5,0),1,0)*Table_NFI[[#This Row],[Jerry Can]],Table_NFI[Jerry Can])</f>
        <v>0</v>
      </c>
      <c r="AO203" s="540" t="str">
        <f>IFERROR(VLOOKUP(Table_NFI[[#This Row],[Camp Name]],CL,2,0),"")</f>
        <v>MMR001CMP190</v>
      </c>
      <c r="AP203" s="535">
        <f ca="1">IF(Table_NFI[[#This Row],[Pcode]]="","",IF(OFFSET(CampList[Opening Date],MATCH(Table_NFI[[#This Row],[Pcode]],CampList[CP_Pcode],0)-1,0,1,1)&gt;=NFI_Monitor_Date,1,0))</f>
        <v>0</v>
      </c>
      <c r="AQ203" s="540" t="str">
        <f>IFERROR(VLOOKUP(Table_NFI[[#This Row],[Camp Name]],CL,3,0),"")</f>
        <v>Open</v>
      </c>
      <c r="AR203" s="352" t="str">
        <f ca="1">IF(Table_NFI[[#This Row],[Pcode]]="","",OFFSET(CampList[Priority],MATCH(Table_NFI[[#This Row],[Pcode]],CampList[CP_Pcode],0)-1,0,1,1))</f>
        <v>P4</v>
      </c>
      <c r="AS203" s="351">
        <f>IFERROR(Table_NFI[[#This Row],[Kitchen Set]]/VLOOKUP(Table_NFI[[#This Row],[Camp Name]],CL,4,0),"")</f>
        <v>0</v>
      </c>
      <c r="AT203" s="538"/>
      <c r="AU203" s="541"/>
    </row>
    <row r="204" spans="1:47" s="129" customFormat="1" hidden="1" x14ac:dyDescent="0.25">
      <c r="A204" s="355">
        <f t="shared" si="3"/>
        <v>43.9</v>
      </c>
      <c r="B204" s="532">
        <v>41254</v>
      </c>
      <c r="C204" s="533" t="s">
        <v>907</v>
      </c>
      <c r="D204" s="534" t="s">
        <v>907</v>
      </c>
      <c r="E204" s="533" t="s">
        <v>380</v>
      </c>
      <c r="F204" s="348" t="s">
        <v>185</v>
      </c>
      <c r="G204" s="348" t="s">
        <v>194</v>
      </c>
      <c r="H204" s="349">
        <v>1658</v>
      </c>
      <c r="I204" s="354"/>
      <c r="J204" s="347"/>
      <c r="K204" s="347"/>
      <c r="L204" s="347"/>
      <c r="M204" s="347"/>
      <c r="N204" s="347"/>
      <c r="O204" s="347"/>
      <c r="P204" s="352">
        <v>0</v>
      </c>
      <c r="Q204" s="352">
        <v>0</v>
      </c>
      <c r="R204" s="352"/>
      <c r="S204" s="352"/>
      <c r="T204" s="352"/>
      <c r="U204" s="352"/>
      <c r="V204" s="497"/>
      <c r="W204" s="352"/>
      <c r="X204" s="352"/>
      <c r="Y204" s="352">
        <f>IF(NFI_Expiration=1,IF($A204&lt;VLOOKUP(H$5,NFI,5,0),1,0)*Table_NFI[[#This Row],[Hygiene Kit]],Table_NFI[Hygiene Kit])</f>
        <v>0</v>
      </c>
      <c r="Z204" s="352">
        <f>IF(NFI_Expiration=1,IF($A204&lt;VLOOKUP(I$5,NFI,5,0),1,0)*Table_NFI[[#This Row],[NFI Core Kit]],Table_NFI[NFI Core Kit])</f>
        <v>0</v>
      </c>
      <c r="AA204" s="352">
        <f>IF(NFI_Expiration=1,IF($A204&lt;VLOOKUP(J$5,NFI,5,0),1,0)*Table_NFI[[#This Row],[Sanitary Kit]],Table_NFI[Sanitary Kit])</f>
        <v>0</v>
      </c>
      <c r="AB204" s="352">
        <f>IF(NFI_Expiration=1,IF($A204&lt;VLOOKUP(K$5,NFI,5,0),1,0)*Table_NFI[[#This Row],[Mosquito net]],Table_NFI[Mosquito net])</f>
        <v>0</v>
      </c>
      <c r="AC204" s="352">
        <f>IF(NFI_Expiration=1,IF($A204&lt;VLOOKUP(L$5,NFI,5,0),1,0)*Table_NFI[[#This Row],[Tarpaulin]],Table_NFI[[#This Row],[Tarpaulin]])</f>
        <v>0</v>
      </c>
      <c r="AD204" s="352">
        <f>IF(NFI_Expiration=1,IF($A204&lt;VLOOKUP(M$5,NFI,5,0),1,0)*Table_NFI[[#This Row],[Blanket]],Table_NFI[[#This Row],[Blanket]])</f>
        <v>0</v>
      </c>
      <c r="AE204" s="352">
        <f>IF(NFI_Expiration=1,IF($A204&lt;VLOOKUP(N$5,NFI,5,0),1,0)*Table_NFI[[#This Row],[Kitchen Set]],Table_NFI[Kitchen Set])</f>
        <v>0</v>
      </c>
      <c r="AF204" s="352">
        <f>IF(NFI_Expiration=1,IF($A204&lt;VLOOKUP(O$5,NFI,5,0),1,0)*Table_NFI[[#This Row],[Clothes Kit]],Table_NFI[Clothes Kit])</f>
        <v>0</v>
      </c>
      <c r="AG204" s="352">
        <f>IF(NFI_Expiration=1,IF($A204&lt;VLOOKUP(P$5,NFI,5,0),1,0)*Table_NFI[[#This Row],[Plastic Bucket]],Table_NFI[Plastic Bucket])</f>
        <v>0</v>
      </c>
      <c r="AH204" s="352">
        <f>IF(NFI_Expiration=1,IF($A204&lt;VLOOKUP(Q$5,NFI,5,0),1,0)*Table_NFI[[#This Row],[Plastic Mat]],Table_NFI[Plastic Mat])*IF(Table_NFI[[#This Row],[Distribution Date]]&gt;"2014-04-01",1,2.5)</f>
        <v>0</v>
      </c>
      <c r="AI204" s="352">
        <f>IF(NFI_Expiration=1,IF($A204&lt;VLOOKUP(R$5,NFI,5,0),1,0)*Table_NFI[[#This Row],[Winter Clothes Adult]],Table_NFI[Winter Clothes Adult])</f>
        <v>0</v>
      </c>
      <c r="AJ204" s="352">
        <f>IF(NFI_Expiration=1,IF($A204&lt;VLOOKUP(S$5,NFI,5,0),1,0)*Table_NFI[[#This Row],[Winter Clothes Children]],Table_NFI[Winter Clothes Children])</f>
        <v>0</v>
      </c>
      <c r="AK204" s="352">
        <f>IF(NFI_Expiration=1,IF($A204&lt;VLOOKUP(T$5,NFI,5,0),1,0)*Table_NFI[[#This Row],[Winter Items Other]],Table_NFI[Winter Items Other])</f>
        <v>0</v>
      </c>
      <c r="AL204" s="352">
        <f>IF(NFI_Expiration=1,IF($A204&lt;VLOOKUP(M$5,NFI,5,0),1,0)*Table_NFI[[#This Row],[Winter Blanket]],Table_NFI[[#This Row],[Winter Blanket]])</f>
        <v>0</v>
      </c>
      <c r="AM204" s="352">
        <f>IF(Table_NFI[[#This Row],[Winter Clothes Adult]]+Table_NFI[[#This Row],[Winter Clothes Children]]+Table_NFI[[#This Row],[Winter Items Other]]+Table_NFI[[#This Row],[Winter Blanket]]&gt;0,1,0)</f>
        <v>0</v>
      </c>
      <c r="AN204" s="392">
        <f>IF(NFI_Expiration=1,IF($A204&lt;VLOOKUP(V$5,NFI,5,0),1,0)*Table_NFI[[#This Row],[Jerry Can]],Table_NFI[Jerry Can])</f>
        <v>0</v>
      </c>
      <c r="AO204" s="540" t="str">
        <f>IFERROR(VLOOKUP(Table_NFI[[#This Row],[Camp Name]],CL,2,0),"")</f>
        <v>MMR001CMP122</v>
      </c>
      <c r="AP204" s="535">
        <f ca="1">IF(Table_NFI[[#This Row],[Pcode]]="","",IF(OFFSET(CampList[Opening Date],MATCH(Table_NFI[[#This Row],[Pcode]],CampList[CP_Pcode],0)-1,0,1,1)&gt;=NFI_Monitor_Date,1,0))</f>
        <v>0</v>
      </c>
      <c r="AQ204" s="540" t="str">
        <f>IFERROR(VLOOKUP(Table_NFI[[#This Row],[Camp Name]],CL,3,0),"")</f>
        <v>Open</v>
      </c>
      <c r="AR204" s="352" t="str">
        <f ca="1">IF(Table_NFI[[#This Row],[Pcode]]="","",OFFSET(CampList[Priority],MATCH(Table_NFI[[#This Row],[Pcode]],CampList[CP_Pcode],0)-1,0,1,1))</f>
        <v>P2</v>
      </c>
      <c r="AS204" s="351">
        <f>IFERROR(Table_NFI[[#This Row],[Kitchen Set]]/VLOOKUP(Table_NFI[[#This Row],[Camp Name]],CL,4,0),"")</f>
        <v>0</v>
      </c>
      <c r="AT204" s="533" t="s">
        <v>1094</v>
      </c>
      <c r="AU204" s="536"/>
    </row>
    <row r="205" spans="1:47" s="129" customFormat="1" ht="14.45" customHeight="1" x14ac:dyDescent="0.25">
      <c r="A205" s="355">
        <f t="shared" si="3"/>
        <v>21.933333333333334</v>
      </c>
      <c r="B205" s="532">
        <v>41913</v>
      </c>
      <c r="C205" s="533" t="s">
        <v>453</v>
      </c>
      <c r="D205" s="538" t="s">
        <v>506</v>
      </c>
      <c r="E205" s="538" t="s">
        <v>380</v>
      </c>
      <c r="F205" s="538" t="s">
        <v>528</v>
      </c>
      <c r="G205" s="538" t="s">
        <v>58</v>
      </c>
      <c r="H205" s="350"/>
      <c r="I205" s="350"/>
      <c r="J205" s="350"/>
      <c r="K205" s="350">
        <v>30</v>
      </c>
      <c r="L205" s="350"/>
      <c r="M205" s="350"/>
      <c r="N205" s="350"/>
      <c r="O205" s="350"/>
      <c r="P205" s="352"/>
      <c r="Q205" s="352"/>
      <c r="R205" s="352"/>
      <c r="S205" s="352"/>
      <c r="T205" s="352"/>
      <c r="U205" s="352"/>
      <c r="V205" s="497"/>
      <c r="W205" s="352"/>
      <c r="X205" s="352"/>
      <c r="Y205" s="352">
        <f>IF(NFI_Expiration=1,IF($A205&lt;VLOOKUP(H$5,NFI,5,0),1,0)*Table_NFI[[#This Row],[Hygiene Kit]],Table_NFI[Hygiene Kit])</f>
        <v>0</v>
      </c>
      <c r="Z205" s="352">
        <f>IF(NFI_Expiration=1,IF($A205&lt;VLOOKUP(I$5,NFI,5,0),1,0)*Table_NFI[[#This Row],[NFI Core Kit]],Table_NFI[NFI Core Kit])</f>
        <v>0</v>
      </c>
      <c r="AA205" s="352">
        <f>IF(NFI_Expiration=1,IF($A205&lt;VLOOKUP(J$5,NFI,5,0),1,0)*Table_NFI[[#This Row],[Sanitary Kit]],Table_NFI[Sanitary Kit])</f>
        <v>0</v>
      </c>
      <c r="AB205" s="352">
        <f>IF(NFI_Expiration=1,IF($A205&lt;VLOOKUP(K$5,NFI,5,0),1,0)*Table_NFI[[#This Row],[Mosquito net]],Table_NFI[Mosquito net])</f>
        <v>0</v>
      </c>
      <c r="AC205" s="352">
        <f>IF(NFI_Expiration=1,IF($A205&lt;VLOOKUP(L$5,NFI,5,0),1,0)*Table_NFI[[#This Row],[Tarpaulin]],Table_NFI[[#This Row],[Tarpaulin]])</f>
        <v>0</v>
      </c>
      <c r="AD205" s="352">
        <f>IF(NFI_Expiration=1,IF($A205&lt;VLOOKUP(M$5,NFI,5,0),1,0)*Table_NFI[[#This Row],[Blanket]],Table_NFI[[#This Row],[Blanket]])</f>
        <v>0</v>
      </c>
      <c r="AE205" s="352">
        <f>IF(NFI_Expiration=1,IF($A205&lt;VLOOKUP(N$5,NFI,5,0),1,0)*Table_NFI[[#This Row],[Kitchen Set]],Table_NFI[Kitchen Set])</f>
        <v>0</v>
      </c>
      <c r="AF205" s="352">
        <f>IF(NFI_Expiration=1,IF($A205&lt;VLOOKUP(O$5,NFI,5,0),1,0)*Table_NFI[[#This Row],[Clothes Kit]],Table_NFI[Clothes Kit])</f>
        <v>0</v>
      </c>
      <c r="AG205" s="352">
        <f>IF(NFI_Expiration=1,IF($A205&lt;VLOOKUP(P$5,NFI,5,0),1,0)*Table_NFI[[#This Row],[Plastic Bucket]],Table_NFI[Plastic Bucket])</f>
        <v>0</v>
      </c>
      <c r="AH205" s="352">
        <f>IF(NFI_Expiration=1,IF($A205&lt;VLOOKUP(Q$5,NFI,5,0),1,0)*Table_NFI[[#This Row],[Plastic Mat]],Table_NFI[Plastic Mat])*IF(Table_NFI[[#This Row],[Distribution Date]]&gt;"2014-04-01",1,2.5)</f>
        <v>0</v>
      </c>
      <c r="AI205" s="352">
        <f>IF(NFI_Expiration=1,IF($A205&lt;VLOOKUP(R$5,NFI,5,0),1,0)*Table_NFI[[#This Row],[Winter Clothes Adult]],Table_NFI[Winter Clothes Adult])</f>
        <v>0</v>
      </c>
      <c r="AJ205" s="352">
        <f>IF(NFI_Expiration=1,IF($A205&lt;VLOOKUP(S$5,NFI,5,0),1,0)*Table_NFI[[#This Row],[Winter Clothes Children]],Table_NFI[Winter Clothes Children])</f>
        <v>0</v>
      </c>
      <c r="AK205" s="352">
        <f>IF(NFI_Expiration=1,IF($A205&lt;VLOOKUP(T$5,NFI,5,0),1,0)*Table_NFI[[#This Row],[Winter Items Other]],Table_NFI[Winter Items Other])</f>
        <v>0</v>
      </c>
      <c r="AL205" s="352">
        <f>IF(NFI_Expiration=1,IF($A205&lt;VLOOKUP(M$5,NFI,5,0),1,0)*Table_NFI[[#This Row],[Winter Blanket]],Table_NFI[[#This Row],[Winter Blanket]])</f>
        <v>0</v>
      </c>
      <c r="AM205" s="352">
        <f>IF(Table_NFI[[#This Row],[Winter Clothes Adult]]+Table_NFI[[#This Row],[Winter Clothes Children]]+Table_NFI[[#This Row],[Winter Items Other]]+Table_NFI[[#This Row],[Winter Blanket]]&gt;0,1,0)</f>
        <v>0</v>
      </c>
      <c r="AN205" s="392">
        <f>IF(NFI_Expiration=1,IF($A205&lt;VLOOKUP(V$5,NFI,5,0),1,0)*Table_NFI[[#This Row],[Jerry Can]],Table_NFI[Jerry Can])</f>
        <v>0</v>
      </c>
      <c r="AO205" s="540" t="str">
        <f>IFERROR(VLOOKUP(Table_NFI[[#This Row],[Camp Name]],CL,2,0),"")</f>
        <v>MMR001CMP188</v>
      </c>
      <c r="AP205" s="535">
        <f ca="1">IF(Table_NFI[[#This Row],[Pcode]]="","",IF(OFFSET(CampList[Opening Date],MATCH(Table_NFI[[#This Row],[Pcode]],CampList[CP_Pcode],0)-1,0,1,1)&gt;=NFI_Monitor_Date,1,0))</f>
        <v>0</v>
      </c>
      <c r="AQ205" s="540" t="str">
        <f>IFERROR(VLOOKUP(Table_NFI[[#This Row],[Camp Name]],CL,3,0),"")</f>
        <v>Closed</v>
      </c>
      <c r="AR205" s="352" t="str">
        <f ca="1">IF(Table_NFI[[#This Row],[Pcode]]="","",OFFSET(CampList[Priority],MATCH(Table_NFI[[#This Row],[Pcode]],CampList[CP_Pcode],0)-1,0,1,1))</f>
        <v>P4</v>
      </c>
      <c r="AS205" s="351" t="str">
        <f>IFERROR(Table_NFI[[#This Row],[Kitchen Set]]/VLOOKUP(Table_NFI[[#This Row],[Camp Name]],CL,4,0),"")</f>
        <v/>
      </c>
      <c r="AT205" s="538"/>
      <c r="AU205" s="541"/>
    </row>
    <row r="206" spans="1:47" s="537" customFormat="1" ht="14.45" customHeight="1" x14ac:dyDescent="0.25">
      <c r="A206" s="355">
        <f t="shared" si="3"/>
        <v>21.933333333333334</v>
      </c>
      <c r="B206" s="532">
        <v>41913</v>
      </c>
      <c r="C206" s="533" t="s">
        <v>453</v>
      </c>
      <c r="D206" s="538" t="s">
        <v>506</v>
      </c>
      <c r="E206" s="538" t="s">
        <v>380</v>
      </c>
      <c r="F206" s="538" t="s">
        <v>528</v>
      </c>
      <c r="G206" s="538" t="s">
        <v>72</v>
      </c>
      <c r="H206" s="350"/>
      <c r="I206" s="350"/>
      <c r="J206" s="350"/>
      <c r="K206" s="350">
        <v>8</v>
      </c>
      <c r="L206" s="350"/>
      <c r="M206" s="350"/>
      <c r="N206" s="350"/>
      <c r="O206" s="350"/>
      <c r="P206" s="352"/>
      <c r="Q206" s="352"/>
      <c r="R206" s="352"/>
      <c r="S206" s="352"/>
      <c r="T206" s="352"/>
      <c r="U206" s="352"/>
      <c r="V206" s="497"/>
      <c r="W206" s="352"/>
      <c r="X206" s="352"/>
      <c r="Y206" s="352">
        <f>IF(NFI_Expiration=1,IF($A206&lt;VLOOKUP(H$5,NFI,5,0),1,0)*Table_NFI[[#This Row],[Hygiene Kit]],Table_NFI[Hygiene Kit])</f>
        <v>0</v>
      </c>
      <c r="Z206" s="352">
        <f>IF(NFI_Expiration=1,IF($A206&lt;VLOOKUP(I$5,NFI,5,0),1,0)*Table_NFI[[#This Row],[NFI Core Kit]],Table_NFI[NFI Core Kit])</f>
        <v>0</v>
      </c>
      <c r="AA206" s="352">
        <f>IF(NFI_Expiration=1,IF($A206&lt;VLOOKUP(J$5,NFI,5,0),1,0)*Table_NFI[[#This Row],[Sanitary Kit]],Table_NFI[Sanitary Kit])</f>
        <v>0</v>
      </c>
      <c r="AB206" s="352">
        <f>IF(NFI_Expiration=1,IF($A206&lt;VLOOKUP(K$5,NFI,5,0),1,0)*Table_NFI[[#This Row],[Mosquito net]],Table_NFI[Mosquito net])</f>
        <v>0</v>
      </c>
      <c r="AC206" s="352">
        <f>IF(NFI_Expiration=1,IF($A206&lt;VLOOKUP(L$5,NFI,5,0),1,0)*Table_NFI[[#This Row],[Tarpaulin]],Table_NFI[[#This Row],[Tarpaulin]])</f>
        <v>0</v>
      </c>
      <c r="AD206" s="352">
        <f>IF(NFI_Expiration=1,IF($A206&lt;VLOOKUP(M$5,NFI,5,0),1,0)*Table_NFI[[#This Row],[Blanket]],Table_NFI[[#This Row],[Blanket]])</f>
        <v>0</v>
      </c>
      <c r="AE206" s="352">
        <f>IF(NFI_Expiration=1,IF($A206&lt;VLOOKUP(N$5,NFI,5,0),1,0)*Table_NFI[[#This Row],[Kitchen Set]],Table_NFI[Kitchen Set])</f>
        <v>0</v>
      </c>
      <c r="AF206" s="352">
        <f>IF(NFI_Expiration=1,IF($A206&lt;VLOOKUP(O$5,NFI,5,0),1,0)*Table_NFI[[#This Row],[Clothes Kit]],Table_NFI[Clothes Kit])</f>
        <v>0</v>
      </c>
      <c r="AG206" s="352">
        <f>IF(NFI_Expiration=1,IF($A206&lt;VLOOKUP(P$5,NFI,5,0),1,0)*Table_NFI[[#This Row],[Plastic Bucket]],Table_NFI[Plastic Bucket])</f>
        <v>0</v>
      </c>
      <c r="AH206" s="352">
        <f>IF(NFI_Expiration=1,IF($A206&lt;VLOOKUP(Q$5,NFI,5,0),1,0)*Table_NFI[[#This Row],[Plastic Mat]],Table_NFI[Plastic Mat])*IF(Table_NFI[[#This Row],[Distribution Date]]&gt;"2014-04-01",1,2.5)</f>
        <v>0</v>
      </c>
      <c r="AI206" s="352">
        <f>IF(NFI_Expiration=1,IF($A206&lt;VLOOKUP(R$5,NFI,5,0),1,0)*Table_NFI[[#This Row],[Winter Clothes Adult]],Table_NFI[Winter Clothes Adult])</f>
        <v>0</v>
      </c>
      <c r="AJ206" s="352">
        <f>IF(NFI_Expiration=1,IF($A206&lt;VLOOKUP(S$5,NFI,5,0),1,0)*Table_NFI[[#This Row],[Winter Clothes Children]],Table_NFI[Winter Clothes Children])</f>
        <v>0</v>
      </c>
      <c r="AK206" s="352">
        <f>IF(NFI_Expiration=1,IF($A206&lt;VLOOKUP(T$5,NFI,5,0),1,0)*Table_NFI[[#This Row],[Winter Items Other]],Table_NFI[Winter Items Other])</f>
        <v>0</v>
      </c>
      <c r="AL206" s="352">
        <f>IF(NFI_Expiration=1,IF($A206&lt;VLOOKUP(M$5,NFI,5,0),1,0)*Table_NFI[[#This Row],[Winter Blanket]],Table_NFI[[#This Row],[Winter Blanket]])</f>
        <v>0</v>
      </c>
      <c r="AM206" s="352">
        <f>IF(Table_NFI[[#This Row],[Winter Clothes Adult]]+Table_NFI[[#This Row],[Winter Clothes Children]]+Table_NFI[[#This Row],[Winter Items Other]]+Table_NFI[[#This Row],[Winter Blanket]]&gt;0,1,0)</f>
        <v>0</v>
      </c>
      <c r="AN206" s="392">
        <f>IF(NFI_Expiration=1,IF($A206&lt;VLOOKUP(V$5,NFI,5,0),1,0)*Table_NFI[[#This Row],[Jerry Can]],Table_NFI[Jerry Can])</f>
        <v>0</v>
      </c>
      <c r="AO206" s="540" t="str">
        <f>IFERROR(VLOOKUP(Table_NFI[[#This Row],[Camp Name]],CL,2,0),"")</f>
        <v>MMR001CMP109</v>
      </c>
      <c r="AP206" s="535">
        <f ca="1">IF(Table_NFI[[#This Row],[Pcode]]="","",IF(OFFSET(CampList[Opening Date],MATCH(Table_NFI[[#This Row],[Pcode]],CampList[CP_Pcode],0)-1,0,1,1)&gt;=NFI_Monitor_Date,1,0))</f>
        <v>0</v>
      </c>
      <c r="AQ206" s="540" t="str">
        <f>IFERROR(VLOOKUP(Table_NFI[[#This Row],[Camp Name]],CL,3,0),"")</f>
        <v>Open</v>
      </c>
      <c r="AR206" s="352" t="str">
        <f ca="1">IF(Table_NFI[[#This Row],[Pcode]]="","",OFFSET(CampList[Priority],MATCH(Table_NFI[[#This Row],[Pcode]],CampList[CP_Pcode],0)-1,0,1,1))</f>
        <v>P4</v>
      </c>
      <c r="AS206" s="351">
        <f>IFERROR(Table_NFI[[#This Row],[Kitchen Set]]/VLOOKUP(Table_NFI[[#This Row],[Camp Name]],CL,4,0),"")</f>
        <v>0</v>
      </c>
      <c r="AT206" s="538"/>
      <c r="AU206" s="541"/>
    </row>
    <row r="207" spans="1:47" s="129" customFormat="1" ht="14.45" customHeight="1" x14ac:dyDescent="0.25">
      <c r="A207" s="355">
        <f t="shared" si="3"/>
        <v>21.933333333333334</v>
      </c>
      <c r="B207" s="532">
        <v>41913</v>
      </c>
      <c r="C207" s="533" t="s">
        <v>453</v>
      </c>
      <c r="D207" s="538" t="s">
        <v>506</v>
      </c>
      <c r="E207" s="538" t="s">
        <v>380</v>
      </c>
      <c r="F207" s="538" t="s">
        <v>27</v>
      </c>
      <c r="G207" s="538" t="s">
        <v>28</v>
      </c>
      <c r="H207" s="350"/>
      <c r="I207" s="350"/>
      <c r="J207" s="350"/>
      <c r="K207" s="350">
        <v>214</v>
      </c>
      <c r="L207" s="350"/>
      <c r="M207" s="350"/>
      <c r="N207" s="350"/>
      <c r="O207" s="350"/>
      <c r="P207" s="352"/>
      <c r="Q207" s="352"/>
      <c r="R207" s="352"/>
      <c r="S207" s="352"/>
      <c r="T207" s="352"/>
      <c r="U207" s="352">
        <v>214</v>
      </c>
      <c r="V207" s="497"/>
      <c r="W207" s="352"/>
      <c r="X207" s="352"/>
      <c r="Y207" s="352">
        <f>IF(NFI_Expiration=1,IF($A207&lt;VLOOKUP(H$5,NFI,5,0),1,0)*Table_NFI[[#This Row],[Hygiene Kit]],Table_NFI[Hygiene Kit])</f>
        <v>0</v>
      </c>
      <c r="Z207" s="352">
        <f>IF(NFI_Expiration=1,IF($A207&lt;VLOOKUP(I$5,NFI,5,0),1,0)*Table_NFI[[#This Row],[NFI Core Kit]],Table_NFI[NFI Core Kit])</f>
        <v>0</v>
      </c>
      <c r="AA207" s="352">
        <f>IF(NFI_Expiration=1,IF($A207&lt;VLOOKUP(J$5,NFI,5,0),1,0)*Table_NFI[[#This Row],[Sanitary Kit]],Table_NFI[Sanitary Kit])</f>
        <v>0</v>
      </c>
      <c r="AB207" s="352">
        <f>IF(NFI_Expiration=1,IF($A207&lt;VLOOKUP(K$5,NFI,5,0),1,0)*Table_NFI[[#This Row],[Mosquito net]],Table_NFI[Mosquito net])</f>
        <v>0</v>
      </c>
      <c r="AC207" s="352">
        <f>IF(NFI_Expiration=1,IF($A207&lt;VLOOKUP(L$5,NFI,5,0),1,0)*Table_NFI[[#This Row],[Tarpaulin]],Table_NFI[[#This Row],[Tarpaulin]])</f>
        <v>0</v>
      </c>
      <c r="AD207" s="352">
        <f>IF(NFI_Expiration=1,IF($A207&lt;VLOOKUP(M$5,NFI,5,0),1,0)*Table_NFI[[#This Row],[Blanket]],Table_NFI[[#This Row],[Blanket]])</f>
        <v>0</v>
      </c>
      <c r="AE207" s="352">
        <f>IF(NFI_Expiration=1,IF($A207&lt;VLOOKUP(N$5,NFI,5,0),1,0)*Table_NFI[[#This Row],[Kitchen Set]],Table_NFI[Kitchen Set])</f>
        <v>0</v>
      </c>
      <c r="AF207" s="352">
        <f>IF(NFI_Expiration=1,IF($A207&lt;VLOOKUP(O$5,NFI,5,0),1,0)*Table_NFI[[#This Row],[Clothes Kit]],Table_NFI[Clothes Kit])</f>
        <v>0</v>
      </c>
      <c r="AG207" s="352">
        <f>IF(NFI_Expiration=1,IF($A207&lt;VLOOKUP(P$5,NFI,5,0),1,0)*Table_NFI[[#This Row],[Plastic Bucket]],Table_NFI[Plastic Bucket])</f>
        <v>0</v>
      </c>
      <c r="AH207" s="352">
        <f>IF(NFI_Expiration=1,IF($A207&lt;VLOOKUP(Q$5,NFI,5,0),1,0)*Table_NFI[[#This Row],[Plastic Mat]],Table_NFI[Plastic Mat])*IF(Table_NFI[[#This Row],[Distribution Date]]&gt;"2014-04-01",1,2.5)</f>
        <v>0</v>
      </c>
      <c r="AI207" s="352">
        <f>IF(NFI_Expiration=1,IF($A207&lt;VLOOKUP(R$5,NFI,5,0),1,0)*Table_NFI[[#This Row],[Winter Clothes Adult]],Table_NFI[Winter Clothes Adult])</f>
        <v>0</v>
      </c>
      <c r="AJ207" s="352">
        <f>IF(NFI_Expiration=1,IF($A207&lt;VLOOKUP(S$5,NFI,5,0),1,0)*Table_NFI[[#This Row],[Winter Clothes Children]],Table_NFI[Winter Clothes Children])</f>
        <v>0</v>
      </c>
      <c r="AK207" s="352">
        <f>IF(NFI_Expiration=1,IF($A207&lt;VLOOKUP(T$5,NFI,5,0),1,0)*Table_NFI[[#This Row],[Winter Items Other]],Table_NFI[Winter Items Other])</f>
        <v>0</v>
      </c>
      <c r="AL207" s="352">
        <f>IF(NFI_Expiration=1,IF($A207&lt;VLOOKUP(M$5,NFI,5,0),1,0)*Table_NFI[[#This Row],[Winter Blanket]],Table_NFI[[#This Row],[Winter Blanket]])</f>
        <v>0</v>
      </c>
      <c r="AM207" s="352">
        <f>IF(Table_NFI[[#This Row],[Winter Clothes Adult]]+Table_NFI[[#This Row],[Winter Clothes Children]]+Table_NFI[[#This Row],[Winter Items Other]]+Table_NFI[[#This Row],[Winter Blanket]]&gt;0,1,0)</f>
        <v>1</v>
      </c>
      <c r="AN207" s="392">
        <f>IF(NFI_Expiration=1,IF($A207&lt;VLOOKUP(V$5,NFI,5,0),1,0)*Table_NFI[[#This Row],[Jerry Can]],Table_NFI[Jerry Can])</f>
        <v>0</v>
      </c>
      <c r="AO207" s="540" t="str">
        <f>IFERROR(VLOOKUP(Table_NFI[[#This Row],[Camp Name]],CL,2,0),"")</f>
        <v>MMR001CMP042</v>
      </c>
      <c r="AP207" s="535">
        <f ca="1">IF(Table_NFI[[#This Row],[Pcode]]="","",IF(OFFSET(CampList[Opening Date],MATCH(Table_NFI[[#This Row],[Pcode]],CampList[CP_Pcode],0)-1,0,1,1)&gt;=NFI_Monitor_Date,1,0))</f>
        <v>0</v>
      </c>
      <c r="AQ207" s="540" t="str">
        <f>IFERROR(VLOOKUP(Table_NFI[[#This Row],[Camp Name]],CL,3,0),"")</f>
        <v>Open</v>
      </c>
      <c r="AR207" s="352" t="str">
        <f ca="1">IF(Table_NFI[[#This Row],[Pcode]]="","",OFFSET(CampList[Priority],MATCH(Table_NFI[[#This Row],[Pcode]],CampList[CP_Pcode],0)-1,0,1,1))</f>
        <v>P1</v>
      </c>
      <c r="AS207" s="351">
        <f>IFERROR(Table_NFI[[#This Row],[Kitchen Set]]/VLOOKUP(Table_NFI[[#This Row],[Camp Name]],CL,4,0),"")</f>
        <v>0</v>
      </c>
      <c r="AT207" s="538"/>
      <c r="AU207" s="541"/>
    </row>
    <row r="208" spans="1:47" s="129" customFormat="1" hidden="1" x14ac:dyDescent="0.25">
      <c r="A208" s="355">
        <f t="shared" si="3"/>
        <v>53.833333333333336</v>
      </c>
      <c r="B208" s="532">
        <v>40956</v>
      </c>
      <c r="C208" s="533" t="s">
        <v>907</v>
      </c>
      <c r="D208" s="534" t="s">
        <v>907</v>
      </c>
      <c r="E208" s="533" t="s">
        <v>380</v>
      </c>
      <c r="F208" s="348" t="s">
        <v>5</v>
      </c>
      <c r="G208" s="348" t="s">
        <v>14</v>
      </c>
      <c r="H208" s="352">
        <v>240</v>
      </c>
      <c r="I208" s="349"/>
      <c r="J208" s="349"/>
      <c r="K208" s="349"/>
      <c r="L208" s="350"/>
      <c r="M208" s="350"/>
      <c r="N208" s="350"/>
      <c r="O208" s="350"/>
      <c r="P208" s="352"/>
      <c r="Q208" s="392"/>
      <c r="R208" s="392"/>
      <c r="S208" s="392"/>
      <c r="T208" s="392"/>
      <c r="U208" s="392"/>
      <c r="V208" s="497"/>
      <c r="W208" s="392"/>
      <c r="X208" s="392"/>
      <c r="Y208" s="352">
        <f>IF(NFI_Expiration=1,IF($A208&lt;VLOOKUP(H$5,NFI,5,0),1,0)*Table_NFI[[#This Row],[Hygiene Kit]],Table_NFI[Hygiene Kit])</f>
        <v>0</v>
      </c>
      <c r="Z208" s="352">
        <f>IF(NFI_Expiration=1,IF($A208&lt;VLOOKUP(I$5,NFI,5,0),1,0)*Table_NFI[[#This Row],[NFI Core Kit]],Table_NFI[NFI Core Kit])</f>
        <v>0</v>
      </c>
      <c r="AA208" s="352">
        <f>IF(NFI_Expiration=1,IF($A208&lt;VLOOKUP(J$5,NFI,5,0),1,0)*Table_NFI[[#This Row],[Sanitary Kit]],Table_NFI[Sanitary Kit])</f>
        <v>0</v>
      </c>
      <c r="AB208" s="352">
        <f>IF(NFI_Expiration=1,IF($A208&lt;VLOOKUP(K$5,NFI,5,0),1,0)*Table_NFI[[#This Row],[Mosquito net]],Table_NFI[Mosquito net])</f>
        <v>0</v>
      </c>
      <c r="AC208" s="352">
        <f>IF(NFI_Expiration=1,IF($A208&lt;VLOOKUP(L$5,NFI,5,0),1,0)*Table_NFI[[#This Row],[Tarpaulin]],Table_NFI[[#This Row],[Tarpaulin]])</f>
        <v>0</v>
      </c>
      <c r="AD208" s="352">
        <f>IF(NFI_Expiration=1,IF($A208&lt;VLOOKUP(M$5,NFI,5,0),1,0)*Table_NFI[[#This Row],[Blanket]],Table_NFI[[#This Row],[Blanket]])</f>
        <v>0</v>
      </c>
      <c r="AE208" s="352">
        <f>IF(NFI_Expiration=1,IF($A208&lt;VLOOKUP(N$5,NFI,5,0),1,0)*Table_NFI[[#This Row],[Kitchen Set]],Table_NFI[Kitchen Set])</f>
        <v>0</v>
      </c>
      <c r="AF208" s="352">
        <f>IF(NFI_Expiration=1,IF($A208&lt;VLOOKUP(O$5,NFI,5,0),1,0)*Table_NFI[[#This Row],[Clothes Kit]],Table_NFI[Clothes Kit])</f>
        <v>0</v>
      </c>
      <c r="AG208" s="352">
        <f>IF(NFI_Expiration=1,IF($A208&lt;VLOOKUP(P$5,NFI,5,0),1,0)*Table_NFI[[#This Row],[Plastic Bucket]],Table_NFI[Plastic Bucket])</f>
        <v>0</v>
      </c>
      <c r="AH208" s="352">
        <f>IF(NFI_Expiration=1,IF($A208&lt;VLOOKUP(Q$5,NFI,5,0),1,0)*Table_NFI[[#This Row],[Plastic Mat]],Table_NFI[Plastic Mat])*IF(Table_NFI[[#This Row],[Distribution Date]]&gt;"2014-04-01",1,2.5)</f>
        <v>0</v>
      </c>
      <c r="AI208" s="352">
        <f>IF(NFI_Expiration=1,IF($A208&lt;VLOOKUP(R$5,NFI,5,0),1,0)*Table_NFI[[#This Row],[Winter Clothes Adult]],Table_NFI[Winter Clothes Adult])</f>
        <v>0</v>
      </c>
      <c r="AJ208" s="352">
        <f>IF(NFI_Expiration=1,IF($A208&lt;VLOOKUP(S$5,NFI,5,0),1,0)*Table_NFI[[#This Row],[Winter Clothes Children]],Table_NFI[Winter Clothes Children])</f>
        <v>0</v>
      </c>
      <c r="AK208" s="352">
        <f>IF(NFI_Expiration=1,IF($A208&lt;VLOOKUP(T$5,NFI,5,0),1,0)*Table_NFI[[#This Row],[Winter Items Other]],Table_NFI[Winter Items Other])</f>
        <v>0</v>
      </c>
      <c r="AL208" s="352">
        <f>IF(NFI_Expiration=1,IF($A208&lt;VLOOKUP(M$5,NFI,5,0),1,0)*Table_NFI[[#This Row],[Winter Blanket]],Table_NFI[[#This Row],[Winter Blanket]])</f>
        <v>0</v>
      </c>
      <c r="AM208" s="352">
        <f>IF(Table_NFI[[#This Row],[Winter Clothes Adult]]+Table_NFI[[#This Row],[Winter Clothes Children]]+Table_NFI[[#This Row],[Winter Items Other]]+Table_NFI[[#This Row],[Winter Blanket]]&gt;0,1,0)</f>
        <v>0</v>
      </c>
      <c r="AN208" s="392">
        <f>IF(NFI_Expiration=1,IF($A208&lt;VLOOKUP(V$5,NFI,5,0),1,0)*Table_NFI[[#This Row],[Jerry Can]],Table_NFI[Jerry Can])</f>
        <v>0</v>
      </c>
      <c r="AO208" s="540" t="str">
        <f>IFERROR(VLOOKUP(Table_NFI[[#This Row],[Camp Name]],CL,2,0),"")</f>
        <v>MMR001CMP052</v>
      </c>
      <c r="AP208" s="535">
        <f ca="1">IF(Table_NFI[[#This Row],[Pcode]]="","",IF(OFFSET(CampList[Opening Date],MATCH(Table_NFI[[#This Row],[Pcode]],CampList[CP_Pcode],0)-1,0,1,1)&gt;=NFI_Monitor_Date,1,0))</f>
        <v>0</v>
      </c>
      <c r="AQ208" s="540" t="str">
        <f>IFERROR(VLOOKUP(Table_NFI[[#This Row],[Camp Name]],CL,3,0),"")</f>
        <v>Open</v>
      </c>
      <c r="AR208" s="352" t="str">
        <f ca="1">IF(Table_NFI[[#This Row],[Pcode]]="","",OFFSET(CampList[Priority],MATCH(Table_NFI[[#This Row],[Pcode]],CampList[CP_Pcode],0)-1,0,1,1))</f>
        <v>P4</v>
      </c>
      <c r="AS208" s="351">
        <f>IFERROR(Table_NFI[[#This Row],[Kitchen Set]]/VLOOKUP(Table_NFI[[#This Row],[Camp Name]],CL,4,0),"")</f>
        <v>0</v>
      </c>
      <c r="AT208" s="533"/>
      <c r="AU208" s="536"/>
    </row>
    <row r="209" spans="1:47" s="129" customFormat="1" hidden="1" x14ac:dyDescent="0.25">
      <c r="A209" s="355">
        <f t="shared" si="3"/>
        <v>50.1</v>
      </c>
      <c r="B209" s="532">
        <v>41068</v>
      </c>
      <c r="C209" s="533" t="s">
        <v>907</v>
      </c>
      <c r="D209" s="534" t="s">
        <v>907</v>
      </c>
      <c r="E209" s="533" t="s">
        <v>380</v>
      </c>
      <c r="F209" s="348" t="s">
        <v>5</v>
      </c>
      <c r="G209" s="348" t="s">
        <v>14</v>
      </c>
      <c r="H209" s="352">
        <v>22</v>
      </c>
      <c r="I209" s="349"/>
      <c r="J209" s="349"/>
      <c r="K209" s="349"/>
      <c r="L209" s="350"/>
      <c r="M209" s="350"/>
      <c r="N209" s="350"/>
      <c r="O209" s="350"/>
      <c r="P209" s="352"/>
      <c r="Q209" s="392"/>
      <c r="R209" s="392"/>
      <c r="S209" s="392"/>
      <c r="T209" s="392"/>
      <c r="U209" s="392"/>
      <c r="V209" s="497"/>
      <c r="W209" s="392"/>
      <c r="X209" s="392"/>
      <c r="Y209" s="352">
        <f>IF(NFI_Expiration=1,IF($A209&lt;VLOOKUP(H$5,NFI,5,0),1,0)*Table_NFI[[#This Row],[Hygiene Kit]],Table_NFI[Hygiene Kit])</f>
        <v>0</v>
      </c>
      <c r="Z209" s="352">
        <f>IF(NFI_Expiration=1,IF($A209&lt;VLOOKUP(I$5,NFI,5,0),1,0)*Table_NFI[[#This Row],[NFI Core Kit]],Table_NFI[NFI Core Kit])</f>
        <v>0</v>
      </c>
      <c r="AA209" s="352">
        <f>IF(NFI_Expiration=1,IF($A209&lt;VLOOKUP(J$5,NFI,5,0),1,0)*Table_NFI[[#This Row],[Sanitary Kit]],Table_NFI[Sanitary Kit])</f>
        <v>0</v>
      </c>
      <c r="AB209" s="352">
        <f>IF(NFI_Expiration=1,IF($A209&lt;VLOOKUP(K$5,NFI,5,0),1,0)*Table_NFI[[#This Row],[Mosquito net]],Table_NFI[Mosquito net])</f>
        <v>0</v>
      </c>
      <c r="AC209" s="352">
        <f>IF(NFI_Expiration=1,IF($A209&lt;VLOOKUP(L$5,NFI,5,0),1,0)*Table_NFI[[#This Row],[Tarpaulin]],Table_NFI[[#This Row],[Tarpaulin]])</f>
        <v>0</v>
      </c>
      <c r="AD209" s="352">
        <f>IF(NFI_Expiration=1,IF($A209&lt;VLOOKUP(M$5,NFI,5,0),1,0)*Table_NFI[[#This Row],[Blanket]],Table_NFI[[#This Row],[Blanket]])</f>
        <v>0</v>
      </c>
      <c r="AE209" s="352">
        <f>IF(NFI_Expiration=1,IF($A209&lt;VLOOKUP(N$5,NFI,5,0),1,0)*Table_NFI[[#This Row],[Kitchen Set]],Table_NFI[Kitchen Set])</f>
        <v>0</v>
      </c>
      <c r="AF209" s="352">
        <f>IF(NFI_Expiration=1,IF($A209&lt;VLOOKUP(O$5,NFI,5,0),1,0)*Table_NFI[[#This Row],[Clothes Kit]],Table_NFI[Clothes Kit])</f>
        <v>0</v>
      </c>
      <c r="AG209" s="352">
        <f>IF(NFI_Expiration=1,IF($A209&lt;VLOOKUP(P$5,NFI,5,0),1,0)*Table_NFI[[#This Row],[Plastic Bucket]],Table_NFI[Plastic Bucket])</f>
        <v>0</v>
      </c>
      <c r="AH209" s="352">
        <f>IF(NFI_Expiration=1,IF($A209&lt;VLOOKUP(Q$5,NFI,5,0),1,0)*Table_NFI[[#This Row],[Plastic Mat]],Table_NFI[Plastic Mat])*IF(Table_NFI[[#This Row],[Distribution Date]]&gt;"2014-04-01",1,2.5)</f>
        <v>0</v>
      </c>
      <c r="AI209" s="352">
        <f>IF(NFI_Expiration=1,IF($A209&lt;VLOOKUP(R$5,NFI,5,0),1,0)*Table_NFI[[#This Row],[Winter Clothes Adult]],Table_NFI[Winter Clothes Adult])</f>
        <v>0</v>
      </c>
      <c r="AJ209" s="352">
        <f>IF(NFI_Expiration=1,IF($A209&lt;VLOOKUP(S$5,NFI,5,0),1,0)*Table_NFI[[#This Row],[Winter Clothes Children]],Table_NFI[Winter Clothes Children])</f>
        <v>0</v>
      </c>
      <c r="AK209" s="352">
        <f>IF(NFI_Expiration=1,IF($A209&lt;VLOOKUP(T$5,NFI,5,0),1,0)*Table_NFI[[#This Row],[Winter Items Other]],Table_NFI[Winter Items Other])</f>
        <v>0</v>
      </c>
      <c r="AL209" s="352">
        <f>IF(NFI_Expiration=1,IF($A209&lt;VLOOKUP(M$5,NFI,5,0),1,0)*Table_NFI[[#This Row],[Winter Blanket]],Table_NFI[[#This Row],[Winter Blanket]])</f>
        <v>0</v>
      </c>
      <c r="AM209" s="352">
        <f>IF(Table_NFI[[#This Row],[Winter Clothes Adult]]+Table_NFI[[#This Row],[Winter Clothes Children]]+Table_NFI[[#This Row],[Winter Items Other]]+Table_NFI[[#This Row],[Winter Blanket]]&gt;0,1,0)</f>
        <v>0</v>
      </c>
      <c r="AN209" s="392">
        <f>IF(NFI_Expiration=1,IF($A209&lt;VLOOKUP(V$5,NFI,5,0),1,0)*Table_NFI[[#This Row],[Jerry Can]],Table_NFI[Jerry Can])</f>
        <v>0</v>
      </c>
      <c r="AO209" s="540" t="str">
        <f>IFERROR(VLOOKUP(Table_NFI[[#This Row],[Camp Name]],CL,2,0),"")</f>
        <v>MMR001CMP052</v>
      </c>
      <c r="AP209" s="535">
        <f ca="1">IF(Table_NFI[[#This Row],[Pcode]]="","",IF(OFFSET(CampList[Opening Date],MATCH(Table_NFI[[#This Row],[Pcode]],CampList[CP_Pcode],0)-1,0,1,1)&gt;=NFI_Monitor_Date,1,0))</f>
        <v>0</v>
      </c>
      <c r="AQ209" s="540" t="str">
        <f>IFERROR(VLOOKUP(Table_NFI[[#This Row],[Camp Name]],CL,3,0),"")</f>
        <v>Open</v>
      </c>
      <c r="AR209" s="352" t="str">
        <f ca="1">IF(Table_NFI[[#This Row],[Pcode]]="","",OFFSET(CampList[Priority],MATCH(Table_NFI[[#This Row],[Pcode]],CampList[CP_Pcode],0)-1,0,1,1))</f>
        <v>P4</v>
      </c>
      <c r="AS209" s="351">
        <f>IFERROR(Table_NFI[[#This Row],[Kitchen Set]]/VLOOKUP(Table_NFI[[#This Row],[Camp Name]],CL,4,0),"")</f>
        <v>0</v>
      </c>
      <c r="AT209" s="533"/>
      <c r="AU209" s="536"/>
    </row>
    <row r="210" spans="1:47" s="129" customFormat="1" ht="14.45" hidden="1" customHeight="1" x14ac:dyDescent="0.25">
      <c r="A210" s="355">
        <f t="shared" si="3"/>
        <v>27.8</v>
      </c>
      <c r="B210" s="532">
        <v>41737</v>
      </c>
      <c r="C210" s="533" t="s">
        <v>1106</v>
      </c>
      <c r="D210" s="533" t="s">
        <v>902</v>
      </c>
      <c r="E210" s="533" t="s">
        <v>380</v>
      </c>
      <c r="F210" s="533" t="s">
        <v>5</v>
      </c>
      <c r="G210" s="533" t="s">
        <v>14</v>
      </c>
      <c r="H210" s="349"/>
      <c r="I210" s="349"/>
      <c r="J210" s="349"/>
      <c r="K210" s="349"/>
      <c r="L210" s="350"/>
      <c r="M210" s="350"/>
      <c r="N210" s="350"/>
      <c r="O210" s="350"/>
      <c r="P210" s="352"/>
      <c r="Q210" s="352"/>
      <c r="R210" s="352"/>
      <c r="S210" s="352"/>
      <c r="T210" s="352"/>
      <c r="U210" s="352">
        <v>90</v>
      </c>
      <c r="V210" s="497"/>
      <c r="W210" s="352"/>
      <c r="X210" s="352"/>
      <c r="Y210" s="352">
        <f>IF(NFI_Expiration=1,IF($A210&lt;VLOOKUP(H$5,NFI,5,0),1,0)*Table_NFI[[#This Row],[Hygiene Kit]],Table_NFI[Hygiene Kit])</f>
        <v>0</v>
      </c>
      <c r="Z210" s="352">
        <f>IF(NFI_Expiration=1,IF($A210&lt;VLOOKUP(I$5,NFI,5,0),1,0)*Table_NFI[[#This Row],[NFI Core Kit]],Table_NFI[NFI Core Kit])</f>
        <v>0</v>
      </c>
      <c r="AA210" s="352">
        <f>IF(NFI_Expiration=1,IF($A210&lt;VLOOKUP(J$5,NFI,5,0),1,0)*Table_NFI[[#This Row],[Sanitary Kit]],Table_NFI[Sanitary Kit])</f>
        <v>0</v>
      </c>
      <c r="AB210" s="352">
        <f>IF(NFI_Expiration=1,IF($A210&lt;VLOOKUP(K$5,NFI,5,0),1,0)*Table_NFI[[#This Row],[Mosquito net]],Table_NFI[Mosquito net])</f>
        <v>0</v>
      </c>
      <c r="AC210" s="352">
        <f>IF(NFI_Expiration=1,IF($A210&lt;VLOOKUP(L$5,NFI,5,0),1,0)*Table_NFI[[#This Row],[Tarpaulin]],Table_NFI[[#This Row],[Tarpaulin]])</f>
        <v>0</v>
      </c>
      <c r="AD210" s="352">
        <f>IF(NFI_Expiration=1,IF($A210&lt;VLOOKUP(M$5,NFI,5,0),1,0)*Table_NFI[[#This Row],[Blanket]],Table_NFI[[#This Row],[Blanket]])</f>
        <v>0</v>
      </c>
      <c r="AE210" s="352">
        <f>IF(NFI_Expiration=1,IF($A210&lt;VLOOKUP(N$5,NFI,5,0),1,0)*Table_NFI[[#This Row],[Kitchen Set]],Table_NFI[Kitchen Set])</f>
        <v>0</v>
      </c>
      <c r="AF210" s="352">
        <f>IF(NFI_Expiration=1,IF($A210&lt;VLOOKUP(O$5,NFI,5,0),1,0)*Table_NFI[[#This Row],[Clothes Kit]],Table_NFI[Clothes Kit])</f>
        <v>0</v>
      </c>
      <c r="AG210" s="352">
        <f>IF(NFI_Expiration=1,IF($A210&lt;VLOOKUP(P$5,NFI,5,0),1,0)*Table_NFI[[#This Row],[Plastic Bucket]],Table_NFI[Plastic Bucket])</f>
        <v>0</v>
      </c>
      <c r="AH210" s="352">
        <f>IF(NFI_Expiration=1,IF($A210&lt;VLOOKUP(Q$5,NFI,5,0),1,0)*Table_NFI[[#This Row],[Plastic Mat]],Table_NFI[Plastic Mat])*IF(Table_NFI[[#This Row],[Distribution Date]]&gt;"2014-04-01",1,2.5)</f>
        <v>0</v>
      </c>
      <c r="AI210" s="352">
        <f>IF(NFI_Expiration=1,IF($A210&lt;VLOOKUP(R$5,NFI,5,0),1,0)*Table_NFI[[#This Row],[Winter Clothes Adult]],Table_NFI[Winter Clothes Adult])</f>
        <v>0</v>
      </c>
      <c r="AJ210" s="352">
        <f>IF(NFI_Expiration=1,IF($A210&lt;VLOOKUP(S$5,NFI,5,0),1,0)*Table_NFI[[#This Row],[Winter Clothes Children]],Table_NFI[Winter Clothes Children])</f>
        <v>0</v>
      </c>
      <c r="AK210" s="352">
        <f>IF(NFI_Expiration=1,IF($A210&lt;VLOOKUP(T$5,NFI,5,0),1,0)*Table_NFI[[#This Row],[Winter Items Other]],Table_NFI[Winter Items Other])</f>
        <v>0</v>
      </c>
      <c r="AL210" s="352">
        <f>IF(NFI_Expiration=1,IF($A210&lt;VLOOKUP(M$5,NFI,5,0),1,0)*Table_NFI[[#This Row],[Winter Blanket]],Table_NFI[[#This Row],[Winter Blanket]])</f>
        <v>0</v>
      </c>
      <c r="AM210" s="352">
        <f>IF(Table_NFI[[#This Row],[Winter Clothes Adult]]+Table_NFI[[#This Row],[Winter Clothes Children]]+Table_NFI[[#This Row],[Winter Items Other]]+Table_NFI[[#This Row],[Winter Blanket]]&gt;0,1,0)</f>
        <v>1</v>
      </c>
      <c r="AN210" s="392">
        <f>IF(NFI_Expiration=1,IF($A210&lt;VLOOKUP(V$5,NFI,5,0),1,0)*Table_NFI[[#This Row],[Jerry Can]],Table_NFI[Jerry Can])</f>
        <v>0</v>
      </c>
      <c r="AO210" s="540" t="str">
        <f>IFERROR(VLOOKUP(Table_NFI[[#This Row],[Camp Name]],CL,2,0),"")</f>
        <v>MMR001CMP052</v>
      </c>
      <c r="AP210" s="535">
        <f ca="1">IF(Table_NFI[[#This Row],[Pcode]]="","",IF(OFFSET(CampList[Opening Date],MATCH(Table_NFI[[#This Row],[Pcode]],CampList[CP_Pcode],0)-1,0,1,1)&gt;=NFI_Monitor_Date,1,0))</f>
        <v>0</v>
      </c>
      <c r="AQ210" s="540" t="str">
        <f>IFERROR(VLOOKUP(Table_NFI[[#This Row],[Camp Name]],CL,3,0),"")</f>
        <v>Open</v>
      </c>
      <c r="AR210" s="352" t="str">
        <f ca="1">IF(Table_NFI[[#This Row],[Pcode]]="","",OFFSET(CampList[Priority],MATCH(Table_NFI[[#This Row],[Pcode]],CampList[CP_Pcode],0)-1,0,1,1))</f>
        <v>P4</v>
      </c>
      <c r="AS210" s="351">
        <f>IFERROR(Table_NFI[[#This Row],[Kitchen Set]]/VLOOKUP(Table_NFI[[#This Row],[Camp Name]],CL,4,0),"")</f>
        <v>0</v>
      </c>
      <c r="AT210" s="533"/>
      <c r="AU210" s="536"/>
    </row>
    <row r="211" spans="1:47" s="129" customFormat="1" ht="14.45" hidden="1" customHeight="1" x14ac:dyDescent="0.25">
      <c r="A211" s="355">
        <f t="shared" si="3"/>
        <v>32.1</v>
      </c>
      <c r="B211" s="532">
        <v>41608</v>
      </c>
      <c r="C211" s="533" t="s">
        <v>1099</v>
      </c>
      <c r="D211" s="534" t="s">
        <v>946</v>
      </c>
      <c r="E211" s="533" t="s">
        <v>380</v>
      </c>
      <c r="F211" s="348" t="s">
        <v>5</v>
      </c>
      <c r="G211" s="348" t="s">
        <v>14</v>
      </c>
      <c r="H211" s="349"/>
      <c r="I211" s="349"/>
      <c r="J211" s="349"/>
      <c r="K211" s="349"/>
      <c r="L211" s="350"/>
      <c r="M211" s="350">
        <v>105</v>
      </c>
      <c r="N211" s="350"/>
      <c r="O211" s="350"/>
      <c r="P211" s="352"/>
      <c r="Q211" s="352"/>
      <c r="R211" s="352">
        <v>154</v>
      </c>
      <c r="S211" s="352">
        <v>26</v>
      </c>
      <c r="T211" s="352">
        <v>0</v>
      </c>
      <c r="U211" s="352"/>
      <c r="V211" s="497"/>
      <c r="W211" s="352"/>
      <c r="X211" s="352"/>
      <c r="Y211" s="352">
        <f>IF(NFI_Expiration=1,IF($A211&lt;VLOOKUP(H$5,NFI,5,0),1,0)*Table_NFI[[#This Row],[Hygiene Kit]],Table_NFI[Hygiene Kit])</f>
        <v>0</v>
      </c>
      <c r="Z211" s="352">
        <f>IF(NFI_Expiration=1,IF($A211&lt;VLOOKUP(I$5,NFI,5,0),1,0)*Table_NFI[[#This Row],[NFI Core Kit]],Table_NFI[NFI Core Kit])</f>
        <v>0</v>
      </c>
      <c r="AA211" s="352">
        <f>IF(NFI_Expiration=1,IF($A211&lt;VLOOKUP(J$5,NFI,5,0),1,0)*Table_NFI[[#This Row],[Sanitary Kit]],Table_NFI[Sanitary Kit])</f>
        <v>0</v>
      </c>
      <c r="AB211" s="352">
        <f>IF(NFI_Expiration=1,IF($A211&lt;VLOOKUP(K$5,NFI,5,0),1,0)*Table_NFI[[#This Row],[Mosquito net]],Table_NFI[Mosquito net])</f>
        <v>0</v>
      </c>
      <c r="AC211" s="352">
        <f>IF(NFI_Expiration=1,IF($A211&lt;VLOOKUP(L$5,NFI,5,0),1,0)*Table_NFI[[#This Row],[Tarpaulin]],Table_NFI[[#This Row],[Tarpaulin]])</f>
        <v>0</v>
      </c>
      <c r="AD211" s="352">
        <f>IF(NFI_Expiration=1,IF($A211&lt;VLOOKUP(M$5,NFI,5,0),1,0)*Table_NFI[[#This Row],[Blanket]],Table_NFI[[#This Row],[Blanket]])</f>
        <v>0</v>
      </c>
      <c r="AE211" s="352">
        <f>IF(NFI_Expiration=1,IF($A211&lt;VLOOKUP(N$5,NFI,5,0),1,0)*Table_NFI[[#This Row],[Kitchen Set]],Table_NFI[Kitchen Set])</f>
        <v>0</v>
      </c>
      <c r="AF211" s="352">
        <f>IF(NFI_Expiration=1,IF($A211&lt;VLOOKUP(O$5,NFI,5,0),1,0)*Table_NFI[[#This Row],[Clothes Kit]],Table_NFI[Clothes Kit])</f>
        <v>0</v>
      </c>
      <c r="AG211" s="352">
        <f>IF(NFI_Expiration=1,IF($A211&lt;VLOOKUP(P$5,NFI,5,0),1,0)*Table_NFI[[#This Row],[Plastic Bucket]],Table_NFI[Plastic Bucket])</f>
        <v>0</v>
      </c>
      <c r="AH211" s="352">
        <f>IF(NFI_Expiration=1,IF($A211&lt;VLOOKUP(Q$5,NFI,5,0),1,0)*Table_NFI[[#This Row],[Plastic Mat]],Table_NFI[Plastic Mat])*IF(Table_NFI[[#This Row],[Distribution Date]]&gt;"2014-04-01",1,2.5)</f>
        <v>0</v>
      </c>
      <c r="AI211" s="352">
        <f>IF(NFI_Expiration=1,IF($A211&lt;VLOOKUP(R$5,NFI,5,0),1,0)*Table_NFI[[#This Row],[Winter Clothes Adult]],Table_NFI[Winter Clothes Adult])</f>
        <v>0</v>
      </c>
      <c r="AJ211" s="352">
        <f>IF(NFI_Expiration=1,IF($A211&lt;VLOOKUP(S$5,NFI,5,0),1,0)*Table_NFI[[#This Row],[Winter Clothes Children]],Table_NFI[Winter Clothes Children])</f>
        <v>0</v>
      </c>
      <c r="AK211" s="352">
        <f>IF(NFI_Expiration=1,IF($A211&lt;VLOOKUP(T$5,NFI,5,0),1,0)*Table_NFI[[#This Row],[Winter Items Other]],Table_NFI[Winter Items Other])</f>
        <v>0</v>
      </c>
      <c r="AL211" s="352">
        <f>IF(NFI_Expiration=1,IF($A211&lt;VLOOKUP(M$5,NFI,5,0),1,0)*Table_NFI[[#This Row],[Winter Blanket]],Table_NFI[[#This Row],[Winter Blanket]])</f>
        <v>0</v>
      </c>
      <c r="AM211" s="352">
        <f>IF(Table_NFI[[#This Row],[Winter Clothes Adult]]+Table_NFI[[#This Row],[Winter Clothes Children]]+Table_NFI[[#This Row],[Winter Items Other]]+Table_NFI[[#This Row],[Winter Blanket]]&gt;0,1,0)</f>
        <v>1</v>
      </c>
      <c r="AN211" s="392">
        <f>IF(NFI_Expiration=1,IF($A211&lt;VLOOKUP(V$5,NFI,5,0),1,0)*Table_NFI[[#This Row],[Jerry Can]],Table_NFI[Jerry Can])</f>
        <v>0</v>
      </c>
      <c r="AO211" s="540" t="str">
        <f>IFERROR(VLOOKUP(Table_NFI[[#This Row],[Camp Name]],CL,2,0),"")</f>
        <v>MMR001CMP052</v>
      </c>
      <c r="AP211" s="535">
        <f ca="1">IF(Table_NFI[[#This Row],[Pcode]]="","",IF(OFFSET(CampList[Opening Date],MATCH(Table_NFI[[#This Row],[Pcode]],CampList[CP_Pcode],0)-1,0,1,1)&gt;=NFI_Monitor_Date,1,0))</f>
        <v>0</v>
      </c>
      <c r="AQ211" s="540" t="str">
        <f>IFERROR(VLOOKUP(Table_NFI[[#This Row],[Camp Name]],CL,3,0),"")</f>
        <v>Open</v>
      </c>
      <c r="AR211" s="352" t="str">
        <f ca="1">IF(Table_NFI[[#This Row],[Pcode]]="","",OFFSET(CampList[Priority],MATCH(Table_NFI[[#This Row],[Pcode]],CampList[CP_Pcode],0)-1,0,1,1))</f>
        <v>P4</v>
      </c>
      <c r="AS211" s="351">
        <f>IFERROR(Table_NFI[[#This Row],[Kitchen Set]]/VLOOKUP(Table_NFI[[#This Row],[Camp Name]],CL,4,0),"")</f>
        <v>0</v>
      </c>
      <c r="AT211" s="533" t="s">
        <v>1094</v>
      </c>
      <c r="AU211" s="536"/>
    </row>
    <row r="212" spans="1:47" s="129" customFormat="1" hidden="1" x14ac:dyDescent="0.25">
      <c r="A212" s="355">
        <f t="shared" si="3"/>
        <v>32.1</v>
      </c>
      <c r="B212" s="532">
        <v>41608</v>
      </c>
      <c r="C212" s="533" t="s">
        <v>907</v>
      </c>
      <c r="D212" s="533"/>
      <c r="E212" s="533" t="s">
        <v>380</v>
      </c>
      <c r="F212" s="348" t="s">
        <v>5</v>
      </c>
      <c r="G212" s="348" t="s">
        <v>14</v>
      </c>
      <c r="H212" s="349"/>
      <c r="I212" s="349"/>
      <c r="J212" s="349"/>
      <c r="K212" s="349"/>
      <c r="L212" s="350"/>
      <c r="M212" s="350"/>
      <c r="N212" s="350"/>
      <c r="O212" s="350"/>
      <c r="P212" s="352"/>
      <c r="Q212" s="352">
        <v>138</v>
      </c>
      <c r="R212" s="352"/>
      <c r="S212" s="352"/>
      <c r="T212" s="352"/>
      <c r="U212" s="352"/>
      <c r="V212" s="497"/>
      <c r="W212" s="352"/>
      <c r="X212" s="352"/>
      <c r="Y212" s="352">
        <f>IF(NFI_Expiration=1,IF($A212&lt;VLOOKUP(H$5,NFI,5,0),1,0)*Table_NFI[[#This Row],[Hygiene Kit]],Table_NFI[Hygiene Kit])</f>
        <v>0</v>
      </c>
      <c r="Z212" s="352">
        <f>IF(NFI_Expiration=1,IF($A212&lt;VLOOKUP(I$5,NFI,5,0),1,0)*Table_NFI[[#This Row],[NFI Core Kit]],Table_NFI[NFI Core Kit])</f>
        <v>0</v>
      </c>
      <c r="AA212" s="352">
        <f>IF(NFI_Expiration=1,IF($A212&lt;VLOOKUP(J$5,NFI,5,0),1,0)*Table_NFI[[#This Row],[Sanitary Kit]],Table_NFI[Sanitary Kit])</f>
        <v>0</v>
      </c>
      <c r="AB212" s="352">
        <f>IF(NFI_Expiration=1,IF($A212&lt;VLOOKUP(K$5,NFI,5,0),1,0)*Table_NFI[[#This Row],[Mosquito net]],Table_NFI[Mosquito net])</f>
        <v>0</v>
      </c>
      <c r="AC212" s="352">
        <f>IF(NFI_Expiration=1,IF($A212&lt;VLOOKUP(L$5,NFI,5,0),1,0)*Table_NFI[[#This Row],[Tarpaulin]],Table_NFI[[#This Row],[Tarpaulin]])</f>
        <v>0</v>
      </c>
      <c r="AD212" s="352">
        <f>IF(NFI_Expiration=1,IF($A212&lt;VLOOKUP(M$5,NFI,5,0),1,0)*Table_NFI[[#This Row],[Blanket]],Table_NFI[[#This Row],[Blanket]])</f>
        <v>0</v>
      </c>
      <c r="AE212" s="352">
        <f>IF(NFI_Expiration=1,IF($A212&lt;VLOOKUP(N$5,NFI,5,0),1,0)*Table_NFI[[#This Row],[Kitchen Set]],Table_NFI[Kitchen Set])</f>
        <v>0</v>
      </c>
      <c r="AF212" s="352">
        <f>IF(NFI_Expiration=1,IF($A212&lt;VLOOKUP(O$5,NFI,5,0),1,0)*Table_NFI[[#This Row],[Clothes Kit]],Table_NFI[Clothes Kit])</f>
        <v>0</v>
      </c>
      <c r="AG212" s="352">
        <f>IF(NFI_Expiration=1,IF($A212&lt;VLOOKUP(P$5,NFI,5,0),1,0)*Table_NFI[[#This Row],[Plastic Bucket]],Table_NFI[Plastic Bucket])</f>
        <v>0</v>
      </c>
      <c r="AH212" s="352">
        <f>IF(NFI_Expiration=1,IF($A212&lt;VLOOKUP(Q$5,NFI,5,0),1,0)*Table_NFI[[#This Row],[Plastic Mat]],Table_NFI[Plastic Mat])*IF(Table_NFI[[#This Row],[Distribution Date]]&gt;"2014-04-01",1,2.5)</f>
        <v>0</v>
      </c>
      <c r="AI212" s="352">
        <f>IF(NFI_Expiration=1,IF($A212&lt;VLOOKUP(R$5,NFI,5,0),1,0)*Table_NFI[[#This Row],[Winter Clothes Adult]],Table_NFI[Winter Clothes Adult])</f>
        <v>0</v>
      </c>
      <c r="AJ212" s="352">
        <f>IF(NFI_Expiration=1,IF($A212&lt;VLOOKUP(S$5,NFI,5,0),1,0)*Table_NFI[[#This Row],[Winter Clothes Children]],Table_NFI[Winter Clothes Children])</f>
        <v>0</v>
      </c>
      <c r="AK212" s="352">
        <f>IF(NFI_Expiration=1,IF($A212&lt;VLOOKUP(T$5,NFI,5,0),1,0)*Table_NFI[[#This Row],[Winter Items Other]],Table_NFI[Winter Items Other])</f>
        <v>0</v>
      </c>
      <c r="AL212" s="352">
        <f>IF(NFI_Expiration=1,IF($A212&lt;VLOOKUP(M$5,NFI,5,0),1,0)*Table_NFI[[#This Row],[Winter Blanket]],Table_NFI[[#This Row],[Winter Blanket]])</f>
        <v>0</v>
      </c>
      <c r="AM212" s="352">
        <f>IF(Table_NFI[[#This Row],[Winter Clothes Adult]]+Table_NFI[[#This Row],[Winter Clothes Children]]+Table_NFI[[#This Row],[Winter Items Other]]+Table_NFI[[#This Row],[Winter Blanket]]&gt;0,1,0)</f>
        <v>0</v>
      </c>
      <c r="AN212" s="392">
        <f>IF(NFI_Expiration=1,IF($A212&lt;VLOOKUP(V$5,NFI,5,0),1,0)*Table_NFI[[#This Row],[Jerry Can]],Table_NFI[Jerry Can])</f>
        <v>0</v>
      </c>
      <c r="AO212" s="540" t="str">
        <f>IFERROR(VLOOKUP(Table_NFI[[#This Row],[Camp Name]],CL,2,0),"")</f>
        <v>MMR001CMP052</v>
      </c>
      <c r="AP212" s="535">
        <f ca="1">IF(Table_NFI[[#This Row],[Pcode]]="","",IF(OFFSET(CampList[Opening Date],MATCH(Table_NFI[[#This Row],[Pcode]],CampList[CP_Pcode],0)-1,0,1,1)&gt;=NFI_Monitor_Date,1,0))</f>
        <v>0</v>
      </c>
      <c r="AQ212" s="540" t="str">
        <f>IFERROR(VLOOKUP(Table_NFI[[#This Row],[Camp Name]],CL,3,0),"")</f>
        <v>Open</v>
      </c>
      <c r="AR212" s="352" t="str">
        <f ca="1">IF(Table_NFI[[#This Row],[Pcode]]="","",OFFSET(CampList[Priority],MATCH(Table_NFI[[#This Row],[Pcode]],CampList[CP_Pcode],0)-1,0,1,1))</f>
        <v>P4</v>
      </c>
      <c r="AS212" s="351">
        <f>IFERROR(Table_NFI[[#This Row],[Kitchen Set]]/VLOOKUP(Table_NFI[[#This Row],[Camp Name]],CL,4,0),"")</f>
        <v>0</v>
      </c>
      <c r="AT212" s="533" t="s">
        <v>1094</v>
      </c>
      <c r="AU212" s="536"/>
    </row>
    <row r="213" spans="1:47" s="129" customFormat="1" ht="14.45" hidden="1" customHeight="1" x14ac:dyDescent="0.25">
      <c r="A213" s="355">
        <f t="shared" si="3"/>
        <v>33</v>
      </c>
      <c r="B213" s="532">
        <v>41581</v>
      </c>
      <c r="C213" s="533" t="s">
        <v>902</v>
      </c>
      <c r="D213" s="534" t="s">
        <v>902</v>
      </c>
      <c r="E213" s="533" t="s">
        <v>380</v>
      </c>
      <c r="F213" s="348" t="s">
        <v>5</v>
      </c>
      <c r="G213" s="348" t="s">
        <v>14</v>
      </c>
      <c r="H213" s="349"/>
      <c r="I213" s="349"/>
      <c r="J213" s="349">
        <v>41</v>
      </c>
      <c r="K213" s="349"/>
      <c r="L213" s="350"/>
      <c r="M213" s="350"/>
      <c r="N213" s="350">
        <v>41</v>
      </c>
      <c r="O213" s="350"/>
      <c r="P213" s="352"/>
      <c r="Q213" s="352"/>
      <c r="R213" s="352"/>
      <c r="S213" s="352"/>
      <c r="T213" s="352"/>
      <c r="U213" s="352"/>
      <c r="V213" s="497"/>
      <c r="W213" s="352"/>
      <c r="X213" s="352"/>
      <c r="Y213" s="352">
        <f>IF(NFI_Expiration=1,IF($A213&lt;VLOOKUP(H$5,NFI,5,0),1,0)*Table_NFI[[#This Row],[Hygiene Kit]],Table_NFI[Hygiene Kit])</f>
        <v>0</v>
      </c>
      <c r="Z213" s="352">
        <f>IF(NFI_Expiration=1,IF($A213&lt;VLOOKUP(I$5,NFI,5,0),1,0)*Table_NFI[[#This Row],[NFI Core Kit]],Table_NFI[NFI Core Kit])</f>
        <v>0</v>
      </c>
      <c r="AA213" s="352">
        <f>IF(NFI_Expiration=1,IF($A213&lt;VLOOKUP(J$5,NFI,5,0),1,0)*Table_NFI[[#This Row],[Sanitary Kit]],Table_NFI[Sanitary Kit])</f>
        <v>0</v>
      </c>
      <c r="AB213" s="352">
        <f>IF(NFI_Expiration=1,IF($A213&lt;VLOOKUP(K$5,NFI,5,0),1,0)*Table_NFI[[#This Row],[Mosquito net]],Table_NFI[Mosquito net])</f>
        <v>0</v>
      </c>
      <c r="AC213" s="352">
        <f>IF(NFI_Expiration=1,IF($A213&lt;VLOOKUP(L$5,NFI,5,0),1,0)*Table_NFI[[#This Row],[Tarpaulin]],Table_NFI[[#This Row],[Tarpaulin]])</f>
        <v>0</v>
      </c>
      <c r="AD213" s="352">
        <f>IF(NFI_Expiration=1,IF($A213&lt;VLOOKUP(M$5,NFI,5,0),1,0)*Table_NFI[[#This Row],[Blanket]],Table_NFI[[#This Row],[Blanket]])</f>
        <v>0</v>
      </c>
      <c r="AE213" s="352">
        <f>IF(NFI_Expiration=1,IF($A213&lt;VLOOKUP(N$5,NFI,5,0),1,0)*Table_NFI[[#This Row],[Kitchen Set]],Table_NFI[Kitchen Set])</f>
        <v>0</v>
      </c>
      <c r="AF213" s="352">
        <f>IF(NFI_Expiration=1,IF($A213&lt;VLOOKUP(O$5,NFI,5,0),1,0)*Table_NFI[[#This Row],[Clothes Kit]],Table_NFI[Clothes Kit])</f>
        <v>0</v>
      </c>
      <c r="AG213" s="352">
        <f>IF(NFI_Expiration=1,IF($A213&lt;VLOOKUP(P$5,NFI,5,0),1,0)*Table_NFI[[#This Row],[Plastic Bucket]],Table_NFI[Plastic Bucket])</f>
        <v>0</v>
      </c>
      <c r="AH213" s="352">
        <f>IF(NFI_Expiration=1,IF($A213&lt;VLOOKUP(Q$5,NFI,5,0),1,0)*Table_NFI[[#This Row],[Plastic Mat]],Table_NFI[Plastic Mat])*IF(Table_NFI[[#This Row],[Distribution Date]]&gt;"2014-04-01",1,2.5)</f>
        <v>0</v>
      </c>
      <c r="AI213" s="352">
        <f>IF(NFI_Expiration=1,IF($A213&lt;VLOOKUP(R$5,NFI,5,0),1,0)*Table_NFI[[#This Row],[Winter Clothes Adult]],Table_NFI[Winter Clothes Adult])</f>
        <v>0</v>
      </c>
      <c r="AJ213" s="352">
        <f>IF(NFI_Expiration=1,IF($A213&lt;VLOOKUP(S$5,NFI,5,0),1,0)*Table_NFI[[#This Row],[Winter Clothes Children]],Table_NFI[Winter Clothes Children])</f>
        <v>0</v>
      </c>
      <c r="AK213" s="352">
        <f>IF(NFI_Expiration=1,IF($A213&lt;VLOOKUP(T$5,NFI,5,0),1,0)*Table_NFI[[#This Row],[Winter Items Other]],Table_NFI[Winter Items Other])</f>
        <v>0</v>
      </c>
      <c r="AL213" s="352">
        <f>IF(NFI_Expiration=1,IF($A213&lt;VLOOKUP(M$5,NFI,5,0),1,0)*Table_NFI[[#This Row],[Winter Blanket]],Table_NFI[[#This Row],[Winter Blanket]])</f>
        <v>0</v>
      </c>
      <c r="AM213" s="352">
        <f>IF(Table_NFI[[#This Row],[Winter Clothes Adult]]+Table_NFI[[#This Row],[Winter Clothes Children]]+Table_NFI[[#This Row],[Winter Items Other]]+Table_NFI[[#This Row],[Winter Blanket]]&gt;0,1,0)</f>
        <v>0</v>
      </c>
      <c r="AN213" s="392">
        <f>IF(NFI_Expiration=1,IF($A213&lt;VLOOKUP(V$5,NFI,5,0),1,0)*Table_NFI[[#This Row],[Jerry Can]],Table_NFI[Jerry Can])</f>
        <v>0</v>
      </c>
      <c r="AO213" s="540" t="str">
        <f>IFERROR(VLOOKUP(Table_NFI[[#This Row],[Camp Name]],CL,2,0),"")</f>
        <v>MMR001CMP052</v>
      </c>
      <c r="AP213" s="535">
        <f ca="1">IF(Table_NFI[[#This Row],[Pcode]]="","",IF(OFFSET(CampList[Opening Date],MATCH(Table_NFI[[#This Row],[Pcode]],CampList[CP_Pcode],0)-1,0,1,1)&gt;=NFI_Monitor_Date,1,0))</f>
        <v>0</v>
      </c>
      <c r="AQ213" s="540" t="str">
        <f>IFERROR(VLOOKUP(Table_NFI[[#This Row],[Camp Name]],CL,3,0),"")</f>
        <v>Open</v>
      </c>
      <c r="AR213" s="352" t="str">
        <f ca="1">IF(Table_NFI[[#This Row],[Pcode]]="","",OFFSET(CampList[Priority],MATCH(Table_NFI[[#This Row],[Pcode]],CampList[CP_Pcode],0)-1,0,1,1))</f>
        <v>P4</v>
      </c>
      <c r="AS213" s="351">
        <f>IFERROR(Table_NFI[[#This Row],[Kitchen Set]]/VLOOKUP(Table_NFI[[#This Row],[Camp Name]],CL,4,0),"")</f>
        <v>1.0512820512820513</v>
      </c>
      <c r="AT213" s="533" t="s">
        <v>1094</v>
      </c>
      <c r="AU213" s="536"/>
    </row>
    <row r="214" spans="1:47" s="129" customFormat="1" ht="14.45" customHeight="1" x14ac:dyDescent="0.25">
      <c r="A214" s="355">
        <f t="shared" si="3"/>
        <v>21.933333333333334</v>
      </c>
      <c r="B214" s="532">
        <v>41913</v>
      </c>
      <c r="C214" s="533" t="s">
        <v>453</v>
      </c>
      <c r="D214" s="538" t="s">
        <v>506</v>
      </c>
      <c r="E214" s="538" t="s">
        <v>380</v>
      </c>
      <c r="F214" s="538" t="s">
        <v>528</v>
      </c>
      <c r="G214" s="538" t="s">
        <v>76</v>
      </c>
      <c r="H214" s="350"/>
      <c r="I214" s="350"/>
      <c r="J214" s="350"/>
      <c r="K214" s="350">
        <v>130</v>
      </c>
      <c r="L214" s="350"/>
      <c r="M214" s="350"/>
      <c r="N214" s="350"/>
      <c r="O214" s="350"/>
      <c r="P214" s="352"/>
      <c r="Q214" s="352"/>
      <c r="R214" s="352"/>
      <c r="S214" s="352"/>
      <c r="T214" s="352"/>
      <c r="U214" s="352"/>
      <c r="V214" s="497"/>
      <c r="W214" s="352"/>
      <c r="X214" s="352"/>
      <c r="Y214" s="352">
        <f>IF(NFI_Expiration=1,IF($A214&lt;VLOOKUP(H$5,NFI,5,0),1,0)*Table_NFI[[#This Row],[Hygiene Kit]],Table_NFI[Hygiene Kit])</f>
        <v>0</v>
      </c>
      <c r="Z214" s="352">
        <f>IF(NFI_Expiration=1,IF($A214&lt;VLOOKUP(I$5,NFI,5,0),1,0)*Table_NFI[[#This Row],[NFI Core Kit]],Table_NFI[NFI Core Kit])</f>
        <v>0</v>
      </c>
      <c r="AA214" s="352">
        <f>IF(NFI_Expiration=1,IF($A214&lt;VLOOKUP(J$5,NFI,5,0),1,0)*Table_NFI[[#This Row],[Sanitary Kit]],Table_NFI[Sanitary Kit])</f>
        <v>0</v>
      </c>
      <c r="AB214" s="352">
        <f>IF(NFI_Expiration=1,IF($A214&lt;VLOOKUP(K$5,NFI,5,0),1,0)*Table_NFI[[#This Row],[Mosquito net]],Table_NFI[Mosquito net])</f>
        <v>0</v>
      </c>
      <c r="AC214" s="352">
        <f>IF(NFI_Expiration=1,IF($A214&lt;VLOOKUP(L$5,NFI,5,0),1,0)*Table_NFI[[#This Row],[Tarpaulin]],Table_NFI[[#This Row],[Tarpaulin]])</f>
        <v>0</v>
      </c>
      <c r="AD214" s="352">
        <f>IF(NFI_Expiration=1,IF($A214&lt;VLOOKUP(M$5,NFI,5,0),1,0)*Table_NFI[[#This Row],[Blanket]],Table_NFI[[#This Row],[Blanket]])</f>
        <v>0</v>
      </c>
      <c r="AE214" s="352">
        <f>IF(NFI_Expiration=1,IF($A214&lt;VLOOKUP(N$5,NFI,5,0),1,0)*Table_NFI[[#This Row],[Kitchen Set]],Table_NFI[Kitchen Set])</f>
        <v>0</v>
      </c>
      <c r="AF214" s="352">
        <f>IF(NFI_Expiration=1,IF($A214&lt;VLOOKUP(O$5,NFI,5,0),1,0)*Table_NFI[[#This Row],[Clothes Kit]],Table_NFI[Clothes Kit])</f>
        <v>0</v>
      </c>
      <c r="AG214" s="352">
        <f>IF(NFI_Expiration=1,IF($A214&lt;VLOOKUP(P$5,NFI,5,0),1,0)*Table_NFI[[#This Row],[Plastic Bucket]],Table_NFI[Plastic Bucket])</f>
        <v>0</v>
      </c>
      <c r="AH214" s="352">
        <f>IF(NFI_Expiration=1,IF($A214&lt;VLOOKUP(Q$5,NFI,5,0),1,0)*Table_NFI[[#This Row],[Plastic Mat]],Table_NFI[Plastic Mat])*IF(Table_NFI[[#This Row],[Distribution Date]]&gt;"2014-04-01",1,2.5)</f>
        <v>0</v>
      </c>
      <c r="AI214" s="352">
        <f>IF(NFI_Expiration=1,IF($A214&lt;VLOOKUP(R$5,NFI,5,0),1,0)*Table_NFI[[#This Row],[Winter Clothes Adult]],Table_NFI[Winter Clothes Adult])</f>
        <v>0</v>
      </c>
      <c r="AJ214" s="352">
        <f>IF(NFI_Expiration=1,IF($A214&lt;VLOOKUP(S$5,NFI,5,0),1,0)*Table_NFI[[#This Row],[Winter Clothes Children]],Table_NFI[Winter Clothes Children])</f>
        <v>0</v>
      </c>
      <c r="AK214" s="352">
        <f>IF(NFI_Expiration=1,IF($A214&lt;VLOOKUP(T$5,NFI,5,0),1,0)*Table_NFI[[#This Row],[Winter Items Other]],Table_NFI[Winter Items Other])</f>
        <v>0</v>
      </c>
      <c r="AL214" s="352">
        <f>IF(NFI_Expiration=1,IF($A214&lt;VLOOKUP(M$5,NFI,5,0),1,0)*Table_NFI[[#This Row],[Winter Blanket]],Table_NFI[[#This Row],[Winter Blanket]])</f>
        <v>0</v>
      </c>
      <c r="AM214" s="352">
        <f>IF(Table_NFI[[#This Row],[Winter Clothes Adult]]+Table_NFI[[#This Row],[Winter Clothes Children]]+Table_NFI[[#This Row],[Winter Items Other]]+Table_NFI[[#This Row],[Winter Blanket]]&gt;0,1,0)</f>
        <v>0</v>
      </c>
      <c r="AN214" s="392">
        <f>IF(NFI_Expiration=1,IF($A214&lt;VLOOKUP(V$5,NFI,5,0),1,0)*Table_NFI[[#This Row],[Jerry Can]],Table_NFI[Jerry Can])</f>
        <v>0</v>
      </c>
      <c r="AO214" s="540" t="str">
        <f>IFERROR(VLOOKUP(Table_NFI[[#This Row],[Camp Name]],CL,2,0),"")</f>
        <v>MMR001CMP174</v>
      </c>
      <c r="AP214" s="535">
        <f ca="1">IF(Table_NFI[[#This Row],[Pcode]]="","",IF(OFFSET(CampList[Opening Date],MATCH(Table_NFI[[#This Row],[Pcode]],CampList[CP_Pcode],0)-1,0,1,1)&gt;=NFI_Monitor_Date,1,0))</f>
        <v>0</v>
      </c>
      <c r="AQ214" s="540" t="str">
        <f>IFERROR(VLOOKUP(Table_NFI[[#This Row],[Camp Name]],CL,3,0),"")</f>
        <v>Open</v>
      </c>
      <c r="AR214" s="352" t="str">
        <f ca="1">IF(Table_NFI[[#This Row],[Pcode]]="","",OFFSET(CampList[Priority],MATCH(Table_NFI[[#This Row],[Pcode]],CampList[CP_Pcode],0)-1,0,1,1))</f>
        <v>P4</v>
      </c>
      <c r="AS214" s="351">
        <f>IFERROR(Table_NFI[[#This Row],[Kitchen Set]]/VLOOKUP(Table_NFI[[#This Row],[Camp Name]],CL,4,0),"")</f>
        <v>0</v>
      </c>
      <c r="AT214" s="538"/>
      <c r="AU214" s="541"/>
    </row>
    <row r="215" spans="1:47" s="129" customFormat="1" ht="14.45" customHeight="1" x14ac:dyDescent="0.25">
      <c r="A215" s="355">
        <f t="shared" si="3"/>
        <v>21.933333333333334</v>
      </c>
      <c r="B215" s="532">
        <v>41913</v>
      </c>
      <c r="C215" s="533" t="s">
        <v>453</v>
      </c>
      <c r="D215" s="538" t="s">
        <v>507</v>
      </c>
      <c r="E215" s="538" t="s">
        <v>380</v>
      </c>
      <c r="F215" s="538" t="s">
        <v>185</v>
      </c>
      <c r="G215" s="538" t="s">
        <v>192</v>
      </c>
      <c r="H215" s="350"/>
      <c r="I215" s="350"/>
      <c r="J215" s="350"/>
      <c r="K215" s="350">
        <v>238</v>
      </c>
      <c r="L215" s="350"/>
      <c r="M215" s="350"/>
      <c r="N215" s="350"/>
      <c r="O215" s="350"/>
      <c r="P215" s="352"/>
      <c r="Q215" s="352"/>
      <c r="R215" s="352"/>
      <c r="S215" s="352"/>
      <c r="T215" s="352"/>
      <c r="U215" s="352">
        <v>238</v>
      </c>
      <c r="V215" s="497"/>
      <c r="W215" s="352"/>
      <c r="X215" s="352"/>
      <c r="Y215" s="352">
        <f>IF(NFI_Expiration=1,IF($A215&lt;VLOOKUP(H$5,NFI,5,0),1,0)*Table_NFI[[#This Row],[Hygiene Kit]],Table_NFI[Hygiene Kit])</f>
        <v>0</v>
      </c>
      <c r="Z215" s="352">
        <f>IF(NFI_Expiration=1,IF($A215&lt;VLOOKUP(I$5,NFI,5,0),1,0)*Table_NFI[[#This Row],[NFI Core Kit]],Table_NFI[NFI Core Kit])</f>
        <v>0</v>
      </c>
      <c r="AA215" s="352">
        <f>IF(NFI_Expiration=1,IF($A215&lt;VLOOKUP(J$5,NFI,5,0),1,0)*Table_NFI[[#This Row],[Sanitary Kit]],Table_NFI[Sanitary Kit])</f>
        <v>0</v>
      </c>
      <c r="AB215" s="352">
        <f>IF(NFI_Expiration=1,IF($A215&lt;VLOOKUP(K$5,NFI,5,0),1,0)*Table_NFI[[#This Row],[Mosquito net]],Table_NFI[Mosquito net])</f>
        <v>0</v>
      </c>
      <c r="AC215" s="352">
        <f>IF(NFI_Expiration=1,IF($A215&lt;VLOOKUP(L$5,NFI,5,0),1,0)*Table_NFI[[#This Row],[Tarpaulin]],Table_NFI[[#This Row],[Tarpaulin]])</f>
        <v>0</v>
      </c>
      <c r="AD215" s="352">
        <f>IF(NFI_Expiration=1,IF($A215&lt;VLOOKUP(M$5,NFI,5,0),1,0)*Table_NFI[[#This Row],[Blanket]],Table_NFI[[#This Row],[Blanket]])</f>
        <v>0</v>
      </c>
      <c r="AE215" s="352">
        <f>IF(NFI_Expiration=1,IF($A215&lt;VLOOKUP(N$5,NFI,5,0),1,0)*Table_NFI[[#This Row],[Kitchen Set]],Table_NFI[Kitchen Set])</f>
        <v>0</v>
      </c>
      <c r="AF215" s="352">
        <f>IF(NFI_Expiration=1,IF($A215&lt;VLOOKUP(O$5,NFI,5,0),1,0)*Table_NFI[[#This Row],[Clothes Kit]],Table_NFI[Clothes Kit])</f>
        <v>0</v>
      </c>
      <c r="AG215" s="352">
        <f>IF(NFI_Expiration=1,IF($A215&lt;VLOOKUP(P$5,NFI,5,0),1,0)*Table_NFI[[#This Row],[Plastic Bucket]],Table_NFI[Plastic Bucket])</f>
        <v>0</v>
      </c>
      <c r="AH215" s="352">
        <f>IF(NFI_Expiration=1,IF($A215&lt;VLOOKUP(Q$5,NFI,5,0),1,0)*Table_NFI[[#This Row],[Plastic Mat]],Table_NFI[Plastic Mat])*IF(Table_NFI[[#This Row],[Distribution Date]]&gt;"2014-04-01",1,2.5)</f>
        <v>0</v>
      </c>
      <c r="AI215" s="352">
        <f>IF(NFI_Expiration=1,IF($A215&lt;VLOOKUP(R$5,NFI,5,0),1,0)*Table_NFI[[#This Row],[Winter Clothes Adult]],Table_NFI[Winter Clothes Adult])</f>
        <v>0</v>
      </c>
      <c r="AJ215" s="352">
        <f>IF(NFI_Expiration=1,IF($A215&lt;VLOOKUP(S$5,NFI,5,0),1,0)*Table_NFI[[#This Row],[Winter Clothes Children]],Table_NFI[Winter Clothes Children])</f>
        <v>0</v>
      </c>
      <c r="AK215" s="352">
        <f>IF(NFI_Expiration=1,IF($A215&lt;VLOOKUP(T$5,NFI,5,0),1,0)*Table_NFI[[#This Row],[Winter Items Other]],Table_NFI[Winter Items Other])</f>
        <v>0</v>
      </c>
      <c r="AL215" s="352">
        <f>IF(NFI_Expiration=1,IF($A215&lt;VLOOKUP(M$5,NFI,5,0),1,0)*Table_NFI[[#This Row],[Winter Blanket]],Table_NFI[[#This Row],[Winter Blanket]])</f>
        <v>0</v>
      </c>
      <c r="AM215" s="352">
        <f>IF(Table_NFI[[#This Row],[Winter Clothes Adult]]+Table_NFI[[#This Row],[Winter Clothes Children]]+Table_NFI[[#This Row],[Winter Items Other]]+Table_NFI[[#This Row],[Winter Blanket]]&gt;0,1,0)</f>
        <v>1</v>
      </c>
      <c r="AN215" s="392">
        <f>IF(NFI_Expiration=1,IF($A215&lt;VLOOKUP(V$5,NFI,5,0),1,0)*Table_NFI[[#This Row],[Jerry Can]],Table_NFI[Jerry Can])</f>
        <v>0</v>
      </c>
      <c r="AO215" s="540" t="str">
        <f>IFERROR(VLOOKUP(Table_NFI[[#This Row],[Camp Name]],CL,2,0),"")</f>
        <v>MMR001CMP123</v>
      </c>
      <c r="AP215" s="535">
        <f ca="1">IF(Table_NFI[[#This Row],[Pcode]]="","",IF(OFFSET(CampList[Opening Date],MATCH(Table_NFI[[#This Row],[Pcode]],CampList[CP_Pcode],0)-1,0,1,1)&gt;=NFI_Monitor_Date,1,0))</f>
        <v>0</v>
      </c>
      <c r="AQ215" s="540" t="str">
        <f>IFERROR(VLOOKUP(Table_NFI[[#This Row],[Camp Name]],CL,3,0),"")</f>
        <v>Open</v>
      </c>
      <c r="AR215" s="352" t="str">
        <f ca="1">IF(Table_NFI[[#This Row],[Pcode]]="","",OFFSET(CampList[Priority],MATCH(Table_NFI[[#This Row],[Pcode]],CampList[CP_Pcode],0)-1,0,1,1))</f>
        <v>P2</v>
      </c>
      <c r="AS215" s="351">
        <f>IFERROR(Table_NFI[[#This Row],[Kitchen Set]]/VLOOKUP(Table_NFI[[#This Row],[Camp Name]],CL,4,0),"")</f>
        <v>0</v>
      </c>
      <c r="AT215" s="538"/>
      <c r="AU215" s="541"/>
    </row>
    <row r="216" spans="1:47" s="129" customFormat="1" hidden="1" x14ac:dyDescent="0.25">
      <c r="A216" s="355">
        <f t="shared" si="3"/>
        <v>42.9</v>
      </c>
      <c r="B216" s="532">
        <v>41284</v>
      </c>
      <c r="C216" s="533" t="s">
        <v>907</v>
      </c>
      <c r="D216" s="534" t="s">
        <v>907</v>
      </c>
      <c r="E216" s="533" t="s">
        <v>380</v>
      </c>
      <c r="F216" s="348" t="s">
        <v>5</v>
      </c>
      <c r="G216" s="348" t="s">
        <v>14</v>
      </c>
      <c r="H216" s="349">
        <v>212</v>
      </c>
      <c r="I216" s="349"/>
      <c r="J216" s="349"/>
      <c r="K216" s="349"/>
      <c r="L216" s="350"/>
      <c r="M216" s="350"/>
      <c r="N216" s="350"/>
      <c r="O216" s="350"/>
      <c r="P216" s="352">
        <v>0</v>
      </c>
      <c r="Q216" s="352">
        <v>0</v>
      </c>
      <c r="R216" s="352"/>
      <c r="S216" s="352"/>
      <c r="T216" s="352"/>
      <c r="U216" s="352"/>
      <c r="V216" s="497"/>
      <c r="W216" s="352"/>
      <c r="X216" s="352"/>
      <c r="Y216" s="352">
        <f>IF(NFI_Expiration=1,IF($A216&lt;VLOOKUP(H$5,NFI,5,0),1,0)*Table_NFI[[#This Row],[Hygiene Kit]],Table_NFI[Hygiene Kit])</f>
        <v>0</v>
      </c>
      <c r="Z216" s="352">
        <f>IF(NFI_Expiration=1,IF($A216&lt;VLOOKUP(I$5,NFI,5,0),1,0)*Table_NFI[[#This Row],[NFI Core Kit]],Table_NFI[NFI Core Kit])</f>
        <v>0</v>
      </c>
      <c r="AA216" s="352">
        <f>IF(NFI_Expiration=1,IF($A216&lt;VLOOKUP(J$5,NFI,5,0),1,0)*Table_NFI[[#This Row],[Sanitary Kit]],Table_NFI[Sanitary Kit])</f>
        <v>0</v>
      </c>
      <c r="AB216" s="352">
        <f>IF(NFI_Expiration=1,IF($A216&lt;VLOOKUP(K$5,NFI,5,0),1,0)*Table_NFI[[#This Row],[Mosquito net]],Table_NFI[Mosquito net])</f>
        <v>0</v>
      </c>
      <c r="AC216" s="352">
        <f>IF(NFI_Expiration=1,IF($A216&lt;VLOOKUP(L$5,NFI,5,0),1,0)*Table_NFI[[#This Row],[Tarpaulin]],Table_NFI[[#This Row],[Tarpaulin]])</f>
        <v>0</v>
      </c>
      <c r="AD216" s="352">
        <f>IF(NFI_Expiration=1,IF($A216&lt;VLOOKUP(M$5,NFI,5,0),1,0)*Table_NFI[[#This Row],[Blanket]],Table_NFI[[#This Row],[Blanket]])</f>
        <v>0</v>
      </c>
      <c r="AE216" s="352">
        <f>IF(NFI_Expiration=1,IF($A216&lt;VLOOKUP(N$5,NFI,5,0),1,0)*Table_NFI[[#This Row],[Kitchen Set]],Table_NFI[Kitchen Set])</f>
        <v>0</v>
      </c>
      <c r="AF216" s="352">
        <f>IF(NFI_Expiration=1,IF($A216&lt;VLOOKUP(O$5,NFI,5,0),1,0)*Table_NFI[[#This Row],[Clothes Kit]],Table_NFI[Clothes Kit])</f>
        <v>0</v>
      </c>
      <c r="AG216" s="352">
        <f>IF(NFI_Expiration=1,IF($A216&lt;VLOOKUP(P$5,NFI,5,0),1,0)*Table_NFI[[#This Row],[Plastic Bucket]],Table_NFI[Plastic Bucket])</f>
        <v>0</v>
      </c>
      <c r="AH216" s="352">
        <f>IF(NFI_Expiration=1,IF($A216&lt;VLOOKUP(Q$5,NFI,5,0),1,0)*Table_NFI[[#This Row],[Plastic Mat]],Table_NFI[Plastic Mat])*IF(Table_NFI[[#This Row],[Distribution Date]]&gt;"2014-04-01",1,2.5)</f>
        <v>0</v>
      </c>
      <c r="AI216" s="352">
        <f>IF(NFI_Expiration=1,IF($A216&lt;VLOOKUP(R$5,NFI,5,0),1,0)*Table_NFI[[#This Row],[Winter Clothes Adult]],Table_NFI[Winter Clothes Adult])</f>
        <v>0</v>
      </c>
      <c r="AJ216" s="352">
        <f>IF(NFI_Expiration=1,IF($A216&lt;VLOOKUP(S$5,NFI,5,0),1,0)*Table_NFI[[#This Row],[Winter Clothes Children]],Table_NFI[Winter Clothes Children])</f>
        <v>0</v>
      </c>
      <c r="AK216" s="352">
        <f>IF(NFI_Expiration=1,IF($A216&lt;VLOOKUP(T$5,NFI,5,0),1,0)*Table_NFI[[#This Row],[Winter Items Other]],Table_NFI[Winter Items Other])</f>
        <v>0</v>
      </c>
      <c r="AL216" s="352">
        <f>IF(NFI_Expiration=1,IF($A216&lt;VLOOKUP(M$5,NFI,5,0),1,0)*Table_NFI[[#This Row],[Winter Blanket]],Table_NFI[[#This Row],[Winter Blanket]])</f>
        <v>0</v>
      </c>
      <c r="AM216" s="352">
        <f>IF(Table_NFI[[#This Row],[Winter Clothes Adult]]+Table_NFI[[#This Row],[Winter Clothes Children]]+Table_NFI[[#This Row],[Winter Items Other]]+Table_NFI[[#This Row],[Winter Blanket]]&gt;0,1,0)</f>
        <v>0</v>
      </c>
      <c r="AN216" s="392">
        <f>IF(NFI_Expiration=1,IF($A216&lt;VLOOKUP(V$5,NFI,5,0),1,0)*Table_NFI[[#This Row],[Jerry Can]],Table_NFI[Jerry Can])</f>
        <v>0</v>
      </c>
      <c r="AO216" s="540" t="str">
        <f>IFERROR(VLOOKUP(Table_NFI[[#This Row],[Camp Name]],CL,2,0),"")</f>
        <v>MMR001CMP052</v>
      </c>
      <c r="AP216" s="535">
        <f ca="1">IF(Table_NFI[[#This Row],[Pcode]]="","",IF(OFFSET(CampList[Opening Date],MATCH(Table_NFI[[#This Row],[Pcode]],CampList[CP_Pcode],0)-1,0,1,1)&gt;=NFI_Monitor_Date,1,0))</f>
        <v>0</v>
      </c>
      <c r="AQ216" s="540" t="str">
        <f>IFERROR(VLOOKUP(Table_NFI[[#This Row],[Camp Name]],CL,3,0),"")</f>
        <v>Open</v>
      </c>
      <c r="AR216" s="352" t="str">
        <f ca="1">IF(Table_NFI[[#This Row],[Pcode]]="","",OFFSET(CampList[Priority],MATCH(Table_NFI[[#This Row],[Pcode]],CampList[CP_Pcode],0)-1,0,1,1))</f>
        <v>P4</v>
      </c>
      <c r="AS216" s="351">
        <f>IFERROR(Table_NFI[[#This Row],[Kitchen Set]]/VLOOKUP(Table_NFI[[#This Row],[Camp Name]],CL,4,0),"")</f>
        <v>0</v>
      </c>
      <c r="AT216" s="533" t="s">
        <v>1094</v>
      </c>
      <c r="AU216" s="536"/>
    </row>
    <row r="217" spans="1:47" s="129" customFormat="1" hidden="1" x14ac:dyDescent="0.25">
      <c r="A217" s="355">
        <f t="shared" si="3"/>
        <v>31.333333333333332</v>
      </c>
      <c r="B217" s="532">
        <v>41631</v>
      </c>
      <c r="C217" s="533" t="s">
        <v>907</v>
      </c>
      <c r="D217" s="533" t="s">
        <v>461</v>
      </c>
      <c r="E217" s="533" t="s">
        <v>380</v>
      </c>
      <c r="F217" s="533" t="s">
        <v>310</v>
      </c>
      <c r="G217" s="533" t="s">
        <v>814</v>
      </c>
      <c r="H217" s="349"/>
      <c r="I217" s="349"/>
      <c r="J217" s="349"/>
      <c r="K217" s="349"/>
      <c r="L217" s="350"/>
      <c r="M217" s="350"/>
      <c r="N217" s="350"/>
      <c r="O217" s="350"/>
      <c r="P217" s="352"/>
      <c r="Q217" s="352"/>
      <c r="R217" s="352">
        <v>2</v>
      </c>
      <c r="S217" s="352">
        <v>111</v>
      </c>
      <c r="T217" s="352">
        <v>226</v>
      </c>
      <c r="U217" s="352">
        <v>113</v>
      </c>
      <c r="V217" s="497"/>
      <c r="W217" s="352"/>
      <c r="X217" s="352"/>
      <c r="Y217" s="352">
        <f>IF(NFI_Expiration=1,IF($A217&lt;VLOOKUP(H$5,NFI,5,0),1,0)*Table_NFI[[#This Row],[Hygiene Kit]],Table_NFI[Hygiene Kit])</f>
        <v>0</v>
      </c>
      <c r="Z217" s="352">
        <f>IF(NFI_Expiration=1,IF($A217&lt;VLOOKUP(I$5,NFI,5,0),1,0)*Table_NFI[[#This Row],[NFI Core Kit]],Table_NFI[NFI Core Kit])</f>
        <v>0</v>
      </c>
      <c r="AA217" s="352">
        <f>IF(NFI_Expiration=1,IF($A217&lt;VLOOKUP(J$5,NFI,5,0),1,0)*Table_NFI[[#This Row],[Sanitary Kit]],Table_NFI[Sanitary Kit])</f>
        <v>0</v>
      </c>
      <c r="AB217" s="352">
        <f>IF(NFI_Expiration=1,IF($A217&lt;VLOOKUP(K$5,NFI,5,0),1,0)*Table_NFI[[#This Row],[Mosquito net]],Table_NFI[Mosquito net])</f>
        <v>0</v>
      </c>
      <c r="AC217" s="352">
        <f>IF(NFI_Expiration=1,IF($A217&lt;VLOOKUP(L$5,NFI,5,0),1,0)*Table_NFI[[#This Row],[Tarpaulin]],Table_NFI[[#This Row],[Tarpaulin]])</f>
        <v>0</v>
      </c>
      <c r="AD217" s="352">
        <f>IF(NFI_Expiration=1,IF($A217&lt;VLOOKUP(M$5,NFI,5,0),1,0)*Table_NFI[[#This Row],[Blanket]],Table_NFI[[#This Row],[Blanket]])</f>
        <v>0</v>
      </c>
      <c r="AE217" s="352">
        <f>IF(NFI_Expiration=1,IF($A217&lt;VLOOKUP(N$5,NFI,5,0),1,0)*Table_NFI[[#This Row],[Kitchen Set]],Table_NFI[Kitchen Set])</f>
        <v>0</v>
      </c>
      <c r="AF217" s="352">
        <f>IF(NFI_Expiration=1,IF($A217&lt;VLOOKUP(O$5,NFI,5,0),1,0)*Table_NFI[[#This Row],[Clothes Kit]],Table_NFI[Clothes Kit])</f>
        <v>0</v>
      </c>
      <c r="AG217" s="352">
        <f>IF(NFI_Expiration=1,IF($A217&lt;VLOOKUP(P$5,NFI,5,0),1,0)*Table_NFI[[#This Row],[Plastic Bucket]],Table_NFI[Plastic Bucket])</f>
        <v>0</v>
      </c>
      <c r="AH217" s="352">
        <f>IF(NFI_Expiration=1,IF($A217&lt;VLOOKUP(Q$5,NFI,5,0),1,0)*Table_NFI[[#This Row],[Plastic Mat]],Table_NFI[Plastic Mat])*IF(Table_NFI[[#This Row],[Distribution Date]]&gt;"2014-04-01",1,2.5)</f>
        <v>0</v>
      </c>
      <c r="AI217" s="352">
        <f>IF(NFI_Expiration=1,IF($A217&lt;VLOOKUP(R$5,NFI,5,0),1,0)*Table_NFI[[#This Row],[Winter Clothes Adult]],Table_NFI[Winter Clothes Adult])</f>
        <v>0</v>
      </c>
      <c r="AJ217" s="352">
        <f>IF(NFI_Expiration=1,IF($A217&lt;VLOOKUP(S$5,NFI,5,0),1,0)*Table_NFI[[#This Row],[Winter Clothes Children]],Table_NFI[Winter Clothes Children])</f>
        <v>0</v>
      </c>
      <c r="AK217" s="352">
        <f>IF(NFI_Expiration=1,IF($A217&lt;VLOOKUP(T$5,NFI,5,0),1,0)*Table_NFI[[#This Row],[Winter Items Other]],Table_NFI[Winter Items Other])</f>
        <v>0</v>
      </c>
      <c r="AL217" s="352">
        <f>IF(NFI_Expiration=1,IF($A217&lt;VLOOKUP(M$5,NFI,5,0),1,0)*Table_NFI[[#This Row],[Winter Blanket]],Table_NFI[[#This Row],[Winter Blanket]])</f>
        <v>0</v>
      </c>
      <c r="AM217" s="352">
        <f>IF(Table_NFI[[#This Row],[Winter Clothes Adult]]+Table_NFI[[#This Row],[Winter Clothes Children]]+Table_NFI[[#This Row],[Winter Items Other]]+Table_NFI[[#This Row],[Winter Blanket]]&gt;0,1,0)</f>
        <v>1</v>
      </c>
      <c r="AN217" s="392">
        <f>IF(NFI_Expiration=1,IF($A217&lt;VLOOKUP(V$5,NFI,5,0),1,0)*Table_NFI[[#This Row],[Jerry Can]],Table_NFI[Jerry Can])</f>
        <v>0</v>
      </c>
      <c r="AO217" s="540" t="str">
        <f>IFERROR(VLOOKUP(Table_NFI[[#This Row],[Camp Name]],CL,2,0),"")</f>
        <v>MMR001CMP208</v>
      </c>
      <c r="AP217" s="535">
        <f ca="1">IF(Table_NFI[[#This Row],[Pcode]]="","",IF(OFFSET(CampList[Opening Date],MATCH(Table_NFI[[#This Row],[Pcode]],CampList[CP_Pcode],0)-1,0,1,1)&gt;=NFI_Monitor_Date,1,0))</f>
        <v>0</v>
      </c>
      <c r="AQ217" s="540" t="str">
        <f>IFERROR(VLOOKUP(Table_NFI[[#This Row],[Camp Name]],CL,3,0),"")</f>
        <v>Open</v>
      </c>
      <c r="AR217" s="352" t="str">
        <f ca="1">IF(Table_NFI[[#This Row],[Pcode]]="","",OFFSET(CampList[Priority],MATCH(Table_NFI[[#This Row],[Pcode]],CampList[CP_Pcode],0)-1,0,1,1))</f>
        <v>P2</v>
      </c>
      <c r="AS217" s="351" t="str">
        <f>IFERROR(Table_NFI[[#This Row],[Kitchen Set]]/VLOOKUP(Table_NFI[[#This Row],[Camp Name]],CL,4,0),"")</f>
        <v/>
      </c>
      <c r="AT217" s="533"/>
      <c r="AU217" s="536"/>
    </row>
    <row r="218" spans="1:47" s="129" customFormat="1" hidden="1" x14ac:dyDescent="0.25">
      <c r="A218" s="355">
        <f t="shared" si="3"/>
        <v>30.766666666666666</v>
      </c>
      <c r="B218" s="532">
        <v>41648</v>
      </c>
      <c r="C218" s="533" t="s">
        <v>907</v>
      </c>
      <c r="D218" s="533" t="s">
        <v>461</v>
      </c>
      <c r="E218" s="533" t="s">
        <v>380</v>
      </c>
      <c r="F218" s="533" t="s">
        <v>151</v>
      </c>
      <c r="G218" s="533" t="s">
        <v>885</v>
      </c>
      <c r="H218" s="349"/>
      <c r="I218" s="349"/>
      <c r="J218" s="349"/>
      <c r="K218" s="349"/>
      <c r="L218" s="350"/>
      <c r="M218" s="350"/>
      <c r="N218" s="350"/>
      <c r="O218" s="350"/>
      <c r="P218" s="352"/>
      <c r="Q218" s="352"/>
      <c r="R218" s="352">
        <v>142</v>
      </c>
      <c r="S218" s="352">
        <v>284</v>
      </c>
      <c r="T218" s="352">
        <v>852</v>
      </c>
      <c r="U218" s="352">
        <v>426</v>
      </c>
      <c r="V218" s="497"/>
      <c r="W218" s="352"/>
      <c r="X218" s="352"/>
      <c r="Y218" s="352">
        <f>IF(NFI_Expiration=1,IF($A218&lt;VLOOKUP(H$5,NFI,5,0),1,0)*Table_NFI[[#This Row],[Hygiene Kit]],Table_NFI[Hygiene Kit])</f>
        <v>0</v>
      </c>
      <c r="Z218" s="352">
        <f>IF(NFI_Expiration=1,IF($A218&lt;VLOOKUP(I$5,NFI,5,0),1,0)*Table_NFI[[#This Row],[NFI Core Kit]],Table_NFI[NFI Core Kit])</f>
        <v>0</v>
      </c>
      <c r="AA218" s="352">
        <f>IF(NFI_Expiration=1,IF($A218&lt;VLOOKUP(J$5,NFI,5,0),1,0)*Table_NFI[[#This Row],[Sanitary Kit]],Table_NFI[Sanitary Kit])</f>
        <v>0</v>
      </c>
      <c r="AB218" s="352">
        <f>IF(NFI_Expiration=1,IF($A218&lt;VLOOKUP(K$5,NFI,5,0),1,0)*Table_NFI[[#This Row],[Mosquito net]],Table_NFI[Mosquito net])</f>
        <v>0</v>
      </c>
      <c r="AC218" s="352">
        <f>IF(NFI_Expiration=1,IF($A218&lt;VLOOKUP(L$5,NFI,5,0),1,0)*Table_NFI[[#This Row],[Tarpaulin]],Table_NFI[[#This Row],[Tarpaulin]])</f>
        <v>0</v>
      </c>
      <c r="AD218" s="352">
        <f>IF(NFI_Expiration=1,IF($A218&lt;VLOOKUP(M$5,NFI,5,0),1,0)*Table_NFI[[#This Row],[Blanket]],Table_NFI[[#This Row],[Blanket]])</f>
        <v>0</v>
      </c>
      <c r="AE218" s="352">
        <f>IF(NFI_Expiration=1,IF($A218&lt;VLOOKUP(N$5,NFI,5,0),1,0)*Table_NFI[[#This Row],[Kitchen Set]],Table_NFI[Kitchen Set])</f>
        <v>0</v>
      </c>
      <c r="AF218" s="352">
        <f>IF(NFI_Expiration=1,IF($A218&lt;VLOOKUP(O$5,NFI,5,0),1,0)*Table_NFI[[#This Row],[Clothes Kit]],Table_NFI[Clothes Kit])</f>
        <v>0</v>
      </c>
      <c r="AG218" s="352">
        <f>IF(NFI_Expiration=1,IF($A218&lt;VLOOKUP(P$5,NFI,5,0),1,0)*Table_NFI[[#This Row],[Plastic Bucket]],Table_NFI[Plastic Bucket])</f>
        <v>0</v>
      </c>
      <c r="AH218" s="352">
        <f>IF(NFI_Expiration=1,IF($A218&lt;VLOOKUP(Q$5,NFI,5,0),1,0)*Table_NFI[[#This Row],[Plastic Mat]],Table_NFI[Plastic Mat])*IF(Table_NFI[[#This Row],[Distribution Date]]&gt;"2014-04-01",1,2.5)</f>
        <v>0</v>
      </c>
      <c r="AI218" s="352">
        <f>IF(NFI_Expiration=1,IF($A218&lt;VLOOKUP(R$5,NFI,5,0),1,0)*Table_NFI[[#This Row],[Winter Clothes Adult]],Table_NFI[Winter Clothes Adult])</f>
        <v>0</v>
      </c>
      <c r="AJ218" s="352">
        <f>IF(NFI_Expiration=1,IF($A218&lt;VLOOKUP(S$5,NFI,5,0),1,0)*Table_NFI[[#This Row],[Winter Clothes Children]],Table_NFI[Winter Clothes Children])</f>
        <v>0</v>
      </c>
      <c r="AK218" s="352">
        <f>IF(NFI_Expiration=1,IF($A218&lt;VLOOKUP(T$5,NFI,5,0),1,0)*Table_NFI[[#This Row],[Winter Items Other]],Table_NFI[Winter Items Other])</f>
        <v>0</v>
      </c>
      <c r="AL218" s="352">
        <f>IF(NFI_Expiration=1,IF($A218&lt;VLOOKUP(M$5,NFI,5,0),1,0)*Table_NFI[[#This Row],[Winter Blanket]],Table_NFI[[#This Row],[Winter Blanket]])</f>
        <v>0</v>
      </c>
      <c r="AM218" s="352">
        <f>IF(Table_NFI[[#This Row],[Winter Clothes Adult]]+Table_NFI[[#This Row],[Winter Clothes Children]]+Table_NFI[[#This Row],[Winter Items Other]]+Table_NFI[[#This Row],[Winter Blanket]]&gt;0,1,0)</f>
        <v>1</v>
      </c>
      <c r="AN218" s="392">
        <f>IF(NFI_Expiration=1,IF($A218&lt;VLOOKUP(V$5,NFI,5,0),1,0)*Table_NFI[[#This Row],[Jerry Can]],Table_NFI[Jerry Can])</f>
        <v>0</v>
      </c>
      <c r="AO218" s="540" t="str">
        <f>IFERROR(VLOOKUP(Table_NFI[[#This Row],[Camp Name]],CL,2,0),"")</f>
        <v>MMR001CMP217</v>
      </c>
      <c r="AP218" s="535">
        <f ca="1">IF(Table_NFI[[#This Row],[Pcode]]="","",IF(OFFSET(CampList[Opening Date],MATCH(Table_NFI[[#This Row],[Pcode]],CampList[CP_Pcode],0)-1,0,1,1)&gt;=NFI_Monitor_Date,1,0))</f>
        <v>0</v>
      </c>
      <c r="AQ218" s="540" t="str">
        <f>IFERROR(VLOOKUP(Table_NFI[[#This Row],[Camp Name]],CL,3,0),"")</f>
        <v>Closed</v>
      </c>
      <c r="AR218" s="352" t="str">
        <f ca="1">IF(Table_NFI[[#This Row],[Pcode]]="","",OFFSET(CampList[Priority],MATCH(Table_NFI[[#This Row],[Pcode]],CampList[CP_Pcode],0)-1,0,1,1))</f>
        <v/>
      </c>
      <c r="AS218" s="351" t="str">
        <f>IFERROR(Table_NFI[[#This Row],[Kitchen Set]]/VLOOKUP(Table_NFI[[#This Row],[Camp Name]],CL,4,0),"")</f>
        <v/>
      </c>
      <c r="AT218" s="533"/>
      <c r="AU218" s="536"/>
    </row>
    <row r="219" spans="1:47" s="129" customFormat="1" ht="14.45" customHeight="1" x14ac:dyDescent="0.25">
      <c r="A219" s="355">
        <f t="shared" si="3"/>
        <v>21.933333333333334</v>
      </c>
      <c r="B219" s="532">
        <v>41913</v>
      </c>
      <c r="C219" s="533" t="s">
        <v>453</v>
      </c>
      <c r="D219" s="538" t="s">
        <v>506</v>
      </c>
      <c r="E219" s="538" t="s">
        <v>380</v>
      </c>
      <c r="F219" s="538" t="s">
        <v>310</v>
      </c>
      <c r="G219" s="538" t="s">
        <v>313</v>
      </c>
      <c r="H219" s="350"/>
      <c r="I219" s="350"/>
      <c r="J219" s="350"/>
      <c r="K219" s="350">
        <v>268</v>
      </c>
      <c r="L219" s="350"/>
      <c r="M219" s="350"/>
      <c r="N219" s="350"/>
      <c r="O219" s="350"/>
      <c r="P219" s="352"/>
      <c r="Q219" s="352"/>
      <c r="R219" s="352"/>
      <c r="S219" s="352"/>
      <c r="T219" s="352"/>
      <c r="U219" s="352"/>
      <c r="V219" s="497"/>
      <c r="W219" s="352"/>
      <c r="X219" s="352"/>
      <c r="Y219" s="352">
        <f>IF(NFI_Expiration=1,IF($A219&lt;VLOOKUP(H$5,NFI,5,0),1,0)*Table_NFI[[#This Row],[Hygiene Kit]],Table_NFI[Hygiene Kit])</f>
        <v>0</v>
      </c>
      <c r="Z219" s="352">
        <f>IF(NFI_Expiration=1,IF($A219&lt;VLOOKUP(I$5,NFI,5,0),1,0)*Table_NFI[[#This Row],[NFI Core Kit]],Table_NFI[NFI Core Kit])</f>
        <v>0</v>
      </c>
      <c r="AA219" s="352">
        <f>IF(NFI_Expiration=1,IF($A219&lt;VLOOKUP(J$5,NFI,5,0),1,0)*Table_NFI[[#This Row],[Sanitary Kit]],Table_NFI[Sanitary Kit])</f>
        <v>0</v>
      </c>
      <c r="AB219" s="352">
        <f>IF(NFI_Expiration=1,IF($A219&lt;VLOOKUP(K$5,NFI,5,0),1,0)*Table_NFI[[#This Row],[Mosquito net]],Table_NFI[Mosquito net])</f>
        <v>0</v>
      </c>
      <c r="AC219" s="352">
        <f>IF(NFI_Expiration=1,IF($A219&lt;VLOOKUP(L$5,NFI,5,0),1,0)*Table_NFI[[#This Row],[Tarpaulin]],Table_NFI[[#This Row],[Tarpaulin]])</f>
        <v>0</v>
      </c>
      <c r="AD219" s="352">
        <f>IF(NFI_Expiration=1,IF($A219&lt;VLOOKUP(M$5,NFI,5,0),1,0)*Table_NFI[[#This Row],[Blanket]],Table_NFI[[#This Row],[Blanket]])</f>
        <v>0</v>
      </c>
      <c r="AE219" s="352">
        <f>IF(NFI_Expiration=1,IF($A219&lt;VLOOKUP(N$5,NFI,5,0),1,0)*Table_NFI[[#This Row],[Kitchen Set]],Table_NFI[Kitchen Set])</f>
        <v>0</v>
      </c>
      <c r="AF219" s="352">
        <f>IF(NFI_Expiration=1,IF($A219&lt;VLOOKUP(O$5,NFI,5,0),1,0)*Table_NFI[[#This Row],[Clothes Kit]],Table_NFI[Clothes Kit])</f>
        <v>0</v>
      </c>
      <c r="AG219" s="352">
        <f>IF(NFI_Expiration=1,IF($A219&lt;VLOOKUP(P$5,NFI,5,0),1,0)*Table_NFI[[#This Row],[Plastic Bucket]],Table_NFI[Plastic Bucket])</f>
        <v>0</v>
      </c>
      <c r="AH219" s="352">
        <f>IF(NFI_Expiration=1,IF($A219&lt;VLOOKUP(Q$5,NFI,5,0),1,0)*Table_NFI[[#This Row],[Plastic Mat]],Table_NFI[Plastic Mat])*IF(Table_NFI[[#This Row],[Distribution Date]]&gt;"2014-04-01",1,2.5)</f>
        <v>0</v>
      </c>
      <c r="AI219" s="352">
        <f>IF(NFI_Expiration=1,IF($A219&lt;VLOOKUP(R$5,NFI,5,0),1,0)*Table_NFI[[#This Row],[Winter Clothes Adult]],Table_NFI[Winter Clothes Adult])</f>
        <v>0</v>
      </c>
      <c r="AJ219" s="352">
        <f>IF(NFI_Expiration=1,IF($A219&lt;VLOOKUP(S$5,NFI,5,0),1,0)*Table_NFI[[#This Row],[Winter Clothes Children]],Table_NFI[Winter Clothes Children])</f>
        <v>0</v>
      </c>
      <c r="AK219" s="352">
        <f>IF(NFI_Expiration=1,IF($A219&lt;VLOOKUP(T$5,NFI,5,0),1,0)*Table_NFI[[#This Row],[Winter Items Other]],Table_NFI[Winter Items Other])</f>
        <v>0</v>
      </c>
      <c r="AL219" s="352">
        <f>IF(NFI_Expiration=1,IF($A219&lt;VLOOKUP(M$5,NFI,5,0),1,0)*Table_NFI[[#This Row],[Winter Blanket]],Table_NFI[[#This Row],[Winter Blanket]])</f>
        <v>0</v>
      </c>
      <c r="AM219" s="352">
        <f>IF(Table_NFI[[#This Row],[Winter Clothes Adult]]+Table_NFI[[#This Row],[Winter Clothes Children]]+Table_NFI[[#This Row],[Winter Items Other]]+Table_NFI[[#This Row],[Winter Blanket]]&gt;0,1,0)</f>
        <v>0</v>
      </c>
      <c r="AN219" s="392">
        <f>IF(NFI_Expiration=1,IF($A219&lt;VLOOKUP(V$5,NFI,5,0),1,0)*Table_NFI[[#This Row],[Jerry Can]],Table_NFI[Jerry Can])</f>
        <v>0</v>
      </c>
      <c r="AO219" s="540" t="str">
        <f>IFERROR(VLOOKUP(Table_NFI[[#This Row],[Camp Name]],CL,2,0),"")</f>
        <v>MMR001CMP028</v>
      </c>
      <c r="AP219" s="535">
        <f ca="1">IF(Table_NFI[[#This Row],[Pcode]]="","",IF(OFFSET(CampList[Opening Date],MATCH(Table_NFI[[#This Row],[Pcode]],CampList[CP_Pcode],0)-1,0,1,1)&gt;=NFI_Monitor_Date,1,0))</f>
        <v>0</v>
      </c>
      <c r="AQ219" s="540" t="str">
        <f>IFERROR(VLOOKUP(Table_NFI[[#This Row],[Camp Name]],CL,3,0),"")</f>
        <v>Open</v>
      </c>
      <c r="AR219" s="352" t="str">
        <f ca="1">IF(Table_NFI[[#This Row],[Pcode]]="","",OFFSET(CampList[Priority],MATCH(Table_NFI[[#This Row],[Pcode]],CampList[CP_Pcode],0)-1,0,1,1))</f>
        <v>P4</v>
      </c>
      <c r="AS219" s="351">
        <f>IFERROR(Table_NFI[[#This Row],[Kitchen Set]]/VLOOKUP(Table_NFI[[#This Row],[Camp Name]],CL,4,0),"")</f>
        <v>0</v>
      </c>
      <c r="AT219" s="538"/>
      <c r="AU219" s="541"/>
    </row>
    <row r="220" spans="1:47" s="129" customFormat="1" ht="14.45" hidden="1" customHeight="1" x14ac:dyDescent="0.25">
      <c r="A220" s="355">
        <f t="shared" si="3"/>
        <v>25.566666666666666</v>
      </c>
      <c r="B220" s="532">
        <v>41804</v>
      </c>
      <c r="C220" s="533" t="s">
        <v>1106</v>
      </c>
      <c r="D220" s="533" t="s">
        <v>902</v>
      </c>
      <c r="E220" s="533" t="s">
        <v>380</v>
      </c>
      <c r="F220" s="533" t="s">
        <v>237</v>
      </c>
      <c r="G220" s="533" t="s">
        <v>253</v>
      </c>
      <c r="H220" s="349"/>
      <c r="I220" s="349"/>
      <c r="J220" s="349"/>
      <c r="K220" s="349"/>
      <c r="L220" s="350"/>
      <c r="M220" s="350"/>
      <c r="N220" s="350"/>
      <c r="O220" s="350"/>
      <c r="P220" s="352"/>
      <c r="Q220" s="352"/>
      <c r="R220" s="352"/>
      <c r="S220" s="352"/>
      <c r="T220" s="352"/>
      <c r="U220" s="352">
        <v>406</v>
      </c>
      <c r="V220" s="497"/>
      <c r="W220" s="352"/>
      <c r="X220" s="352"/>
      <c r="Y220" s="352">
        <f>IF(NFI_Expiration=1,IF($A220&lt;VLOOKUP(H$5,NFI,5,0),1,0)*Table_NFI[[#This Row],[Hygiene Kit]],Table_NFI[Hygiene Kit])</f>
        <v>0</v>
      </c>
      <c r="Z220" s="352">
        <f>IF(NFI_Expiration=1,IF($A220&lt;VLOOKUP(I$5,NFI,5,0),1,0)*Table_NFI[[#This Row],[NFI Core Kit]],Table_NFI[NFI Core Kit])</f>
        <v>0</v>
      </c>
      <c r="AA220" s="352">
        <f>IF(NFI_Expiration=1,IF($A220&lt;VLOOKUP(J$5,NFI,5,0),1,0)*Table_NFI[[#This Row],[Sanitary Kit]],Table_NFI[Sanitary Kit])</f>
        <v>0</v>
      </c>
      <c r="AB220" s="352">
        <f>IF(NFI_Expiration=1,IF($A220&lt;VLOOKUP(K$5,NFI,5,0),1,0)*Table_NFI[[#This Row],[Mosquito net]],Table_NFI[Mosquito net])</f>
        <v>0</v>
      </c>
      <c r="AC220" s="352">
        <f>IF(NFI_Expiration=1,IF($A220&lt;VLOOKUP(L$5,NFI,5,0),1,0)*Table_NFI[[#This Row],[Tarpaulin]],Table_NFI[[#This Row],[Tarpaulin]])</f>
        <v>0</v>
      </c>
      <c r="AD220" s="352">
        <f>IF(NFI_Expiration=1,IF($A220&lt;VLOOKUP(M$5,NFI,5,0),1,0)*Table_NFI[[#This Row],[Blanket]],Table_NFI[[#This Row],[Blanket]])</f>
        <v>0</v>
      </c>
      <c r="AE220" s="352">
        <f>IF(NFI_Expiration=1,IF($A220&lt;VLOOKUP(N$5,NFI,5,0),1,0)*Table_NFI[[#This Row],[Kitchen Set]],Table_NFI[Kitchen Set])</f>
        <v>0</v>
      </c>
      <c r="AF220" s="352">
        <f>IF(NFI_Expiration=1,IF($A220&lt;VLOOKUP(O$5,NFI,5,0),1,0)*Table_NFI[[#This Row],[Clothes Kit]],Table_NFI[Clothes Kit])</f>
        <v>0</v>
      </c>
      <c r="AG220" s="352">
        <f>IF(NFI_Expiration=1,IF($A220&lt;VLOOKUP(P$5,NFI,5,0),1,0)*Table_NFI[[#This Row],[Plastic Bucket]],Table_NFI[Plastic Bucket])</f>
        <v>0</v>
      </c>
      <c r="AH220" s="352">
        <f>IF(NFI_Expiration=1,IF($A220&lt;VLOOKUP(Q$5,NFI,5,0),1,0)*Table_NFI[[#This Row],[Plastic Mat]],Table_NFI[Plastic Mat])*IF(Table_NFI[[#This Row],[Distribution Date]]&gt;"2014-04-01",1,2.5)</f>
        <v>0</v>
      </c>
      <c r="AI220" s="352">
        <f>IF(NFI_Expiration=1,IF($A220&lt;VLOOKUP(R$5,NFI,5,0),1,0)*Table_NFI[[#This Row],[Winter Clothes Adult]],Table_NFI[Winter Clothes Adult])</f>
        <v>0</v>
      </c>
      <c r="AJ220" s="352">
        <f>IF(NFI_Expiration=1,IF($A220&lt;VLOOKUP(S$5,NFI,5,0),1,0)*Table_NFI[[#This Row],[Winter Clothes Children]],Table_NFI[Winter Clothes Children])</f>
        <v>0</v>
      </c>
      <c r="AK220" s="352">
        <f>IF(NFI_Expiration=1,IF($A220&lt;VLOOKUP(T$5,NFI,5,0),1,0)*Table_NFI[[#This Row],[Winter Items Other]],Table_NFI[Winter Items Other])</f>
        <v>0</v>
      </c>
      <c r="AL220" s="352">
        <f>IF(NFI_Expiration=1,IF($A220&lt;VLOOKUP(M$5,NFI,5,0),1,0)*Table_NFI[[#This Row],[Winter Blanket]],Table_NFI[[#This Row],[Winter Blanket]])</f>
        <v>0</v>
      </c>
      <c r="AM220" s="352">
        <f>IF(Table_NFI[[#This Row],[Winter Clothes Adult]]+Table_NFI[[#This Row],[Winter Clothes Children]]+Table_NFI[[#This Row],[Winter Items Other]]+Table_NFI[[#This Row],[Winter Blanket]]&gt;0,1,0)</f>
        <v>1</v>
      </c>
      <c r="AN220" s="392">
        <f>IF(NFI_Expiration=1,IF($A220&lt;VLOOKUP(V$5,NFI,5,0),1,0)*Table_NFI[[#This Row],[Jerry Can]],Table_NFI[Jerry Can])</f>
        <v>0</v>
      </c>
      <c r="AO220" s="540" t="str">
        <f>IFERROR(VLOOKUP(Table_NFI[[#This Row],[Camp Name]],CL,2,0),"")</f>
        <v>MMR001CMP018</v>
      </c>
      <c r="AP220" s="535">
        <f ca="1">IF(Table_NFI[[#This Row],[Pcode]]="","",IF(OFFSET(CampList[Opening Date],MATCH(Table_NFI[[#This Row],[Pcode]],CampList[CP_Pcode],0)-1,0,1,1)&gt;=NFI_Monitor_Date,1,0))</f>
        <v>0</v>
      </c>
      <c r="AQ220" s="540" t="str">
        <f>IFERROR(VLOOKUP(Table_NFI[[#This Row],[Camp Name]],CL,3,0),"")</f>
        <v>Open</v>
      </c>
      <c r="AR220" s="352" t="str">
        <f ca="1">IF(Table_NFI[[#This Row],[Pcode]]="","",OFFSET(CampList[Priority],MATCH(Table_NFI[[#This Row],[Pcode]],CampList[CP_Pcode],0)-1,0,1,1))</f>
        <v>P4</v>
      </c>
      <c r="AS220" s="351">
        <f>IFERROR(Table_NFI[[#This Row],[Kitchen Set]]/VLOOKUP(Table_NFI[[#This Row],[Camp Name]],CL,4,0),"")</f>
        <v>0</v>
      </c>
      <c r="AT220" s="533"/>
      <c r="AU220" s="536"/>
    </row>
    <row r="221" spans="1:47" s="537" customFormat="1" ht="14.45" hidden="1" customHeight="1" x14ac:dyDescent="0.25">
      <c r="A221" s="355">
        <f t="shared" si="3"/>
        <v>41.9</v>
      </c>
      <c r="B221" s="532">
        <v>41314</v>
      </c>
      <c r="C221" s="533" t="s">
        <v>902</v>
      </c>
      <c r="D221" s="533" t="s">
        <v>902</v>
      </c>
      <c r="E221" s="533" t="s">
        <v>380</v>
      </c>
      <c r="F221" s="533" t="s">
        <v>237</v>
      </c>
      <c r="G221" s="348" t="s">
        <v>253</v>
      </c>
      <c r="H221" s="349"/>
      <c r="I221" s="349"/>
      <c r="J221" s="349"/>
      <c r="K221" s="349"/>
      <c r="L221" s="350">
        <v>177</v>
      </c>
      <c r="M221" s="350">
        <v>10</v>
      </c>
      <c r="N221" s="350">
        <v>10</v>
      </c>
      <c r="O221" s="350"/>
      <c r="P221" s="352">
        <v>0</v>
      </c>
      <c r="Q221" s="352">
        <v>0</v>
      </c>
      <c r="R221" s="352"/>
      <c r="S221" s="352"/>
      <c r="T221" s="352"/>
      <c r="U221" s="352"/>
      <c r="V221" s="497"/>
      <c r="W221" s="352"/>
      <c r="X221" s="352"/>
      <c r="Y221" s="352">
        <f>IF(NFI_Expiration=1,IF($A221&lt;VLOOKUP(H$5,NFI,5,0),1,0)*Table_NFI[[#This Row],[Hygiene Kit]],Table_NFI[Hygiene Kit])</f>
        <v>0</v>
      </c>
      <c r="Z221" s="352">
        <f>IF(NFI_Expiration=1,IF($A221&lt;VLOOKUP(I$5,NFI,5,0),1,0)*Table_NFI[[#This Row],[NFI Core Kit]],Table_NFI[NFI Core Kit])</f>
        <v>0</v>
      </c>
      <c r="AA221" s="352">
        <f>IF(NFI_Expiration=1,IF($A221&lt;VLOOKUP(J$5,NFI,5,0),1,0)*Table_NFI[[#This Row],[Sanitary Kit]],Table_NFI[Sanitary Kit])</f>
        <v>0</v>
      </c>
      <c r="AB221" s="352">
        <f>IF(NFI_Expiration=1,IF($A221&lt;VLOOKUP(K$5,NFI,5,0),1,0)*Table_NFI[[#This Row],[Mosquito net]],Table_NFI[Mosquito net])</f>
        <v>0</v>
      </c>
      <c r="AC221" s="352">
        <f>IF(NFI_Expiration=1,IF($A221&lt;VLOOKUP(L$5,NFI,5,0),1,0)*Table_NFI[[#This Row],[Tarpaulin]],Table_NFI[[#This Row],[Tarpaulin]])</f>
        <v>0</v>
      </c>
      <c r="AD221" s="352">
        <f>IF(NFI_Expiration=1,IF($A221&lt;VLOOKUP(M$5,NFI,5,0),1,0)*Table_NFI[[#This Row],[Blanket]],Table_NFI[[#This Row],[Blanket]])</f>
        <v>0</v>
      </c>
      <c r="AE221" s="352">
        <f>IF(NFI_Expiration=1,IF($A221&lt;VLOOKUP(N$5,NFI,5,0),1,0)*Table_NFI[[#This Row],[Kitchen Set]],Table_NFI[Kitchen Set])</f>
        <v>0</v>
      </c>
      <c r="AF221" s="352">
        <f>IF(NFI_Expiration=1,IF($A221&lt;VLOOKUP(O$5,NFI,5,0),1,0)*Table_NFI[[#This Row],[Clothes Kit]],Table_NFI[Clothes Kit])</f>
        <v>0</v>
      </c>
      <c r="AG221" s="352">
        <f>IF(NFI_Expiration=1,IF($A221&lt;VLOOKUP(P$5,NFI,5,0),1,0)*Table_NFI[[#This Row],[Plastic Bucket]],Table_NFI[Plastic Bucket])</f>
        <v>0</v>
      </c>
      <c r="AH221" s="352">
        <f>IF(NFI_Expiration=1,IF($A221&lt;VLOOKUP(Q$5,NFI,5,0),1,0)*Table_NFI[[#This Row],[Plastic Mat]],Table_NFI[Plastic Mat])*IF(Table_NFI[[#This Row],[Distribution Date]]&gt;"2014-04-01",1,2.5)</f>
        <v>0</v>
      </c>
      <c r="AI221" s="352">
        <f>IF(NFI_Expiration=1,IF($A221&lt;VLOOKUP(R$5,NFI,5,0),1,0)*Table_NFI[[#This Row],[Winter Clothes Adult]],Table_NFI[Winter Clothes Adult])</f>
        <v>0</v>
      </c>
      <c r="AJ221" s="352">
        <f>IF(NFI_Expiration=1,IF($A221&lt;VLOOKUP(S$5,NFI,5,0),1,0)*Table_NFI[[#This Row],[Winter Clothes Children]],Table_NFI[Winter Clothes Children])</f>
        <v>0</v>
      </c>
      <c r="AK221" s="352">
        <f>IF(NFI_Expiration=1,IF($A221&lt;VLOOKUP(T$5,NFI,5,0),1,0)*Table_NFI[[#This Row],[Winter Items Other]],Table_NFI[Winter Items Other])</f>
        <v>0</v>
      </c>
      <c r="AL221" s="352">
        <f>IF(NFI_Expiration=1,IF($A221&lt;VLOOKUP(M$5,NFI,5,0),1,0)*Table_NFI[[#This Row],[Winter Blanket]],Table_NFI[[#This Row],[Winter Blanket]])</f>
        <v>0</v>
      </c>
      <c r="AM221" s="352">
        <f>IF(Table_NFI[[#This Row],[Winter Clothes Adult]]+Table_NFI[[#This Row],[Winter Clothes Children]]+Table_NFI[[#This Row],[Winter Items Other]]+Table_NFI[[#This Row],[Winter Blanket]]&gt;0,1,0)</f>
        <v>0</v>
      </c>
      <c r="AN221" s="392">
        <f>IF(NFI_Expiration=1,IF($A221&lt;VLOOKUP(V$5,NFI,5,0),1,0)*Table_NFI[[#This Row],[Jerry Can]],Table_NFI[Jerry Can])</f>
        <v>0</v>
      </c>
      <c r="AO221" s="540" t="str">
        <f>IFERROR(VLOOKUP(Table_NFI[[#This Row],[Camp Name]],CL,2,0),"")</f>
        <v>MMR001CMP018</v>
      </c>
      <c r="AP221" s="535">
        <f ca="1">IF(Table_NFI[[#This Row],[Pcode]]="","",IF(OFFSET(CampList[Opening Date],MATCH(Table_NFI[[#This Row],[Pcode]],CampList[CP_Pcode],0)-1,0,1,1)&gt;=NFI_Monitor_Date,1,0))</f>
        <v>0</v>
      </c>
      <c r="AQ221" s="540" t="str">
        <f>IFERROR(VLOOKUP(Table_NFI[[#This Row],[Camp Name]],CL,3,0),"")</f>
        <v>Open</v>
      </c>
      <c r="AR221" s="352" t="str">
        <f ca="1">IF(Table_NFI[[#This Row],[Pcode]]="","",OFFSET(CampList[Priority],MATCH(Table_NFI[[#This Row],[Pcode]],CampList[CP_Pcode],0)-1,0,1,1))</f>
        <v>P4</v>
      </c>
      <c r="AS221" s="351">
        <f>IFERROR(Table_NFI[[#This Row],[Kitchen Set]]/VLOOKUP(Table_NFI[[#This Row],[Camp Name]],CL,4,0),"")</f>
        <v>5.0505050505050504E-2</v>
      </c>
      <c r="AT221" s="533" t="s">
        <v>1094</v>
      </c>
      <c r="AU221" s="536"/>
    </row>
    <row r="222" spans="1:47" s="537" customFormat="1" ht="14.45" hidden="1" customHeight="1" x14ac:dyDescent="0.25">
      <c r="A222" s="355">
        <f t="shared" si="3"/>
        <v>42.033333333333331</v>
      </c>
      <c r="B222" s="532">
        <v>41310</v>
      </c>
      <c r="C222" s="533" t="s">
        <v>902</v>
      </c>
      <c r="D222" s="533" t="s">
        <v>902</v>
      </c>
      <c r="E222" s="533" t="s">
        <v>380</v>
      </c>
      <c r="F222" s="533" t="s">
        <v>237</v>
      </c>
      <c r="G222" s="348" t="s">
        <v>253</v>
      </c>
      <c r="H222" s="349">
        <v>22</v>
      </c>
      <c r="I222" s="349"/>
      <c r="J222" s="349"/>
      <c r="K222" s="349"/>
      <c r="L222" s="350"/>
      <c r="M222" s="350"/>
      <c r="N222" s="350"/>
      <c r="O222" s="350"/>
      <c r="P222" s="352">
        <v>0</v>
      </c>
      <c r="Q222" s="352">
        <v>0</v>
      </c>
      <c r="R222" s="352"/>
      <c r="S222" s="352"/>
      <c r="T222" s="352"/>
      <c r="U222" s="352"/>
      <c r="V222" s="497"/>
      <c r="W222" s="352"/>
      <c r="X222" s="352"/>
      <c r="Y222" s="352">
        <f>IF(NFI_Expiration=1,IF($A222&lt;VLOOKUP(H$5,NFI,5,0),1,0)*Table_NFI[[#This Row],[Hygiene Kit]],Table_NFI[Hygiene Kit])</f>
        <v>0</v>
      </c>
      <c r="Z222" s="352">
        <f>IF(NFI_Expiration=1,IF($A222&lt;VLOOKUP(I$5,NFI,5,0),1,0)*Table_NFI[[#This Row],[NFI Core Kit]],Table_NFI[NFI Core Kit])</f>
        <v>0</v>
      </c>
      <c r="AA222" s="352">
        <f>IF(NFI_Expiration=1,IF($A222&lt;VLOOKUP(J$5,NFI,5,0),1,0)*Table_NFI[[#This Row],[Sanitary Kit]],Table_NFI[Sanitary Kit])</f>
        <v>0</v>
      </c>
      <c r="AB222" s="352">
        <f>IF(NFI_Expiration=1,IF($A222&lt;VLOOKUP(K$5,NFI,5,0),1,0)*Table_NFI[[#This Row],[Mosquito net]],Table_NFI[Mosquito net])</f>
        <v>0</v>
      </c>
      <c r="AC222" s="352">
        <f>IF(NFI_Expiration=1,IF($A222&lt;VLOOKUP(L$5,NFI,5,0),1,0)*Table_NFI[[#This Row],[Tarpaulin]],Table_NFI[[#This Row],[Tarpaulin]])</f>
        <v>0</v>
      </c>
      <c r="AD222" s="352">
        <f>IF(NFI_Expiration=1,IF($A222&lt;VLOOKUP(M$5,NFI,5,0),1,0)*Table_NFI[[#This Row],[Blanket]],Table_NFI[[#This Row],[Blanket]])</f>
        <v>0</v>
      </c>
      <c r="AE222" s="352">
        <f>IF(NFI_Expiration=1,IF($A222&lt;VLOOKUP(N$5,NFI,5,0),1,0)*Table_NFI[[#This Row],[Kitchen Set]],Table_NFI[Kitchen Set])</f>
        <v>0</v>
      </c>
      <c r="AF222" s="352">
        <f>IF(NFI_Expiration=1,IF($A222&lt;VLOOKUP(O$5,NFI,5,0),1,0)*Table_NFI[[#This Row],[Clothes Kit]],Table_NFI[Clothes Kit])</f>
        <v>0</v>
      </c>
      <c r="AG222" s="352">
        <f>IF(NFI_Expiration=1,IF($A222&lt;VLOOKUP(P$5,NFI,5,0),1,0)*Table_NFI[[#This Row],[Plastic Bucket]],Table_NFI[Plastic Bucket])</f>
        <v>0</v>
      </c>
      <c r="AH222" s="352">
        <f>IF(NFI_Expiration=1,IF($A222&lt;VLOOKUP(Q$5,NFI,5,0),1,0)*Table_NFI[[#This Row],[Plastic Mat]],Table_NFI[Plastic Mat])*IF(Table_NFI[[#This Row],[Distribution Date]]&gt;"2014-04-01",1,2.5)</f>
        <v>0</v>
      </c>
      <c r="AI222" s="352">
        <f>IF(NFI_Expiration=1,IF($A222&lt;VLOOKUP(R$5,NFI,5,0),1,0)*Table_NFI[[#This Row],[Winter Clothes Adult]],Table_NFI[Winter Clothes Adult])</f>
        <v>0</v>
      </c>
      <c r="AJ222" s="352">
        <f>IF(NFI_Expiration=1,IF($A222&lt;VLOOKUP(S$5,NFI,5,0),1,0)*Table_NFI[[#This Row],[Winter Clothes Children]],Table_NFI[Winter Clothes Children])</f>
        <v>0</v>
      </c>
      <c r="AK222" s="352">
        <f>IF(NFI_Expiration=1,IF($A222&lt;VLOOKUP(T$5,NFI,5,0),1,0)*Table_NFI[[#This Row],[Winter Items Other]],Table_NFI[Winter Items Other])</f>
        <v>0</v>
      </c>
      <c r="AL222" s="352">
        <f>IF(NFI_Expiration=1,IF($A222&lt;VLOOKUP(M$5,NFI,5,0),1,0)*Table_NFI[[#This Row],[Winter Blanket]],Table_NFI[[#This Row],[Winter Blanket]])</f>
        <v>0</v>
      </c>
      <c r="AM222" s="352">
        <f>IF(Table_NFI[[#This Row],[Winter Clothes Adult]]+Table_NFI[[#This Row],[Winter Clothes Children]]+Table_NFI[[#This Row],[Winter Items Other]]+Table_NFI[[#This Row],[Winter Blanket]]&gt;0,1,0)</f>
        <v>0</v>
      </c>
      <c r="AN222" s="392">
        <f>IF(NFI_Expiration=1,IF($A222&lt;VLOOKUP(V$5,NFI,5,0),1,0)*Table_NFI[[#This Row],[Jerry Can]],Table_NFI[Jerry Can])</f>
        <v>0</v>
      </c>
      <c r="AO222" s="540" t="str">
        <f>IFERROR(VLOOKUP(Table_NFI[[#This Row],[Camp Name]],CL,2,0),"")</f>
        <v>MMR001CMP018</v>
      </c>
      <c r="AP222" s="535">
        <f ca="1">IF(Table_NFI[[#This Row],[Pcode]]="","",IF(OFFSET(CampList[Opening Date],MATCH(Table_NFI[[#This Row],[Pcode]],CampList[CP_Pcode],0)-1,0,1,1)&gt;=NFI_Monitor_Date,1,0))</f>
        <v>0</v>
      </c>
      <c r="AQ222" s="540" t="str">
        <f>IFERROR(VLOOKUP(Table_NFI[[#This Row],[Camp Name]],CL,3,0),"")</f>
        <v>Open</v>
      </c>
      <c r="AR222" s="352" t="str">
        <f ca="1">IF(Table_NFI[[#This Row],[Pcode]]="","",OFFSET(CampList[Priority],MATCH(Table_NFI[[#This Row],[Pcode]],CampList[CP_Pcode],0)-1,0,1,1))</f>
        <v>P4</v>
      </c>
      <c r="AS222" s="351">
        <f>IFERROR(Table_NFI[[#This Row],[Kitchen Set]]/VLOOKUP(Table_NFI[[#This Row],[Camp Name]],CL,4,0),"")</f>
        <v>0</v>
      </c>
      <c r="AT222" s="533" t="s">
        <v>1094</v>
      </c>
      <c r="AU222" s="536"/>
    </row>
    <row r="223" spans="1:47" s="537" customFormat="1" ht="14.45" customHeight="1" x14ac:dyDescent="0.25">
      <c r="A223" s="355">
        <f t="shared" si="3"/>
        <v>21.933333333333334</v>
      </c>
      <c r="B223" s="532">
        <v>41913</v>
      </c>
      <c r="C223" s="533" t="s">
        <v>453</v>
      </c>
      <c r="D223" s="538" t="s">
        <v>506</v>
      </c>
      <c r="E223" s="538" t="s">
        <v>380</v>
      </c>
      <c r="F223" s="538" t="s">
        <v>528</v>
      </c>
      <c r="G223" s="538" t="s">
        <v>44</v>
      </c>
      <c r="H223" s="350"/>
      <c r="I223" s="350"/>
      <c r="J223" s="350"/>
      <c r="K223" s="350">
        <v>20</v>
      </c>
      <c r="L223" s="350"/>
      <c r="M223" s="350"/>
      <c r="N223" s="350"/>
      <c r="O223" s="350"/>
      <c r="P223" s="352"/>
      <c r="Q223" s="352"/>
      <c r="R223" s="352"/>
      <c r="S223" s="352"/>
      <c r="T223" s="352"/>
      <c r="U223" s="352"/>
      <c r="V223" s="497"/>
      <c r="W223" s="352"/>
      <c r="X223" s="352"/>
      <c r="Y223" s="352">
        <f>IF(NFI_Expiration=1,IF($A223&lt;VLOOKUP(H$5,NFI,5,0),1,0)*Table_NFI[[#This Row],[Hygiene Kit]],Table_NFI[Hygiene Kit])</f>
        <v>0</v>
      </c>
      <c r="Z223" s="352">
        <f>IF(NFI_Expiration=1,IF($A223&lt;VLOOKUP(I$5,NFI,5,0),1,0)*Table_NFI[[#This Row],[NFI Core Kit]],Table_NFI[NFI Core Kit])</f>
        <v>0</v>
      </c>
      <c r="AA223" s="352">
        <f>IF(NFI_Expiration=1,IF($A223&lt;VLOOKUP(J$5,NFI,5,0),1,0)*Table_NFI[[#This Row],[Sanitary Kit]],Table_NFI[Sanitary Kit])</f>
        <v>0</v>
      </c>
      <c r="AB223" s="352">
        <f>IF(NFI_Expiration=1,IF($A223&lt;VLOOKUP(K$5,NFI,5,0),1,0)*Table_NFI[[#This Row],[Mosquito net]],Table_NFI[Mosquito net])</f>
        <v>0</v>
      </c>
      <c r="AC223" s="352">
        <f>IF(NFI_Expiration=1,IF($A223&lt;VLOOKUP(L$5,NFI,5,0),1,0)*Table_NFI[[#This Row],[Tarpaulin]],Table_NFI[[#This Row],[Tarpaulin]])</f>
        <v>0</v>
      </c>
      <c r="AD223" s="352">
        <f>IF(NFI_Expiration=1,IF($A223&lt;VLOOKUP(M$5,NFI,5,0),1,0)*Table_NFI[[#This Row],[Blanket]],Table_NFI[[#This Row],[Blanket]])</f>
        <v>0</v>
      </c>
      <c r="AE223" s="352">
        <f>IF(NFI_Expiration=1,IF($A223&lt;VLOOKUP(N$5,NFI,5,0),1,0)*Table_NFI[[#This Row],[Kitchen Set]],Table_NFI[Kitchen Set])</f>
        <v>0</v>
      </c>
      <c r="AF223" s="352">
        <f>IF(NFI_Expiration=1,IF($A223&lt;VLOOKUP(O$5,NFI,5,0),1,0)*Table_NFI[[#This Row],[Clothes Kit]],Table_NFI[Clothes Kit])</f>
        <v>0</v>
      </c>
      <c r="AG223" s="352">
        <f>IF(NFI_Expiration=1,IF($A223&lt;VLOOKUP(P$5,NFI,5,0),1,0)*Table_NFI[[#This Row],[Plastic Bucket]],Table_NFI[Plastic Bucket])</f>
        <v>0</v>
      </c>
      <c r="AH223" s="352">
        <f>IF(NFI_Expiration=1,IF($A223&lt;VLOOKUP(Q$5,NFI,5,0),1,0)*Table_NFI[[#This Row],[Plastic Mat]],Table_NFI[Plastic Mat])*IF(Table_NFI[[#This Row],[Distribution Date]]&gt;"2014-04-01",1,2.5)</f>
        <v>0</v>
      </c>
      <c r="AI223" s="352">
        <f>IF(NFI_Expiration=1,IF($A223&lt;VLOOKUP(R$5,NFI,5,0),1,0)*Table_NFI[[#This Row],[Winter Clothes Adult]],Table_NFI[Winter Clothes Adult])</f>
        <v>0</v>
      </c>
      <c r="AJ223" s="352">
        <f>IF(NFI_Expiration=1,IF($A223&lt;VLOOKUP(S$5,NFI,5,0),1,0)*Table_NFI[[#This Row],[Winter Clothes Children]],Table_NFI[Winter Clothes Children])</f>
        <v>0</v>
      </c>
      <c r="AK223" s="352">
        <f>IF(NFI_Expiration=1,IF($A223&lt;VLOOKUP(T$5,NFI,5,0),1,0)*Table_NFI[[#This Row],[Winter Items Other]],Table_NFI[Winter Items Other])</f>
        <v>0</v>
      </c>
      <c r="AL223" s="352">
        <f>IF(NFI_Expiration=1,IF($A223&lt;VLOOKUP(M$5,NFI,5,0),1,0)*Table_NFI[[#This Row],[Winter Blanket]],Table_NFI[[#This Row],[Winter Blanket]])</f>
        <v>0</v>
      </c>
      <c r="AM223" s="352">
        <f>IF(Table_NFI[[#This Row],[Winter Clothes Adult]]+Table_NFI[[#This Row],[Winter Clothes Children]]+Table_NFI[[#This Row],[Winter Items Other]]+Table_NFI[[#This Row],[Winter Blanket]]&gt;0,1,0)</f>
        <v>0</v>
      </c>
      <c r="AN223" s="392">
        <f>IF(NFI_Expiration=1,IF($A223&lt;VLOOKUP(V$5,NFI,5,0),1,0)*Table_NFI[[#This Row],[Jerry Can]],Table_NFI[Jerry Can])</f>
        <v>0</v>
      </c>
      <c r="AO223" s="540" t="str">
        <f>IFERROR(VLOOKUP(Table_NFI[[#This Row],[Camp Name]],CL,2,0),"")</f>
        <v>MMR001CMP191</v>
      </c>
      <c r="AP223" s="535">
        <f ca="1">IF(Table_NFI[[#This Row],[Pcode]]="","",IF(OFFSET(CampList[Opening Date],MATCH(Table_NFI[[#This Row],[Pcode]],CampList[CP_Pcode],0)-1,0,1,1)&gt;=NFI_Monitor_Date,1,0))</f>
        <v>0</v>
      </c>
      <c r="AQ223" s="540" t="str">
        <f>IFERROR(VLOOKUP(Table_NFI[[#This Row],[Camp Name]],CL,3,0),"")</f>
        <v>Open</v>
      </c>
      <c r="AR223" s="352" t="str">
        <f ca="1">IF(Table_NFI[[#This Row],[Pcode]]="","",OFFSET(CampList[Priority],MATCH(Table_NFI[[#This Row],[Pcode]],CampList[CP_Pcode],0)-1,0,1,1))</f>
        <v>P4</v>
      </c>
      <c r="AS223" s="351">
        <f>IFERROR(Table_NFI[[#This Row],[Kitchen Set]]/VLOOKUP(Table_NFI[[#This Row],[Camp Name]],CL,4,0),"")</f>
        <v>0</v>
      </c>
      <c r="AT223" s="538"/>
      <c r="AU223" s="541"/>
    </row>
    <row r="224" spans="1:47" s="537" customFormat="1" ht="14.45" customHeight="1" x14ac:dyDescent="0.25">
      <c r="A224" s="355">
        <f t="shared" si="3"/>
        <v>21.933333333333334</v>
      </c>
      <c r="B224" s="532">
        <v>41913</v>
      </c>
      <c r="C224" s="533" t="s">
        <v>453</v>
      </c>
      <c r="D224" s="538" t="s">
        <v>507</v>
      </c>
      <c r="E224" s="538" t="s">
        <v>380</v>
      </c>
      <c r="F224" s="538" t="s">
        <v>237</v>
      </c>
      <c r="G224" s="538" t="s">
        <v>255</v>
      </c>
      <c r="H224" s="350"/>
      <c r="I224" s="350"/>
      <c r="J224" s="350"/>
      <c r="K224" s="350">
        <v>218</v>
      </c>
      <c r="L224" s="350"/>
      <c r="M224" s="350"/>
      <c r="N224" s="350"/>
      <c r="O224" s="350"/>
      <c r="P224" s="352"/>
      <c r="Q224" s="352"/>
      <c r="R224" s="352"/>
      <c r="S224" s="352"/>
      <c r="T224" s="352"/>
      <c r="U224" s="352"/>
      <c r="V224" s="497"/>
      <c r="W224" s="352"/>
      <c r="X224" s="352"/>
      <c r="Y224" s="352">
        <f>IF(NFI_Expiration=1,IF($A224&lt;VLOOKUP(H$5,NFI,5,0),1,0)*Table_NFI[[#This Row],[Hygiene Kit]],Table_NFI[Hygiene Kit])</f>
        <v>0</v>
      </c>
      <c r="Z224" s="352">
        <f>IF(NFI_Expiration=1,IF($A224&lt;VLOOKUP(I$5,NFI,5,0),1,0)*Table_NFI[[#This Row],[NFI Core Kit]],Table_NFI[NFI Core Kit])</f>
        <v>0</v>
      </c>
      <c r="AA224" s="352">
        <f>IF(NFI_Expiration=1,IF($A224&lt;VLOOKUP(J$5,NFI,5,0),1,0)*Table_NFI[[#This Row],[Sanitary Kit]],Table_NFI[Sanitary Kit])</f>
        <v>0</v>
      </c>
      <c r="AB224" s="352">
        <f>IF(NFI_Expiration=1,IF($A224&lt;VLOOKUP(K$5,NFI,5,0),1,0)*Table_NFI[[#This Row],[Mosquito net]],Table_NFI[Mosquito net])</f>
        <v>0</v>
      </c>
      <c r="AC224" s="352">
        <f>IF(NFI_Expiration=1,IF($A224&lt;VLOOKUP(L$5,NFI,5,0),1,0)*Table_NFI[[#This Row],[Tarpaulin]],Table_NFI[[#This Row],[Tarpaulin]])</f>
        <v>0</v>
      </c>
      <c r="AD224" s="352">
        <f>IF(NFI_Expiration=1,IF($A224&lt;VLOOKUP(M$5,NFI,5,0),1,0)*Table_NFI[[#This Row],[Blanket]],Table_NFI[[#This Row],[Blanket]])</f>
        <v>0</v>
      </c>
      <c r="AE224" s="352">
        <f>IF(NFI_Expiration=1,IF($A224&lt;VLOOKUP(N$5,NFI,5,0),1,0)*Table_NFI[[#This Row],[Kitchen Set]],Table_NFI[Kitchen Set])</f>
        <v>0</v>
      </c>
      <c r="AF224" s="352">
        <f>IF(NFI_Expiration=1,IF($A224&lt;VLOOKUP(O$5,NFI,5,0),1,0)*Table_NFI[[#This Row],[Clothes Kit]],Table_NFI[Clothes Kit])</f>
        <v>0</v>
      </c>
      <c r="AG224" s="352">
        <f>IF(NFI_Expiration=1,IF($A224&lt;VLOOKUP(P$5,NFI,5,0),1,0)*Table_NFI[[#This Row],[Plastic Bucket]],Table_NFI[Plastic Bucket])</f>
        <v>0</v>
      </c>
      <c r="AH224" s="352">
        <f>IF(NFI_Expiration=1,IF($A224&lt;VLOOKUP(Q$5,NFI,5,0),1,0)*Table_NFI[[#This Row],[Plastic Mat]],Table_NFI[Plastic Mat])*IF(Table_NFI[[#This Row],[Distribution Date]]&gt;"2014-04-01",1,2.5)</f>
        <v>0</v>
      </c>
      <c r="AI224" s="352">
        <f>IF(NFI_Expiration=1,IF($A224&lt;VLOOKUP(R$5,NFI,5,0),1,0)*Table_NFI[[#This Row],[Winter Clothes Adult]],Table_NFI[Winter Clothes Adult])</f>
        <v>0</v>
      </c>
      <c r="AJ224" s="352">
        <f>IF(NFI_Expiration=1,IF($A224&lt;VLOOKUP(S$5,NFI,5,0),1,0)*Table_NFI[[#This Row],[Winter Clothes Children]],Table_NFI[Winter Clothes Children])</f>
        <v>0</v>
      </c>
      <c r="AK224" s="352">
        <f>IF(NFI_Expiration=1,IF($A224&lt;VLOOKUP(T$5,NFI,5,0),1,0)*Table_NFI[[#This Row],[Winter Items Other]],Table_NFI[Winter Items Other])</f>
        <v>0</v>
      </c>
      <c r="AL224" s="352">
        <f>IF(NFI_Expiration=1,IF($A224&lt;VLOOKUP(M$5,NFI,5,0),1,0)*Table_NFI[[#This Row],[Winter Blanket]],Table_NFI[[#This Row],[Winter Blanket]])</f>
        <v>0</v>
      </c>
      <c r="AM224" s="352">
        <f>IF(Table_NFI[[#This Row],[Winter Clothes Adult]]+Table_NFI[[#This Row],[Winter Clothes Children]]+Table_NFI[[#This Row],[Winter Items Other]]+Table_NFI[[#This Row],[Winter Blanket]]&gt;0,1,0)</f>
        <v>0</v>
      </c>
      <c r="AN224" s="392">
        <f>IF(NFI_Expiration=1,IF($A224&lt;VLOOKUP(V$5,NFI,5,0),1,0)*Table_NFI[[#This Row],[Jerry Can]],Table_NFI[Jerry Can])</f>
        <v>0</v>
      </c>
      <c r="AO224" s="540" t="str">
        <f>IFERROR(VLOOKUP(Table_NFI[[#This Row],[Camp Name]],CL,2,0),"")</f>
        <v>MMR001CMP019</v>
      </c>
      <c r="AP224" s="535">
        <f ca="1">IF(Table_NFI[[#This Row],[Pcode]]="","",IF(OFFSET(CampList[Opening Date],MATCH(Table_NFI[[#This Row],[Pcode]],CampList[CP_Pcode],0)-1,0,1,1)&gt;=NFI_Monitor_Date,1,0))</f>
        <v>0</v>
      </c>
      <c r="AQ224" s="540" t="str">
        <f>IFERROR(VLOOKUP(Table_NFI[[#This Row],[Camp Name]],CL,3,0),"")</f>
        <v>Open</v>
      </c>
      <c r="AR224" s="352" t="str">
        <f ca="1">IF(Table_NFI[[#This Row],[Pcode]]="","",OFFSET(CampList[Priority],MATCH(Table_NFI[[#This Row],[Pcode]],CampList[CP_Pcode],0)-1,0,1,1))</f>
        <v>P4</v>
      </c>
      <c r="AS224" s="351">
        <f>IFERROR(Table_NFI[[#This Row],[Kitchen Set]]/VLOOKUP(Table_NFI[[#This Row],[Camp Name]],CL,4,0),"")</f>
        <v>0</v>
      </c>
      <c r="AT224" s="538"/>
      <c r="AU224" s="541"/>
    </row>
    <row r="225" spans="1:47" s="537" customFormat="1" ht="14.45" customHeight="1" x14ac:dyDescent="0.25">
      <c r="A225" s="355">
        <f t="shared" si="3"/>
        <v>21.933333333333334</v>
      </c>
      <c r="B225" s="532">
        <v>41913</v>
      </c>
      <c r="C225" s="533" t="s">
        <v>453</v>
      </c>
      <c r="D225" s="538" t="s">
        <v>506</v>
      </c>
      <c r="E225" s="538" t="s">
        <v>380</v>
      </c>
      <c r="F225" s="538" t="s">
        <v>27</v>
      </c>
      <c r="G225" s="538" t="s">
        <v>365</v>
      </c>
      <c r="H225" s="350"/>
      <c r="I225" s="350"/>
      <c r="J225" s="350"/>
      <c r="K225" s="350">
        <v>278</v>
      </c>
      <c r="L225" s="350"/>
      <c r="M225" s="350"/>
      <c r="N225" s="350"/>
      <c r="O225" s="350"/>
      <c r="P225" s="352"/>
      <c r="Q225" s="352"/>
      <c r="R225" s="352"/>
      <c r="S225" s="352"/>
      <c r="T225" s="352"/>
      <c r="U225" s="352">
        <v>278</v>
      </c>
      <c r="V225" s="497"/>
      <c r="W225" s="352"/>
      <c r="X225" s="352"/>
      <c r="Y225" s="352">
        <f>IF(NFI_Expiration=1,IF($A225&lt;VLOOKUP(H$5,NFI,5,0),1,0)*Table_NFI[[#This Row],[Hygiene Kit]],Table_NFI[Hygiene Kit])</f>
        <v>0</v>
      </c>
      <c r="Z225" s="352">
        <f>IF(NFI_Expiration=1,IF($A225&lt;VLOOKUP(I$5,NFI,5,0),1,0)*Table_NFI[[#This Row],[NFI Core Kit]],Table_NFI[NFI Core Kit])</f>
        <v>0</v>
      </c>
      <c r="AA225" s="352">
        <f>IF(NFI_Expiration=1,IF($A225&lt;VLOOKUP(J$5,NFI,5,0),1,0)*Table_NFI[[#This Row],[Sanitary Kit]],Table_NFI[Sanitary Kit])</f>
        <v>0</v>
      </c>
      <c r="AB225" s="352">
        <f>IF(NFI_Expiration=1,IF($A225&lt;VLOOKUP(K$5,NFI,5,0),1,0)*Table_NFI[[#This Row],[Mosquito net]],Table_NFI[Mosquito net])</f>
        <v>0</v>
      </c>
      <c r="AC225" s="352">
        <f>IF(NFI_Expiration=1,IF($A225&lt;VLOOKUP(L$5,NFI,5,0),1,0)*Table_NFI[[#This Row],[Tarpaulin]],Table_NFI[[#This Row],[Tarpaulin]])</f>
        <v>0</v>
      </c>
      <c r="AD225" s="352">
        <f>IF(NFI_Expiration=1,IF($A225&lt;VLOOKUP(M$5,NFI,5,0),1,0)*Table_NFI[[#This Row],[Blanket]],Table_NFI[[#This Row],[Blanket]])</f>
        <v>0</v>
      </c>
      <c r="AE225" s="352">
        <f>IF(NFI_Expiration=1,IF($A225&lt;VLOOKUP(N$5,NFI,5,0),1,0)*Table_NFI[[#This Row],[Kitchen Set]],Table_NFI[Kitchen Set])</f>
        <v>0</v>
      </c>
      <c r="AF225" s="352">
        <f>IF(NFI_Expiration=1,IF($A225&lt;VLOOKUP(O$5,NFI,5,0),1,0)*Table_NFI[[#This Row],[Clothes Kit]],Table_NFI[Clothes Kit])</f>
        <v>0</v>
      </c>
      <c r="AG225" s="352">
        <f>IF(NFI_Expiration=1,IF($A225&lt;VLOOKUP(P$5,NFI,5,0),1,0)*Table_NFI[[#This Row],[Plastic Bucket]],Table_NFI[Plastic Bucket])</f>
        <v>0</v>
      </c>
      <c r="AH225" s="352">
        <f>IF(NFI_Expiration=1,IF($A225&lt;VLOOKUP(Q$5,NFI,5,0),1,0)*Table_NFI[[#This Row],[Plastic Mat]],Table_NFI[Plastic Mat])*IF(Table_NFI[[#This Row],[Distribution Date]]&gt;"2014-04-01",1,2.5)</f>
        <v>0</v>
      </c>
      <c r="AI225" s="352">
        <f>IF(NFI_Expiration=1,IF($A225&lt;VLOOKUP(R$5,NFI,5,0),1,0)*Table_NFI[[#This Row],[Winter Clothes Adult]],Table_NFI[Winter Clothes Adult])</f>
        <v>0</v>
      </c>
      <c r="AJ225" s="352">
        <f>IF(NFI_Expiration=1,IF($A225&lt;VLOOKUP(S$5,NFI,5,0),1,0)*Table_NFI[[#This Row],[Winter Clothes Children]],Table_NFI[Winter Clothes Children])</f>
        <v>0</v>
      </c>
      <c r="AK225" s="352">
        <f>IF(NFI_Expiration=1,IF($A225&lt;VLOOKUP(T$5,NFI,5,0),1,0)*Table_NFI[[#This Row],[Winter Items Other]],Table_NFI[Winter Items Other])</f>
        <v>0</v>
      </c>
      <c r="AL225" s="352">
        <f>IF(NFI_Expiration=1,IF($A225&lt;VLOOKUP(M$5,NFI,5,0),1,0)*Table_NFI[[#This Row],[Winter Blanket]],Table_NFI[[#This Row],[Winter Blanket]])</f>
        <v>0</v>
      </c>
      <c r="AM225" s="352">
        <f>IF(Table_NFI[[#This Row],[Winter Clothes Adult]]+Table_NFI[[#This Row],[Winter Clothes Children]]+Table_NFI[[#This Row],[Winter Items Other]]+Table_NFI[[#This Row],[Winter Blanket]]&gt;0,1,0)</f>
        <v>1</v>
      </c>
      <c r="AN225" s="392">
        <f>IF(NFI_Expiration=1,IF($A225&lt;VLOOKUP(V$5,NFI,5,0),1,0)*Table_NFI[[#This Row],[Jerry Can]],Table_NFI[Jerry Can])</f>
        <v>0</v>
      </c>
      <c r="AO225" s="540" t="str">
        <f>IFERROR(VLOOKUP(Table_NFI[[#This Row],[Camp Name]],CL,2,0),"")</f>
        <v>MMR001CMP195</v>
      </c>
      <c r="AP225" s="535">
        <f ca="1">IF(Table_NFI[[#This Row],[Pcode]]="","",IF(OFFSET(CampList[Opening Date],MATCH(Table_NFI[[#This Row],[Pcode]],CampList[CP_Pcode],0)-1,0,1,1)&gt;=NFI_Monitor_Date,1,0))</f>
        <v>0</v>
      </c>
      <c r="AQ225" s="540" t="str">
        <f>IFERROR(VLOOKUP(Table_NFI[[#This Row],[Camp Name]],CL,3,0),"")</f>
        <v>Open</v>
      </c>
      <c r="AR225" s="352" t="str">
        <f ca="1">IF(Table_NFI[[#This Row],[Pcode]]="","",OFFSET(CampList[Priority],MATCH(Table_NFI[[#This Row],[Pcode]],CampList[CP_Pcode],0)-1,0,1,1))</f>
        <v>P1</v>
      </c>
      <c r="AS225" s="351">
        <f>IFERROR(Table_NFI[[#This Row],[Kitchen Set]]/VLOOKUP(Table_NFI[[#This Row],[Camp Name]],CL,4,0),"")</f>
        <v>0</v>
      </c>
      <c r="AT225" s="538"/>
      <c r="AU225" s="541"/>
    </row>
    <row r="226" spans="1:47" s="537" customFormat="1" ht="14.45" customHeight="1" x14ac:dyDescent="0.25">
      <c r="A226" s="355">
        <f t="shared" si="3"/>
        <v>21.933333333333334</v>
      </c>
      <c r="B226" s="532">
        <v>41913</v>
      </c>
      <c r="C226" s="533" t="s">
        <v>453</v>
      </c>
      <c r="D226" s="538" t="s">
        <v>506</v>
      </c>
      <c r="E226" s="538" t="s">
        <v>380</v>
      </c>
      <c r="F226" s="538" t="s">
        <v>528</v>
      </c>
      <c r="G226" s="538" t="s">
        <v>90</v>
      </c>
      <c r="H226" s="350"/>
      <c r="I226" s="350"/>
      <c r="J226" s="350"/>
      <c r="K226" s="350">
        <v>40</v>
      </c>
      <c r="L226" s="350"/>
      <c r="M226" s="350"/>
      <c r="N226" s="350"/>
      <c r="O226" s="350"/>
      <c r="P226" s="352"/>
      <c r="Q226" s="352"/>
      <c r="R226" s="352"/>
      <c r="S226" s="352"/>
      <c r="T226" s="352"/>
      <c r="U226" s="352"/>
      <c r="V226" s="497"/>
      <c r="W226" s="352"/>
      <c r="X226" s="352"/>
      <c r="Y226" s="352">
        <f>IF(NFI_Expiration=1,IF($A226&lt;VLOOKUP(H$5,NFI,5,0),1,0)*Table_NFI[[#This Row],[Hygiene Kit]],Table_NFI[Hygiene Kit])</f>
        <v>0</v>
      </c>
      <c r="Z226" s="352">
        <f>IF(NFI_Expiration=1,IF($A226&lt;VLOOKUP(I$5,NFI,5,0),1,0)*Table_NFI[[#This Row],[NFI Core Kit]],Table_NFI[NFI Core Kit])</f>
        <v>0</v>
      </c>
      <c r="AA226" s="352">
        <f>IF(NFI_Expiration=1,IF($A226&lt;VLOOKUP(J$5,NFI,5,0),1,0)*Table_NFI[[#This Row],[Sanitary Kit]],Table_NFI[Sanitary Kit])</f>
        <v>0</v>
      </c>
      <c r="AB226" s="352">
        <f>IF(NFI_Expiration=1,IF($A226&lt;VLOOKUP(K$5,NFI,5,0),1,0)*Table_NFI[[#This Row],[Mosquito net]],Table_NFI[Mosquito net])</f>
        <v>0</v>
      </c>
      <c r="AC226" s="352">
        <f>IF(NFI_Expiration=1,IF($A226&lt;VLOOKUP(L$5,NFI,5,0),1,0)*Table_NFI[[#This Row],[Tarpaulin]],Table_NFI[[#This Row],[Tarpaulin]])</f>
        <v>0</v>
      </c>
      <c r="AD226" s="352">
        <f>IF(NFI_Expiration=1,IF($A226&lt;VLOOKUP(M$5,NFI,5,0),1,0)*Table_NFI[[#This Row],[Blanket]],Table_NFI[[#This Row],[Blanket]])</f>
        <v>0</v>
      </c>
      <c r="AE226" s="352">
        <f>IF(NFI_Expiration=1,IF($A226&lt;VLOOKUP(N$5,NFI,5,0),1,0)*Table_NFI[[#This Row],[Kitchen Set]],Table_NFI[Kitchen Set])</f>
        <v>0</v>
      </c>
      <c r="AF226" s="352">
        <f>IF(NFI_Expiration=1,IF($A226&lt;VLOOKUP(O$5,NFI,5,0),1,0)*Table_NFI[[#This Row],[Clothes Kit]],Table_NFI[Clothes Kit])</f>
        <v>0</v>
      </c>
      <c r="AG226" s="352">
        <f>IF(NFI_Expiration=1,IF($A226&lt;VLOOKUP(P$5,NFI,5,0),1,0)*Table_NFI[[#This Row],[Plastic Bucket]],Table_NFI[Plastic Bucket])</f>
        <v>0</v>
      </c>
      <c r="AH226" s="352">
        <f>IF(NFI_Expiration=1,IF($A226&lt;VLOOKUP(Q$5,NFI,5,0),1,0)*Table_NFI[[#This Row],[Plastic Mat]],Table_NFI[Plastic Mat])*IF(Table_NFI[[#This Row],[Distribution Date]]&gt;"2014-04-01",1,2.5)</f>
        <v>0</v>
      </c>
      <c r="AI226" s="352">
        <f>IF(NFI_Expiration=1,IF($A226&lt;VLOOKUP(R$5,NFI,5,0),1,0)*Table_NFI[[#This Row],[Winter Clothes Adult]],Table_NFI[Winter Clothes Adult])</f>
        <v>0</v>
      </c>
      <c r="AJ226" s="352">
        <f>IF(NFI_Expiration=1,IF($A226&lt;VLOOKUP(S$5,NFI,5,0),1,0)*Table_NFI[[#This Row],[Winter Clothes Children]],Table_NFI[Winter Clothes Children])</f>
        <v>0</v>
      </c>
      <c r="AK226" s="352">
        <f>IF(NFI_Expiration=1,IF($A226&lt;VLOOKUP(T$5,NFI,5,0),1,0)*Table_NFI[[#This Row],[Winter Items Other]],Table_NFI[Winter Items Other])</f>
        <v>0</v>
      </c>
      <c r="AL226" s="352">
        <f>IF(NFI_Expiration=1,IF($A226&lt;VLOOKUP(M$5,NFI,5,0),1,0)*Table_NFI[[#This Row],[Winter Blanket]],Table_NFI[[#This Row],[Winter Blanket]])</f>
        <v>0</v>
      </c>
      <c r="AM226" s="352">
        <f>IF(Table_NFI[[#This Row],[Winter Clothes Adult]]+Table_NFI[[#This Row],[Winter Clothes Children]]+Table_NFI[[#This Row],[Winter Items Other]]+Table_NFI[[#This Row],[Winter Blanket]]&gt;0,1,0)</f>
        <v>0</v>
      </c>
      <c r="AN226" s="392">
        <f>IF(NFI_Expiration=1,IF($A226&lt;VLOOKUP(V$5,NFI,5,0),1,0)*Table_NFI[[#This Row],[Jerry Can]],Table_NFI[Jerry Can])</f>
        <v>0</v>
      </c>
      <c r="AO226" s="540" t="str">
        <f>IFERROR(VLOOKUP(Table_NFI[[#This Row],[Camp Name]],CL,2,0),"")</f>
        <v>MMR001CMP181</v>
      </c>
      <c r="AP226" s="535">
        <f ca="1">IF(Table_NFI[[#This Row],[Pcode]]="","",IF(OFFSET(CampList[Opening Date],MATCH(Table_NFI[[#This Row],[Pcode]],CampList[CP_Pcode],0)-1,0,1,1)&gt;=NFI_Monitor_Date,1,0))</f>
        <v>0</v>
      </c>
      <c r="AQ226" s="540" t="str">
        <f>IFERROR(VLOOKUP(Table_NFI[[#This Row],[Camp Name]],CL,3,0),"")</f>
        <v>Open</v>
      </c>
      <c r="AR226" s="352" t="str">
        <f ca="1">IF(Table_NFI[[#This Row],[Pcode]]="","",OFFSET(CampList[Priority],MATCH(Table_NFI[[#This Row],[Pcode]],CampList[CP_Pcode],0)-1,0,1,1))</f>
        <v>P4</v>
      </c>
      <c r="AS226" s="351">
        <f>IFERROR(Table_NFI[[#This Row],[Kitchen Set]]/VLOOKUP(Table_NFI[[#This Row],[Camp Name]],CL,4,0),"")</f>
        <v>0</v>
      </c>
      <c r="AT226" s="538"/>
      <c r="AU226" s="541"/>
    </row>
    <row r="227" spans="1:47" s="129" customFormat="1" ht="14.45" customHeight="1" x14ac:dyDescent="0.25">
      <c r="A227" s="355">
        <f t="shared" si="3"/>
        <v>21.933333333333334</v>
      </c>
      <c r="B227" s="532">
        <v>41913</v>
      </c>
      <c r="C227" s="533" t="s">
        <v>453</v>
      </c>
      <c r="D227" s="538" t="s">
        <v>506</v>
      </c>
      <c r="E227" s="538" t="s">
        <v>380</v>
      </c>
      <c r="F227" s="538" t="s">
        <v>528</v>
      </c>
      <c r="G227" s="538" t="s">
        <v>92</v>
      </c>
      <c r="H227" s="350"/>
      <c r="I227" s="350"/>
      <c r="J227" s="350"/>
      <c r="K227" s="350">
        <v>16</v>
      </c>
      <c r="L227" s="350"/>
      <c r="M227" s="350"/>
      <c r="N227" s="350"/>
      <c r="O227" s="350"/>
      <c r="P227" s="352"/>
      <c r="Q227" s="352"/>
      <c r="R227" s="352"/>
      <c r="S227" s="352"/>
      <c r="T227" s="352"/>
      <c r="U227" s="352"/>
      <c r="V227" s="497"/>
      <c r="W227" s="352"/>
      <c r="X227" s="352"/>
      <c r="Y227" s="352">
        <f>IF(NFI_Expiration=1,IF($A227&lt;VLOOKUP(H$5,NFI,5,0),1,0)*Table_NFI[[#This Row],[Hygiene Kit]],Table_NFI[Hygiene Kit])</f>
        <v>0</v>
      </c>
      <c r="Z227" s="352">
        <f>IF(NFI_Expiration=1,IF($A227&lt;VLOOKUP(I$5,NFI,5,0),1,0)*Table_NFI[[#This Row],[NFI Core Kit]],Table_NFI[NFI Core Kit])</f>
        <v>0</v>
      </c>
      <c r="AA227" s="352">
        <f>IF(NFI_Expiration=1,IF($A227&lt;VLOOKUP(J$5,NFI,5,0),1,0)*Table_NFI[[#This Row],[Sanitary Kit]],Table_NFI[Sanitary Kit])</f>
        <v>0</v>
      </c>
      <c r="AB227" s="352">
        <f>IF(NFI_Expiration=1,IF($A227&lt;VLOOKUP(K$5,NFI,5,0),1,0)*Table_NFI[[#This Row],[Mosquito net]],Table_NFI[Mosquito net])</f>
        <v>0</v>
      </c>
      <c r="AC227" s="352">
        <f>IF(NFI_Expiration=1,IF($A227&lt;VLOOKUP(L$5,NFI,5,0),1,0)*Table_NFI[[#This Row],[Tarpaulin]],Table_NFI[[#This Row],[Tarpaulin]])</f>
        <v>0</v>
      </c>
      <c r="AD227" s="352">
        <f>IF(NFI_Expiration=1,IF($A227&lt;VLOOKUP(M$5,NFI,5,0),1,0)*Table_NFI[[#This Row],[Blanket]],Table_NFI[[#This Row],[Blanket]])</f>
        <v>0</v>
      </c>
      <c r="AE227" s="352">
        <f>IF(NFI_Expiration=1,IF($A227&lt;VLOOKUP(N$5,NFI,5,0),1,0)*Table_NFI[[#This Row],[Kitchen Set]],Table_NFI[Kitchen Set])</f>
        <v>0</v>
      </c>
      <c r="AF227" s="352">
        <f>IF(NFI_Expiration=1,IF($A227&lt;VLOOKUP(O$5,NFI,5,0),1,0)*Table_NFI[[#This Row],[Clothes Kit]],Table_NFI[Clothes Kit])</f>
        <v>0</v>
      </c>
      <c r="AG227" s="352">
        <f>IF(NFI_Expiration=1,IF($A227&lt;VLOOKUP(P$5,NFI,5,0),1,0)*Table_NFI[[#This Row],[Plastic Bucket]],Table_NFI[Plastic Bucket])</f>
        <v>0</v>
      </c>
      <c r="AH227" s="352">
        <f>IF(NFI_Expiration=1,IF($A227&lt;VLOOKUP(Q$5,NFI,5,0),1,0)*Table_NFI[[#This Row],[Plastic Mat]],Table_NFI[Plastic Mat])*IF(Table_NFI[[#This Row],[Distribution Date]]&gt;"2014-04-01",1,2.5)</f>
        <v>0</v>
      </c>
      <c r="AI227" s="352">
        <f>IF(NFI_Expiration=1,IF($A227&lt;VLOOKUP(R$5,NFI,5,0),1,0)*Table_NFI[[#This Row],[Winter Clothes Adult]],Table_NFI[Winter Clothes Adult])</f>
        <v>0</v>
      </c>
      <c r="AJ227" s="352">
        <f>IF(NFI_Expiration=1,IF($A227&lt;VLOOKUP(S$5,NFI,5,0),1,0)*Table_NFI[[#This Row],[Winter Clothes Children]],Table_NFI[Winter Clothes Children])</f>
        <v>0</v>
      </c>
      <c r="AK227" s="352">
        <f>IF(NFI_Expiration=1,IF($A227&lt;VLOOKUP(T$5,NFI,5,0),1,0)*Table_NFI[[#This Row],[Winter Items Other]],Table_NFI[Winter Items Other])</f>
        <v>0</v>
      </c>
      <c r="AL227" s="352">
        <f>IF(NFI_Expiration=1,IF($A227&lt;VLOOKUP(M$5,NFI,5,0),1,0)*Table_NFI[[#This Row],[Winter Blanket]],Table_NFI[[#This Row],[Winter Blanket]])</f>
        <v>0</v>
      </c>
      <c r="AM227" s="352">
        <f>IF(Table_NFI[[#This Row],[Winter Clothes Adult]]+Table_NFI[[#This Row],[Winter Clothes Children]]+Table_NFI[[#This Row],[Winter Items Other]]+Table_NFI[[#This Row],[Winter Blanket]]&gt;0,1,0)</f>
        <v>0</v>
      </c>
      <c r="AN227" s="392">
        <f>IF(NFI_Expiration=1,IF($A227&lt;VLOOKUP(V$5,NFI,5,0),1,0)*Table_NFI[[#This Row],[Jerry Can]],Table_NFI[Jerry Can])</f>
        <v>0</v>
      </c>
      <c r="AO227" s="540" t="str">
        <f>IFERROR(VLOOKUP(Table_NFI[[#This Row],[Camp Name]],CL,2,0),"")</f>
        <v>MMR001CMP167</v>
      </c>
      <c r="AP227" s="535">
        <f ca="1">IF(Table_NFI[[#This Row],[Pcode]]="","",IF(OFFSET(CampList[Opening Date],MATCH(Table_NFI[[#This Row],[Pcode]],CampList[CP_Pcode],0)-1,0,1,1)&gt;=NFI_Monitor_Date,1,0))</f>
        <v>0</v>
      </c>
      <c r="AQ227" s="540" t="str">
        <f>IFERROR(VLOOKUP(Table_NFI[[#This Row],[Camp Name]],CL,3,0),"")</f>
        <v>Open</v>
      </c>
      <c r="AR227" s="352" t="str">
        <f ca="1">IF(Table_NFI[[#This Row],[Pcode]]="","",OFFSET(CampList[Priority],MATCH(Table_NFI[[#This Row],[Pcode]],CampList[CP_Pcode],0)-1,0,1,1))</f>
        <v>P4</v>
      </c>
      <c r="AS227" s="351">
        <f>IFERROR(Table_NFI[[#This Row],[Kitchen Set]]/VLOOKUP(Table_NFI[[#This Row],[Camp Name]],CL,4,0),"")</f>
        <v>0</v>
      </c>
      <c r="AT227" s="538"/>
      <c r="AU227" s="541"/>
    </row>
    <row r="228" spans="1:47" s="537" customFormat="1" ht="14.45" customHeight="1" x14ac:dyDescent="0.25">
      <c r="A228" s="355">
        <f t="shared" si="3"/>
        <v>21.933333333333334</v>
      </c>
      <c r="B228" s="532">
        <v>41913</v>
      </c>
      <c r="C228" s="533" t="s">
        <v>453</v>
      </c>
      <c r="D228" s="538" t="s">
        <v>507</v>
      </c>
      <c r="E228" s="538" t="s">
        <v>380</v>
      </c>
      <c r="F228" s="538" t="s">
        <v>310</v>
      </c>
      <c r="G228" s="538" t="s">
        <v>322</v>
      </c>
      <c r="H228" s="350"/>
      <c r="I228" s="350"/>
      <c r="J228" s="350"/>
      <c r="K228" s="350">
        <v>1248</v>
      </c>
      <c r="L228" s="350"/>
      <c r="M228" s="350"/>
      <c r="N228" s="350"/>
      <c r="O228" s="350"/>
      <c r="P228" s="352"/>
      <c r="Q228" s="352"/>
      <c r="R228" s="352"/>
      <c r="S228" s="352"/>
      <c r="T228" s="352"/>
      <c r="U228" s="352">
        <v>1248</v>
      </c>
      <c r="V228" s="497"/>
      <c r="W228" s="352"/>
      <c r="X228" s="352"/>
      <c r="Y228" s="352">
        <f>IF(NFI_Expiration=1,IF($A228&lt;VLOOKUP(H$5,NFI,5,0),1,0)*Table_NFI[[#This Row],[Hygiene Kit]],Table_NFI[Hygiene Kit])</f>
        <v>0</v>
      </c>
      <c r="Z228" s="352">
        <f>IF(NFI_Expiration=1,IF($A228&lt;VLOOKUP(I$5,NFI,5,0),1,0)*Table_NFI[[#This Row],[NFI Core Kit]],Table_NFI[NFI Core Kit])</f>
        <v>0</v>
      </c>
      <c r="AA228" s="352">
        <f>IF(NFI_Expiration=1,IF($A228&lt;VLOOKUP(J$5,NFI,5,0),1,0)*Table_NFI[[#This Row],[Sanitary Kit]],Table_NFI[Sanitary Kit])</f>
        <v>0</v>
      </c>
      <c r="AB228" s="352">
        <f>IF(NFI_Expiration=1,IF($A228&lt;VLOOKUP(K$5,NFI,5,0),1,0)*Table_NFI[[#This Row],[Mosquito net]],Table_NFI[Mosquito net])</f>
        <v>0</v>
      </c>
      <c r="AC228" s="352">
        <f>IF(NFI_Expiration=1,IF($A228&lt;VLOOKUP(L$5,NFI,5,0),1,0)*Table_NFI[[#This Row],[Tarpaulin]],Table_NFI[[#This Row],[Tarpaulin]])</f>
        <v>0</v>
      </c>
      <c r="AD228" s="352">
        <f>IF(NFI_Expiration=1,IF($A228&lt;VLOOKUP(M$5,NFI,5,0),1,0)*Table_NFI[[#This Row],[Blanket]],Table_NFI[[#This Row],[Blanket]])</f>
        <v>0</v>
      </c>
      <c r="AE228" s="352">
        <f>IF(NFI_Expiration=1,IF($A228&lt;VLOOKUP(N$5,NFI,5,0),1,0)*Table_NFI[[#This Row],[Kitchen Set]],Table_NFI[Kitchen Set])</f>
        <v>0</v>
      </c>
      <c r="AF228" s="352">
        <f>IF(NFI_Expiration=1,IF($A228&lt;VLOOKUP(O$5,NFI,5,0),1,0)*Table_NFI[[#This Row],[Clothes Kit]],Table_NFI[Clothes Kit])</f>
        <v>0</v>
      </c>
      <c r="AG228" s="352">
        <f>IF(NFI_Expiration=1,IF($A228&lt;VLOOKUP(P$5,NFI,5,0),1,0)*Table_NFI[[#This Row],[Plastic Bucket]],Table_NFI[Plastic Bucket])</f>
        <v>0</v>
      </c>
      <c r="AH228" s="352">
        <f>IF(NFI_Expiration=1,IF($A228&lt;VLOOKUP(Q$5,NFI,5,0),1,0)*Table_NFI[[#This Row],[Plastic Mat]],Table_NFI[Plastic Mat])*IF(Table_NFI[[#This Row],[Distribution Date]]&gt;"2014-04-01",1,2.5)</f>
        <v>0</v>
      </c>
      <c r="AI228" s="352">
        <f>IF(NFI_Expiration=1,IF($A228&lt;VLOOKUP(R$5,NFI,5,0),1,0)*Table_NFI[[#This Row],[Winter Clothes Adult]],Table_NFI[Winter Clothes Adult])</f>
        <v>0</v>
      </c>
      <c r="AJ228" s="352">
        <f>IF(NFI_Expiration=1,IF($A228&lt;VLOOKUP(S$5,NFI,5,0),1,0)*Table_NFI[[#This Row],[Winter Clothes Children]],Table_NFI[Winter Clothes Children])</f>
        <v>0</v>
      </c>
      <c r="AK228" s="352">
        <f>IF(NFI_Expiration=1,IF($A228&lt;VLOOKUP(T$5,NFI,5,0),1,0)*Table_NFI[[#This Row],[Winter Items Other]],Table_NFI[Winter Items Other])</f>
        <v>0</v>
      </c>
      <c r="AL228" s="352">
        <f>IF(NFI_Expiration=1,IF($A228&lt;VLOOKUP(M$5,NFI,5,0),1,0)*Table_NFI[[#This Row],[Winter Blanket]],Table_NFI[[#This Row],[Winter Blanket]])</f>
        <v>0</v>
      </c>
      <c r="AM228" s="352">
        <f>IF(Table_NFI[[#This Row],[Winter Clothes Adult]]+Table_NFI[[#This Row],[Winter Clothes Children]]+Table_NFI[[#This Row],[Winter Items Other]]+Table_NFI[[#This Row],[Winter Blanket]]&gt;0,1,0)</f>
        <v>1</v>
      </c>
      <c r="AN228" s="392">
        <f>IF(NFI_Expiration=1,IF($A228&lt;VLOOKUP(V$5,NFI,5,0),1,0)*Table_NFI[[#This Row],[Jerry Can]],Table_NFI[Jerry Can])</f>
        <v>0</v>
      </c>
      <c r="AO228" s="540" t="str">
        <f>IFERROR(VLOOKUP(Table_NFI[[#This Row],[Camp Name]],CL,2,0),"")</f>
        <v>MMR001CMP119</v>
      </c>
      <c r="AP228" s="535">
        <f ca="1">IF(Table_NFI[[#This Row],[Pcode]]="","",IF(OFFSET(CampList[Opening Date],MATCH(Table_NFI[[#This Row],[Pcode]],CampList[CP_Pcode],0)-1,0,1,1)&gt;=NFI_Monitor_Date,1,0))</f>
        <v>0</v>
      </c>
      <c r="AQ228" s="540" t="str">
        <f>IFERROR(VLOOKUP(Table_NFI[[#This Row],[Camp Name]],CL,3,0),"")</f>
        <v>Open</v>
      </c>
      <c r="AR228" s="352" t="str">
        <f ca="1">IF(Table_NFI[[#This Row],[Pcode]]="","",OFFSET(CampList[Priority],MATCH(Table_NFI[[#This Row],[Pcode]],CampList[CP_Pcode],0)-1,0,1,1))</f>
        <v>P2</v>
      </c>
      <c r="AS228" s="351">
        <f>IFERROR(Table_NFI[[#This Row],[Kitchen Set]]/VLOOKUP(Table_NFI[[#This Row],[Camp Name]],CL,4,0),"")</f>
        <v>0</v>
      </c>
      <c r="AT228" s="538"/>
      <c r="AU228" s="541"/>
    </row>
    <row r="229" spans="1:47" s="537" customFormat="1" ht="14.45" customHeight="1" x14ac:dyDescent="0.25">
      <c r="A229" s="355">
        <f t="shared" si="3"/>
        <v>21.933333333333334</v>
      </c>
      <c r="B229" s="532">
        <v>41913</v>
      </c>
      <c r="C229" s="533" t="s">
        <v>453</v>
      </c>
      <c r="D229" s="538" t="s">
        <v>506</v>
      </c>
      <c r="E229" s="538" t="s">
        <v>380</v>
      </c>
      <c r="F229" s="538" t="s">
        <v>310</v>
      </c>
      <c r="G229" s="538" t="s">
        <v>328</v>
      </c>
      <c r="H229" s="350"/>
      <c r="I229" s="350"/>
      <c r="J229" s="350"/>
      <c r="K229" s="350">
        <v>286</v>
      </c>
      <c r="L229" s="350"/>
      <c r="M229" s="350"/>
      <c r="N229" s="350"/>
      <c r="O229" s="350"/>
      <c r="P229" s="352"/>
      <c r="Q229" s="352"/>
      <c r="R229" s="352"/>
      <c r="S229" s="352"/>
      <c r="T229" s="352"/>
      <c r="U229" s="352"/>
      <c r="V229" s="497"/>
      <c r="W229" s="352"/>
      <c r="X229" s="352"/>
      <c r="Y229" s="352">
        <f>IF(NFI_Expiration=1,IF($A229&lt;VLOOKUP(H$5,NFI,5,0),1,0)*Table_NFI[[#This Row],[Hygiene Kit]],Table_NFI[Hygiene Kit])</f>
        <v>0</v>
      </c>
      <c r="Z229" s="352">
        <f>IF(NFI_Expiration=1,IF($A229&lt;VLOOKUP(I$5,NFI,5,0),1,0)*Table_NFI[[#This Row],[NFI Core Kit]],Table_NFI[NFI Core Kit])</f>
        <v>0</v>
      </c>
      <c r="AA229" s="352">
        <f>IF(NFI_Expiration=1,IF($A229&lt;VLOOKUP(J$5,NFI,5,0),1,0)*Table_NFI[[#This Row],[Sanitary Kit]],Table_NFI[Sanitary Kit])</f>
        <v>0</v>
      </c>
      <c r="AB229" s="352">
        <f>IF(NFI_Expiration=1,IF($A229&lt;VLOOKUP(K$5,NFI,5,0),1,0)*Table_NFI[[#This Row],[Mosquito net]],Table_NFI[Mosquito net])</f>
        <v>0</v>
      </c>
      <c r="AC229" s="352">
        <f>IF(NFI_Expiration=1,IF($A229&lt;VLOOKUP(L$5,NFI,5,0),1,0)*Table_NFI[[#This Row],[Tarpaulin]],Table_NFI[[#This Row],[Tarpaulin]])</f>
        <v>0</v>
      </c>
      <c r="AD229" s="352">
        <f>IF(NFI_Expiration=1,IF($A229&lt;VLOOKUP(M$5,NFI,5,0),1,0)*Table_NFI[[#This Row],[Blanket]],Table_NFI[[#This Row],[Blanket]])</f>
        <v>0</v>
      </c>
      <c r="AE229" s="352">
        <f>IF(NFI_Expiration=1,IF($A229&lt;VLOOKUP(N$5,NFI,5,0),1,0)*Table_NFI[[#This Row],[Kitchen Set]],Table_NFI[Kitchen Set])</f>
        <v>0</v>
      </c>
      <c r="AF229" s="352">
        <f>IF(NFI_Expiration=1,IF($A229&lt;VLOOKUP(O$5,NFI,5,0),1,0)*Table_NFI[[#This Row],[Clothes Kit]],Table_NFI[Clothes Kit])</f>
        <v>0</v>
      </c>
      <c r="AG229" s="352">
        <f>IF(NFI_Expiration=1,IF($A229&lt;VLOOKUP(P$5,NFI,5,0),1,0)*Table_NFI[[#This Row],[Plastic Bucket]],Table_NFI[Plastic Bucket])</f>
        <v>0</v>
      </c>
      <c r="AH229" s="352">
        <f>IF(NFI_Expiration=1,IF($A229&lt;VLOOKUP(Q$5,NFI,5,0),1,0)*Table_NFI[[#This Row],[Plastic Mat]],Table_NFI[Plastic Mat])*IF(Table_NFI[[#This Row],[Distribution Date]]&gt;"2014-04-01",1,2.5)</f>
        <v>0</v>
      </c>
      <c r="AI229" s="352">
        <f>IF(NFI_Expiration=1,IF($A229&lt;VLOOKUP(R$5,NFI,5,0),1,0)*Table_NFI[[#This Row],[Winter Clothes Adult]],Table_NFI[Winter Clothes Adult])</f>
        <v>0</v>
      </c>
      <c r="AJ229" s="352">
        <f>IF(NFI_Expiration=1,IF($A229&lt;VLOOKUP(S$5,NFI,5,0),1,0)*Table_NFI[[#This Row],[Winter Clothes Children]],Table_NFI[Winter Clothes Children])</f>
        <v>0</v>
      </c>
      <c r="AK229" s="352">
        <f>IF(NFI_Expiration=1,IF($A229&lt;VLOOKUP(T$5,NFI,5,0),1,0)*Table_NFI[[#This Row],[Winter Items Other]],Table_NFI[Winter Items Other])</f>
        <v>0</v>
      </c>
      <c r="AL229" s="352">
        <f>IF(NFI_Expiration=1,IF($A229&lt;VLOOKUP(M$5,NFI,5,0),1,0)*Table_NFI[[#This Row],[Winter Blanket]],Table_NFI[[#This Row],[Winter Blanket]])</f>
        <v>0</v>
      </c>
      <c r="AM229" s="352">
        <f>IF(Table_NFI[[#This Row],[Winter Clothes Adult]]+Table_NFI[[#This Row],[Winter Clothes Children]]+Table_NFI[[#This Row],[Winter Items Other]]+Table_NFI[[#This Row],[Winter Blanket]]&gt;0,1,0)</f>
        <v>0</v>
      </c>
      <c r="AN229" s="392">
        <f>IF(NFI_Expiration=1,IF($A229&lt;VLOOKUP(V$5,NFI,5,0),1,0)*Table_NFI[[#This Row],[Jerry Can]],Table_NFI[Jerry Can])</f>
        <v>0</v>
      </c>
      <c r="AO229" s="540" t="str">
        <f>IFERROR(VLOOKUP(Table_NFI[[#This Row],[Camp Name]],CL,2,0),"")</f>
        <v>MMR001CMP031</v>
      </c>
      <c r="AP229" s="535">
        <f ca="1">IF(Table_NFI[[#This Row],[Pcode]]="","",IF(OFFSET(CampList[Opening Date],MATCH(Table_NFI[[#This Row],[Pcode]],CampList[CP_Pcode],0)-1,0,1,1)&gt;=NFI_Monitor_Date,1,0))</f>
        <v>0</v>
      </c>
      <c r="AQ229" s="540" t="str">
        <f>IFERROR(VLOOKUP(Table_NFI[[#This Row],[Camp Name]],CL,3,0),"")</f>
        <v>Open</v>
      </c>
      <c r="AR229" s="352" t="str">
        <f ca="1">IF(Table_NFI[[#This Row],[Pcode]]="","",OFFSET(CampList[Priority],MATCH(Table_NFI[[#This Row],[Pcode]],CampList[CP_Pcode],0)-1,0,1,1))</f>
        <v>P4</v>
      </c>
      <c r="AS229" s="351">
        <f>IFERROR(Table_NFI[[#This Row],[Kitchen Set]]/VLOOKUP(Table_NFI[[#This Row],[Camp Name]],CL,4,0),"")</f>
        <v>0</v>
      </c>
      <c r="AT229" s="538"/>
      <c r="AU229" s="541"/>
    </row>
    <row r="230" spans="1:47" s="537" customFormat="1" ht="14.45" customHeight="1" x14ac:dyDescent="0.25">
      <c r="A230" s="355">
        <f t="shared" si="3"/>
        <v>21.933333333333334</v>
      </c>
      <c r="B230" s="532">
        <v>41913</v>
      </c>
      <c r="C230" s="533" t="s">
        <v>453</v>
      </c>
      <c r="D230" s="538" t="s">
        <v>507</v>
      </c>
      <c r="E230" s="538" t="s">
        <v>380</v>
      </c>
      <c r="F230" s="538" t="s">
        <v>310</v>
      </c>
      <c r="G230" s="538" t="s">
        <v>330</v>
      </c>
      <c r="H230" s="350"/>
      <c r="I230" s="350"/>
      <c r="J230" s="350"/>
      <c r="K230" s="350">
        <v>462</v>
      </c>
      <c r="L230" s="350"/>
      <c r="M230" s="350"/>
      <c r="N230" s="350"/>
      <c r="O230" s="350"/>
      <c r="P230" s="352"/>
      <c r="Q230" s="352"/>
      <c r="R230" s="352"/>
      <c r="S230" s="352"/>
      <c r="T230" s="352"/>
      <c r="U230" s="352"/>
      <c r="V230" s="497"/>
      <c r="W230" s="352"/>
      <c r="X230" s="352"/>
      <c r="Y230" s="352">
        <f>IF(NFI_Expiration=1,IF($A230&lt;VLOOKUP(H$5,NFI,5,0),1,0)*Table_NFI[[#This Row],[Hygiene Kit]],Table_NFI[Hygiene Kit])</f>
        <v>0</v>
      </c>
      <c r="Z230" s="352">
        <f>IF(NFI_Expiration=1,IF($A230&lt;VLOOKUP(I$5,NFI,5,0),1,0)*Table_NFI[[#This Row],[NFI Core Kit]],Table_NFI[NFI Core Kit])</f>
        <v>0</v>
      </c>
      <c r="AA230" s="352">
        <f>IF(NFI_Expiration=1,IF($A230&lt;VLOOKUP(J$5,NFI,5,0),1,0)*Table_NFI[[#This Row],[Sanitary Kit]],Table_NFI[Sanitary Kit])</f>
        <v>0</v>
      </c>
      <c r="AB230" s="352">
        <f>IF(NFI_Expiration=1,IF($A230&lt;VLOOKUP(K$5,NFI,5,0),1,0)*Table_NFI[[#This Row],[Mosquito net]],Table_NFI[Mosquito net])</f>
        <v>0</v>
      </c>
      <c r="AC230" s="352">
        <f>IF(NFI_Expiration=1,IF($A230&lt;VLOOKUP(L$5,NFI,5,0),1,0)*Table_NFI[[#This Row],[Tarpaulin]],Table_NFI[[#This Row],[Tarpaulin]])</f>
        <v>0</v>
      </c>
      <c r="AD230" s="352">
        <f>IF(NFI_Expiration=1,IF($A230&lt;VLOOKUP(M$5,NFI,5,0),1,0)*Table_NFI[[#This Row],[Blanket]],Table_NFI[[#This Row],[Blanket]])</f>
        <v>0</v>
      </c>
      <c r="AE230" s="352">
        <f>IF(NFI_Expiration=1,IF($A230&lt;VLOOKUP(N$5,NFI,5,0),1,0)*Table_NFI[[#This Row],[Kitchen Set]],Table_NFI[Kitchen Set])</f>
        <v>0</v>
      </c>
      <c r="AF230" s="352">
        <f>IF(NFI_Expiration=1,IF($A230&lt;VLOOKUP(O$5,NFI,5,0),1,0)*Table_NFI[[#This Row],[Clothes Kit]],Table_NFI[Clothes Kit])</f>
        <v>0</v>
      </c>
      <c r="AG230" s="352">
        <f>IF(NFI_Expiration=1,IF($A230&lt;VLOOKUP(P$5,NFI,5,0),1,0)*Table_NFI[[#This Row],[Plastic Bucket]],Table_NFI[Plastic Bucket])</f>
        <v>0</v>
      </c>
      <c r="AH230" s="352">
        <f>IF(NFI_Expiration=1,IF($A230&lt;VLOOKUP(Q$5,NFI,5,0),1,0)*Table_NFI[[#This Row],[Plastic Mat]],Table_NFI[Plastic Mat])*IF(Table_NFI[[#This Row],[Distribution Date]]&gt;"2014-04-01",1,2.5)</f>
        <v>0</v>
      </c>
      <c r="AI230" s="352">
        <f>IF(NFI_Expiration=1,IF($A230&lt;VLOOKUP(R$5,NFI,5,0),1,0)*Table_NFI[[#This Row],[Winter Clothes Adult]],Table_NFI[Winter Clothes Adult])</f>
        <v>0</v>
      </c>
      <c r="AJ230" s="352">
        <f>IF(NFI_Expiration=1,IF($A230&lt;VLOOKUP(S$5,NFI,5,0),1,0)*Table_NFI[[#This Row],[Winter Clothes Children]],Table_NFI[Winter Clothes Children])</f>
        <v>0</v>
      </c>
      <c r="AK230" s="352">
        <f>IF(NFI_Expiration=1,IF($A230&lt;VLOOKUP(T$5,NFI,5,0),1,0)*Table_NFI[[#This Row],[Winter Items Other]],Table_NFI[Winter Items Other])</f>
        <v>0</v>
      </c>
      <c r="AL230" s="352">
        <f>IF(NFI_Expiration=1,IF($A230&lt;VLOOKUP(M$5,NFI,5,0),1,0)*Table_NFI[[#This Row],[Winter Blanket]],Table_NFI[[#This Row],[Winter Blanket]])</f>
        <v>0</v>
      </c>
      <c r="AM230" s="352">
        <f>IF(Table_NFI[[#This Row],[Winter Clothes Adult]]+Table_NFI[[#This Row],[Winter Clothes Children]]+Table_NFI[[#This Row],[Winter Items Other]]+Table_NFI[[#This Row],[Winter Blanket]]&gt;0,1,0)</f>
        <v>0</v>
      </c>
      <c r="AN230" s="392">
        <f>IF(NFI_Expiration=1,IF($A230&lt;VLOOKUP(V$5,NFI,5,0),1,0)*Table_NFI[[#This Row],[Jerry Can]],Table_NFI[Jerry Can])</f>
        <v>0</v>
      </c>
      <c r="AO230" s="540" t="str">
        <f>IFERROR(VLOOKUP(Table_NFI[[#This Row],[Camp Name]],CL,2,0),"")</f>
        <v>MMR001CMP029</v>
      </c>
      <c r="AP230" s="535">
        <f ca="1">IF(Table_NFI[[#This Row],[Pcode]]="","",IF(OFFSET(CampList[Opening Date],MATCH(Table_NFI[[#This Row],[Pcode]],CampList[CP_Pcode],0)-1,0,1,1)&gt;=NFI_Monitor_Date,1,0))</f>
        <v>0</v>
      </c>
      <c r="AQ230" s="540" t="str">
        <f>IFERROR(VLOOKUP(Table_NFI[[#This Row],[Camp Name]],CL,3,0),"")</f>
        <v>Open</v>
      </c>
      <c r="AR230" s="352" t="str">
        <f ca="1">IF(Table_NFI[[#This Row],[Pcode]]="","",OFFSET(CampList[Priority],MATCH(Table_NFI[[#This Row],[Pcode]],CampList[CP_Pcode],0)-1,0,1,1))</f>
        <v>P4</v>
      </c>
      <c r="AS230" s="351">
        <f>IFERROR(Table_NFI[[#This Row],[Kitchen Set]]/VLOOKUP(Table_NFI[[#This Row],[Camp Name]],CL,4,0),"")</f>
        <v>0</v>
      </c>
      <c r="AT230" s="538"/>
      <c r="AU230" s="541"/>
    </row>
    <row r="231" spans="1:47" s="537" customFormat="1" ht="14.45" customHeight="1" x14ac:dyDescent="0.25">
      <c r="A231" s="355">
        <f t="shared" si="3"/>
        <v>21.933333333333334</v>
      </c>
      <c r="B231" s="532">
        <v>41913</v>
      </c>
      <c r="C231" s="533" t="s">
        <v>453</v>
      </c>
      <c r="D231" s="538" t="s">
        <v>506</v>
      </c>
      <c r="E231" s="538" t="s">
        <v>380</v>
      </c>
      <c r="F231" s="538" t="s">
        <v>237</v>
      </c>
      <c r="G231" s="538" t="s">
        <v>263</v>
      </c>
      <c r="H231" s="350"/>
      <c r="I231" s="350"/>
      <c r="J231" s="350"/>
      <c r="K231" s="350">
        <v>52</v>
      </c>
      <c r="L231" s="350"/>
      <c r="M231" s="350"/>
      <c r="N231" s="350"/>
      <c r="O231" s="350"/>
      <c r="P231" s="352"/>
      <c r="Q231" s="352"/>
      <c r="R231" s="352"/>
      <c r="S231" s="352"/>
      <c r="T231" s="352"/>
      <c r="U231" s="352"/>
      <c r="V231" s="497"/>
      <c r="W231" s="352"/>
      <c r="X231" s="352"/>
      <c r="Y231" s="352">
        <f>IF(NFI_Expiration=1,IF($A231&lt;VLOOKUP(H$5,NFI,5,0),1,0)*Table_NFI[[#This Row],[Hygiene Kit]],Table_NFI[Hygiene Kit])</f>
        <v>0</v>
      </c>
      <c r="Z231" s="352">
        <f>IF(NFI_Expiration=1,IF($A231&lt;VLOOKUP(I$5,NFI,5,0),1,0)*Table_NFI[[#This Row],[NFI Core Kit]],Table_NFI[NFI Core Kit])</f>
        <v>0</v>
      </c>
      <c r="AA231" s="352">
        <f>IF(NFI_Expiration=1,IF($A231&lt;VLOOKUP(J$5,NFI,5,0),1,0)*Table_NFI[[#This Row],[Sanitary Kit]],Table_NFI[Sanitary Kit])</f>
        <v>0</v>
      </c>
      <c r="AB231" s="352">
        <f>IF(NFI_Expiration=1,IF($A231&lt;VLOOKUP(K$5,NFI,5,0),1,0)*Table_NFI[[#This Row],[Mosquito net]],Table_NFI[Mosquito net])</f>
        <v>0</v>
      </c>
      <c r="AC231" s="352">
        <f>IF(NFI_Expiration=1,IF($A231&lt;VLOOKUP(L$5,NFI,5,0),1,0)*Table_NFI[[#This Row],[Tarpaulin]],Table_NFI[[#This Row],[Tarpaulin]])</f>
        <v>0</v>
      </c>
      <c r="AD231" s="352">
        <f>IF(NFI_Expiration=1,IF($A231&lt;VLOOKUP(M$5,NFI,5,0),1,0)*Table_NFI[[#This Row],[Blanket]],Table_NFI[[#This Row],[Blanket]])</f>
        <v>0</v>
      </c>
      <c r="AE231" s="352">
        <f>IF(NFI_Expiration=1,IF($A231&lt;VLOOKUP(N$5,NFI,5,0),1,0)*Table_NFI[[#This Row],[Kitchen Set]],Table_NFI[Kitchen Set])</f>
        <v>0</v>
      </c>
      <c r="AF231" s="352">
        <f>IF(NFI_Expiration=1,IF($A231&lt;VLOOKUP(O$5,NFI,5,0),1,0)*Table_NFI[[#This Row],[Clothes Kit]],Table_NFI[Clothes Kit])</f>
        <v>0</v>
      </c>
      <c r="AG231" s="352">
        <f>IF(NFI_Expiration=1,IF($A231&lt;VLOOKUP(P$5,NFI,5,0),1,0)*Table_NFI[[#This Row],[Plastic Bucket]],Table_NFI[Plastic Bucket])</f>
        <v>0</v>
      </c>
      <c r="AH231" s="352">
        <f>IF(NFI_Expiration=1,IF($A231&lt;VLOOKUP(Q$5,NFI,5,0),1,0)*Table_NFI[[#This Row],[Plastic Mat]],Table_NFI[Plastic Mat])*IF(Table_NFI[[#This Row],[Distribution Date]]&gt;"2014-04-01",1,2.5)</f>
        <v>0</v>
      </c>
      <c r="AI231" s="352">
        <f>IF(NFI_Expiration=1,IF($A231&lt;VLOOKUP(R$5,NFI,5,0),1,0)*Table_NFI[[#This Row],[Winter Clothes Adult]],Table_NFI[Winter Clothes Adult])</f>
        <v>0</v>
      </c>
      <c r="AJ231" s="352">
        <f>IF(NFI_Expiration=1,IF($A231&lt;VLOOKUP(S$5,NFI,5,0),1,0)*Table_NFI[[#This Row],[Winter Clothes Children]],Table_NFI[Winter Clothes Children])</f>
        <v>0</v>
      </c>
      <c r="AK231" s="352">
        <f>IF(NFI_Expiration=1,IF($A231&lt;VLOOKUP(T$5,NFI,5,0),1,0)*Table_NFI[[#This Row],[Winter Items Other]],Table_NFI[Winter Items Other])</f>
        <v>0</v>
      </c>
      <c r="AL231" s="352">
        <f>IF(NFI_Expiration=1,IF($A231&lt;VLOOKUP(M$5,NFI,5,0),1,0)*Table_NFI[[#This Row],[Winter Blanket]],Table_NFI[[#This Row],[Winter Blanket]])</f>
        <v>0</v>
      </c>
      <c r="AM231" s="352">
        <f>IF(Table_NFI[[#This Row],[Winter Clothes Adult]]+Table_NFI[[#This Row],[Winter Clothes Children]]+Table_NFI[[#This Row],[Winter Items Other]]+Table_NFI[[#This Row],[Winter Blanket]]&gt;0,1,0)</f>
        <v>0</v>
      </c>
      <c r="AN231" s="392">
        <f>IF(NFI_Expiration=1,IF($A231&lt;VLOOKUP(V$5,NFI,5,0),1,0)*Table_NFI[[#This Row],[Jerry Can]],Table_NFI[Jerry Can])</f>
        <v>0</v>
      </c>
      <c r="AO231" s="540" t="str">
        <f>IFERROR(VLOOKUP(Table_NFI[[#This Row],[Camp Name]],CL,2,0),"")</f>
        <v>MMR001CMP020</v>
      </c>
      <c r="AP231" s="535">
        <f ca="1">IF(Table_NFI[[#This Row],[Pcode]]="","",IF(OFFSET(CampList[Opening Date],MATCH(Table_NFI[[#This Row],[Pcode]],CampList[CP_Pcode],0)-1,0,1,1)&gt;=NFI_Monitor_Date,1,0))</f>
        <v>0</v>
      </c>
      <c r="AQ231" s="540" t="str">
        <f>IFERROR(VLOOKUP(Table_NFI[[#This Row],[Camp Name]],CL,3,0),"")</f>
        <v>Open</v>
      </c>
      <c r="AR231" s="352" t="str">
        <f ca="1">IF(Table_NFI[[#This Row],[Pcode]]="","",OFFSET(CampList[Priority],MATCH(Table_NFI[[#This Row],[Pcode]],CampList[CP_Pcode],0)-1,0,1,1))</f>
        <v>P4</v>
      </c>
      <c r="AS231" s="351">
        <f>IFERROR(Table_NFI[[#This Row],[Kitchen Set]]/VLOOKUP(Table_NFI[[#This Row],[Camp Name]],CL,4,0),"")</f>
        <v>0</v>
      </c>
      <c r="AT231" s="538"/>
      <c r="AU231" s="541"/>
    </row>
    <row r="232" spans="1:47" s="537" customFormat="1" ht="14.45" customHeight="1" x14ac:dyDescent="0.25">
      <c r="A232" s="355">
        <f t="shared" si="3"/>
        <v>21.933333333333334</v>
      </c>
      <c r="B232" s="532">
        <v>41913</v>
      </c>
      <c r="C232" s="533" t="s">
        <v>453</v>
      </c>
      <c r="D232" s="538" t="s">
        <v>506</v>
      </c>
      <c r="E232" s="538" t="s">
        <v>380</v>
      </c>
      <c r="F232" s="538" t="s">
        <v>237</v>
      </c>
      <c r="G232" s="538" t="s">
        <v>265</v>
      </c>
      <c r="H232" s="350"/>
      <c r="I232" s="350"/>
      <c r="J232" s="350"/>
      <c r="K232" s="350">
        <v>42</v>
      </c>
      <c r="L232" s="350"/>
      <c r="M232" s="350"/>
      <c r="N232" s="350"/>
      <c r="O232" s="350"/>
      <c r="P232" s="352"/>
      <c r="Q232" s="352"/>
      <c r="R232" s="352"/>
      <c r="S232" s="352"/>
      <c r="T232" s="352"/>
      <c r="U232" s="352"/>
      <c r="V232" s="497"/>
      <c r="W232" s="352"/>
      <c r="X232" s="352"/>
      <c r="Y232" s="352">
        <f>IF(NFI_Expiration=1,IF($A232&lt;VLOOKUP(H$5,NFI,5,0),1,0)*Table_NFI[[#This Row],[Hygiene Kit]],Table_NFI[Hygiene Kit])</f>
        <v>0</v>
      </c>
      <c r="Z232" s="352">
        <f>IF(NFI_Expiration=1,IF($A232&lt;VLOOKUP(I$5,NFI,5,0),1,0)*Table_NFI[[#This Row],[NFI Core Kit]],Table_NFI[NFI Core Kit])</f>
        <v>0</v>
      </c>
      <c r="AA232" s="352">
        <f>IF(NFI_Expiration=1,IF($A232&lt;VLOOKUP(J$5,NFI,5,0),1,0)*Table_NFI[[#This Row],[Sanitary Kit]],Table_NFI[Sanitary Kit])</f>
        <v>0</v>
      </c>
      <c r="AB232" s="352">
        <f>IF(NFI_Expiration=1,IF($A232&lt;VLOOKUP(K$5,NFI,5,0),1,0)*Table_NFI[[#This Row],[Mosquito net]],Table_NFI[Mosquito net])</f>
        <v>0</v>
      </c>
      <c r="AC232" s="352">
        <f>IF(NFI_Expiration=1,IF($A232&lt;VLOOKUP(L$5,NFI,5,0),1,0)*Table_NFI[[#This Row],[Tarpaulin]],Table_NFI[[#This Row],[Tarpaulin]])</f>
        <v>0</v>
      </c>
      <c r="AD232" s="352">
        <f>IF(NFI_Expiration=1,IF($A232&lt;VLOOKUP(M$5,NFI,5,0),1,0)*Table_NFI[[#This Row],[Blanket]],Table_NFI[[#This Row],[Blanket]])</f>
        <v>0</v>
      </c>
      <c r="AE232" s="352">
        <f>IF(NFI_Expiration=1,IF($A232&lt;VLOOKUP(N$5,NFI,5,0),1,0)*Table_NFI[[#This Row],[Kitchen Set]],Table_NFI[Kitchen Set])</f>
        <v>0</v>
      </c>
      <c r="AF232" s="352">
        <f>IF(NFI_Expiration=1,IF($A232&lt;VLOOKUP(O$5,NFI,5,0),1,0)*Table_NFI[[#This Row],[Clothes Kit]],Table_NFI[Clothes Kit])</f>
        <v>0</v>
      </c>
      <c r="AG232" s="352">
        <f>IF(NFI_Expiration=1,IF($A232&lt;VLOOKUP(P$5,NFI,5,0),1,0)*Table_NFI[[#This Row],[Plastic Bucket]],Table_NFI[Plastic Bucket])</f>
        <v>0</v>
      </c>
      <c r="AH232" s="352">
        <f>IF(NFI_Expiration=1,IF($A232&lt;VLOOKUP(Q$5,NFI,5,0),1,0)*Table_NFI[[#This Row],[Plastic Mat]],Table_NFI[Plastic Mat])*IF(Table_NFI[[#This Row],[Distribution Date]]&gt;"2014-04-01",1,2.5)</f>
        <v>0</v>
      </c>
      <c r="AI232" s="352">
        <f>IF(NFI_Expiration=1,IF($A232&lt;VLOOKUP(R$5,NFI,5,0),1,0)*Table_NFI[[#This Row],[Winter Clothes Adult]],Table_NFI[Winter Clothes Adult])</f>
        <v>0</v>
      </c>
      <c r="AJ232" s="352">
        <f>IF(NFI_Expiration=1,IF($A232&lt;VLOOKUP(S$5,NFI,5,0),1,0)*Table_NFI[[#This Row],[Winter Clothes Children]],Table_NFI[Winter Clothes Children])</f>
        <v>0</v>
      </c>
      <c r="AK232" s="352">
        <f>IF(NFI_Expiration=1,IF($A232&lt;VLOOKUP(T$5,NFI,5,0),1,0)*Table_NFI[[#This Row],[Winter Items Other]],Table_NFI[Winter Items Other])</f>
        <v>0</v>
      </c>
      <c r="AL232" s="352">
        <f>IF(NFI_Expiration=1,IF($A232&lt;VLOOKUP(M$5,NFI,5,0),1,0)*Table_NFI[[#This Row],[Winter Blanket]],Table_NFI[[#This Row],[Winter Blanket]])</f>
        <v>0</v>
      </c>
      <c r="AM232" s="352">
        <f>IF(Table_NFI[[#This Row],[Winter Clothes Adult]]+Table_NFI[[#This Row],[Winter Clothes Children]]+Table_NFI[[#This Row],[Winter Items Other]]+Table_NFI[[#This Row],[Winter Blanket]]&gt;0,1,0)</f>
        <v>0</v>
      </c>
      <c r="AN232" s="392">
        <f>IF(NFI_Expiration=1,IF($A232&lt;VLOOKUP(V$5,NFI,5,0),1,0)*Table_NFI[[#This Row],[Jerry Can]],Table_NFI[Jerry Can])</f>
        <v>0</v>
      </c>
      <c r="AO232" s="540" t="str">
        <f>IFERROR(VLOOKUP(Table_NFI[[#This Row],[Camp Name]],CL,2,0),"")</f>
        <v>MMR001CMP021</v>
      </c>
      <c r="AP232" s="535">
        <f ca="1">IF(Table_NFI[[#This Row],[Pcode]]="","",IF(OFFSET(CampList[Opening Date],MATCH(Table_NFI[[#This Row],[Pcode]],CampList[CP_Pcode],0)-1,0,1,1)&gt;=NFI_Monitor_Date,1,0))</f>
        <v>0</v>
      </c>
      <c r="AQ232" s="540" t="str">
        <f>IFERROR(VLOOKUP(Table_NFI[[#This Row],[Camp Name]],CL,3,0),"")</f>
        <v>Open</v>
      </c>
      <c r="AR232" s="352" t="str">
        <f ca="1">IF(Table_NFI[[#This Row],[Pcode]]="","",OFFSET(CampList[Priority],MATCH(Table_NFI[[#This Row],[Pcode]],CampList[CP_Pcode],0)-1,0,1,1))</f>
        <v>P4</v>
      </c>
      <c r="AS232" s="351">
        <f>IFERROR(Table_NFI[[#This Row],[Kitchen Set]]/VLOOKUP(Table_NFI[[#This Row],[Camp Name]],CL,4,0),"")</f>
        <v>0</v>
      </c>
      <c r="AT232" s="538"/>
      <c r="AU232" s="541"/>
    </row>
    <row r="233" spans="1:47" s="537" customFormat="1" ht="14.45" customHeight="1" x14ac:dyDescent="0.25">
      <c r="A233" s="355">
        <f t="shared" si="3"/>
        <v>21.933333333333334</v>
      </c>
      <c r="B233" s="532">
        <v>41913</v>
      </c>
      <c r="C233" s="533" t="s">
        <v>453</v>
      </c>
      <c r="D233" s="538" t="s">
        <v>506</v>
      </c>
      <c r="E233" s="538" t="s">
        <v>380</v>
      </c>
      <c r="F233" s="538" t="s">
        <v>528</v>
      </c>
      <c r="G233" s="538" t="s">
        <v>100</v>
      </c>
      <c r="H233" s="350"/>
      <c r="I233" s="350"/>
      <c r="J233" s="350"/>
      <c r="K233" s="350">
        <v>10</v>
      </c>
      <c r="L233" s="350"/>
      <c r="M233" s="350"/>
      <c r="N233" s="350"/>
      <c r="O233" s="350"/>
      <c r="P233" s="352"/>
      <c r="Q233" s="352"/>
      <c r="R233" s="352"/>
      <c r="S233" s="352"/>
      <c r="T233" s="352"/>
      <c r="U233" s="352"/>
      <c r="V233" s="497"/>
      <c r="W233" s="352"/>
      <c r="X233" s="352"/>
      <c r="Y233" s="352">
        <f>IF(NFI_Expiration=1,IF($A233&lt;VLOOKUP(H$5,NFI,5,0),1,0)*Table_NFI[[#This Row],[Hygiene Kit]],Table_NFI[Hygiene Kit])</f>
        <v>0</v>
      </c>
      <c r="Z233" s="352">
        <f>IF(NFI_Expiration=1,IF($A233&lt;VLOOKUP(I$5,NFI,5,0),1,0)*Table_NFI[[#This Row],[NFI Core Kit]],Table_NFI[NFI Core Kit])</f>
        <v>0</v>
      </c>
      <c r="AA233" s="352">
        <f>IF(NFI_Expiration=1,IF($A233&lt;VLOOKUP(J$5,NFI,5,0),1,0)*Table_NFI[[#This Row],[Sanitary Kit]],Table_NFI[Sanitary Kit])</f>
        <v>0</v>
      </c>
      <c r="AB233" s="352">
        <f>IF(NFI_Expiration=1,IF($A233&lt;VLOOKUP(K$5,NFI,5,0),1,0)*Table_NFI[[#This Row],[Mosquito net]],Table_NFI[Mosquito net])</f>
        <v>0</v>
      </c>
      <c r="AC233" s="352">
        <f>IF(NFI_Expiration=1,IF($A233&lt;VLOOKUP(L$5,NFI,5,0),1,0)*Table_NFI[[#This Row],[Tarpaulin]],Table_NFI[[#This Row],[Tarpaulin]])</f>
        <v>0</v>
      </c>
      <c r="AD233" s="352">
        <f>IF(NFI_Expiration=1,IF($A233&lt;VLOOKUP(M$5,NFI,5,0),1,0)*Table_NFI[[#This Row],[Blanket]],Table_NFI[[#This Row],[Blanket]])</f>
        <v>0</v>
      </c>
      <c r="AE233" s="352">
        <f>IF(NFI_Expiration=1,IF($A233&lt;VLOOKUP(N$5,NFI,5,0),1,0)*Table_NFI[[#This Row],[Kitchen Set]],Table_NFI[Kitchen Set])</f>
        <v>0</v>
      </c>
      <c r="AF233" s="352">
        <f>IF(NFI_Expiration=1,IF($A233&lt;VLOOKUP(O$5,NFI,5,0),1,0)*Table_NFI[[#This Row],[Clothes Kit]],Table_NFI[Clothes Kit])</f>
        <v>0</v>
      </c>
      <c r="AG233" s="352">
        <f>IF(NFI_Expiration=1,IF($A233&lt;VLOOKUP(P$5,NFI,5,0),1,0)*Table_NFI[[#This Row],[Plastic Bucket]],Table_NFI[Plastic Bucket])</f>
        <v>0</v>
      </c>
      <c r="AH233" s="352">
        <f>IF(NFI_Expiration=1,IF($A233&lt;VLOOKUP(Q$5,NFI,5,0),1,0)*Table_NFI[[#This Row],[Plastic Mat]],Table_NFI[Plastic Mat])*IF(Table_NFI[[#This Row],[Distribution Date]]&gt;"2014-04-01",1,2.5)</f>
        <v>0</v>
      </c>
      <c r="AI233" s="352">
        <f>IF(NFI_Expiration=1,IF($A233&lt;VLOOKUP(R$5,NFI,5,0),1,0)*Table_NFI[[#This Row],[Winter Clothes Adult]],Table_NFI[Winter Clothes Adult])</f>
        <v>0</v>
      </c>
      <c r="AJ233" s="352">
        <f>IF(NFI_Expiration=1,IF($A233&lt;VLOOKUP(S$5,NFI,5,0),1,0)*Table_NFI[[#This Row],[Winter Clothes Children]],Table_NFI[Winter Clothes Children])</f>
        <v>0</v>
      </c>
      <c r="AK233" s="352">
        <f>IF(NFI_Expiration=1,IF($A233&lt;VLOOKUP(T$5,NFI,5,0),1,0)*Table_NFI[[#This Row],[Winter Items Other]],Table_NFI[Winter Items Other])</f>
        <v>0</v>
      </c>
      <c r="AL233" s="352">
        <f>IF(NFI_Expiration=1,IF($A233&lt;VLOOKUP(M$5,NFI,5,0),1,0)*Table_NFI[[#This Row],[Winter Blanket]],Table_NFI[[#This Row],[Winter Blanket]])</f>
        <v>0</v>
      </c>
      <c r="AM233" s="352">
        <f>IF(Table_NFI[[#This Row],[Winter Clothes Adult]]+Table_NFI[[#This Row],[Winter Clothes Children]]+Table_NFI[[#This Row],[Winter Items Other]]+Table_NFI[[#This Row],[Winter Blanket]]&gt;0,1,0)</f>
        <v>0</v>
      </c>
      <c r="AN233" s="392">
        <f>IF(NFI_Expiration=1,IF($A233&lt;VLOOKUP(V$5,NFI,5,0),1,0)*Table_NFI[[#This Row],[Jerry Can]],Table_NFI[Jerry Can])</f>
        <v>0</v>
      </c>
      <c r="AO233" s="540" t="str">
        <f>IFERROR(VLOOKUP(Table_NFI[[#This Row],[Camp Name]],CL,2,0),"")</f>
        <v>MMR001CMP091</v>
      </c>
      <c r="AP233" s="535">
        <f ca="1">IF(Table_NFI[[#This Row],[Pcode]]="","",IF(OFFSET(CampList[Opening Date],MATCH(Table_NFI[[#This Row],[Pcode]],CampList[CP_Pcode],0)-1,0,1,1)&gt;=NFI_Monitor_Date,1,0))</f>
        <v>0</v>
      </c>
      <c r="AQ233" s="540" t="str">
        <f>IFERROR(VLOOKUP(Table_NFI[[#This Row],[Camp Name]],CL,3,0),"")</f>
        <v>Open</v>
      </c>
      <c r="AR233" s="352" t="str">
        <f ca="1">IF(Table_NFI[[#This Row],[Pcode]]="","",OFFSET(CampList[Priority],MATCH(Table_NFI[[#This Row],[Pcode]],CampList[CP_Pcode],0)-1,0,1,1))</f>
        <v>P4</v>
      </c>
      <c r="AS233" s="351">
        <f>IFERROR(Table_NFI[[#This Row],[Kitchen Set]]/VLOOKUP(Table_NFI[[#This Row],[Camp Name]],CL,4,0),"")</f>
        <v>0</v>
      </c>
      <c r="AT233" s="538"/>
      <c r="AU233" s="541"/>
    </row>
    <row r="234" spans="1:47" s="537" customFormat="1" ht="14.45" customHeight="1" x14ac:dyDescent="0.25">
      <c r="A234" s="355">
        <f t="shared" si="3"/>
        <v>21.933333333333334</v>
      </c>
      <c r="B234" s="532">
        <v>41913</v>
      </c>
      <c r="C234" s="533" t="s">
        <v>453</v>
      </c>
      <c r="D234" s="538" t="s">
        <v>506</v>
      </c>
      <c r="E234" s="538" t="s">
        <v>380</v>
      </c>
      <c r="F234" s="538" t="s">
        <v>237</v>
      </c>
      <c r="G234" s="538" t="s">
        <v>267</v>
      </c>
      <c r="H234" s="350"/>
      <c r="I234" s="350"/>
      <c r="J234" s="350"/>
      <c r="K234" s="350">
        <v>24</v>
      </c>
      <c r="L234" s="350"/>
      <c r="M234" s="350"/>
      <c r="N234" s="350"/>
      <c r="O234" s="350"/>
      <c r="P234" s="352"/>
      <c r="Q234" s="352"/>
      <c r="R234" s="352"/>
      <c r="S234" s="352"/>
      <c r="T234" s="352"/>
      <c r="U234" s="352"/>
      <c r="V234" s="497"/>
      <c r="W234" s="352"/>
      <c r="X234" s="352"/>
      <c r="Y234" s="352">
        <f>IF(NFI_Expiration=1,IF($A234&lt;VLOOKUP(H$5,NFI,5,0),1,0)*Table_NFI[[#This Row],[Hygiene Kit]],Table_NFI[Hygiene Kit])</f>
        <v>0</v>
      </c>
      <c r="Z234" s="352">
        <f>IF(NFI_Expiration=1,IF($A234&lt;VLOOKUP(I$5,NFI,5,0),1,0)*Table_NFI[[#This Row],[NFI Core Kit]],Table_NFI[NFI Core Kit])</f>
        <v>0</v>
      </c>
      <c r="AA234" s="352">
        <f>IF(NFI_Expiration=1,IF($A234&lt;VLOOKUP(J$5,NFI,5,0),1,0)*Table_NFI[[#This Row],[Sanitary Kit]],Table_NFI[Sanitary Kit])</f>
        <v>0</v>
      </c>
      <c r="AB234" s="352">
        <f>IF(NFI_Expiration=1,IF($A234&lt;VLOOKUP(K$5,NFI,5,0),1,0)*Table_NFI[[#This Row],[Mosquito net]],Table_NFI[Mosquito net])</f>
        <v>0</v>
      </c>
      <c r="AC234" s="352">
        <f>IF(NFI_Expiration=1,IF($A234&lt;VLOOKUP(L$5,NFI,5,0),1,0)*Table_NFI[[#This Row],[Tarpaulin]],Table_NFI[[#This Row],[Tarpaulin]])</f>
        <v>0</v>
      </c>
      <c r="AD234" s="352">
        <f>IF(NFI_Expiration=1,IF($A234&lt;VLOOKUP(M$5,NFI,5,0),1,0)*Table_NFI[[#This Row],[Blanket]],Table_NFI[[#This Row],[Blanket]])</f>
        <v>0</v>
      </c>
      <c r="AE234" s="352">
        <f>IF(NFI_Expiration=1,IF($A234&lt;VLOOKUP(N$5,NFI,5,0),1,0)*Table_NFI[[#This Row],[Kitchen Set]],Table_NFI[Kitchen Set])</f>
        <v>0</v>
      </c>
      <c r="AF234" s="352">
        <f>IF(NFI_Expiration=1,IF($A234&lt;VLOOKUP(O$5,NFI,5,0),1,0)*Table_NFI[[#This Row],[Clothes Kit]],Table_NFI[Clothes Kit])</f>
        <v>0</v>
      </c>
      <c r="AG234" s="352">
        <f>IF(NFI_Expiration=1,IF($A234&lt;VLOOKUP(P$5,NFI,5,0),1,0)*Table_NFI[[#This Row],[Plastic Bucket]],Table_NFI[Plastic Bucket])</f>
        <v>0</v>
      </c>
      <c r="AH234" s="352">
        <f>IF(NFI_Expiration=1,IF($A234&lt;VLOOKUP(Q$5,NFI,5,0),1,0)*Table_NFI[[#This Row],[Plastic Mat]],Table_NFI[Plastic Mat])*IF(Table_NFI[[#This Row],[Distribution Date]]&gt;"2014-04-01",1,2.5)</f>
        <v>0</v>
      </c>
      <c r="AI234" s="352">
        <f>IF(NFI_Expiration=1,IF($A234&lt;VLOOKUP(R$5,NFI,5,0),1,0)*Table_NFI[[#This Row],[Winter Clothes Adult]],Table_NFI[Winter Clothes Adult])</f>
        <v>0</v>
      </c>
      <c r="AJ234" s="352">
        <f>IF(NFI_Expiration=1,IF($A234&lt;VLOOKUP(S$5,NFI,5,0),1,0)*Table_NFI[[#This Row],[Winter Clothes Children]],Table_NFI[Winter Clothes Children])</f>
        <v>0</v>
      </c>
      <c r="AK234" s="352">
        <f>IF(NFI_Expiration=1,IF($A234&lt;VLOOKUP(T$5,NFI,5,0),1,0)*Table_NFI[[#This Row],[Winter Items Other]],Table_NFI[Winter Items Other])</f>
        <v>0</v>
      </c>
      <c r="AL234" s="352">
        <f>IF(NFI_Expiration=1,IF($A234&lt;VLOOKUP(M$5,NFI,5,0),1,0)*Table_NFI[[#This Row],[Winter Blanket]],Table_NFI[[#This Row],[Winter Blanket]])</f>
        <v>0</v>
      </c>
      <c r="AM234" s="352">
        <f>IF(Table_NFI[[#This Row],[Winter Clothes Adult]]+Table_NFI[[#This Row],[Winter Clothes Children]]+Table_NFI[[#This Row],[Winter Items Other]]+Table_NFI[[#This Row],[Winter Blanket]]&gt;0,1,0)</f>
        <v>0</v>
      </c>
      <c r="AN234" s="392">
        <f>IF(NFI_Expiration=1,IF($A234&lt;VLOOKUP(V$5,NFI,5,0),1,0)*Table_NFI[[#This Row],[Jerry Can]],Table_NFI[Jerry Can])</f>
        <v>0</v>
      </c>
      <c r="AO234" s="540" t="str">
        <f>IFERROR(VLOOKUP(Table_NFI[[#This Row],[Camp Name]],CL,2,0),"")</f>
        <v>MMR001CMP017</v>
      </c>
      <c r="AP234" s="535">
        <f ca="1">IF(Table_NFI[[#This Row],[Pcode]]="","",IF(OFFSET(CampList[Opening Date],MATCH(Table_NFI[[#This Row],[Pcode]],CampList[CP_Pcode],0)-1,0,1,1)&gt;=NFI_Monitor_Date,1,0))</f>
        <v>0</v>
      </c>
      <c r="AQ234" s="540" t="str">
        <f>IFERROR(VLOOKUP(Table_NFI[[#This Row],[Camp Name]],CL,3,0),"")</f>
        <v>Closed</v>
      </c>
      <c r="AR234" s="352" t="str">
        <f ca="1">IF(Table_NFI[[#This Row],[Pcode]]="","",OFFSET(CampList[Priority],MATCH(Table_NFI[[#This Row],[Pcode]],CampList[CP_Pcode],0)-1,0,1,1))</f>
        <v>P4</v>
      </c>
      <c r="AS234" s="351" t="str">
        <f>IFERROR(Table_NFI[[#This Row],[Kitchen Set]]/VLOOKUP(Table_NFI[[#This Row],[Camp Name]],CL,4,0),"")</f>
        <v/>
      </c>
      <c r="AT234" s="538"/>
      <c r="AU234" s="541"/>
    </row>
    <row r="235" spans="1:47" s="537" customFormat="1" ht="14.45" hidden="1" customHeight="1" x14ac:dyDescent="0.25">
      <c r="A235" s="355">
        <f t="shared" si="3"/>
        <v>25.566666666666666</v>
      </c>
      <c r="B235" s="532">
        <v>41804</v>
      </c>
      <c r="C235" s="533" t="s">
        <v>1106</v>
      </c>
      <c r="D235" s="533" t="s">
        <v>902</v>
      </c>
      <c r="E235" s="533" t="s">
        <v>380</v>
      </c>
      <c r="F235" s="533" t="s">
        <v>237</v>
      </c>
      <c r="G235" s="533" t="s">
        <v>255</v>
      </c>
      <c r="H235" s="349"/>
      <c r="I235" s="349"/>
      <c r="J235" s="349"/>
      <c r="K235" s="349"/>
      <c r="L235" s="350"/>
      <c r="M235" s="350"/>
      <c r="N235" s="350"/>
      <c r="O235" s="350"/>
      <c r="P235" s="352"/>
      <c r="Q235" s="352"/>
      <c r="R235" s="352"/>
      <c r="S235" s="352"/>
      <c r="T235" s="352"/>
      <c r="U235" s="352">
        <v>216</v>
      </c>
      <c r="V235" s="497"/>
      <c r="W235" s="352"/>
      <c r="X235" s="352"/>
      <c r="Y235" s="352">
        <f>IF(NFI_Expiration=1,IF($A235&lt;VLOOKUP(H$5,NFI,5,0),1,0)*Table_NFI[[#This Row],[Hygiene Kit]],Table_NFI[Hygiene Kit])</f>
        <v>0</v>
      </c>
      <c r="Z235" s="352">
        <f>IF(NFI_Expiration=1,IF($A235&lt;VLOOKUP(I$5,NFI,5,0),1,0)*Table_NFI[[#This Row],[NFI Core Kit]],Table_NFI[NFI Core Kit])</f>
        <v>0</v>
      </c>
      <c r="AA235" s="352">
        <f>IF(NFI_Expiration=1,IF($A235&lt;VLOOKUP(J$5,NFI,5,0),1,0)*Table_NFI[[#This Row],[Sanitary Kit]],Table_NFI[Sanitary Kit])</f>
        <v>0</v>
      </c>
      <c r="AB235" s="352">
        <f>IF(NFI_Expiration=1,IF($A235&lt;VLOOKUP(K$5,NFI,5,0),1,0)*Table_NFI[[#This Row],[Mosquito net]],Table_NFI[Mosquito net])</f>
        <v>0</v>
      </c>
      <c r="AC235" s="352">
        <f>IF(NFI_Expiration=1,IF($A235&lt;VLOOKUP(L$5,NFI,5,0),1,0)*Table_NFI[[#This Row],[Tarpaulin]],Table_NFI[[#This Row],[Tarpaulin]])</f>
        <v>0</v>
      </c>
      <c r="AD235" s="352">
        <f>IF(NFI_Expiration=1,IF($A235&lt;VLOOKUP(M$5,NFI,5,0),1,0)*Table_NFI[[#This Row],[Blanket]],Table_NFI[[#This Row],[Blanket]])</f>
        <v>0</v>
      </c>
      <c r="AE235" s="352">
        <f>IF(NFI_Expiration=1,IF($A235&lt;VLOOKUP(N$5,NFI,5,0),1,0)*Table_NFI[[#This Row],[Kitchen Set]],Table_NFI[Kitchen Set])</f>
        <v>0</v>
      </c>
      <c r="AF235" s="352">
        <f>IF(NFI_Expiration=1,IF($A235&lt;VLOOKUP(O$5,NFI,5,0),1,0)*Table_NFI[[#This Row],[Clothes Kit]],Table_NFI[Clothes Kit])</f>
        <v>0</v>
      </c>
      <c r="AG235" s="352">
        <f>IF(NFI_Expiration=1,IF($A235&lt;VLOOKUP(P$5,NFI,5,0),1,0)*Table_NFI[[#This Row],[Plastic Bucket]],Table_NFI[Plastic Bucket])</f>
        <v>0</v>
      </c>
      <c r="AH235" s="352">
        <f>IF(NFI_Expiration=1,IF($A235&lt;VLOOKUP(Q$5,NFI,5,0),1,0)*Table_NFI[[#This Row],[Plastic Mat]],Table_NFI[Plastic Mat])*IF(Table_NFI[[#This Row],[Distribution Date]]&gt;"2014-04-01",1,2.5)</f>
        <v>0</v>
      </c>
      <c r="AI235" s="352">
        <f>IF(NFI_Expiration=1,IF($A235&lt;VLOOKUP(R$5,NFI,5,0),1,0)*Table_NFI[[#This Row],[Winter Clothes Adult]],Table_NFI[Winter Clothes Adult])</f>
        <v>0</v>
      </c>
      <c r="AJ235" s="352">
        <f>IF(NFI_Expiration=1,IF($A235&lt;VLOOKUP(S$5,NFI,5,0),1,0)*Table_NFI[[#This Row],[Winter Clothes Children]],Table_NFI[Winter Clothes Children])</f>
        <v>0</v>
      </c>
      <c r="AK235" s="352">
        <f>IF(NFI_Expiration=1,IF($A235&lt;VLOOKUP(T$5,NFI,5,0),1,0)*Table_NFI[[#This Row],[Winter Items Other]],Table_NFI[Winter Items Other])</f>
        <v>0</v>
      </c>
      <c r="AL235" s="352">
        <f>IF(NFI_Expiration=1,IF($A235&lt;VLOOKUP(M$5,NFI,5,0),1,0)*Table_NFI[[#This Row],[Winter Blanket]],Table_NFI[[#This Row],[Winter Blanket]])</f>
        <v>0</v>
      </c>
      <c r="AM235" s="352">
        <f>IF(Table_NFI[[#This Row],[Winter Clothes Adult]]+Table_NFI[[#This Row],[Winter Clothes Children]]+Table_NFI[[#This Row],[Winter Items Other]]+Table_NFI[[#This Row],[Winter Blanket]]&gt;0,1,0)</f>
        <v>1</v>
      </c>
      <c r="AN235" s="392">
        <f>IF(NFI_Expiration=1,IF($A235&lt;VLOOKUP(V$5,NFI,5,0),1,0)*Table_NFI[[#This Row],[Jerry Can]],Table_NFI[Jerry Can])</f>
        <v>0</v>
      </c>
      <c r="AO235" s="540" t="str">
        <f>IFERROR(VLOOKUP(Table_NFI[[#This Row],[Camp Name]],CL,2,0),"")</f>
        <v>MMR001CMP019</v>
      </c>
      <c r="AP235" s="535">
        <f ca="1">IF(Table_NFI[[#This Row],[Pcode]]="","",IF(OFFSET(CampList[Opening Date],MATCH(Table_NFI[[#This Row],[Pcode]],CampList[CP_Pcode],0)-1,0,1,1)&gt;=NFI_Monitor_Date,1,0))</f>
        <v>0</v>
      </c>
      <c r="AQ235" s="540" t="str">
        <f>IFERROR(VLOOKUP(Table_NFI[[#This Row],[Camp Name]],CL,3,0),"")</f>
        <v>Open</v>
      </c>
      <c r="AR235" s="352" t="str">
        <f ca="1">IF(Table_NFI[[#This Row],[Pcode]]="","",OFFSET(CampList[Priority],MATCH(Table_NFI[[#This Row],[Pcode]],CampList[CP_Pcode],0)-1,0,1,1))</f>
        <v>P4</v>
      </c>
      <c r="AS235" s="351">
        <f>IFERROR(Table_NFI[[#This Row],[Kitchen Set]]/VLOOKUP(Table_NFI[[#This Row],[Camp Name]],CL,4,0),"")</f>
        <v>0</v>
      </c>
      <c r="AT235" s="533"/>
      <c r="AU235" s="536"/>
    </row>
    <row r="236" spans="1:47" s="537" customFormat="1" ht="14.45" hidden="1" customHeight="1" x14ac:dyDescent="0.25">
      <c r="A236" s="355">
        <f t="shared" si="3"/>
        <v>38.93333333333333</v>
      </c>
      <c r="B236" s="532">
        <v>41403</v>
      </c>
      <c r="C236" s="533" t="s">
        <v>903</v>
      </c>
      <c r="D236" s="534" t="s">
        <v>507</v>
      </c>
      <c r="E236" s="533" t="s">
        <v>380</v>
      </c>
      <c r="F236" s="348" t="s">
        <v>237</v>
      </c>
      <c r="G236" s="348" t="s">
        <v>255</v>
      </c>
      <c r="H236" s="349">
        <v>460</v>
      </c>
      <c r="I236" s="349"/>
      <c r="J236" s="349"/>
      <c r="K236" s="349"/>
      <c r="L236" s="350"/>
      <c r="M236" s="350"/>
      <c r="N236" s="350"/>
      <c r="O236" s="350"/>
      <c r="P236" s="352"/>
      <c r="Q236" s="352"/>
      <c r="R236" s="352"/>
      <c r="S236" s="352"/>
      <c r="T236" s="352"/>
      <c r="U236" s="352"/>
      <c r="V236" s="497"/>
      <c r="W236" s="352"/>
      <c r="X236" s="352"/>
      <c r="Y236" s="352">
        <f>IF(NFI_Expiration=1,IF($A236&lt;VLOOKUP(H$5,NFI,5,0),1,0)*Table_NFI[[#This Row],[Hygiene Kit]],Table_NFI[Hygiene Kit])</f>
        <v>0</v>
      </c>
      <c r="Z236" s="352">
        <f>IF(NFI_Expiration=1,IF($A236&lt;VLOOKUP(I$5,NFI,5,0),1,0)*Table_NFI[[#This Row],[NFI Core Kit]],Table_NFI[NFI Core Kit])</f>
        <v>0</v>
      </c>
      <c r="AA236" s="352">
        <f>IF(NFI_Expiration=1,IF($A236&lt;VLOOKUP(J$5,NFI,5,0),1,0)*Table_NFI[[#This Row],[Sanitary Kit]],Table_NFI[Sanitary Kit])</f>
        <v>0</v>
      </c>
      <c r="AB236" s="352">
        <f>IF(NFI_Expiration=1,IF($A236&lt;VLOOKUP(K$5,NFI,5,0),1,0)*Table_NFI[[#This Row],[Mosquito net]],Table_NFI[Mosquito net])</f>
        <v>0</v>
      </c>
      <c r="AC236" s="352">
        <f>IF(NFI_Expiration=1,IF($A236&lt;VLOOKUP(L$5,NFI,5,0),1,0)*Table_NFI[[#This Row],[Tarpaulin]],Table_NFI[[#This Row],[Tarpaulin]])</f>
        <v>0</v>
      </c>
      <c r="AD236" s="352">
        <f>IF(NFI_Expiration=1,IF($A236&lt;VLOOKUP(M$5,NFI,5,0),1,0)*Table_NFI[[#This Row],[Blanket]],Table_NFI[[#This Row],[Blanket]])</f>
        <v>0</v>
      </c>
      <c r="AE236" s="352">
        <f>IF(NFI_Expiration=1,IF($A236&lt;VLOOKUP(N$5,NFI,5,0),1,0)*Table_NFI[[#This Row],[Kitchen Set]],Table_NFI[Kitchen Set])</f>
        <v>0</v>
      </c>
      <c r="AF236" s="352">
        <f>IF(NFI_Expiration=1,IF($A236&lt;VLOOKUP(O$5,NFI,5,0),1,0)*Table_NFI[[#This Row],[Clothes Kit]],Table_NFI[Clothes Kit])</f>
        <v>0</v>
      </c>
      <c r="AG236" s="352">
        <f>IF(NFI_Expiration=1,IF($A236&lt;VLOOKUP(P$5,NFI,5,0),1,0)*Table_NFI[[#This Row],[Plastic Bucket]],Table_NFI[Plastic Bucket])</f>
        <v>0</v>
      </c>
      <c r="AH236" s="352">
        <f>IF(NFI_Expiration=1,IF($A236&lt;VLOOKUP(Q$5,NFI,5,0),1,0)*Table_NFI[[#This Row],[Plastic Mat]],Table_NFI[Plastic Mat])*IF(Table_NFI[[#This Row],[Distribution Date]]&gt;"2014-04-01",1,2.5)</f>
        <v>0</v>
      </c>
      <c r="AI236" s="352">
        <f>IF(NFI_Expiration=1,IF($A236&lt;VLOOKUP(R$5,NFI,5,0),1,0)*Table_NFI[[#This Row],[Winter Clothes Adult]],Table_NFI[Winter Clothes Adult])</f>
        <v>0</v>
      </c>
      <c r="AJ236" s="352">
        <f>IF(NFI_Expiration=1,IF($A236&lt;VLOOKUP(S$5,NFI,5,0),1,0)*Table_NFI[[#This Row],[Winter Clothes Children]],Table_NFI[Winter Clothes Children])</f>
        <v>0</v>
      </c>
      <c r="AK236" s="352">
        <f>IF(NFI_Expiration=1,IF($A236&lt;VLOOKUP(T$5,NFI,5,0),1,0)*Table_NFI[[#This Row],[Winter Items Other]],Table_NFI[Winter Items Other])</f>
        <v>0</v>
      </c>
      <c r="AL236" s="352">
        <f>IF(NFI_Expiration=1,IF($A236&lt;VLOOKUP(M$5,NFI,5,0),1,0)*Table_NFI[[#This Row],[Winter Blanket]],Table_NFI[[#This Row],[Winter Blanket]])</f>
        <v>0</v>
      </c>
      <c r="AM236" s="352">
        <f>IF(Table_NFI[[#This Row],[Winter Clothes Adult]]+Table_NFI[[#This Row],[Winter Clothes Children]]+Table_NFI[[#This Row],[Winter Items Other]]+Table_NFI[[#This Row],[Winter Blanket]]&gt;0,1,0)</f>
        <v>0</v>
      </c>
      <c r="AN236" s="392">
        <f>IF(NFI_Expiration=1,IF($A236&lt;VLOOKUP(V$5,NFI,5,0),1,0)*Table_NFI[[#This Row],[Jerry Can]],Table_NFI[Jerry Can])</f>
        <v>0</v>
      </c>
      <c r="AO236" s="540" t="str">
        <f>IFERROR(VLOOKUP(Table_NFI[[#This Row],[Camp Name]],CL,2,0),"")</f>
        <v>MMR001CMP019</v>
      </c>
      <c r="AP236" s="535">
        <f ca="1">IF(Table_NFI[[#This Row],[Pcode]]="","",IF(OFFSET(CampList[Opening Date],MATCH(Table_NFI[[#This Row],[Pcode]],CampList[CP_Pcode],0)-1,0,1,1)&gt;=NFI_Monitor_Date,1,0))</f>
        <v>0</v>
      </c>
      <c r="AQ236" s="540" t="str">
        <f>IFERROR(VLOOKUP(Table_NFI[[#This Row],[Camp Name]],CL,3,0),"")</f>
        <v>Open</v>
      </c>
      <c r="AR236" s="352" t="str">
        <f ca="1">IF(Table_NFI[[#This Row],[Pcode]]="","",OFFSET(CampList[Priority],MATCH(Table_NFI[[#This Row],[Pcode]],CampList[CP_Pcode],0)-1,0,1,1))</f>
        <v>P4</v>
      </c>
      <c r="AS236" s="351">
        <f>IFERROR(Table_NFI[[#This Row],[Kitchen Set]]/VLOOKUP(Table_NFI[[#This Row],[Camp Name]],CL,4,0),"")</f>
        <v>0</v>
      </c>
      <c r="AT236" s="533" t="s">
        <v>1094</v>
      </c>
      <c r="AU236" s="536"/>
    </row>
    <row r="237" spans="1:47" s="537" customFormat="1" ht="14.45" hidden="1" customHeight="1" x14ac:dyDescent="0.25">
      <c r="A237" s="355">
        <f t="shared" si="3"/>
        <v>41.333333333333336</v>
      </c>
      <c r="B237" s="532">
        <v>41331</v>
      </c>
      <c r="C237" s="533" t="s">
        <v>902</v>
      </c>
      <c r="D237" s="533" t="s">
        <v>902</v>
      </c>
      <c r="E237" s="533" t="s">
        <v>380</v>
      </c>
      <c r="F237" s="533" t="s">
        <v>237</v>
      </c>
      <c r="G237" s="348" t="s">
        <v>255</v>
      </c>
      <c r="H237" s="349"/>
      <c r="I237" s="349"/>
      <c r="J237" s="349">
        <v>99</v>
      </c>
      <c r="K237" s="349"/>
      <c r="L237" s="350">
        <v>99</v>
      </c>
      <c r="M237" s="350"/>
      <c r="N237" s="350"/>
      <c r="O237" s="350"/>
      <c r="P237" s="352">
        <v>0</v>
      </c>
      <c r="Q237" s="352">
        <v>0</v>
      </c>
      <c r="R237" s="352"/>
      <c r="S237" s="352"/>
      <c r="T237" s="352"/>
      <c r="U237" s="352"/>
      <c r="V237" s="497"/>
      <c r="W237" s="352"/>
      <c r="X237" s="352"/>
      <c r="Y237" s="352">
        <f>IF(NFI_Expiration=1,IF($A237&lt;VLOOKUP(H$5,NFI,5,0),1,0)*Table_NFI[[#This Row],[Hygiene Kit]],Table_NFI[Hygiene Kit])</f>
        <v>0</v>
      </c>
      <c r="Z237" s="352">
        <f>IF(NFI_Expiration=1,IF($A237&lt;VLOOKUP(I$5,NFI,5,0),1,0)*Table_NFI[[#This Row],[NFI Core Kit]],Table_NFI[NFI Core Kit])</f>
        <v>0</v>
      </c>
      <c r="AA237" s="352">
        <f>IF(NFI_Expiration=1,IF($A237&lt;VLOOKUP(J$5,NFI,5,0),1,0)*Table_NFI[[#This Row],[Sanitary Kit]],Table_NFI[Sanitary Kit])</f>
        <v>0</v>
      </c>
      <c r="AB237" s="352">
        <f>IF(NFI_Expiration=1,IF($A237&lt;VLOOKUP(K$5,NFI,5,0),1,0)*Table_NFI[[#This Row],[Mosquito net]],Table_NFI[Mosquito net])</f>
        <v>0</v>
      </c>
      <c r="AC237" s="352">
        <f>IF(NFI_Expiration=1,IF($A237&lt;VLOOKUP(L$5,NFI,5,0),1,0)*Table_NFI[[#This Row],[Tarpaulin]],Table_NFI[[#This Row],[Tarpaulin]])</f>
        <v>0</v>
      </c>
      <c r="AD237" s="352">
        <f>IF(NFI_Expiration=1,IF($A237&lt;VLOOKUP(M$5,NFI,5,0),1,0)*Table_NFI[[#This Row],[Blanket]],Table_NFI[[#This Row],[Blanket]])</f>
        <v>0</v>
      </c>
      <c r="AE237" s="352">
        <f>IF(NFI_Expiration=1,IF($A237&lt;VLOOKUP(N$5,NFI,5,0),1,0)*Table_NFI[[#This Row],[Kitchen Set]],Table_NFI[Kitchen Set])</f>
        <v>0</v>
      </c>
      <c r="AF237" s="352">
        <f>IF(NFI_Expiration=1,IF($A237&lt;VLOOKUP(O$5,NFI,5,0),1,0)*Table_NFI[[#This Row],[Clothes Kit]],Table_NFI[Clothes Kit])</f>
        <v>0</v>
      </c>
      <c r="AG237" s="352">
        <f>IF(NFI_Expiration=1,IF($A237&lt;VLOOKUP(P$5,NFI,5,0),1,0)*Table_NFI[[#This Row],[Plastic Bucket]],Table_NFI[Plastic Bucket])</f>
        <v>0</v>
      </c>
      <c r="AH237" s="352">
        <f>IF(NFI_Expiration=1,IF($A237&lt;VLOOKUP(Q$5,NFI,5,0),1,0)*Table_NFI[[#This Row],[Plastic Mat]],Table_NFI[Plastic Mat])*IF(Table_NFI[[#This Row],[Distribution Date]]&gt;"2014-04-01",1,2.5)</f>
        <v>0</v>
      </c>
      <c r="AI237" s="352">
        <f>IF(NFI_Expiration=1,IF($A237&lt;VLOOKUP(R$5,NFI,5,0),1,0)*Table_NFI[[#This Row],[Winter Clothes Adult]],Table_NFI[Winter Clothes Adult])</f>
        <v>0</v>
      </c>
      <c r="AJ237" s="352">
        <f>IF(NFI_Expiration=1,IF($A237&lt;VLOOKUP(S$5,NFI,5,0),1,0)*Table_NFI[[#This Row],[Winter Clothes Children]],Table_NFI[Winter Clothes Children])</f>
        <v>0</v>
      </c>
      <c r="AK237" s="352">
        <f>IF(NFI_Expiration=1,IF($A237&lt;VLOOKUP(T$5,NFI,5,0),1,0)*Table_NFI[[#This Row],[Winter Items Other]],Table_NFI[Winter Items Other])</f>
        <v>0</v>
      </c>
      <c r="AL237" s="352">
        <f>IF(NFI_Expiration=1,IF($A237&lt;VLOOKUP(M$5,NFI,5,0),1,0)*Table_NFI[[#This Row],[Winter Blanket]],Table_NFI[[#This Row],[Winter Blanket]])</f>
        <v>0</v>
      </c>
      <c r="AM237" s="352">
        <f>IF(Table_NFI[[#This Row],[Winter Clothes Adult]]+Table_NFI[[#This Row],[Winter Clothes Children]]+Table_NFI[[#This Row],[Winter Items Other]]+Table_NFI[[#This Row],[Winter Blanket]]&gt;0,1,0)</f>
        <v>0</v>
      </c>
      <c r="AN237" s="392">
        <f>IF(NFI_Expiration=1,IF($A237&lt;VLOOKUP(V$5,NFI,5,0),1,0)*Table_NFI[[#This Row],[Jerry Can]],Table_NFI[Jerry Can])</f>
        <v>0</v>
      </c>
      <c r="AO237" s="540" t="str">
        <f>IFERROR(VLOOKUP(Table_NFI[[#This Row],[Camp Name]],CL,2,0),"")</f>
        <v>MMR001CMP019</v>
      </c>
      <c r="AP237" s="535">
        <f ca="1">IF(Table_NFI[[#This Row],[Pcode]]="","",IF(OFFSET(CampList[Opening Date],MATCH(Table_NFI[[#This Row],[Pcode]],CampList[CP_Pcode],0)-1,0,1,1)&gt;=NFI_Monitor_Date,1,0))</f>
        <v>0</v>
      </c>
      <c r="AQ237" s="540" t="str">
        <f>IFERROR(VLOOKUP(Table_NFI[[#This Row],[Camp Name]],CL,3,0),"")</f>
        <v>Open</v>
      </c>
      <c r="AR237" s="352" t="str">
        <f ca="1">IF(Table_NFI[[#This Row],[Pcode]]="","",OFFSET(CampList[Priority],MATCH(Table_NFI[[#This Row],[Pcode]],CampList[CP_Pcode],0)-1,0,1,1))</f>
        <v>P4</v>
      </c>
      <c r="AS237" s="351">
        <f>IFERROR(Table_NFI[[#This Row],[Kitchen Set]]/VLOOKUP(Table_NFI[[#This Row],[Camp Name]],CL,4,0),"")</f>
        <v>0</v>
      </c>
      <c r="AT237" s="533" t="s">
        <v>1094</v>
      </c>
      <c r="AU237" s="536"/>
    </row>
    <row r="238" spans="1:47" s="537" customFormat="1" ht="14.45" customHeight="1" x14ac:dyDescent="0.25">
      <c r="A238" s="355">
        <f t="shared" si="3"/>
        <v>21.933333333333334</v>
      </c>
      <c r="B238" s="532">
        <v>41913</v>
      </c>
      <c r="C238" s="533" t="s">
        <v>453</v>
      </c>
      <c r="D238" s="538" t="s">
        <v>506</v>
      </c>
      <c r="E238" s="538" t="s">
        <v>380</v>
      </c>
      <c r="F238" s="538" t="s">
        <v>528</v>
      </c>
      <c r="G238" s="538" t="s">
        <v>612</v>
      </c>
      <c r="H238" s="350"/>
      <c r="I238" s="350"/>
      <c r="J238" s="350"/>
      <c r="K238" s="350">
        <v>36</v>
      </c>
      <c r="L238" s="350"/>
      <c r="M238" s="350"/>
      <c r="N238" s="350"/>
      <c r="O238" s="350"/>
      <c r="P238" s="352"/>
      <c r="Q238" s="352"/>
      <c r="R238" s="352"/>
      <c r="S238" s="352"/>
      <c r="T238" s="352"/>
      <c r="U238" s="352"/>
      <c r="V238" s="497"/>
      <c r="W238" s="352"/>
      <c r="X238" s="352"/>
      <c r="Y238" s="352">
        <f>IF(NFI_Expiration=1,IF($A238&lt;VLOOKUP(H$5,NFI,5,0),1,0)*Table_NFI[[#This Row],[Hygiene Kit]],Table_NFI[Hygiene Kit])</f>
        <v>0</v>
      </c>
      <c r="Z238" s="352">
        <f>IF(NFI_Expiration=1,IF($A238&lt;VLOOKUP(I$5,NFI,5,0),1,0)*Table_NFI[[#This Row],[NFI Core Kit]],Table_NFI[NFI Core Kit])</f>
        <v>0</v>
      </c>
      <c r="AA238" s="352">
        <f>IF(NFI_Expiration=1,IF($A238&lt;VLOOKUP(J$5,NFI,5,0),1,0)*Table_NFI[[#This Row],[Sanitary Kit]],Table_NFI[Sanitary Kit])</f>
        <v>0</v>
      </c>
      <c r="AB238" s="352">
        <f>IF(NFI_Expiration=1,IF($A238&lt;VLOOKUP(K$5,NFI,5,0),1,0)*Table_NFI[[#This Row],[Mosquito net]],Table_NFI[Mosquito net])</f>
        <v>0</v>
      </c>
      <c r="AC238" s="352">
        <f>IF(NFI_Expiration=1,IF($A238&lt;VLOOKUP(L$5,NFI,5,0),1,0)*Table_NFI[[#This Row],[Tarpaulin]],Table_NFI[[#This Row],[Tarpaulin]])</f>
        <v>0</v>
      </c>
      <c r="AD238" s="352">
        <f>IF(NFI_Expiration=1,IF($A238&lt;VLOOKUP(M$5,NFI,5,0),1,0)*Table_NFI[[#This Row],[Blanket]],Table_NFI[[#This Row],[Blanket]])</f>
        <v>0</v>
      </c>
      <c r="AE238" s="352">
        <f>IF(NFI_Expiration=1,IF($A238&lt;VLOOKUP(N$5,NFI,5,0),1,0)*Table_NFI[[#This Row],[Kitchen Set]],Table_NFI[Kitchen Set])</f>
        <v>0</v>
      </c>
      <c r="AF238" s="352">
        <f>IF(NFI_Expiration=1,IF($A238&lt;VLOOKUP(O$5,NFI,5,0),1,0)*Table_NFI[[#This Row],[Clothes Kit]],Table_NFI[Clothes Kit])</f>
        <v>0</v>
      </c>
      <c r="AG238" s="352">
        <f>IF(NFI_Expiration=1,IF($A238&lt;VLOOKUP(P$5,NFI,5,0),1,0)*Table_NFI[[#This Row],[Plastic Bucket]],Table_NFI[Plastic Bucket])</f>
        <v>0</v>
      </c>
      <c r="AH238" s="352">
        <f>IF(NFI_Expiration=1,IF($A238&lt;VLOOKUP(Q$5,NFI,5,0),1,0)*Table_NFI[[#This Row],[Plastic Mat]],Table_NFI[Plastic Mat])*IF(Table_NFI[[#This Row],[Distribution Date]]&gt;"2014-04-01",1,2.5)</f>
        <v>0</v>
      </c>
      <c r="AI238" s="352">
        <f>IF(NFI_Expiration=1,IF($A238&lt;VLOOKUP(R$5,NFI,5,0),1,0)*Table_NFI[[#This Row],[Winter Clothes Adult]],Table_NFI[Winter Clothes Adult])</f>
        <v>0</v>
      </c>
      <c r="AJ238" s="352">
        <f>IF(NFI_Expiration=1,IF($A238&lt;VLOOKUP(S$5,NFI,5,0),1,0)*Table_NFI[[#This Row],[Winter Clothes Children]],Table_NFI[Winter Clothes Children])</f>
        <v>0</v>
      </c>
      <c r="AK238" s="352">
        <f>IF(NFI_Expiration=1,IF($A238&lt;VLOOKUP(T$5,NFI,5,0),1,0)*Table_NFI[[#This Row],[Winter Items Other]],Table_NFI[Winter Items Other])</f>
        <v>0</v>
      </c>
      <c r="AL238" s="352">
        <f>IF(NFI_Expiration=1,IF($A238&lt;VLOOKUP(M$5,NFI,5,0),1,0)*Table_NFI[[#This Row],[Winter Blanket]],Table_NFI[[#This Row],[Winter Blanket]])</f>
        <v>0</v>
      </c>
      <c r="AM238" s="352">
        <f>IF(Table_NFI[[#This Row],[Winter Clothes Adult]]+Table_NFI[[#This Row],[Winter Clothes Children]]+Table_NFI[[#This Row],[Winter Items Other]]+Table_NFI[[#This Row],[Winter Blanket]]&gt;0,1,0)</f>
        <v>0</v>
      </c>
      <c r="AN238" s="392">
        <f>IF(NFI_Expiration=1,IF($A238&lt;VLOOKUP(V$5,NFI,5,0),1,0)*Table_NFI[[#This Row],[Jerry Can]],Table_NFI[Jerry Can])</f>
        <v>0</v>
      </c>
      <c r="AO238" s="540" t="str">
        <f>IFERROR(VLOOKUP(Table_NFI[[#This Row],[Camp Name]],CL,2,0),"")</f>
        <v>MMR001CMP192</v>
      </c>
      <c r="AP238" s="535">
        <f ca="1">IF(Table_NFI[[#This Row],[Pcode]]="","",IF(OFFSET(CampList[Opening Date],MATCH(Table_NFI[[#This Row],[Pcode]],CampList[CP_Pcode],0)-1,0,1,1)&gt;=NFI_Monitor_Date,1,0))</f>
        <v>0</v>
      </c>
      <c r="AQ238" s="540" t="str">
        <f>IFERROR(VLOOKUP(Table_NFI[[#This Row],[Camp Name]],CL,3,0),"")</f>
        <v>Open</v>
      </c>
      <c r="AR238" s="352" t="str">
        <f ca="1">IF(Table_NFI[[#This Row],[Pcode]]="","",OFFSET(CampList[Priority],MATCH(Table_NFI[[#This Row],[Pcode]],CampList[CP_Pcode],0)-1,0,1,1))</f>
        <v>P4</v>
      </c>
      <c r="AS238" s="351">
        <f>IFERROR(Table_NFI[[#This Row],[Kitchen Set]]/VLOOKUP(Table_NFI[[#This Row],[Camp Name]],CL,4,0),"")</f>
        <v>0</v>
      </c>
      <c r="AT238" s="538"/>
      <c r="AU238" s="541"/>
    </row>
    <row r="239" spans="1:47" s="537" customFormat="1" ht="14.45" customHeight="1" x14ac:dyDescent="0.25">
      <c r="A239" s="355">
        <f t="shared" si="3"/>
        <v>21.933333333333334</v>
      </c>
      <c r="B239" s="532">
        <v>41913</v>
      </c>
      <c r="C239" s="533" t="s">
        <v>453</v>
      </c>
      <c r="D239" s="538" t="s">
        <v>507</v>
      </c>
      <c r="E239" s="538" t="s">
        <v>380</v>
      </c>
      <c r="F239" s="538" t="s">
        <v>237</v>
      </c>
      <c r="G239" s="538" t="s">
        <v>271</v>
      </c>
      <c r="H239" s="350"/>
      <c r="I239" s="350"/>
      <c r="J239" s="350"/>
      <c r="K239" s="350">
        <v>144</v>
      </c>
      <c r="L239" s="350"/>
      <c r="M239" s="350"/>
      <c r="N239" s="350"/>
      <c r="O239" s="350"/>
      <c r="P239" s="352"/>
      <c r="Q239" s="352"/>
      <c r="R239" s="352"/>
      <c r="S239" s="352"/>
      <c r="T239" s="352"/>
      <c r="U239" s="352"/>
      <c r="V239" s="497"/>
      <c r="W239" s="352"/>
      <c r="X239" s="352"/>
      <c r="Y239" s="352">
        <f>IF(NFI_Expiration=1,IF($A239&lt;VLOOKUP(H$5,NFI,5,0),1,0)*Table_NFI[[#This Row],[Hygiene Kit]],Table_NFI[Hygiene Kit])</f>
        <v>0</v>
      </c>
      <c r="Z239" s="352">
        <f>IF(NFI_Expiration=1,IF($A239&lt;VLOOKUP(I$5,NFI,5,0),1,0)*Table_NFI[[#This Row],[NFI Core Kit]],Table_NFI[NFI Core Kit])</f>
        <v>0</v>
      </c>
      <c r="AA239" s="352">
        <f>IF(NFI_Expiration=1,IF($A239&lt;VLOOKUP(J$5,NFI,5,0),1,0)*Table_NFI[[#This Row],[Sanitary Kit]],Table_NFI[Sanitary Kit])</f>
        <v>0</v>
      </c>
      <c r="AB239" s="352">
        <f>IF(NFI_Expiration=1,IF($A239&lt;VLOOKUP(K$5,NFI,5,0),1,0)*Table_NFI[[#This Row],[Mosquito net]],Table_NFI[Mosquito net])</f>
        <v>0</v>
      </c>
      <c r="AC239" s="352">
        <f>IF(NFI_Expiration=1,IF($A239&lt;VLOOKUP(L$5,NFI,5,0),1,0)*Table_NFI[[#This Row],[Tarpaulin]],Table_NFI[[#This Row],[Tarpaulin]])</f>
        <v>0</v>
      </c>
      <c r="AD239" s="352">
        <f>IF(NFI_Expiration=1,IF($A239&lt;VLOOKUP(M$5,NFI,5,0),1,0)*Table_NFI[[#This Row],[Blanket]],Table_NFI[[#This Row],[Blanket]])</f>
        <v>0</v>
      </c>
      <c r="AE239" s="352">
        <f>IF(NFI_Expiration=1,IF($A239&lt;VLOOKUP(N$5,NFI,5,0),1,0)*Table_NFI[[#This Row],[Kitchen Set]],Table_NFI[Kitchen Set])</f>
        <v>0</v>
      </c>
      <c r="AF239" s="352">
        <f>IF(NFI_Expiration=1,IF($A239&lt;VLOOKUP(O$5,NFI,5,0),1,0)*Table_NFI[[#This Row],[Clothes Kit]],Table_NFI[Clothes Kit])</f>
        <v>0</v>
      </c>
      <c r="AG239" s="352">
        <f>IF(NFI_Expiration=1,IF($A239&lt;VLOOKUP(P$5,NFI,5,0),1,0)*Table_NFI[[#This Row],[Plastic Bucket]],Table_NFI[Plastic Bucket])</f>
        <v>0</v>
      </c>
      <c r="AH239" s="352">
        <f>IF(NFI_Expiration=1,IF($A239&lt;VLOOKUP(Q$5,NFI,5,0),1,0)*Table_NFI[[#This Row],[Plastic Mat]],Table_NFI[Plastic Mat])*IF(Table_NFI[[#This Row],[Distribution Date]]&gt;"2014-04-01",1,2.5)</f>
        <v>0</v>
      </c>
      <c r="AI239" s="352">
        <f>IF(NFI_Expiration=1,IF($A239&lt;VLOOKUP(R$5,NFI,5,0),1,0)*Table_NFI[[#This Row],[Winter Clothes Adult]],Table_NFI[Winter Clothes Adult])</f>
        <v>0</v>
      </c>
      <c r="AJ239" s="352">
        <f>IF(NFI_Expiration=1,IF($A239&lt;VLOOKUP(S$5,NFI,5,0),1,0)*Table_NFI[[#This Row],[Winter Clothes Children]],Table_NFI[Winter Clothes Children])</f>
        <v>0</v>
      </c>
      <c r="AK239" s="352">
        <f>IF(NFI_Expiration=1,IF($A239&lt;VLOOKUP(T$5,NFI,5,0),1,0)*Table_NFI[[#This Row],[Winter Items Other]],Table_NFI[Winter Items Other])</f>
        <v>0</v>
      </c>
      <c r="AL239" s="352">
        <f>IF(NFI_Expiration=1,IF($A239&lt;VLOOKUP(M$5,NFI,5,0),1,0)*Table_NFI[[#This Row],[Winter Blanket]],Table_NFI[[#This Row],[Winter Blanket]])</f>
        <v>0</v>
      </c>
      <c r="AM239" s="352">
        <f>IF(Table_NFI[[#This Row],[Winter Clothes Adult]]+Table_NFI[[#This Row],[Winter Clothes Children]]+Table_NFI[[#This Row],[Winter Items Other]]+Table_NFI[[#This Row],[Winter Blanket]]&gt;0,1,0)</f>
        <v>0</v>
      </c>
      <c r="AN239" s="392">
        <f>IF(NFI_Expiration=1,IF($A239&lt;VLOOKUP(V$5,NFI,5,0),1,0)*Table_NFI[[#This Row],[Jerry Can]],Table_NFI[Jerry Can])</f>
        <v>0</v>
      </c>
      <c r="AO239" s="540" t="str">
        <f>IFERROR(VLOOKUP(Table_NFI[[#This Row],[Camp Name]],CL,2,0),"")</f>
        <v>MMR001CMP024</v>
      </c>
      <c r="AP239" s="535">
        <f ca="1">IF(Table_NFI[[#This Row],[Pcode]]="","",IF(OFFSET(CampList[Opening Date],MATCH(Table_NFI[[#This Row],[Pcode]],CampList[CP_Pcode],0)-1,0,1,1)&gt;=NFI_Monitor_Date,1,0))</f>
        <v>0</v>
      </c>
      <c r="AQ239" s="540" t="str">
        <f>IFERROR(VLOOKUP(Table_NFI[[#This Row],[Camp Name]],CL,3,0),"")</f>
        <v>Open</v>
      </c>
      <c r="AR239" s="352" t="str">
        <f ca="1">IF(Table_NFI[[#This Row],[Pcode]]="","",OFFSET(CampList[Priority],MATCH(Table_NFI[[#This Row],[Pcode]],CampList[CP_Pcode],0)-1,0,1,1))</f>
        <v>P4</v>
      </c>
      <c r="AS239" s="351">
        <f>IFERROR(Table_NFI[[#This Row],[Kitchen Set]]/VLOOKUP(Table_NFI[[#This Row],[Camp Name]],CL,4,0),"")</f>
        <v>0</v>
      </c>
      <c r="AT239" s="538"/>
      <c r="AU239" s="541"/>
    </row>
    <row r="240" spans="1:47" s="537" customFormat="1" ht="14.45" customHeight="1" x14ac:dyDescent="0.25">
      <c r="A240" s="355">
        <f t="shared" si="3"/>
        <v>21.933333333333334</v>
      </c>
      <c r="B240" s="532">
        <v>41913</v>
      </c>
      <c r="C240" s="533" t="s">
        <v>453</v>
      </c>
      <c r="D240" s="538" t="s">
        <v>507</v>
      </c>
      <c r="E240" s="538" t="s">
        <v>380</v>
      </c>
      <c r="F240" s="538" t="s">
        <v>528</v>
      </c>
      <c r="G240" s="538" t="s">
        <v>108</v>
      </c>
      <c r="H240" s="350"/>
      <c r="I240" s="350"/>
      <c r="J240" s="350"/>
      <c r="K240" s="350">
        <v>80</v>
      </c>
      <c r="L240" s="350"/>
      <c r="M240" s="350"/>
      <c r="N240" s="350"/>
      <c r="O240" s="350"/>
      <c r="P240" s="352"/>
      <c r="Q240" s="352"/>
      <c r="R240" s="352"/>
      <c r="S240" s="352"/>
      <c r="T240" s="352"/>
      <c r="U240" s="352"/>
      <c r="V240" s="497"/>
      <c r="W240" s="352"/>
      <c r="X240" s="352"/>
      <c r="Y240" s="352">
        <f>IF(NFI_Expiration=1,IF($A240&lt;VLOOKUP(H$5,NFI,5,0),1,0)*Table_NFI[[#This Row],[Hygiene Kit]],Table_NFI[Hygiene Kit])</f>
        <v>0</v>
      </c>
      <c r="Z240" s="352">
        <f>IF(NFI_Expiration=1,IF($A240&lt;VLOOKUP(I$5,NFI,5,0),1,0)*Table_NFI[[#This Row],[NFI Core Kit]],Table_NFI[NFI Core Kit])</f>
        <v>0</v>
      </c>
      <c r="AA240" s="352">
        <f>IF(NFI_Expiration=1,IF($A240&lt;VLOOKUP(J$5,NFI,5,0),1,0)*Table_NFI[[#This Row],[Sanitary Kit]],Table_NFI[Sanitary Kit])</f>
        <v>0</v>
      </c>
      <c r="AB240" s="352">
        <f>IF(NFI_Expiration=1,IF($A240&lt;VLOOKUP(K$5,NFI,5,0),1,0)*Table_NFI[[#This Row],[Mosquito net]],Table_NFI[Mosquito net])</f>
        <v>0</v>
      </c>
      <c r="AC240" s="352">
        <f>IF(NFI_Expiration=1,IF($A240&lt;VLOOKUP(L$5,NFI,5,0),1,0)*Table_NFI[[#This Row],[Tarpaulin]],Table_NFI[[#This Row],[Tarpaulin]])</f>
        <v>0</v>
      </c>
      <c r="AD240" s="352">
        <f>IF(NFI_Expiration=1,IF($A240&lt;VLOOKUP(M$5,NFI,5,0),1,0)*Table_NFI[[#This Row],[Blanket]],Table_NFI[[#This Row],[Blanket]])</f>
        <v>0</v>
      </c>
      <c r="AE240" s="352">
        <f>IF(NFI_Expiration=1,IF($A240&lt;VLOOKUP(N$5,NFI,5,0),1,0)*Table_NFI[[#This Row],[Kitchen Set]],Table_NFI[Kitchen Set])</f>
        <v>0</v>
      </c>
      <c r="AF240" s="352">
        <f>IF(NFI_Expiration=1,IF($A240&lt;VLOOKUP(O$5,NFI,5,0),1,0)*Table_NFI[[#This Row],[Clothes Kit]],Table_NFI[Clothes Kit])</f>
        <v>0</v>
      </c>
      <c r="AG240" s="352">
        <f>IF(NFI_Expiration=1,IF($A240&lt;VLOOKUP(P$5,NFI,5,0),1,0)*Table_NFI[[#This Row],[Plastic Bucket]],Table_NFI[Plastic Bucket])</f>
        <v>0</v>
      </c>
      <c r="AH240" s="352">
        <f>IF(NFI_Expiration=1,IF($A240&lt;VLOOKUP(Q$5,NFI,5,0),1,0)*Table_NFI[[#This Row],[Plastic Mat]],Table_NFI[Plastic Mat])*IF(Table_NFI[[#This Row],[Distribution Date]]&gt;"2014-04-01",1,2.5)</f>
        <v>0</v>
      </c>
      <c r="AI240" s="352">
        <f>IF(NFI_Expiration=1,IF($A240&lt;VLOOKUP(R$5,NFI,5,0),1,0)*Table_NFI[[#This Row],[Winter Clothes Adult]],Table_NFI[Winter Clothes Adult])</f>
        <v>0</v>
      </c>
      <c r="AJ240" s="352">
        <f>IF(NFI_Expiration=1,IF($A240&lt;VLOOKUP(S$5,NFI,5,0),1,0)*Table_NFI[[#This Row],[Winter Clothes Children]],Table_NFI[Winter Clothes Children])</f>
        <v>0</v>
      </c>
      <c r="AK240" s="352">
        <f>IF(NFI_Expiration=1,IF($A240&lt;VLOOKUP(T$5,NFI,5,0),1,0)*Table_NFI[[#This Row],[Winter Items Other]],Table_NFI[Winter Items Other])</f>
        <v>0</v>
      </c>
      <c r="AL240" s="352">
        <f>IF(NFI_Expiration=1,IF($A240&lt;VLOOKUP(M$5,NFI,5,0),1,0)*Table_NFI[[#This Row],[Winter Blanket]],Table_NFI[[#This Row],[Winter Blanket]])</f>
        <v>0</v>
      </c>
      <c r="AM240" s="352">
        <f>IF(Table_NFI[[#This Row],[Winter Clothes Adult]]+Table_NFI[[#This Row],[Winter Clothes Children]]+Table_NFI[[#This Row],[Winter Items Other]]+Table_NFI[[#This Row],[Winter Blanket]]&gt;0,1,0)</f>
        <v>0</v>
      </c>
      <c r="AN240" s="392">
        <f>IF(NFI_Expiration=1,IF($A240&lt;VLOOKUP(V$5,NFI,5,0),1,0)*Table_NFI[[#This Row],[Jerry Can]],Table_NFI[Jerry Can])</f>
        <v>0</v>
      </c>
      <c r="AO240" s="540" t="str">
        <f>IFERROR(VLOOKUP(Table_NFI[[#This Row],[Camp Name]],CL,2,0),"")</f>
        <v>MMR001CMP103</v>
      </c>
      <c r="AP240" s="535">
        <f ca="1">IF(Table_NFI[[#This Row],[Pcode]]="","",IF(OFFSET(CampList[Opening Date],MATCH(Table_NFI[[#This Row],[Pcode]],CampList[CP_Pcode],0)-1,0,1,1)&gt;=NFI_Monitor_Date,1,0))</f>
        <v>0</v>
      </c>
      <c r="AQ240" s="540" t="str">
        <f>IFERROR(VLOOKUP(Table_NFI[[#This Row],[Camp Name]],CL,3,0),"")</f>
        <v>Open</v>
      </c>
      <c r="AR240" s="352" t="str">
        <f ca="1">IF(Table_NFI[[#This Row],[Pcode]]="","",OFFSET(CampList[Priority],MATCH(Table_NFI[[#This Row],[Pcode]],CampList[CP_Pcode],0)-1,0,1,1))</f>
        <v>P4</v>
      </c>
      <c r="AS240" s="351">
        <f>IFERROR(Table_NFI[[#This Row],[Kitchen Set]]/VLOOKUP(Table_NFI[[#This Row],[Camp Name]],CL,4,0),"")</f>
        <v>0</v>
      </c>
      <c r="AT240" s="538"/>
      <c r="AU240" s="541"/>
    </row>
    <row r="241" spans="1:47" s="537" customFormat="1" ht="14.45" customHeight="1" x14ac:dyDescent="0.25">
      <c r="A241" s="355">
        <f t="shared" si="3"/>
        <v>21.933333333333334</v>
      </c>
      <c r="B241" s="532">
        <v>41913</v>
      </c>
      <c r="C241" s="533" t="s">
        <v>453</v>
      </c>
      <c r="D241" s="538" t="s">
        <v>506</v>
      </c>
      <c r="E241" s="538" t="s">
        <v>380</v>
      </c>
      <c r="F241" s="538" t="s">
        <v>310</v>
      </c>
      <c r="G241" s="538" t="s">
        <v>344</v>
      </c>
      <c r="H241" s="350"/>
      <c r="I241" s="350"/>
      <c r="J241" s="350"/>
      <c r="K241" s="350">
        <v>36</v>
      </c>
      <c r="L241" s="350"/>
      <c r="M241" s="350"/>
      <c r="N241" s="350"/>
      <c r="O241" s="350"/>
      <c r="P241" s="352"/>
      <c r="Q241" s="352"/>
      <c r="R241" s="352"/>
      <c r="S241" s="352"/>
      <c r="T241" s="352"/>
      <c r="U241" s="352"/>
      <c r="V241" s="497"/>
      <c r="W241" s="352"/>
      <c r="X241" s="352"/>
      <c r="Y241" s="352">
        <f>IF(NFI_Expiration=1,IF($A241&lt;VLOOKUP(H$5,NFI,5,0),1,0)*Table_NFI[[#This Row],[Hygiene Kit]],Table_NFI[Hygiene Kit])</f>
        <v>0</v>
      </c>
      <c r="Z241" s="352">
        <f>IF(NFI_Expiration=1,IF($A241&lt;VLOOKUP(I$5,NFI,5,0),1,0)*Table_NFI[[#This Row],[NFI Core Kit]],Table_NFI[NFI Core Kit])</f>
        <v>0</v>
      </c>
      <c r="AA241" s="352">
        <f>IF(NFI_Expiration=1,IF($A241&lt;VLOOKUP(J$5,NFI,5,0),1,0)*Table_NFI[[#This Row],[Sanitary Kit]],Table_NFI[Sanitary Kit])</f>
        <v>0</v>
      </c>
      <c r="AB241" s="352">
        <f>IF(NFI_Expiration=1,IF($A241&lt;VLOOKUP(K$5,NFI,5,0),1,0)*Table_NFI[[#This Row],[Mosquito net]],Table_NFI[Mosquito net])</f>
        <v>0</v>
      </c>
      <c r="AC241" s="352">
        <f>IF(NFI_Expiration=1,IF($A241&lt;VLOOKUP(L$5,NFI,5,0),1,0)*Table_NFI[[#This Row],[Tarpaulin]],Table_NFI[[#This Row],[Tarpaulin]])</f>
        <v>0</v>
      </c>
      <c r="AD241" s="352">
        <f>IF(NFI_Expiration=1,IF($A241&lt;VLOOKUP(M$5,NFI,5,0),1,0)*Table_NFI[[#This Row],[Blanket]],Table_NFI[[#This Row],[Blanket]])</f>
        <v>0</v>
      </c>
      <c r="AE241" s="352">
        <f>IF(NFI_Expiration=1,IF($A241&lt;VLOOKUP(N$5,NFI,5,0),1,0)*Table_NFI[[#This Row],[Kitchen Set]],Table_NFI[Kitchen Set])</f>
        <v>0</v>
      </c>
      <c r="AF241" s="352">
        <f>IF(NFI_Expiration=1,IF($A241&lt;VLOOKUP(O$5,NFI,5,0),1,0)*Table_NFI[[#This Row],[Clothes Kit]],Table_NFI[Clothes Kit])</f>
        <v>0</v>
      </c>
      <c r="AG241" s="352">
        <f>IF(NFI_Expiration=1,IF($A241&lt;VLOOKUP(P$5,NFI,5,0),1,0)*Table_NFI[[#This Row],[Plastic Bucket]],Table_NFI[Plastic Bucket])</f>
        <v>0</v>
      </c>
      <c r="AH241" s="352">
        <f>IF(NFI_Expiration=1,IF($A241&lt;VLOOKUP(Q$5,NFI,5,0),1,0)*Table_NFI[[#This Row],[Plastic Mat]],Table_NFI[Plastic Mat])*IF(Table_NFI[[#This Row],[Distribution Date]]&gt;"2014-04-01",1,2.5)</f>
        <v>0</v>
      </c>
      <c r="AI241" s="352">
        <f>IF(NFI_Expiration=1,IF($A241&lt;VLOOKUP(R$5,NFI,5,0),1,0)*Table_NFI[[#This Row],[Winter Clothes Adult]],Table_NFI[Winter Clothes Adult])</f>
        <v>0</v>
      </c>
      <c r="AJ241" s="352">
        <f>IF(NFI_Expiration=1,IF($A241&lt;VLOOKUP(S$5,NFI,5,0),1,0)*Table_NFI[[#This Row],[Winter Clothes Children]],Table_NFI[Winter Clothes Children])</f>
        <v>0</v>
      </c>
      <c r="AK241" s="352">
        <f>IF(NFI_Expiration=1,IF($A241&lt;VLOOKUP(T$5,NFI,5,0),1,0)*Table_NFI[[#This Row],[Winter Items Other]],Table_NFI[Winter Items Other])</f>
        <v>0</v>
      </c>
      <c r="AL241" s="352">
        <f>IF(NFI_Expiration=1,IF($A241&lt;VLOOKUP(M$5,NFI,5,0),1,0)*Table_NFI[[#This Row],[Winter Blanket]],Table_NFI[[#This Row],[Winter Blanket]])</f>
        <v>0</v>
      </c>
      <c r="AM241" s="352">
        <f>IF(Table_NFI[[#This Row],[Winter Clothes Adult]]+Table_NFI[[#This Row],[Winter Clothes Children]]+Table_NFI[[#This Row],[Winter Items Other]]+Table_NFI[[#This Row],[Winter Blanket]]&gt;0,1,0)</f>
        <v>0</v>
      </c>
      <c r="AN241" s="392">
        <f>IF(NFI_Expiration=1,IF($A241&lt;VLOOKUP(V$5,NFI,5,0),1,0)*Table_NFI[[#This Row],[Jerry Can]],Table_NFI[Jerry Can])</f>
        <v>0</v>
      </c>
      <c r="AO241" s="540" t="str">
        <f>IFERROR(VLOOKUP(Table_NFI[[#This Row],[Camp Name]],CL,2,0),"")</f>
        <v>MMR001CMP033</v>
      </c>
      <c r="AP241" s="535">
        <f ca="1">IF(Table_NFI[[#This Row],[Pcode]]="","",IF(OFFSET(CampList[Opening Date],MATCH(Table_NFI[[#This Row],[Pcode]],CampList[CP_Pcode],0)-1,0,1,1)&gt;=NFI_Monitor_Date,1,0))</f>
        <v>0</v>
      </c>
      <c r="AQ241" s="540" t="str">
        <f>IFERROR(VLOOKUP(Table_NFI[[#This Row],[Camp Name]],CL,3,0),"")</f>
        <v>Open</v>
      </c>
      <c r="AR241" s="352" t="str">
        <f ca="1">IF(Table_NFI[[#This Row],[Pcode]]="","",OFFSET(CampList[Priority],MATCH(Table_NFI[[#This Row],[Pcode]],CampList[CP_Pcode],0)-1,0,1,1))</f>
        <v>P4</v>
      </c>
      <c r="AS241" s="351">
        <f>IFERROR(Table_NFI[[#This Row],[Kitchen Set]]/VLOOKUP(Table_NFI[[#This Row],[Camp Name]],CL,4,0),"")</f>
        <v>0</v>
      </c>
      <c r="AT241" s="538"/>
      <c r="AU241" s="541"/>
    </row>
    <row r="242" spans="1:47" s="537" customFormat="1" ht="14.45" customHeight="1" x14ac:dyDescent="0.25">
      <c r="A242" s="355">
        <f t="shared" si="3"/>
        <v>21.933333333333334</v>
      </c>
      <c r="B242" s="532">
        <v>41913</v>
      </c>
      <c r="C242" s="533" t="s">
        <v>453</v>
      </c>
      <c r="D242" s="538" t="s">
        <v>507</v>
      </c>
      <c r="E242" s="538" t="s">
        <v>380</v>
      </c>
      <c r="F242" s="538" t="s">
        <v>237</v>
      </c>
      <c r="G242" s="538" t="s">
        <v>273</v>
      </c>
      <c r="H242" s="350"/>
      <c r="I242" s="350"/>
      <c r="J242" s="350"/>
      <c r="K242" s="350">
        <v>62</v>
      </c>
      <c r="L242" s="350"/>
      <c r="M242" s="350"/>
      <c r="N242" s="350"/>
      <c r="O242" s="350"/>
      <c r="P242" s="352"/>
      <c r="Q242" s="352"/>
      <c r="R242" s="352"/>
      <c r="S242" s="352"/>
      <c r="T242" s="352"/>
      <c r="U242" s="352"/>
      <c r="V242" s="497"/>
      <c r="W242" s="352"/>
      <c r="X242" s="352"/>
      <c r="Y242" s="352">
        <f>IF(NFI_Expiration=1,IF($A242&lt;VLOOKUP(H$5,NFI,5,0),1,0)*Table_NFI[[#This Row],[Hygiene Kit]],Table_NFI[Hygiene Kit])</f>
        <v>0</v>
      </c>
      <c r="Z242" s="352">
        <f>IF(NFI_Expiration=1,IF($A242&lt;VLOOKUP(I$5,NFI,5,0),1,0)*Table_NFI[[#This Row],[NFI Core Kit]],Table_NFI[NFI Core Kit])</f>
        <v>0</v>
      </c>
      <c r="AA242" s="352">
        <f>IF(NFI_Expiration=1,IF($A242&lt;VLOOKUP(J$5,NFI,5,0),1,0)*Table_NFI[[#This Row],[Sanitary Kit]],Table_NFI[Sanitary Kit])</f>
        <v>0</v>
      </c>
      <c r="AB242" s="352">
        <f>IF(NFI_Expiration=1,IF($A242&lt;VLOOKUP(K$5,NFI,5,0),1,0)*Table_NFI[[#This Row],[Mosquito net]],Table_NFI[Mosquito net])</f>
        <v>0</v>
      </c>
      <c r="AC242" s="352">
        <f>IF(NFI_Expiration=1,IF($A242&lt;VLOOKUP(L$5,NFI,5,0),1,0)*Table_NFI[[#This Row],[Tarpaulin]],Table_NFI[[#This Row],[Tarpaulin]])</f>
        <v>0</v>
      </c>
      <c r="AD242" s="352">
        <f>IF(NFI_Expiration=1,IF($A242&lt;VLOOKUP(M$5,NFI,5,0),1,0)*Table_NFI[[#This Row],[Blanket]],Table_NFI[[#This Row],[Blanket]])</f>
        <v>0</v>
      </c>
      <c r="AE242" s="352">
        <f>IF(NFI_Expiration=1,IF($A242&lt;VLOOKUP(N$5,NFI,5,0),1,0)*Table_NFI[[#This Row],[Kitchen Set]],Table_NFI[Kitchen Set])</f>
        <v>0</v>
      </c>
      <c r="AF242" s="352">
        <f>IF(NFI_Expiration=1,IF($A242&lt;VLOOKUP(O$5,NFI,5,0),1,0)*Table_NFI[[#This Row],[Clothes Kit]],Table_NFI[Clothes Kit])</f>
        <v>0</v>
      </c>
      <c r="AG242" s="352">
        <f>IF(NFI_Expiration=1,IF($A242&lt;VLOOKUP(P$5,NFI,5,0),1,0)*Table_NFI[[#This Row],[Plastic Bucket]],Table_NFI[Plastic Bucket])</f>
        <v>0</v>
      </c>
      <c r="AH242" s="352">
        <f>IF(NFI_Expiration=1,IF($A242&lt;VLOOKUP(Q$5,NFI,5,0),1,0)*Table_NFI[[#This Row],[Plastic Mat]],Table_NFI[Plastic Mat])*IF(Table_NFI[[#This Row],[Distribution Date]]&gt;"2014-04-01",1,2.5)</f>
        <v>0</v>
      </c>
      <c r="AI242" s="352">
        <f>IF(NFI_Expiration=1,IF($A242&lt;VLOOKUP(R$5,NFI,5,0),1,0)*Table_NFI[[#This Row],[Winter Clothes Adult]],Table_NFI[Winter Clothes Adult])</f>
        <v>0</v>
      </c>
      <c r="AJ242" s="352">
        <f>IF(NFI_Expiration=1,IF($A242&lt;VLOOKUP(S$5,NFI,5,0),1,0)*Table_NFI[[#This Row],[Winter Clothes Children]],Table_NFI[Winter Clothes Children])</f>
        <v>0</v>
      </c>
      <c r="AK242" s="352">
        <f>IF(NFI_Expiration=1,IF($A242&lt;VLOOKUP(T$5,NFI,5,0),1,0)*Table_NFI[[#This Row],[Winter Items Other]],Table_NFI[Winter Items Other])</f>
        <v>0</v>
      </c>
      <c r="AL242" s="352">
        <f>IF(NFI_Expiration=1,IF($A242&lt;VLOOKUP(M$5,NFI,5,0),1,0)*Table_NFI[[#This Row],[Winter Blanket]],Table_NFI[[#This Row],[Winter Blanket]])</f>
        <v>0</v>
      </c>
      <c r="AM242" s="352">
        <f>IF(Table_NFI[[#This Row],[Winter Clothes Adult]]+Table_NFI[[#This Row],[Winter Clothes Children]]+Table_NFI[[#This Row],[Winter Items Other]]+Table_NFI[[#This Row],[Winter Blanket]]&gt;0,1,0)</f>
        <v>0</v>
      </c>
      <c r="AN242" s="392">
        <f>IF(NFI_Expiration=1,IF($A242&lt;VLOOKUP(V$5,NFI,5,0),1,0)*Table_NFI[[#This Row],[Jerry Can]],Table_NFI[Jerry Can])</f>
        <v>0</v>
      </c>
      <c r="AO242" s="540" t="str">
        <f>IFERROR(VLOOKUP(Table_NFI[[#This Row],[Camp Name]],CL,2,0),"")</f>
        <v>MMR001CMP162</v>
      </c>
      <c r="AP242" s="535">
        <f ca="1">IF(Table_NFI[[#This Row],[Pcode]]="","",IF(OFFSET(CampList[Opening Date],MATCH(Table_NFI[[#This Row],[Pcode]],CampList[CP_Pcode],0)-1,0,1,1)&gt;=NFI_Monitor_Date,1,0))</f>
        <v>0</v>
      </c>
      <c r="AQ242" s="540" t="str">
        <f>IFERROR(VLOOKUP(Table_NFI[[#This Row],[Camp Name]],CL,3,0),"")</f>
        <v>Open</v>
      </c>
      <c r="AR242" s="352" t="str">
        <f ca="1">IF(Table_NFI[[#This Row],[Pcode]]="","",OFFSET(CampList[Priority],MATCH(Table_NFI[[#This Row],[Pcode]],CampList[CP_Pcode],0)-1,0,1,1))</f>
        <v>P4</v>
      </c>
      <c r="AS242" s="351">
        <f>IFERROR(Table_NFI[[#This Row],[Kitchen Set]]/VLOOKUP(Table_NFI[[#This Row],[Camp Name]],CL,4,0),"")</f>
        <v>0</v>
      </c>
      <c r="AT242" s="538"/>
      <c r="AU242" s="541"/>
    </row>
    <row r="243" spans="1:47" s="537" customFormat="1" hidden="1" x14ac:dyDescent="0.2">
      <c r="A243" s="355">
        <f t="shared" si="3"/>
        <v>12.9</v>
      </c>
      <c r="B243" s="532">
        <v>42184</v>
      </c>
      <c r="C243" s="533" t="s">
        <v>907</v>
      </c>
      <c r="D243" s="533" t="s">
        <v>461</v>
      </c>
      <c r="E243" s="533" t="s">
        <v>380</v>
      </c>
      <c r="F243" s="533" t="s">
        <v>185</v>
      </c>
      <c r="G243" s="348" t="s">
        <v>196</v>
      </c>
      <c r="H243" s="349"/>
      <c r="I243" s="349"/>
      <c r="J243" s="677">
        <v>2350</v>
      </c>
      <c r="K243" s="349"/>
      <c r="L243" s="350"/>
      <c r="M243" s="350"/>
      <c r="N243" s="350"/>
      <c r="O243" s="350"/>
      <c r="P243" s="352"/>
      <c r="Q243" s="392"/>
      <c r="R243" s="392"/>
      <c r="S243" s="392"/>
      <c r="T243" s="392"/>
      <c r="U243" s="392"/>
      <c r="V243" s="497"/>
      <c r="W243" s="392"/>
      <c r="X243" s="392"/>
      <c r="Y243" s="352">
        <f>IF(NFI_Expiration=1,IF($A243&lt;VLOOKUP(H$5,NFI,5,0),1,0)*Table_NFI[[#This Row],[Hygiene Kit]],Table_NFI[Hygiene Kit])</f>
        <v>0</v>
      </c>
      <c r="Z243" s="352">
        <f>IF(NFI_Expiration=1,IF($A243&lt;VLOOKUP(I$5,NFI,5,0),1,0)*Table_NFI[[#This Row],[NFI Core Kit]],Table_NFI[NFI Core Kit])</f>
        <v>0</v>
      </c>
      <c r="AA243" s="352">
        <f>IF(NFI_Expiration=1,IF($A243&lt;VLOOKUP(J$5,NFI,5,0),1,0)*Table_NFI[[#This Row],[Sanitary Kit]],Table_NFI[Sanitary Kit])</f>
        <v>0</v>
      </c>
      <c r="AB243" s="352">
        <f>IF(NFI_Expiration=1,IF($A243&lt;VLOOKUP(K$5,NFI,5,0),1,0)*Table_NFI[[#This Row],[Mosquito net]],Table_NFI[Mosquito net])</f>
        <v>0</v>
      </c>
      <c r="AC243" s="352">
        <f>IF(NFI_Expiration=1,IF($A243&lt;VLOOKUP(L$5,NFI,5,0),1,0)*Table_NFI[[#This Row],[Tarpaulin]],Table_NFI[[#This Row],[Tarpaulin]])</f>
        <v>0</v>
      </c>
      <c r="AD243" s="352">
        <f>IF(NFI_Expiration=1,IF($A243&lt;VLOOKUP(M$5,NFI,5,0),1,0)*Table_NFI[[#This Row],[Blanket]],Table_NFI[[#This Row],[Blanket]])</f>
        <v>0</v>
      </c>
      <c r="AE243" s="352">
        <f>IF(NFI_Expiration=1,IF($A243&lt;VLOOKUP(N$5,NFI,5,0),1,0)*Table_NFI[[#This Row],[Kitchen Set]],Table_NFI[Kitchen Set])</f>
        <v>0</v>
      </c>
      <c r="AF243" s="352">
        <f>IF(NFI_Expiration=1,IF($A243&lt;VLOOKUP(O$5,NFI,5,0),1,0)*Table_NFI[[#This Row],[Clothes Kit]],Table_NFI[Clothes Kit])</f>
        <v>0</v>
      </c>
      <c r="AG243" s="352">
        <f>IF(NFI_Expiration=1,IF($A243&lt;VLOOKUP(P$5,NFI,5,0),1,0)*Table_NFI[[#This Row],[Plastic Bucket]],Table_NFI[Plastic Bucket])</f>
        <v>0</v>
      </c>
      <c r="AH243" s="352">
        <f>IF(NFI_Expiration=1,IF($A243&lt;VLOOKUP(Q$5,NFI,5,0),1,0)*Table_NFI[[#This Row],[Plastic Mat]],Table_NFI[Plastic Mat])*IF(Table_NFI[[#This Row],[Distribution Date]]&gt;"2014-04-01",1,2.5)</f>
        <v>0</v>
      </c>
      <c r="AI243" s="352">
        <f>IF(NFI_Expiration=1,IF($A243&lt;VLOOKUP(R$5,NFI,5,0),1,0)*Table_NFI[[#This Row],[Winter Clothes Adult]],Table_NFI[Winter Clothes Adult])</f>
        <v>0</v>
      </c>
      <c r="AJ243" s="352">
        <f>IF(NFI_Expiration=1,IF($A243&lt;VLOOKUP(S$5,NFI,5,0),1,0)*Table_NFI[[#This Row],[Winter Clothes Children]],Table_NFI[Winter Clothes Children])</f>
        <v>0</v>
      </c>
      <c r="AK243" s="352">
        <f>IF(NFI_Expiration=1,IF($A243&lt;VLOOKUP(T$5,NFI,5,0),1,0)*Table_NFI[[#This Row],[Winter Items Other]],Table_NFI[Winter Items Other])</f>
        <v>0</v>
      </c>
      <c r="AL243" s="352">
        <f>IF(NFI_Expiration=1,IF($A243&lt;VLOOKUP(M$5,NFI,5,0),1,0)*Table_NFI[[#This Row],[Winter Blanket]],Table_NFI[[#This Row],[Winter Blanket]])</f>
        <v>0</v>
      </c>
      <c r="AM243" s="352">
        <f>IF(Table_NFI[[#This Row],[Winter Clothes Adult]]+Table_NFI[[#This Row],[Winter Clothes Children]]+Table_NFI[[#This Row],[Winter Items Other]]+Table_NFI[[#This Row],[Winter Blanket]]&gt;0,1,0)</f>
        <v>0</v>
      </c>
      <c r="AN243" s="392">
        <f>IF(NFI_Expiration=1,IF($A243&lt;VLOOKUP(V$5,NFI,5,0),1,0)*Table_NFI[[#This Row],[Jerry Can]],Table_NFI[Jerry Can])</f>
        <v>0</v>
      </c>
      <c r="AO243" s="540" t="str">
        <f>IFERROR(VLOOKUP(Table_NFI[[#This Row],[Camp Name]],CL,2,0),"")</f>
        <v>MMR001CMP121</v>
      </c>
      <c r="AP243" s="535">
        <f ca="1">IF(Table_NFI[[#This Row],[Pcode]]="","",IF(OFFSET(CampList[Opening Date],MATCH(Table_NFI[[#This Row],[Pcode]],CampList[CP_Pcode],0)-1,0,1,1)&gt;=NFI_Monitor_Date,1,0))</f>
        <v>0</v>
      </c>
      <c r="AQ243" s="540" t="str">
        <f>IFERROR(VLOOKUP(Table_NFI[[#This Row],[Camp Name]],CL,3,0),"")</f>
        <v>Open</v>
      </c>
      <c r="AR243" s="352" t="str">
        <f ca="1">IF(Table_NFI[[#This Row],[Pcode]]="","",OFFSET(CampList[Priority],MATCH(Table_NFI[[#This Row],[Pcode]],CampList[CP_Pcode],0)-1,0,1,1))</f>
        <v>P2</v>
      </c>
      <c r="AS243" s="351">
        <f>IFERROR(Table_NFI[[#This Row],[Kitchen Set]]/VLOOKUP(Table_NFI[[#This Row],[Camp Name]],CL,4,0),"")</f>
        <v>0</v>
      </c>
      <c r="AT243" s="533"/>
      <c r="AU243" s="536"/>
    </row>
    <row r="244" spans="1:47" s="537" customFormat="1" hidden="1" x14ac:dyDescent="0.2">
      <c r="A244" s="355">
        <f t="shared" si="3"/>
        <v>4.9333333333333336</v>
      </c>
      <c r="B244" s="532">
        <v>42423</v>
      </c>
      <c r="C244" s="533" t="s">
        <v>907</v>
      </c>
      <c r="D244" s="533" t="s">
        <v>461</v>
      </c>
      <c r="E244" s="533" t="s">
        <v>380</v>
      </c>
      <c r="F244" s="533" t="s">
        <v>185</v>
      </c>
      <c r="G244" s="348" t="s">
        <v>196</v>
      </c>
      <c r="H244" s="349"/>
      <c r="I244" s="349"/>
      <c r="J244" s="677">
        <v>1807</v>
      </c>
      <c r="K244" s="349"/>
      <c r="L244" s="350"/>
      <c r="M244" s="350"/>
      <c r="N244" s="350"/>
      <c r="O244" s="350"/>
      <c r="P244" s="352"/>
      <c r="Q244" s="392"/>
      <c r="R244" s="392"/>
      <c r="S244" s="392"/>
      <c r="T244" s="392"/>
      <c r="U244" s="392"/>
      <c r="V244" s="497"/>
      <c r="W244" s="392"/>
      <c r="X244" s="392"/>
      <c r="Y244" s="352">
        <f>IF(NFI_Expiration=1,IF($A244&lt;VLOOKUP(H$5,NFI,5,0),1,0)*Table_NFI[[#This Row],[Hygiene Kit]],Table_NFI[Hygiene Kit])</f>
        <v>0</v>
      </c>
      <c r="Z244" s="352">
        <f>IF(NFI_Expiration=1,IF($A244&lt;VLOOKUP(I$5,NFI,5,0),1,0)*Table_NFI[[#This Row],[NFI Core Kit]],Table_NFI[NFI Core Kit])</f>
        <v>0</v>
      </c>
      <c r="AA244" s="352">
        <f>IF(NFI_Expiration=1,IF($A244&lt;VLOOKUP(J$5,NFI,5,0),1,0)*Table_NFI[[#This Row],[Sanitary Kit]],Table_NFI[Sanitary Kit])</f>
        <v>1807</v>
      </c>
      <c r="AB244" s="352">
        <f>IF(NFI_Expiration=1,IF($A244&lt;VLOOKUP(K$5,NFI,5,0),1,0)*Table_NFI[[#This Row],[Mosquito net]],Table_NFI[Mosquito net])</f>
        <v>0</v>
      </c>
      <c r="AC244" s="352">
        <f>IF(NFI_Expiration=1,IF($A244&lt;VLOOKUP(L$5,NFI,5,0),1,0)*Table_NFI[[#This Row],[Tarpaulin]],Table_NFI[[#This Row],[Tarpaulin]])</f>
        <v>0</v>
      </c>
      <c r="AD244" s="352">
        <f>IF(NFI_Expiration=1,IF($A244&lt;VLOOKUP(M$5,NFI,5,0),1,0)*Table_NFI[[#This Row],[Blanket]],Table_NFI[[#This Row],[Blanket]])</f>
        <v>0</v>
      </c>
      <c r="AE244" s="352">
        <f>IF(NFI_Expiration=1,IF($A244&lt;VLOOKUP(N$5,NFI,5,0),1,0)*Table_NFI[[#This Row],[Kitchen Set]],Table_NFI[Kitchen Set])</f>
        <v>0</v>
      </c>
      <c r="AF244" s="352">
        <f>IF(NFI_Expiration=1,IF($A244&lt;VLOOKUP(O$5,NFI,5,0),1,0)*Table_NFI[[#This Row],[Clothes Kit]],Table_NFI[Clothes Kit])</f>
        <v>0</v>
      </c>
      <c r="AG244" s="352">
        <f>IF(NFI_Expiration=1,IF($A244&lt;VLOOKUP(P$5,NFI,5,0),1,0)*Table_NFI[[#This Row],[Plastic Bucket]],Table_NFI[Plastic Bucket])</f>
        <v>0</v>
      </c>
      <c r="AH244" s="352">
        <f>IF(NFI_Expiration=1,IF($A244&lt;VLOOKUP(Q$5,NFI,5,0),1,0)*Table_NFI[[#This Row],[Plastic Mat]],Table_NFI[Plastic Mat])*IF(Table_NFI[[#This Row],[Distribution Date]]&gt;"2014-04-01",1,2.5)</f>
        <v>0</v>
      </c>
      <c r="AI244" s="352">
        <f>IF(NFI_Expiration=1,IF($A244&lt;VLOOKUP(R$5,NFI,5,0),1,0)*Table_NFI[[#This Row],[Winter Clothes Adult]],Table_NFI[Winter Clothes Adult])</f>
        <v>0</v>
      </c>
      <c r="AJ244" s="352">
        <f>IF(NFI_Expiration=1,IF($A244&lt;VLOOKUP(S$5,NFI,5,0),1,0)*Table_NFI[[#This Row],[Winter Clothes Children]],Table_NFI[Winter Clothes Children])</f>
        <v>0</v>
      </c>
      <c r="AK244" s="352">
        <f>IF(NFI_Expiration=1,IF($A244&lt;VLOOKUP(T$5,NFI,5,0),1,0)*Table_NFI[[#This Row],[Winter Items Other]],Table_NFI[Winter Items Other])</f>
        <v>0</v>
      </c>
      <c r="AL244" s="352">
        <f>IF(NFI_Expiration=1,IF($A244&lt;VLOOKUP(M$5,NFI,5,0),1,0)*Table_NFI[[#This Row],[Winter Blanket]],Table_NFI[[#This Row],[Winter Blanket]])</f>
        <v>0</v>
      </c>
      <c r="AM244" s="352">
        <f>IF(Table_NFI[[#This Row],[Winter Clothes Adult]]+Table_NFI[[#This Row],[Winter Clothes Children]]+Table_NFI[[#This Row],[Winter Items Other]]+Table_NFI[[#This Row],[Winter Blanket]]&gt;0,1,0)</f>
        <v>0</v>
      </c>
      <c r="AN244" s="392">
        <f>IF(NFI_Expiration=1,IF($A244&lt;VLOOKUP(V$5,NFI,5,0),1,0)*Table_NFI[[#This Row],[Jerry Can]],Table_NFI[Jerry Can])</f>
        <v>0</v>
      </c>
      <c r="AO244" s="540" t="str">
        <f>IFERROR(VLOOKUP(Table_NFI[[#This Row],[Camp Name]],CL,2,0),"")</f>
        <v>MMR001CMP121</v>
      </c>
      <c r="AP244" s="535">
        <f ca="1">IF(Table_NFI[[#This Row],[Pcode]]="","",IF(OFFSET(CampList[Opening Date],MATCH(Table_NFI[[#This Row],[Pcode]],CampList[CP_Pcode],0)-1,0,1,1)&gt;=NFI_Monitor_Date,1,0))</f>
        <v>0</v>
      </c>
      <c r="AQ244" s="540" t="str">
        <f>IFERROR(VLOOKUP(Table_NFI[[#This Row],[Camp Name]],CL,3,0),"")</f>
        <v>Open</v>
      </c>
      <c r="AR244" s="352" t="str">
        <f ca="1">IF(Table_NFI[[#This Row],[Pcode]]="","",OFFSET(CampList[Priority],MATCH(Table_NFI[[#This Row],[Pcode]],CampList[CP_Pcode],0)-1,0,1,1))</f>
        <v>P2</v>
      </c>
      <c r="AS244" s="351">
        <f>IFERROR(Table_NFI[[#This Row],[Kitchen Set]]/VLOOKUP(Table_NFI[[#This Row],[Camp Name]],CL,4,0),"")</f>
        <v>0</v>
      </c>
      <c r="AT244" s="533"/>
      <c r="AU244" s="536"/>
    </row>
    <row r="245" spans="1:47" s="537" customFormat="1" hidden="1" x14ac:dyDescent="0.25">
      <c r="A245" s="355">
        <f t="shared" si="3"/>
        <v>4.9000000000000004</v>
      </c>
      <c r="B245" s="532">
        <v>42424</v>
      </c>
      <c r="C245" s="533" t="s">
        <v>907</v>
      </c>
      <c r="D245" s="533" t="s">
        <v>461</v>
      </c>
      <c r="E245" s="533" t="s">
        <v>380</v>
      </c>
      <c r="F245" s="348" t="s">
        <v>185</v>
      </c>
      <c r="G245" s="348" t="s">
        <v>196</v>
      </c>
      <c r="H245" s="349"/>
      <c r="I245" s="349"/>
      <c r="J245" s="350"/>
      <c r="K245" s="349"/>
      <c r="L245" s="350"/>
      <c r="M245" s="350"/>
      <c r="N245" s="350"/>
      <c r="O245" s="350"/>
      <c r="P245" s="352"/>
      <c r="Q245" s="392"/>
      <c r="R245" s="392"/>
      <c r="S245" s="392"/>
      <c r="T245" s="392"/>
      <c r="U245" s="392"/>
      <c r="V245" s="497"/>
      <c r="W245" s="392">
        <v>394</v>
      </c>
      <c r="X245" s="392"/>
      <c r="Y245" s="352">
        <f>IF(NFI_Expiration=1,IF($A245&lt;VLOOKUP(H$5,NFI,5,0),1,0)*Table_NFI[[#This Row],[Hygiene Kit]],Table_NFI[Hygiene Kit])</f>
        <v>0</v>
      </c>
      <c r="Z245" s="352">
        <f>IF(NFI_Expiration=1,IF($A245&lt;VLOOKUP(I$5,NFI,5,0),1,0)*Table_NFI[[#This Row],[NFI Core Kit]],Table_NFI[NFI Core Kit])</f>
        <v>0</v>
      </c>
      <c r="AA245" s="352">
        <f>IF(NFI_Expiration=1,IF($A245&lt;VLOOKUP(J$5,NFI,5,0),1,0)*Table_NFI[[#This Row],[Sanitary Kit]],Table_NFI[Sanitary Kit])</f>
        <v>0</v>
      </c>
      <c r="AB245" s="352">
        <f>IF(NFI_Expiration=1,IF($A245&lt;VLOOKUP(K$5,NFI,5,0),1,0)*Table_NFI[[#This Row],[Mosquito net]],Table_NFI[Mosquito net])</f>
        <v>0</v>
      </c>
      <c r="AC245" s="352">
        <f>IF(NFI_Expiration=1,IF($A245&lt;VLOOKUP(L$5,NFI,5,0),1,0)*Table_NFI[[#This Row],[Tarpaulin]],Table_NFI[[#This Row],[Tarpaulin]])</f>
        <v>0</v>
      </c>
      <c r="AD245" s="352">
        <f>IF(NFI_Expiration=1,IF($A245&lt;VLOOKUP(M$5,NFI,5,0),1,0)*Table_NFI[[#This Row],[Blanket]],Table_NFI[[#This Row],[Blanket]])</f>
        <v>0</v>
      </c>
      <c r="AE245" s="352">
        <f>IF(NFI_Expiration=1,IF($A245&lt;VLOOKUP(N$5,NFI,5,0),1,0)*Table_NFI[[#This Row],[Kitchen Set]],Table_NFI[Kitchen Set])</f>
        <v>0</v>
      </c>
      <c r="AF245" s="352">
        <f>IF(NFI_Expiration=1,IF($A245&lt;VLOOKUP(O$5,NFI,5,0),1,0)*Table_NFI[[#This Row],[Clothes Kit]],Table_NFI[Clothes Kit])</f>
        <v>0</v>
      </c>
      <c r="AG245" s="352">
        <f>IF(NFI_Expiration=1,IF($A245&lt;VLOOKUP(P$5,NFI,5,0),1,0)*Table_NFI[[#This Row],[Plastic Bucket]],Table_NFI[Plastic Bucket])</f>
        <v>0</v>
      </c>
      <c r="AH245" s="352">
        <f>IF(NFI_Expiration=1,IF($A245&lt;VLOOKUP(Q$5,NFI,5,0),1,0)*Table_NFI[[#This Row],[Plastic Mat]],Table_NFI[Plastic Mat])*IF(Table_NFI[[#This Row],[Distribution Date]]&gt;"2014-04-01",1,2.5)</f>
        <v>0</v>
      </c>
      <c r="AI245" s="352">
        <f>IF(NFI_Expiration=1,IF($A245&lt;VLOOKUP(R$5,NFI,5,0),1,0)*Table_NFI[[#This Row],[Winter Clothes Adult]],Table_NFI[Winter Clothes Adult])</f>
        <v>0</v>
      </c>
      <c r="AJ245" s="352">
        <f>IF(NFI_Expiration=1,IF($A245&lt;VLOOKUP(S$5,NFI,5,0),1,0)*Table_NFI[[#This Row],[Winter Clothes Children]],Table_NFI[Winter Clothes Children])</f>
        <v>0</v>
      </c>
      <c r="AK245" s="352">
        <f>IF(NFI_Expiration=1,IF($A245&lt;VLOOKUP(T$5,NFI,5,0),1,0)*Table_NFI[[#This Row],[Winter Items Other]],Table_NFI[Winter Items Other])</f>
        <v>0</v>
      </c>
      <c r="AL245" s="352">
        <f>IF(NFI_Expiration=1,IF($A245&lt;VLOOKUP(M$5,NFI,5,0),1,0)*Table_NFI[[#This Row],[Winter Blanket]],Table_NFI[[#This Row],[Winter Blanket]])</f>
        <v>0</v>
      </c>
      <c r="AM245" s="352">
        <f>IF(Table_NFI[[#This Row],[Winter Clothes Adult]]+Table_NFI[[#This Row],[Winter Clothes Children]]+Table_NFI[[#This Row],[Winter Items Other]]+Table_NFI[[#This Row],[Winter Blanket]]&gt;0,1,0)</f>
        <v>0</v>
      </c>
      <c r="AN245" s="392">
        <f>IF(NFI_Expiration=1,IF($A245&lt;VLOOKUP(V$5,NFI,5,0),1,0)*Table_NFI[[#This Row],[Jerry Can]],Table_NFI[Jerry Can])</f>
        <v>0</v>
      </c>
      <c r="AO245" s="540" t="str">
        <f>IFERROR(VLOOKUP(Table_NFI[[#This Row],[Camp Name]],CL,2,0),"")</f>
        <v>MMR001CMP121</v>
      </c>
      <c r="AP245" s="535">
        <f ca="1">IF(Table_NFI[[#This Row],[Pcode]]="","",IF(OFFSET(CampList[Opening Date],MATCH(Table_NFI[[#This Row],[Pcode]],CampList[CP_Pcode],0)-1,0,1,1)&gt;=NFI_Monitor_Date,1,0))</f>
        <v>0</v>
      </c>
      <c r="AQ245" s="540" t="str">
        <f>IFERROR(VLOOKUP(Table_NFI[[#This Row],[Camp Name]],CL,3,0),"")</f>
        <v>Open</v>
      </c>
      <c r="AR245" s="352" t="str">
        <f ca="1">IF(Table_NFI[[#This Row],[Pcode]]="","",OFFSET(CampList[Priority],MATCH(Table_NFI[[#This Row],[Pcode]],CampList[CP_Pcode],0)-1,0,1,1))</f>
        <v>P2</v>
      </c>
      <c r="AS245" s="351">
        <f>IFERROR(Table_NFI[[#This Row],[Kitchen Set]]/VLOOKUP(Table_NFI[[#This Row],[Camp Name]],CL,4,0),"")</f>
        <v>0</v>
      </c>
      <c r="AT245" s="533"/>
      <c r="AU245" s="536"/>
    </row>
    <row r="246" spans="1:47" s="537" customFormat="1" hidden="1" x14ac:dyDescent="0.25">
      <c r="A246" s="355">
        <f t="shared" si="3"/>
        <v>32.1</v>
      </c>
      <c r="B246" s="532">
        <v>41608</v>
      </c>
      <c r="C246" s="533" t="s">
        <v>907</v>
      </c>
      <c r="D246" s="533" t="s">
        <v>461</v>
      </c>
      <c r="E246" s="533" t="s">
        <v>380</v>
      </c>
      <c r="F246" s="348" t="s">
        <v>185</v>
      </c>
      <c r="G246" s="348" t="s">
        <v>196</v>
      </c>
      <c r="H246" s="349"/>
      <c r="I246" s="349"/>
      <c r="J246" s="349"/>
      <c r="K246" s="349"/>
      <c r="L246" s="350"/>
      <c r="M246" s="350"/>
      <c r="N246" s="350"/>
      <c r="O246" s="350"/>
      <c r="P246" s="352"/>
      <c r="Q246" s="352">
        <v>5268</v>
      </c>
      <c r="R246" s="352"/>
      <c r="S246" s="352"/>
      <c r="T246" s="352"/>
      <c r="U246" s="352"/>
      <c r="V246" s="497"/>
      <c r="W246" s="352"/>
      <c r="X246" s="352"/>
      <c r="Y246" s="352">
        <f>IF(NFI_Expiration=1,IF($A246&lt;VLOOKUP(H$5,NFI,5,0),1,0)*Table_NFI[[#This Row],[Hygiene Kit]],Table_NFI[Hygiene Kit])</f>
        <v>0</v>
      </c>
      <c r="Z246" s="352">
        <f>IF(NFI_Expiration=1,IF($A246&lt;VLOOKUP(I$5,NFI,5,0),1,0)*Table_NFI[[#This Row],[NFI Core Kit]],Table_NFI[NFI Core Kit])</f>
        <v>0</v>
      </c>
      <c r="AA246" s="352">
        <f>IF(NFI_Expiration=1,IF($A246&lt;VLOOKUP(J$5,NFI,5,0),1,0)*Table_NFI[[#This Row],[Sanitary Kit]],Table_NFI[Sanitary Kit])</f>
        <v>0</v>
      </c>
      <c r="AB246" s="352">
        <f>IF(NFI_Expiration=1,IF($A246&lt;VLOOKUP(K$5,NFI,5,0),1,0)*Table_NFI[[#This Row],[Mosquito net]],Table_NFI[Mosquito net])</f>
        <v>0</v>
      </c>
      <c r="AC246" s="352">
        <f>IF(NFI_Expiration=1,IF($A246&lt;VLOOKUP(L$5,NFI,5,0),1,0)*Table_NFI[[#This Row],[Tarpaulin]],Table_NFI[[#This Row],[Tarpaulin]])</f>
        <v>0</v>
      </c>
      <c r="AD246" s="352">
        <f>IF(NFI_Expiration=1,IF($A246&lt;VLOOKUP(M$5,NFI,5,0),1,0)*Table_NFI[[#This Row],[Blanket]],Table_NFI[[#This Row],[Blanket]])</f>
        <v>0</v>
      </c>
      <c r="AE246" s="352">
        <f>IF(NFI_Expiration=1,IF($A246&lt;VLOOKUP(N$5,NFI,5,0),1,0)*Table_NFI[[#This Row],[Kitchen Set]],Table_NFI[Kitchen Set])</f>
        <v>0</v>
      </c>
      <c r="AF246" s="352">
        <f>IF(NFI_Expiration=1,IF($A246&lt;VLOOKUP(O$5,NFI,5,0),1,0)*Table_NFI[[#This Row],[Clothes Kit]],Table_NFI[Clothes Kit])</f>
        <v>0</v>
      </c>
      <c r="AG246" s="352">
        <f>IF(NFI_Expiration=1,IF($A246&lt;VLOOKUP(P$5,NFI,5,0),1,0)*Table_NFI[[#This Row],[Plastic Bucket]],Table_NFI[Plastic Bucket])</f>
        <v>0</v>
      </c>
      <c r="AH246" s="352">
        <f>IF(NFI_Expiration=1,IF($A246&lt;VLOOKUP(Q$5,NFI,5,0),1,0)*Table_NFI[[#This Row],[Plastic Mat]],Table_NFI[Plastic Mat])*IF(Table_NFI[[#This Row],[Distribution Date]]&gt;"2014-04-01",1,2.5)</f>
        <v>0</v>
      </c>
      <c r="AI246" s="352">
        <f>IF(NFI_Expiration=1,IF($A246&lt;VLOOKUP(R$5,NFI,5,0),1,0)*Table_NFI[[#This Row],[Winter Clothes Adult]],Table_NFI[Winter Clothes Adult])</f>
        <v>0</v>
      </c>
      <c r="AJ246" s="352">
        <f>IF(NFI_Expiration=1,IF($A246&lt;VLOOKUP(S$5,NFI,5,0),1,0)*Table_NFI[[#This Row],[Winter Clothes Children]],Table_NFI[Winter Clothes Children])</f>
        <v>0</v>
      </c>
      <c r="AK246" s="352">
        <f>IF(NFI_Expiration=1,IF($A246&lt;VLOOKUP(T$5,NFI,5,0),1,0)*Table_NFI[[#This Row],[Winter Items Other]],Table_NFI[Winter Items Other])</f>
        <v>0</v>
      </c>
      <c r="AL246" s="352">
        <f>IF(NFI_Expiration=1,IF($A246&lt;VLOOKUP(M$5,NFI,5,0),1,0)*Table_NFI[[#This Row],[Winter Blanket]],Table_NFI[[#This Row],[Winter Blanket]])</f>
        <v>0</v>
      </c>
      <c r="AM246" s="352">
        <f>IF(Table_NFI[[#This Row],[Winter Clothes Adult]]+Table_NFI[[#This Row],[Winter Clothes Children]]+Table_NFI[[#This Row],[Winter Items Other]]+Table_NFI[[#This Row],[Winter Blanket]]&gt;0,1,0)</f>
        <v>0</v>
      </c>
      <c r="AN246" s="392">
        <f>IF(NFI_Expiration=1,IF($A246&lt;VLOOKUP(V$5,NFI,5,0),1,0)*Table_NFI[[#This Row],[Jerry Can]],Table_NFI[Jerry Can])</f>
        <v>0</v>
      </c>
      <c r="AO246" s="540" t="str">
        <f>IFERROR(VLOOKUP(Table_NFI[[#This Row],[Camp Name]],CL,2,0),"")</f>
        <v>MMR001CMP121</v>
      </c>
      <c r="AP246" s="535">
        <f ca="1">IF(Table_NFI[[#This Row],[Pcode]]="","",IF(OFFSET(CampList[Opening Date],MATCH(Table_NFI[[#This Row],[Pcode]],CampList[CP_Pcode],0)-1,0,1,1)&gt;=NFI_Monitor_Date,1,0))</f>
        <v>0</v>
      </c>
      <c r="AQ246" s="540" t="str">
        <f>IFERROR(VLOOKUP(Table_NFI[[#This Row],[Camp Name]],CL,3,0),"")</f>
        <v>Open</v>
      </c>
      <c r="AR246" s="352" t="str">
        <f ca="1">IF(Table_NFI[[#This Row],[Pcode]]="","",OFFSET(CampList[Priority],MATCH(Table_NFI[[#This Row],[Pcode]],CampList[CP_Pcode],0)-1,0,1,1))</f>
        <v>P2</v>
      </c>
      <c r="AS246" s="351">
        <f>IFERROR(Table_NFI[[#This Row],[Kitchen Set]]/VLOOKUP(Table_NFI[[#This Row],[Camp Name]],CL,4,0),"")</f>
        <v>0</v>
      </c>
      <c r="AT246" s="533" t="s">
        <v>1094</v>
      </c>
      <c r="AU246" s="536"/>
    </row>
    <row r="247" spans="1:47" s="537" customFormat="1" hidden="1" x14ac:dyDescent="0.25">
      <c r="A247" s="355">
        <f t="shared" si="3"/>
        <v>45.466666666666669</v>
      </c>
      <c r="B247" s="532">
        <v>41207</v>
      </c>
      <c r="C247" s="533" t="s">
        <v>907</v>
      </c>
      <c r="D247" s="533" t="s">
        <v>907</v>
      </c>
      <c r="E247" s="533" t="s">
        <v>380</v>
      </c>
      <c r="F247" s="348" t="s">
        <v>185</v>
      </c>
      <c r="G247" s="348" t="s">
        <v>522</v>
      </c>
      <c r="H247" s="352">
        <v>23</v>
      </c>
      <c r="I247" s="349"/>
      <c r="J247" s="349"/>
      <c r="K247" s="349"/>
      <c r="L247" s="350"/>
      <c r="M247" s="350"/>
      <c r="N247" s="350"/>
      <c r="O247" s="350"/>
      <c r="P247" s="352"/>
      <c r="Q247" s="352"/>
      <c r="R247" s="352"/>
      <c r="S247" s="352"/>
      <c r="T247" s="352"/>
      <c r="U247" s="352"/>
      <c r="V247" s="497"/>
      <c r="W247" s="352"/>
      <c r="X247" s="352"/>
      <c r="Y247" s="352">
        <f>IF(NFI_Expiration=1,IF($A247&lt;VLOOKUP(H$5,NFI,5,0),1,0)*Table_NFI[[#This Row],[Hygiene Kit]],Table_NFI[Hygiene Kit])</f>
        <v>0</v>
      </c>
      <c r="Z247" s="352">
        <f>IF(NFI_Expiration=1,IF($A247&lt;VLOOKUP(I$5,NFI,5,0),1,0)*Table_NFI[[#This Row],[NFI Core Kit]],Table_NFI[NFI Core Kit])</f>
        <v>0</v>
      </c>
      <c r="AA247" s="352">
        <f>IF(NFI_Expiration=1,IF($A247&lt;VLOOKUP(J$5,NFI,5,0),1,0)*Table_NFI[[#This Row],[Sanitary Kit]],Table_NFI[Sanitary Kit])</f>
        <v>0</v>
      </c>
      <c r="AB247" s="352">
        <f>IF(NFI_Expiration=1,IF($A247&lt;VLOOKUP(K$5,NFI,5,0),1,0)*Table_NFI[[#This Row],[Mosquito net]],Table_NFI[Mosquito net])</f>
        <v>0</v>
      </c>
      <c r="AC247" s="352">
        <f>IF(NFI_Expiration=1,IF($A247&lt;VLOOKUP(L$5,NFI,5,0),1,0)*Table_NFI[[#This Row],[Tarpaulin]],Table_NFI[[#This Row],[Tarpaulin]])</f>
        <v>0</v>
      </c>
      <c r="AD247" s="352">
        <f>IF(NFI_Expiration=1,IF($A247&lt;VLOOKUP(M$5,NFI,5,0),1,0)*Table_NFI[[#This Row],[Blanket]],Table_NFI[[#This Row],[Blanket]])</f>
        <v>0</v>
      </c>
      <c r="AE247" s="352">
        <f>IF(NFI_Expiration=1,IF($A247&lt;VLOOKUP(N$5,NFI,5,0),1,0)*Table_NFI[[#This Row],[Kitchen Set]],Table_NFI[Kitchen Set])</f>
        <v>0</v>
      </c>
      <c r="AF247" s="352">
        <f>IF(NFI_Expiration=1,IF($A247&lt;VLOOKUP(O$5,NFI,5,0),1,0)*Table_NFI[[#This Row],[Clothes Kit]],Table_NFI[Clothes Kit])</f>
        <v>0</v>
      </c>
      <c r="AG247" s="352">
        <f>IF(NFI_Expiration=1,IF($A247&lt;VLOOKUP(P$5,NFI,5,0),1,0)*Table_NFI[[#This Row],[Plastic Bucket]],Table_NFI[Plastic Bucket])</f>
        <v>0</v>
      </c>
      <c r="AH247" s="352">
        <f>IF(NFI_Expiration=1,IF($A247&lt;VLOOKUP(Q$5,NFI,5,0),1,0)*Table_NFI[[#This Row],[Plastic Mat]],Table_NFI[Plastic Mat])*IF(Table_NFI[[#This Row],[Distribution Date]]&gt;"2014-04-01",1,2.5)</f>
        <v>0</v>
      </c>
      <c r="AI247" s="352">
        <f>IF(NFI_Expiration=1,IF($A247&lt;VLOOKUP(R$5,NFI,5,0),1,0)*Table_NFI[[#This Row],[Winter Clothes Adult]],Table_NFI[Winter Clothes Adult])</f>
        <v>0</v>
      </c>
      <c r="AJ247" s="352">
        <f>IF(NFI_Expiration=1,IF($A247&lt;VLOOKUP(S$5,NFI,5,0),1,0)*Table_NFI[[#This Row],[Winter Clothes Children]],Table_NFI[Winter Clothes Children])</f>
        <v>0</v>
      </c>
      <c r="AK247" s="352">
        <f>IF(NFI_Expiration=1,IF($A247&lt;VLOOKUP(T$5,NFI,5,0),1,0)*Table_NFI[[#This Row],[Winter Items Other]],Table_NFI[Winter Items Other])</f>
        <v>0</v>
      </c>
      <c r="AL247" s="352">
        <f>IF(NFI_Expiration=1,IF($A247&lt;VLOOKUP(M$5,NFI,5,0),1,0)*Table_NFI[[#This Row],[Winter Blanket]],Table_NFI[[#This Row],[Winter Blanket]])</f>
        <v>0</v>
      </c>
      <c r="AM247" s="352">
        <f>IF(Table_NFI[[#This Row],[Winter Clothes Adult]]+Table_NFI[[#This Row],[Winter Clothes Children]]+Table_NFI[[#This Row],[Winter Items Other]]+Table_NFI[[#This Row],[Winter Blanket]]&gt;0,1,0)</f>
        <v>0</v>
      </c>
      <c r="AN247" s="392">
        <f>IF(NFI_Expiration=1,IF($A247&lt;VLOOKUP(V$5,NFI,5,0),1,0)*Table_NFI[[#This Row],[Jerry Can]],Table_NFI[Jerry Can])</f>
        <v>0</v>
      </c>
      <c r="AO247" s="540" t="str">
        <f>IFERROR(VLOOKUP(Table_NFI[[#This Row],[Camp Name]],CL,2,0),"")</f>
        <v>MMR001CMP200</v>
      </c>
      <c r="AP247" s="535">
        <f ca="1">IF(Table_NFI[[#This Row],[Pcode]]="","",IF(OFFSET(CampList[Opening Date],MATCH(Table_NFI[[#This Row],[Pcode]],CampList[CP_Pcode],0)-1,0,1,1)&gt;=NFI_Monitor_Date,1,0))</f>
        <v>0</v>
      </c>
      <c r="AQ247" s="540" t="str">
        <f>IFERROR(VLOOKUP(Table_NFI[[#This Row],[Camp Name]],CL,3,0),"")</f>
        <v>Open</v>
      </c>
      <c r="AR247" s="352" t="str">
        <f ca="1">IF(Table_NFI[[#This Row],[Pcode]]="","",OFFSET(CampList[Priority],MATCH(Table_NFI[[#This Row],[Pcode]],CampList[CP_Pcode],0)-1,0,1,1))</f>
        <v>P4</v>
      </c>
      <c r="AS247" s="351">
        <f>IFERROR(Table_NFI[[#This Row],[Kitchen Set]]/VLOOKUP(Table_NFI[[#This Row],[Camp Name]],CL,4,0),"")</f>
        <v>0</v>
      </c>
      <c r="AT247" s="533"/>
      <c r="AU247" s="536"/>
    </row>
    <row r="248" spans="1:47" s="537" customFormat="1" hidden="1" x14ac:dyDescent="0.25">
      <c r="A248" s="355">
        <f t="shared" si="3"/>
        <v>52.833333333333336</v>
      </c>
      <c r="B248" s="532">
        <v>40986</v>
      </c>
      <c r="C248" s="533" t="s">
        <v>907</v>
      </c>
      <c r="D248" s="533" t="s">
        <v>907</v>
      </c>
      <c r="E248" s="533" t="s">
        <v>380</v>
      </c>
      <c r="F248" s="348" t="s">
        <v>185</v>
      </c>
      <c r="G248" s="348" t="s">
        <v>522</v>
      </c>
      <c r="H248" s="352">
        <v>850</v>
      </c>
      <c r="I248" s="349"/>
      <c r="J248" s="349"/>
      <c r="K248" s="349"/>
      <c r="L248" s="350"/>
      <c r="M248" s="350"/>
      <c r="N248" s="350"/>
      <c r="O248" s="350"/>
      <c r="P248" s="352"/>
      <c r="Q248" s="392"/>
      <c r="R248" s="392"/>
      <c r="S248" s="392"/>
      <c r="T248" s="392"/>
      <c r="U248" s="392"/>
      <c r="V248" s="497"/>
      <c r="W248" s="392"/>
      <c r="X248" s="392"/>
      <c r="Y248" s="352">
        <f>IF(NFI_Expiration=1,IF($A248&lt;VLOOKUP(H$5,NFI,5,0),1,0)*Table_NFI[[#This Row],[Hygiene Kit]],Table_NFI[Hygiene Kit])</f>
        <v>0</v>
      </c>
      <c r="Z248" s="352">
        <f>IF(NFI_Expiration=1,IF($A248&lt;VLOOKUP(I$5,NFI,5,0),1,0)*Table_NFI[[#This Row],[NFI Core Kit]],Table_NFI[NFI Core Kit])</f>
        <v>0</v>
      </c>
      <c r="AA248" s="352">
        <f>IF(NFI_Expiration=1,IF($A248&lt;VLOOKUP(J$5,NFI,5,0),1,0)*Table_NFI[[#This Row],[Sanitary Kit]],Table_NFI[Sanitary Kit])</f>
        <v>0</v>
      </c>
      <c r="AB248" s="352">
        <f>IF(NFI_Expiration=1,IF($A248&lt;VLOOKUP(K$5,NFI,5,0),1,0)*Table_NFI[[#This Row],[Mosquito net]],Table_NFI[Mosquito net])</f>
        <v>0</v>
      </c>
      <c r="AC248" s="352">
        <f>IF(NFI_Expiration=1,IF($A248&lt;VLOOKUP(L$5,NFI,5,0),1,0)*Table_NFI[[#This Row],[Tarpaulin]],Table_NFI[[#This Row],[Tarpaulin]])</f>
        <v>0</v>
      </c>
      <c r="AD248" s="352">
        <f>IF(NFI_Expiration=1,IF($A248&lt;VLOOKUP(M$5,NFI,5,0),1,0)*Table_NFI[[#This Row],[Blanket]],Table_NFI[[#This Row],[Blanket]])</f>
        <v>0</v>
      </c>
      <c r="AE248" s="352">
        <f>IF(NFI_Expiration=1,IF($A248&lt;VLOOKUP(N$5,NFI,5,0),1,0)*Table_NFI[[#This Row],[Kitchen Set]],Table_NFI[Kitchen Set])</f>
        <v>0</v>
      </c>
      <c r="AF248" s="352">
        <f>IF(NFI_Expiration=1,IF($A248&lt;VLOOKUP(O$5,NFI,5,0),1,0)*Table_NFI[[#This Row],[Clothes Kit]],Table_NFI[Clothes Kit])</f>
        <v>0</v>
      </c>
      <c r="AG248" s="352">
        <f>IF(NFI_Expiration=1,IF($A248&lt;VLOOKUP(P$5,NFI,5,0),1,0)*Table_NFI[[#This Row],[Plastic Bucket]],Table_NFI[Plastic Bucket])</f>
        <v>0</v>
      </c>
      <c r="AH248" s="352">
        <f>IF(NFI_Expiration=1,IF($A248&lt;VLOOKUP(Q$5,NFI,5,0),1,0)*Table_NFI[[#This Row],[Plastic Mat]],Table_NFI[Plastic Mat])*IF(Table_NFI[[#This Row],[Distribution Date]]&gt;"2014-04-01",1,2.5)</f>
        <v>0</v>
      </c>
      <c r="AI248" s="352">
        <f>IF(NFI_Expiration=1,IF($A248&lt;VLOOKUP(R$5,NFI,5,0),1,0)*Table_NFI[[#This Row],[Winter Clothes Adult]],Table_NFI[Winter Clothes Adult])</f>
        <v>0</v>
      </c>
      <c r="AJ248" s="352">
        <f>IF(NFI_Expiration=1,IF($A248&lt;VLOOKUP(S$5,NFI,5,0),1,0)*Table_NFI[[#This Row],[Winter Clothes Children]],Table_NFI[Winter Clothes Children])</f>
        <v>0</v>
      </c>
      <c r="AK248" s="352">
        <f>IF(NFI_Expiration=1,IF($A248&lt;VLOOKUP(T$5,NFI,5,0),1,0)*Table_NFI[[#This Row],[Winter Items Other]],Table_NFI[Winter Items Other])</f>
        <v>0</v>
      </c>
      <c r="AL248" s="352">
        <f>IF(NFI_Expiration=1,IF($A248&lt;VLOOKUP(M$5,NFI,5,0),1,0)*Table_NFI[[#This Row],[Winter Blanket]],Table_NFI[[#This Row],[Winter Blanket]])</f>
        <v>0</v>
      </c>
      <c r="AM248" s="352">
        <f>IF(Table_NFI[[#This Row],[Winter Clothes Adult]]+Table_NFI[[#This Row],[Winter Clothes Children]]+Table_NFI[[#This Row],[Winter Items Other]]+Table_NFI[[#This Row],[Winter Blanket]]&gt;0,1,0)</f>
        <v>0</v>
      </c>
      <c r="AN248" s="392">
        <f>IF(NFI_Expiration=1,IF($A248&lt;VLOOKUP(V$5,NFI,5,0),1,0)*Table_NFI[[#This Row],[Jerry Can]],Table_NFI[Jerry Can])</f>
        <v>0</v>
      </c>
      <c r="AO248" s="540" t="str">
        <f>IFERROR(VLOOKUP(Table_NFI[[#This Row],[Camp Name]],CL,2,0),"")</f>
        <v>MMR001CMP200</v>
      </c>
      <c r="AP248" s="535">
        <f ca="1">IF(Table_NFI[[#This Row],[Pcode]]="","",IF(OFFSET(CampList[Opening Date],MATCH(Table_NFI[[#This Row],[Pcode]],CampList[CP_Pcode],0)-1,0,1,1)&gt;=NFI_Monitor_Date,1,0))</f>
        <v>0</v>
      </c>
      <c r="AQ248" s="540" t="str">
        <f>IFERROR(VLOOKUP(Table_NFI[[#This Row],[Camp Name]],CL,3,0),"")</f>
        <v>Open</v>
      </c>
      <c r="AR248" s="352" t="str">
        <f ca="1">IF(Table_NFI[[#This Row],[Pcode]]="","",OFFSET(CampList[Priority],MATCH(Table_NFI[[#This Row],[Pcode]],CampList[CP_Pcode],0)-1,0,1,1))</f>
        <v>P4</v>
      </c>
      <c r="AS248" s="351">
        <f>IFERROR(Table_NFI[[#This Row],[Kitchen Set]]/VLOOKUP(Table_NFI[[#This Row],[Camp Name]],CL,4,0),"")</f>
        <v>0</v>
      </c>
      <c r="AT248" s="533"/>
      <c r="AU248" s="536"/>
    </row>
    <row r="249" spans="1:47" s="537" customFormat="1" ht="14.45" customHeight="1" x14ac:dyDescent="0.25">
      <c r="A249" s="355">
        <f t="shared" si="3"/>
        <v>21.933333333333334</v>
      </c>
      <c r="B249" s="532">
        <v>41913</v>
      </c>
      <c r="C249" s="533" t="s">
        <v>453</v>
      </c>
      <c r="D249" s="538" t="s">
        <v>507</v>
      </c>
      <c r="E249" s="538" t="s">
        <v>380</v>
      </c>
      <c r="F249" s="538" t="s">
        <v>27</v>
      </c>
      <c r="G249" s="538" t="s">
        <v>865</v>
      </c>
      <c r="H249" s="350"/>
      <c r="I249" s="350"/>
      <c r="J249" s="350"/>
      <c r="K249" s="350">
        <v>130</v>
      </c>
      <c r="L249" s="350"/>
      <c r="M249" s="350"/>
      <c r="N249" s="350"/>
      <c r="O249" s="350"/>
      <c r="P249" s="352"/>
      <c r="Q249" s="352"/>
      <c r="R249" s="352"/>
      <c r="S249" s="352"/>
      <c r="T249" s="352"/>
      <c r="U249" s="352">
        <v>130</v>
      </c>
      <c r="V249" s="497"/>
      <c r="W249" s="352"/>
      <c r="X249" s="352"/>
      <c r="Y249" s="352">
        <f>IF(NFI_Expiration=1,IF($A249&lt;VLOOKUP(H$5,NFI,5,0),1,0)*Table_NFI[[#This Row],[Hygiene Kit]],Table_NFI[Hygiene Kit])</f>
        <v>0</v>
      </c>
      <c r="Z249" s="352">
        <f>IF(NFI_Expiration=1,IF($A249&lt;VLOOKUP(I$5,NFI,5,0),1,0)*Table_NFI[[#This Row],[NFI Core Kit]],Table_NFI[NFI Core Kit])</f>
        <v>0</v>
      </c>
      <c r="AA249" s="352">
        <f>IF(NFI_Expiration=1,IF($A249&lt;VLOOKUP(J$5,NFI,5,0),1,0)*Table_NFI[[#This Row],[Sanitary Kit]],Table_NFI[Sanitary Kit])</f>
        <v>0</v>
      </c>
      <c r="AB249" s="352">
        <f>IF(NFI_Expiration=1,IF($A249&lt;VLOOKUP(K$5,NFI,5,0),1,0)*Table_NFI[[#This Row],[Mosquito net]],Table_NFI[Mosquito net])</f>
        <v>0</v>
      </c>
      <c r="AC249" s="352">
        <f>IF(NFI_Expiration=1,IF($A249&lt;VLOOKUP(L$5,NFI,5,0),1,0)*Table_NFI[[#This Row],[Tarpaulin]],Table_NFI[[#This Row],[Tarpaulin]])</f>
        <v>0</v>
      </c>
      <c r="AD249" s="352">
        <f>IF(NFI_Expiration=1,IF($A249&lt;VLOOKUP(M$5,NFI,5,0),1,0)*Table_NFI[[#This Row],[Blanket]],Table_NFI[[#This Row],[Blanket]])</f>
        <v>0</v>
      </c>
      <c r="AE249" s="352">
        <f>IF(NFI_Expiration=1,IF($A249&lt;VLOOKUP(N$5,NFI,5,0),1,0)*Table_NFI[[#This Row],[Kitchen Set]],Table_NFI[Kitchen Set])</f>
        <v>0</v>
      </c>
      <c r="AF249" s="352">
        <f>IF(NFI_Expiration=1,IF($A249&lt;VLOOKUP(O$5,NFI,5,0),1,0)*Table_NFI[[#This Row],[Clothes Kit]],Table_NFI[Clothes Kit])</f>
        <v>0</v>
      </c>
      <c r="AG249" s="352">
        <f>IF(NFI_Expiration=1,IF($A249&lt;VLOOKUP(P$5,NFI,5,0),1,0)*Table_NFI[[#This Row],[Plastic Bucket]],Table_NFI[Plastic Bucket])</f>
        <v>0</v>
      </c>
      <c r="AH249" s="352">
        <f>IF(NFI_Expiration=1,IF($A249&lt;VLOOKUP(Q$5,NFI,5,0),1,0)*Table_NFI[[#This Row],[Plastic Mat]],Table_NFI[Plastic Mat])*IF(Table_NFI[[#This Row],[Distribution Date]]&gt;"2014-04-01",1,2.5)</f>
        <v>0</v>
      </c>
      <c r="AI249" s="352">
        <f>IF(NFI_Expiration=1,IF($A249&lt;VLOOKUP(R$5,NFI,5,0),1,0)*Table_NFI[[#This Row],[Winter Clothes Adult]],Table_NFI[Winter Clothes Adult])</f>
        <v>0</v>
      </c>
      <c r="AJ249" s="352">
        <f>IF(NFI_Expiration=1,IF($A249&lt;VLOOKUP(S$5,NFI,5,0),1,0)*Table_NFI[[#This Row],[Winter Clothes Children]],Table_NFI[Winter Clothes Children])</f>
        <v>0</v>
      </c>
      <c r="AK249" s="352">
        <f>IF(NFI_Expiration=1,IF($A249&lt;VLOOKUP(T$5,NFI,5,0),1,0)*Table_NFI[[#This Row],[Winter Items Other]],Table_NFI[Winter Items Other])</f>
        <v>0</v>
      </c>
      <c r="AL249" s="352">
        <f>IF(NFI_Expiration=1,IF($A249&lt;VLOOKUP(M$5,NFI,5,0),1,0)*Table_NFI[[#This Row],[Winter Blanket]],Table_NFI[[#This Row],[Winter Blanket]])</f>
        <v>0</v>
      </c>
      <c r="AM249" s="352">
        <f>IF(Table_NFI[[#This Row],[Winter Clothes Adult]]+Table_NFI[[#This Row],[Winter Clothes Children]]+Table_NFI[[#This Row],[Winter Items Other]]+Table_NFI[[#This Row],[Winter Blanket]]&gt;0,1,0)</f>
        <v>1</v>
      </c>
      <c r="AN249" s="392">
        <f>IF(NFI_Expiration=1,IF($A249&lt;VLOOKUP(V$5,NFI,5,0),1,0)*Table_NFI[[#This Row],[Jerry Can]],Table_NFI[Jerry Can])</f>
        <v>0</v>
      </c>
      <c r="AO249" s="540" t="str">
        <f>IFERROR(VLOOKUP(Table_NFI[[#This Row],[Camp Name]],CL,2,0),"")</f>
        <v>MMR001CMP210</v>
      </c>
      <c r="AP249" s="535">
        <f ca="1">IF(Table_NFI[[#This Row],[Pcode]]="","",IF(OFFSET(CampList[Opening Date],MATCH(Table_NFI[[#This Row],[Pcode]],CampList[CP_Pcode],0)-1,0,1,1)&gt;=NFI_Monitor_Date,1,0))</f>
        <v>0</v>
      </c>
      <c r="AQ249" s="540" t="str">
        <f>IFERROR(VLOOKUP(Table_NFI[[#This Row],[Camp Name]],CL,3,0),"")</f>
        <v>Open</v>
      </c>
      <c r="AR249" s="352" t="str">
        <f ca="1">IF(Table_NFI[[#This Row],[Pcode]]="","",OFFSET(CampList[Priority],MATCH(Table_NFI[[#This Row],[Pcode]],CampList[CP_Pcode],0)-1,0,1,1))</f>
        <v>P1</v>
      </c>
      <c r="AS249" s="351">
        <f>IFERROR(Table_NFI[[#This Row],[Kitchen Set]]/VLOOKUP(Table_NFI[[#This Row],[Camp Name]],CL,4,0),"")</f>
        <v>0</v>
      </c>
      <c r="AT249" s="538"/>
      <c r="AU249" s="541"/>
    </row>
    <row r="250" spans="1:47" s="537" customFormat="1" hidden="1" x14ac:dyDescent="0.25">
      <c r="A250" s="355">
        <f t="shared" si="3"/>
        <v>43.866666666666667</v>
      </c>
      <c r="B250" s="532">
        <v>41255</v>
      </c>
      <c r="C250" s="533" t="s">
        <v>907</v>
      </c>
      <c r="D250" s="533" t="s">
        <v>907</v>
      </c>
      <c r="E250" s="533" t="s">
        <v>380</v>
      </c>
      <c r="F250" s="533" t="s">
        <v>185</v>
      </c>
      <c r="G250" s="348" t="s">
        <v>196</v>
      </c>
      <c r="H250" s="352">
        <v>5228</v>
      </c>
      <c r="I250" s="349"/>
      <c r="J250" s="349"/>
      <c r="K250" s="349"/>
      <c r="L250" s="350"/>
      <c r="M250" s="350"/>
      <c r="N250" s="350"/>
      <c r="O250" s="350"/>
      <c r="P250" s="352">
        <v>0</v>
      </c>
      <c r="Q250" s="352">
        <v>0</v>
      </c>
      <c r="R250" s="352"/>
      <c r="S250" s="352"/>
      <c r="T250" s="352"/>
      <c r="U250" s="352"/>
      <c r="V250" s="497"/>
      <c r="W250" s="352"/>
      <c r="X250" s="352"/>
      <c r="Y250" s="352">
        <f>IF(NFI_Expiration=1,IF($A250&lt;VLOOKUP(H$5,NFI,5,0),1,0)*Table_NFI[[#This Row],[Hygiene Kit]],Table_NFI[Hygiene Kit])</f>
        <v>0</v>
      </c>
      <c r="Z250" s="352">
        <f>IF(NFI_Expiration=1,IF($A250&lt;VLOOKUP(I$5,NFI,5,0),1,0)*Table_NFI[[#This Row],[NFI Core Kit]],Table_NFI[NFI Core Kit])</f>
        <v>0</v>
      </c>
      <c r="AA250" s="352">
        <f>IF(NFI_Expiration=1,IF($A250&lt;VLOOKUP(J$5,NFI,5,0),1,0)*Table_NFI[[#This Row],[Sanitary Kit]],Table_NFI[Sanitary Kit])</f>
        <v>0</v>
      </c>
      <c r="AB250" s="352">
        <f>IF(NFI_Expiration=1,IF($A250&lt;VLOOKUP(K$5,NFI,5,0),1,0)*Table_NFI[[#This Row],[Mosquito net]],Table_NFI[Mosquito net])</f>
        <v>0</v>
      </c>
      <c r="AC250" s="352">
        <f>IF(NFI_Expiration=1,IF($A250&lt;VLOOKUP(L$5,NFI,5,0),1,0)*Table_NFI[[#This Row],[Tarpaulin]],Table_NFI[[#This Row],[Tarpaulin]])</f>
        <v>0</v>
      </c>
      <c r="AD250" s="352">
        <f>IF(NFI_Expiration=1,IF($A250&lt;VLOOKUP(M$5,NFI,5,0),1,0)*Table_NFI[[#This Row],[Blanket]],Table_NFI[[#This Row],[Blanket]])</f>
        <v>0</v>
      </c>
      <c r="AE250" s="352">
        <f>IF(NFI_Expiration=1,IF($A250&lt;VLOOKUP(N$5,NFI,5,0),1,0)*Table_NFI[[#This Row],[Kitchen Set]],Table_NFI[Kitchen Set])</f>
        <v>0</v>
      </c>
      <c r="AF250" s="352">
        <f>IF(NFI_Expiration=1,IF($A250&lt;VLOOKUP(O$5,NFI,5,0),1,0)*Table_NFI[[#This Row],[Clothes Kit]],Table_NFI[Clothes Kit])</f>
        <v>0</v>
      </c>
      <c r="AG250" s="352">
        <f>IF(NFI_Expiration=1,IF($A250&lt;VLOOKUP(P$5,NFI,5,0),1,0)*Table_NFI[[#This Row],[Plastic Bucket]],Table_NFI[Plastic Bucket])</f>
        <v>0</v>
      </c>
      <c r="AH250" s="352">
        <f>IF(NFI_Expiration=1,IF($A250&lt;VLOOKUP(Q$5,NFI,5,0),1,0)*Table_NFI[[#This Row],[Plastic Mat]],Table_NFI[Plastic Mat])*IF(Table_NFI[[#This Row],[Distribution Date]]&gt;"2014-04-01",1,2.5)</f>
        <v>0</v>
      </c>
      <c r="AI250" s="352">
        <f>IF(NFI_Expiration=1,IF($A250&lt;VLOOKUP(R$5,NFI,5,0),1,0)*Table_NFI[[#This Row],[Winter Clothes Adult]],Table_NFI[Winter Clothes Adult])</f>
        <v>0</v>
      </c>
      <c r="AJ250" s="352">
        <f>IF(NFI_Expiration=1,IF($A250&lt;VLOOKUP(S$5,NFI,5,0),1,0)*Table_NFI[[#This Row],[Winter Clothes Children]],Table_NFI[Winter Clothes Children])</f>
        <v>0</v>
      </c>
      <c r="AK250" s="352">
        <f>IF(NFI_Expiration=1,IF($A250&lt;VLOOKUP(T$5,NFI,5,0),1,0)*Table_NFI[[#This Row],[Winter Items Other]],Table_NFI[Winter Items Other])</f>
        <v>0</v>
      </c>
      <c r="AL250" s="352">
        <f>IF(NFI_Expiration=1,IF($A250&lt;VLOOKUP(M$5,NFI,5,0),1,0)*Table_NFI[[#This Row],[Winter Blanket]],Table_NFI[[#This Row],[Winter Blanket]])</f>
        <v>0</v>
      </c>
      <c r="AM250" s="352">
        <f>IF(Table_NFI[[#This Row],[Winter Clothes Adult]]+Table_NFI[[#This Row],[Winter Clothes Children]]+Table_NFI[[#This Row],[Winter Items Other]]+Table_NFI[[#This Row],[Winter Blanket]]&gt;0,1,0)</f>
        <v>0</v>
      </c>
      <c r="AN250" s="392">
        <f>IF(NFI_Expiration=1,IF($A250&lt;VLOOKUP(V$5,NFI,5,0),1,0)*Table_NFI[[#This Row],[Jerry Can]],Table_NFI[Jerry Can])</f>
        <v>0</v>
      </c>
      <c r="AO250" s="540" t="str">
        <f>IFERROR(VLOOKUP(Table_NFI[[#This Row],[Camp Name]],CL,2,0),"")</f>
        <v>MMR001CMP121</v>
      </c>
      <c r="AP250" s="535">
        <f ca="1">IF(Table_NFI[[#This Row],[Pcode]]="","",IF(OFFSET(CampList[Opening Date],MATCH(Table_NFI[[#This Row],[Pcode]],CampList[CP_Pcode],0)-1,0,1,1)&gt;=NFI_Monitor_Date,1,0))</f>
        <v>0</v>
      </c>
      <c r="AQ250" s="540" t="str">
        <f>IFERROR(VLOOKUP(Table_NFI[[#This Row],[Camp Name]],CL,3,0),"")</f>
        <v>Open</v>
      </c>
      <c r="AR250" s="352" t="str">
        <f ca="1">IF(Table_NFI[[#This Row],[Pcode]]="","",OFFSET(CampList[Priority],MATCH(Table_NFI[[#This Row],[Pcode]],CampList[CP_Pcode],0)-1,0,1,1))</f>
        <v>P2</v>
      </c>
      <c r="AS250" s="351">
        <f>IFERROR(Table_NFI[[#This Row],[Kitchen Set]]/VLOOKUP(Table_NFI[[#This Row],[Camp Name]],CL,4,0),"")</f>
        <v>0</v>
      </c>
      <c r="AT250" s="533" t="s">
        <v>1094</v>
      </c>
      <c r="AU250" s="536"/>
    </row>
    <row r="251" spans="1:47" s="537" customFormat="1" ht="14.45" customHeight="1" x14ac:dyDescent="0.25">
      <c r="A251" s="355">
        <f t="shared" si="3"/>
        <v>21.933333333333334</v>
      </c>
      <c r="B251" s="532">
        <v>41913</v>
      </c>
      <c r="C251" s="533" t="s">
        <v>453</v>
      </c>
      <c r="D251" s="538" t="s">
        <v>506</v>
      </c>
      <c r="E251" s="538" t="s">
        <v>380</v>
      </c>
      <c r="F251" s="538" t="s">
        <v>310</v>
      </c>
      <c r="G251" s="538" t="s">
        <v>318</v>
      </c>
      <c r="H251" s="350"/>
      <c r="I251" s="350"/>
      <c r="J251" s="350"/>
      <c r="K251" s="350">
        <v>240</v>
      </c>
      <c r="L251" s="350"/>
      <c r="M251" s="350"/>
      <c r="N251" s="350"/>
      <c r="O251" s="350"/>
      <c r="P251" s="352"/>
      <c r="Q251" s="352"/>
      <c r="R251" s="352"/>
      <c r="S251" s="352"/>
      <c r="T251" s="352"/>
      <c r="U251" s="352"/>
      <c r="V251" s="497"/>
      <c r="W251" s="352"/>
      <c r="X251" s="352"/>
      <c r="Y251" s="352">
        <f>IF(NFI_Expiration=1,IF($A251&lt;VLOOKUP(H$5,NFI,5,0),1,0)*Table_NFI[[#This Row],[Hygiene Kit]],Table_NFI[Hygiene Kit])</f>
        <v>0</v>
      </c>
      <c r="Z251" s="352">
        <f>IF(NFI_Expiration=1,IF($A251&lt;VLOOKUP(I$5,NFI,5,0),1,0)*Table_NFI[[#This Row],[NFI Core Kit]],Table_NFI[NFI Core Kit])</f>
        <v>0</v>
      </c>
      <c r="AA251" s="352">
        <f>IF(NFI_Expiration=1,IF($A251&lt;VLOOKUP(J$5,NFI,5,0),1,0)*Table_NFI[[#This Row],[Sanitary Kit]],Table_NFI[Sanitary Kit])</f>
        <v>0</v>
      </c>
      <c r="AB251" s="352">
        <f>IF(NFI_Expiration=1,IF($A251&lt;VLOOKUP(K$5,NFI,5,0),1,0)*Table_NFI[[#This Row],[Mosquito net]],Table_NFI[Mosquito net])</f>
        <v>0</v>
      </c>
      <c r="AC251" s="352">
        <f>IF(NFI_Expiration=1,IF($A251&lt;VLOOKUP(L$5,NFI,5,0),1,0)*Table_NFI[[#This Row],[Tarpaulin]],Table_NFI[[#This Row],[Tarpaulin]])</f>
        <v>0</v>
      </c>
      <c r="AD251" s="352">
        <f>IF(NFI_Expiration=1,IF($A251&lt;VLOOKUP(M$5,NFI,5,0),1,0)*Table_NFI[[#This Row],[Blanket]],Table_NFI[[#This Row],[Blanket]])</f>
        <v>0</v>
      </c>
      <c r="AE251" s="352">
        <f>IF(NFI_Expiration=1,IF($A251&lt;VLOOKUP(N$5,NFI,5,0),1,0)*Table_NFI[[#This Row],[Kitchen Set]],Table_NFI[Kitchen Set])</f>
        <v>0</v>
      </c>
      <c r="AF251" s="352">
        <f>IF(NFI_Expiration=1,IF($A251&lt;VLOOKUP(O$5,NFI,5,0),1,0)*Table_NFI[[#This Row],[Clothes Kit]],Table_NFI[Clothes Kit])</f>
        <v>0</v>
      </c>
      <c r="AG251" s="352">
        <f>IF(NFI_Expiration=1,IF($A251&lt;VLOOKUP(P$5,NFI,5,0),1,0)*Table_NFI[[#This Row],[Plastic Bucket]],Table_NFI[Plastic Bucket])</f>
        <v>0</v>
      </c>
      <c r="AH251" s="352">
        <f>IF(NFI_Expiration=1,IF($A251&lt;VLOOKUP(Q$5,NFI,5,0),1,0)*Table_NFI[[#This Row],[Plastic Mat]],Table_NFI[Plastic Mat])*IF(Table_NFI[[#This Row],[Distribution Date]]&gt;"2014-04-01",1,2.5)</f>
        <v>0</v>
      </c>
      <c r="AI251" s="352">
        <f>IF(NFI_Expiration=1,IF($A251&lt;VLOOKUP(R$5,NFI,5,0),1,0)*Table_NFI[[#This Row],[Winter Clothes Adult]],Table_NFI[Winter Clothes Adult])</f>
        <v>0</v>
      </c>
      <c r="AJ251" s="352">
        <f>IF(NFI_Expiration=1,IF($A251&lt;VLOOKUP(S$5,NFI,5,0),1,0)*Table_NFI[[#This Row],[Winter Clothes Children]],Table_NFI[Winter Clothes Children])</f>
        <v>0</v>
      </c>
      <c r="AK251" s="352">
        <f>IF(NFI_Expiration=1,IF($A251&lt;VLOOKUP(T$5,NFI,5,0),1,0)*Table_NFI[[#This Row],[Winter Items Other]],Table_NFI[Winter Items Other])</f>
        <v>0</v>
      </c>
      <c r="AL251" s="352">
        <f>IF(NFI_Expiration=1,IF($A251&lt;VLOOKUP(M$5,NFI,5,0),1,0)*Table_NFI[[#This Row],[Winter Blanket]],Table_NFI[[#This Row],[Winter Blanket]])</f>
        <v>0</v>
      </c>
      <c r="AM251" s="352">
        <f>IF(Table_NFI[[#This Row],[Winter Clothes Adult]]+Table_NFI[[#This Row],[Winter Clothes Children]]+Table_NFI[[#This Row],[Winter Items Other]]+Table_NFI[[#This Row],[Winter Blanket]]&gt;0,1,0)</f>
        <v>0</v>
      </c>
      <c r="AN251" s="392">
        <f>IF(NFI_Expiration=1,IF($A251&lt;VLOOKUP(V$5,NFI,5,0),1,0)*Table_NFI[[#This Row],[Jerry Can]],Table_NFI[Jerry Can])</f>
        <v>0</v>
      </c>
      <c r="AO251" s="540" t="str">
        <f>IFERROR(VLOOKUP(Table_NFI[[#This Row],[Camp Name]],CL,2,0),"")</f>
        <v>MMR001CMP032</v>
      </c>
      <c r="AP251" s="535">
        <f ca="1">IF(Table_NFI[[#This Row],[Pcode]]="","",IF(OFFSET(CampList[Opening Date],MATCH(Table_NFI[[#This Row],[Pcode]],CampList[CP_Pcode],0)-1,0,1,1)&gt;=NFI_Monitor_Date,1,0))</f>
        <v>0</v>
      </c>
      <c r="AQ251" s="540" t="str">
        <f>IFERROR(VLOOKUP(Table_NFI[[#This Row],[Camp Name]],CL,3,0),"")</f>
        <v>Open</v>
      </c>
      <c r="AR251" s="352" t="str">
        <f ca="1">IF(Table_NFI[[#This Row],[Pcode]]="","",OFFSET(CampList[Priority],MATCH(Table_NFI[[#This Row],[Pcode]],CampList[CP_Pcode],0)-1,0,1,1))</f>
        <v>P4</v>
      </c>
      <c r="AS251" s="351">
        <f>IFERROR(Table_NFI[[#This Row],[Kitchen Set]]/VLOOKUP(Table_NFI[[#This Row],[Camp Name]],CL,4,0),"")</f>
        <v>0</v>
      </c>
      <c r="AT251" s="538"/>
      <c r="AU251" s="541"/>
    </row>
    <row r="252" spans="1:47" s="537" customFormat="1" ht="14.45" customHeight="1" x14ac:dyDescent="0.25">
      <c r="A252" s="355">
        <f t="shared" si="3"/>
        <v>21.933333333333334</v>
      </c>
      <c r="B252" s="532">
        <v>41913</v>
      </c>
      <c r="C252" s="533" t="s">
        <v>453</v>
      </c>
      <c r="D252" s="538" t="s">
        <v>506</v>
      </c>
      <c r="E252" s="538" t="s">
        <v>380</v>
      </c>
      <c r="F252" s="538" t="s">
        <v>310</v>
      </c>
      <c r="G252" s="538" t="s">
        <v>338</v>
      </c>
      <c r="H252" s="350"/>
      <c r="I252" s="350"/>
      <c r="J252" s="350"/>
      <c r="K252" s="350">
        <v>46</v>
      </c>
      <c r="L252" s="350"/>
      <c r="M252" s="350"/>
      <c r="N252" s="350"/>
      <c r="O252" s="350"/>
      <c r="P252" s="352"/>
      <c r="Q252" s="352"/>
      <c r="R252" s="352"/>
      <c r="S252" s="352"/>
      <c r="T252" s="352"/>
      <c r="U252" s="352"/>
      <c r="V252" s="497"/>
      <c r="W252" s="352"/>
      <c r="X252" s="352"/>
      <c r="Y252" s="352">
        <f>IF(NFI_Expiration=1,IF($A252&lt;VLOOKUP(H$5,NFI,5,0),1,0)*Table_NFI[[#This Row],[Hygiene Kit]],Table_NFI[Hygiene Kit])</f>
        <v>0</v>
      </c>
      <c r="Z252" s="352">
        <f>IF(NFI_Expiration=1,IF($A252&lt;VLOOKUP(I$5,NFI,5,0),1,0)*Table_NFI[[#This Row],[NFI Core Kit]],Table_NFI[NFI Core Kit])</f>
        <v>0</v>
      </c>
      <c r="AA252" s="352">
        <f>IF(NFI_Expiration=1,IF($A252&lt;VLOOKUP(J$5,NFI,5,0),1,0)*Table_NFI[[#This Row],[Sanitary Kit]],Table_NFI[Sanitary Kit])</f>
        <v>0</v>
      </c>
      <c r="AB252" s="352">
        <f>IF(NFI_Expiration=1,IF($A252&lt;VLOOKUP(K$5,NFI,5,0),1,0)*Table_NFI[[#This Row],[Mosquito net]],Table_NFI[Mosquito net])</f>
        <v>0</v>
      </c>
      <c r="AC252" s="352">
        <f>IF(NFI_Expiration=1,IF($A252&lt;VLOOKUP(L$5,NFI,5,0),1,0)*Table_NFI[[#This Row],[Tarpaulin]],Table_NFI[[#This Row],[Tarpaulin]])</f>
        <v>0</v>
      </c>
      <c r="AD252" s="352">
        <f>IF(NFI_Expiration=1,IF($A252&lt;VLOOKUP(M$5,NFI,5,0),1,0)*Table_NFI[[#This Row],[Blanket]],Table_NFI[[#This Row],[Blanket]])</f>
        <v>0</v>
      </c>
      <c r="AE252" s="352">
        <f>IF(NFI_Expiration=1,IF($A252&lt;VLOOKUP(N$5,NFI,5,0),1,0)*Table_NFI[[#This Row],[Kitchen Set]],Table_NFI[Kitchen Set])</f>
        <v>0</v>
      </c>
      <c r="AF252" s="352">
        <f>IF(NFI_Expiration=1,IF($A252&lt;VLOOKUP(O$5,NFI,5,0),1,0)*Table_NFI[[#This Row],[Clothes Kit]],Table_NFI[Clothes Kit])</f>
        <v>0</v>
      </c>
      <c r="AG252" s="352">
        <f>IF(NFI_Expiration=1,IF($A252&lt;VLOOKUP(P$5,NFI,5,0),1,0)*Table_NFI[[#This Row],[Plastic Bucket]],Table_NFI[Plastic Bucket])</f>
        <v>0</v>
      </c>
      <c r="AH252" s="352">
        <f>IF(NFI_Expiration=1,IF($A252&lt;VLOOKUP(Q$5,NFI,5,0),1,0)*Table_NFI[[#This Row],[Plastic Mat]],Table_NFI[Plastic Mat])*IF(Table_NFI[[#This Row],[Distribution Date]]&gt;"2014-04-01",1,2.5)</f>
        <v>0</v>
      </c>
      <c r="AI252" s="352">
        <f>IF(NFI_Expiration=1,IF($A252&lt;VLOOKUP(R$5,NFI,5,0),1,0)*Table_NFI[[#This Row],[Winter Clothes Adult]],Table_NFI[Winter Clothes Adult])</f>
        <v>0</v>
      </c>
      <c r="AJ252" s="352">
        <f>IF(NFI_Expiration=1,IF($A252&lt;VLOOKUP(S$5,NFI,5,0),1,0)*Table_NFI[[#This Row],[Winter Clothes Children]],Table_NFI[Winter Clothes Children])</f>
        <v>0</v>
      </c>
      <c r="AK252" s="352">
        <f>IF(NFI_Expiration=1,IF($A252&lt;VLOOKUP(T$5,NFI,5,0),1,0)*Table_NFI[[#This Row],[Winter Items Other]],Table_NFI[Winter Items Other])</f>
        <v>0</v>
      </c>
      <c r="AL252" s="352">
        <f>IF(NFI_Expiration=1,IF($A252&lt;VLOOKUP(M$5,NFI,5,0),1,0)*Table_NFI[[#This Row],[Winter Blanket]],Table_NFI[[#This Row],[Winter Blanket]])</f>
        <v>0</v>
      </c>
      <c r="AM252" s="352">
        <f>IF(Table_NFI[[#This Row],[Winter Clothes Adult]]+Table_NFI[[#This Row],[Winter Clothes Children]]+Table_NFI[[#This Row],[Winter Items Other]]+Table_NFI[[#This Row],[Winter Blanket]]&gt;0,1,0)</f>
        <v>0</v>
      </c>
      <c r="AN252" s="392">
        <f>IF(NFI_Expiration=1,IF($A252&lt;VLOOKUP(V$5,NFI,5,0),1,0)*Table_NFI[[#This Row],[Jerry Can]],Table_NFI[Jerry Can])</f>
        <v>0</v>
      </c>
      <c r="AO252" s="540" t="str">
        <f>IFERROR(VLOOKUP(Table_NFI[[#This Row],[Camp Name]],CL,2,0),"")</f>
        <v>MMR001CMP030</v>
      </c>
      <c r="AP252" s="535">
        <f ca="1">IF(Table_NFI[[#This Row],[Pcode]]="","",IF(OFFSET(CampList[Opening Date],MATCH(Table_NFI[[#This Row],[Pcode]],CampList[CP_Pcode],0)-1,0,1,1)&gt;=NFI_Monitor_Date,1,0))</f>
        <v>0</v>
      </c>
      <c r="AQ252" s="540" t="str">
        <f>IFERROR(VLOOKUP(Table_NFI[[#This Row],[Camp Name]],CL,3,0),"")</f>
        <v>Open</v>
      </c>
      <c r="AR252" s="352" t="str">
        <f ca="1">IF(Table_NFI[[#This Row],[Pcode]]="","",OFFSET(CampList[Priority],MATCH(Table_NFI[[#This Row],[Pcode]],CampList[CP_Pcode],0)-1,0,1,1))</f>
        <v>P4</v>
      </c>
      <c r="AS252" s="351">
        <f>IFERROR(Table_NFI[[#This Row],[Kitchen Set]]/VLOOKUP(Table_NFI[[#This Row],[Camp Name]],CL,4,0),"")</f>
        <v>0</v>
      </c>
      <c r="AT252" s="538"/>
      <c r="AU252" s="541"/>
    </row>
    <row r="253" spans="1:47" s="537" customFormat="1" ht="14.45" customHeight="1" x14ac:dyDescent="0.25">
      <c r="A253" s="355">
        <f t="shared" si="3"/>
        <v>21.933333333333334</v>
      </c>
      <c r="B253" s="532">
        <v>41913</v>
      </c>
      <c r="C253" s="533" t="s">
        <v>453</v>
      </c>
      <c r="D253" s="538" t="s">
        <v>506</v>
      </c>
      <c r="E253" s="538" t="s">
        <v>380</v>
      </c>
      <c r="F253" s="538" t="s">
        <v>310</v>
      </c>
      <c r="G253" s="538" t="s">
        <v>351</v>
      </c>
      <c r="H253" s="350"/>
      <c r="I253" s="350"/>
      <c r="J253" s="350"/>
      <c r="K253" s="350">
        <v>204</v>
      </c>
      <c r="L253" s="350"/>
      <c r="M253" s="350"/>
      <c r="N253" s="350"/>
      <c r="O253" s="350"/>
      <c r="P253" s="352"/>
      <c r="Q253" s="352"/>
      <c r="R253" s="352"/>
      <c r="S253" s="352"/>
      <c r="T253" s="352"/>
      <c r="U253" s="352"/>
      <c r="V253" s="497"/>
      <c r="W253" s="352"/>
      <c r="X253" s="352"/>
      <c r="Y253" s="352">
        <f>IF(NFI_Expiration=1,IF($A253&lt;VLOOKUP(H$5,NFI,5,0),1,0)*Table_NFI[[#This Row],[Hygiene Kit]],Table_NFI[Hygiene Kit])</f>
        <v>0</v>
      </c>
      <c r="Z253" s="352">
        <f>IF(NFI_Expiration=1,IF($A253&lt;VLOOKUP(I$5,NFI,5,0),1,0)*Table_NFI[[#This Row],[NFI Core Kit]],Table_NFI[NFI Core Kit])</f>
        <v>0</v>
      </c>
      <c r="AA253" s="352">
        <f>IF(NFI_Expiration=1,IF($A253&lt;VLOOKUP(J$5,NFI,5,0),1,0)*Table_NFI[[#This Row],[Sanitary Kit]],Table_NFI[Sanitary Kit])</f>
        <v>0</v>
      </c>
      <c r="AB253" s="352">
        <f>IF(NFI_Expiration=1,IF($A253&lt;VLOOKUP(K$5,NFI,5,0),1,0)*Table_NFI[[#This Row],[Mosquito net]],Table_NFI[Mosquito net])</f>
        <v>0</v>
      </c>
      <c r="AC253" s="352">
        <f>IF(NFI_Expiration=1,IF($A253&lt;VLOOKUP(L$5,NFI,5,0),1,0)*Table_NFI[[#This Row],[Tarpaulin]],Table_NFI[[#This Row],[Tarpaulin]])</f>
        <v>0</v>
      </c>
      <c r="AD253" s="352">
        <f>IF(NFI_Expiration=1,IF($A253&lt;VLOOKUP(M$5,NFI,5,0),1,0)*Table_NFI[[#This Row],[Blanket]],Table_NFI[[#This Row],[Blanket]])</f>
        <v>0</v>
      </c>
      <c r="AE253" s="352">
        <f>IF(NFI_Expiration=1,IF($A253&lt;VLOOKUP(N$5,NFI,5,0),1,0)*Table_NFI[[#This Row],[Kitchen Set]],Table_NFI[Kitchen Set])</f>
        <v>0</v>
      </c>
      <c r="AF253" s="352">
        <f>IF(NFI_Expiration=1,IF($A253&lt;VLOOKUP(O$5,NFI,5,0),1,0)*Table_NFI[[#This Row],[Clothes Kit]],Table_NFI[Clothes Kit])</f>
        <v>0</v>
      </c>
      <c r="AG253" s="352">
        <f>IF(NFI_Expiration=1,IF($A253&lt;VLOOKUP(P$5,NFI,5,0),1,0)*Table_NFI[[#This Row],[Plastic Bucket]],Table_NFI[Plastic Bucket])</f>
        <v>0</v>
      </c>
      <c r="AH253" s="352">
        <f>IF(NFI_Expiration=1,IF($A253&lt;VLOOKUP(Q$5,NFI,5,0),1,0)*Table_NFI[[#This Row],[Plastic Mat]],Table_NFI[Plastic Mat])*IF(Table_NFI[[#This Row],[Distribution Date]]&gt;"2014-04-01",1,2.5)</f>
        <v>0</v>
      </c>
      <c r="AI253" s="352">
        <f>IF(NFI_Expiration=1,IF($A253&lt;VLOOKUP(R$5,NFI,5,0),1,0)*Table_NFI[[#This Row],[Winter Clothes Adult]],Table_NFI[Winter Clothes Adult])</f>
        <v>0</v>
      </c>
      <c r="AJ253" s="352">
        <f>IF(NFI_Expiration=1,IF($A253&lt;VLOOKUP(S$5,NFI,5,0),1,0)*Table_NFI[[#This Row],[Winter Clothes Children]],Table_NFI[Winter Clothes Children])</f>
        <v>0</v>
      </c>
      <c r="AK253" s="352">
        <f>IF(NFI_Expiration=1,IF($A253&lt;VLOOKUP(T$5,NFI,5,0),1,0)*Table_NFI[[#This Row],[Winter Items Other]],Table_NFI[Winter Items Other])</f>
        <v>0</v>
      </c>
      <c r="AL253" s="352">
        <f>IF(NFI_Expiration=1,IF($A253&lt;VLOOKUP(M$5,NFI,5,0),1,0)*Table_NFI[[#This Row],[Winter Blanket]],Table_NFI[[#This Row],[Winter Blanket]])</f>
        <v>0</v>
      </c>
      <c r="AM253" s="352">
        <f>IF(Table_NFI[[#This Row],[Winter Clothes Adult]]+Table_NFI[[#This Row],[Winter Clothes Children]]+Table_NFI[[#This Row],[Winter Items Other]]+Table_NFI[[#This Row],[Winter Blanket]]&gt;0,1,0)</f>
        <v>0</v>
      </c>
      <c r="AN253" s="392">
        <f>IF(NFI_Expiration=1,IF($A253&lt;VLOOKUP(V$5,NFI,5,0),1,0)*Table_NFI[[#This Row],[Jerry Can]],Table_NFI[Jerry Can])</f>
        <v>0</v>
      </c>
      <c r="AO253" s="540" t="str">
        <f>IFERROR(VLOOKUP(Table_NFI[[#This Row],[Camp Name]],CL,2,0),"")</f>
        <v>MMR001CMP026</v>
      </c>
      <c r="AP253" s="535">
        <f ca="1">IF(Table_NFI[[#This Row],[Pcode]]="","",IF(OFFSET(CampList[Opening Date],MATCH(Table_NFI[[#This Row],[Pcode]],CampList[CP_Pcode],0)-1,0,1,1)&gt;=NFI_Monitor_Date,1,0))</f>
        <v>0</v>
      </c>
      <c r="AQ253" s="540" t="str">
        <f>IFERROR(VLOOKUP(Table_NFI[[#This Row],[Camp Name]],CL,3,0),"")</f>
        <v>Open</v>
      </c>
      <c r="AR253" s="352" t="str">
        <f ca="1">IF(Table_NFI[[#This Row],[Pcode]]="","",OFFSET(CampList[Priority],MATCH(Table_NFI[[#This Row],[Pcode]],CampList[CP_Pcode],0)-1,0,1,1))</f>
        <v>P4</v>
      </c>
      <c r="AS253" s="351">
        <f>IFERROR(Table_NFI[[#This Row],[Kitchen Set]]/VLOOKUP(Table_NFI[[#This Row],[Camp Name]],CL,4,0),"")</f>
        <v>0</v>
      </c>
      <c r="AT253" s="538"/>
      <c r="AU253" s="541"/>
    </row>
    <row r="254" spans="1:47" s="537" customFormat="1" ht="14.45" customHeight="1" x14ac:dyDescent="0.25">
      <c r="A254" s="355">
        <f t="shared" si="3"/>
        <v>21.933333333333334</v>
      </c>
      <c r="B254" s="532">
        <v>41913</v>
      </c>
      <c r="C254" s="533" t="s">
        <v>453</v>
      </c>
      <c r="D254" s="538" t="s">
        <v>506</v>
      </c>
      <c r="E254" s="538" t="s">
        <v>380</v>
      </c>
      <c r="F254" s="538" t="s">
        <v>528</v>
      </c>
      <c r="G254" s="538" t="s">
        <v>118</v>
      </c>
      <c r="H254" s="350"/>
      <c r="I254" s="350"/>
      <c r="J254" s="350"/>
      <c r="K254" s="350">
        <v>24</v>
      </c>
      <c r="L254" s="350"/>
      <c r="M254" s="350"/>
      <c r="N254" s="350"/>
      <c r="O254" s="350"/>
      <c r="P254" s="352"/>
      <c r="Q254" s="352"/>
      <c r="R254" s="352"/>
      <c r="S254" s="352"/>
      <c r="T254" s="352"/>
      <c r="U254" s="352"/>
      <c r="V254" s="497"/>
      <c r="W254" s="352"/>
      <c r="X254" s="352"/>
      <c r="Y254" s="352">
        <f>IF(NFI_Expiration=1,IF($A254&lt;VLOOKUP(H$5,NFI,5,0),1,0)*Table_NFI[[#This Row],[Hygiene Kit]],Table_NFI[Hygiene Kit])</f>
        <v>0</v>
      </c>
      <c r="Z254" s="352">
        <f>IF(NFI_Expiration=1,IF($A254&lt;VLOOKUP(I$5,NFI,5,0),1,0)*Table_NFI[[#This Row],[NFI Core Kit]],Table_NFI[NFI Core Kit])</f>
        <v>0</v>
      </c>
      <c r="AA254" s="352">
        <f>IF(NFI_Expiration=1,IF($A254&lt;VLOOKUP(J$5,NFI,5,0),1,0)*Table_NFI[[#This Row],[Sanitary Kit]],Table_NFI[Sanitary Kit])</f>
        <v>0</v>
      </c>
      <c r="AB254" s="352">
        <f>IF(NFI_Expiration=1,IF($A254&lt;VLOOKUP(K$5,NFI,5,0),1,0)*Table_NFI[[#This Row],[Mosquito net]],Table_NFI[Mosquito net])</f>
        <v>0</v>
      </c>
      <c r="AC254" s="352">
        <f>IF(NFI_Expiration=1,IF($A254&lt;VLOOKUP(L$5,NFI,5,0),1,0)*Table_NFI[[#This Row],[Tarpaulin]],Table_NFI[[#This Row],[Tarpaulin]])</f>
        <v>0</v>
      </c>
      <c r="AD254" s="352">
        <f>IF(NFI_Expiration=1,IF($A254&lt;VLOOKUP(M$5,NFI,5,0),1,0)*Table_NFI[[#This Row],[Blanket]],Table_NFI[[#This Row],[Blanket]])</f>
        <v>0</v>
      </c>
      <c r="AE254" s="352">
        <f>IF(NFI_Expiration=1,IF($A254&lt;VLOOKUP(N$5,NFI,5,0),1,0)*Table_NFI[[#This Row],[Kitchen Set]],Table_NFI[Kitchen Set])</f>
        <v>0</v>
      </c>
      <c r="AF254" s="352">
        <f>IF(NFI_Expiration=1,IF($A254&lt;VLOOKUP(O$5,NFI,5,0),1,0)*Table_NFI[[#This Row],[Clothes Kit]],Table_NFI[Clothes Kit])</f>
        <v>0</v>
      </c>
      <c r="AG254" s="352">
        <f>IF(NFI_Expiration=1,IF($A254&lt;VLOOKUP(P$5,NFI,5,0),1,0)*Table_NFI[[#This Row],[Plastic Bucket]],Table_NFI[Plastic Bucket])</f>
        <v>0</v>
      </c>
      <c r="AH254" s="352">
        <f>IF(NFI_Expiration=1,IF($A254&lt;VLOOKUP(Q$5,NFI,5,0),1,0)*Table_NFI[[#This Row],[Plastic Mat]],Table_NFI[Plastic Mat])*IF(Table_NFI[[#This Row],[Distribution Date]]&gt;"2014-04-01",1,2.5)</f>
        <v>0</v>
      </c>
      <c r="AI254" s="352">
        <f>IF(NFI_Expiration=1,IF($A254&lt;VLOOKUP(R$5,NFI,5,0),1,0)*Table_NFI[[#This Row],[Winter Clothes Adult]],Table_NFI[Winter Clothes Adult])</f>
        <v>0</v>
      </c>
      <c r="AJ254" s="352">
        <f>IF(NFI_Expiration=1,IF($A254&lt;VLOOKUP(S$5,NFI,5,0),1,0)*Table_NFI[[#This Row],[Winter Clothes Children]],Table_NFI[Winter Clothes Children])</f>
        <v>0</v>
      </c>
      <c r="AK254" s="352">
        <f>IF(NFI_Expiration=1,IF($A254&lt;VLOOKUP(T$5,NFI,5,0),1,0)*Table_NFI[[#This Row],[Winter Items Other]],Table_NFI[Winter Items Other])</f>
        <v>0</v>
      </c>
      <c r="AL254" s="352">
        <f>IF(NFI_Expiration=1,IF($A254&lt;VLOOKUP(M$5,NFI,5,0),1,0)*Table_NFI[[#This Row],[Winter Blanket]],Table_NFI[[#This Row],[Winter Blanket]])</f>
        <v>0</v>
      </c>
      <c r="AM254" s="352">
        <f>IF(Table_NFI[[#This Row],[Winter Clothes Adult]]+Table_NFI[[#This Row],[Winter Clothes Children]]+Table_NFI[[#This Row],[Winter Items Other]]+Table_NFI[[#This Row],[Winter Blanket]]&gt;0,1,0)</f>
        <v>0</v>
      </c>
      <c r="AN254" s="392">
        <f>IF(NFI_Expiration=1,IF($A254&lt;VLOOKUP(V$5,NFI,5,0),1,0)*Table_NFI[[#This Row],[Jerry Can]],Table_NFI[Jerry Can])</f>
        <v>0</v>
      </c>
      <c r="AO254" s="540" t="str">
        <f>IFERROR(VLOOKUP(Table_NFI[[#This Row],[Camp Name]],CL,2,0),"")</f>
        <v>MMR001CMP182</v>
      </c>
      <c r="AP254" s="535">
        <f ca="1">IF(Table_NFI[[#This Row],[Pcode]]="","",IF(OFFSET(CampList[Opening Date],MATCH(Table_NFI[[#This Row],[Pcode]],CampList[CP_Pcode],0)-1,0,1,1)&gt;=NFI_Monitor_Date,1,0))</f>
        <v>0</v>
      </c>
      <c r="AQ254" s="540" t="str">
        <f>IFERROR(VLOOKUP(Table_NFI[[#This Row],[Camp Name]],CL,3,0),"")</f>
        <v>Open</v>
      </c>
      <c r="AR254" s="352" t="str">
        <f ca="1">IF(Table_NFI[[#This Row],[Pcode]]="","",OFFSET(CampList[Priority],MATCH(Table_NFI[[#This Row],[Pcode]],CampList[CP_Pcode],0)-1,0,1,1))</f>
        <v>P4</v>
      </c>
      <c r="AS254" s="351">
        <f>IFERROR(Table_NFI[[#This Row],[Kitchen Set]]/VLOOKUP(Table_NFI[[#This Row],[Camp Name]],CL,4,0),"")</f>
        <v>0</v>
      </c>
      <c r="AT254" s="538"/>
      <c r="AU254" s="541"/>
    </row>
    <row r="255" spans="1:47" s="537" customFormat="1" ht="14.45" customHeight="1" x14ac:dyDescent="0.25">
      <c r="A255" s="355">
        <f t="shared" si="3"/>
        <v>21.933333333333334</v>
      </c>
      <c r="B255" s="532">
        <v>41913</v>
      </c>
      <c r="C255" s="533" t="s">
        <v>453</v>
      </c>
      <c r="D255" s="538" t="s">
        <v>507</v>
      </c>
      <c r="E255" s="538" t="s">
        <v>380</v>
      </c>
      <c r="F255" s="538" t="s">
        <v>27</v>
      </c>
      <c r="G255" s="538" t="s">
        <v>1021</v>
      </c>
      <c r="H255" s="350"/>
      <c r="I255" s="350"/>
      <c r="J255" s="350"/>
      <c r="K255" s="350">
        <v>56</v>
      </c>
      <c r="L255" s="350"/>
      <c r="M255" s="350"/>
      <c r="N255" s="350"/>
      <c r="O255" s="350"/>
      <c r="P255" s="352"/>
      <c r="Q255" s="352"/>
      <c r="R255" s="352"/>
      <c r="S255" s="352"/>
      <c r="T255" s="352"/>
      <c r="U255" s="352">
        <v>56</v>
      </c>
      <c r="V255" s="497"/>
      <c r="W255" s="352"/>
      <c r="X255" s="352"/>
      <c r="Y255" s="352">
        <f>IF(NFI_Expiration=1,IF($A255&lt;VLOOKUP(H$5,NFI,5,0),1,0)*Table_NFI[[#This Row],[Hygiene Kit]],Table_NFI[Hygiene Kit])</f>
        <v>0</v>
      </c>
      <c r="Z255" s="352">
        <f>IF(NFI_Expiration=1,IF($A255&lt;VLOOKUP(I$5,NFI,5,0),1,0)*Table_NFI[[#This Row],[NFI Core Kit]],Table_NFI[NFI Core Kit])</f>
        <v>0</v>
      </c>
      <c r="AA255" s="352">
        <f>IF(NFI_Expiration=1,IF($A255&lt;VLOOKUP(J$5,NFI,5,0),1,0)*Table_NFI[[#This Row],[Sanitary Kit]],Table_NFI[Sanitary Kit])</f>
        <v>0</v>
      </c>
      <c r="AB255" s="352">
        <f>IF(NFI_Expiration=1,IF($A255&lt;VLOOKUP(K$5,NFI,5,0),1,0)*Table_NFI[[#This Row],[Mosquito net]],Table_NFI[Mosquito net])</f>
        <v>0</v>
      </c>
      <c r="AC255" s="352">
        <f>IF(NFI_Expiration=1,IF($A255&lt;VLOOKUP(L$5,NFI,5,0),1,0)*Table_NFI[[#This Row],[Tarpaulin]],Table_NFI[[#This Row],[Tarpaulin]])</f>
        <v>0</v>
      </c>
      <c r="AD255" s="352">
        <f>IF(NFI_Expiration=1,IF($A255&lt;VLOOKUP(M$5,NFI,5,0),1,0)*Table_NFI[[#This Row],[Blanket]],Table_NFI[[#This Row],[Blanket]])</f>
        <v>0</v>
      </c>
      <c r="AE255" s="352">
        <f>IF(NFI_Expiration=1,IF($A255&lt;VLOOKUP(N$5,NFI,5,0),1,0)*Table_NFI[[#This Row],[Kitchen Set]],Table_NFI[Kitchen Set])</f>
        <v>0</v>
      </c>
      <c r="AF255" s="352">
        <f>IF(NFI_Expiration=1,IF($A255&lt;VLOOKUP(O$5,NFI,5,0),1,0)*Table_NFI[[#This Row],[Clothes Kit]],Table_NFI[Clothes Kit])</f>
        <v>0</v>
      </c>
      <c r="AG255" s="352">
        <f>IF(NFI_Expiration=1,IF($A255&lt;VLOOKUP(P$5,NFI,5,0),1,0)*Table_NFI[[#This Row],[Plastic Bucket]],Table_NFI[Plastic Bucket])</f>
        <v>0</v>
      </c>
      <c r="AH255" s="352">
        <f>IF(NFI_Expiration=1,IF($A255&lt;VLOOKUP(Q$5,NFI,5,0),1,0)*Table_NFI[[#This Row],[Plastic Mat]],Table_NFI[Plastic Mat])*IF(Table_NFI[[#This Row],[Distribution Date]]&gt;"2014-04-01",1,2.5)</f>
        <v>0</v>
      </c>
      <c r="AI255" s="352">
        <f>IF(NFI_Expiration=1,IF($A255&lt;VLOOKUP(R$5,NFI,5,0),1,0)*Table_NFI[[#This Row],[Winter Clothes Adult]],Table_NFI[Winter Clothes Adult])</f>
        <v>0</v>
      </c>
      <c r="AJ255" s="352">
        <f>IF(NFI_Expiration=1,IF($A255&lt;VLOOKUP(S$5,NFI,5,0),1,0)*Table_NFI[[#This Row],[Winter Clothes Children]],Table_NFI[Winter Clothes Children])</f>
        <v>0</v>
      </c>
      <c r="AK255" s="352">
        <f>IF(NFI_Expiration=1,IF($A255&lt;VLOOKUP(T$5,NFI,5,0),1,0)*Table_NFI[[#This Row],[Winter Items Other]],Table_NFI[Winter Items Other])</f>
        <v>0</v>
      </c>
      <c r="AL255" s="352">
        <f>IF(NFI_Expiration=1,IF($A255&lt;VLOOKUP(M$5,NFI,5,0),1,0)*Table_NFI[[#This Row],[Winter Blanket]],Table_NFI[[#This Row],[Winter Blanket]])</f>
        <v>0</v>
      </c>
      <c r="AM255" s="352">
        <f>IF(Table_NFI[[#This Row],[Winter Clothes Adult]]+Table_NFI[[#This Row],[Winter Clothes Children]]+Table_NFI[[#This Row],[Winter Items Other]]+Table_NFI[[#This Row],[Winter Blanket]]&gt;0,1,0)</f>
        <v>1</v>
      </c>
      <c r="AN255" s="392">
        <f>IF(NFI_Expiration=1,IF($A255&lt;VLOOKUP(V$5,NFI,5,0),1,0)*Table_NFI[[#This Row],[Jerry Can]],Table_NFI[Jerry Can])</f>
        <v>0</v>
      </c>
      <c r="AO255" s="540" t="str">
        <f>IFERROR(VLOOKUP(Table_NFI[[#This Row],[Camp Name]],CL,2,0),"")</f>
        <v>MMR001CMP225</v>
      </c>
      <c r="AP255" s="535">
        <f ca="1">IF(Table_NFI[[#This Row],[Pcode]]="","",IF(OFFSET(CampList[Opening Date],MATCH(Table_NFI[[#This Row],[Pcode]],CampList[CP_Pcode],0)-1,0,1,1)&gt;=NFI_Monitor_Date,1,0))</f>
        <v>0</v>
      </c>
      <c r="AQ255" s="540" t="str">
        <f>IFERROR(VLOOKUP(Table_NFI[[#This Row],[Camp Name]],CL,3,0),"")</f>
        <v>Open</v>
      </c>
      <c r="AR255" s="352" t="str">
        <f ca="1">IF(Table_NFI[[#This Row],[Pcode]]="","",OFFSET(CampList[Priority],MATCH(Table_NFI[[#This Row],[Pcode]],CampList[CP_Pcode],0)-1,0,1,1))</f>
        <v>P1</v>
      </c>
      <c r="AS255" s="351">
        <f>IFERROR(Table_NFI[[#This Row],[Kitchen Set]]/VLOOKUP(Table_NFI[[#This Row],[Camp Name]],CL,4,0),"")</f>
        <v>0</v>
      </c>
      <c r="AT255" s="538"/>
      <c r="AU255" s="541"/>
    </row>
    <row r="256" spans="1:47" s="537" customFormat="1" ht="14.45" customHeight="1" x14ac:dyDescent="0.25">
      <c r="A256" s="355">
        <f t="shared" si="3"/>
        <v>21.933333333333334</v>
      </c>
      <c r="B256" s="532">
        <v>41913</v>
      </c>
      <c r="C256" s="533" t="s">
        <v>453</v>
      </c>
      <c r="D256" s="538" t="s">
        <v>506</v>
      </c>
      <c r="E256" s="538" t="s">
        <v>380</v>
      </c>
      <c r="F256" s="538" t="s">
        <v>237</v>
      </c>
      <c r="G256" s="538" t="s">
        <v>279</v>
      </c>
      <c r="H256" s="350"/>
      <c r="I256" s="350"/>
      <c r="J256" s="350"/>
      <c r="K256" s="350">
        <v>30</v>
      </c>
      <c r="L256" s="350"/>
      <c r="M256" s="350"/>
      <c r="N256" s="350"/>
      <c r="O256" s="350"/>
      <c r="P256" s="352"/>
      <c r="Q256" s="352"/>
      <c r="R256" s="352"/>
      <c r="S256" s="352"/>
      <c r="T256" s="352"/>
      <c r="U256" s="352"/>
      <c r="V256" s="497"/>
      <c r="W256" s="352"/>
      <c r="X256" s="352"/>
      <c r="Y256" s="352">
        <f>IF(NFI_Expiration=1,IF($A256&lt;VLOOKUP(H$5,NFI,5,0),1,0)*Table_NFI[[#This Row],[Hygiene Kit]],Table_NFI[Hygiene Kit])</f>
        <v>0</v>
      </c>
      <c r="Z256" s="352">
        <f>IF(NFI_Expiration=1,IF($A256&lt;VLOOKUP(I$5,NFI,5,0),1,0)*Table_NFI[[#This Row],[NFI Core Kit]],Table_NFI[NFI Core Kit])</f>
        <v>0</v>
      </c>
      <c r="AA256" s="352">
        <f>IF(NFI_Expiration=1,IF($A256&lt;VLOOKUP(J$5,NFI,5,0),1,0)*Table_NFI[[#This Row],[Sanitary Kit]],Table_NFI[Sanitary Kit])</f>
        <v>0</v>
      </c>
      <c r="AB256" s="352">
        <f>IF(NFI_Expiration=1,IF($A256&lt;VLOOKUP(K$5,NFI,5,0),1,0)*Table_NFI[[#This Row],[Mosquito net]],Table_NFI[Mosquito net])</f>
        <v>0</v>
      </c>
      <c r="AC256" s="352">
        <f>IF(NFI_Expiration=1,IF($A256&lt;VLOOKUP(L$5,NFI,5,0),1,0)*Table_NFI[[#This Row],[Tarpaulin]],Table_NFI[[#This Row],[Tarpaulin]])</f>
        <v>0</v>
      </c>
      <c r="AD256" s="352">
        <f>IF(NFI_Expiration=1,IF($A256&lt;VLOOKUP(M$5,NFI,5,0),1,0)*Table_NFI[[#This Row],[Blanket]],Table_NFI[[#This Row],[Blanket]])</f>
        <v>0</v>
      </c>
      <c r="AE256" s="352">
        <f>IF(NFI_Expiration=1,IF($A256&lt;VLOOKUP(N$5,NFI,5,0),1,0)*Table_NFI[[#This Row],[Kitchen Set]],Table_NFI[Kitchen Set])</f>
        <v>0</v>
      </c>
      <c r="AF256" s="352">
        <f>IF(NFI_Expiration=1,IF($A256&lt;VLOOKUP(O$5,NFI,5,0),1,0)*Table_NFI[[#This Row],[Clothes Kit]],Table_NFI[Clothes Kit])</f>
        <v>0</v>
      </c>
      <c r="AG256" s="352">
        <f>IF(NFI_Expiration=1,IF($A256&lt;VLOOKUP(P$5,NFI,5,0),1,0)*Table_NFI[[#This Row],[Plastic Bucket]],Table_NFI[Plastic Bucket])</f>
        <v>0</v>
      </c>
      <c r="AH256" s="352">
        <f>IF(NFI_Expiration=1,IF($A256&lt;VLOOKUP(Q$5,NFI,5,0),1,0)*Table_NFI[[#This Row],[Plastic Mat]],Table_NFI[Plastic Mat])*IF(Table_NFI[[#This Row],[Distribution Date]]&gt;"2014-04-01",1,2.5)</f>
        <v>0</v>
      </c>
      <c r="AI256" s="352">
        <f>IF(NFI_Expiration=1,IF($A256&lt;VLOOKUP(R$5,NFI,5,0),1,0)*Table_NFI[[#This Row],[Winter Clothes Adult]],Table_NFI[Winter Clothes Adult])</f>
        <v>0</v>
      </c>
      <c r="AJ256" s="352">
        <f>IF(NFI_Expiration=1,IF($A256&lt;VLOOKUP(S$5,NFI,5,0),1,0)*Table_NFI[[#This Row],[Winter Clothes Children]],Table_NFI[Winter Clothes Children])</f>
        <v>0</v>
      </c>
      <c r="AK256" s="352">
        <f>IF(NFI_Expiration=1,IF($A256&lt;VLOOKUP(T$5,NFI,5,0),1,0)*Table_NFI[[#This Row],[Winter Items Other]],Table_NFI[Winter Items Other])</f>
        <v>0</v>
      </c>
      <c r="AL256" s="352">
        <f>IF(NFI_Expiration=1,IF($A256&lt;VLOOKUP(M$5,NFI,5,0),1,0)*Table_NFI[[#This Row],[Winter Blanket]],Table_NFI[[#This Row],[Winter Blanket]])</f>
        <v>0</v>
      </c>
      <c r="AM256" s="352">
        <f>IF(Table_NFI[[#This Row],[Winter Clothes Adult]]+Table_NFI[[#This Row],[Winter Clothes Children]]+Table_NFI[[#This Row],[Winter Items Other]]+Table_NFI[[#This Row],[Winter Blanket]]&gt;0,1,0)</f>
        <v>0</v>
      </c>
      <c r="AN256" s="392">
        <f>IF(NFI_Expiration=1,IF($A256&lt;VLOOKUP(V$5,NFI,5,0),1,0)*Table_NFI[[#This Row],[Jerry Can]],Table_NFI[Jerry Can])</f>
        <v>0</v>
      </c>
      <c r="AO256" s="540" t="str">
        <f>IFERROR(VLOOKUP(Table_NFI[[#This Row],[Camp Name]],CL,2,0),"")</f>
        <v>MMR001CMP007</v>
      </c>
      <c r="AP256" s="535">
        <f ca="1">IF(Table_NFI[[#This Row],[Pcode]]="","",IF(OFFSET(CampList[Opening Date],MATCH(Table_NFI[[#This Row],[Pcode]],CampList[CP_Pcode],0)-1,0,1,1)&gt;=NFI_Monitor_Date,1,0))</f>
        <v>0</v>
      </c>
      <c r="AQ256" s="540" t="str">
        <f>IFERROR(VLOOKUP(Table_NFI[[#This Row],[Camp Name]],CL,3,0),"")</f>
        <v>Open</v>
      </c>
      <c r="AR256" s="352" t="str">
        <f ca="1">IF(Table_NFI[[#This Row],[Pcode]]="","",OFFSET(CampList[Priority],MATCH(Table_NFI[[#This Row],[Pcode]],CampList[CP_Pcode],0)-1,0,1,1))</f>
        <v>P4</v>
      </c>
      <c r="AS256" s="351">
        <f>IFERROR(Table_NFI[[#This Row],[Kitchen Set]]/VLOOKUP(Table_NFI[[#This Row],[Camp Name]],CL,4,0),"")</f>
        <v>0</v>
      </c>
      <c r="AT256" s="538"/>
      <c r="AU256" s="541"/>
    </row>
    <row r="257" spans="1:47" s="537" customFormat="1" ht="14.45" hidden="1" customHeight="1" x14ac:dyDescent="0.25">
      <c r="A257" s="355">
        <f t="shared" si="3"/>
        <v>26.4</v>
      </c>
      <c r="B257" s="532">
        <v>41779</v>
      </c>
      <c r="C257" s="533" t="s">
        <v>1106</v>
      </c>
      <c r="D257" s="533" t="s">
        <v>902</v>
      </c>
      <c r="E257" s="533" t="s">
        <v>380</v>
      </c>
      <c r="F257" s="533" t="s">
        <v>237</v>
      </c>
      <c r="G257" s="533" t="s">
        <v>257</v>
      </c>
      <c r="H257" s="349"/>
      <c r="I257" s="349"/>
      <c r="J257" s="349"/>
      <c r="K257" s="349"/>
      <c r="L257" s="350"/>
      <c r="M257" s="350"/>
      <c r="N257" s="350"/>
      <c r="O257" s="350"/>
      <c r="P257" s="352"/>
      <c r="Q257" s="352"/>
      <c r="R257" s="352"/>
      <c r="S257" s="352"/>
      <c r="T257" s="352"/>
      <c r="U257" s="352">
        <v>88</v>
      </c>
      <c r="V257" s="497"/>
      <c r="W257" s="352"/>
      <c r="X257" s="352"/>
      <c r="Y257" s="352">
        <f>IF(NFI_Expiration=1,IF($A257&lt;VLOOKUP(H$5,NFI,5,0),1,0)*Table_NFI[[#This Row],[Hygiene Kit]],Table_NFI[Hygiene Kit])</f>
        <v>0</v>
      </c>
      <c r="Z257" s="352">
        <f>IF(NFI_Expiration=1,IF($A257&lt;VLOOKUP(I$5,NFI,5,0),1,0)*Table_NFI[[#This Row],[NFI Core Kit]],Table_NFI[NFI Core Kit])</f>
        <v>0</v>
      </c>
      <c r="AA257" s="352">
        <f>IF(NFI_Expiration=1,IF($A257&lt;VLOOKUP(J$5,NFI,5,0),1,0)*Table_NFI[[#This Row],[Sanitary Kit]],Table_NFI[Sanitary Kit])</f>
        <v>0</v>
      </c>
      <c r="AB257" s="352">
        <f>IF(NFI_Expiration=1,IF($A257&lt;VLOOKUP(K$5,NFI,5,0),1,0)*Table_NFI[[#This Row],[Mosquito net]],Table_NFI[Mosquito net])</f>
        <v>0</v>
      </c>
      <c r="AC257" s="352">
        <f>IF(NFI_Expiration=1,IF($A257&lt;VLOOKUP(L$5,NFI,5,0),1,0)*Table_NFI[[#This Row],[Tarpaulin]],Table_NFI[[#This Row],[Tarpaulin]])</f>
        <v>0</v>
      </c>
      <c r="AD257" s="352">
        <f>IF(NFI_Expiration=1,IF($A257&lt;VLOOKUP(M$5,NFI,5,0),1,0)*Table_NFI[[#This Row],[Blanket]],Table_NFI[[#This Row],[Blanket]])</f>
        <v>0</v>
      </c>
      <c r="AE257" s="352">
        <f>IF(NFI_Expiration=1,IF($A257&lt;VLOOKUP(N$5,NFI,5,0),1,0)*Table_NFI[[#This Row],[Kitchen Set]],Table_NFI[Kitchen Set])</f>
        <v>0</v>
      </c>
      <c r="AF257" s="352">
        <f>IF(NFI_Expiration=1,IF($A257&lt;VLOOKUP(O$5,NFI,5,0),1,0)*Table_NFI[[#This Row],[Clothes Kit]],Table_NFI[Clothes Kit])</f>
        <v>0</v>
      </c>
      <c r="AG257" s="352">
        <f>IF(NFI_Expiration=1,IF($A257&lt;VLOOKUP(P$5,NFI,5,0),1,0)*Table_NFI[[#This Row],[Plastic Bucket]],Table_NFI[Plastic Bucket])</f>
        <v>0</v>
      </c>
      <c r="AH257" s="352">
        <f>IF(NFI_Expiration=1,IF($A257&lt;VLOOKUP(Q$5,NFI,5,0),1,0)*Table_NFI[[#This Row],[Plastic Mat]],Table_NFI[Plastic Mat])*IF(Table_NFI[[#This Row],[Distribution Date]]&gt;"2014-04-01",1,2.5)</f>
        <v>0</v>
      </c>
      <c r="AI257" s="352">
        <f>IF(NFI_Expiration=1,IF($A257&lt;VLOOKUP(R$5,NFI,5,0),1,0)*Table_NFI[[#This Row],[Winter Clothes Adult]],Table_NFI[Winter Clothes Adult])</f>
        <v>0</v>
      </c>
      <c r="AJ257" s="352">
        <f>IF(NFI_Expiration=1,IF($A257&lt;VLOOKUP(S$5,NFI,5,0),1,0)*Table_NFI[[#This Row],[Winter Clothes Children]],Table_NFI[Winter Clothes Children])</f>
        <v>0</v>
      </c>
      <c r="AK257" s="352">
        <f>IF(NFI_Expiration=1,IF($A257&lt;VLOOKUP(T$5,NFI,5,0),1,0)*Table_NFI[[#This Row],[Winter Items Other]],Table_NFI[Winter Items Other])</f>
        <v>0</v>
      </c>
      <c r="AL257" s="352">
        <f>IF(NFI_Expiration=1,IF($A257&lt;VLOOKUP(M$5,NFI,5,0),1,0)*Table_NFI[[#This Row],[Winter Blanket]],Table_NFI[[#This Row],[Winter Blanket]])</f>
        <v>0</v>
      </c>
      <c r="AM257" s="352">
        <f>IF(Table_NFI[[#This Row],[Winter Clothes Adult]]+Table_NFI[[#This Row],[Winter Clothes Children]]+Table_NFI[[#This Row],[Winter Items Other]]+Table_NFI[[#This Row],[Winter Blanket]]&gt;0,1,0)</f>
        <v>1</v>
      </c>
      <c r="AN257" s="392">
        <f>IF(NFI_Expiration=1,IF($A257&lt;VLOOKUP(V$5,NFI,5,0),1,0)*Table_NFI[[#This Row],[Jerry Can]],Table_NFI[Jerry Can])</f>
        <v>0</v>
      </c>
      <c r="AO257" s="540" t="str">
        <f>IFERROR(VLOOKUP(Table_NFI[[#This Row],[Camp Name]],CL,2,0),"")</f>
        <v>MMR001CMP013</v>
      </c>
      <c r="AP257" s="535">
        <f ca="1">IF(Table_NFI[[#This Row],[Pcode]]="","",IF(OFFSET(CampList[Opening Date],MATCH(Table_NFI[[#This Row],[Pcode]],CampList[CP_Pcode],0)-1,0,1,1)&gt;=NFI_Monitor_Date,1,0))</f>
        <v>0</v>
      </c>
      <c r="AQ257" s="540" t="str">
        <f>IFERROR(VLOOKUP(Table_NFI[[#This Row],[Camp Name]],CL,3,0),"")</f>
        <v>Open</v>
      </c>
      <c r="AR257" s="352" t="str">
        <f ca="1">IF(Table_NFI[[#This Row],[Pcode]]="","",OFFSET(CampList[Priority],MATCH(Table_NFI[[#This Row],[Pcode]],CampList[CP_Pcode],0)-1,0,1,1))</f>
        <v>P4</v>
      </c>
      <c r="AS257" s="351">
        <f>IFERROR(Table_NFI[[#This Row],[Kitchen Set]]/VLOOKUP(Table_NFI[[#This Row],[Camp Name]],CL,4,0),"")</f>
        <v>0</v>
      </c>
      <c r="AT257" s="533"/>
      <c r="AU257" s="536"/>
    </row>
    <row r="258" spans="1:47" s="537" customFormat="1" ht="14.45" customHeight="1" x14ac:dyDescent="0.25">
      <c r="A258" s="355">
        <f t="shared" si="3"/>
        <v>21.933333333333334</v>
      </c>
      <c r="B258" s="532">
        <v>41913</v>
      </c>
      <c r="C258" s="533" t="s">
        <v>453</v>
      </c>
      <c r="D258" s="538" t="s">
        <v>507</v>
      </c>
      <c r="E258" s="538" t="s">
        <v>380</v>
      </c>
      <c r="F258" s="538" t="s">
        <v>180</v>
      </c>
      <c r="G258" s="538" t="s">
        <v>181</v>
      </c>
      <c r="H258" s="350"/>
      <c r="I258" s="350"/>
      <c r="J258" s="350"/>
      <c r="K258" s="350">
        <v>24</v>
      </c>
      <c r="L258" s="350"/>
      <c r="M258" s="350"/>
      <c r="N258" s="350"/>
      <c r="O258" s="350"/>
      <c r="P258" s="352"/>
      <c r="Q258" s="352"/>
      <c r="R258" s="352"/>
      <c r="S258" s="352"/>
      <c r="T258" s="352"/>
      <c r="U258" s="352"/>
      <c r="V258" s="497"/>
      <c r="W258" s="352"/>
      <c r="X258" s="352"/>
      <c r="Y258" s="352">
        <f>IF(NFI_Expiration=1,IF($A258&lt;VLOOKUP(H$5,NFI,5,0),1,0)*Table_NFI[[#This Row],[Hygiene Kit]],Table_NFI[Hygiene Kit])</f>
        <v>0</v>
      </c>
      <c r="Z258" s="352">
        <f>IF(NFI_Expiration=1,IF($A258&lt;VLOOKUP(I$5,NFI,5,0),1,0)*Table_NFI[[#This Row],[NFI Core Kit]],Table_NFI[NFI Core Kit])</f>
        <v>0</v>
      </c>
      <c r="AA258" s="352">
        <f>IF(NFI_Expiration=1,IF($A258&lt;VLOOKUP(J$5,NFI,5,0),1,0)*Table_NFI[[#This Row],[Sanitary Kit]],Table_NFI[Sanitary Kit])</f>
        <v>0</v>
      </c>
      <c r="AB258" s="352">
        <f>IF(NFI_Expiration=1,IF($A258&lt;VLOOKUP(K$5,NFI,5,0),1,0)*Table_NFI[[#This Row],[Mosquito net]],Table_NFI[Mosquito net])</f>
        <v>0</v>
      </c>
      <c r="AC258" s="352">
        <f>IF(NFI_Expiration=1,IF($A258&lt;VLOOKUP(L$5,NFI,5,0),1,0)*Table_NFI[[#This Row],[Tarpaulin]],Table_NFI[[#This Row],[Tarpaulin]])</f>
        <v>0</v>
      </c>
      <c r="AD258" s="352">
        <f>IF(NFI_Expiration=1,IF($A258&lt;VLOOKUP(M$5,NFI,5,0),1,0)*Table_NFI[[#This Row],[Blanket]],Table_NFI[[#This Row],[Blanket]])</f>
        <v>0</v>
      </c>
      <c r="AE258" s="352">
        <f>IF(NFI_Expiration=1,IF($A258&lt;VLOOKUP(N$5,NFI,5,0),1,0)*Table_NFI[[#This Row],[Kitchen Set]],Table_NFI[Kitchen Set])</f>
        <v>0</v>
      </c>
      <c r="AF258" s="352">
        <f>IF(NFI_Expiration=1,IF($A258&lt;VLOOKUP(O$5,NFI,5,0),1,0)*Table_NFI[[#This Row],[Clothes Kit]],Table_NFI[Clothes Kit])</f>
        <v>0</v>
      </c>
      <c r="AG258" s="352">
        <f>IF(NFI_Expiration=1,IF($A258&lt;VLOOKUP(P$5,NFI,5,0),1,0)*Table_NFI[[#This Row],[Plastic Bucket]],Table_NFI[Plastic Bucket])</f>
        <v>0</v>
      </c>
      <c r="AH258" s="352">
        <f>IF(NFI_Expiration=1,IF($A258&lt;VLOOKUP(Q$5,NFI,5,0),1,0)*Table_NFI[[#This Row],[Plastic Mat]],Table_NFI[Plastic Mat])*IF(Table_NFI[[#This Row],[Distribution Date]]&gt;"2014-04-01",1,2.5)</f>
        <v>0</v>
      </c>
      <c r="AI258" s="352">
        <f>IF(NFI_Expiration=1,IF($A258&lt;VLOOKUP(R$5,NFI,5,0),1,0)*Table_NFI[[#This Row],[Winter Clothes Adult]],Table_NFI[Winter Clothes Adult])</f>
        <v>0</v>
      </c>
      <c r="AJ258" s="352">
        <f>IF(NFI_Expiration=1,IF($A258&lt;VLOOKUP(S$5,NFI,5,0),1,0)*Table_NFI[[#This Row],[Winter Clothes Children]],Table_NFI[Winter Clothes Children])</f>
        <v>0</v>
      </c>
      <c r="AK258" s="352">
        <f>IF(NFI_Expiration=1,IF($A258&lt;VLOOKUP(T$5,NFI,5,0),1,0)*Table_NFI[[#This Row],[Winter Items Other]],Table_NFI[Winter Items Other])</f>
        <v>0</v>
      </c>
      <c r="AL258" s="352">
        <f>IF(NFI_Expiration=1,IF($A258&lt;VLOOKUP(M$5,NFI,5,0),1,0)*Table_NFI[[#This Row],[Winter Blanket]],Table_NFI[[#This Row],[Winter Blanket]])</f>
        <v>0</v>
      </c>
      <c r="AM258" s="352">
        <f>IF(Table_NFI[[#This Row],[Winter Clothes Adult]]+Table_NFI[[#This Row],[Winter Clothes Children]]+Table_NFI[[#This Row],[Winter Items Other]]+Table_NFI[[#This Row],[Winter Blanket]]&gt;0,1,0)</f>
        <v>0</v>
      </c>
      <c r="AN258" s="392">
        <f>IF(NFI_Expiration=1,IF($A258&lt;VLOOKUP(V$5,NFI,5,0),1,0)*Table_NFI[[#This Row],[Jerry Can]],Table_NFI[Jerry Can])</f>
        <v>0</v>
      </c>
      <c r="AO258" s="540" t="str">
        <f>IFERROR(VLOOKUP(Table_NFI[[#This Row],[Camp Name]],CL,2,0),"")</f>
        <v>MMR001CMP080</v>
      </c>
      <c r="AP258" s="535">
        <f ca="1">IF(Table_NFI[[#This Row],[Pcode]]="","",IF(OFFSET(CampList[Opening Date],MATCH(Table_NFI[[#This Row],[Pcode]],CampList[CP_Pcode],0)-1,0,1,1)&gt;=NFI_Monitor_Date,1,0))</f>
        <v>0</v>
      </c>
      <c r="AQ258" s="540" t="str">
        <f>IFERROR(VLOOKUP(Table_NFI[[#This Row],[Camp Name]],CL,3,0),"")</f>
        <v>Open</v>
      </c>
      <c r="AR258" s="352" t="str">
        <f ca="1">IF(Table_NFI[[#This Row],[Pcode]]="","",OFFSET(CampList[Priority],MATCH(Table_NFI[[#This Row],[Pcode]],CampList[CP_Pcode],0)-1,0,1,1))</f>
        <v>P4</v>
      </c>
      <c r="AS258" s="351">
        <f>IFERROR(Table_NFI[[#This Row],[Kitchen Set]]/VLOOKUP(Table_NFI[[#This Row],[Camp Name]],CL,4,0),"")</f>
        <v>0</v>
      </c>
      <c r="AT258" s="538"/>
      <c r="AU258" s="541"/>
    </row>
    <row r="259" spans="1:47" s="537" customFormat="1" ht="14.45" customHeight="1" x14ac:dyDescent="0.25">
      <c r="A259" s="355">
        <f t="shared" si="3"/>
        <v>21.933333333333334</v>
      </c>
      <c r="B259" s="532">
        <v>41913</v>
      </c>
      <c r="C259" s="533" t="s">
        <v>453</v>
      </c>
      <c r="D259" s="538" t="s">
        <v>506</v>
      </c>
      <c r="E259" s="538" t="s">
        <v>380</v>
      </c>
      <c r="F259" s="538" t="s">
        <v>237</v>
      </c>
      <c r="G259" s="538" t="s">
        <v>249</v>
      </c>
      <c r="H259" s="350"/>
      <c r="I259" s="350"/>
      <c r="J259" s="350"/>
      <c r="K259" s="350">
        <v>26</v>
      </c>
      <c r="L259" s="350"/>
      <c r="M259" s="350"/>
      <c r="N259" s="350"/>
      <c r="O259" s="350"/>
      <c r="P259" s="352"/>
      <c r="Q259" s="352"/>
      <c r="R259" s="352"/>
      <c r="S259" s="352"/>
      <c r="T259" s="352"/>
      <c r="U259" s="352"/>
      <c r="V259" s="497"/>
      <c r="W259" s="352"/>
      <c r="X259" s="352"/>
      <c r="Y259" s="352">
        <f>IF(NFI_Expiration=1,IF($A259&lt;VLOOKUP(H$5,NFI,5,0),1,0)*Table_NFI[[#This Row],[Hygiene Kit]],Table_NFI[Hygiene Kit])</f>
        <v>0</v>
      </c>
      <c r="Z259" s="352">
        <f>IF(NFI_Expiration=1,IF($A259&lt;VLOOKUP(I$5,NFI,5,0),1,0)*Table_NFI[[#This Row],[NFI Core Kit]],Table_NFI[NFI Core Kit])</f>
        <v>0</v>
      </c>
      <c r="AA259" s="352">
        <f>IF(NFI_Expiration=1,IF($A259&lt;VLOOKUP(J$5,NFI,5,0),1,0)*Table_NFI[[#This Row],[Sanitary Kit]],Table_NFI[Sanitary Kit])</f>
        <v>0</v>
      </c>
      <c r="AB259" s="352">
        <f>IF(NFI_Expiration=1,IF($A259&lt;VLOOKUP(K$5,NFI,5,0),1,0)*Table_NFI[[#This Row],[Mosquito net]],Table_NFI[Mosquito net])</f>
        <v>0</v>
      </c>
      <c r="AC259" s="352">
        <f>IF(NFI_Expiration=1,IF($A259&lt;VLOOKUP(L$5,NFI,5,0),1,0)*Table_NFI[[#This Row],[Tarpaulin]],Table_NFI[[#This Row],[Tarpaulin]])</f>
        <v>0</v>
      </c>
      <c r="AD259" s="352">
        <f>IF(NFI_Expiration=1,IF($A259&lt;VLOOKUP(M$5,NFI,5,0),1,0)*Table_NFI[[#This Row],[Blanket]],Table_NFI[[#This Row],[Blanket]])</f>
        <v>0</v>
      </c>
      <c r="AE259" s="352">
        <f>IF(NFI_Expiration=1,IF($A259&lt;VLOOKUP(N$5,NFI,5,0),1,0)*Table_NFI[[#This Row],[Kitchen Set]],Table_NFI[Kitchen Set])</f>
        <v>0</v>
      </c>
      <c r="AF259" s="352">
        <f>IF(NFI_Expiration=1,IF($A259&lt;VLOOKUP(O$5,NFI,5,0),1,0)*Table_NFI[[#This Row],[Clothes Kit]],Table_NFI[Clothes Kit])</f>
        <v>0</v>
      </c>
      <c r="AG259" s="352">
        <f>IF(NFI_Expiration=1,IF($A259&lt;VLOOKUP(P$5,NFI,5,0),1,0)*Table_NFI[[#This Row],[Plastic Bucket]],Table_NFI[Plastic Bucket])</f>
        <v>0</v>
      </c>
      <c r="AH259" s="352">
        <f>IF(NFI_Expiration=1,IF($A259&lt;VLOOKUP(Q$5,NFI,5,0),1,0)*Table_NFI[[#This Row],[Plastic Mat]],Table_NFI[Plastic Mat])*IF(Table_NFI[[#This Row],[Distribution Date]]&gt;"2014-04-01",1,2.5)</f>
        <v>0</v>
      </c>
      <c r="AI259" s="352">
        <f>IF(NFI_Expiration=1,IF($A259&lt;VLOOKUP(R$5,NFI,5,0),1,0)*Table_NFI[[#This Row],[Winter Clothes Adult]],Table_NFI[Winter Clothes Adult])</f>
        <v>0</v>
      </c>
      <c r="AJ259" s="352">
        <f>IF(NFI_Expiration=1,IF($A259&lt;VLOOKUP(S$5,NFI,5,0),1,0)*Table_NFI[[#This Row],[Winter Clothes Children]],Table_NFI[Winter Clothes Children])</f>
        <v>0</v>
      </c>
      <c r="AK259" s="352">
        <f>IF(NFI_Expiration=1,IF($A259&lt;VLOOKUP(T$5,NFI,5,0),1,0)*Table_NFI[[#This Row],[Winter Items Other]],Table_NFI[Winter Items Other])</f>
        <v>0</v>
      </c>
      <c r="AL259" s="352">
        <f>IF(NFI_Expiration=1,IF($A259&lt;VLOOKUP(M$5,NFI,5,0),1,0)*Table_NFI[[#This Row],[Winter Blanket]],Table_NFI[[#This Row],[Winter Blanket]])</f>
        <v>0</v>
      </c>
      <c r="AM259" s="352">
        <f>IF(Table_NFI[[#This Row],[Winter Clothes Adult]]+Table_NFI[[#This Row],[Winter Clothes Children]]+Table_NFI[[#This Row],[Winter Items Other]]+Table_NFI[[#This Row],[Winter Blanket]]&gt;0,1,0)</f>
        <v>0</v>
      </c>
      <c r="AN259" s="392">
        <f>IF(NFI_Expiration=1,IF($A259&lt;VLOOKUP(V$5,NFI,5,0),1,0)*Table_NFI[[#This Row],[Jerry Can]],Table_NFI[Jerry Can])</f>
        <v>0</v>
      </c>
      <c r="AO259" s="540" t="str">
        <f>IFERROR(VLOOKUP(Table_NFI[[#This Row],[Camp Name]],CL,2,0),"")</f>
        <v>MMR001CMP004</v>
      </c>
      <c r="AP259" s="535">
        <f ca="1">IF(Table_NFI[[#This Row],[Pcode]]="","",IF(OFFSET(CampList[Opening Date],MATCH(Table_NFI[[#This Row],[Pcode]],CampList[CP_Pcode],0)-1,0,1,1)&gt;=NFI_Monitor_Date,1,0))</f>
        <v>0</v>
      </c>
      <c r="AQ259" s="540" t="str">
        <f>IFERROR(VLOOKUP(Table_NFI[[#This Row],[Camp Name]],CL,3,0),"")</f>
        <v>Open</v>
      </c>
      <c r="AR259" s="352" t="str">
        <f ca="1">IF(Table_NFI[[#This Row],[Pcode]]="","",OFFSET(CampList[Priority],MATCH(Table_NFI[[#This Row],[Pcode]],CampList[CP_Pcode],0)-1,0,1,1))</f>
        <v>P4</v>
      </c>
      <c r="AS259" s="351">
        <f>IFERROR(Table_NFI[[#This Row],[Kitchen Set]]/VLOOKUP(Table_NFI[[#This Row],[Camp Name]],CL,4,0),"")</f>
        <v>0</v>
      </c>
      <c r="AT259" s="538"/>
      <c r="AU259" s="541"/>
    </row>
    <row r="260" spans="1:47" s="537" customFormat="1" ht="14.45" customHeight="1" x14ac:dyDescent="0.25">
      <c r="A260" s="355">
        <f t="shared" si="3"/>
        <v>21.933333333333334</v>
      </c>
      <c r="B260" s="532">
        <v>41913</v>
      </c>
      <c r="C260" s="533" t="s">
        <v>453</v>
      </c>
      <c r="D260" s="538" t="s">
        <v>506</v>
      </c>
      <c r="E260" s="538" t="s">
        <v>380</v>
      </c>
      <c r="F260" s="538" t="s">
        <v>310</v>
      </c>
      <c r="G260" s="538" t="s">
        <v>349</v>
      </c>
      <c r="H260" s="350"/>
      <c r="I260" s="350"/>
      <c r="J260" s="350"/>
      <c r="K260" s="350">
        <v>144</v>
      </c>
      <c r="L260" s="350"/>
      <c r="M260" s="350"/>
      <c r="N260" s="350"/>
      <c r="O260" s="350"/>
      <c r="P260" s="352"/>
      <c r="Q260" s="352"/>
      <c r="R260" s="352"/>
      <c r="S260" s="352"/>
      <c r="T260" s="352"/>
      <c r="U260" s="352"/>
      <c r="V260" s="497"/>
      <c r="W260" s="352"/>
      <c r="X260" s="352"/>
      <c r="Y260" s="352">
        <f>IF(NFI_Expiration=1,IF($A260&lt;VLOOKUP(H$5,NFI,5,0),1,0)*Table_NFI[[#This Row],[Hygiene Kit]],Table_NFI[Hygiene Kit])</f>
        <v>0</v>
      </c>
      <c r="Z260" s="352">
        <f>IF(NFI_Expiration=1,IF($A260&lt;VLOOKUP(I$5,NFI,5,0),1,0)*Table_NFI[[#This Row],[NFI Core Kit]],Table_NFI[NFI Core Kit])</f>
        <v>0</v>
      </c>
      <c r="AA260" s="352">
        <f>IF(NFI_Expiration=1,IF($A260&lt;VLOOKUP(J$5,NFI,5,0),1,0)*Table_NFI[[#This Row],[Sanitary Kit]],Table_NFI[Sanitary Kit])</f>
        <v>0</v>
      </c>
      <c r="AB260" s="352">
        <f>IF(NFI_Expiration=1,IF($A260&lt;VLOOKUP(K$5,NFI,5,0),1,0)*Table_NFI[[#This Row],[Mosquito net]],Table_NFI[Mosquito net])</f>
        <v>0</v>
      </c>
      <c r="AC260" s="352">
        <f>IF(NFI_Expiration=1,IF($A260&lt;VLOOKUP(L$5,NFI,5,0),1,0)*Table_NFI[[#This Row],[Tarpaulin]],Table_NFI[[#This Row],[Tarpaulin]])</f>
        <v>0</v>
      </c>
      <c r="AD260" s="352">
        <f>IF(NFI_Expiration=1,IF($A260&lt;VLOOKUP(M$5,NFI,5,0),1,0)*Table_NFI[[#This Row],[Blanket]],Table_NFI[[#This Row],[Blanket]])</f>
        <v>0</v>
      </c>
      <c r="AE260" s="352">
        <f>IF(NFI_Expiration=1,IF($A260&lt;VLOOKUP(N$5,NFI,5,0),1,0)*Table_NFI[[#This Row],[Kitchen Set]],Table_NFI[Kitchen Set])</f>
        <v>0</v>
      </c>
      <c r="AF260" s="352">
        <f>IF(NFI_Expiration=1,IF($A260&lt;VLOOKUP(O$5,NFI,5,0),1,0)*Table_NFI[[#This Row],[Clothes Kit]],Table_NFI[Clothes Kit])</f>
        <v>0</v>
      </c>
      <c r="AG260" s="352">
        <f>IF(NFI_Expiration=1,IF($A260&lt;VLOOKUP(P$5,NFI,5,0),1,0)*Table_NFI[[#This Row],[Plastic Bucket]],Table_NFI[Plastic Bucket])</f>
        <v>0</v>
      </c>
      <c r="AH260" s="352">
        <f>IF(NFI_Expiration=1,IF($A260&lt;VLOOKUP(Q$5,NFI,5,0),1,0)*Table_NFI[[#This Row],[Plastic Mat]],Table_NFI[Plastic Mat])*IF(Table_NFI[[#This Row],[Distribution Date]]&gt;"2014-04-01",1,2.5)</f>
        <v>0</v>
      </c>
      <c r="AI260" s="352">
        <f>IF(NFI_Expiration=1,IF($A260&lt;VLOOKUP(R$5,NFI,5,0),1,0)*Table_NFI[[#This Row],[Winter Clothes Adult]],Table_NFI[Winter Clothes Adult])</f>
        <v>0</v>
      </c>
      <c r="AJ260" s="352">
        <f>IF(NFI_Expiration=1,IF($A260&lt;VLOOKUP(S$5,NFI,5,0),1,0)*Table_NFI[[#This Row],[Winter Clothes Children]],Table_NFI[Winter Clothes Children])</f>
        <v>0</v>
      </c>
      <c r="AK260" s="352">
        <f>IF(NFI_Expiration=1,IF($A260&lt;VLOOKUP(T$5,NFI,5,0),1,0)*Table_NFI[[#This Row],[Winter Items Other]],Table_NFI[Winter Items Other])</f>
        <v>0</v>
      </c>
      <c r="AL260" s="352">
        <f>IF(NFI_Expiration=1,IF($A260&lt;VLOOKUP(M$5,NFI,5,0),1,0)*Table_NFI[[#This Row],[Winter Blanket]],Table_NFI[[#This Row],[Winter Blanket]])</f>
        <v>0</v>
      </c>
      <c r="AM260" s="352">
        <f>IF(Table_NFI[[#This Row],[Winter Clothes Adult]]+Table_NFI[[#This Row],[Winter Clothes Children]]+Table_NFI[[#This Row],[Winter Items Other]]+Table_NFI[[#This Row],[Winter Blanket]]&gt;0,1,0)</f>
        <v>0</v>
      </c>
      <c r="AN260" s="392">
        <f>IF(NFI_Expiration=1,IF($A260&lt;VLOOKUP(V$5,NFI,5,0),1,0)*Table_NFI[[#This Row],[Jerry Can]],Table_NFI[Jerry Can])</f>
        <v>0</v>
      </c>
      <c r="AO260" s="540" t="str">
        <f>IFERROR(VLOOKUP(Table_NFI[[#This Row],[Camp Name]],CL,2,0),"")</f>
        <v>MMR001CMP037</v>
      </c>
      <c r="AP260" s="535">
        <f ca="1">IF(Table_NFI[[#This Row],[Pcode]]="","",IF(OFFSET(CampList[Opening Date],MATCH(Table_NFI[[#This Row],[Pcode]],CampList[CP_Pcode],0)-1,0,1,1)&gt;=NFI_Monitor_Date,1,0))</f>
        <v>0</v>
      </c>
      <c r="AQ260" s="540" t="str">
        <f>IFERROR(VLOOKUP(Table_NFI[[#This Row],[Camp Name]],CL,3,0),"")</f>
        <v>Open</v>
      </c>
      <c r="AR260" s="352" t="str">
        <f ca="1">IF(Table_NFI[[#This Row],[Pcode]]="","",OFFSET(CampList[Priority],MATCH(Table_NFI[[#This Row],[Pcode]],CampList[CP_Pcode],0)-1,0,1,1))</f>
        <v>P4</v>
      </c>
      <c r="AS260" s="351">
        <f>IFERROR(Table_NFI[[#This Row],[Kitchen Set]]/VLOOKUP(Table_NFI[[#This Row],[Camp Name]],CL,4,0),"")</f>
        <v>0</v>
      </c>
      <c r="AT260" s="538"/>
      <c r="AU260" s="541"/>
    </row>
    <row r="261" spans="1:47" s="537" customFormat="1" ht="41.45" customHeight="1" x14ac:dyDescent="0.25">
      <c r="A261" s="355">
        <f t="shared" si="3"/>
        <v>21.933333333333334</v>
      </c>
      <c r="B261" s="532">
        <v>41913</v>
      </c>
      <c r="C261" s="533" t="s">
        <v>453</v>
      </c>
      <c r="D261" s="538" t="s">
        <v>506</v>
      </c>
      <c r="E261" s="538" t="s">
        <v>380</v>
      </c>
      <c r="F261" s="538" t="s">
        <v>310</v>
      </c>
      <c r="G261" s="538" t="s">
        <v>316</v>
      </c>
      <c r="H261" s="350"/>
      <c r="I261" s="350"/>
      <c r="J261" s="350"/>
      <c r="K261" s="350">
        <v>150</v>
      </c>
      <c r="L261" s="350"/>
      <c r="M261" s="350"/>
      <c r="N261" s="350"/>
      <c r="O261" s="350"/>
      <c r="P261" s="352"/>
      <c r="Q261" s="352"/>
      <c r="R261" s="352"/>
      <c r="S261" s="352"/>
      <c r="T261" s="352"/>
      <c r="U261" s="352"/>
      <c r="V261" s="497"/>
      <c r="W261" s="352"/>
      <c r="X261" s="352"/>
      <c r="Y261" s="352">
        <f>IF(NFI_Expiration=1,IF($A261&lt;VLOOKUP(H$5,NFI,5,0),1,0)*Table_NFI[[#This Row],[Hygiene Kit]],Table_NFI[Hygiene Kit])</f>
        <v>0</v>
      </c>
      <c r="Z261" s="352">
        <f>IF(NFI_Expiration=1,IF($A261&lt;VLOOKUP(I$5,NFI,5,0),1,0)*Table_NFI[[#This Row],[NFI Core Kit]],Table_NFI[NFI Core Kit])</f>
        <v>0</v>
      </c>
      <c r="AA261" s="352">
        <f>IF(NFI_Expiration=1,IF($A261&lt;VLOOKUP(J$5,NFI,5,0),1,0)*Table_NFI[[#This Row],[Sanitary Kit]],Table_NFI[Sanitary Kit])</f>
        <v>0</v>
      </c>
      <c r="AB261" s="352">
        <f>IF(NFI_Expiration=1,IF($A261&lt;VLOOKUP(K$5,NFI,5,0),1,0)*Table_NFI[[#This Row],[Mosquito net]],Table_NFI[Mosquito net])</f>
        <v>0</v>
      </c>
      <c r="AC261" s="352">
        <f>IF(NFI_Expiration=1,IF($A261&lt;VLOOKUP(L$5,NFI,5,0),1,0)*Table_NFI[[#This Row],[Tarpaulin]],Table_NFI[[#This Row],[Tarpaulin]])</f>
        <v>0</v>
      </c>
      <c r="AD261" s="352">
        <f>IF(NFI_Expiration=1,IF($A261&lt;VLOOKUP(M$5,NFI,5,0),1,0)*Table_NFI[[#This Row],[Blanket]],Table_NFI[[#This Row],[Blanket]])</f>
        <v>0</v>
      </c>
      <c r="AE261" s="352">
        <f>IF(NFI_Expiration=1,IF($A261&lt;VLOOKUP(N$5,NFI,5,0),1,0)*Table_NFI[[#This Row],[Kitchen Set]],Table_NFI[Kitchen Set])</f>
        <v>0</v>
      </c>
      <c r="AF261" s="352">
        <f>IF(NFI_Expiration=1,IF($A261&lt;VLOOKUP(O$5,NFI,5,0),1,0)*Table_NFI[[#This Row],[Clothes Kit]],Table_NFI[Clothes Kit])</f>
        <v>0</v>
      </c>
      <c r="AG261" s="352">
        <f>IF(NFI_Expiration=1,IF($A261&lt;VLOOKUP(P$5,NFI,5,0),1,0)*Table_NFI[[#This Row],[Plastic Bucket]],Table_NFI[Plastic Bucket])</f>
        <v>0</v>
      </c>
      <c r="AH261" s="352">
        <f>IF(NFI_Expiration=1,IF($A261&lt;VLOOKUP(Q$5,NFI,5,0),1,0)*Table_NFI[[#This Row],[Plastic Mat]],Table_NFI[Plastic Mat])*IF(Table_NFI[[#This Row],[Distribution Date]]&gt;"2014-04-01",1,2.5)</f>
        <v>0</v>
      </c>
      <c r="AI261" s="352">
        <f>IF(NFI_Expiration=1,IF($A261&lt;VLOOKUP(R$5,NFI,5,0),1,0)*Table_NFI[[#This Row],[Winter Clothes Adult]],Table_NFI[Winter Clothes Adult])</f>
        <v>0</v>
      </c>
      <c r="AJ261" s="352">
        <f>IF(NFI_Expiration=1,IF($A261&lt;VLOOKUP(S$5,NFI,5,0),1,0)*Table_NFI[[#This Row],[Winter Clothes Children]],Table_NFI[Winter Clothes Children])</f>
        <v>0</v>
      </c>
      <c r="AK261" s="352">
        <f>IF(NFI_Expiration=1,IF($A261&lt;VLOOKUP(T$5,NFI,5,0),1,0)*Table_NFI[[#This Row],[Winter Items Other]],Table_NFI[Winter Items Other])</f>
        <v>0</v>
      </c>
      <c r="AL261" s="352">
        <f>IF(NFI_Expiration=1,IF($A261&lt;VLOOKUP(M$5,NFI,5,0),1,0)*Table_NFI[[#This Row],[Winter Blanket]],Table_NFI[[#This Row],[Winter Blanket]])</f>
        <v>0</v>
      </c>
      <c r="AM261" s="352">
        <f>IF(Table_NFI[[#This Row],[Winter Clothes Adult]]+Table_NFI[[#This Row],[Winter Clothes Children]]+Table_NFI[[#This Row],[Winter Items Other]]+Table_NFI[[#This Row],[Winter Blanket]]&gt;0,1,0)</f>
        <v>0</v>
      </c>
      <c r="AN261" s="392">
        <f>IF(NFI_Expiration=1,IF($A261&lt;VLOOKUP(V$5,NFI,5,0),1,0)*Table_NFI[[#This Row],[Jerry Can]],Table_NFI[Jerry Can])</f>
        <v>0</v>
      </c>
      <c r="AO261" s="540" t="str">
        <f>IFERROR(VLOOKUP(Table_NFI[[#This Row],[Camp Name]],CL,2,0),"")</f>
        <v>MMR001CMP038</v>
      </c>
      <c r="AP261" s="535">
        <f ca="1">IF(Table_NFI[[#This Row],[Pcode]]="","",IF(OFFSET(CampList[Opening Date],MATCH(Table_NFI[[#This Row],[Pcode]],CampList[CP_Pcode],0)-1,0,1,1)&gt;=NFI_Monitor_Date,1,0))</f>
        <v>0</v>
      </c>
      <c r="AQ261" s="540" t="str">
        <f>IFERROR(VLOOKUP(Table_NFI[[#This Row],[Camp Name]],CL,3,0),"")</f>
        <v>Open</v>
      </c>
      <c r="AR261" s="352" t="str">
        <f ca="1">IF(Table_NFI[[#This Row],[Pcode]]="","",OFFSET(CampList[Priority],MATCH(Table_NFI[[#This Row],[Pcode]],CampList[CP_Pcode],0)-1,0,1,1))</f>
        <v>P4</v>
      </c>
      <c r="AS261" s="351">
        <f>IFERROR(Table_NFI[[#This Row],[Kitchen Set]]/VLOOKUP(Table_NFI[[#This Row],[Camp Name]],CL,4,0),"")</f>
        <v>0</v>
      </c>
      <c r="AT261" s="538"/>
      <c r="AU261" s="541"/>
    </row>
    <row r="262" spans="1:47" s="537" customFormat="1" ht="14.45" hidden="1" customHeight="1" x14ac:dyDescent="0.25">
      <c r="A262" s="355">
        <f t="shared" ref="A262:A325" si="4">IF(ISBLANK(B262),"",(Report_Date-B262)/30)</f>
        <v>29.2</v>
      </c>
      <c r="B262" s="532">
        <v>41695</v>
      </c>
      <c r="C262" s="533" t="s">
        <v>1106</v>
      </c>
      <c r="D262" s="533" t="s">
        <v>902</v>
      </c>
      <c r="E262" s="533" t="s">
        <v>380</v>
      </c>
      <c r="F262" s="533" t="s">
        <v>173</v>
      </c>
      <c r="G262" s="533" t="s">
        <v>174</v>
      </c>
      <c r="H262" s="349"/>
      <c r="I262" s="349"/>
      <c r="J262" s="349"/>
      <c r="K262" s="349"/>
      <c r="L262" s="350"/>
      <c r="M262" s="350"/>
      <c r="N262" s="350"/>
      <c r="O262" s="350"/>
      <c r="P262" s="352"/>
      <c r="Q262" s="352"/>
      <c r="R262" s="352"/>
      <c r="S262" s="352"/>
      <c r="T262" s="352"/>
      <c r="U262" s="352">
        <v>26</v>
      </c>
      <c r="V262" s="497"/>
      <c r="W262" s="352"/>
      <c r="X262" s="352"/>
      <c r="Y262" s="352">
        <f>IF(NFI_Expiration=1,IF($A262&lt;VLOOKUP(H$5,NFI,5,0),1,0)*Table_NFI[[#This Row],[Hygiene Kit]],Table_NFI[Hygiene Kit])</f>
        <v>0</v>
      </c>
      <c r="Z262" s="352">
        <f>IF(NFI_Expiration=1,IF($A262&lt;VLOOKUP(I$5,NFI,5,0),1,0)*Table_NFI[[#This Row],[NFI Core Kit]],Table_NFI[NFI Core Kit])</f>
        <v>0</v>
      </c>
      <c r="AA262" s="352">
        <f>IF(NFI_Expiration=1,IF($A262&lt;VLOOKUP(J$5,NFI,5,0),1,0)*Table_NFI[[#This Row],[Sanitary Kit]],Table_NFI[Sanitary Kit])</f>
        <v>0</v>
      </c>
      <c r="AB262" s="352">
        <f>IF(NFI_Expiration=1,IF($A262&lt;VLOOKUP(K$5,NFI,5,0),1,0)*Table_NFI[[#This Row],[Mosquito net]],Table_NFI[Mosquito net])</f>
        <v>0</v>
      </c>
      <c r="AC262" s="352">
        <f>IF(NFI_Expiration=1,IF($A262&lt;VLOOKUP(L$5,NFI,5,0),1,0)*Table_NFI[[#This Row],[Tarpaulin]],Table_NFI[[#This Row],[Tarpaulin]])</f>
        <v>0</v>
      </c>
      <c r="AD262" s="352">
        <f>IF(NFI_Expiration=1,IF($A262&lt;VLOOKUP(M$5,NFI,5,0),1,0)*Table_NFI[[#This Row],[Blanket]],Table_NFI[[#This Row],[Blanket]])</f>
        <v>0</v>
      </c>
      <c r="AE262" s="352">
        <f>IF(NFI_Expiration=1,IF($A262&lt;VLOOKUP(N$5,NFI,5,0),1,0)*Table_NFI[[#This Row],[Kitchen Set]],Table_NFI[Kitchen Set])</f>
        <v>0</v>
      </c>
      <c r="AF262" s="352">
        <f>IF(NFI_Expiration=1,IF($A262&lt;VLOOKUP(O$5,NFI,5,0),1,0)*Table_NFI[[#This Row],[Clothes Kit]],Table_NFI[Clothes Kit])</f>
        <v>0</v>
      </c>
      <c r="AG262" s="352">
        <f>IF(NFI_Expiration=1,IF($A262&lt;VLOOKUP(P$5,NFI,5,0),1,0)*Table_NFI[[#This Row],[Plastic Bucket]],Table_NFI[Plastic Bucket])</f>
        <v>0</v>
      </c>
      <c r="AH262" s="352">
        <f>IF(NFI_Expiration=1,IF($A262&lt;VLOOKUP(Q$5,NFI,5,0),1,0)*Table_NFI[[#This Row],[Plastic Mat]],Table_NFI[Plastic Mat])*IF(Table_NFI[[#This Row],[Distribution Date]]&gt;"2014-04-01",1,2.5)</f>
        <v>0</v>
      </c>
      <c r="AI262" s="352">
        <f>IF(NFI_Expiration=1,IF($A262&lt;VLOOKUP(R$5,NFI,5,0),1,0)*Table_NFI[[#This Row],[Winter Clothes Adult]],Table_NFI[Winter Clothes Adult])</f>
        <v>0</v>
      </c>
      <c r="AJ262" s="352">
        <f>IF(NFI_Expiration=1,IF($A262&lt;VLOOKUP(S$5,NFI,5,0),1,0)*Table_NFI[[#This Row],[Winter Clothes Children]],Table_NFI[Winter Clothes Children])</f>
        <v>0</v>
      </c>
      <c r="AK262" s="352">
        <f>IF(NFI_Expiration=1,IF($A262&lt;VLOOKUP(T$5,NFI,5,0),1,0)*Table_NFI[[#This Row],[Winter Items Other]],Table_NFI[Winter Items Other])</f>
        <v>0</v>
      </c>
      <c r="AL262" s="352">
        <f>IF(NFI_Expiration=1,IF($A262&lt;VLOOKUP(M$5,NFI,5,0),1,0)*Table_NFI[[#This Row],[Winter Blanket]],Table_NFI[[#This Row],[Winter Blanket]])</f>
        <v>0</v>
      </c>
      <c r="AM262" s="352">
        <f>IF(Table_NFI[[#This Row],[Winter Clothes Adult]]+Table_NFI[[#This Row],[Winter Clothes Children]]+Table_NFI[[#This Row],[Winter Items Other]]+Table_NFI[[#This Row],[Winter Blanket]]&gt;0,1,0)</f>
        <v>1</v>
      </c>
      <c r="AN262" s="392">
        <f>IF(NFI_Expiration=1,IF($A262&lt;VLOOKUP(V$5,NFI,5,0),1,0)*Table_NFI[[#This Row],[Jerry Can]],Table_NFI[Jerry Can])</f>
        <v>0</v>
      </c>
      <c r="AO262" s="540" t="str">
        <f>IFERROR(VLOOKUP(Table_NFI[[#This Row],[Camp Name]],CL,2,0),"")</f>
        <v>MMR001CMP078</v>
      </c>
      <c r="AP262" s="535">
        <f ca="1">IF(Table_NFI[[#This Row],[Pcode]]="","",IF(OFFSET(CampList[Opening Date],MATCH(Table_NFI[[#This Row],[Pcode]],CampList[CP_Pcode],0)-1,0,1,1)&gt;=NFI_Monitor_Date,1,0))</f>
        <v>0</v>
      </c>
      <c r="AQ262" s="540" t="str">
        <f>IFERROR(VLOOKUP(Table_NFI[[#This Row],[Camp Name]],CL,3,0),"")</f>
        <v>Open</v>
      </c>
      <c r="AR262" s="352" t="str">
        <f ca="1">IF(Table_NFI[[#This Row],[Pcode]]="","",OFFSET(CampList[Priority],MATCH(Table_NFI[[#This Row],[Pcode]],CampList[CP_Pcode],0)-1,0,1,1))</f>
        <v>P4</v>
      </c>
      <c r="AS262" s="351">
        <f>IFERROR(Table_NFI[[#This Row],[Kitchen Set]]/VLOOKUP(Table_NFI[[#This Row],[Camp Name]],CL,4,0),"")</f>
        <v>0</v>
      </c>
      <c r="AT262" s="533"/>
      <c r="AU262" s="536"/>
    </row>
    <row r="263" spans="1:47" s="537" customFormat="1" ht="14.45" customHeight="1" x14ac:dyDescent="0.25">
      <c r="A263" s="355">
        <f t="shared" si="4"/>
        <v>21.933333333333334</v>
      </c>
      <c r="B263" s="532">
        <v>41913</v>
      </c>
      <c r="C263" s="533" t="s">
        <v>453</v>
      </c>
      <c r="D263" s="538" t="s">
        <v>506</v>
      </c>
      <c r="E263" s="538" t="s">
        <v>380</v>
      </c>
      <c r="F263" s="538" t="s">
        <v>237</v>
      </c>
      <c r="G263" s="538" t="s">
        <v>283</v>
      </c>
      <c r="H263" s="350"/>
      <c r="I263" s="350"/>
      <c r="J263" s="350"/>
      <c r="K263" s="350">
        <v>12</v>
      </c>
      <c r="L263" s="350"/>
      <c r="M263" s="350"/>
      <c r="N263" s="350"/>
      <c r="O263" s="350"/>
      <c r="P263" s="352"/>
      <c r="Q263" s="352"/>
      <c r="R263" s="352"/>
      <c r="S263" s="352"/>
      <c r="T263" s="352"/>
      <c r="U263" s="352"/>
      <c r="V263" s="497"/>
      <c r="W263" s="352"/>
      <c r="X263" s="352"/>
      <c r="Y263" s="352">
        <f>IF(NFI_Expiration=1,IF($A263&lt;VLOOKUP(H$5,NFI,5,0),1,0)*Table_NFI[[#This Row],[Hygiene Kit]],Table_NFI[Hygiene Kit])</f>
        <v>0</v>
      </c>
      <c r="Z263" s="352">
        <f>IF(NFI_Expiration=1,IF($A263&lt;VLOOKUP(I$5,NFI,5,0),1,0)*Table_NFI[[#This Row],[NFI Core Kit]],Table_NFI[NFI Core Kit])</f>
        <v>0</v>
      </c>
      <c r="AA263" s="352">
        <f>IF(NFI_Expiration=1,IF($A263&lt;VLOOKUP(J$5,NFI,5,0),1,0)*Table_NFI[[#This Row],[Sanitary Kit]],Table_NFI[Sanitary Kit])</f>
        <v>0</v>
      </c>
      <c r="AB263" s="352">
        <f>IF(NFI_Expiration=1,IF($A263&lt;VLOOKUP(K$5,NFI,5,0),1,0)*Table_NFI[[#This Row],[Mosquito net]],Table_NFI[Mosquito net])</f>
        <v>0</v>
      </c>
      <c r="AC263" s="352">
        <f>IF(NFI_Expiration=1,IF($A263&lt;VLOOKUP(L$5,NFI,5,0),1,0)*Table_NFI[[#This Row],[Tarpaulin]],Table_NFI[[#This Row],[Tarpaulin]])</f>
        <v>0</v>
      </c>
      <c r="AD263" s="352">
        <f>IF(NFI_Expiration=1,IF($A263&lt;VLOOKUP(M$5,NFI,5,0),1,0)*Table_NFI[[#This Row],[Blanket]],Table_NFI[[#This Row],[Blanket]])</f>
        <v>0</v>
      </c>
      <c r="AE263" s="352">
        <f>IF(NFI_Expiration=1,IF($A263&lt;VLOOKUP(N$5,NFI,5,0),1,0)*Table_NFI[[#This Row],[Kitchen Set]],Table_NFI[Kitchen Set])</f>
        <v>0</v>
      </c>
      <c r="AF263" s="352">
        <f>IF(NFI_Expiration=1,IF($A263&lt;VLOOKUP(O$5,NFI,5,0),1,0)*Table_NFI[[#This Row],[Clothes Kit]],Table_NFI[Clothes Kit])</f>
        <v>0</v>
      </c>
      <c r="AG263" s="352">
        <f>IF(NFI_Expiration=1,IF($A263&lt;VLOOKUP(P$5,NFI,5,0),1,0)*Table_NFI[[#This Row],[Plastic Bucket]],Table_NFI[Plastic Bucket])</f>
        <v>0</v>
      </c>
      <c r="AH263" s="352">
        <f>IF(NFI_Expiration=1,IF($A263&lt;VLOOKUP(Q$5,NFI,5,0),1,0)*Table_NFI[[#This Row],[Plastic Mat]],Table_NFI[Plastic Mat])*IF(Table_NFI[[#This Row],[Distribution Date]]&gt;"2014-04-01",1,2.5)</f>
        <v>0</v>
      </c>
      <c r="AI263" s="352">
        <f>IF(NFI_Expiration=1,IF($A263&lt;VLOOKUP(R$5,NFI,5,0),1,0)*Table_NFI[[#This Row],[Winter Clothes Adult]],Table_NFI[Winter Clothes Adult])</f>
        <v>0</v>
      </c>
      <c r="AJ263" s="352">
        <f>IF(NFI_Expiration=1,IF($A263&lt;VLOOKUP(S$5,NFI,5,0),1,0)*Table_NFI[[#This Row],[Winter Clothes Children]],Table_NFI[Winter Clothes Children])</f>
        <v>0</v>
      </c>
      <c r="AK263" s="352">
        <f>IF(NFI_Expiration=1,IF($A263&lt;VLOOKUP(T$5,NFI,5,0),1,0)*Table_NFI[[#This Row],[Winter Items Other]],Table_NFI[Winter Items Other])</f>
        <v>0</v>
      </c>
      <c r="AL263" s="352">
        <f>IF(NFI_Expiration=1,IF($A263&lt;VLOOKUP(M$5,NFI,5,0),1,0)*Table_NFI[[#This Row],[Winter Blanket]],Table_NFI[[#This Row],[Winter Blanket]])</f>
        <v>0</v>
      </c>
      <c r="AM263" s="352">
        <f>IF(Table_NFI[[#This Row],[Winter Clothes Adult]]+Table_NFI[[#This Row],[Winter Clothes Children]]+Table_NFI[[#This Row],[Winter Items Other]]+Table_NFI[[#This Row],[Winter Blanket]]&gt;0,1,0)</f>
        <v>0</v>
      </c>
      <c r="AN263" s="392">
        <f>IF(NFI_Expiration=1,IF($A263&lt;VLOOKUP(V$5,NFI,5,0),1,0)*Table_NFI[[#This Row],[Jerry Can]],Table_NFI[Jerry Can])</f>
        <v>0</v>
      </c>
      <c r="AO263" s="540" t="str">
        <f>IFERROR(VLOOKUP(Table_NFI[[#This Row],[Camp Name]],CL,2,0),"")</f>
        <v>MMR001CMP022</v>
      </c>
      <c r="AP263" s="535">
        <f ca="1">IF(Table_NFI[[#This Row],[Pcode]]="","",IF(OFFSET(CampList[Opening Date],MATCH(Table_NFI[[#This Row],[Pcode]],CampList[CP_Pcode],0)-1,0,1,1)&gt;=NFI_Monitor_Date,1,0))</f>
        <v>0</v>
      </c>
      <c r="AQ263" s="540" t="str">
        <f>IFERROR(VLOOKUP(Table_NFI[[#This Row],[Camp Name]],CL,3,0),"")</f>
        <v>Open</v>
      </c>
      <c r="AR263" s="352" t="str">
        <f ca="1">IF(Table_NFI[[#This Row],[Pcode]]="","",OFFSET(CampList[Priority],MATCH(Table_NFI[[#This Row],[Pcode]],CampList[CP_Pcode],0)-1,0,1,1))</f>
        <v>P4</v>
      </c>
      <c r="AS263" s="351">
        <f>IFERROR(Table_NFI[[#This Row],[Kitchen Set]]/VLOOKUP(Table_NFI[[#This Row],[Camp Name]],CL,4,0),"")</f>
        <v>0</v>
      </c>
      <c r="AT263" s="538"/>
      <c r="AU263" s="541"/>
    </row>
    <row r="264" spans="1:47" s="537" customFormat="1" ht="14.45" hidden="1" customHeight="1" x14ac:dyDescent="0.25">
      <c r="A264" s="355">
        <f t="shared" si="4"/>
        <v>32.1</v>
      </c>
      <c r="B264" s="532">
        <v>41608</v>
      </c>
      <c r="C264" s="533" t="s">
        <v>1099</v>
      </c>
      <c r="D264" s="534" t="s">
        <v>946</v>
      </c>
      <c r="E264" s="533" t="s">
        <v>380</v>
      </c>
      <c r="F264" s="348" t="s">
        <v>151</v>
      </c>
      <c r="G264" s="348" t="s">
        <v>517</v>
      </c>
      <c r="H264" s="349"/>
      <c r="I264" s="349"/>
      <c r="J264" s="349"/>
      <c r="K264" s="349"/>
      <c r="L264" s="350"/>
      <c r="M264" s="350">
        <v>447</v>
      </c>
      <c r="N264" s="350"/>
      <c r="O264" s="350"/>
      <c r="P264" s="352"/>
      <c r="Q264" s="352"/>
      <c r="R264" s="352">
        <v>398</v>
      </c>
      <c r="S264" s="352">
        <v>390</v>
      </c>
      <c r="T264" s="352">
        <v>0</v>
      </c>
      <c r="U264" s="352"/>
      <c r="V264" s="497"/>
      <c r="W264" s="352"/>
      <c r="X264" s="352"/>
      <c r="Y264" s="352">
        <f>IF(NFI_Expiration=1,IF($A264&lt;VLOOKUP(H$5,NFI,5,0),1,0)*Table_NFI[[#This Row],[Hygiene Kit]],Table_NFI[Hygiene Kit])</f>
        <v>0</v>
      </c>
      <c r="Z264" s="352">
        <f>IF(NFI_Expiration=1,IF($A264&lt;VLOOKUP(I$5,NFI,5,0),1,0)*Table_NFI[[#This Row],[NFI Core Kit]],Table_NFI[NFI Core Kit])</f>
        <v>0</v>
      </c>
      <c r="AA264" s="352">
        <f>IF(NFI_Expiration=1,IF($A264&lt;VLOOKUP(J$5,NFI,5,0),1,0)*Table_NFI[[#This Row],[Sanitary Kit]],Table_NFI[Sanitary Kit])</f>
        <v>0</v>
      </c>
      <c r="AB264" s="352">
        <f>IF(NFI_Expiration=1,IF($A264&lt;VLOOKUP(K$5,NFI,5,0),1,0)*Table_NFI[[#This Row],[Mosquito net]],Table_NFI[Mosquito net])</f>
        <v>0</v>
      </c>
      <c r="AC264" s="352">
        <f>IF(NFI_Expiration=1,IF($A264&lt;VLOOKUP(L$5,NFI,5,0),1,0)*Table_NFI[[#This Row],[Tarpaulin]],Table_NFI[[#This Row],[Tarpaulin]])</f>
        <v>0</v>
      </c>
      <c r="AD264" s="352">
        <f>IF(NFI_Expiration=1,IF($A264&lt;VLOOKUP(M$5,NFI,5,0),1,0)*Table_NFI[[#This Row],[Blanket]],Table_NFI[[#This Row],[Blanket]])</f>
        <v>0</v>
      </c>
      <c r="AE264" s="352">
        <f>IF(NFI_Expiration=1,IF($A264&lt;VLOOKUP(N$5,NFI,5,0),1,0)*Table_NFI[[#This Row],[Kitchen Set]],Table_NFI[Kitchen Set])</f>
        <v>0</v>
      </c>
      <c r="AF264" s="352">
        <f>IF(NFI_Expiration=1,IF($A264&lt;VLOOKUP(O$5,NFI,5,0),1,0)*Table_NFI[[#This Row],[Clothes Kit]],Table_NFI[Clothes Kit])</f>
        <v>0</v>
      </c>
      <c r="AG264" s="352">
        <f>IF(NFI_Expiration=1,IF($A264&lt;VLOOKUP(P$5,NFI,5,0),1,0)*Table_NFI[[#This Row],[Plastic Bucket]],Table_NFI[Plastic Bucket])</f>
        <v>0</v>
      </c>
      <c r="AH264" s="352">
        <f>IF(NFI_Expiration=1,IF($A264&lt;VLOOKUP(Q$5,NFI,5,0),1,0)*Table_NFI[[#This Row],[Plastic Mat]],Table_NFI[Plastic Mat])*IF(Table_NFI[[#This Row],[Distribution Date]]&gt;"2014-04-01",1,2.5)</f>
        <v>0</v>
      </c>
      <c r="AI264" s="352">
        <f>IF(NFI_Expiration=1,IF($A264&lt;VLOOKUP(R$5,NFI,5,0),1,0)*Table_NFI[[#This Row],[Winter Clothes Adult]],Table_NFI[Winter Clothes Adult])</f>
        <v>0</v>
      </c>
      <c r="AJ264" s="352">
        <f>IF(NFI_Expiration=1,IF($A264&lt;VLOOKUP(S$5,NFI,5,0),1,0)*Table_NFI[[#This Row],[Winter Clothes Children]],Table_NFI[Winter Clothes Children])</f>
        <v>0</v>
      </c>
      <c r="AK264" s="352">
        <f>IF(NFI_Expiration=1,IF($A264&lt;VLOOKUP(T$5,NFI,5,0),1,0)*Table_NFI[[#This Row],[Winter Items Other]],Table_NFI[Winter Items Other])</f>
        <v>0</v>
      </c>
      <c r="AL264" s="352">
        <f>IF(NFI_Expiration=1,IF($A264&lt;VLOOKUP(M$5,NFI,5,0),1,0)*Table_NFI[[#This Row],[Winter Blanket]],Table_NFI[[#This Row],[Winter Blanket]])</f>
        <v>0</v>
      </c>
      <c r="AM264" s="352">
        <f>IF(Table_NFI[[#This Row],[Winter Clothes Adult]]+Table_NFI[[#This Row],[Winter Clothes Children]]+Table_NFI[[#This Row],[Winter Items Other]]+Table_NFI[[#This Row],[Winter Blanket]]&gt;0,1,0)</f>
        <v>1</v>
      </c>
      <c r="AN264" s="392">
        <f>IF(NFI_Expiration=1,IF($A264&lt;VLOOKUP(V$5,NFI,5,0),1,0)*Table_NFI[[#This Row],[Jerry Can]],Table_NFI[Jerry Can])</f>
        <v>0</v>
      </c>
      <c r="AO264" s="540" t="str">
        <f>IFERROR(VLOOKUP(Table_NFI[[#This Row],[Camp Name]],CL,2,0),"")</f>
        <v>MMR001CMP202</v>
      </c>
      <c r="AP264" s="535">
        <f ca="1">IF(Table_NFI[[#This Row],[Pcode]]="","",IF(OFFSET(CampList[Opening Date],MATCH(Table_NFI[[#This Row],[Pcode]],CampList[CP_Pcode],0)-1,0,1,1)&gt;=NFI_Monitor_Date,1,0))</f>
        <v>0</v>
      </c>
      <c r="AQ264" s="540" t="str">
        <f>IFERROR(VLOOKUP(Table_NFI[[#This Row],[Camp Name]],CL,3,0),"")</f>
        <v>Closed</v>
      </c>
      <c r="AR264" s="352" t="str">
        <f ca="1">IF(Table_NFI[[#This Row],[Pcode]]="","",OFFSET(CampList[Priority],MATCH(Table_NFI[[#This Row],[Pcode]],CampList[CP_Pcode],0)-1,0,1,1))</f>
        <v>P4</v>
      </c>
      <c r="AS264" s="351" t="str">
        <f>IFERROR(Table_NFI[[#This Row],[Kitchen Set]]/VLOOKUP(Table_NFI[[#This Row],[Camp Name]],CL,4,0),"")</f>
        <v/>
      </c>
      <c r="AT264" s="533" t="s">
        <v>1094</v>
      </c>
      <c r="AU264" s="536"/>
    </row>
    <row r="265" spans="1:47" s="537" customFormat="1" hidden="1" x14ac:dyDescent="0.25">
      <c r="A265" s="355">
        <f t="shared" si="4"/>
        <v>32.1</v>
      </c>
      <c r="B265" s="532">
        <v>41608</v>
      </c>
      <c r="C265" s="533" t="s">
        <v>907</v>
      </c>
      <c r="D265" s="533"/>
      <c r="E265" s="533" t="s">
        <v>380</v>
      </c>
      <c r="F265" s="348" t="s">
        <v>151</v>
      </c>
      <c r="G265" s="348" t="s">
        <v>517</v>
      </c>
      <c r="H265" s="349"/>
      <c r="I265" s="349"/>
      <c r="J265" s="349"/>
      <c r="K265" s="349"/>
      <c r="L265" s="350"/>
      <c r="M265" s="350"/>
      <c r="N265" s="350"/>
      <c r="O265" s="350"/>
      <c r="P265" s="352"/>
      <c r="Q265" s="352"/>
      <c r="R265" s="352"/>
      <c r="S265" s="352"/>
      <c r="T265" s="352"/>
      <c r="U265" s="352"/>
      <c r="V265" s="497"/>
      <c r="W265" s="352"/>
      <c r="X265" s="352"/>
      <c r="Y265" s="352">
        <f>IF(NFI_Expiration=1,IF($A265&lt;VLOOKUP(H$5,NFI,5,0),1,0)*Table_NFI[[#This Row],[Hygiene Kit]],Table_NFI[Hygiene Kit])</f>
        <v>0</v>
      </c>
      <c r="Z265" s="352">
        <f>IF(NFI_Expiration=1,IF($A265&lt;VLOOKUP(I$5,NFI,5,0),1,0)*Table_NFI[[#This Row],[NFI Core Kit]],Table_NFI[NFI Core Kit])</f>
        <v>0</v>
      </c>
      <c r="AA265" s="352">
        <f>IF(NFI_Expiration=1,IF($A265&lt;VLOOKUP(J$5,NFI,5,0),1,0)*Table_NFI[[#This Row],[Sanitary Kit]],Table_NFI[Sanitary Kit])</f>
        <v>0</v>
      </c>
      <c r="AB265" s="352">
        <f>IF(NFI_Expiration=1,IF($A265&lt;VLOOKUP(K$5,NFI,5,0),1,0)*Table_NFI[[#This Row],[Mosquito net]],Table_NFI[Mosquito net])</f>
        <v>0</v>
      </c>
      <c r="AC265" s="352">
        <f>IF(NFI_Expiration=1,IF($A265&lt;VLOOKUP(L$5,NFI,5,0),1,0)*Table_NFI[[#This Row],[Tarpaulin]],Table_NFI[[#This Row],[Tarpaulin]])</f>
        <v>0</v>
      </c>
      <c r="AD265" s="352">
        <f>IF(NFI_Expiration=1,IF($A265&lt;VLOOKUP(M$5,NFI,5,0),1,0)*Table_NFI[[#This Row],[Blanket]],Table_NFI[[#This Row],[Blanket]])</f>
        <v>0</v>
      </c>
      <c r="AE265" s="352">
        <f>IF(NFI_Expiration=1,IF($A265&lt;VLOOKUP(N$5,NFI,5,0),1,0)*Table_NFI[[#This Row],[Kitchen Set]],Table_NFI[Kitchen Set])</f>
        <v>0</v>
      </c>
      <c r="AF265" s="352">
        <f>IF(NFI_Expiration=1,IF($A265&lt;VLOOKUP(O$5,NFI,5,0),1,0)*Table_NFI[[#This Row],[Clothes Kit]],Table_NFI[Clothes Kit])</f>
        <v>0</v>
      </c>
      <c r="AG265" s="352">
        <f>IF(NFI_Expiration=1,IF($A265&lt;VLOOKUP(P$5,NFI,5,0),1,0)*Table_NFI[[#This Row],[Plastic Bucket]],Table_NFI[Plastic Bucket])</f>
        <v>0</v>
      </c>
      <c r="AH265" s="352">
        <f>IF(NFI_Expiration=1,IF($A265&lt;VLOOKUP(Q$5,NFI,5,0),1,0)*Table_NFI[[#This Row],[Plastic Mat]],Table_NFI[Plastic Mat])*IF(Table_NFI[[#This Row],[Distribution Date]]&gt;"2014-04-01",1,2.5)</f>
        <v>0</v>
      </c>
      <c r="AI265" s="352">
        <f>IF(NFI_Expiration=1,IF($A265&lt;VLOOKUP(R$5,NFI,5,0),1,0)*Table_NFI[[#This Row],[Winter Clothes Adult]],Table_NFI[Winter Clothes Adult])</f>
        <v>0</v>
      </c>
      <c r="AJ265" s="352">
        <f>IF(NFI_Expiration=1,IF($A265&lt;VLOOKUP(S$5,NFI,5,0),1,0)*Table_NFI[[#This Row],[Winter Clothes Children]],Table_NFI[Winter Clothes Children])</f>
        <v>0</v>
      </c>
      <c r="AK265" s="352">
        <f>IF(NFI_Expiration=1,IF($A265&lt;VLOOKUP(T$5,NFI,5,0),1,0)*Table_NFI[[#This Row],[Winter Items Other]],Table_NFI[Winter Items Other])</f>
        <v>0</v>
      </c>
      <c r="AL265" s="352">
        <f>IF(NFI_Expiration=1,IF($A265&lt;VLOOKUP(M$5,NFI,5,0),1,0)*Table_NFI[[#This Row],[Winter Blanket]],Table_NFI[[#This Row],[Winter Blanket]])</f>
        <v>0</v>
      </c>
      <c r="AM265" s="352">
        <f>IF(Table_NFI[[#This Row],[Winter Clothes Adult]]+Table_NFI[[#This Row],[Winter Clothes Children]]+Table_NFI[[#This Row],[Winter Items Other]]+Table_NFI[[#This Row],[Winter Blanket]]&gt;0,1,0)</f>
        <v>0</v>
      </c>
      <c r="AN265" s="392">
        <f>IF(NFI_Expiration=1,IF($A265&lt;VLOOKUP(V$5,NFI,5,0),1,0)*Table_NFI[[#This Row],[Jerry Can]],Table_NFI[Jerry Can])</f>
        <v>0</v>
      </c>
      <c r="AO265" s="540" t="str">
        <f>IFERROR(VLOOKUP(Table_NFI[[#This Row],[Camp Name]],CL,2,0),"")</f>
        <v>MMR001CMP202</v>
      </c>
      <c r="AP265" s="535">
        <f ca="1">IF(Table_NFI[[#This Row],[Pcode]]="","",IF(OFFSET(CampList[Opening Date],MATCH(Table_NFI[[#This Row],[Pcode]],CampList[CP_Pcode],0)-1,0,1,1)&gt;=NFI_Monitor_Date,1,0))</f>
        <v>0</v>
      </c>
      <c r="AQ265" s="540" t="str">
        <f>IFERROR(VLOOKUP(Table_NFI[[#This Row],[Camp Name]],CL,3,0),"")</f>
        <v>Closed</v>
      </c>
      <c r="AR265" s="352" t="str">
        <f ca="1">IF(Table_NFI[[#This Row],[Pcode]]="","",OFFSET(CampList[Priority],MATCH(Table_NFI[[#This Row],[Pcode]],CampList[CP_Pcode],0)-1,0,1,1))</f>
        <v>P4</v>
      </c>
      <c r="AS265" s="351" t="str">
        <f>IFERROR(Table_NFI[[#This Row],[Kitchen Set]]/VLOOKUP(Table_NFI[[#This Row],[Camp Name]],CL,4,0),"")</f>
        <v/>
      </c>
      <c r="AT265" s="533" t="s">
        <v>1094</v>
      </c>
      <c r="AU265" s="536"/>
    </row>
    <row r="266" spans="1:47" s="537" customFormat="1" hidden="1" x14ac:dyDescent="0.25">
      <c r="A266" s="355">
        <f t="shared" si="4"/>
        <v>32.233333333333334</v>
      </c>
      <c r="B266" s="532">
        <v>41604</v>
      </c>
      <c r="C266" s="533" t="s">
        <v>907</v>
      </c>
      <c r="D266" s="533" t="s">
        <v>907</v>
      </c>
      <c r="E266" s="533" t="s">
        <v>380</v>
      </c>
      <c r="F266" s="533" t="s">
        <v>151</v>
      </c>
      <c r="G266" s="533" t="s">
        <v>517</v>
      </c>
      <c r="H266" s="349"/>
      <c r="I266" s="349"/>
      <c r="J266" s="349"/>
      <c r="K266" s="349"/>
      <c r="L266" s="350"/>
      <c r="M266" s="350"/>
      <c r="N266" s="350"/>
      <c r="O266" s="350"/>
      <c r="P266" s="352"/>
      <c r="Q266" s="352"/>
      <c r="R266" s="352">
        <v>80</v>
      </c>
      <c r="S266" s="352">
        <v>160</v>
      </c>
      <c r="T266" s="352">
        <v>480</v>
      </c>
      <c r="U266" s="352">
        <v>240</v>
      </c>
      <c r="V266" s="497"/>
      <c r="W266" s="352"/>
      <c r="X266" s="352"/>
      <c r="Y266" s="352">
        <f>IF(NFI_Expiration=1,IF($A266&lt;VLOOKUP(H$5,NFI,5,0),1,0)*Table_NFI[[#This Row],[Hygiene Kit]],Table_NFI[Hygiene Kit])</f>
        <v>0</v>
      </c>
      <c r="Z266" s="352">
        <f>IF(NFI_Expiration=1,IF($A266&lt;VLOOKUP(I$5,NFI,5,0),1,0)*Table_NFI[[#This Row],[NFI Core Kit]],Table_NFI[NFI Core Kit])</f>
        <v>0</v>
      </c>
      <c r="AA266" s="352">
        <f>IF(NFI_Expiration=1,IF($A266&lt;VLOOKUP(J$5,NFI,5,0),1,0)*Table_NFI[[#This Row],[Sanitary Kit]],Table_NFI[Sanitary Kit])</f>
        <v>0</v>
      </c>
      <c r="AB266" s="352">
        <f>IF(NFI_Expiration=1,IF($A266&lt;VLOOKUP(K$5,NFI,5,0),1,0)*Table_NFI[[#This Row],[Mosquito net]],Table_NFI[Mosquito net])</f>
        <v>0</v>
      </c>
      <c r="AC266" s="352">
        <f>IF(NFI_Expiration=1,IF($A266&lt;VLOOKUP(L$5,NFI,5,0),1,0)*Table_NFI[[#This Row],[Tarpaulin]],Table_NFI[[#This Row],[Tarpaulin]])</f>
        <v>0</v>
      </c>
      <c r="AD266" s="352">
        <f>IF(NFI_Expiration=1,IF($A266&lt;VLOOKUP(M$5,NFI,5,0),1,0)*Table_NFI[[#This Row],[Blanket]],Table_NFI[[#This Row],[Blanket]])</f>
        <v>0</v>
      </c>
      <c r="AE266" s="352">
        <f>IF(NFI_Expiration=1,IF($A266&lt;VLOOKUP(N$5,NFI,5,0),1,0)*Table_NFI[[#This Row],[Kitchen Set]],Table_NFI[Kitchen Set])</f>
        <v>0</v>
      </c>
      <c r="AF266" s="352">
        <f>IF(NFI_Expiration=1,IF($A266&lt;VLOOKUP(O$5,NFI,5,0),1,0)*Table_NFI[[#This Row],[Clothes Kit]],Table_NFI[Clothes Kit])</f>
        <v>0</v>
      </c>
      <c r="AG266" s="352">
        <f>IF(NFI_Expiration=1,IF($A266&lt;VLOOKUP(P$5,NFI,5,0),1,0)*Table_NFI[[#This Row],[Plastic Bucket]],Table_NFI[Plastic Bucket])</f>
        <v>0</v>
      </c>
      <c r="AH266" s="352">
        <f>IF(NFI_Expiration=1,IF($A266&lt;VLOOKUP(Q$5,NFI,5,0),1,0)*Table_NFI[[#This Row],[Plastic Mat]],Table_NFI[Plastic Mat])*IF(Table_NFI[[#This Row],[Distribution Date]]&gt;"2014-04-01",1,2.5)</f>
        <v>0</v>
      </c>
      <c r="AI266" s="352">
        <f>IF(NFI_Expiration=1,IF($A266&lt;VLOOKUP(R$5,NFI,5,0),1,0)*Table_NFI[[#This Row],[Winter Clothes Adult]],Table_NFI[Winter Clothes Adult])</f>
        <v>0</v>
      </c>
      <c r="AJ266" s="352">
        <f>IF(NFI_Expiration=1,IF($A266&lt;VLOOKUP(S$5,NFI,5,0),1,0)*Table_NFI[[#This Row],[Winter Clothes Children]],Table_NFI[Winter Clothes Children])</f>
        <v>0</v>
      </c>
      <c r="AK266" s="352">
        <f>IF(NFI_Expiration=1,IF($A266&lt;VLOOKUP(T$5,NFI,5,0),1,0)*Table_NFI[[#This Row],[Winter Items Other]],Table_NFI[Winter Items Other])</f>
        <v>0</v>
      </c>
      <c r="AL266" s="352">
        <f>IF(NFI_Expiration=1,IF($A266&lt;VLOOKUP(M$5,NFI,5,0),1,0)*Table_NFI[[#This Row],[Winter Blanket]],Table_NFI[[#This Row],[Winter Blanket]])</f>
        <v>0</v>
      </c>
      <c r="AM266" s="352">
        <f>IF(Table_NFI[[#This Row],[Winter Clothes Adult]]+Table_NFI[[#This Row],[Winter Clothes Children]]+Table_NFI[[#This Row],[Winter Items Other]]+Table_NFI[[#This Row],[Winter Blanket]]&gt;0,1,0)</f>
        <v>1</v>
      </c>
      <c r="AN266" s="392">
        <f>IF(NFI_Expiration=1,IF($A266&lt;VLOOKUP(V$5,NFI,5,0),1,0)*Table_NFI[[#This Row],[Jerry Can]],Table_NFI[Jerry Can])</f>
        <v>0</v>
      </c>
      <c r="AO266" s="540" t="str">
        <f>IFERROR(VLOOKUP(Table_NFI[[#This Row],[Camp Name]],CL,2,0),"")</f>
        <v>MMR001CMP202</v>
      </c>
      <c r="AP266" s="535">
        <f ca="1">IF(Table_NFI[[#This Row],[Pcode]]="","",IF(OFFSET(CampList[Opening Date],MATCH(Table_NFI[[#This Row],[Pcode]],CampList[CP_Pcode],0)-1,0,1,1)&gt;=NFI_Monitor_Date,1,0))</f>
        <v>0</v>
      </c>
      <c r="AQ266" s="540" t="str">
        <f>IFERROR(VLOOKUP(Table_NFI[[#This Row],[Camp Name]],CL,3,0),"")</f>
        <v>Closed</v>
      </c>
      <c r="AR266" s="352" t="str">
        <f ca="1">IF(Table_NFI[[#This Row],[Pcode]]="","",OFFSET(CampList[Priority],MATCH(Table_NFI[[#This Row],[Pcode]],CampList[CP_Pcode],0)-1,0,1,1))</f>
        <v>P4</v>
      </c>
      <c r="AS266" s="351" t="str">
        <f>IFERROR(Table_NFI[[#This Row],[Kitchen Set]]/VLOOKUP(Table_NFI[[#This Row],[Camp Name]],CL,4,0),"")</f>
        <v/>
      </c>
      <c r="AT266" s="533"/>
      <c r="AU266" s="536"/>
    </row>
    <row r="267" spans="1:47" s="537" customFormat="1" hidden="1" x14ac:dyDescent="0.25">
      <c r="A267" s="355">
        <f t="shared" si="4"/>
        <v>32.633333333333333</v>
      </c>
      <c r="B267" s="532">
        <v>41592</v>
      </c>
      <c r="C267" s="533" t="s">
        <v>907</v>
      </c>
      <c r="D267" s="533" t="s">
        <v>907</v>
      </c>
      <c r="E267" s="533" t="s">
        <v>380</v>
      </c>
      <c r="F267" s="533" t="s">
        <v>151</v>
      </c>
      <c r="G267" s="533" t="s">
        <v>517</v>
      </c>
      <c r="H267" s="349"/>
      <c r="I267" s="349"/>
      <c r="J267" s="349"/>
      <c r="K267" s="349"/>
      <c r="L267" s="350"/>
      <c r="M267" s="350"/>
      <c r="N267" s="350"/>
      <c r="O267" s="350"/>
      <c r="P267" s="352"/>
      <c r="Q267" s="352"/>
      <c r="R267" s="352">
        <v>120</v>
      </c>
      <c r="S267" s="352">
        <v>207</v>
      </c>
      <c r="T267" s="352">
        <v>654</v>
      </c>
      <c r="U267" s="352">
        <v>327</v>
      </c>
      <c r="V267" s="497"/>
      <c r="W267" s="352"/>
      <c r="X267" s="352"/>
      <c r="Y267" s="352">
        <f>IF(NFI_Expiration=1,IF($A267&lt;VLOOKUP(H$5,NFI,5,0),1,0)*Table_NFI[[#This Row],[Hygiene Kit]],Table_NFI[Hygiene Kit])</f>
        <v>0</v>
      </c>
      <c r="Z267" s="352">
        <f>IF(NFI_Expiration=1,IF($A267&lt;VLOOKUP(I$5,NFI,5,0),1,0)*Table_NFI[[#This Row],[NFI Core Kit]],Table_NFI[NFI Core Kit])</f>
        <v>0</v>
      </c>
      <c r="AA267" s="352">
        <f>IF(NFI_Expiration=1,IF($A267&lt;VLOOKUP(J$5,NFI,5,0),1,0)*Table_NFI[[#This Row],[Sanitary Kit]],Table_NFI[Sanitary Kit])</f>
        <v>0</v>
      </c>
      <c r="AB267" s="352">
        <f>IF(NFI_Expiration=1,IF($A267&lt;VLOOKUP(K$5,NFI,5,0),1,0)*Table_NFI[[#This Row],[Mosquito net]],Table_NFI[Mosquito net])</f>
        <v>0</v>
      </c>
      <c r="AC267" s="352">
        <f>IF(NFI_Expiration=1,IF($A267&lt;VLOOKUP(L$5,NFI,5,0),1,0)*Table_NFI[[#This Row],[Tarpaulin]],Table_NFI[[#This Row],[Tarpaulin]])</f>
        <v>0</v>
      </c>
      <c r="AD267" s="352">
        <f>IF(NFI_Expiration=1,IF($A267&lt;VLOOKUP(M$5,NFI,5,0),1,0)*Table_NFI[[#This Row],[Blanket]],Table_NFI[[#This Row],[Blanket]])</f>
        <v>0</v>
      </c>
      <c r="AE267" s="352">
        <f>IF(NFI_Expiration=1,IF($A267&lt;VLOOKUP(N$5,NFI,5,0),1,0)*Table_NFI[[#This Row],[Kitchen Set]],Table_NFI[Kitchen Set])</f>
        <v>0</v>
      </c>
      <c r="AF267" s="352">
        <f>IF(NFI_Expiration=1,IF($A267&lt;VLOOKUP(O$5,NFI,5,0),1,0)*Table_NFI[[#This Row],[Clothes Kit]],Table_NFI[Clothes Kit])</f>
        <v>0</v>
      </c>
      <c r="AG267" s="352">
        <f>IF(NFI_Expiration=1,IF($A267&lt;VLOOKUP(P$5,NFI,5,0),1,0)*Table_NFI[[#This Row],[Plastic Bucket]],Table_NFI[Plastic Bucket])</f>
        <v>0</v>
      </c>
      <c r="AH267" s="352">
        <f>IF(NFI_Expiration=1,IF($A267&lt;VLOOKUP(Q$5,NFI,5,0),1,0)*Table_NFI[[#This Row],[Plastic Mat]],Table_NFI[Plastic Mat])*IF(Table_NFI[[#This Row],[Distribution Date]]&gt;"2014-04-01",1,2.5)</f>
        <v>0</v>
      </c>
      <c r="AI267" s="352">
        <f>IF(NFI_Expiration=1,IF($A267&lt;VLOOKUP(R$5,NFI,5,0),1,0)*Table_NFI[[#This Row],[Winter Clothes Adult]],Table_NFI[Winter Clothes Adult])</f>
        <v>0</v>
      </c>
      <c r="AJ267" s="352">
        <f>IF(NFI_Expiration=1,IF($A267&lt;VLOOKUP(S$5,NFI,5,0),1,0)*Table_NFI[[#This Row],[Winter Clothes Children]],Table_NFI[Winter Clothes Children])</f>
        <v>0</v>
      </c>
      <c r="AK267" s="352">
        <f>IF(NFI_Expiration=1,IF($A267&lt;VLOOKUP(T$5,NFI,5,0),1,0)*Table_NFI[[#This Row],[Winter Items Other]],Table_NFI[Winter Items Other])</f>
        <v>0</v>
      </c>
      <c r="AL267" s="352">
        <f>IF(NFI_Expiration=1,IF($A267&lt;VLOOKUP(M$5,NFI,5,0),1,0)*Table_NFI[[#This Row],[Winter Blanket]],Table_NFI[[#This Row],[Winter Blanket]])</f>
        <v>0</v>
      </c>
      <c r="AM267" s="352">
        <f>IF(Table_NFI[[#This Row],[Winter Clothes Adult]]+Table_NFI[[#This Row],[Winter Clothes Children]]+Table_NFI[[#This Row],[Winter Items Other]]+Table_NFI[[#This Row],[Winter Blanket]]&gt;0,1,0)</f>
        <v>1</v>
      </c>
      <c r="AN267" s="392">
        <f>IF(NFI_Expiration=1,IF($A267&lt;VLOOKUP(V$5,NFI,5,0),1,0)*Table_NFI[[#This Row],[Jerry Can]],Table_NFI[Jerry Can])</f>
        <v>0</v>
      </c>
      <c r="AO267" s="540" t="str">
        <f>IFERROR(VLOOKUP(Table_NFI[[#This Row],[Camp Name]],CL,2,0),"")</f>
        <v>MMR001CMP202</v>
      </c>
      <c r="AP267" s="535">
        <f ca="1">IF(Table_NFI[[#This Row],[Pcode]]="","",IF(OFFSET(CampList[Opening Date],MATCH(Table_NFI[[#This Row],[Pcode]],CampList[CP_Pcode],0)-1,0,1,1)&gt;=NFI_Monitor_Date,1,0))</f>
        <v>0</v>
      </c>
      <c r="AQ267" s="540" t="str">
        <f>IFERROR(VLOOKUP(Table_NFI[[#This Row],[Camp Name]],CL,3,0),"")</f>
        <v>Closed</v>
      </c>
      <c r="AR267" s="352" t="str">
        <f ca="1">IF(Table_NFI[[#This Row],[Pcode]]="","",OFFSET(CampList[Priority],MATCH(Table_NFI[[#This Row],[Pcode]],CampList[CP_Pcode],0)-1,0,1,1))</f>
        <v>P4</v>
      </c>
      <c r="AS267" s="351" t="str">
        <f>IFERROR(Table_NFI[[#This Row],[Kitchen Set]]/VLOOKUP(Table_NFI[[#This Row],[Camp Name]],CL,4,0),"")</f>
        <v/>
      </c>
      <c r="AT267" s="533"/>
      <c r="AU267" s="536"/>
    </row>
    <row r="268" spans="1:47" s="537" customFormat="1" ht="14.45" customHeight="1" x14ac:dyDescent="0.25">
      <c r="A268" s="355">
        <f t="shared" si="4"/>
        <v>22.266666666666666</v>
      </c>
      <c r="B268" s="532">
        <v>41903</v>
      </c>
      <c r="C268" s="533" t="s">
        <v>453</v>
      </c>
      <c r="D268" s="533"/>
      <c r="E268" s="533" t="s">
        <v>380</v>
      </c>
      <c r="F268" s="533" t="s">
        <v>185</v>
      </c>
      <c r="G268" s="533" t="s">
        <v>215</v>
      </c>
      <c r="H268" s="349"/>
      <c r="I268" s="349"/>
      <c r="J268" s="349"/>
      <c r="K268" s="349">
        <v>604</v>
      </c>
      <c r="L268" s="350"/>
      <c r="M268" s="350"/>
      <c r="N268" s="350"/>
      <c r="O268" s="350"/>
      <c r="P268" s="352"/>
      <c r="Q268" s="352"/>
      <c r="R268" s="352"/>
      <c r="S268" s="352"/>
      <c r="T268" s="352"/>
      <c r="U268" s="352">
        <v>784</v>
      </c>
      <c r="V268" s="497"/>
      <c r="W268" s="352"/>
      <c r="X268" s="352"/>
      <c r="Y268" s="352">
        <f>IF(NFI_Expiration=1,IF($A268&lt;VLOOKUP(H$5,NFI,5,0),1,0)*Table_NFI[[#This Row],[Hygiene Kit]],Table_NFI[Hygiene Kit])</f>
        <v>0</v>
      </c>
      <c r="Z268" s="352">
        <f>IF(NFI_Expiration=1,IF($A268&lt;VLOOKUP(I$5,NFI,5,0),1,0)*Table_NFI[[#This Row],[NFI Core Kit]],Table_NFI[NFI Core Kit])</f>
        <v>0</v>
      </c>
      <c r="AA268" s="352">
        <f>IF(NFI_Expiration=1,IF($A268&lt;VLOOKUP(J$5,NFI,5,0),1,0)*Table_NFI[[#This Row],[Sanitary Kit]],Table_NFI[Sanitary Kit])</f>
        <v>0</v>
      </c>
      <c r="AB268" s="352">
        <f>IF(NFI_Expiration=1,IF($A268&lt;VLOOKUP(K$5,NFI,5,0),1,0)*Table_NFI[[#This Row],[Mosquito net]],Table_NFI[Mosquito net])</f>
        <v>0</v>
      </c>
      <c r="AC268" s="352">
        <f>IF(NFI_Expiration=1,IF($A268&lt;VLOOKUP(L$5,NFI,5,0),1,0)*Table_NFI[[#This Row],[Tarpaulin]],Table_NFI[[#This Row],[Tarpaulin]])</f>
        <v>0</v>
      </c>
      <c r="AD268" s="352">
        <f>IF(NFI_Expiration=1,IF($A268&lt;VLOOKUP(M$5,NFI,5,0),1,0)*Table_NFI[[#This Row],[Blanket]],Table_NFI[[#This Row],[Blanket]])</f>
        <v>0</v>
      </c>
      <c r="AE268" s="352">
        <f>IF(NFI_Expiration=1,IF($A268&lt;VLOOKUP(N$5,NFI,5,0),1,0)*Table_NFI[[#This Row],[Kitchen Set]],Table_NFI[Kitchen Set])</f>
        <v>0</v>
      </c>
      <c r="AF268" s="352">
        <f>IF(NFI_Expiration=1,IF($A268&lt;VLOOKUP(O$5,NFI,5,0),1,0)*Table_NFI[[#This Row],[Clothes Kit]],Table_NFI[Clothes Kit])</f>
        <v>0</v>
      </c>
      <c r="AG268" s="352">
        <f>IF(NFI_Expiration=1,IF($A268&lt;VLOOKUP(P$5,NFI,5,0),1,0)*Table_NFI[[#This Row],[Plastic Bucket]],Table_NFI[Plastic Bucket])</f>
        <v>0</v>
      </c>
      <c r="AH268" s="352">
        <f>IF(NFI_Expiration=1,IF($A268&lt;VLOOKUP(Q$5,NFI,5,0),1,0)*Table_NFI[[#This Row],[Plastic Mat]],Table_NFI[Plastic Mat])*IF(Table_NFI[[#This Row],[Distribution Date]]&gt;"2014-04-01",1,2.5)</f>
        <v>0</v>
      </c>
      <c r="AI268" s="352">
        <f>IF(NFI_Expiration=1,IF($A268&lt;VLOOKUP(R$5,NFI,5,0),1,0)*Table_NFI[[#This Row],[Winter Clothes Adult]],Table_NFI[Winter Clothes Adult])</f>
        <v>0</v>
      </c>
      <c r="AJ268" s="352">
        <f>IF(NFI_Expiration=1,IF($A268&lt;VLOOKUP(S$5,NFI,5,0),1,0)*Table_NFI[[#This Row],[Winter Clothes Children]],Table_NFI[Winter Clothes Children])</f>
        <v>0</v>
      </c>
      <c r="AK268" s="352">
        <f>IF(NFI_Expiration=1,IF($A268&lt;VLOOKUP(T$5,NFI,5,0),1,0)*Table_NFI[[#This Row],[Winter Items Other]],Table_NFI[Winter Items Other])</f>
        <v>0</v>
      </c>
      <c r="AL268" s="352">
        <f>IF(NFI_Expiration=1,IF($A268&lt;VLOOKUP(M$5,NFI,5,0),1,0)*Table_NFI[[#This Row],[Winter Blanket]],Table_NFI[[#This Row],[Winter Blanket]])</f>
        <v>0</v>
      </c>
      <c r="AM268" s="352">
        <f>IF(Table_NFI[[#This Row],[Winter Clothes Adult]]+Table_NFI[[#This Row],[Winter Clothes Children]]+Table_NFI[[#This Row],[Winter Items Other]]+Table_NFI[[#This Row],[Winter Blanket]]&gt;0,1,0)</f>
        <v>1</v>
      </c>
      <c r="AN268" s="392">
        <f>IF(NFI_Expiration=1,IF($A268&lt;VLOOKUP(V$5,NFI,5,0),1,0)*Table_NFI[[#This Row],[Jerry Can]],Table_NFI[Jerry Can])</f>
        <v>0</v>
      </c>
      <c r="AO268" s="540" t="str">
        <f>IFERROR(VLOOKUP(Table_NFI[[#This Row],[Camp Name]],CL,2,0),"")</f>
        <v>MMR001CMP131</v>
      </c>
      <c r="AP268" s="535">
        <f ca="1">IF(Table_NFI[[#This Row],[Pcode]]="","",IF(OFFSET(CampList[Opening Date],MATCH(Table_NFI[[#This Row],[Pcode]],CampList[CP_Pcode],0)-1,0,1,1)&gt;=NFI_Monitor_Date,1,0))</f>
        <v>0</v>
      </c>
      <c r="AQ268" s="540" t="str">
        <f>IFERROR(VLOOKUP(Table_NFI[[#This Row],[Camp Name]],CL,3,0),"")</f>
        <v>Open</v>
      </c>
      <c r="AR268" s="352" t="str">
        <f ca="1">IF(Table_NFI[[#This Row],[Pcode]]="","",OFFSET(CampList[Priority],MATCH(Table_NFI[[#This Row],[Pcode]],CampList[CP_Pcode],0)-1,0,1,1))</f>
        <v>P1</v>
      </c>
      <c r="AS268" s="351">
        <f>IFERROR(Table_NFI[[#This Row],[Kitchen Set]]/VLOOKUP(Table_NFI[[#This Row],[Camp Name]],CL,4,0),"")</f>
        <v>0</v>
      </c>
      <c r="AT268" s="533"/>
      <c r="AU268" s="536"/>
    </row>
    <row r="269" spans="1:47" s="537" customFormat="1" hidden="1" x14ac:dyDescent="0.2">
      <c r="A269" s="355">
        <f t="shared" si="4"/>
        <v>12.866666666666667</v>
      </c>
      <c r="B269" s="532">
        <v>42185</v>
      </c>
      <c r="C269" s="533" t="s">
        <v>907</v>
      </c>
      <c r="D269" s="534" t="s">
        <v>907</v>
      </c>
      <c r="E269" s="533" t="s">
        <v>380</v>
      </c>
      <c r="F269" s="348" t="s">
        <v>310</v>
      </c>
      <c r="G269" s="348" t="s">
        <v>1251</v>
      </c>
      <c r="H269" s="350"/>
      <c r="I269" s="350"/>
      <c r="J269" s="677">
        <v>825</v>
      </c>
      <c r="K269" s="350"/>
      <c r="L269" s="350"/>
      <c r="M269" s="350"/>
      <c r="N269" s="350"/>
      <c r="O269" s="350"/>
      <c r="P269" s="352"/>
      <c r="Q269" s="392"/>
      <c r="R269" s="392"/>
      <c r="S269" s="392"/>
      <c r="T269" s="392"/>
      <c r="U269" s="392"/>
      <c r="V269" s="497"/>
      <c r="W269" s="392"/>
      <c r="X269" s="392"/>
      <c r="Y269" s="352">
        <f>IF(NFI_Expiration=1,IF($A269&lt;VLOOKUP(H$5,NFI,5,0),1,0)*Table_NFI[[#This Row],[Hygiene Kit]],Table_NFI[Hygiene Kit])</f>
        <v>0</v>
      </c>
      <c r="Z269" s="352">
        <f>IF(NFI_Expiration=1,IF($A269&lt;VLOOKUP(I$5,NFI,5,0),1,0)*Table_NFI[[#This Row],[NFI Core Kit]],Table_NFI[NFI Core Kit])</f>
        <v>0</v>
      </c>
      <c r="AA269" s="352">
        <f>IF(NFI_Expiration=1,IF($A269&lt;VLOOKUP(J$5,NFI,5,0),1,0)*Table_NFI[[#This Row],[Sanitary Kit]],Table_NFI[Sanitary Kit])</f>
        <v>0</v>
      </c>
      <c r="AB269" s="352">
        <f>IF(NFI_Expiration=1,IF($A269&lt;VLOOKUP(K$5,NFI,5,0),1,0)*Table_NFI[[#This Row],[Mosquito net]],Table_NFI[Mosquito net])</f>
        <v>0</v>
      </c>
      <c r="AC269" s="352">
        <f>IF(NFI_Expiration=1,IF($A269&lt;VLOOKUP(L$5,NFI,5,0),1,0)*Table_NFI[[#This Row],[Tarpaulin]],Table_NFI[[#This Row],[Tarpaulin]])</f>
        <v>0</v>
      </c>
      <c r="AD269" s="352">
        <f>IF(NFI_Expiration=1,IF($A269&lt;VLOOKUP(M$5,NFI,5,0),1,0)*Table_NFI[[#This Row],[Blanket]],Table_NFI[[#This Row],[Blanket]])</f>
        <v>0</v>
      </c>
      <c r="AE269" s="352">
        <f>IF(NFI_Expiration=1,IF($A269&lt;VLOOKUP(N$5,NFI,5,0),1,0)*Table_NFI[[#This Row],[Kitchen Set]],Table_NFI[Kitchen Set])</f>
        <v>0</v>
      </c>
      <c r="AF269" s="352">
        <f>IF(NFI_Expiration=1,IF($A269&lt;VLOOKUP(O$5,NFI,5,0),1,0)*Table_NFI[[#This Row],[Clothes Kit]],Table_NFI[Clothes Kit])</f>
        <v>0</v>
      </c>
      <c r="AG269" s="352">
        <f>IF(NFI_Expiration=1,IF($A269&lt;VLOOKUP(P$5,NFI,5,0),1,0)*Table_NFI[[#This Row],[Plastic Bucket]],Table_NFI[Plastic Bucket])</f>
        <v>0</v>
      </c>
      <c r="AH269" s="352">
        <f>IF(NFI_Expiration=1,IF($A269&lt;VLOOKUP(Q$5,NFI,5,0),1,0)*Table_NFI[[#This Row],[Plastic Mat]],Table_NFI[Plastic Mat])*IF(Table_NFI[[#This Row],[Distribution Date]]&gt;"2014-04-01",1,2.5)</f>
        <v>0</v>
      </c>
      <c r="AI269" s="352">
        <f>IF(NFI_Expiration=1,IF($A269&lt;VLOOKUP(R$5,NFI,5,0),1,0)*Table_NFI[[#This Row],[Winter Clothes Adult]],Table_NFI[Winter Clothes Adult])</f>
        <v>0</v>
      </c>
      <c r="AJ269" s="352">
        <f>IF(NFI_Expiration=1,IF($A269&lt;VLOOKUP(S$5,NFI,5,0),1,0)*Table_NFI[[#This Row],[Winter Clothes Children]],Table_NFI[Winter Clothes Children])</f>
        <v>0</v>
      </c>
      <c r="AK269" s="352">
        <f>IF(NFI_Expiration=1,IF($A269&lt;VLOOKUP(T$5,NFI,5,0),1,0)*Table_NFI[[#This Row],[Winter Items Other]],Table_NFI[Winter Items Other])</f>
        <v>0</v>
      </c>
      <c r="AL269" s="352">
        <f>IF(NFI_Expiration=1,IF($A269&lt;VLOOKUP(M$5,NFI,5,0),1,0)*Table_NFI[[#This Row],[Winter Blanket]],Table_NFI[[#This Row],[Winter Blanket]])</f>
        <v>0</v>
      </c>
      <c r="AM269" s="352">
        <f>IF(Table_NFI[[#This Row],[Winter Clothes Adult]]+Table_NFI[[#This Row],[Winter Clothes Children]]+Table_NFI[[#This Row],[Winter Items Other]]+Table_NFI[[#This Row],[Winter Blanket]]&gt;0,1,0)</f>
        <v>0</v>
      </c>
      <c r="AN269" s="392">
        <f>IF(NFI_Expiration=1,IF($A269&lt;VLOOKUP(V$5,NFI,5,0),1,0)*Table_NFI[[#This Row],[Jerry Can]],Table_NFI[Jerry Can])</f>
        <v>0</v>
      </c>
      <c r="AO269" s="540" t="str">
        <f>IFERROR(VLOOKUP(Table_NFI[[#This Row],[Camp Name]],CL,2,0),"")</f>
        <v>MMR001CMP117</v>
      </c>
      <c r="AP269" s="535">
        <f ca="1">IF(Table_NFI[[#This Row],[Pcode]]="","",IF(OFFSET(CampList[Opening Date],MATCH(Table_NFI[[#This Row],[Pcode]],CampList[CP_Pcode],0)-1,0,1,1)&gt;=NFI_Monitor_Date,1,0))</f>
        <v>0</v>
      </c>
      <c r="AQ269" s="540" t="str">
        <f>IFERROR(VLOOKUP(Table_NFI[[#This Row],[Camp Name]],CL,3,0),"")</f>
        <v>Closed</v>
      </c>
      <c r="AR269" s="352" t="str">
        <f ca="1">IF(Table_NFI[[#This Row],[Pcode]]="","",OFFSET(CampList[Priority],MATCH(Table_NFI[[#This Row],[Pcode]],CampList[CP_Pcode],0)-1,0,1,1))</f>
        <v>P2</v>
      </c>
      <c r="AS269" s="351" t="str">
        <f>IFERROR(Table_NFI[[#This Row],[Kitchen Set]]/VLOOKUP(Table_NFI[[#This Row],[Camp Name]],CL,4,0),"")</f>
        <v/>
      </c>
      <c r="AT269" s="533"/>
      <c r="AU269" s="541"/>
    </row>
    <row r="270" spans="1:47" s="537" customFormat="1" hidden="1" x14ac:dyDescent="0.25">
      <c r="A270" s="355">
        <f t="shared" si="4"/>
        <v>32.1</v>
      </c>
      <c r="B270" s="532">
        <v>41608</v>
      </c>
      <c r="C270" s="533" t="s">
        <v>907</v>
      </c>
      <c r="D270" s="533" t="s">
        <v>461</v>
      </c>
      <c r="E270" s="533" t="s">
        <v>380</v>
      </c>
      <c r="F270" s="348" t="s">
        <v>310</v>
      </c>
      <c r="G270" s="348" t="s">
        <v>1251</v>
      </c>
      <c r="H270" s="349"/>
      <c r="I270" s="349"/>
      <c r="J270" s="349"/>
      <c r="K270" s="349"/>
      <c r="L270" s="350"/>
      <c r="M270" s="350"/>
      <c r="N270" s="350"/>
      <c r="O270" s="350"/>
      <c r="P270" s="352"/>
      <c r="Q270" s="352">
        <v>729</v>
      </c>
      <c r="R270" s="352"/>
      <c r="S270" s="352"/>
      <c r="T270" s="352"/>
      <c r="U270" s="352"/>
      <c r="V270" s="497"/>
      <c r="W270" s="352"/>
      <c r="X270" s="352"/>
      <c r="Y270" s="352">
        <f>IF(NFI_Expiration=1,IF($A270&lt;VLOOKUP(H$5,NFI,5,0),1,0)*Table_NFI[[#This Row],[Hygiene Kit]],Table_NFI[Hygiene Kit])</f>
        <v>0</v>
      </c>
      <c r="Z270" s="352">
        <f>IF(NFI_Expiration=1,IF($A270&lt;VLOOKUP(I$5,NFI,5,0),1,0)*Table_NFI[[#This Row],[NFI Core Kit]],Table_NFI[NFI Core Kit])</f>
        <v>0</v>
      </c>
      <c r="AA270" s="352">
        <f>IF(NFI_Expiration=1,IF($A270&lt;VLOOKUP(J$5,NFI,5,0),1,0)*Table_NFI[[#This Row],[Sanitary Kit]],Table_NFI[Sanitary Kit])</f>
        <v>0</v>
      </c>
      <c r="AB270" s="352">
        <f>IF(NFI_Expiration=1,IF($A270&lt;VLOOKUP(K$5,NFI,5,0),1,0)*Table_NFI[[#This Row],[Mosquito net]],Table_NFI[Mosquito net])</f>
        <v>0</v>
      </c>
      <c r="AC270" s="352">
        <f>IF(NFI_Expiration=1,IF($A270&lt;VLOOKUP(L$5,NFI,5,0),1,0)*Table_NFI[[#This Row],[Tarpaulin]],Table_NFI[[#This Row],[Tarpaulin]])</f>
        <v>0</v>
      </c>
      <c r="AD270" s="352">
        <f>IF(NFI_Expiration=1,IF($A270&lt;VLOOKUP(M$5,NFI,5,0),1,0)*Table_NFI[[#This Row],[Blanket]],Table_NFI[[#This Row],[Blanket]])</f>
        <v>0</v>
      </c>
      <c r="AE270" s="352">
        <f>IF(NFI_Expiration=1,IF($A270&lt;VLOOKUP(N$5,NFI,5,0),1,0)*Table_NFI[[#This Row],[Kitchen Set]],Table_NFI[Kitchen Set])</f>
        <v>0</v>
      </c>
      <c r="AF270" s="352">
        <f>IF(NFI_Expiration=1,IF($A270&lt;VLOOKUP(O$5,NFI,5,0),1,0)*Table_NFI[[#This Row],[Clothes Kit]],Table_NFI[Clothes Kit])</f>
        <v>0</v>
      </c>
      <c r="AG270" s="352">
        <f>IF(NFI_Expiration=1,IF($A270&lt;VLOOKUP(P$5,NFI,5,0),1,0)*Table_NFI[[#This Row],[Plastic Bucket]],Table_NFI[Plastic Bucket])</f>
        <v>0</v>
      </c>
      <c r="AH270" s="352">
        <f>IF(NFI_Expiration=1,IF($A270&lt;VLOOKUP(Q$5,NFI,5,0),1,0)*Table_NFI[[#This Row],[Plastic Mat]],Table_NFI[Plastic Mat])*IF(Table_NFI[[#This Row],[Distribution Date]]&gt;"2014-04-01",1,2.5)</f>
        <v>0</v>
      </c>
      <c r="AI270" s="352">
        <f>IF(NFI_Expiration=1,IF($A270&lt;VLOOKUP(R$5,NFI,5,0),1,0)*Table_NFI[[#This Row],[Winter Clothes Adult]],Table_NFI[Winter Clothes Adult])</f>
        <v>0</v>
      </c>
      <c r="AJ270" s="352">
        <f>IF(NFI_Expiration=1,IF($A270&lt;VLOOKUP(S$5,NFI,5,0),1,0)*Table_NFI[[#This Row],[Winter Clothes Children]],Table_NFI[Winter Clothes Children])</f>
        <v>0</v>
      </c>
      <c r="AK270" s="352">
        <f>IF(NFI_Expiration=1,IF($A270&lt;VLOOKUP(T$5,NFI,5,0),1,0)*Table_NFI[[#This Row],[Winter Items Other]],Table_NFI[Winter Items Other])</f>
        <v>0</v>
      </c>
      <c r="AL270" s="352">
        <f>IF(NFI_Expiration=1,IF($A270&lt;VLOOKUP(M$5,NFI,5,0),1,0)*Table_NFI[[#This Row],[Winter Blanket]],Table_NFI[[#This Row],[Winter Blanket]])</f>
        <v>0</v>
      </c>
      <c r="AM270" s="352">
        <f>IF(Table_NFI[[#This Row],[Winter Clothes Adult]]+Table_NFI[[#This Row],[Winter Clothes Children]]+Table_NFI[[#This Row],[Winter Items Other]]+Table_NFI[[#This Row],[Winter Blanket]]&gt;0,1,0)</f>
        <v>0</v>
      </c>
      <c r="AN270" s="392">
        <f>IF(NFI_Expiration=1,IF($A270&lt;VLOOKUP(V$5,NFI,5,0),1,0)*Table_NFI[[#This Row],[Jerry Can]],Table_NFI[Jerry Can])</f>
        <v>0</v>
      </c>
      <c r="AO270" s="540" t="str">
        <f>IFERROR(VLOOKUP(Table_NFI[[#This Row],[Camp Name]],CL,2,0),"")</f>
        <v>MMR001CMP117</v>
      </c>
      <c r="AP270" s="535">
        <f ca="1">IF(Table_NFI[[#This Row],[Pcode]]="","",IF(OFFSET(CampList[Opening Date],MATCH(Table_NFI[[#This Row],[Pcode]],CampList[CP_Pcode],0)-1,0,1,1)&gt;=NFI_Monitor_Date,1,0))</f>
        <v>0</v>
      </c>
      <c r="AQ270" s="540" t="str">
        <f>IFERROR(VLOOKUP(Table_NFI[[#This Row],[Camp Name]],CL,3,0),"")</f>
        <v>Closed</v>
      </c>
      <c r="AR270" s="352" t="str">
        <f ca="1">IF(Table_NFI[[#This Row],[Pcode]]="","",OFFSET(CampList[Priority],MATCH(Table_NFI[[#This Row],[Pcode]],CampList[CP_Pcode],0)-1,0,1,1))</f>
        <v>P2</v>
      </c>
      <c r="AS270" s="351" t="str">
        <f>IFERROR(Table_NFI[[#This Row],[Kitchen Set]]/VLOOKUP(Table_NFI[[#This Row],[Camp Name]],CL,4,0),"")</f>
        <v/>
      </c>
      <c r="AT270" s="533" t="s">
        <v>1094</v>
      </c>
      <c r="AU270" s="536"/>
    </row>
    <row r="271" spans="1:47" s="537" customFormat="1" ht="14.45" customHeight="1" x14ac:dyDescent="0.25">
      <c r="A271" s="355">
        <f t="shared" si="4"/>
        <v>22.3</v>
      </c>
      <c r="B271" s="532">
        <v>41902</v>
      </c>
      <c r="C271" s="533" t="s">
        <v>453</v>
      </c>
      <c r="D271" s="533"/>
      <c r="E271" s="533" t="s">
        <v>380</v>
      </c>
      <c r="F271" s="533" t="s">
        <v>185</v>
      </c>
      <c r="G271" s="533" t="s">
        <v>219</v>
      </c>
      <c r="H271" s="349"/>
      <c r="I271" s="349"/>
      <c r="J271" s="349"/>
      <c r="K271" s="349">
        <v>1238</v>
      </c>
      <c r="L271" s="350"/>
      <c r="M271" s="350"/>
      <c r="N271" s="350"/>
      <c r="O271" s="350"/>
      <c r="P271" s="352"/>
      <c r="Q271" s="352"/>
      <c r="R271" s="352"/>
      <c r="S271" s="352"/>
      <c r="T271" s="352"/>
      <c r="U271" s="352">
        <v>1761</v>
      </c>
      <c r="V271" s="497"/>
      <c r="W271" s="352"/>
      <c r="X271" s="352"/>
      <c r="Y271" s="352">
        <f>IF(NFI_Expiration=1,IF($A271&lt;VLOOKUP(H$5,NFI,5,0),1,0)*Table_NFI[[#This Row],[Hygiene Kit]],Table_NFI[Hygiene Kit])</f>
        <v>0</v>
      </c>
      <c r="Z271" s="352">
        <f>IF(NFI_Expiration=1,IF($A271&lt;VLOOKUP(I$5,NFI,5,0),1,0)*Table_NFI[[#This Row],[NFI Core Kit]],Table_NFI[NFI Core Kit])</f>
        <v>0</v>
      </c>
      <c r="AA271" s="352">
        <f>IF(NFI_Expiration=1,IF($A271&lt;VLOOKUP(J$5,NFI,5,0),1,0)*Table_NFI[[#This Row],[Sanitary Kit]],Table_NFI[Sanitary Kit])</f>
        <v>0</v>
      </c>
      <c r="AB271" s="352">
        <f>IF(NFI_Expiration=1,IF($A271&lt;VLOOKUP(K$5,NFI,5,0),1,0)*Table_NFI[[#This Row],[Mosquito net]],Table_NFI[Mosquito net])</f>
        <v>0</v>
      </c>
      <c r="AC271" s="352">
        <f>IF(NFI_Expiration=1,IF($A271&lt;VLOOKUP(L$5,NFI,5,0),1,0)*Table_NFI[[#This Row],[Tarpaulin]],Table_NFI[[#This Row],[Tarpaulin]])</f>
        <v>0</v>
      </c>
      <c r="AD271" s="352">
        <f>IF(NFI_Expiration=1,IF($A271&lt;VLOOKUP(M$5,NFI,5,0),1,0)*Table_NFI[[#This Row],[Blanket]],Table_NFI[[#This Row],[Blanket]])</f>
        <v>0</v>
      </c>
      <c r="AE271" s="352">
        <f>IF(NFI_Expiration=1,IF($A271&lt;VLOOKUP(N$5,NFI,5,0),1,0)*Table_NFI[[#This Row],[Kitchen Set]],Table_NFI[Kitchen Set])</f>
        <v>0</v>
      </c>
      <c r="AF271" s="352">
        <f>IF(NFI_Expiration=1,IF($A271&lt;VLOOKUP(O$5,NFI,5,0),1,0)*Table_NFI[[#This Row],[Clothes Kit]],Table_NFI[Clothes Kit])</f>
        <v>0</v>
      </c>
      <c r="AG271" s="352">
        <f>IF(NFI_Expiration=1,IF($A271&lt;VLOOKUP(P$5,NFI,5,0),1,0)*Table_NFI[[#This Row],[Plastic Bucket]],Table_NFI[Plastic Bucket])</f>
        <v>0</v>
      </c>
      <c r="AH271" s="352">
        <f>IF(NFI_Expiration=1,IF($A271&lt;VLOOKUP(Q$5,NFI,5,0),1,0)*Table_NFI[[#This Row],[Plastic Mat]],Table_NFI[Plastic Mat])*IF(Table_NFI[[#This Row],[Distribution Date]]&gt;"2014-04-01",1,2.5)</f>
        <v>0</v>
      </c>
      <c r="AI271" s="352">
        <f>IF(NFI_Expiration=1,IF($A271&lt;VLOOKUP(R$5,NFI,5,0),1,0)*Table_NFI[[#This Row],[Winter Clothes Adult]],Table_NFI[Winter Clothes Adult])</f>
        <v>0</v>
      </c>
      <c r="AJ271" s="352">
        <f>IF(NFI_Expiration=1,IF($A271&lt;VLOOKUP(S$5,NFI,5,0),1,0)*Table_NFI[[#This Row],[Winter Clothes Children]],Table_NFI[Winter Clothes Children])</f>
        <v>0</v>
      </c>
      <c r="AK271" s="352">
        <f>IF(NFI_Expiration=1,IF($A271&lt;VLOOKUP(T$5,NFI,5,0),1,0)*Table_NFI[[#This Row],[Winter Items Other]],Table_NFI[Winter Items Other])</f>
        <v>0</v>
      </c>
      <c r="AL271" s="352">
        <f>IF(NFI_Expiration=1,IF($A271&lt;VLOOKUP(M$5,NFI,5,0),1,0)*Table_NFI[[#This Row],[Winter Blanket]],Table_NFI[[#This Row],[Winter Blanket]])</f>
        <v>0</v>
      </c>
      <c r="AM271" s="352">
        <f>IF(Table_NFI[[#This Row],[Winter Clothes Adult]]+Table_NFI[[#This Row],[Winter Clothes Children]]+Table_NFI[[#This Row],[Winter Items Other]]+Table_NFI[[#This Row],[Winter Blanket]]&gt;0,1,0)</f>
        <v>1</v>
      </c>
      <c r="AN271" s="392">
        <f>IF(NFI_Expiration=1,IF($A271&lt;VLOOKUP(V$5,NFI,5,0),1,0)*Table_NFI[[#This Row],[Jerry Can]],Table_NFI[Jerry Can])</f>
        <v>0</v>
      </c>
      <c r="AO271" s="540" t="str">
        <f>IFERROR(VLOOKUP(Table_NFI[[#This Row],[Camp Name]],CL,2,0),"")</f>
        <v>MMR001CMP126</v>
      </c>
      <c r="AP271" s="535">
        <f ca="1">IF(Table_NFI[[#This Row],[Pcode]]="","",IF(OFFSET(CampList[Opening Date],MATCH(Table_NFI[[#This Row],[Pcode]],CampList[CP_Pcode],0)-1,0,1,1)&gt;=NFI_Monitor_Date,1,0))</f>
        <v>0</v>
      </c>
      <c r="AQ271" s="540" t="str">
        <f>IFERROR(VLOOKUP(Table_NFI[[#This Row],[Camp Name]],CL,3,0),"")</f>
        <v>Open</v>
      </c>
      <c r="AR271" s="352" t="str">
        <f ca="1">IF(Table_NFI[[#This Row],[Pcode]]="","",OFFSET(CampList[Priority],MATCH(Table_NFI[[#This Row],[Pcode]],CampList[CP_Pcode],0)-1,0,1,1))</f>
        <v>P2</v>
      </c>
      <c r="AS271" s="351">
        <f>IFERROR(Table_NFI[[#This Row],[Kitchen Set]]/VLOOKUP(Table_NFI[[#This Row],[Camp Name]],CL,4,0),"")</f>
        <v>0</v>
      </c>
      <c r="AT271" s="533"/>
      <c r="AU271" s="536"/>
    </row>
    <row r="272" spans="1:47" s="537" customFormat="1" hidden="1" x14ac:dyDescent="0.25">
      <c r="A272" s="355">
        <f t="shared" si="4"/>
        <v>44</v>
      </c>
      <c r="B272" s="532">
        <v>41251</v>
      </c>
      <c r="C272" s="533" t="s">
        <v>907</v>
      </c>
      <c r="D272" s="534" t="s">
        <v>461</v>
      </c>
      <c r="E272" s="533" t="s">
        <v>380</v>
      </c>
      <c r="F272" s="348" t="s">
        <v>310</v>
      </c>
      <c r="G272" s="348" t="s">
        <v>1251</v>
      </c>
      <c r="H272" s="349">
        <v>1690</v>
      </c>
      <c r="I272" s="349"/>
      <c r="J272" s="349"/>
      <c r="K272" s="349"/>
      <c r="L272" s="350"/>
      <c r="M272" s="350"/>
      <c r="N272" s="350"/>
      <c r="O272" s="350"/>
      <c r="P272" s="352">
        <v>0</v>
      </c>
      <c r="Q272" s="352">
        <v>0</v>
      </c>
      <c r="R272" s="352"/>
      <c r="S272" s="352"/>
      <c r="T272" s="352"/>
      <c r="U272" s="352"/>
      <c r="V272" s="497"/>
      <c r="W272" s="352"/>
      <c r="X272" s="352"/>
      <c r="Y272" s="352">
        <f>IF(NFI_Expiration=1,IF($A272&lt;VLOOKUP(H$5,NFI,5,0),1,0)*Table_NFI[[#This Row],[Hygiene Kit]],Table_NFI[Hygiene Kit])</f>
        <v>0</v>
      </c>
      <c r="Z272" s="352">
        <f>IF(NFI_Expiration=1,IF($A272&lt;VLOOKUP(I$5,NFI,5,0),1,0)*Table_NFI[[#This Row],[NFI Core Kit]],Table_NFI[NFI Core Kit])</f>
        <v>0</v>
      </c>
      <c r="AA272" s="352">
        <f>IF(NFI_Expiration=1,IF($A272&lt;VLOOKUP(J$5,NFI,5,0),1,0)*Table_NFI[[#This Row],[Sanitary Kit]],Table_NFI[Sanitary Kit])</f>
        <v>0</v>
      </c>
      <c r="AB272" s="352">
        <f>IF(NFI_Expiration=1,IF($A272&lt;VLOOKUP(K$5,NFI,5,0),1,0)*Table_NFI[[#This Row],[Mosquito net]],Table_NFI[Mosquito net])</f>
        <v>0</v>
      </c>
      <c r="AC272" s="352">
        <f>IF(NFI_Expiration=1,IF($A272&lt;VLOOKUP(L$5,NFI,5,0),1,0)*Table_NFI[[#This Row],[Tarpaulin]],Table_NFI[[#This Row],[Tarpaulin]])</f>
        <v>0</v>
      </c>
      <c r="AD272" s="352">
        <f>IF(NFI_Expiration=1,IF($A272&lt;VLOOKUP(M$5,NFI,5,0),1,0)*Table_NFI[[#This Row],[Blanket]],Table_NFI[[#This Row],[Blanket]])</f>
        <v>0</v>
      </c>
      <c r="AE272" s="352">
        <f>IF(NFI_Expiration=1,IF($A272&lt;VLOOKUP(N$5,NFI,5,0),1,0)*Table_NFI[[#This Row],[Kitchen Set]],Table_NFI[Kitchen Set])</f>
        <v>0</v>
      </c>
      <c r="AF272" s="352">
        <f>IF(NFI_Expiration=1,IF($A272&lt;VLOOKUP(O$5,NFI,5,0),1,0)*Table_NFI[[#This Row],[Clothes Kit]],Table_NFI[Clothes Kit])</f>
        <v>0</v>
      </c>
      <c r="AG272" s="352">
        <f>IF(NFI_Expiration=1,IF($A272&lt;VLOOKUP(P$5,NFI,5,0),1,0)*Table_NFI[[#This Row],[Plastic Bucket]],Table_NFI[Plastic Bucket])</f>
        <v>0</v>
      </c>
      <c r="AH272" s="352">
        <f>IF(NFI_Expiration=1,IF($A272&lt;VLOOKUP(Q$5,NFI,5,0),1,0)*Table_NFI[[#This Row],[Plastic Mat]],Table_NFI[Plastic Mat])*IF(Table_NFI[[#This Row],[Distribution Date]]&gt;"2014-04-01",1,2.5)</f>
        <v>0</v>
      </c>
      <c r="AI272" s="352">
        <f>IF(NFI_Expiration=1,IF($A272&lt;VLOOKUP(R$5,NFI,5,0),1,0)*Table_NFI[[#This Row],[Winter Clothes Adult]],Table_NFI[Winter Clothes Adult])</f>
        <v>0</v>
      </c>
      <c r="AJ272" s="352">
        <f>IF(NFI_Expiration=1,IF($A272&lt;VLOOKUP(S$5,NFI,5,0),1,0)*Table_NFI[[#This Row],[Winter Clothes Children]],Table_NFI[Winter Clothes Children])</f>
        <v>0</v>
      </c>
      <c r="AK272" s="352">
        <f>IF(NFI_Expiration=1,IF($A272&lt;VLOOKUP(T$5,NFI,5,0),1,0)*Table_NFI[[#This Row],[Winter Items Other]],Table_NFI[Winter Items Other])</f>
        <v>0</v>
      </c>
      <c r="AL272" s="352">
        <f>IF(NFI_Expiration=1,IF($A272&lt;VLOOKUP(M$5,NFI,5,0),1,0)*Table_NFI[[#This Row],[Winter Blanket]],Table_NFI[[#This Row],[Winter Blanket]])</f>
        <v>0</v>
      </c>
      <c r="AM272" s="352">
        <f>IF(Table_NFI[[#This Row],[Winter Clothes Adult]]+Table_NFI[[#This Row],[Winter Clothes Children]]+Table_NFI[[#This Row],[Winter Items Other]]+Table_NFI[[#This Row],[Winter Blanket]]&gt;0,1,0)</f>
        <v>0</v>
      </c>
      <c r="AN272" s="392">
        <f>IF(NFI_Expiration=1,IF($A272&lt;VLOOKUP(V$5,NFI,5,0),1,0)*Table_NFI[[#This Row],[Jerry Can]],Table_NFI[Jerry Can])</f>
        <v>0</v>
      </c>
      <c r="AO272" s="540" t="str">
        <f>IFERROR(VLOOKUP(Table_NFI[[#This Row],[Camp Name]],CL,2,0),"")</f>
        <v>MMR001CMP117</v>
      </c>
      <c r="AP272" s="535">
        <f ca="1">IF(Table_NFI[[#This Row],[Pcode]]="","",IF(OFFSET(CampList[Opening Date],MATCH(Table_NFI[[#This Row],[Pcode]],CampList[CP_Pcode],0)-1,0,1,1)&gt;=NFI_Monitor_Date,1,0))</f>
        <v>0</v>
      </c>
      <c r="AQ272" s="540" t="str">
        <f>IFERROR(VLOOKUP(Table_NFI[[#This Row],[Camp Name]],CL,3,0),"")</f>
        <v>Closed</v>
      </c>
      <c r="AR272" s="352" t="str">
        <f ca="1">IF(Table_NFI[[#This Row],[Pcode]]="","",OFFSET(CampList[Priority],MATCH(Table_NFI[[#This Row],[Pcode]],CampList[CP_Pcode],0)-1,0,1,1))</f>
        <v>P2</v>
      </c>
      <c r="AS272" s="351" t="str">
        <f>IFERROR(Table_NFI[[#This Row],[Kitchen Set]]/VLOOKUP(Table_NFI[[#This Row],[Camp Name]],CL,4,0),"")</f>
        <v/>
      </c>
      <c r="AT272" s="533" t="s">
        <v>1094</v>
      </c>
      <c r="AU272" s="536"/>
    </row>
    <row r="273" spans="1:47" s="537" customFormat="1" ht="14.45" customHeight="1" x14ac:dyDescent="0.25">
      <c r="A273" s="355">
        <f t="shared" si="4"/>
        <v>23.4</v>
      </c>
      <c r="B273" s="532">
        <v>41869</v>
      </c>
      <c r="C273" s="533" t="s">
        <v>453</v>
      </c>
      <c r="D273" s="533"/>
      <c r="E273" s="533" t="s">
        <v>380</v>
      </c>
      <c r="F273" s="348" t="s">
        <v>151</v>
      </c>
      <c r="G273" s="533" t="s">
        <v>1036</v>
      </c>
      <c r="H273" s="349"/>
      <c r="I273" s="349"/>
      <c r="J273" s="349"/>
      <c r="K273" s="349"/>
      <c r="L273" s="350">
        <v>70</v>
      </c>
      <c r="M273" s="350"/>
      <c r="N273" s="350"/>
      <c r="O273" s="350"/>
      <c r="P273" s="352"/>
      <c r="Q273" s="352"/>
      <c r="R273" s="352"/>
      <c r="S273" s="352"/>
      <c r="T273" s="352"/>
      <c r="U273" s="352"/>
      <c r="V273" s="497"/>
      <c r="W273" s="352"/>
      <c r="X273" s="352"/>
      <c r="Y273" s="352">
        <f>IF(NFI_Expiration=1,IF($A273&lt;VLOOKUP(H$5,NFI,5,0),1,0)*Table_NFI[[#This Row],[Hygiene Kit]],Table_NFI[Hygiene Kit])</f>
        <v>0</v>
      </c>
      <c r="Z273" s="352">
        <f>IF(NFI_Expiration=1,IF($A273&lt;VLOOKUP(I$5,NFI,5,0),1,0)*Table_NFI[[#This Row],[NFI Core Kit]],Table_NFI[NFI Core Kit])</f>
        <v>0</v>
      </c>
      <c r="AA273" s="352">
        <f>IF(NFI_Expiration=1,IF($A273&lt;VLOOKUP(J$5,NFI,5,0),1,0)*Table_NFI[[#This Row],[Sanitary Kit]],Table_NFI[Sanitary Kit])</f>
        <v>0</v>
      </c>
      <c r="AB273" s="352">
        <f>IF(NFI_Expiration=1,IF($A273&lt;VLOOKUP(K$5,NFI,5,0),1,0)*Table_NFI[[#This Row],[Mosquito net]],Table_NFI[Mosquito net])</f>
        <v>0</v>
      </c>
      <c r="AC273" s="352">
        <f>IF(NFI_Expiration=1,IF($A273&lt;VLOOKUP(L$5,NFI,5,0),1,0)*Table_NFI[[#This Row],[Tarpaulin]],Table_NFI[[#This Row],[Tarpaulin]])</f>
        <v>0</v>
      </c>
      <c r="AD273" s="352">
        <f>IF(NFI_Expiration=1,IF($A273&lt;VLOOKUP(M$5,NFI,5,0),1,0)*Table_NFI[[#This Row],[Blanket]],Table_NFI[[#This Row],[Blanket]])</f>
        <v>0</v>
      </c>
      <c r="AE273" s="352">
        <f>IF(NFI_Expiration=1,IF($A273&lt;VLOOKUP(N$5,NFI,5,0),1,0)*Table_NFI[[#This Row],[Kitchen Set]],Table_NFI[Kitchen Set])</f>
        <v>0</v>
      </c>
      <c r="AF273" s="352">
        <f>IF(NFI_Expiration=1,IF($A273&lt;VLOOKUP(O$5,NFI,5,0),1,0)*Table_NFI[[#This Row],[Clothes Kit]],Table_NFI[Clothes Kit])</f>
        <v>0</v>
      </c>
      <c r="AG273" s="352">
        <f>IF(NFI_Expiration=1,IF($A273&lt;VLOOKUP(P$5,NFI,5,0),1,0)*Table_NFI[[#This Row],[Plastic Bucket]],Table_NFI[Plastic Bucket])</f>
        <v>0</v>
      </c>
      <c r="AH273" s="352">
        <f>IF(NFI_Expiration=1,IF($A273&lt;VLOOKUP(Q$5,NFI,5,0),1,0)*Table_NFI[[#This Row],[Plastic Mat]],Table_NFI[Plastic Mat])*IF(Table_NFI[[#This Row],[Distribution Date]]&gt;"2014-04-01",1,2.5)</f>
        <v>0</v>
      </c>
      <c r="AI273" s="352">
        <f>IF(NFI_Expiration=1,IF($A273&lt;VLOOKUP(R$5,NFI,5,0),1,0)*Table_NFI[[#This Row],[Winter Clothes Adult]],Table_NFI[Winter Clothes Adult])</f>
        <v>0</v>
      </c>
      <c r="AJ273" s="352">
        <f>IF(NFI_Expiration=1,IF($A273&lt;VLOOKUP(S$5,NFI,5,0),1,0)*Table_NFI[[#This Row],[Winter Clothes Children]],Table_NFI[Winter Clothes Children])</f>
        <v>0</v>
      </c>
      <c r="AK273" s="352">
        <f>IF(NFI_Expiration=1,IF($A273&lt;VLOOKUP(T$5,NFI,5,0),1,0)*Table_NFI[[#This Row],[Winter Items Other]],Table_NFI[Winter Items Other])</f>
        <v>0</v>
      </c>
      <c r="AL273" s="352">
        <f>IF(NFI_Expiration=1,IF($A273&lt;VLOOKUP(M$5,NFI,5,0),1,0)*Table_NFI[[#This Row],[Winter Blanket]],Table_NFI[[#This Row],[Winter Blanket]])</f>
        <v>0</v>
      </c>
      <c r="AM273" s="352">
        <f>IF(Table_NFI[[#This Row],[Winter Clothes Adult]]+Table_NFI[[#This Row],[Winter Clothes Children]]+Table_NFI[[#This Row],[Winter Items Other]]+Table_NFI[[#This Row],[Winter Blanket]]&gt;0,1,0)</f>
        <v>0</v>
      </c>
      <c r="AN273" s="392">
        <f>IF(NFI_Expiration=1,IF($A273&lt;VLOOKUP(V$5,NFI,5,0),1,0)*Table_NFI[[#This Row],[Jerry Can]],Table_NFI[Jerry Can])</f>
        <v>0</v>
      </c>
      <c r="AO273" s="540" t="str">
        <f>IFERROR(VLOOKUP(Table_NFI[[#This Row],[Camp Name]],CL,2,0),"")</f>
        <v>MMR001CMP226</v>
      </c>
      <c r="AP273" s="535">
        <f ca="1">IF(Table_NFI[[#This Row],[Pcode]]="","",IF(OFFSET(CampList[Opening Date],MATCH(Table_NFI[[#This Row],[Pcode]],CampList[CP_Pcode],0)-1,0,1,1)&gt;=NFI_Monitor_Date,1,0))</f>
        <v>0</v>
      </c>
      <c r="AQ273" s="540" t="str">
        <f>IFERROR(VLOOKUP(Table_NFI[[#This Row],[Camp Name]],CL,3,0),"")</f>
        <v>Open</v>
      </c>
      <c r="AR273" s="352" t="str">
        <f ca="1">IF(Table_NFI[[#This Row],[Pcode]]="","",OFFSET(CampList[Priority],MATCH(Table_NFI[[#This Row],[Pcode]],CampList[CP_Pcode],0)-1,0,1,1))</f>
        <v>P2</v>
      </c>
      <c r="AS273" s="351">
        <f>IFERROR(Table_NFI[[#This Row],[Kitchen Set]]/VLOOKUP(Table_NFI[[#This Row],[Camp Name]],CL,4,0),"")</f>
        <v>0</v>
      </c>
      <c r="AT273" s="533"/>
      <c r="AU273" s="536"/>
    </row>
    <row r="274" spans="1:47" s="537" customFormat="1" ht="14.45" customHeight="1" x14ac:dyDescent="0.25">
      <c r="A274" s="355">
        <f t="shared" si="4"/>
        <v>23.666666666666668</v>
      </c>
      <c r="B274" s="532">
        <v>41861</v>
      </c>
      <c r="C274" s="533" t="s">
        <v>453</v>
      </c>
      <c r="D274" s="533"/>
      <c r="E274" s="533" t="s">
        <v>380</v>
      </c>
      <c r="F274" s="533" t="s">
        <v>185</v>
      </c>
      <c r="G274" s="533" t="s">
        <v>219</v>
      </c>
      <c r="H274" s="349"/>
      <c r="I274" s="349"/>
      <c r="J274" s="349"/>
      <c r="K274" s="349">
        <v>100</v>
      </c>
      <c r="L274" s="350">
        <v>52</v>
      </c>
      <c r="M274" s="350">
        <v>156</v>
      </c>
      <c r="N274" s="350">
        <v>40</v>
      </c>
      <c r="O274" s="350"/>
      <c r="P274" s="352">
        <v>52</v>
      </c>
      <c r="Q274" s="352">
        <v>210</v>
      </c>
      <c r="R274" s="352"/>
      <c r="S274" s="352"/>
      <c r="T274" s="352"/>
      <c r="U274" s="352"/>
      <c r="V274" s="497"/>
      <c r="W274" s="352"/>
      <c r="X274" s="352"/>
      <c r="Y274" s="352">
        <f>IF(NFI_Expiration=1,IF($A274&lt;VLOOKUP(H$5,NFI,5,0),1,0)*Table_NFI[[#This Row],[Hygiene Kit]],Table_NFI[Hygiene Kit])</f>
        <v>0</v>
      </c>
      <c r="Z274" s="352">
        <f>IF(NFI_Expiration=1,IF($A274&lt;VLOOKUP(I$5,NFI,5,0),1,0)*Table_NFI[[#This Row],[NFI Core Kit]],Table_NFI[NFI Core Kit])</f>
        <v>0</v>
      </c>
      <c r="AA274" s="352">
        <f>IF(NFI_Expiration=1,IF($A274&lt;VLOOKUP(J$5,NFI,5,0),1,0)*Table_NFI[[#This Row],[Sanitary Kit]],Table_NFI[Sanitary Kit])</f>
        <v>0</v>
      </c>
      <c r="AB274" s="352">
        <f>IF(NFI_Expiration=1,IF($A274&lt;VLOOKUP(K$5,NFI,5,0),1,0)*Table_NFI[[#This Row],[Mosquito net]],Table_NFI[Mosquito net])</f>
        <v>0</v>
      </c>
      <c r="AC274" s="352">
        <f>IF(NFI_Expiration=1,IF($A274&lt;VLOOKUP(L$5,NFI,5,0),1,0)*Table_NFI[[#This Row],[Tarpaulin]],Table_NFI[[#This Row],[Tarpaulin]])</f>
        <v>0</v>
      </c>
      <c r="AD274" s="352">
        <f>IF(NFI_Expiration=1,IF($A274&lt;VLOOKUP(M$5,NFI,5,0),1,0)*Table_NFI[[#This Row],[Blanket]],Table_NFI[[#This Row],[Blanket]])</f>
        <v>0</v>
      </c>
      <c r="AE274" s="352">
        <f>IF(NFI_Expiration=1,IF($A274&lt;VLOOKUP(N$5,NFI,5,0),1,0)*Table_NFI[[#This Row],[Kitchen Set]],Table_NFI[Kitchen Set])</f>
        <v>0</v>
      </c>
      <c r="AF274" s="352">
        <f>IF(NFI_Expiration=1,IF($A274&lt;VLOOKUP(O$5,NFI,5,0),1,0)*Table_NFI[[#This Row],[Clothes Kit]],Table_NFI[Clothes Kit])</f>
        <v>0</v>
      </c>
      <c r="AG274" s="352">
        <f>IF(NFI_Expiration=1,IF($A274&lt;VLOOKUP(P$5,NFI,5,0),1,0)*Table_NFI[[#This Row],[Plastic Bucket]],Table_NFI[Plastic Bucket])</f>
        <v>0</v>
      </c>
      <c r="AH274" s="352">
        <f>IF(NFI_Expiration=1,IF($A274&lt;VLOOKUP(Q$5,NFI,5,0),1,0)*Table_NFI[[#This Row],[Plastic Mat]],Table_NFI[Plastic Mat])*IF(Table_NFI[[#This Row],[Distribution Date]]&gt;"2014-04-01",1,2.5)</f>
        <v>0</v>
      </c>
      <c r="AI274" s="352">
        <f>IF(NFI_Expiration=1,IF($A274&lt;VLOOKUP(R$5,NFI,5,0),1,0)*Table_NFI[[#This Row],[Winter Clothes Adult]],Table_NFI[Winter Clothes Adult])</f>
        <v>0</v>
      </c>
      <c r="AJ274" s="352">
        <f>IF(NFI_Expiration=1,IF($A274&lt;VLOOKUP(S$5,NFI,5,0),1,0)*Table_NFI[[#This Row],[Winter Clothes Children]],Table_NFI[Winter Clothes Children])</f>
        <v>0</v>
      </c>
      <c r="AK274" s="352">
        <f>IF(NFI_Expiration=1,IF($A274&lt;VLOOKUP(T$5,NFI,5,0),1,0)*Table_NFI[[#This Row],[Winter Items Other]],Table_NFI[Winter Items Other])</f>
        <v>0</v>
      </c>
      <c r="AL274" s="352">
        <f>IF(NFI_Expiration=1,IF($A274&lt;VLOOKUP(M$5,NFI,5,0),1,0)*Table_NFI[[#This Row],[Winter Blanket]],Table_NFI[[#This Row],[Winter Blanket]])</f>
        <v>0</v>
      </c>
      <c r="AM274" s="352">
        <f>IF(Table_NFI[[#This Row],[Winter Clothes Adult]]+Table_NFI[[#This Row],[Winter Clothes Children]]+Table_NFI[[#This Row],[Winter Items Other]]+Table_NFI[[#This Row],[Winter Blanket]]&gt;0,1,0)</f>
        <v>0</v>
      </c>
      <c r="AN274" s="392">
        <f>IF(NFI_Expiration=1,IF($A274&lt;VLOOKUP(V$5,NFI,5,0),1,0)*Table_NFI[[#This Row],[Jerry Can]],Table_NFI[Jerry Can])</f>
        <v>0</v>
      </c>
      <c r="AO274" s="540" t="str">
        <f>IFERROR(VLOOKUP(Table_NFI[[#This Row],[Camp Name]],CL,2,0),"")</f>
        <v>MMR001CMP126</v>
      </c>
      <c r="AP274" s="535">
        <f ca="1">IF(Table_NFI[[#This Row],[Pcode]]="","",IF(OFFSET(CampList[Opening Date],MATCH(Table_NFI[[#This Row],[Pcode]],CampList[CP_Pcode],0)-1,0,1,1)&gt;=NFI_Monitor_Date,1,0))</f>
        <v>0</v>
      </c>
      <c r="AQ274" s="540" t="str">
        <f>IFERROR(VLOOKUP(Table_NFI[[#This Row],[Camp Name]],CL,3,0),"")</f>
        <v>Open</v>
      </c>
      <c r="AR274" s="352" t="str">
        <f ca="1">IF(Table_NFI[[#This Row],[Pcode]]="","",OFFSET(CampList[Priority],MATCH(Table_NFI[[#This Row],[Pcode]],CampList[CP_Pcode],0)-1,0,1,1))</f>
        <v>P2</v>
      </c>
      <c r="AS274" s="351">
        <f>IFERROR(Table_NFI[[#This Row],[Kitchen Set]]/VLOOKUP(Table_NFI[[#This Row],[Camp Name]],CL,4,0),"")</f>
        <v>5.9084194977843424E-2</v>
      </c>
      <c r="AT274" s="533"/>
      <c r="AU274" s="536"/>
    </row>
    <row r="275" spans="1:47" s="537" customFormat="1" ht="14.45" customHeight="1" x14ac:dyDescent="0.25">
      <c r="A275" s="355">
        <f t="shared" si="4"/>
        <v>23.766666666666666</v>
      </c>
      <c r="B275" s="532">
        <v>41858</v>
      </c>
      <c r="C275" s="533" t="s">
        <v>453</v>
      </c>
      <c r="D275" s="533" t="s">
        <v>506</v>
      </c>
      <c r="E275" s="533" t="s">
        <v>380</v>
      </c>
      <c r="F275" s="533" t="s">
        <v>27</v>
      </c>
      <c r="G275" s="533" t="s">
        <v>365</v>
      </c>
      <c r="H275" s="349"/>
      <c r="I275" s="349"/>
      <c r="J275" s="349">
        <v>50</v>
      </c>
      <c r="K275" s="349">
        <v>25</v>
      </c>
      <c r="L275" s="350">
        <v>50</v>
      </c>
      <c r="M275" s="350">
        <v>25</v>
      </c>
      <c r="N275" s="350"/>
      <c r="O275" s="350">
        <v>25</v>
      </c>
      <c r="P275" s="352">
        <v>125</v>
      </c>
      <c r="Q275" s="352"/>
      <c r="R275" s="352"/>
      <c r="S275" s="352"/>
      <c r="T275" s="352"/>
      <c r="U275" s="352"/>
      <c r="V275" s="497"/>
      <c r="W275" s="352"/>
      <c r="X275" s="352"/>
      <c r="Y275" s="352">
        <f>IF(NFI_Expiration=1,IF($A275&lt;VLOOKUP(H$5,NFI,5,0),1,0)*Table_NFI[[#This Row],[Hygiene Kit]],Table_NFI[Hygiene Kit])</f>
        <v>0</v>
      </c>
      <c r="Z275" s="352">
        <f>IF(NFI_Expiration=1,IF($A275&lt;VLOOKUP(I$5,NFI,5,0),1,0)*Table_NFI[[#This Row],[NFI Core Kit]],Table_NFI[NFI Core Kit])</f>
        <v>0</v>
      </c>
      <c r="AA275" s="352">
        <f>IF(NFI_Expiration=1,IF($A275&lt;VLOOKUP(J$5,NFI,5,0),1,0)*Table_NFI[[#This Row],[Sanitary Kit]],Table_NFI[Sanitary Kit])</f>
        <v>0</v>
      </c>
      <c r="AB275" s="352">
        <f>IF(NFI_Expiration=1,IF($A275&lt;VLOOKUP(K$5,NFI,5,0),1,0)*Table_NFI[[#This Row],[Mosquito net]],Table_NFI[Mosquito net])</f>
        <v>0</v>
      </c>
      <c r="AC275" s="352">
        <f>IF(NFI_Expiration=1,IF($A275&lt;VLOOKUP(L$5,NFI,5,0),1,0)*Table_NFI[[#This Row],[Tarpaulin]],Table_NFI[[#This Row],[Tarpaulin]])</f>
        <v>0</v>
      </c>
      <c r="AD275" s="352">
        <f>IF(NFI_Expiration=1,IF($A275&lt;VLOOKUP(M$5,NFI,5,0),1,0)*Table_NFI[[#This Row],[Blanket]],Table_NFI[[#This Row],[Blanket]])</f>
        <v>0</v>
      </c>
      <c r="AE275" s="352">
        <f>IF(NFI_Expiration=1,IF($A275&lt;VLOOKUP(N$5,NFI,5,0),1,0)*Table_NFI[[#This Row],[Kitchen Set]],Table_NFI[Kitchen Set])</f>
        <v>0</v>
      </c>
      <c r="AF275" s="352">
        <f>IF(NFI_Expiration=1,IF($A275&lt;VLOOKUP(O$5,NFI,5,0),1,0)*Table_NFI[[#This Row],[Clothes Kit]],Table_NFI[Clothes Kit])</f>
        <v>0</v>
      </c>
      <c r="AG275" s="352">
        <f>IF(NFI_Expiration=1,IF($A275&lt;VLOOKUP(P$5,NFI,5,0),1,0)*Table_NFI[[#This Row],[Plastic Bucket]],Table_NFI[Plastic Bucket])</f>
        <v>0</v>
      </c>
      <c r="AH275" s="352">
        <f>IF(NFI_Expiration=1,IF($A275&lt;VLOOKUP(Q$5,NFI,5,0),1,0)*Table_NFI[[#This Row],[Plastic Mat]],Table_NFI[Plastic Mat])*IF(Table_NFI[[#This Row],[Distribution Date]]&gt;"2014-04-01",1,2.5)</f>
        <v>0</v>
      </c>
      <c r="AI275" s="352">
        <f>IF(NFI_Expiration=1,IF($A275&lt;VLOOKUP(R$5,NFI,5,0),1,0)*Table_NFI[[#This Row],[Winter Clothes Adult]],Table_NFI[Winter Clothes Adult])</f>
        <v>0</v>
      </c>
      <c r="AJ275" s="352">
        <f>IF(NFI_Expiration=1,IF($A275&lt;VLOOKUP(S$5,NFI,5,0),1,0)*Table_NFI[[#This Row],[Winter Clothes Children]],Table_NFI[Winter Clothes Children])</f>
        <v>0</v>
      </c>
      <c r="AK275" s="352">
        <f>IF(NFI_Expiration=1,IF($A275&lt;VLOOKUP(T$5,NFI,5,0),1,0)*Table_NFI[[#This Row],[Winter Items Other]],Table_NFI[Winter Items Other])</f>
        <v>0</v>
      </c>
      <c r="AL275" s="352">
        <f>IF(NFI_Expiration=1,IF($A275&lt;VLOOKUP(M$5,NFI,5,0),1,0)*Table_NFI[[#This Row],[Winter Blanket]],Table_NFI[[#This Row],[Winter Blanket]])</f>
        <v>0</v>
      </c>
      <c r="AM275" s="352">
        <f>IF(Table_NFI[[#This Row],[Winter Clothes Adult]]+Table_NFI[[#This Row],[Winter Clothes Children]]+Table_NFI[[#This Row],[Winter Items Other]]+Table_NFI[[#This Row],[Winter Blanket]]&gt;0,1,0)</f>
        <v>0</v>
      </c>
      <c r="AN275" s="392">
        <f>IF(NFI_Expiration=1,IF($A275&lt;VLOOKUP(V$5,NFI,5,0),1,0)*Table_NFI[[#This Row],[Jerry Can]],Table_NFI[Jerry Can])</f>
        <v>0</v>
      </c>
      <c r="AO275" s="540" t="str">
        <f>IFERROR(VLOOKUP(Table_NFI[[#This Row],[Camp Name]],CL,2,0),"")</f>
        <v>MMR001CMP195</v>
      </c>
      <c r="AP275" s="535">
        <f ca="1">IF(Table_NFI[[#This Row],[Pcode]]="","",IF(OFFSET(CampList[Opening Date],MATCH(Table_NFI[[#This Row],[Pcode]],CampList[CP_Pcode],0)-1,0,1,1)&gt;=NFI_Monitor_Date,1,0))</f>
        <v>0</v>
      </c>
      <c r="AQ275" s="540" t="str">
        <f>IFERROR(VLOOKUP(Table_NFI[[#This Row],[Camp Name]],CL,3,0),"")</f>
        <v>Open</v>
      </c>
      <c r="AR275" s="352" t="str">
        <f ca="1">IF(Table_NFI[[#This Row],[Pcode]]="","",OFFSET(CampList[Priority],MATCH(Table_NFI[[#This Row],[Pcode]],CampList[CP_Pcode],0)-1,0,1,1))</f>
        <v>P1</v>
      </c>
      <c r="AS275" s="351">
        <f>IFERROR(Table_NFI[[#This Row],[Kitchen Set]]/VLOOKUP(Table_NFI[[#This Row],[Camp Name]],CL,4,0),"")</f>
        <v>0</v>
      </c>
      <c r="AT275" s="533"/>
      <c r="AU275" s="536"/>
    </row>
    <row r="276" spans="1:47" s="537" customFormat="1" ht="14.45" customHeight="1" x14ac:dyDescent="0.25">
      <c r="A276" s="355">
        <f t="shared" si="4"/>
        <v>23.766666666666666</v>
      </c>
      <c r="B276" s="532">
        <v>41858</v>
      </c>
      <c r="C276" s="533" t="s">
        <v>453</v>
      </c>
      <c r="D276" s="533" t="s">
        <v>506</v>
      </c>
      <c r="E276" s="533" t="s">
        <v>380</v>
      </c>
      <c r="F276" s="533" t="s">
        <v>310</v>
      </c>
      <c r="G276" s="533" t="s">
        <v>318</v>
      </c>
      <c r="H276" s="349"/>
      <c r="I276" s="349"/>
      <c r="J276" s="349">
        <v>24</v>
      </c>
      <c r="K276" s="349">
        <v>12</v>
      </c>
      <c r="L276" s="350">
        <v>24</v>
      </c>
      <c r="M276" s="350">
        <v>12</v>
      </c>
      <c r="N276" s="350"/>
      <c r="O276" s="350">
        <v>12</v>
      </c>
      <c r="P276" s="352">
        <v>60</v>
      </c>
      <c r="Q276" s="352"/>
      <c r="R276" s="352"/>
      <c r="S276" s="352"/>
      <c r="T276" s="352"/>
      <c r="U276" s="352"/>
      <c r="V276" s="497"/>
      <c r="W276" s="352"/>
      <c r="X276" s="352"/>
      <c r="Y276" s="352">
        <f>IF(NFI_Expiration=1,IF($A276&lt;VLOOKUP(H$5,NFI,5,0),1,0)*Table_NFI[[#This Row],[Hygiene Kit]],Table_NFI[Hygiene Kit])</f>
        <v>0</v>
      </c>
      <c r="Z276" s="352">
        <f>IF(NFI_Expiration=1,IF($A276&lt;VLOOKUP(I$5,NFI,5,0),1,0)*Table_NFI[[#This Row],[NFI Core Kit]],Table_NFI[NFI Core Kit])</f>
        <v>0</v>
      </c>
      <c r="AA276" s="352">
        <f>IF(NFI_Expiration=1,IF($A276&lt;VLOOKUP(J$5,NFI,5,0),1,0)*Table_NFI[[#This Row],[Sanitary Kit]],Table_NFI[Sanitary Kit])</f>
        <v>0</v>
      </c>
      <c r="AB276" s="352">
        <f>IF(NFI_Expiration=1,IF($A276&lt;VLOOKUP(K$5,NFI,5,0),1,0)*Table_NFI[[#This Row],[Mosquito net]],Table_NFI[Mosquito net])</f>
        <v>0</v>
      </c>
      <c r="AC276" s="352">
        <f>IF(NFI_Expiration=1,IF($A276&lt;VLOOKUP(L$5,NFI,5,0),1,0)*Table_NFI[[#This Row],[Tarpaulin]],Table_NFI[[#This Row],[Tarpaulin]])</f>
        <v>0</v>
      </c>
      <c r="AD276" s="352">
        <f>IF(NFI_Expiration=1,IF($A276&lt;VLOOKUP(M$5,NFI,5,0),1,0)*Table_NFI[[#This Row],[Blanket]],Table_NFI[[#This Row],[Blanket]])</f>
        <v>0</v>
      </c>
      <c r="AE276" s="352">
        <f>IF(NFI_Expiration=1,IF($A276&lt;VLOOKUP(N$5,NFI,5,0),1,0)*Table_NFI[[#This Row],[Kitchen Set]],Table_NFI[Kitchen Set])</f>
        <v>0</v>
      </c>
      <c r="AF276" s="352">
        <f>IF(NFI_Expiration=1,IF($A276&lt;VLOOKUP(O$5,NFI,5,0),1,0)*Table_NFI[[#This Row],[Clothes Kit]],Table_NFI[Clothes Kit])</f>
        <v>0</v>
      </c>
      <c r="AG276" s="352">
        <f>IF(NFI_Expiration=1,IF($A276&lt;VLOOKUP(P$5,NFI,5,0),1,0)*Table_NFI[[#This Row],[Plastic Bucket]],Table_NFI[Plastic Bucket])</f>
        <v>0</v>
      </c>
      <c r="AH276" s="352">
        <f>IF(NFI_Expiration=1,IF($A276&lt;VLOOKUP(Q$5,NFI,5,0),1,0)*Table_NFI[[#This Row],[Plastic Mat]],Table_NFI[Plastic Mat])*IF(Table_NFI[[#This Row],[Distribution Date]]&gt;"2014-04-01",1,2.5)</f>
        <v>0</v>
      </c>
      <c r="AI276" s="352">
        <f>IF(NFI_Expiration=1,IF($A276&lt;VLOOKUP(R$5,NFI,5,0),1,0)*Table_NFI[[#This Row],[Winter Clothes Adult]],Table_NFI[Winter Clothes Adult])</f>
        <v>0</v>
      </c>
      <c r="AJ276" s="352">
        <f>IF(NFI_Expiration=1,IF($A276&lt;VLOOKUP(S$5,NFI,5,0),1,0)*Table_NFI[[#This Row],[Winter Clothes Children]],Table_NFI[Winter Clothes Children])</f>
        <v>0</v>
      </c>
      <c r="AK276" s="352">
        <f>IF(NFI_Expiration=1,IF($A276&lt;VLOOKUP(T$5,NFI,5,0),1,0)*Table_NFI[[#This Row],[Winter Items Other]],Table_NFI[Winter Items Other])</f>
        <v>0</v>
      </c>
      <c r="AL276" s="352">
        <f>IF(NFI_Expiration=1,IF($A276&lt;VLOOKUP(M$5,NFI,5,0),1,0)*Table_NFI[[#This Row],[Winter Blanket]],Table_NFI[[#This Row],[Winter Blanket]])</f>
        <v>0</v>
      </c>
      <c r="AM276" s="352">
        <f>IF(Table_NFI[[#This Row],[Winter Clothes Adult]]+Table_NFI[[#This Row],[Winter Clothes Children]]+Table_NFI[[#This Row],[Winter Items Other]]+Table_NFI[[#This Row],[Winter Blanket]]&gt;0,1,0)</f>
        <v>0</v>
      </c>
      <c r="AN276" s="392">
        <f>IF(NFI_Expiration=1,IF($A276&lt;VLOOKUP(V$5,NFI,5,0),1,0)*Table_NFI[[#This Row],[Jerry Can]],Table_NFI[Jerry Can])</f>
        <v>0</v>
      </c>
      <c r="AO276" s="540" t="str">
        <f>IFERROR(VLOOKUP(Table_NFI[[#This Row],[Camp Name]],CL,2,0),"")</f>
        <v>MMR001CMP032</v>
      </c>
      <c r="AP276" s="535">
        <f ca="1">IF(Table_NFI[[#This Row],[Pcode]]="","",IF(OFFSET(CampList[Opening Date],MATCH(Table_NFI[[#This Row],[Pcode]],CampList[CP_Pcode],0)-1,0,1,1)&gt;=NFI_Monitor_Date,1,0))</f>
        <v>0</v>
      </c>
      <c r="AQ276" s="540" t="str">
        <f>IFERROR(VLOOKUP(Table_NFI[[#This Row],[Camp Name]],CL,3,0),"")</f>
        <v>Open</v>
      </c>
      <c r="AR276" s="352" t="str">
        <f ca="1">IF(Table_NFI[[#This Row],[Pcode]]="","",OFFSET(CampList[Priority],MATCH(Table_NFI[[#This Row],[Pcode]],CampList[CP_Pcode],0)-1,0,1,1))</f>
        <v>P4</v>
      </c>
      <c r="AS276" s="351">
        <f>IFERROR(Table_NFI[[#This Row],[Kitchen Set]]/VLOOKUP(Table_NFI[[#This Row],[Camp Name]],CL,4,0),"")</f>
        <v>0</v>
      </c>
      <c r="AT276" s="533"/>
      <c r="AU276" s="536"/>
    </row>
    <row r="277" spans="1:47" s="537" customFormat="1" ht="14.45" hidden="1" customHeight="1" x14ac:dyDescent="0.25">
      <c r="A277" s="355">
        <f t="shared" si="4"/>
        <v>31.733333333333334</v>
      </c>
      <c r="B277" s="532">
        <v>41619</v>
      </c>
      <c r="C277" s="533" t="s">
        <v>1029</v>
      </c>
      <c r="D277" s="533" t="s">
        <v>1030</v>
      </c>
      <c r="E277" s="533" t="s">
        <v>380</v>
      </c>
      <c r="F277" s="348" t="s">
        <v>151</v>
      </c>
      <c r="G277" s="533" t="s">
        <v>198</v>
      </c>
      <c r="H277" s="349"/>
      <c r="I277" s="349"/>
      <c r="J277" s="349"/>
      <c r="K277" s="349"/>
      <c r="L277" s="350"/>
      <c r="M277" s="350">
        <v>543</v>
      </c>
      <c r="N277" s="350"/>
      <c r="O277" s="350"/>
      <c r="P277" s="352"/>
      <c r="Q277" s="352"/>
      <c r="R277" s="352"/>
      <c r="S277" s="352"/>
      <c r="T277" s="352"/>
      <c r="U277" s="352"/>
      <c r="V277" s="497"/>
      <c r="W277" s="352"/>
      <c r="X277" s="352"/>
      <c r="Y277" s="352">
        <f>IF(NFI_Expiration=1,IF($A277&lt;VLOOKUP(H$5,NFI,5,0),1,0)*Table_NFI[[#This Row],[Hygiene Kit]],Table_NFI[Hygiene Kit])</f>
        <v>0</v>
      </c>
      <c r="Z277" s="352">
        <f>IF(NFI_Expiration=1,IF($A277&lt;VLOOKUP(I$5,NFI,5,0),1,0)*Table_NFI[[#This Row],[NFI Core Kit]],Table_NFI[NFI Core Kit])</f>
        <v>0</v>
      </c>
      <c r="AA277" s="352">
        <f>IF(NFI_Expiration=1,IF($A277&lt;VLOOKUP(J$5,NFI,5,0),1,0)*Table_NFI[[#This Row],[Sanitary Kit]],Table_NFI[Sanitary Kit])</f>
        <v>0</v>
      </c>
      <c r="AB277" s="352">
        <f>IF(NFI_Expiration=1,IF($A277&lt;VLOOKUP(K$5,NFI,5,0),1,0)*Table_NFI[[#This Row],[Mosquito net]],Table_NFI[Mosquito net])</f>
        <v>0</v>
      </c>
      <c r="AC277" s="352">
        <f>IF(NFI_Expiration=1,IF($A277&lt;VLOOKUP(L$5,NFI,5,0),1,0)*Table_NFI[[#This Row],[Tarpaulin]],Table_NFI[[#This Row],[Tarpaulin]])</f>
        <v>0</v>
      </c>
      <c r="AD277" s="352">
        <f>IF(NFI_Expiration=1,IF($A277&lt;VLOOKUP(M$5,NFI,5,0),1,0)*Table_NFI[[#This Row],[Blanket]],Table_NFI[[#This Row],[Blanket]])</f>
        <v>0</v>
      </c>
      <c r="AE277" s="352">
        <f>IF(NFI_Expiration=1,IF($A277&lt;VLOOKUP(N$5,NFI,5,0),1,0)*Table_NFI[[#This Row],[Kitchen Set]],Table_NFI[Kitchen Set])</f>
        <v>0</v>
      </c>
      <c r="AF277" s="352">
        <f>IF(NFI_Expiration=1,IF($A277&lt;VLOOKUP(O$5,NFI,5,0),1,0)*Table_NFI[[#This Row],[Clothes Kit]],Table_NFI[Clothes Kit])</f>
        <v>0</v>
      </c>
      <c r="AG277" s="352">
        <f>IF(NFI_Expiration=1,IF($A277&lt;VLOOKUP(P$5,NFI,5,0),1,0)*Table_NFI[[#This Row],[Plastic Bucket]],Table_NFI[Plastic Bucket])</f>
        <v>0</v>
      </c>
      <c r="AH277" s="352">
        <f>IF(NFI_Expiration=1,IF($A277&lt;VLOOKUP(Q$5,NFI,5,0),1,0)*Table_NFI[[#This Row],[Plastic Mat]],Table_NFI[Plastic Mat])*IF(Table_NFI[[#This Row],[Distribution Date]]&gt;"2014-04-01",1,2.5)</f>
        <v>0</v>
      </c>
      <c r="AI277" s="352">
        <f>IF(NFI_Expiration=1,IF($A277&lt;VLOOKUP(R$5,NFI,5,0),1,0)*Table_NFI[[#This Row],[Winter Clothes Adult]],Table_NFI[Winter Clothes Adult])</f>
        <v>0</v>
      </c>
      <c r="AJ277" s="352">
        <f>IF(NFI_Expiration=1,IF($A277&lt;VLOOKUP(S$5,NFI,5,0),1,0)*Table_NFI[[#This Row],[Winter Clothes Children]],Table_NFI[Winter Clothes Children])</f>
        <v>0</v>
      </c>
      <c r="AK277" s="352">
        <f>IF(NFI_Expiration=1,IF($A277&lt;VLOOKUP(T$5,NFI,5,0),1,0)*Table_NFI[[#This Row],[Winter Items Other]],Table_NFI[Winter Items Other])</f>
        <v>0</v>
      </c>
      <c r="AL277" s="352">
        <f>IF(NFI_Expiration=1,IF($A277&lt;VLOOKUP(M$5,NFI,5,0),1,0)*Table_NFI[[#This Row],[Winter Blanket]],Table_NFI[[#This Row],[Winter Blanket]])</f>
        <v>0</v>
      </c>
      <c r="AM277" s="352">
        <f>IF(Table_NFI[[#This Row],[Winter Clothes Adult]]+Table_NFI[[#This Row],[Winter Clothes Children]]+Table_NFI[[#This Row],[Winter Items Other]]+Table_NFI[[#This Row],[Winter Blanket]]&gt;0,1,0)</f>
        <v>0</v>
      </c>
      <c r="AN277" s="392">
        <f>IF(NFI_Expiration=1,IF($A277&lt;VLOOKUP(V$5,NFI,5,0),1,0)*Table_NFI[[#This Row],[Jerry Can]],Table_NFI[Jerry Can])</f>
        <v>0</v>
      </c>
      <c r="AO277" s="540" t="str">
        <f>IFERROR(VLOOKUP(Table_NFI[[#This Row],[Camp Name]],CL,2,0),"")</f>
        <v>MMR001CMP128</v>
      </c>
      <c r="AP277" s="535">
        <f ca="1">IF(Table_NFI[[#This Row],[Pcode]]="","",IF(OFFSET(CampList[Opening Date],MATCH(Table_NFI[[#This Row],[Pcode]],CampList[CP_Pcode],0)-1,0,1,1)&gt;=NFI_Monitor_Date,1,0))</f>
        <v>0</v>
      </c>
      <c r="AQ277" s="540" t="str">
        <f>IFERROR(VLOOKUP(Table_NFI[[#This Row],[Camp Name]],CL,3,0),"")</f>
        <v>Open</v>
      </c>
      <c r="AR277" s="352" t="str">
        <f ca="1">IF(Table_NFI[[#This Row],[Pcode]]="","",OFFSET(CampList[Priority],MATCH(Table_NFI[[#This Row],[Pcode]],CampList[CP_Pcode],0)-1,0,1,1))</f>
        <v>P2</v>
      </c>
      <c r="AS277" s="351">
        <f>IFERROR(Table_NFI[[#This Row],[Kitchen Set]]/VLOOKUP(Table_NFI[[#This Row],[Camp Name]],CL,4,0),"")</f>
        <v>0</v>
      </c>
      <c r="AT277" s="533" t="s">
        <v>1094</v>
      </c>
      <c r="AU277" s="536"/>
    </row>
    <row r="278" spans="1:47" s="537" customFormat="1" hidden="1" x14ac:dyDescent="0.25">
      <c r="A278" s="355">
        <f t="shared" si="4"/>
        <v>32.1</v>
      </c>
      <c r="B278" s="532">
        <v>41608</v>
      </c>
      <c r="C278" s="533" t="s">
        <v>907</v>
      </c>
      <c r="D278" s="533" t="s">
        <v>1004</v>
      </c>
      <c r="E278" s="533" t="s">
        <v>380</v>
      </c>
      <c r="F278" s="348" t="s">
        <v>151</v>
      </c>
      <c r="G278" s="348" t="s">
        <v>198</v>
      </c>
      <c r="H278" s="349"/>
      <c r="I278" s="349"/>
      <c r="J278" s="349"/>
      <c r="K278" s="349"/>
      <c r="L278" s="350"/>
      <c r="M278" s="350"/>
      <c r="N278" s="350"/>
      <c r="O278" s="350"/>
      <c r="P278" s="352"/>
      <c r="Q278" s="352"/>
      <c r="R278" s="352"/>
      <c r="S278" s="352"/>
      <c r="T278" s="352"/>
      <c r="U278" s="352"/>
      <c r="V278" s="497"/>
      <c r="W278" s="352"/>
      <c r="X278" s="352"/>
      <c r="Y278" s="352">
        <f>IF(NFI_Expiration=1,IF($A278&lt;VLOOKUP(H$5,NFI,5,0),1,0)*Table_NFI[[#This Row],[Hygiene Kit]],Table_NFI[Hygiene Kit])</f>
        <v>0</v>
      </c>
      <c r="Z278" s="352">
        <f>IF(NFI_Expiration=1,IF($A278&lt;VLOOKUP(I$5,NFI,5,0),1,0)*Table_NFI[[#This Row],[NFI Core Kit]],Table_NFI[NFI Core Kit])</f>
        <v>0</v>
      </c>
      <c r="AA278" s="352">
        <f>IF(NFI_Expiration=1,IF($A278&lt;VLOOKUP(J$5,NFI,5,0),1,0)*Table_NFI[[#This Row],[Sanitary Kit]],Table_NFI[Sanitary Kit])</f>
        <v>0</v>
      </c>
      <c r="AB278" s="352">
        <f>IF(NFI_Expiration=1,IF($A278&lt;VLOOKUP(K$5,NFI,5,0),1,0)*Table_NFI[[#This Row],[Mosquito net]],Table_NFI[Mosquito net])</f>
        <v>0</v>
      </c>
      <c r="AC278" s="352">
        <f>IF(NFI_Expiration=1,IF($A278&lt;VLOOKUP(L$5,NFI,5,0),1,0)*Table_NFI[[#This Row],[Tarpaulin]],Table_NFI[[#This Row],[Tarpaulin]])</f>
        <v>0</v>
      </c>
      <c r="AD278" s="352">
        <f>IF(NFI_Expiration=1,IF($A278&lt;VLOOKUP(M$5,NFI,5,0),1,0)*Table_NFI[[#This Row],[Blanket]],Table_NFI[[#This Row],[Blanket]])</f>
        <v>0</v>
      </c>
      <c r="AE278" s="352">
        <f>IF(NFI_Expiration=1,IF($A278&lt;VLOOKUP(N$5,NFI,5,0),1,0)*Table_NFI[[#This Row],[Kitchen Set]],Table_NFI[Kitchen Set])</f>
        <v>0</v>
      </c>
      <c r="AF278" s="352">
        <f>IF(NFI_Expiration=1,IF($A278&lt;VLOOKUP(O$5,NFI,5,0),1,0)*Table_NFI[[#This Row],[Clothes Kit]],Table_NFI[Clothes Kit])</f>
        <v>0</v>
      </c>
      <c r="AG278" s="352">
        <f>IF(NFI_Expiration=1,IF($A278&lt;VLOOKUP(P$5,NFI,5,0),1,0)*Table_NFI[[#This Row],[Plastic Bucket]],Table_NFI[Plastic Bucket])</f>
        <v>0</v>
      </c>
      <c r="AH278" s="352">
        <f>IF(NFI_Expiration=1,IF($A278&lt;VLOOKUP(Q$5,NFI,5,0),1,0)*Table_NFI[[#This Row],[Plastic Mat]],Table_NFI[Plastic Mat])*IF(Table_NFI[[#This Row],[Distribution Date]]&gt;"2014-04-01",1,2.5)</f>
        <v>0</v>
      </c>
      <c r="AI278" s="352">
        <f>IF(NFI_Expiration=1,IF($A278&lt;VLOOKUP(R$5,NFI,5,0),1,0)*Table_NFI[[#This Row],[Winter Clothes Adult]],Table_NFI[Winter Clothes Adult])</f>
        <v>0</v>
      </c>
      <c r="AJ278" s="352">
        <f>IF(NFI_Expiration=1,IF($A278&lt;VLOOKUP(S$5,NFI,5,0),1,0)*Table_NFI[[#This Row],[Winter Clothes Children]],Table_NFI[Winter Clothes Children])</f>
        <v>0</v>
      </c>
      <c r="AK278" s="352">
        <f>IF(NFI_Expiration=1,IF($A278&lt;VLOOKUP(T$5,NFI,5,0),1,0)*Table_NFI[[#This Row],[Winter Items Other]],Table_NFI[Winter Items Other])</f>
        <v>0</v>
      </c>
      <c r="AL278" s="352">
        <f>IF(NFI_Expiration=1,IF($A278&lt;VLOOKUP(M$5,NFI,5,0),1,0)*Table_NFI[[#This Row],[Winter Blanket]],Table_NFI[[#This Row],[Winter Blanket]])</f>
        <v>0</v>
      </c>
      <c r="AM278" s="352">
        <f>IF(Table_NFI[[#This Row],[Winter Clothes Adult]]+Table_NFI[[#This Row],[Winter Clothes Children]]+Table_NFI[[#This Row],[Winter Items Other]]+Table_NFI[[#This Row],[Winter Blanket]]&gt;0,1,0)</f>
        <v>0</v>
      </c>
      <c r="AN278" s="392">
        <f>IF(NFI_Expiration=1,IF($A278&lt;VLOOKUP(V$5,NFI,5,0),1,0)*Table_NFI[[#This Row],[Jerry Can]],Table_NFI[Jerry Can])</f>
        <v>0</v>
      </c>
      <c r="AO278" s="540" t="str">
        <f>IFERROR(VLOOKUP(Table_NFI[[#This Row],[Camp Name]],CL,2,0),"")</f>
        <v>MMR001CMP128</v>
      </c>
      <c r="AP278" s="535">
        <f ca="1">IF(Table_NFI[[#This Row],[Pcode]]="","",IF(OFFSET(CampList[Opening Date],MATCH(Table_NFI[[#This Row],[Pcode]],CampList[CP_Pcode],0)-1,0,1,1)&gt;=NFI_Monitor_Date,1,0))</f>
        <v>0</v>
      </c>
      <c r="AQ278" s="540" t="str">
        <f>IFERROR(VLOOKUP(Table_NFI[[#This Row],[Camp Name]],CL,3,0),"")</f>
        <v>Open</v>
      </c>
      <c r="AR278" s="352" t="str">
        <f ca="1">IF(Table_NFI[[#This Row],[Pcode]]="","",OFFSET(CampList[Priority],MATCH(Table_NFI[[#This Row],[Pcode]],CampList[CP_Pcode],0)-1,0,1,1))</f>
        <v>P2</v>
      </c>
      <c r="AS278" s="351">
        <f>IFERROR(Table_NFI[[#This Row],[Kitchen Set]]/VLOOKUP(Table_NFI[[#This Row],[Camp Name]],CL,4,0),"")</f>
        <v>0</v>
      </c>
      <c r="AT278" s="533" t="s">
        <v>1094</v>
      </c>
      <c r="AU278" s="536"/>
    </row>
    <row r="279" spans="1:47" s="537" customFormat="1" ht="14.45" customHeight="1" x14ac:dyDescent="0.25">
      <c r="A279" s="355">
        <f t="shared" si="4"/>
        <v>23.866666666666667</v>
      </c>
      <c r="B279" s="532">
        <v>41855</v>
      </c>
      <c r="C279" s="533" t="s">
        <v>453</v>
      </c>
      <c r="D279" s="533"/>
      <c r="E279" s="533" t="s">
        <v>380</v>
      </c>
      <c r="F279" s="533" t="s">
        <v>185</v>
      </c>
      <c r="G279" s="533" t="s">
        <v>223</v>
      </c>
      <c r="H279" s="349"/>
      <c r="I279" s="349"/>
      <c r="J279" s="349"/>
      <c r="K279" s="349"/>
      <c r="L279" s="350">
        <v>116</v>
      </c>
      <c r="M279" s="350"/>
      <c r="N279" s="350"/>
      <c r="O279" s="350"/>
      <c r="P279" s="352"/>
      <c r="Q279" s="352"/>
      <c r="R279" s="352"/>
      <c r="S279" s="352"/>
      <c r="T279" s="352"/>
      <c r="U279" s="352"/>
      <c r="V279" s="497"/>
      <c r="W279" s="352"/>
      <c r="X279" s="352"/>
      <c r="Y279" s="352">
        <f>IF(NFI_Expiration=1,IF($A279&lt;VLOOKUP(H$5,NFI,5,0),1,0)*Table_NFI[[#This Row],[Hygiene Kit]],Table_NFI[Hygiene Kit])</f>
        <v>0</v>
      </c>
      <c r="Z279" s="352">
        <f>IF(NFI_Expiration=1,IF($A279&lt;VLOOKUP(I$5,NFI,5,0),1,0)*Table_NFI[[#This Row],[NFI Core Kit]],Table_NFI[NFI Core Kit])</f>
        <v>0</v>
      </c>
      <c r="AA279" s="352">
        <f>IF(NFI_Expiration=1,IF($A279&lt;VLOOKUP(J$5,NFI,5,0),1,0)*Table_NFI[[#This Row],[Sanitary Kit]],Table_NFI[Sanitary Kit])</f>
        <v>0</v>
      </c>
      <c r="AB279" s="352">
        <f>IF(NFI_Expiration=1,IF($A279&lt;VLOOKUP(K$5,NFI,5,0),1,0)*Table_NFI[[#This Row],[Mosquito net]],Table_NFI[Mosquito net])</f>
        <v>0</v>
      </c>
      <c r="AC279" s="352">
        <f>IF(NFI_Expiration=1,IF($A279&lt;VLOOKUP(L$5,NFI,5,0),1,0)*Table_NFI[[#This Row],[Tarpaulin]],Table_NFI[[#This Row],[Tarpaulin]])</f>
        <v>0</v>
      </c>
      <c r="AD279" s="352">
        <f>IF(NFI_Expiration=1,IF($A279&lt;VLOOKUP(M$5,NFI,5,0),1,0)*Table_NFI[[#This Row],[Blanket]],Table_NFI[[#This Row],[Blanket]])</f>
        <v>0</v>
      </c>
      <c r="AE279" s="352">
        <f>IF(NFI_Expiration=1,IF($A279&lt;VLOOKUP(N$5,NFI,5,0),1,0)*Table_NFI[[#This Row],[Kitchen Set]],Table_NFI[Kitchen Set])</f>
        <v>0</v>
      </c>
      <c r="AF279" s="352">
        <f>IF(NFI_Expiration=1,IF($A279&lt;VLOOKUP(O$5,NFI,5,0),1,0)*Table_NFI[[#This Row],[Clothes Kit]],Table_NFI[Clothes Kit])</f>
        <v>0</v>
      </c>
      <c r="AG279" s="352">
        <f>IF(NFI_Expiration=1,IF($A279&lt;VLOOKUP(P$5,NFI,5,0),1,0)*Table_NFI[[#This Row],[Plastic Bucket]],Table_NFI[Plastic Bucket])</f>
        <v>0</v>
      </c>
      <c r="AH279" s="352">
        <f>IF(NFI_Expiration=1,IF($A279&lt;VLOOKUP(Q$5,NFI,5,0),1,0)*Table_NFI[[#This Row],[Plastic Mat]],Table_NFI[Plastic Mat])*IF(Table_NFI[[#This Row],[Distribution Date]]&gt;"2014-04-01",1,2.5)</f>
        <v>0</v>
      </c>
      <c r="AI279" s="352">
        <f>IF(NFI_Expiration=1,IF($A279&lt;VLOOKUP(R$5,NFI,5,0),1,0)*Table_NFI[[#This Row],[Winter Clothes Adult]],Table_NFI[Winter Clothes Adult])</f>
        <v>0</v>
      </c>
      <c r="AJ279" s="352">
        <f>IF(NFI_Expiration=1,IF($A279&lt;VLOOKUP(S$5,NFI,5,0),1,0)*Table_NFI[[#This Row],[Winter Clothes Children]],Table_NFI[Winter Clothes Children])</f>
        <v>0</v>
      </c>
      <c r="AK279" s="352">
        <f>IF(NFI_Expiration=1,IF($A279&lt;VLOOKUP(T$5,NFI,5,0),1,0)*Table_NFI[[#This Row],[Winter Items Other]],Table_NFI[Winter Items Other])</f>
        <v>0</v>
      </c>
      <c r="AL279" s="352">
        <f>IF(NFI_Expiration=1,IF($A279&lt;VLOOKUP(M$5,NFI,5,0),1,0)*Table_NFI[[#This Row],[Winter Blanket]],Table_NFI[[#This Row],[Winter Blanket]])</f>
        <v>0</v>
      </c>
      <c r="AM279" s="352">
        <f>IF(Table_NFI[[#This Row],[Winter Clothes Adult]]+Table_NFI[[#This Row],[Winter Clothes Children]]+Table_NFI[[#This Row],[Winter Items Other]]+Table_NFI[[#This Row],[Winter Blanket]]&gt;0,1,0)</f>
        <v>0</v>
      </c>
      <c r="AN279" s="392">
        <f>IF(NFI_Expiration=1,IF($A279&lt;VLOOKUP(V$5,NFI,5,0),1,0)*Table_NFI[[#This Row],[Jerry Can]],Table_NFI[Jerry Can])</f>
        <v>0</v>
      </c>
      <c r="AO279" s="540" t="str">
        <f>IFERROR(VLOOKUP(Table_NFI[[#This Row],[Camp Name]],CL,2,0),"")</f>
        <v>MMR001CMP069</v>
      </c>
      <c r="AP279" s="535">
        <f ca="1">IF(Table_NFI[[#This Row],[Pcode]]="","",IF(OFFSET(CampList[Opening Date],MATCH(Table_NFI[[#This Row],[Pcode]],CampList[CP_Pcode],0)-1,0,1,1)&gt;=NFI_Monitor_Date,1,0))</f>
        <v>0</v>
      </c>
      <c r="AQ279" s="540" t="str">
        <f>IFERROR(VLOOKUP(Table_NFI[[#This Row],[Camp Name]],CL,3,0),"")</f>
        <v>Open</v>
      </c>
      <c r="AR279" s="352" t="str">
        <f ca="1">IF(Table_NFI[[#This Row],[Pcode]]="","",OFFSET(CampList[Priority],MATCH(Table_NFI[[#This Row],[Pcode]],CampList[CP_Pcode],0)-1,0,1,1))</f>
        <v>P3</v>
      </c>
      <c r="AS279" s="351">
        <f>IFERROR(Table_NFI[[#This Row],[Kitchen Set]]/VLOOKUP(Table_NFI[[#This Row],[Camp Name]],CL,4,0),"")</f>
        <v>0</v>
      </c>
      <c r="AT279" s="533"/>
      <c r="AU279" s="536"/>
    </row>
    <row r="280" spans="1:47" s="537" customFormat="1" hidden="1" x14ac:dyDescent="0.25">
      <c r="A280" s="355">
        <f t="shared" si="4"/>
        <v>32.633333333333333</v>
      </c>
      <c r="B280" s="532">
        <v>41592</v>
      </c>
      <c r="C280" s="533" t="s">
        <v>907</v>
      </c>
      <c r="D280" s="533" t="s">
        <v>1004</v>
      </c>
      <c r="E280" s="533" t="s">
        <v>380</v>
      </c>
      <c r="F280" s="348" t="s">
        <v>151</v>
      </c>
      <c r="G280" s="533" t="s">
        <v>198</v>
      </c>
      <c r="H280" s="349"/>
      <c r="I280" s="349"/>
      <c r="J280" s="349"/>
      <c r="K280" s="349"/>
      <c r="L280" s="350"/>
      <c r="M280" s="350"/>
      <c r="N280" s="350"/>
      <c r="O280" s="350"/>
      <c r="P280" s="352"/>
      <c r="Q280" s="352"/>
      <c r="R280" s="352">
        <v>550</v>
      </c>
      <c r="S280" s="352">
        <v>1101</v>
      </c>
      <c r="T280" s="352">
        <v>3302</v>
      </c>
      <c r="U280" s="352">
        <v>1651</v>
      </c>
      <c r="V280" s="497"/>
      <c r="W280" s="352"/>
      <c r="X280" s="352"/>
      <c r="Y280" s="352">
        <f>IF(NFI_Expiration=1,IF($A280&lt;VLOOKUP(H$5,NFI,5,0),1,0)*Table_NFI[[#This Row],[Hygiene Kit]],Table_NFI[Hygiene Kit])</f>
        <v>0</v>
      </c>
      <c r="Z280" s="352">
        <f>IF(NFI_Expiration=1,IF($A280&lt;VLOOKUP(I$5,NFI,5,0),1,0)*Table_NFI[[#This Row],[NFI Core Kit]],Table_NFI[NFI Core Kit])</f>
        <v>0</v>
      </c>
      <c r="AA280" s="352">
        <f>IF(NFI_Expiration=1,IF($A280&lt;VLOOKUP(J$5,NFI,5,0),1,0)*Table_NFI[[#This Row],[Sanitary Kit]],Table_NFI[Sanitary Kit])</f>
        <v>0</v>
      </c>
      <c r="AB280" s="352">
        <f>IF(NFI_Expiration=1,IF($A280&lt;VLOOKUP(K$5,NFI,5,0),1,0)*Table_NFI[[#This Row],[Mosquito net]],Table_NFI[Mosquito net])</f>
        <v>0</v>
      </c>
      <c r="AC280" s="352">
        <f>IF(NFI_Expiration=1,IF($A280&lt;VLOOKUP(L$5,NFI,5,0),1,0)*Table_NFI[[#This Row],[Tarpaulin]],Table_NFI[[#This Row],[Tarpaulin]])</f>
        <v>0</v>
      </c>
      <c r="AD280" s="352">
        <f>IF(NFI_Expiration=1,IF($A280&lt;VLOOKUP(M$5,NFI,5,0),1,0)*Table_NFI[[#This Row],[Blanket]],Table_NFI[[#This Row],[Blanket]])</f>
        <v>0</v>
      </c>
      <c r="AE280" s="352">
        <f>IF(NFI_Expiration=1,IF($A280&lt;VLOOKUP(N$5,NFI,5,0),1,0)*Table_NFI[[#This Row],[Kitchen Set]],Table_NFI[Kitchen Set])</f>
        <v>0</v>
      </c>
      <c r="AF280" s="352">
        <f>IF(NFI_Expiration=1,IF($A280&lt;VLOOKUP(O$5,NFI,5,0),1,0)*Table_NFI[[#This Row],[Clothes Kit]],Table_NFI[Clothes Kit])</f>
        <v>0</v>
      </c>
      <c r="AG280" s="352">
        <f>IF(NFI_Expiration=1,IF($A280&lt;VLOOKUP(P$5,NFI,5,0),1,0)*Table_NFI[[#This Row],[Plastic Bucket]],Table_NFI[Plastic Bucket])</f>
        <v>0</v>
      </c>
      <c r="AH280" s="352">
        <f>IF(NFI_Expiration=1,IF($A280&lt;VLOOKUP(Q$5,NFI,5,0),1,0)*Table_NFI[[#This Row],[Plastic Mat]],Table_NFI[Plastic Mat])*IF(Table_NFI[[#This Row],[Distribution Date]]&gt;"2014-04-01",1,2.5)</f>
        <v>0</v>
      </c>
      <c r="AI280" s="352">
        <f>IF(NFI_Expiration=1,IF($A280&lt;VLOOKUP(R$5,NFI,5,0),1,0)*Table_NFI[[#This Row],[Winter Clothes Adult]],Table_NFI[Winter Clothes Adult])</f>
        <v>0</v>
      </c>
      <c r="AJ280" s="352">
        <f>IF(NFI_Expiration=1,IF($A280&lt;VLOOKUP(S$5,NFI,5,0),1,0)*Table_NFI[[#This Row],[Winter Clothes Children]],Table_NFI[Winter Clothes Children])</f>
        <v>0</v>
      </c>
      <c r="AK280" s="352">
        <f>IF(NFI_Expiration=1,IF($A280&lt;VLOOKUP(T$5,NFI,5,0),1,0)*Table_NFI[[#This Row],[Winter Items Other]],Table_NFI[Winter Items Other])</f>
        <v>0</v>
      </c>
      <c r="AL280" s="352">
        <f>IF(NFI_Expiration=1,IF($A280&lt;VLOOKUP(M$5,NFI,5,0),1,0)*Table_NFI[[#This Row],[Winter Blanket]],Table_NFI[[#This Row],[Winter Blanket]])</f>
        <v>0</v>
      </c>
      <c r="AM280" s="352">
        <f>IF(Table_NFI[[#This Row],[Winter Clothes Adult]]+Table_NFI[[#This Row],[Winter Clothes Children]]+Table_NFI[[#This Row],[Winter Items Other]]+Table_NFI[[#This Row],[Winter Blanket]]&gt;0,1,0)</f>
        <v>1</v>
      </c>
      <c r="AN280" s="392">
        <f>IF(NFI_Expiration=1,IF($A280&lt;VLOOKUP(V$5,NFI,5,0),1,0)*Table_NFI[[#This Row],[Jerry Can]],Table_NFI[Jerry Can])</f>
        <v>0</v>
      </c>
      <c r="AO280" s="540" t="str">
        <f>IFERROR(VLOOKUP(Table_NFI[[#This Row],[Camp Name]],CL,2,0),"")</f>
        <v>MMR001CMP128</v>
      </c>
      <c r="AP280" s="535">
        <f ca="1">IF(Table_NFI[[#This Row],[Pcode]]="","",IF(OFFSET(CampList[Opening Date],MATCH(Table_NFI[[#This Row],[Pcode]],CampList[CP_Pcode],0)-1,0,1,1)&gt;=NFI_Monitor_Date,1,0))</f>
        <v>0</v>
      </c>
      <c r="AQ280" s="540" t="str">
        <f>IFERROR(VLOOKUP(Table_NFI[[#This Row],[Camp Name]],CL,3,0),"")</f>
        <v>Open</v>
      </c>
      <c r="AR280" s="352" t="str">
        <f ca="1">IF(Table_NFI[[#This Row],[Pcode]]="","",OFFSET(CampList[Priority],MATCH(Table_NFI[[#This Row],[Pcode]],CampList[CP_Pcode],0)-1,0,1,1))</f>
        <v>P2</v>
      </c>
      <c r="AS280" s="351">
        <f>IFERROR(Table_NFI[[#This Row],[Kitchen Set]]/VLOOKUP(Table_NFI[[#This Row],[Camp Name]],CL,4,0),"")</f>
        <v>0</v>
      </c>
      <c r="AT280" s="533"/>
      <c r="AU280" s="536"/>
    </row>
    <row r="281" spans="1:47" s="537" customFormat="1" ht="14.45" customHeight="1" x14ac:dyDescent="0.25">
      <c r="A281" s="355">
        <f t="shared" si="4"/>
        <v>23.866666666666667</v>
      </c>
      <c r="B281" s="532">
        <v>41855</v>
      </c>
      <c r="C281" s="533" t="s">
        <v>453</v>
      </c>
      <c r="D281" s="533"/>
      <c r="E281" s="533" t="s">
        <v>380</v>
      </c>
      <c r="F281" s="533" t="s">
        <v>185</v>
      </c>
      <c r="G281" s="533" t="s">
        <v>190</v>
      </c>
      <c r="H281" s="349"/>
      <c r="I281" s="349"/>
      <c r="J281" s="349"/>
      <c r="K281" s="349">
        <v>84</v>
      </c>
      <c r="L281" s="350">
        <v>36</v>
      </c>
      <c r="M281" s="350">
        <v>84</v>
      </c>
      <c r="N281" s="350">
        <v>36</v>
      </c>
      <c r="O281" s="350"/>
      <c r="P281" s="352">
        <v>36</v>
      </c>
      <c r="Q281" s="352">
        <v>180</v>
      </c>
      <c r="R281" s="352"/>
      <c r="S281" s="352"/>
      <c r="T281" s="352"/>
      <c r="U281" s="352"/>
      <c r="V281" s="497"/>
      <c r="W281" s="352"/>
      <c r="X281" s="352"/>
      <c r="Y281" s="352">
        <f>IF(NFI_Expiration=1,IF($A281&lt;VLOOKUP(H$5,NFI,5,0),1,0)*Table_NFI[[#This Row],[Hygiene Kit]],Table_NFI[Hygiene Kit])</f>
        <v>0</v>
      </c>
      <c r="Z281" s="352">
        <f>IF(NFI_Expiration=1,IF($A281&lt;VLOOKUP(I$5,NFI,5,0),1,0)*Table_NFI[[#This Row],[NFI Core Kit]],Table_NFI[NFI Core Kit])</f>
        <v>0</v>
      </c>
      <c r="AA281" s="352">
        <f>IF(NFI_Expiration=1,IF($A281&lt;VLOOKUP(J$5,NFI,5,0),1,0)*Table_NFI[[#This Row],[Sanitary Kit]],Table_NFI[Sanitary Kit])</f>
        <v>0</v>
      </c>
      <c r="AB281" s="352">
        <f>IF(NFI_Expiration=1,IF($A281&lt;VLOOKUP(K$5,NFI,5,0),1,0)*Table_NFI[[#This Row],[Mosquito net]],Table_NFI[Mosquito net])</f>
        <v>0</v>
      </c>
      <c r="AC281" s="352">
        <f>IF(NFI_Expiration=1,IF($A281&lt;VLOOKUP(L$5,NFI,5,0),1,0)*Table_NFI[[#This Row],[Tarpaulin]],Table_NFI[[#This Row],[Tarpaulin]])</f>
        <v>0</v>
      </c>
      <c r="AD281" s="352">
        <f>IF(NFI_Expiration=1,IF($A281&lt;VLOOKUP(M$5,NFI,5,0),1,0)*Table_NFI[[#This Row],[Blanket]],Table_NFI[[#This Row],[Blanket]])</f>
        <v>0</v>
      </c>
      <c r="AE281" s="352">
        <f>IF(NFI_Expiration=1,IF($A281&lt;VLOOKUP(N$5,NFI,5,0),1,0)*Table_NFI[[#This Row],[Kitchen Set]],Table_NFI[Kitchen Set])</f>
        <v>0</v>
      </c>
      <c r="AF281" s="352">
        <f>IF(NFI_Expiration=1,IF($A281&lt;VLOOKUP(O$5,NFI,5,0),1,0)*Table_NFI[[#This Row],[Clothes Kit]],Table_NFI[Clothes Kit])</f>
        <v>0</v>
      </c>
      <c r="AG281" s="352">
        <f>IF(NFI_Expiration=1,IF($A281&lt;VLOOKUP(P$5,NFI,5,0),1,0)*Table_NFI[[#This Row],[Plastic Bucket]],Table_NFI[Plastic Bucket])</f>
        <v>0</v>
      </c>
      <c r="AH281" s="352">
        <f>IF(NFI_Expiration=1,IF($A281&lt;VLOOKUP(Q$5,NFI,5,0),1,0)*Table_NFI[[#This Row],[Plastic Mat]],Table_NFI[Plastic Mat])*IF(Table_NFI[[#This Row],[Distribution Date]]&gt;"2014-04-01",1,2.5)</f>
        <v>0</v>
      </c>
      <c r="AI281" s="352">
        <f>IF(NFI_Expiration=1,IF($A281&lt;VLOOKUP(R$5,NFI,5,0),1,0)*Table_NFI[[#This Row],[Winter Clothes Adult]],Table_NFI[Winter Clothes Adult])</f>
        <v>0</v>
      </c>
      <c r="AJ281" s="352">
        <f>IF(NFI_Expiration=1,IF($A281&lt;VLOOKUP(S$5,NFI,5,0),1,0)*Table_NFI[[#This Row],[Winter Clothes Children]],Table_NFI[Winter Clothes Children])</f>
        <v>0</v>
      </c>
      <c r="AK281" s="352">
        <f>IF(NFI_Expiration=1,IF($A281&lt;VLOOKUP(T$5,NFI,5,0),1,0)*Table_NFI[[#This Row],[Winter Items Other]],Table_NFI[Winter Items Other])</f>
        <v>0</v>
      </c>
      <c r="AL281" s="352">
        <f>IF(NFI_Expiration=1,IF($A281&lt;VLOOKUP(M$5,NFI,5,0),1,0)*Table_NFI[[#This Row],[Winter Blanket]],Table_NFI[[#This Row],[Winter Blanket]])</f>
        <v>0</v>
      </c>
      <c r="AM281" s="352">
        <f>IF(Table_NFI[[#This Row],[Winter Clothes Adult]]+Table_NFI[[#This Row],[Winter Clothes Children]]+Table_NFI[[#This Row],[Winter Items Other]]+Table_NFI[[#This Row],[Winter Blanket]]&gt;0,1,0)</f>
        <v>0</v>
      </c>
      <c r="AN281" s="392">
        <f>IF(NFI_Expiration=1,IF($A281&lt;VLOOKUP(V$5,NFI,5,0),1,0)*Table_NFI[[#This Row],[Jerry Can]],Table_NFI[Jerry Can])</f>
        <v>0</v>
      </c>
      <c r="AO281" s="540" t="str">
        <f>IFERROR(VLOOKUP(Table_NFI[[#This Row],[Camp Name]],CL,2,0),"")</f>
        <v>MMR001CMP070</v>
      </c>
      <c r="AP281" s="535">
        <f ca="1">IF(Table_NFI[[#This Row],[Pcode]]="","",IF(OFFSET(CampList[Opening Date],MATCH(Table_NFI[[#This Row],[Pcode]],CampList[CP_Pcode],0)-1,0,1,1)&gt;=NFI_Monitor_Date,1,0))</f>
        <v>0</v>
      </c>
      <c r="AQ281" s="540" t="str">
        <f>IFERROR(VLOOKUP(Table_NFI[[#This Row],[Camp Name]],CL,3,0),"")</f>
        <v>Open</v>
      </c>
      <c r="AR281" s="352" t="str">
        <f ca="1">IF(Table_NFI[[#This Row],[Pcode]]="","",OFFSET(CampList[Priority],MATCH(Table_NFI[[#This Row],[Pcode]],CampList[CP_Pcode],0)-1,0,1,1))</f>
        <v>P3</v>
      </c>
      <c r="AS281" s="351">
        <f>IFERROR(Table_NFI[[#This Row],[Kitchen Set]]/VLOOKUP(Table_NFI[[#This Row],[Camp Name]],CL,4,0),"")</f>
        <v>0.18947368421052632</v>
      </c>
      <c r="AT281" s="533"/>
      <c r="AU281" s="536"/>
    </row>
    <row r="282" spans="1:47" s="537" customFormat="1" ht="14.45" customHeight="1" x14ac:dyDescent="0.25">
      <c r="A282" s="355">
        <f t="shared" si="4"/>
        <v>23.866666666666667</v>
      </c>
      <c r="B282" s="532">
        <v>41855</v>
      </c>
      <c r="C282" s="533" t="s">
        <v>453</v>
      </c>
      <c r="D282" s="533"/>
      <c r="E282" s="533" t="s">
        <v>380</v>
      </c>
      <c r="F282" s="533" t="s">
        <v>151</v>
      </c>
      <c r="G282" s="533" t="s">
        <v>944</v>
      </c>
      <c r="H282" s="349"/>
      <c r="I282" s="349"/>
      <c r="J282" s="349"/>
      <c r="K282" s="349"/>
      <c r="L282" s="350"/>
      <c r="M282" s="350"/>
      <c r="N282" s="350"/>
      <c r="O282" s="350"/>
      <c r="P282" s="352">
        <v>2</v>
      </c>
      <c r="Q282" s="352"/>
      <c r="R282" s="352"/>
      <c r="S282" s="352"/>
      <c r="T282" s="352"/>
      <c r="U282" s="352"/>
      <c r="V282" s="497"/>
      <c r="W282" s="352"/>
      <c r="X282" s="352"/>
      <c r="Y282" s="352">
        <f>IF(NFI_Expiration=1,IF($A282&lt;VLOOKUP(H$5,NFI,5,0),1,0)*Table_NFI[[#This Row],[Hygiene Kit]],Table_NFI[Hygiene Kit])</f>
        <v>0</v>
      </c>
      <c r="Z282" s="352">
        <f>IF(NFI_Expiration=1,IF($A282&lt;VLOOKUP(I$5,NFI,5,0),1,0)*Table_NFI[[#This Row],[NFI Core Kit]],Table_NFI[NFI Core Kit])</f>
        <v>0</v>
      </c>
      <c r="AA282" s="352">
        <f>IF(NFI_Expiration=1,IF($A282&lt;VLOOKUP(J$5,NFI,5,0),1,0)*Table_NFI[[#This Row],[Sanitary Kit]],Table_NFI[Sanitary Kit])</f>
        <v>0</v>
      </c>
      <c r="AB282" s="352">
        <f>IF(NFI_Expiration=1,IF($A282&lt;VLOOKUP(K$5,NFI,5,0),1,0)*Table_NFI[[#This Row],[Mosquito net]],Table_NFI[Mosquito net])</f>
        <v>0</v>
      </c>
      <c r="AC282" s="352">
        <f>IF(NFI_Expiration=1,IF($A282&lt;VLOOKUP(L$5,NFI,5,0),1,0)*Table_NFI[[#This Row],[Tarpaulin]],Table_NFI[[#This Row],[Tarpaulin]])</f>
        <v>0</v>
      </c>
      <c r="AD282" s="352">
        <f>IF(NFI_Expiration=1,IF($A282&lt;VLOOKUP(M$5,NFI,5,0),1,0)*Table_NFI[[#This Row],[Blanket]],Table_NFI[[#This Row],[Blanket]])</f>
        <v>0</v>
      </c>
      <c r="AE282" s="352">
        <f>IF(NFI_Expiration=1,IF($A282&lt;VLOOKUP(N$5,NFI,5,0),1,0)*Table_NFI[[#This Row],[Kitchen Set]],Table_NFI[Kitchen Set])</f>
        <v>0</v>
      </c>
      <c r="AF282" s="352">
        <f>IF(NFI_Expiration=1,IF($A282&lt;VLOOKUP(O$5,NFI,5,0),1,0)*Table_NFI[[#This Row],[Clothes Kit]],Table_NFI[Clothes Kit])</f>
        <v>0</v>
      </c>
      <c r="AG282" s="352">
        <f>IF(NFI_Expiration=1,IF($A282&lt;VLOOKUP(P$5,NFI,5,0),1,0)*Table_NFI[[#This Row],[Plastic Bucket]],Table_NFI[Plastic Bucket])</f>
        <v>0</v>
      </c>
      <c r="AH282" s="352">
        <f>IF(NFI_Expiration=1,IF($A282&lt;VLOOKUP(Q$5,NFI,5,0),1,0)*Table_NFI[[#This Row],[Plastic Mat]],Table_NFI[Plastic Mat])*IF(Table_NFI[[#This Row],[Distribution Date]]&gt;"2014-04-01",1,2.5)</f>
        <v>0</v>
      </c>
      <c r="AI282" s="352">
        <f>IF(NFI_Expiration=1,IF($A282&lt;VLOOKUP(R$5,NFI,5,0),1,0)*Table_NFI[[#This Row],[Winter Clothes Adult]],Table_NFI[Winter Clothes Adult])</f>
        <v>0</v>
      </c>
      <c r="AJ282" s="352">
        <f>IF(NFI_Expiration=1,IF($A282&lt;VLOOKUP(S$5,NFI,5,0),1,0)*Table_NFI[[#This Row],[Winter Clothes Children]],Table_NFI[Winter Clothes Children])</f>
        <v>0</v>
      </c>
      <c r="AK282" s="352">
        <f>IF(NFI_Expiration=1,IF($A282&lt;VLOOKUP(T$5,NFI,5,0),1,0)*Table_NFI[[#This Row],[Winter Items Other]],Table_NFI[Winter Items Other])</f>
        <v>0</v>
      </c>
      <c r="AL282" s="352">
        <f>IF(NFI_Expiration=1,IF($A282&lt;VLOOKUP(M$5,NFI,5,0),1,0)*Table_NFI[[#This Row],[Winter Blanket]],Table_NFI[[#This Row],[Winter Blanket]])</f>
        <v>0</v>
      </c>
      <c r="AM282" s="352">
        <f>IF(Table_NFI[[#This Row],[Winter Clothes Adult]]+Table_NFI[[#This Row],[Winter Clothes Children]]+Table_NFI[[#This Row],[Winter Items Other]]+Table_NFI[[#This Row],[Winter Blanket]]&gt;0,1,0)</f>
        <v>0</v>
      </c>
      <c r="AN282" s="392">
        <f>IF(NFI_Expiration=1,IF($A282&lt;VLOOKUP(V$5,NFI,5,0),1,0)*Table_NFI[[#This Row],[Jerry Can]],Table_NFI[Jerry Can])</f>
        <v>0</v>
      </c>
      <c r="AO282" s="540" t="str">
        <f>IFERROR(VLOOKUP(Table_NFI[[#This Row],[Camp Name]],CL,2,0),"")</f>
        <v>MMR001CMP223</v>
      </c>
      <c r="AP282" s="535">
        <f ca="1">IF(Table_NFI[[#This Row],[Pcode]]="","",IF(OFFSET(CampList[Opening Date],MATCH(Table_NFI[[#This Row],[Pcode]],CampList[CP_Pcode],0)-1,0,1,1)&gt;=NFI_Monitor_Date,1,0))</f>
        <v>0</v>
      </c>
      <c r="AQ282" s="540" t="str">
        <f>IFERROR(VLOOKUP(Table_NFI[[#This Row],[Camp Name]],CL,3,0),"")</f>
        <v>Open</v>
      </c>
      <c r="AR282" s="352" t="str">
        <f ca="1">IF(Table_NFI[[#This Row],[Pcode]]="","",OFFSET(CampList[Priority],MATCH(Table_NFI[[#This Row],[Pcode]],CampList[CP_Pcode],0)-1,0,1,1))</f>
        <v>P4</v>
      </c>
      <c r="AS282" s="351">
        <f>IFERROR(Table_NFI[[#This Row],[Kitchen Set]]/VLOOKUP(Table_NFI[[#This Row],[Camp Name]],CL,4,0),"")</f>
        <v>0</v>
      </c>
      <c r="AT282" s="533"/>
      <c r="AU282" s="536"/>
    </row>
    <row r="283" spans="1:47" s="537" customFormat="1" ht="14.45" customHeight="1" x14ac:dyDescent="0.25">
      <c r="A283" s="355">
        <f t="shared" si="4"/>
        <v>23.866666666666667</v>
      </c>
      <c r="B283" s="532">
        <v>41855</v>
      </c>
      <c r="C283" s="533" t="s">
        <v>453</v>
      </c>
      <c r="D283" s="533"/>
      <c r="E283" s="533" t="s">
        <v>380</v>
      </c>
      <c r="F283" s="533" t="s">
        <v>5</v>
      </c>
      <c r="G283" s="533"/>
      <c r="H283" s="349"/>
      <c r="I283" s="349"/>
      <c r="J283" s="349"/>
      <c r="K283" s="349"/>
      <c r="L283" s="350">
        <v>5</v>
      </c>
      <c r="M283" s="350"/>
      <c r="N283" s="350"/>
      <c r="O283" s="350"/>
      <c r="P283" s="352"/>
      <c r="Q283" s="352"/>
      <c r="R283" s="352"/>
      <c r="S283" s="352"/>
      <c r="T283" s="352"/>
      <c r="U283" s="352"/>
      <c r="V283" s="497"/>
      <c r="W283" s="352"/>
      <c r="X283" s="352"/>
      <c r="Y283" s="352">
        <f>IF(NFI_Expiration=1,IF($A283&lt;VLOOKUP(H$5,NFI,5,0),1,0)*Table_NFI[[#This Row],[Hygiene Kit]],Table_NFI[Hygiene Kit])</f>
        <v>0</v>
      </c>
      <c r="Z283" s="352">
        <f>IF(NFI_Expiration=1,IF($A283&lt;VLOOKUP(I$5,NFI,5,0),1,0)*Table_NFI[[#This Row],[NFI Core Kit]],Table_NFI[NFI Core Kit])</f>
        <v>0</v>
      </c>
      <c r="AA283" s="352">
        <f>IF(NFI_Expiration=1,IF($A283&lt;VLOOKUP(J$5,NFI,5,0),1,0)*Table_NFI[[#This Row],[Sanitary Kit]],Table_NFI[Sanitary Kit])</f>
        <v>0</v>
      </c>
      <c r="AB283" s="352">
        <f>IF(NFI_Expiration=1,IF($A283&lt;VLOOKUP(K$5,NFI,5,0),1,0)*Table_NFI[[#This Row],[Mosquito net]],Table_NFI[Mosquito net])</f>
        <v>0</v>
      </c>
      <c r="AC283" s="352">
        <f>IF(NFI_Expiration=1,IF($A283&lt;VLOOKUP(L$5,NFI,5,0),1,0)*Table_NFI[[#This Row],[Tarpaulin]],Table_NFI[[#This Row],[Tarpaulin]])</f>
        <v>0</v>
      </c>
      <c r="AD283" s="352">
        <f>IF(NFI_Expiration=1,IF($A283&lt;VLOOKUP(M$5,NFI,5,0),1,0)*Table_NFI[[#This Row],[Blanket]],Table_NFI[[#This Row],[Blanket]])</f>
        <v>0</v>
      </c>
      <c r="AE283" s="352">
        <f>IF(NFI_Expiration=1,IF($A283&lt;VLOOKUP(N$5,NFI,5,0),1,0)*Table_NFI[[#This Row],[Kitchen Set]],Table_NFI[Kitchen Set])</f>
        <v>0</v>
      </c>
      <c r="AF283" s="352">
        <f>IF(NFI_Expiration=1,IF($A283&lt;VLOOKUP(O$5,NFI,5,0),1,0)*Table_NFI[[#This Row],[Clothes Kit]],Table_NFI[Clothes Kit])</f>
        <v>0</v>
      </c>
      <c r="AG283" s="352">
        <f>IF(NFI_Expiration=1,IF($A283&lt;VLOOKUP(P$5,NFI,5,0),1,0)*Table_NFI[[#This Row],[Plastic Bucket]],Table_NFI[Plastic Bucket])</f>
        <v>0</v>
      </c>
      <c r="AH283" s="352">
        <f>IF(NFI_Expiration=1,IF($A283&lt;VLOOKUP(Q$5,NFI,5,0),1,0)*Table_NFI[[#This Row],[Plastic Mat]],Table_NFI[Plastic Mat])*IF(Table_NFI[[#This Row],[Distribution Date]]&gt;"2014-04-01",1,2.5)</f>
        <v>0</v>
      </c>
      <c r="AI283" s="352">
        <f>IF(NFI_Expiration=1,IF($A283&lt;VLOOKUP(R$5,NFI,5,0),1,0)*Table_NFI[[#This Row],[Winter Clothes Adult]],Table_NFI[Winter Clothes Adult])</f>
        <v>0</v>
      </c>
      <c r="AJ283" s="352">
        <f>IF(NFI_Expiration=1,IF($A283&lt;VLOOKUP(S$5,NFI,5,0),1,0)*Table_NFI[[#This Row],[Winter Clothes Children]],Table_NFI[Winter Clothes Children])</f>
        <v>0</v>
      </c>
      <c r="AK283" s="352">
        <f>IF(NFI_Expiration=1,IF($A283&lt;VLOOKUP(T$5,NFI,5,0),1,0)*Table_NFI[[#This Row],[Winter Items Other]],Table_NFI[Winter Items Other])</f>
        <v>0</v>
      </c>
      <c r="AL283" s="352">
        <f>IF(NFI_Expiration=1,IF($A283&lt;VLOOKUP(M$5,NFI,5,0),1,0)*Table_NFI[[#This Row],[Winter Blanket]],Table_NFI[[#This Row],[Winter Blanket]])</f>
        <v>0</v>
      </c>
      <c r="AM283" s="352">
        <f>IF(Table_NFI[[#This Row],[Winter Clothes Adult]]+Table_NFI[[#This Row],[Winter Clothes Children]]+Table_NFI[[#This Row],[Winter Items Other]]+Table_NFI[[#This Row],[Winter Blanket]]&gt;0,1,0)</f>
        <v>0</v>
      </c>
      <c r="AN283" s="392">
        <f>IF(NFI_Expiration=1,IF($A283&lt;VLOOKUP(V$5,NFI,5,0),1,0)*Table_NFI[[#This Row],[Jerry Can]],Table_NFI[Jerry Can])</f>
        <v>0</v>
      </c>
      <c r="AO283" s="540" t="str">
        <f>IFERROR(VLOOKUP(Table_NFI[[#This Row],[Camp Name]],CL,2,0),"")</f>
        <v/>
      </c>
      <c r="AP283" s="535" t="str">
        <f ca="1">IF(Table_NFI[[#This Row],[Pcode]]="","",IF(OFFSET(CampList[Opening Date],MATCH(Table_NFI[[#This Row],[Pcode]],CampList[CP_Pcode],0)-1,0,1,1)&gt;=NFI_Monitor_Date,1,0))</f>
        <v/>
      </c>
      <c r="AQ283" s="540" t="str">
        <f>IFERROR(VLOOKUP(Table_NFI[[#This Row],[Camp Name]],CL,3,0),"")</f>
        <v/>
      </c>
      <c r="AR283" s="352" t="str">
        <f ca="1">IF(Table_NFI[[#This Row],[Pcode]]="","",OFFSET(CampList[Priority],MATCH(Table_NFI[[#This Row],[Pcode]],CampList[CP_Pcode],0)-1,0,1,1))</f>
        <v/>
      </c>
      <c r="AS283" s="351" t="str">
        <f>IFERROR(Table_NFI[[#This Row],[Kitchen Set]]/VLOOKUP(Table_NFI[[#This Row],[Camp Name]],CL,4,0),"")</f>
        <v/>
      </c>
      <c r="AT283" s="533"/>
      <c r="AU283" s="536"/>
    </row>
    <row r="284" spans="1:47" s="537" customFormat="1" hidden="1" x14ac:dyDescent="0.25">
      <c r="A284" s="355">
        <f t="shared" si="4"/>
        <v>32.299999999999997</v>
      </c>
      <c r="B284" s="532">
        <v>41602</v>
      </c>
      <c r="C284" s="533" t="s">
        <v>907</v>
      </c>
      <c r="D284" s="533" t="s">
        <v>907</v>
      </c>
      <c r="E284" s="533" t="s">
        <v>380</v>
      </c>
      <c r="F284" s="533" t="s">
        <v>302</v>
      </c>
      <c r="G284" s="533" t="s">
        <v>304</v>
      </c>
      <c r="H284" s="349"/>
      <c r="I284" s="349"/>
      <c r="J284" s="349"/>
      <c r="K284" s="349"/>
      <c r="L284" s="350"/>
      <c r="M284" s="350"/>
      <c r="N284" s="350"/>
      <c r="O284" s="350"/>
      <c r="P284" s="352"/>
      <c r="Q284" s="352"/>
      <c r="R284" s="352">
        <v>45</v>
      </c>
      <c r="S284" s="352">
        <v>90</v>
      </c>
      <c r="T284" s="352">
        <v>270</v>
      </c>
      <c r="U284" s="352">
        <v>135</v>
      </c>
      <c r="V284" s="497"/>
      <c r="W284" s="352"/>
      <c r="X284" s="352"/>
      <c r="Y284" s="352">
        <f>IF(NFI_Expiration=1,IF($A284&lt;VLOOKUP(H$5,NFI,5,0),1,0)*Table_NFI[[#This Row],[Hygiene Kit]],Table_NFI[Hygiene Kit])</f>
        <v>0</v>
      </c>
      <c r="Z284" s="352">
        <f>IF(NFI_Expiration=1,IF($A284&lt;VLOOKUP(I$5,NFI,5,0),1,0)*Table_NFI[[#This Row],[NFI Core Kit]],Table_NFI[NFI Core Kit])</f>
        <v>0</v>
      </c>
      <c r="AA284" s="352">
        <f>IF(NFI_Expiration=1,IF($A284&lt;VLOOKUP(J$5,NFI,5,0),1,0)*Table_NFI[[#This Row],[Sanitary Kit]],Table_NFI[Sanitary Kit])</f>
        <v>0</v>
      </c>
      <c r="AB284" s="352">
        <f>IF(NFI_Expiration=1,IF($A284&lt;VLOOKUP(K$5,NFI,5,0),1,0)*Table_NFI[[#This Row],[Mosquito net]],Table_NFI[Mosquito net])</f>
        <v>0</v>
      </c>
      <c r="AC284" s="352">
        <f>IF(NFI_Expiration=1,IF($A284&lt;VLOOKUP(L$5,NFI,5,0),1,0)*Table_NFI[[#This Row],[Tarpaulin]],Table_NFI[[#This Row],[Tarpaulin]])</f>
        <v>0</v>
      </c>
      <c r="AD284" s="352">
        <f>IF(NFI_Expiration=1,IF($A284&lt;VLOOKUP(M$5,NFI,5,0),1,0)*Table_NFI[[#This Row],[Blanket]],Table_NFI[[#This Row],[Blanket]])</f>
        <v>0</v>
      </c>
      <c r="AE284" s="352">
        <f>IF(NFI_Expiration=1,IF($A284&lt;VLOOKUP(N$5,NFI,5,0),1,0)*Table_NFI[[#This Row],[Kitchen Set]],Table_NFI[Kitchen Set])</f>
        <v>0</v>
      </c>
      <c r="AF284" s="352">
        <f>IF(NFI_Expiration=1,IF($A284&lt;VLOOKUP(O$5,NFI,5,0),1,0)*Table_NFI[[#This Row],[Clothes Kit]],Table_NFI[Clothes Kit])</f>
        <v>0</v>
      </c>
      <c r="AG284" s="352">
        <f>IF(NFI_Expiration=1,IF($A284&lt;VLOOKUP(P$5,NFI,5,0),1,0)*Table_NFI[[#This Row],[Plastic Bucket]],Table_NFI[Plastic Bucket])</f>
        <v>0</v>
      </c>
      <c r="AH284" s="352">
        <f>IF(NFI_Expiration=1,IF($A284&lt;VLOOKUP(Q$5,NFI,5,0),1,0)*Table_NFI[[#This Row],[Plastic Mat]],Table_NFI[Plastic Mat])*IF(Table_NFI[[#This Row],[Distribution Date]]&gt;"2014-04-01",1,2.5)</f>
        <v>0</v>
      </c>
      <c r="AI284" s="352">
        <f>IF(NFI_Expiration=1,IF($A284&lt;VLOOKUP(R$5,NFI,5,0),1,0)*Table_NFI[[#This Row],[Winter Clothes Adult]],Table_NFI[Winter Clothes Adult])</f>
        <v>0</v>
      </c>
      <c r="AJ284" s="352">
        <f>IF(NFI_Expiration=1,IF($A284&lt;VLOOKUP(S$5,NFI,5,0),1,0)*Table_NFI[[#This Row],[Winter Clothes Children]],Table_NFI[Winter Clothes Children])</f>
        <v>0</v>
      </c>
      <c r="AK284" s="352">
        <f>IF(NFI_Expiration=1,IF($A284&lt;VLOOKUP(T$5,NFI,5,0),1,0)*Table_NFI[[#This Row],[Winter Items Other]],Table_NFI[Winter Items Other])</f>
        <v>0</v>
      </c>
      <c r="AL284" s="352">
        <f>IF(NFI_Expiration=1,IF($A284&lt;VLOOKUP(M$5,NFI,5,0),1,0)*Table_NFI[[#This Row],[Winter Blanket]],Table_NFI[[#This Row],[Winter Blanket]])</f>
        <v>0</v>
      </c>
      <c r="AM284" s="352">
        <f>IF(Table_NFI[[#This Row],[Winter Clothes Adult]]+Table_NFI[[#This Row],[Winter Clothes Children]]+Table_NFI[[#This Row],[Winter Items Other]]+Table_NFI[[#This Row],[Winter Blanket]]&gt;0,1,0)</f>
        <v>1</v>
      </c>
      <c r="AN284" s="392">
        <f>IF(NFI_Expiration=1,IF($A284&lt;VLOOKUP(V$5,NFI,5,0),1,0)*Table_NFI[[#This Row],[Jerry Can]],Table_NFI[Jerry Can])</f>
        <v>0</v>
      </c>
      <c r="AO284" s="540" t="str">
        <f>IFERROR(VLOOKUP(Table_NFI[[#This Row],[Camp Name]],CL,2,0),"")</f>
        <v>MMR001CMP147</v>
      </c>
      <c r="AP284" s="535">
        <f ca="1">IF(Table_NFI[[#This Row],[Pcode]]="","",IF(OFFSET(CampList[Opening Date],MATCH(Table_NFI[[#This Row],[Pcode]],CampList[CP_Pcode],0)-1,0,1,1)&gt;=NFI_Monitor_Date,1,0))</f>
        <v>1</v>
      </c>
      <c r="AQ284" s="540" t="str">
        <f>IFERROR(VLOOKUP(Table_NFI[[#This Row],[Camp Name]],CL,3,0),"")</f>
        <v>Open</v>
      </c>
      <c r="AR284" s="352" t="str">
        <f ca="1">IF(Table_NFI[[#This Row],[Pcode]]="","",OFFSET(CampList[Priority],MATCH(Table_NFI[[#This Row],[Pcode]],CampList[CP_Pcode],0)-1,0,1,1))</f>
        <v>P4</v>
      </c>
      <c r="AS284" s="351">
        <f>IFERROR(Table_NFI[[#This Row],[Kitchen Set]]/VLOOKUP(Table_NFI[[#This Row],[Camp Name]],CL,4,0),"")</f>
        <v>0</v>
      </c>
      <c r="AT284" s="533"/>
      <c r="AU284" s="536"/>
    </row>
    <row r="285" spans="1:47" s="537" customFormat="1" ht="14.45" customHeight="1" x14ac:dyDescent="0.25">
      <c r="A285" s="355">
        <f t="shared" si="4"/>
        <v>24.066666666666666</v>
      </c>
      <c r="B285" s="532">
        <v>41849</v>
      </c>
      <c r="C285" s="533" t="s">
        <v>453</v>
      </c>
      <c r="D285" s="533"/>
      <c r="E285" s="533" t="s">
        <v>380</v>
      </c>
      <c r="F285" s="533" t="s">
        <v>185</v>
      </c>
      <c r="G285" s="533" t="s">
        <v>196</v>
      </c>
      <c r="H285" s="349"/>
      <c r="I285" s="349"/>
      <c r="J285" s="349"/>
      <c r="K285" s="349">
        <v>254</v>
      </c>
      <c r="L285" s="350">
        <v>204</v>
      </c>
      <c r="M285" s="350">
        <v>254</v>
      </c>
      <c r="N285" s="350">
        <v>134</v>
      </c>
      <c r="O285" s="350"/>
      <c r="P285" s="352">
        <v>134</v>
      </c>
      <c r="Q285" s="352">
        <v>608</v>
      </c>
      <c r="R285" s="352"/>
      <c r="S285" s="352"/>
      <c r="T285" s="352"/>
      <c r="U285" s="352"/>
      <c r="V285" s="497"/>
      <c r="W285" s="352"/>
      <c r="X285" s="352"/>
      <c r="Y285" s="352">
        <f>IF(NFI_Expiration=1,IF($A285&lt;VLOOKUP(H$5,NFI,5,0),1,0)*Table_NFI[[#This Row],[Hygiene Kit]],Table_NFI[Hygiene Kit])</f>
        <v>0</v>
      </c>
      <c r="Z285" s="352">
        <f>IF(NFI_Expiration=1,IF($A285&lt;VLOOKUP(I$5,NFI,5,0),1,0)*Table_NFI[[#This Row],[NFI Core Kit]],Table_NFI[NFI Core Kit])</f>
        <v>0</v>
      </c>
      <c r="AA285" s="352">
        <f>IF(NFI_Expiration=1,IF($A285&lt;VLOOKUP(J$5,NFI,5,0),1,0)*Table_NFI[[#This Row],[Sanitary Kit]],Table_NFI[Sanitary Kit])</f>
        <v>0</v>
      </c>
      <c r="AB285" s="352">
        <f>IF(NFI_Expiration=1,IF($A285&lt;VLOOKUP(K$5,NFI,5,0),1,0)*Table_NFI[[#This Row],[Mosquito net]],Table_NFI[Mosquito net])</f>
        <v>0</v>
      </c>
      <c r="AC285" s="352">
        <f>IF(NFI_Expiration=1,IF($A285&lt;VLOOKUP(L$5,NFI,5,0),1,0)*Table_NFI[[#This Row],[Tarpaulin]],Table_NFI[[#This Row],[Tarpaulin]])</f>
        <v>0</v>
      </c>
      <c r="AD285" s="352">
        <f>IF(NFI_Expiration=1,IF($A285&lt;VLOOKUP(M$5,NFI,5,0),1,0)*Table_NFI[[#This Row],[Blanket]],Table_NFI[[#This Row],[Blanket]])</f>
        <v>0</v>
      </c>
      <c r="AE285" s="352">
        <f>IF(NFI_Expiration=1,IF($A285&lt;VLOOKUP(N$5,NFI,5,0),1,0)*Table_NFI[[#This Row],[Kitchen Set]],Table_NFI[Kitchen Set])</f>
        <v>0</v>
      </c>
      <c r="AF285" s="352">
        <f>IF(NFI_Expiration=1,IF($A285&lt;VLOOKUP(O$5,NFI,5,0),1,0)*Table_NFI[[#This Row],[Clothes Kit]],Table_NFI[Clothes Kit])</f>
        <v>0</v>
      </c>
      <c r="AG285" s="352">
        <f>IF(NFI_Expiration=1,IF($A285&lt;VLOOKUP(P$5,NFI,5,0),1,0)*Table_NFI[[#This Row],[Plastic Bucket]],Table_NFI[Plastic Bucket])</f>
        <v>0</v>
      </c>
      <c r="AH285" s="352">
        <f>IF(NFI_Expiration=1,IF($A285&lt;VLOOKUP(Q$5,NFI,5,0),1,0)*Table_NFI[[#This Row],[Plastic Mat]],Table_NFI[Plastic Mat])*IF(Table_NFI[[#This Row],[Distribution Date]]&gt;"2014-04-01",1,2.5)</f>
        <v>0</v>
      </c>
      <c r="AI285" s="352">
        <f>IF(NFI_Expiration=1,IF($A285&lt;VLOOKUP(R$5,NFI,5,0),1,0)*Table_NFI[[#This Row],[Winter Clothes Adult]],Table_NFI[Winter Clothes Adult])</f>
        <v>0</v>
      </c>
      <c r="AJ285" s="352">
        <f>IF(NFI_Expiration=1,IF($A285&lt;VLOOKUP(S$5,NFI,5,0),1,0)*Table_NFI[[#This Row],[Winter Clothes Children]],Table_NFI[Winter Clothes Children])</f>
        <v>0</v>
      </c>
      <c r="AK285" s="352">
        <f>IF(NFI_Expiration=1,IF($A285&lt;VLOOKUP(T$5,NFI,5,0),1,0)*Table_NFI[[#This Row],[Winter Items Other]],Table_NFI[Winter Items Other])</f>
        <v>0</v>
      </c>
      <c r="AL285" s="352">
        <f>IF(NFI_Expiration=1,IF($A285&lt;VLOOKUP(M$5,NFI,5,0),1,0)*Table_NFI[[#This Row],[Winter Blanket]],Table_NFI[[#This Row],[Winter Blanket]])</f>
        <v>0</v>
      </c>
      <c r="AM285" s="352">
        <f>IF(Table_NFI[[#This Row],[Winter Clothes Adult]]+Table_NFI[[#This Row],[Winter Clothes Children]]+Table_NFI[[#This Row],[Winter Items Other]]+Table_NFI[[#This Row],[Winter Blanket]]&gt;0,1,0)</f>
        <v>0</v>
      </c>
      <c r="AN285" s="392">
        <f>IF(NFI_Expiration=1,IF($A285&lt;VLOOKUP(V$5,NFI,5,0),1,0)*Table_NFI[[#This Row],[Jerry Can]],Table_NFI[Jerry Can])</f>
        <v>0</v>
      </c>
      <c r="AO285" s="540" t="str">
        <f>IFERROR(VLOOKUP(Table_NFI[[#This Row],[Camp Name]],CL,2,0),"")</f>
        <v>MMR001CMP121</v>
      </c>
      <c r="AP285" s="535">
        <f ca="1">IF(Table_NFI[[#This Row],[Pcode]]="","",IF(OFFSET(CampList[Opening Date],MATCH(Table_NFI[[#This Row],[Pcode]],CampList[CP_Pcode],0)-1,0,1,1)&gt;=NFI_Monitor_Date,1,0))</f>
        <v>0</v>
      </c>
      <c r="AQ285" s="540" t="str">
        <f>IFERROR(VLOOKUP(Table_NFI[[#This Row],[Camp Name]],CL,3,0),"")</f>
        <v>Open</v>
      </c>
      <c r="AR285" s="352" t="str">
        <f ca="1">IF(Table_NFI[[#This Row],[Pcode]]="","",OFFSET(CampList[Priority],MATCH(Table_NFI[[#This Row],[Pcode]],CampList[CP_Pcode],0)-1,0,1,1))</f>
        <v>P2</v>
      </c>
      <c r="AS285" s="351">
        <f>IFERROR(Table_NFI[[#This Row],[Kitchen Set]]/VLOOKUP(Table_NFI[[#This Row],[Camp Name]],CL,4,0),"")</f>
        <v>8.0820265379975872E-2</v>
      </c>
      <c r="AT285" s="533"/>
      <c r="AU285" s="536"/>
    </row>
    <row r="286" spans="1:47" s="537" customFormat="1" ht="14.45" hidden="1" customHeight="1" x14ac:dyDescent="0.25">
      <c r="A286" s="355">
        <f t="shared" si="4"/>
        <v>38.700000000000003</v>
      </c>
      <c r="B286" s="532">
        <v>41410</v>
      </c>
      <c r="C286" s="533" t="s">
        <v>903</v>
      </c>
      <c r="D286" s="533" t="s">
        <v>507</v>
      </c>
      <c r="E286" s="533" t="s">
        <v>380</v>
      </c>
      <c r="F286" s="533" t="s">
        <v>528</v>
      </c>
      <c r="G286" s="348" t="s">
        <v>911</v>
      </c>
      <c r="H286" s="349">
        <v>394</v>
      </c>
      <c r="I286" s="349"/>
      <c r="J286" s="349"/>
      <c r="K286" s="349"/>
      <c r="L286" s="350"/>
      <c r="M286" s="350"/>
      <c r="N286" s="350"/>
      <c r="O286" s="350"/>
      <c r="P286" s="352"/>
      <c r="Q286" s="352"/>
      <c r="R286" s="352"/>
      <c r="S286" s="352"/>
      <c r="T286" s="352"/>
      <c r="U286" s="352"/>
      <c r="V286" s="497"/>
      <c r="W286" s="352"/>
      <c r="X286" s="352"/>
      <c r="Y286" s="352">
        <f>IF(NFI_Expiration=1,IF($A286&lt;VLOOKUP(H$5,NFI,5,0),1,0)*Table_NFI[[#This Row],[Hygiene Kit]],Table_NFI[Hygiene Kit])</f>
        <v>0</v>
      </c>
      <c r="Z286" s="352">
        <f>IF(NFI_Expiration=1,IF($A286&lt;VLOOKUP(I$5,NFI,5,0),1,0)*Table_NFI[[#This Row],[NFI Core Kit]],Table_NFI[NFI Core Kit])</f>
        <v>0</v>
      </c>
      <c r="AA286" s="352">
        <f>IF(NFI_Expiration=1,IF($A286&lt;VLOOKUP(J$5,NFI,5,0),1,0)*Table_NFI[[#This Row],[Sanitary Kit]],Table_NFI[Sanitary Kit])</f>
        <v>0</v>
      </c>
      <c r="AB286" s="352">
        <f>IF(NFI_Expiration=1,IF($A286&lt;VLOOKUP(K$5,NFI,5,0),1,0)*Table_NFI[[#This Row],[Mosquito net]],Table_NFI[Mosquito net])</f>
        <v>0</v>
      </c>
      <c r="AC286" s="352">
        <f>IF(NFI_Expiration=1,IF($A286&lt;VLOOKUP(L$5,NFI,5,0),1,0)*Table_NFI[[#This Row],[Tarpaulin]],Table_NFI[[#This Row],[Tarpaulin]])</f>
        <v>0</v>
      </c>
      <c r="AD286" s="352">
        <f>IF(NFI_Expiration=1,IF($A286&lt;VLOOKUP(M$5,NFI,5,0),1,0)*Table_NFI[[#This Row],[Blanket]],Table_NFI[[#This Row],[Blanket]])</f>
        <v>0</v>
      </c>
      <c r="AE286" s="352">
        <f>IF(NFI_Expiration=1,IF($A286&lt;VLOOKUP(N$5,NFI,5,0),1,0)*Table_NFI[[#This Row],[Kitchen Set]],Table_NFI[Kitchen Set])</f>
        <v>0</v>
      </c>
      <c r="AF286" s="352">
        <f>IF(NFI_Expiration=1,IF($A286&lt;VLOOKUP(O$5,NFI,5,0),1,0)*Table_NFI[[#This Row],[Clothes Kit]],Table_NFI[Clothes Kit])</f>
        <v>0</v>
      </c>
      <c r="AG286" s="352">
        <f>IF(NFI_Expiration=1,IF($A286&lt;VLOOKUP(P$5,NFI,5,0),1,0)*Table_NFI[[#This Row],[Plastic Bucket]],Table_NFI[Plastic Bucket])</f>
        <v>0</v>
      </c>
      <c r="AH286" s="352">
        <f>IF(NFI_Expiration=1,IF($A286&lt;VLOOKUP(Q$5,NFI,5,0),1,0)*Table_NFI[[#This Row],[Plastic Mat]],Table_NFI[Plastic Mat])*IF(Table_NFI[[#This Row],[Distribution Date]]&gt;"2014-04-01",1,2.5)</f>
        <v>0</v>
      </c>
      <c r="AI286" s="352">
        <f>IF(NFI_Expiration=1,IF($A286&lt;VLOOKUP(R$5,NFI,5,0),1,0)*Table_NFI[[#This Row],[Winter Clothes Adult]],Table_NFI[Winter Clothes Adult])</f>
        <v>0</v>
      </c>
      <c r="AJ286" s="352">
        <f>IF(NFI_Expiration=1,IF($A286&lt;VLOOKUP(S$5,NFI,5,0),1,0)*Table_NFI[[#This Row],[Winter Clothes Children]],Table_NFI[Winter Clothes Children])</f>
        <v>0</v>
      </c>
      <c r="AK286" s="352">
        <f>IF(NFI_Expiration=1,IF($A286&lt;VLOOKUP(T$5,NFI,5,0),1,0)*Table_NFI[[#This Row],[Winter Items Other]],Table_NFI[Winter Items Other])</f>
        <v>0</v>
      </c>
      <c r="AL286" s="352">
        <f>IF(NFI_Expiration=1,IF($A286&lt;VLOOKUP(M$5,NFI,5,0),1,0)*Table_NFI[[#This Row],[Winter Blanket]],Table_NFI[[#This Row],[Winter Blanket]])</f>
        <v>0</v>
      </c>
      <c r="AM286" s="352">
        <f>IF(Table_NFI[[#This Row],[Winter Clothes Adult]]+Table_NFI[[#This Row],[Winter Clothes Children]]+Table_NFI[[#This Row],[Winter Items Other]]+Table_NFI[[#This Row],[Winter Blanket]]&gt;0,1,0)</f>
        <v>0</v>
      </c>
      <c r="AN286" s="392">
        <f>IF(NFI_Expiration=1,IF($A286&lt;VLOOKUP(V$5,NFI,5,0),1,0)*Table_NFI[[#This Row],[Jerry Can]],Table_NFI[Jerry Can])</f>
        <v>0</v>
      </c>
      <c r="AO286" s="540" t="str">
        <f>IFERROR(VLOOKUP(Table_NFI[[#This Row],[Camp Name]],CL,2,0),"")</f>
        <v/>
      </c>
      <c r="AP286" s="535" t="str">
        <f ca="1">IF(Table_NFI[[#This Row],[Pcode]]="","",IF(OFFSET(CampList[Opening Date],MATCH(Table_NFI[[#This Row],[Pcode]],CampList[CP_Pcode],0)-1,0,1,1)&gt;=NFI_Monitor_Date,1,0))</f>
        <v/>
      </c>
      <c r="AQ286" s="540" t="str">
        <f>IFERROR(VLOOKUP(Table_NFI[[#This Row],[Camp Name]],CL,3,0),"")</f>
        <v/>
      </c>
      <c r="AR286" s="352" t="str">
        <f ca="1">IF(Table_NFI[[#This Row],[Pcode]]="","",OFFSET(CampList[Priority],MATCH(Table_NFI[[#This Row],[Pcode]],CampList[CP_Pcode],0)-1,0,1,1))</f>
        <v/>
      </c>
      <c r="AS286" s="351" t="str">
        <f>IFERROR(Table_NFI[[#This Row],[Kitchen Set]]/VLOOKUP(Table_NFI[[#This Row],[Camp Name]],CL,4,0),"")</f>
        <v/>
      </c>
      <c r="AT286" s="533" t="s">
        <v>1094</v>
      </c>
      <c r="AU286" s="536"/>
    </row>
    <row r="287" spans="1:47" s="537" customFormat="1" ht="14.45" hidden="1" customHeight="1" x14ac:dyDescent="0.25">
      <c r="A287" s="355">
        <f t="shared" si="4"/>
        <v>26.4</v>
      </c>
      <c r="B287" s="532">
        <v>41779</v>
      </c>
      <c r="C287" s="533" t="s">
        <v>1106</v>
      </c>
      <c r="D287" s="533" t="s">
        <v>902</v>
      </c>
      <c r="E287" s="533" t="s">
        <v>380</v>
      </c>
      <c r="F287" s="533" t="s">
        <v>237</v>
      </c>
      <c r="G287" s="533" t="s">
        <v>240</v>
      </c>
      <c r="H287" s="349"/>
      <c r="I287" s="349"/>
      <c r="J287" s="349"/>
      <c r="K287" s="349"/>
      <c r="L287" s="350"/>
      <c r="M287" s="350"/>
      <c r="N287" s="350"/>
      <c r="O287" s="350"/>
      <c r="P287" s="352"/>
      <c r="Q287" s="352"/>
      <c r="R287" s="352"/>
      <c r="S287" s="352"/>
      <c r="T287" s="352"/>
      <c r="U287" s="352">
        <v>188</v>
      </c>
      <c r="V287" s="497"/>
      <c r="W287" s="352"/>
      <c r="X287" s="352"/>
      <c r="Y287" s="352">
        <f>IF(NFI_Expiration=1,IF($A287&lt;VLOOKUP(H$5,NFI,5,0),1,0)*Table_NFI[[#This Row],[Hygiene Kit]],Table_NFI[Hygiene Kit])</f>
        <v>0</v>
      </c>
      <c r="Z287" s="352">
        <f>IF(NFI_Expiration=1,IF($A287&lt;VLOOKUP(I$5,NFI,5,0),1,0)*Table_NFI[[#This Row],[NFI Core Kit]],Table_NFI[NFI Core Kit])</f>
        <v>0</v>
      </c>
      <c r="AA287" s="352">
        <f>IF(NFI_Expiration=1,IF($A287&lt;VLOOKUP(J$5,NFI,5,0),1,0)*Table_NFI[[#This Row],[Sanitary Kit]],Table_NFI[Sanitary Kit])</f>
        <v>0</v>
      </c>
      <c r="AB287" s="352">
        <f>IF(NFI_Expiration=1,IF($A287&lt;VLOOKUP(K$5,NFI,5,0),1,0)*Table_NFI[[#This Row],[Mosquito net]],Table_NFI[Mosquito net])</f>
        <v>0</v>
      </c>
      <c r="AC287" s="352">
        <f>IF(NFI_Expiration=1,IF($A287&lt;VLOOKUP(L$5,NFI,5,0),1,0)*Table_NFI[[#This Row],[Tarpaulin]],Table_NFI[[#This Row],[Tarpaulin]])</f>
        <v>0</v>
      </c>
      <c r="AD287" s="352">
        <f>IF(NFI_Expiration=1,IF($A287&lt;VLOOKUP(M$5,NFI,5,0),1,0)*Table_NFI[[#This Row],[Blanket]],Table_NFI[[#This Row],[Blanket]])</f>
        <v>0</v>
      </c>
      <c r="AE287" s="352">
        <f>IF(NFI_Expiration=1,IF($A287&lt;VLOOKUP(N$5,NFI,5,0),1,0)*Table_NFI[[#This Row],[Kitchen Set]],Table_NFI[Kitchen Set])</f>
        <v>0</v>
      </c>
      <c r="AF287" s="352">
        <f>IF(NFI_Expiration=1,IF($A287&lt;VLOOKUP(O$5,NFI,5,0),1,0)*Table_NFI[[#This Row],[Clothes Kit]],Table_NFI[Clothes Kit])</f>
        <v>0</v>
      </c>
      <c r="AG287" s="352">
        <f>IF(NFI_Expiration=1,IF($A287&lt;VLOOKUP(P$5,NFI,5,0),1,0)*Table_NFI[[#This Row],[Plastic Bucket]],Table_NFI[Plastic Bucket])</f>
        <v>0</v>
      </c>
      <c r="AH287" s="352">
        <f>IF(NFI_Expiration=1,IF($A287&lt;VLOOKUP(Q$5,NFI,5,0),1,0)*Table_NFI[[#This Row],[Plastic Mat]],Table_NFI[Plastic Mat])*IF(Table_NFI[[#This Row],[Distribution Date]]&gt;"2014-04-01",1,2.5)</f>
        <v>0</v>
      </c>
      <c r="AI287" s="352">
        <f>IF(NFI_Expiration=1,IF($A287&lt;VLOOKUP(R$5,NFI,5,0),1,0)*Table_NFI[[#This Row],[Winter Clothes Adult]],Table_NFI[Winter Clothes Adult])</f>
        <v>0</v>
      </c>
      <c r="AJ287" s="352">
        <f>IF(NFI_Expiration=1,IF($A287&lt;VLOOKUP(S$5,NFI,5,0),1,0)*Table_NFI[[#This Row],[Winter Clothes Children]],Table_NFI[Winter Clothes Children])</f>
        <v>0</v>
      </c>
      <c r="AK287" s="352">
        <f>IF(NFI_Expiration=1,IF($A287&lt;VLOOKUP(T$5,NFI,5,0),1,0)*Table_NFI[[#This Row],[Winter Items Other]],Table_NFI[Winter Items Other])</f>
        <v>0</v>
      </c>
      <c r="AL287" s="352">
        <f>IF(NFI_Expiration=1,IF($A287&lt;VLOOKUP(M$5,NFI,5,0),1,0)*Table_NFI[[#This Row],[Winter Blanket]],Table_NFI[[#This Row],[Winter Blanket]])</f>
        <v>0</v>
      </c>
      <c r="AM287" s="352">
        <f>IF(Table_NFI[[#This Row],[Winter Clothes Adult]]+Table_NFI[[#This Row],[Winter Clothes Children]]+Table_NFI[[#This Row],[Winter Items Other]]+Table_NFI[[#This Row],[Winter Blanket]]&gt;0,1,0)</f>
        <v>1</v>
      </c>
      <c r="AN287" s="392">
        <f>IF(NFI_Expiration=1,IF($A287&lt;VLOOKUP(V$5,NFI,5,0),1,0)*Table_NFI[[#This Row],[Jerry Can]],Table_NFI[Jerry Can])</f>
        <v>0</v>
      </c>
      <c r="AO287" s="540" t="str">
        <f>IFERROR(VLOOKUP(Table_NFI[[#This Row],[Camp Name]],CL,2,0),"")</f>
        <v>MMR001CMP015</v>
      </c>
      <c r="AP287" s="535">
        <f ca="1">IF(Table_NFI[[#This Row],[Pcode]]="","",IF(OFFSET(CampList[Opening Date],MATCH(Table_NFI[[#This Row],[Pcode]],CampList[CP_Pcode],0)-1,0,1,1)&gt;=NFI_Monitor_Date,1,0))</f>
        <v>0</v>
      </c>
      <c r="AQ287" s="540" t="str">
        <f>IFERROR(VLOOKUP(Table_NFI[[#This Row],[Camp Name]],CL,3,0),"")</f>
        <v>Open</v>
      </c>
      <c r="AR287" s="352" t="str">
        <f ca="1">IF(Table_NFI[[#This Row],[Pcode]]="","",OFFSET(CampList[Priority],MATCH(Table_NFI[[#This Row],[Pcode]],CampList[CP_Pcode],0)-1,0,1,1))</f>
        <v>P4</v>
      </c>
      <c r="AS287" s="351">
        <f>IFERROR(Table_NFI[[#This Row],[Kitchen Set]]/VLOOKUP(Table_NFI[[#This Row],[Camp Name]],CL,4,0),"")</f>
        <v>0</v>
      </c>
      <c r="AT287" s="533"/>
      <c r="AU287" s="536"/>
    </row>
    <row r="288" spans="1:47" s="537" customFormat="1" ht="14.45" customHeight="1" x14ac:dyDescent="0.25">
      <c r="A288" s="355">
        <f t="shared" si="4"/>
        <v>24.066666666666666</v>
      </c>
      <c r="B288" s="532">
        <v>41849</v>
      </c>
      <c r="C288" s="533" t="s">
        <v>453</v>
      </c>
      <c r="D288" s="533"/>
      <c r="E288" s="533" t="s">
        <v>380</v>
      </c>
      <c r="F288" s="533" t="s">
        <v>310</v>
      </c>
      <c r="G288" s="533" t="s">
        <v>353</v>
      </c>
      <c r="H288" s="349"/>
      <c r="I288" s="349"/>
      <c r="J288" s="349"/>
      <c r="K288" s="349">
        <v>46</v>
      </c>
      <c r="L288" s="350">
        <v>46</v>
      </c>
      <c r="M288" s="350">
        <v>46</v>
      </c>
      <c r="N288" s="350">
        <v>16</v>
      </c>
      <c r="O288" s="350"/>
      <c r="P288" s="352">
        <v>16</v>
      </c>
      <c r="Q288" s="352">
        <v>142</v>
      </c>
      <c r="R288" s="352"/>
      <c r="S288" s="352"/>
      <c r="T288" s="352"/>
      <c r="U288" s="352"/>
      <c r="V288" s="497"/>
      <c r="W288" s="352"/>
      <c r="X288" s="352"/>
      <c r="Y288" s="352">
        <f>IF(NFI_Expiration=1,IF($A288&lt;VLOOKUP(H$5,NFI,5,0),1,0)*Table_NFI[[#This Row],[Hygiene Kit]],Table_NFI[Hygiene Kit])</f>
        <v>0</v>
      </c>
      <c r="Z288" s="352">
        <f>IF(NFI_Expiration=1,IF($A288&lt;VLOOKUP(I$5,NFI,5,0),1,0)*Table_NFI[[#This Row],[NFI Core Kit]],Table_NFI[NFI Core Kit])</f>
        <v>0</v>
      </c>
      <c r="AA288" s="352">
        <f>IF(NFI_Expiration=1,IF($A288&lt;VLOOKUP(J$5,NFI,5,0),1,0)*Table_NFI[[#This Row],[Sanitary Kit]],Table_NFI[Sanitary Kit])</f>
        <v>0</v>
      </c>
      <c r="AB288" s="352">
        <f>IF(NFI_Expiration=1,IF($A288&lt;VLOOKUP(K$5,NFI,5,0),1,0)*Table_NFI[[#This Row],[Mosquito net]],Table_NFI[Mosquito net])</f>
        <v>0</v>
      </c>
      <c r="AC288" s="352">
        <f>IF(NFI_Expiration=1,IF($A288&lt;VLOOKUP(L$5,NFI,5,0),1,0)*Table_NFI[[#This Row],[Tarpaulin]],Table_NFI[[#This Row],[Tarpaulin]])</f>
        <v>0</v>
      </c>
      <c r="AD288" s="352">
        <f>IF(NFI_Expiration=1,IF($A288&lt;VLOOKUP(M$5,NFI,5,0),1,0)*Table_NFI[[#This Row],[Blanket]],Table_NFI[[#This Row],[Blanket]])</f>
        <v>0</v>
      </c>
      <c r="AE288" s="352">
        <f>IF(NFI_Expiration=1,IF($A288&lt;VLOOKUP(N$5,NFI,5,0),1,0)*Table_NFI[[#This Row],[Kitchen Set]],Table_NFI[Kitchen Set])</f>
        <v>0</v>
      </c>
      <c r="AF288" s="352">
        <f>IF(NFI_Expiration=1,IF($A288&lt;VLOOKUP(O$5,NFI,5,0),1,0)*Table_NFI[[#This Row],[Clothes Kit]],Table_NFI[Clothes Kit])</f>
        <v>0</v>
      </c>
      <c r="AG288" s="352">
        <f>IF(NFI_Expiration=1,IF($A288&lt;VLOOKUP(P$5,NFI,5,0),1,0)*Table_NFI[[#This Row],[Plastic Bucket]],Table_NFI[Plastic Bucket])</f>
        <v>0</v>
      </c>
      <c r="AH288" s="352">
        <f>IF(NFI_Expiration=1,IF($A288&lt;VLOOKUP(Q$5,NFI,5,0),1,0)*Table_NFI[[#This Row],[Plastic Mat]],Table_NFI[Plastic Mat])*IF(Table_NFI[[#This Row],[Distribution Date]]&gt;"2014-04-01",1,2.5)</f>
        <v>0</v>
      </c>
      <c r="AI288" s="352">
        <f>IF(NFI_Expiration=1,IF($A288&lt;VLOOKUP(R$5,NFI,5,0),1,0)*Table_NFI[[#This Row],[Winter Clothes Adult]],Table_NFI[Winter Clothes Adult])</f>
        <v>0</v>
      </c>
      <c r="AJ288" s="352">
        <f>IF(NFI_Expiration=1,IF($A288&lt;VLOOKUP(S$5,NFI,5,0),1,0)*Table_NFI[[#This Row],[Winter Clothes Children]],Table_NFI[Winter Clothes Children])</f>
        <v>0</v>
      </c>
      <c r="AK288" s="352">
        <f>IF(NFI_Expiration=1,IF($A288&lt;VLOOKUP(T$5,NFI,5,0),1,0)*Table_NFI[[#This Row],[Winter Items Other]],Table_NFI[Winter Items Other])</f>
        <v>0</v>
      </c>
      <c r="AL288" s="352">
        <f>IF(NFI_Expiration=1,IF($A288&lt;VLOOKUP(M$5,NFI,5,0),1,0)*Table_NFI[[#This Row],[Winter Blanket]],Table_NFI[[#This Row],[Winter Blanket]])</f>
        <v>0</v>
      </c>
      <c r="AM288" s="352">
        <f>IF(Table_NFI[[#This Row],[Winter Clothes Adult]]+Table_NFI[[#This Row],[Winter Clothes Children]]+Table_NFI[[#This Row],[Winter Items Other]]+Table_NFI[[#This Row],[Winter Blanket]]&gt;0,1,0)</f>
        <v>0</v>
      </c>
      <c r="AN288" s="392">
        <f>IF(NFI_Expiration=1,IF($A288&lt;VLOOKUP(V$5,NFI,5,0),1,0)*Table_NFI[[#This Row],[Jerry Can]],Table_NFI[Jerry Can])</f>
        <v>0</v>
      </c>
      <c r="AO288" s="540" t="str">
        <f>IFERROR(VLOOKUP(Table_NFI[[#This Row],[Camp Name]],CL,2,0),"")</f>
        <v>MMR001CMP116</v>
      </c>
      <c r="AP288" s="535">
        <f ca="1">IF(Table_NFI[[#This Row],[Pcode]]="","",IF(OFFSET(CampList[Opening Date],MATCH(Table_NFI[[#This Row],[Pcode]],CampList[CP_Pcode],0)-1,0,1,1)&gt;=NFI_Monitor_Date,1,0))</f>
        <v>0</v>
      </c>
      <c r="AQ288" s="540" t="str">
        <f>IFERROR(VLOOKUP(Table_NFI[[#This Row],[Camp Name]],CL,3,0),"")</f>
        <v>Open</v>
      </c>
      <c r="AR288" s="352" t="str">
        <f ca="1">IF(Table_NFI[[#This Row],[Pcode]]="","",OFFSET(CampList[Priority],MATCH(Table_NFI[[#This Row],[Pcode]],CampList[CP_Pcode],0)-1,0,1,1))</f>
        <v>P4</v>
      </c>
      <c r="AS288" s="351">
        <f>IFERROR(Table_NFI[[#This Row],[Kitchen Set]]/VLOOKUP(Table_NFI[[#This Row],[Camp Name]],CL,4,0),"")</f>
        <v>1.1808118081180811E-2</v>
      </c>
      <c r="AT288" s="533"/>
      <c r="AU288" s="536"/>
    </row>
    <row r="289" spans="1:47" s="537" customFormat="1" ht="14.45" customHeight="1" x14ac:dyDescent="0.25">
      <c r="A289" s="355">
        <f t="shared" si="4"/>
        <v>24.2</v>
      </c>
      <c r="B289" s="532">
        <v>41845</v>
      </c>
      <c r="C289" s="533" t="s">
        <v>453</v>
      </c>
      <c r="D289" s="533"/>
      <c r="E289" s="533" t="s">
        <v>380</v>
      </c>
      <c r="F289" s="533" t="s">
        <v>5</v>
      </c>
      <c r="G289" s="533" t="s">
        <v>18</v>
      </c>
      <c r="H289" s="349"/>
      <c r="I289" s="349"/>
      <c r="J289" s="349"/>
      <c r="K289" s="349"/>
      <c r="L289" s="350">
        <v>7</v>
      </c>
      <c r="M289" s="350">
        <v>3</v>
      </c>
      <c r="N289" s="350"/>
      <c r="O289" s="350"/>
      <c r="P289" s="352">
        <v>4</v>
      </c>
      <c r="Q289" s="352">
        <v>9</v>
      </c>
      <c r="R289" s="352"/>
      <c r="S289" s="352"/>
      <c r="T289" s="352"/>
      <c r="U289" s="352"/>
      <c r="V289" s="497"/>
      <c r="W289" s="352"/>
      <c r="X289" s="352"/>
      <c r="Y289" s="352">
        <f>IF(NFI_Expiration=1,IF($A289&lt;VLOOKUP(H$5,NFI,5,0),1,0)*Table_NFI[[#This Row],[Hygiene Kit]],Table_NFI[Hygiene Kit])</f>
        <v>0</v>
      </c>
      <c r="Z289" s="352">
        <f>IF(NFI_Expiration=1,IF($A289&lt;VLOOKUP(I$5,NFI,5,0),1,0)*Table_NFI[[#This Row],[NFI Core Kit]],Table_NFI[NFI Core Kit])</f>
        <v>0</v>
      </c>
      <c r="AA289" s="352">
        <f>IF(NFI_Expiration=1,IF($A289&lt;VLOOKUP(J$5,NFI,5,0),1,0)*Table_NFI[[#This Row],[Sanitary Kit]],Table_NFI[Sanitary Kit])</f>
        <v>0</v>
      </c>
      <c r="AB289" s="352">
        <f>IF(NFI_Expiration=1,IF($A289&lt;VLOOKUP(K$5,NFI,5,0),1,0)*Table_NFI[[#This Row],[Mosquito net]],Table_NFI[Mosquito net])</f>
        <v>0</v>
      </c>
      <c r="AC289" s="352">
        <f>IF(NFI_Expiration=1,IF($A289&lt;VLOOKUP(L$5,NFI,5,0),1,0)*Table_NFI[[#This Row],[Tarpaulin]],Table_NFI[[#This Row],[Tarpaulin]])</f>
        <v>0</v>
      </c>
      <c r="AD289" s="352">
        <f>IF(NFI_Expiration=1,IF($A289&lt;VLOOKUP(M$5,NFI,5,0),1,0)*Table_NFI[[#This Row],[Blanket]],Table_NFI[[#This Row],[Blanket]])</f>
        <v>0</v>
      </c>
      <c r="AE289" s="352">
        <f>IF(NFI_Expiration=1,IF($A289&lt;VLOOKUP(N$5,NFI,5,0),1,0)*Table_NFI[[#This Row],[Kitchen Set]],Table_NFI[Kitchen Set])</f>
        <v>0</v>
      </c>
      <c r="AF289" s="352">
        <f>IF(NFI_Expiration=1,IF($A289&lt;VLOOKUP(O$5,NFI,5,0),1,0)*Table_NFI[[#This Row],[Clothes Kit]],Table_NFI[Clothes Kit])</f>
        <v>0</v>
      </c>
      <c r="AG289" s="352">
        <f>IF(NFI_Expiration=1,IF($A289&lt;VLOOKUP(P$5,NFI,5,0),1,0)*Table_NFI[[#This Row],[Plastic Bucket]],Table_NFI[Plastic Bucket])</f>
        <v>0</v>
      </c>
      <c r="AH289" s="352">
        <f>IF(NFI_Expiration=1,IF($A289&lt;VLOOKUP(Q$5,NFI,5,0),1,0)*Table_NFI[[#This Row],[Plastic Mat]],Table_NFI[Plastic Mat])*IF(Table_NFI[[#This Row],[Distribution Date]]&gt;"2014-04-01",1,2.5)</f>
        <v>0</v>
      </c>
      <c r="AI289" s="352">
        <f>IF(NFI_Expiration=1,IF($A289&lt;VLOOKUP(R$5,NFI,5,0),1,0)*Table_NFI[[#This Row],[Winter Clothes Adult]],Table_NFI[Winter Clothes Adult])</f>
        <v>0</v>
      </c>
      <c r="AJ289" s="352">
        <f>IF(NFI_Expiration=1,IF($A289&lt;VLOOKUP(S$5,NFI,5,0),1,0)*Table_NFI[[#This Row],[Winter Clothes Children]],Table_NFI[Winter Clothes Children])</f>
        <v>0</v>
      </c>
      <c r="AK289" s="352">
        <f>IF(NFI_Expiration=1,IF($A289&lt;VLOOKUP(T$5,NFI,5,0),1,0)*Table_NFI[[#This Row],[Winter Items Other]],Table_NFI[Winter Items Other])</f>
        <v>0</v>
      </c>
      <c r="AL289" s="352">
        <f>IF(NFI_Expiration=1,IF($A289&lt;VLOOKUP(M$5,NFI,5,0),1,0)*Table_NFI[[#This Row],[Winter Blanket]],Table_NFI[[#This Row],[Winter Blanket]])</f>
        <v>0</v>
      </c>
      <c r="AM289" s="352">
        <f>IF(Table_NFI[[#This Row],[Winter Clothes Adult]]+Table_NFI[[#This Row],[Winter Clothes Children]]+Table_NFI[[#This Row],[Winter Items Other]]+Table_NFI[[#This Row],[Winter Blanket]]&gt;0,1,0)</f>
        <v>0</v>
      </c>
      <c r="AN289" s="392">
        <f>IF(NFI_Expiration=1,IF($A289&lt;VLOOKUP(V$5,NFI,5,0),1,0)*Table_NFI[[#This Row],[Jerry Can]],Table_NFI[Jerry Can])</f>
        <v>0</v>
      </c>
      <c r="AO289" s="540" t="str">
        <f>IFERROR(VLOOKUP(Table_NFI[[#This Row],[Camp Name]],CL,2,0),"")</f>
        <v>MMR001CMP049</v>
      </c>
      <c r="AP289" s="535">
        <f ca="1">IF(Table_NFI[[#This Row],[Pcode]]="","",IF(OFFSET(CampList[Opening Date],MATCH(Table_NFI[[#This Row],[Pcode]],CampList[CP_Pcode],0)-1,0,1,1)&gt;=NFI_Monitor_Date,1,0))</f>
        <v>0</v>
      </c>
      <c r="AQ289" s="540" t="str">
        <f>IFERROR(VLOOKUP(Table_NFI[[#This Row],[Camp Name]],CL,3,0),"")</f>
        <v>Open</v>
      </c>
      <c r="AR289" s="352" t="str">
        <f ca="1">IF(Table_NFI[[#This Row],[Pcode]]="","",OFFSET(CampList[Priority],MATCH(Table_NFI[[#This Row],[Pcode]],CampList[CP_Pcode],0)-1,0,1,1))</f>
        <v>P4</v>
      </c>
      <c r="AS289" s="351">
        <f>IFERROR(Table_NFI[[#This Row],[Kitchen Set]]/VLOOKUP(Table_NFI[[#This Row],[Camp Name]],CL,4,0),"")</f>
        <v>0</v>
      </c>
      <c r="AT289" s="533"/>
      <c r="AU289" s="536"/>
    </row>
    <row r="290" spans="1:47" s="537" customFormat="1" ht="14.45" customHeight="1" x14ac:dyDescent="0.25">
      <c r="A290" s="355">
        <f t="shared" si="4"/>
        <v>24.333333333333332</v>
      </c>
      <c r="B290" s="532">
        <v>41841</v>
      </c>
      <c r="C290" s="533" t="s">
        <v>453</v>
      </c>
      <c r="D290" s="533"/>
      <c r="E290" s="533" t="s">
        <v>380</v>
      </c>
      <c r="F290" s="533" t="s">
        <v>5</v>
      </c>
      <c r="G290" s="533" t="s">
        <v>18</v>
      </c>
      <c r="H290" s="349"/>
      <c r="I290" s="349"/>
      <c r="J290" s="349"/>
      <c r="K290" s="349">
        <v>10</v>
      </c>
      <c r="L290" s="350">
        <v>36</v>
      </c>
      <c r="M290" s="350">
        <v>10</v>
      </c>
      <c r="N290" s="350">
        <v>5</v>
      </c>
      <c r="O290" s="350"/>
      <c r="P290" s="352">
        <v>33</v>
      </c>
      <c r="Q290" s="352">
        <v>117</v>
      </c>
      <c r="R290" s="352"/>
      <c r="S290" s="352"/>
      <c r="T290" s="352"/>
      <c r="U290" s="352"/>
      <c r="V290" s="497"/>
      <c r="W290" s="352"/>
      <c r="X290" s="352"/>
      <c r="Y290" s="352">
        <f>IF(NFI_Expiration=1,IF($A290&lt;VLOOKUP(H$5,NFI,5,0),1,0)*Table_NFI[[#This Row],[Hygiene Kit]],Table_NFI[Hygiene Kit])</f>
        <v>0</v>
      </c>
      <c r="Z290" s="352">
        <f>IF(NFI_Expiration=1,IF($A290&lt;VLOOKUP(I$5,NFI,5,0),1,0)*Table_NFI[[#This Row],[NFI Core Kit]],Table_NFI[NFI Core Kit])</f>
        <v>0</v>
      </c>
      <c r="AA290" s="352">
        <f>IF(NFI_Expiration=1,IF($A290&lt;VLOOKUP(J$5,NFI,5,0),1,0)*Table_NFI[[#This Row],[Sanitary Kit]],Table_NFI[Sanitary Kit])</f>
        <v>0</v>
      </c>
      <c r="AB290" s="352">
        <f>IF(NFI_Expiration=1,IF($A290&lt;VLOOKUP(K$5,NFI,5,0),1,0)*Table_NFI[[#This Row],[Mosquito net]],Table_NFI[Mosquito net])</f>
        <v>0</v>
      </c>
      <c r="AC290" s="352">
        <f>IF(NFI_Expiration=1,IF($A290&lt;VLOOKUP(L$5,NFI,5,0),1,0)*Table_NFI[[#This Row],[Tarpaulin]],Table_NFI[[#This Row],[Tarpaulin]])</f>
        <v>0</v>
      </c>
      <c r="AD290" s="352">
        <f>IF(NFI_Expiration=1,IF($A290&lt;VLOOKUP(M$5,NFI,5,0),1,0)*Table_NFI[[#This Row],[Blanket]],Table_NFI[[#This Row],[Blanket]])</f>
        <v>0</v>
      </c>
      <c r="AE290" s="352">
        <f>IF(NFI_Expiration=1,IF($A290&lt;VLOOKUP(N$5,NFI,5,0),1,0)*Table_NFI[[#This Row],[Kitchen Set]],Table_NFI[Kitchen Set])</f>
        <v>0</v>
      </c>
      <c r="AF290" s="352">
        <f>IF(NFI_Expiration=1,IF($A290&lt;VLOOKUP(O$5,NFI,5,0),1,0)*Table_NFI[[#This Row],[Clothes Kit]],Table_NFI[Clothes Kit])</f>
        <v>0</v>
      </c>
      <c r="AG290" s="352">
        <f>IF(NFI_Expiration=1,IF($A290&lt;VLOOKUP(P$5,NFI,5,0),1,0)*Table_NFI[[#This Row],[Plastic Bucket]],Table_NFI[Plastic Bucket])</f>
        <v>0</v>
      </c>
      <c r="AH290" s="352">
        <f>IF(NFI_Expiration=1,IF($A290&lt;VLOOKUP(Q$5,NFI,5,0),1,0)*Table_NFI[[#This Row],[Plastic Mat]],Table_NFI[Plastic Mat])*IF(Table_NFI[[#This Row],[Distribution Date]]&gt;"2014-04-01",1,2.5)</f>
        <v>0</v>
      </c>
      <c r="AI290" s="352">
        <f>IF(NFI_Expiration=1,IF($A290&lt;VLOOKUP(R$5,NFI,5,0),1,0)*Table_NFI[[#This Row],[Winter Clothes Adult]],Table_NFI[Winter Clothes Adult])</f>
        <v>0</v>
      </c>
      <c r="AJ290" s="352">
        <f>IF(NFI_Expiration=1,IF($A290&lt;VLOOKUP(S$5,NFI,5,0),1,0)*Table_NFI[[#This Row],[Winter Clothes Children]],Table_NFI[Winter Clothes Children])</f>
        <v>0</v>
      </c>
      <c r="AK290" s="352">
        <f>IF(NFI_Expiration=1,IF($A290&lt;VLOOKUP(T$5,NFI,5,0),1,0)*Table_NFI[[#This Row],[Winter Items Other]],Table_NFI[Winter Items Other])</f>
        <v>0</v>
      </c>
      <c r="AL290" s="352">
        <f>IF(NFI_Expiration=1,IF($A290&lt;VLOOKUP(M$5,NFI,5,0),1,0)*Table_NFI[[#This Row],[Winter Blanket]],Table_NFI[[#This Row],[Winter Blanket]])</f>
        <v>0</v>
      </c>
      <c r="AM290" s="352">
        <f>IF(Table_NFI[[#This Row],[Winter Clothes Adult]]+Table_NFI[[#This Row],[Winter Clothes Children]]+Table_NFI[[#This Row],[Winter Items Other]]+Table_NFI[[#This Row],[Winter Blanket]]&gt;0,1,0)</f>
        <v>0</v>
      </c>
      <c r="AN290" s="392">
        <f>IF(NFI_Expiration=1,IF($A290&lt;VLOOKUP(V$5,NFI,5,0),1,0)*Table_NFI[[#This Row],[Jerry Can]],Table_NFI[Jerry Can])</f>
        <v>0</v>
      </c>
      <c r="AO290" s="540" t="str">
        <f>IFERROR(VLOOKUP(Table_NFI[[#This Row],[Camp Name]],CL,2,0),"")</f>
        <v>MMR001CMP049</v>
      </c>
      <c r="AP290" s="535">
        <f ca="1">IF(Table_NFI[[#This Row],[Pcode]]="","",IF(OFFSET(CampList[Opening Date],MATCH(Table_NFI[[#This Row],[Pcode]],CampList[CP_Pcode],0)-1,0,1,1)&gt;=NFI_Monitor_Date,1,0))</f>
        <v>0</v>
      </c>
      <c r="AQ290" s="540" t="str">
        <f>IFERROR(VLOOKUP(Table_NFI[[#This Row],[Camp Name]],CL,3,0),"")</f>
        <v>Open</v>
      </c>
      <c r="AR290" s="352" t="str">
        <f ca="1">IF(Table_NFI[[#This Row],[Pcode]]="","",OFFSET(CampList[Priority],MATCH(Table_NFI[[#This Row],[Pcode]],CampList[CP_Pcode],0)-1,0,1,1))</f>
        <v>P4</v>
      </c>
      <c r="AS290" s="351">
        <f>IFERROR(Table_NFI[[#This Row],[Kitchen Set]]/VLOOKUP(Table_NFI[[#This Row],[Camp Name]],CL,4,0),"")</f>
        <v>4.3103448275862072E-2</v>
      </c>
      <c r="AT290" s="533"/>
      <c r="AU290" s="536"/>
    </row>
    <row r="291" spans="1:47" s="537" customFormat="1" ht="14.45" customHeight="1" x14ac:dyDescent="0.25">
      <c r="A291" s="355">
        <f t="shared" si="4"/>
        <v>24.333333333333332</v>
      </c>
      <c r="B291" s="532">
        <v>41841</v>
      </c>
      <c r="C291" s="533" t="s">
        <v>453</v>
      </c>
      <c r="D291" s="533"/>
      <c r="E291" s="533" t="s">
        <v>380</v>
      </c>
      <c r="F291" s="533" t="s">
        <v>185</v>
      </c>
      <c r="G291" s="533" t="s">
        <v>209</v>
      </c>
      <c r="H291" s="349"/>
      <c r="I291" s="349"/>
      <c r="J291" s="349"/>
      <c r="K291" s="349"/>
      <c r="L291" s="350">
        <v>75</v>
      </c>
      <c r="M291" s="350"/>
      <c r="N291" s="350"/>
      <c r="O291" s="350"/>
      <c r="P291" s="352"/>
      <c r="Q291" s="352"/>
      <c r="R291" s="352"/>
      <c r="S291" s="352"/>
      <c r="T291" s="352"/>
      <c r="U291" s="352"/>
      <c r="V291" s="497"/>
      <c r="W291" s="352"/>
      <c r="X291" s="352"/>
      <c r="Y291" s="352">
        <f>IF(NFI_Expiration=1,IF($A291&lt;VLOOKUP(H$5,NFI,5,0),1,0)*Table_NFI[[#This Row],[Hygiene Kit]],Table_NFI[Hygiene Kit])</f>
        <v>0</v>
      </c>
      <c r="Z291" s="352">
        <f>IF(NFI_Expiration=1,IF($A291&lt;VLOOKUP(I$5,NFI,5,0),1,0)*Table_NFI[[#This Row],[NFI Core Kit]],Table_NFI[NFI Core Kit])</f>
        <v>0</v>
      </c>
      <c r="AA291" s="352">
        <f>IF(NFI_Expiration=1,IF($A291&lt;VLOOKUP(J$5,NFI,5,0),1,0)*Table_NFI[[#This Row],[Sanitary Kit]],Table_NFI[Sanitary Kit])</f>
        <v>0</v>
      </c>
      <c r="AB291" s="352">
        <f>IF(NFI_Expiration=1,IF($A291&lt;VLOOKUP(K$5,NFI,5,0),1,0)*Table_NFI[[#This Row],[Mosquito net]],Table_NFI[Mosquito net])</f>
        <v>0</v>
      </c>
      <c r="AC291" s="352">
        <f>IF(NFI_Expiration=1,IF($A291&lt;VLOOKUP(L$5,NFI,5,0),1,0)*Table_NFI[[#This Row],[Tarpaulin]],Table_NFI[[#This Row],[Tarpaulin]])</f>
        <v>0</v>
      </c>
      <c r="AD291" s="352">
        <f>IF(NFI_Expiration=1,IF($A291&lt;VLOOKUP(M$5,NFI,5,0),1,0)*Table_NFI[[#This Row],[Blanket]],Table_NFI[[#This Row],[Blanket]])</f>
        <v>0</v>
      </c>
      <c r="AE291" s="352">
        <f>IF(NFI_Expiration=1,IF($A291&lt;VLOOKUP(N$5,NFI,5,0),1,0)*Table_NFI[[#This Row],[Kitchen Set]],Table_NFI[Kitchen Set])</f>
        <v>0</v>
      </c>
      <c r="AF291" s="352">
        <f>IF(NFI_Expiration=1,IF($A291&lt;VLOOKUP(O$5,NFI,5,0),1,0)*Table_NFI[[#This Row],[Clothes Kit]],Table_NFI[Clothes Kit])</f>
        <v>0</v>
      </c>
      <c r="AG291" s="352">
        <f>IF(NFI_Expiration=1,IF($A291&lt;VLOOKUP(P$5,NFI,5,0),1,0)*Table_NFI[[#This Row],[Plastic Bucket]],Table_NFI[Plastic Bucket])</f>
        <v>0</v>
      </c>
      <c r="AH291" s="352">
        <f>IF(NFI_Expiration=1,IF($A291&lt;VLOOKUP(Q$5,NFI,5,0),1,0)*Table_NFI[[#This Row],[Plastic Mat]],Table_NFI[Plastic Mat])*IF(Table_NFI[[#This Row],[Distribution Date]]&gt;"2014-04-01",1,2.5)</f>
        <v>0</v>
      </c>
      <c r="AI291" s="352">
        <f>IF(NFI_Expiration=1,IF($A291&lt;VLOOKUP(R$5,NFI,5,0),1,0)*Table_NFI[[#This Row],[Winter Clothes Adult]],Table_NFI[Winter Clothes Adult])</f>
        <v>0</v>
      </c>
      <c r="AJ291" s="352">
        <f>IF(NFI_Expiration=1,IF($A291&lt;VLOOKUP(S$5,NFI,5,0),1,0)*Table_NFI[[#This Row],[Winter Clothes Children]],Table_NFI[Winter Clothes Children])</f>
        <v>0</v>
      </c>
      <c r="AK291" s="352">
        <f>IF(NFI_Expiration=1,IF($A291&lt;VLOOKUP(T$5,NFI,5,0),1,0)*Table_NFI[[#This Row],[Winter Items Other]],Table_NFI[Winter Items Other])</f>
        <v>0</v>
      </c>
      <c r="AL291" s="352">
        <f>IF(NFI_Expiration=1,IF($A291&lt;VLOOKUP(M$5,NFI,5,0),1,0)*Table_NFI[[#This Row],[Winter Blanket]],Table_NFI[[#This Row],[Winter Blanket]])</f>
        <v>0</v>
      </c>
      <c r="AM291" s="352">
        <f>IF(Table_NFI[[#This Row],[Winter Clothes Adult]]+Table_NFI[[#This Row],[Winter Clothes Children]]+Table_NFI[[#This Row],[Winter Items Other]]+Table_NFI[[#This Row],[Winter Blanket]]&gt;0,1,0)</f>
        <v>0</v>
      </c>
      <c r="AN291" s="392">
        <f>IF(NFI_Expiration=1,IF($A291&lt;VLOOKUP(V$5,NFI,5,0),1,0)*Table_NFI[[#This Row],[Jerry Can]],Table_NFI[Jerry Can])</f>
        <v>0</v>
      </c>
      <c r="AO291" s="540" t="str">
        <f>IFERROR(VLOOKUP(Table_NFI[[#This Row],[Camp Name]],CL,2,0),"")</f>
        <v>MMR001CMP056</v>
      </c>
      <c r="AP291" s="535">
        <f ca="1">IF(Table_NFI[[#This Row],[Pcode]]="","",IF(OFFSET(CampList[Opening Date],MATCH(Table_NFI[[#This Row],[Pcode]],CampList[CP_Pcode],0)-1,0,1,1)&gt;=NFI_Monitor_Date,1,0))</f>
        <v>0</v>
      </c>
      <c r="AQ291" s="540" t="str">
        <f>IFERROR(VLOOKUP(Table_NFI[[#This Row],[Camp Name]],CL,3,0),"")</f>
        <v>Open</v>
      </c>
      <c r="AR291" s="352" t="str">
        <f ca="1">IF(Table_NFI[[#This Row],[Pcode]]="","",OFFSET(CampList[Priority],MATCH(Table_NFI[[#This Row],[Pcode]],CampList[CP_Pcode],0)-1,0,1,1))</f>
        <v>P4</v>
      </c>
      <c r="AS291" s="351">
        <f>IFERROR(Table_NFI[[#This Row],[Kitchen Set]]/VLOOKUP(Table_NFI[[#This Row],[Camp Name]],CL,4,0),"")</f>
        <v>0</v>
      </c>
      <c r="AT291" s="533"/>
      <c r="AU291" s="536"/>
    </row>
    <row r="292" spans="1:47" s="537" customFormat="1" ht="14.45" customHeight="1" x14ac:dyDescent="0.25">
      <c r="A292" s="355">
        <f t="shared" si="4"/>
        <v>24.733333333333334</v>
      </c>
      <c r="B292" s="532">
        <v>41829</v>
      </c>
      <c r="C292" s="533" t="s">
        <v>453</v>
      </c>
      <c r="D292" s="533"/>
      <c r="E292" s="533" t="s">
        <v>380</v>
      </c>
      <c r="F292" s="533" t="s">
        <v>151</v>
      </c>
      <c r="G292" s="533" t="s">
        <v>886</v>
      </c>
      <c r="H292" s="349"/>
      <c r="I292" s="349"/>
      <c r="J292" s="349"/>
      <c r="K292" s="349"/>
      <c r="L292" s="350"/>
      <c r="M292" s="350">
        <v>10</v>
      </c>
      <c r="N292" s="350"/>
      <c r="O292" s="350"/>
      <c r="P292" s="352"/>
      <c r="Q292" s="352"/>
      <c r="R292" s="352"/>
      <c r="S292" s="352"/>
      <c r="T292" s="352"/>
      <c r="U292" s="352"/>
      <c r="V292" s="497"/>
      <c r="W292" s="352"/>
      <c r="X292" s="352"/>
      <c r="Y292" s="352">
        <f>IF(NFI_Expiration=1,IF($A292&lt;VLOOKUP(H$5,NFI,5,0),1,0)*Table_NFI[[#This Row],[Hygiene Kit]],Table_NFI[Hygiene Kit])</f>
        <v>0</v>
      </c>
      <c r="Z292" s="352">
        <f>IF(NFI_Expiration=1,IF($A292&lt;VLOOKUP(I$5,NFI,5,0),1,0)*Table_NFI[[#This Row],[NFI Core Kit]],Table_NFI[NFI Core Kit])</f>
        <v>0</v>
      </c>
      <c r="AA292" s="352">
        <f>IF(NFI_Expiration=1,IF($A292&lt;VLOOKUP(J$5,NFI,5,0),1,0)*Table_NFI[[#This Row],[Sanitary Kit]],Table_NFI[Sanitary Kit])</f>
        <v>0</v>
      </c>
      <c r="AB292" s="352">
        <f>IF(NFI_Expiration=1,IF($A292&lt;VLOOKUP(K$5,NFI,5,0),1,0)*Table_NFI[[#This Row],[Mosquito net]],Table_NFI[Mosquito net])</f>
        <v>0</v>
      </c>
      <c r="AC292" s="352">
        <f>IF(NFI_Expiration=1,IF($A292&lt;VLOOKUP(L$5,NFI,5,0),1,0)*Table_NFI[[#This Row],[Tarpaulin]],Table_NFI[[#This Row],[Tarpaulin]])</f>
        <v>0</v>
      </c>
      <c r="AD292" s="352">
        <f>IF(NFI_Expiration=1,IF($A292&lt;VLOOKUP(M$5,NFI,5,0),1,0)*Table_NFI[[#This Row],[Blanket]],Table_NFI[[#This Row],[Blanket]])</f>
        <v>0</v>
      </c>
      <c r="AE292" s="352">
        <f>IF(NFI_Expiration=1,IF($A292&lt;VLOOKUP(N$5,NFI,5,0),1,0)*Table_NFI[[#This Row],[Kitchen Set]],Table_NFI[Kitchen Set])</f>
        <v>0</v>
      </c>
      <c r="AF292" s="352">
        <f>IF(NFI_Expiration=1,IF($A292&lt;VLOOKUP(O$5,NFI,5,0),1,0)*Table_NFI[[#This Row],[Clothes Kit]],Table_NFI[Clothes Kit])</f>
        <v>0</v>
      </c>
      <c r="AG292" s="352">
        <f>IF(NFI_Expiration=1,IF($A292&lt;VLOOKUP(P$5,NFI,5,0),1,0)*Table_NFI[[#This Row],[Plastic Bucket]],Table_NFI[Plastic Bucket])</f>
        <v>0</v>
      </c>
      <c r="AH292" s="352">
        <f>IF(NFI_Expiration=1,IF($A292&lt;VLOOKUP(Q$5,NFI,5,0),1,0)*Table_NFI[[#This Row],[Plastic Mat]],Table_NFI[Plastic Mat])*IF(Table_NFI[[#This Row],[Distribution Date]]&gt;"2014-04-01",1,2.5)</f>
        <v>0</v>
      </c>
      <c r="AI292" s="352">
        <f>IF(NFI_Expiration=1,IF($A292&lt;VLOOKUP(R$5,NFI,5,0),1,0)*Table_NFI[[#This Row],[Winter Clothes Adult]],Table_NFI[Winter Clothes Adult])</f>
        <v>0</v>
      </c>
      <c r="AJ292" s="352">
        <f>IF(NFI_Expiration=1,IF($A292&lt;VLOOKUP(S$5,NFI,5,0),1,0)*Table_NFI[[#This Row],[Winter Clothes Children]],Table_NFI[Winter Clothes Children])</f>
        <v>0</v>
      </c>
      <c r="AK292" s="352">
        <f>IF(NFI_Expiration=1,IF($A292&lt;VLOOKUP(T$5,NFI,5,0),1,0)*Table_NFI[[#This Row],[Winter Items Other]],Table_NFI[Winter Items Other])</f>
        <v>0</v>
      </c>
      <c r="AL292" s="352">
        <f>IF(NFI_Expiration=1,IF($A292&lt;VLOOKUP(M$5,NFI,5,0),1,0)*Table_NFI[[#This Row],[Winter Blanket]],Table_NFI[[#This Row],[Winter Blanket]])</f>
        <v>0</v>
      </c>
      <c r="AM292" s="352">
        <f>IF(Table_NFI[[#This Row],[Winter Clothes Adult]]+Table_NFI[[#This Row],[Winter Clothes Children]]+Table_NFI[[#This Row],[Winter Items Other]]+Table_NFI[[#This Row],[Winter Blanket]]&gt;0,1,0)</f>
        <v>0</v>
      </c>
      <c r="AN292" s="392">
        <f>IF(NFI_Expiration=1,IF($A292&lt;VLOOKUP(V$5,NFI,5,0),1,0)*Table_NFI[[#This Row],[Jerry Can]],Table_NFI[Jerry Can])</f>
        <v>0</v>
      </c>
      <c r="AO292" s="540" t="str">
        <f>IFERROR(VLOOKUP(Table_NFI[[#This Row],[Camp Name]],CL,2,0),"")</f>
        <v>MMR001CMP218</v>
      </c>
      <c r="AP292" s="535">
        <f ca="1">IF(Table_NFI[[#This Row],[Pcode]]="","",IF(OFFSET(CampList[Opening Date],MATCH(Table_NFI[[#This Row],[Pcode]],CampList[CP_Pcode],0)-1,0,1,1)&gt;=NFI_Monitor_Date,1,0))</f>
        <v>0</v>
      </c>
      <c r="AQ292" s="540" t="str">
        <f>IFERROR(VLOOKUP(Table_NFI[[#This Row],[Camp Name]],CL,3,0),"")</f>
        <v>Open</v>
      </c>
      <c r="AR292" s="352" t="str">
        <f ca="1">IF(Table_NFI[[#This Row],[Pcode]]="","",OFFSET(CampList[Priority],MATCH(Table_NFI[[#This Row],[Pcode]],CampList[CP_Pcode],0)-1,0,1,1))</f>
        <v>P4</v>
      </c>
      <c r="AS292" s="351">
        <f>IFERROR(Table_NFI[[#This Row],[Kitchen Set]]/VLOOKUP(Table_NFI[[#This Row],[Camp Name]],CL,4,0),"")</f>
        <v>0</v>
      </c>
      <c r="AT292" s="533"/>
      <c r="AU292" s="536"/>
    </row>
    <row r="293" spans="1:47" s="537" customFormat="1" ht="14.45" hidden="1" customHeight="1" x14ac:dyDescent="0.25">
      <c r="A293" s="355">
        <f t="shared" si="4"/>
        <v>26.4</v>
      </c>
      <c r="B293" s="532">
        <v>41779</v>
      </c>
      <c r="C293" s="533" t="s">
        <v>1106</v>
      </c>
      <c r="D293" s="533" t="s">
        <v>902</v>
      </c>
      <c r="E293" s="533" t="s">
        <v>380</v>
      </c>
      <c r="F293" s="533" t="s">
        <v>237</v>
      </c>
      <c r="G293" s="533" t="s">
        <v>285</v>
      </c>
      <c r="H293" s="349"/>
      <c r="I293" s="349"/>
      <c r="J293" s="349"/>
      <c r="K293" s="349"/>
      <c r="L293" s="350"/>
      <c r="M293" s="350"/>
      <c r="N293" s="350"/>
      <c r="O293" s="350"/>
      <c r="P293" s="352"/>
      <c r="Q293" s="352"/>
      <c r="R293" s="352"/>
      <c r="S293" s="352"/>
      <c r="T293" s="352"/>
      <c r="U293" s="352">
        <v>278</v>
      </c>
      <c r="V293" s="497"/>
      <c r="W293" s="352"/>
      <c r="X293" s="352"/>
      <c r="Y293" s="352">
        <f>IF(NFI_Expiration=1,IF($A293&lt;VLOOKUP(H$5,NFI,5,0),1,0)*Table_NFI[[#This Row],[Hygiene Kit]],Table_NFI[Hygiene Kit])</f>
        <v>0</v>
      </c>
      <c r="Z293" s="352">
        <f>IF(NFI_Expiration=1,IF($A293&lt;VLOOKUP(I$5,NFI,5,0),1,0)*Table_NFI[[#This Row],[NFI Core Kit]],Table_NFI[NFI Core Kit])</f>
        <v>0</v>
      </c>
      <c r="AA293" s="352">
        <f>IF(NFI_Expiration=1,IF($A293&lt;VLOOKUP(J$5,NFI,5,0),1,0)*Table_NFI[[#This Row],[Sanitary Kit]],Table_NFI[Sanitary Kit])</f>
        <v>0</v>
      </c>
      <c r="AB293" s="352">
        <f>IF(NFI_Expiration=1,IF($A293&lt;VLOOKUP(K$5,NFI,5,0),1,0)*Table_NFI[[#This Row],[Mosquito net]],Table_NFI[Mosquito net])</f>
        <v>0</v>
      </c>
      <c r="AC293" s="352">
        <f>IF(NFI_Expiration=1,IF($A293&lt;VLOOKUP(L$5,NFI,5,0),1,0)*Table_NFI[[#This Row],[Tarpaulin]],Table_NFI[[#This Row],[Tarpaulin]])</f>
        <v>0</v>
      </c>
      <c r="AD293" s="352">
        <f>IF(NFI_Expiration=1,IF($A293&lt;VLOOKUP(M$5,NFI,5,0),1,0)*Table_NFI[[#This Row],[Blanket]],Table_NFI[[#This Row],[Blanket]])</f>
        <v>0</v>
      </c>
      <c r="AE293" s="352">
        <f>IF(NFI_Expiration=1,IF($A293&lt;VLOOKUP(N$5,NFI,5,0),1,0)*Table_NFI[[#This Row],[Kitchen Set]],Table_NFI[Kitchen Set])</f>
        <v>0</v>
      </c>
      <c r="AF293" s="352">
        <f>IF(NFI_Expiration=1,IF($A293&lt;VLOOKUP(O$5,NFI,5,0),1,0)*Table_NFI[[#This Row],[Clothes Kit]],Table_NFI[Clothes Kit])</f>
        <v>0</v>
      </c>
      <c r="AG293" s="352">
        <f>IF(NFI_Expiration=1,IF($A293&lt;VLOOKUP(P$5,NFI,5,0),1,0)*Table_NFI[[#This Row],[Plastic Bucket]],Table_NFI[Plastic Bucket])</f>
        <v>0</v>
      </c>
      <c r="AH293" s="352">
        <f>IF(NFI_Expiration=1,IF($A293&lt;VLOOKUP(Q$5,NFI,5,0),1,0)*Table_NFI[[#This Row],[Plastic Mat]],Table_NFI[Plastic Mat])*IF(Table_NFI[[#This Row],[Distribution Date]]&gt;"2014-04-01",1,2.5)</f>
        <v>0</v>
      </c>
      <c r="AI293" s="352">
        <f>IF(NFI_Expiration=1,IF($A293&lt;VLOOKUP(R$5,NFI,5,0),1,0)*Table_NFI[[#This Row],[Winter Clothes Adult]],Table_NFI[Winter Clothes Adult])</f>
        <v>0</v>
      </c>
      <c r="AJ293" s="352">
        <f>IF(NFI_Expiration=1,IF($A293&lt;VLOOKUP(S$5,NFI,5,0),1,0)*Table_NFI[[#This Row],[Winter Clothes Children]],Table_NFI[Winter Clothes Children])</f>
        <v>0</v>
      </c>
      <c r="AK293" s="352">
        <f>IF(NFI_Expiration=1,IF($A293&lt;VLOOKUP(T$5,NFI,5,0),1,0)*Table_NFI[[#This Row],[Winter Items Other]],Table_NFI[Winter Items Other])</f>
        <v>0</v>
      </c>
      <c r="AL293" s="352">
        <f>IF(NFI_Expiration=1,IF($A293&lt;VLOOKUP(M$5,NFI,5,0),1,0)*Table_NFI[[#This Row],[Winter Blanket]],Table_NFI[[#This Row],[Winter Blanket]])</f>
        <v>0</v>
      </c>
      <c r="AM293" s="352">
        <f>IF(Table_NFI[[#This Row],[Winter Clothes Adult]]+Table_NFI[[#This Row],[Winter Clothes Children]]+Table_NFI[[#This Row],[Winter Items Other]]+Table_NFI[[#This Row],[Winter Blanket]]&gt;0,1,0)</f>
        <v>1</v>
      </c>
      <c r="AN293" s="392">
        <f>IF(NFI_Expiration=1,IF($A293&lt;VLOOKUP(V$5,NFI,5,0),1,0)*Table_NFI[[#This Row],[Jerry Can]],Table_NFI[Jerry Can])</f>
        <v>0</v>
      </c>
      <c r="AO293" s="540" t="str">
        <f>IFERROR(VLOOKUP(Table_NFI[[#This Row],[Camp Name]],CL,2,0),"")</f>
        <v>MMR001CMP014</v>
      </c>
      <c r="AP293" s="535">
        <f ca="1">IF(Table_NFI[[#This Row],[Pcode]]="","",IF(OFFSET(CampList[Opening Date],MATCH(Table_NFI[[#This Row],[Pcode]],CampList[CP_Pcode],0)-1,0,1,1)&gt;=NFI_Monitor_Date,1,0))</f>
        <v>0</v>
      </c>
      <c r="AQ293" s="540" t="str">
        <f>IFERROR(VLOOKUP(Table_NFI[[#This Row],[Camp Name]],CL,3,0),"")</f>
        <v>Open</v>
      </c>
      <c r="AR293" s="352" t="str">
        <f ca="1">IF(Table_NFI[[#This Row],[Pcode]]="","",OFFSET(CampList[Priority],MATCH(Table_NFI[[#This Row],[Pcode]],CampList[CP_Pcode],0)-1,0,1,1))</f>
        <v>P4</v>
      </c>
      <c r="AS293" s="351">
        <f>IFERROR(Table_NFI[[#This Row],[Kitchen Set]]/VLOOKUP(Table_NFI[[#This Row],[Camp Name]],CL,4,0),"")</f>
        <v>0</v>
      </c>
      <c r="AT293" s="533"/>
      <c r="AU293" s="536"/>
    </row>
    <row r="294" spans="1:47" s="537" customFormat="1" ht="14.45" customHeight="1" x14ac:dyDescent="0.25">
      <c r="A294" s="355">
        <f t="shared" si="4"/>
        <v>24.733333333333334</v>
      </c>
      <c r="B294" s="532">
        <v>41829</v>
      </c>
      <c r="C294" s="533" t="s">
        <v>453</v>
      </c>
      <c r="D294" s="533"/>
      <c r="E294" s="533" t="s">
        <v>380</v>
      </c>
      <c r="F294" s="533" t="s">
        <v>151</v>
      </c>
      <c r="G294" s="533" t="s">
        <v>944</v>
      </c>
      <c r="H294" s="349"/>
      <c r="I294" s="349"/>
      <c r="J294" s="349"/>
      <c r="K294" s="349">
        <v>35</v>
      </c>
      <c r="L294" s="350">
        <v>13</v>
      </c>
      <c r="M294" s="350">
        <v>70</v>
      </c>
      <c r="N294" s="350">
        <v>13</v>
      </c>
      <c r="O294" s="350"/>
      <c r="P294" s="352">
        <v>13</v>
      </c>
      <c r="Q294" s="352">
        <v>25</v>
      </c>
      <c r="R294" s="352"/>
      <c r="S294" s="352"/>
      <c r="T294" s="352"/>
      <c r="U294" s="352"/>
      <c r="V294" s="497"/>
      <c r="W294" s="352"/>
      <c r="X294" s="352"/>
      <c r="Y294" s="352">
        <f>IF(NFI_Expiration=1,IF($A294&lt;VLOOKUP(H$5,NFI,5,0),1,0)*Table_NFI[[#This Row],[Hygiene Kit]],Table_NFI[Hygiene Kit])</f>
        <v>0</v>
      </c>
      <c r="Z294" s="352">
        <f>IF(NFI_Expiration=1,IF($A294&lt;VLOOKUP(I$5,NFI,5,0),1,0)*Table_NFI[[#This Row],[NFI Core Kit]],Table_NFI[NFI Core Kit])</f>
        <v>0</v>
      </c>
      <c r="AA294" s="352">
        <f>IF(NFI_Expiration=1,IF($A294&lt;VLOOKUP(J$5,NFI,5,0),1,0)*Table_NFI[[#This Row],[Sanitary Kit]],Table_NFI[Sanitary Kit])</f>
        <v>0</v>
      </c>
      <c r="AB294" s="352">
        <f>IF(NFI_Expiration=1,IF($A294&lt;VLOOKUP(K$5,NFI,5,0),1,0)*Table_NFI[[#This Row],[Mosquito net]],Table_NFI[Mosquito net])</f>
        <v>0</v>
      </c>
      <c r="AC294" s="352">
        <f>IF(NFI_Expiration=1,IF($A294&lt;VLOOKUP(L$5,NFI,5,0),1,0)*Table_NFI[[#This Row],[Tarpaulin]],Table_NFI[[#This Row],[Tarpaulin]])</f>
        <v>0</v>
      </c>
      <c r="AD294" s="352">
        <f>IF(NFI_Expiration=1,IF($A294&lt;VLOOKUP(M$5,NFI,5,0),1,0)*Table_NFI[[#This Row],[Blanket]],Table_NFI[[#This Row],[Blanket]])</f>
        <v>0</v>
      </c>
      <c r="AE294" s="352">
        <f>IF(NFI_Expiration=1,IF($A294&lt;VLOOKUP(N$5,NFI,5,0),1,0)*Table_NFI[[#This Row],[Kitchen Set]],Table_NFI[Kitchen Set])</f>
        <v>0</v>
      </c>
      <c r="AF294" s="352">
        <f>IF(NFI_Expiration=1,IF($A294&lt;VLOOKUP(O$5,NFI,5,0),1,0)*Table_NFI[[#This Row],[Clothes Kit]],Table_NFI[Clothes Kit])</f>
        <v>0</v>
      </c>
      <c r="AG294" s="352">
        <f>IF(NFI_Expiration=1,IF($A294&lt;VLOOKUP(P$5,NFI,5,0),1,0)*Table_NFI[[#This Row],[Plastic Bucket]],Table_NFI[Plastic Bucket])</f>
        <v>0</v>
      </c>
      <c r="AH294" s="352">
        <f>IF(NFI_Expiration=1,IF($A294&lt;VLOOKUP(Q$5,NFI,5,0),1,0)*Table_NFI[[#This Row],[Plastic Mat]],Table_NFI[Plastic Mat])*IF(Table_NFI[[#This Row],[Distribution Date]]&gt;"2014-04-01",1,2.5)</f>
        <v>0</v>
      </c>
      <c r="AI294" s="352">
        <f>IF(NFI_Expiration=1,IF($A294&lt;VLOOKUP(R$5,NFI,5,0),1,0)*Table_NFI[[#This Row],[Winter Clothes Adult]],Table_NFI[Winter Clothes Adult])</f>
        <v>0</v>
      </c>
      <c r="AJ294" s="352">
        <f>IF(NFI_Expiration=1,IF($A294&lt;VLOOKUP(S$5,NFI,5,0),1,0)*Table_NFI[[#This Row],[Winter Clothes Children]],Table_NFI[Winter Clothes Children])</f>
        <v>0</v>
      </c>
      <c r="AK294" s="352">
        <f>IF(NFI_Expiration=1,IF($A294&lt;VLOOKUP(T$5,NFI,5,0),1,0)*Table_NFI[[#This Row],[Winter Items Other]],Table_NFI[Winter Items Other])</f>
        <v>0</v>
      </c>
      <c r="AL294" s="352">
        <f>IF(NFI_Expiration=1,IF($A294&lt;VLOOKUP(M$5,NFI,5,0),1,0)*Table_NFI[[#This Row],[Winter Blanket]],Table_NFI[[#This Row],[Winter Blanket]])</f>
        <v>0</v>
      </c>
      <c r="AM294" s="352">
        <f>IF(Table_NFI[[#This Row],[Winter Clothes Adult]]+Table_NFI[[#This Row],[Winter Clothes Children]]+Table_NFI[[#This Row],[Winter Items Other]]+Table_NFI[[#This Row],[Winter Blanket]]&gt;0,1,0)</f>
        <v>0</v>
      </c>
      <c r="AN294" s="392">
        <f>IF(NFI_Expiration=1,IF($A294&lt;VLOOKUP(V$5,NFI,5,0),1,0)*Table_NFI[[#This Row],[Jerry Can]],Table_NFI[Jerry Can])</f>
        <v>0</v>
      </c>
      <c r="AO294" s="540" t="str">
        <f>IFERROR(VLOOKUP(Table_NFI[[#This Row],[Camp Name]],CL,2,0),"")</f>
        <v>MMR001CMP223</v>
      </c>
      <c r="AP294" s="535">
        <f ca="1">IF(Table_NFI[[#This Row],[Pcode]]="","",IF(OFFSET(CampList[Opening Date],MATCH(Table_NFI[[#This Row],[Pcode]],CampList[CP_Pcode],0)-1,0,1,1)&gt;=NFI_Monitor_Date,1,0))</f>
        <v>0</v>
      </c>
      <c r="AQ294" s="540" t="str">
        <f>IFERROR(VLOOKUP(Table_NFI[[#This Row],[Camp Name]],CL,3,0),"")</f>
        <v>Open</v>
      </c>
      <c r="AR294" s="352" t="str">
        <f ca="1">IF(Table_NFI[[#This Row],[Pcode]]="","",OFFSET(CampList[Priority],MATCH(Table_NFI[[#This Row],[Pcode]],CampList[CP_Pcode],0)-1,0,1,1))</f>
        <v>P4</v>
      </c>
      <c r="AS294" s="351">
        <f>IFERROR(Table_NFI[[#This Row],[Kitchen Set]]/VLOOKUP(Table_NFI[[#This Row],[Camp Name]],CL,4,0),"")</f>
        <v>0.10569105691056911</v>
      </c>
      <c r="AT294" s="533"/>
      <c r="AU294" s="536"/>
    </row>
    <row r="295" spans="1:47" s="537" customFormat="1" ht="14.45" customHeight="1" x14ac:dyDescent="0.25">
      <c r="A295" s="355">
        <f t="shared" si="4"/>
        <v>24.933333333333334</v>
      </c>
      <c r="B295" s="532">
        <v>41823</v>
      </c>
      <c r="C295" s="533" t="s">
        <v>453</v>
      </c>
      <c r="D295" s="533"/>
      <c r="E295" s="533" t="s">
        <v>380</v>
      </c>
      <c r="F295" s="533" t="s">
        <v>151</v>
      </c>
      <c r="G295" s="533" t="s">
        <v>886</v>
      </c>
      <c r="H295" s="349"/>
      <c r="I295" s="349"/>
      <c r="J295" s="349"/>
      <c r="K295" s="349"/>
      <c r="L295" s="350"/>
      <c r="M295" s="350">
        <v>9</v>
      </c>
      <c r="N295" s="350"/>
      <c r="O295" s="350"/>
      <c r="P295" s="352">
        <v>19</v>
      </c>
      <c r="Q295" s="352">
        <v>1</v>
      </c>
      <c r="R295" s="352"/>
      <c r="S295" s="352"/>
      <c r="T295" s="352"/>
      <c r="U295" s="352"/>
      <c r="V295" s="497"/>
      <c r="W295" s="352"/>
      <c r="X295" s="352"/>
      <c r="Y295" s="352">
        <f>IF(NFI_Expiration=1,IF($A295&lt;VLOOKUP(H$5,NFI,5,0),1,0)*Table_NFI[[#This Row],[Hygiene Kit]],Table_NFI[Hygiene Kit])</f>
        <v>0</v>
      </c>
      <c r="Z295" s="352">
        <f>IF(NFI_Expiration=1,IF($A295&lt;VLOOKUP(I$5,NFI,5,0),1,0)*Table_NFI[[#This Row],[NFI Core Kit]],Table_NFI[NFI Core Kit])</f>
        <v>0</v>
      </c>
      <c r="AA295" s="352">
        <f>IF(NFI_Expiration=1,IF($A295&lt;VLOOKUP(J$5,NFI,5,0),1,0)*Table_NFI[[#This Row],[Sanitary Kit]],Table_NFI[Sanitary Kit])</f>
        <v>0</v>
      </c>
      <c r="AB295" s="352">
        <f>IF(NFI_Expiration=1,IF($A295&lt;VLOOKUP(K$5,NFI,5,0),1,0)*Table_NFI[[#This Row],[Mosquito net]],Table_NFI[Mosquito net])</f>
        <v>0</v>
      </c>
      <c r="AC295" s="352">
        <f>IF(NFI_Expiration=1,IF($A295&lt;VLOOKUP(L$5,NFI,5,0),1,0)*Table_NFI[[#This Row],[Tarpaulin]],Table_NFI[[#This Row],[Tarpaulin]])</f>
        <v>0</v>
      </c>
      <c r="AD295" s="352">
        <f>IF(NFI_Expiration=1,IF($A295&lt;VLOOKUP(M$5,NFI,5,0),1,0)*Table_NFI[[#This Row],[Blanket]],Table_NFI[[#This Row],[Blanket]])</f>
        <v>0</v>
      </c>
      <c r="AE295" s="352">
        <f>IF(NFI_Expiration=1,IF($A295&lt;VLOOKUP(N$5,NFI,5,0),1,0)*Table_NFI[[#This Row],[Kitchen Set]],Table_NFI[Kitchen Set])</f>
        <v>0</v>
      </c>
      <c r="AF295" s="352">
        <f>IF(NFI_Expiration=1,IF($A295&lt;VLOOKUP(O$5,NFI,5,0),1,0)*Table_NFI[[#This Row],[Clothes Kit]],Table_NFI[Clothes Kit])</f>
        <v>0</v>
      </c>
      <c r="AG295" s="352">
        <f>IF(NFI_Expiration=1,IF($A295&lt;VLOOKUP(P$5,NFI,5,0),1,0)*Table_NFI[[#This Row],[Plastic Bucket]],Table_NFI[Plastic Bucket])</f>
        <v>0</v>
      </c>
      <c r="AH295" s="352">
        <f>IF(NFI_Expiration=1,IF($A295&lt;VLOOKUP(Q$5,NFI,5,0),1,0)*Table_NFI[[#This Row],[Plastic Mat]],Table_NFI[Plastic Mat])*IF(Table_NFI[[#This Row],[Distribution Date]]&gt;"2014-04-01",1,2.5)</f>
        <v>0</v>
      </c>
      <c r="AI295" s="352">
        <f>IF(NFI_Expiration=1,IF($A295&lt;VLOOKUP(R$5,NFI,5,0),1,0)*Table_NFI[[#This Row],[Winter Clothes Adult]],Table_NFI[Winter Clothes Adult])</f>
        <v>0</v>
      </c>
      <c r="AJ295" s="352">
        <f>IF(NFI_Expiration=1,IF($A295&lt;VLOOKUP(S$5,NFI,5,0),1,0)*Table_NFI[[#This Row],[Winter Clothes Children]],Table_NFI[Winter Clothes Children])</f>
        <v>0</v>
      </c>
      <c r="AK295" s="352">
        <f>IF(NFI_Expiration=1,IF($A295&lt;VLOOKUP(T$5,NFI,5,0),1,0)*Table_NFI[[#This Row],[Winter Items Other]],Table_NFI[Winter Items Other])</f>
        <v>0</v>
      </c>
      <c r="AL295" s="352">
        <f>IF(NFI_Expiration=1,IF($A295&lt;VLOOKUP(M$5,NFI,5,0),1,0)*Table_NFI[[#This Row],[Winter Blanket]],Table_NFI[[#This Row],[Winter Blanket]])</f>
        <v>0</v>
      </c>
      <c r="AM295" s="352">
        <f>IF(Table_NFI[[#This Row],[Winter Clothes Adult]]+Table_NFI[[#This Row],[Winter Clothes Children]]+Table_NFI[[#This Row],[Winter Items Other]]+Table_NFI[[#This Row],[Winter Blanket]]&gt;0,1,0)</f>
        <v>0</v>
      </c>
      <c r="AN295" s="392">
        <f>IF(NFI_Expiration=1,IF($A295&lt;VLOOKUP(V$5,NFI,5,0),1,0)*Table_NFI[[#This Row],[Jerry Can]],Table_NFI[Jerry Can])</f>
        <v>0</v>
      </c>
      <c r="AO295" s="540" t="str">
        <f>IFERROR(VLOOKUP(Table_NFI[[#This Row],[Camp Name]],CL,2,0),"")</f>
        <v>MMR001CMP218</v>
      </c>
      <c r="AP295" s="535">
        <f ca="1">IF(Table_NFI[[#This Row],[Pcode]]="","",IF(OFFSET(CampList[Opening Date],MATCH(Table_NFI[[#This Row],[Pcode]],CampList[CP_Pcode],0)-1,0,1,1)&gt;=NFI_Monitor_Date,1,0))</f>
        <v>0</v>
      </c>
      <c r="AQ295" s="540" t="str">
        <f>IFERROR(VLOOKUP(Table_NFI[[#This Row],[Camp Name]],CL,3,0),"")</f>
        <v>Open</v>
      </c>
      <c r="AR295" s="352" t="str">
        <f ca="1">IF(Table_NFI[[#This Row],[Pcode]]="","",OFFSET(CampList[Priority],MATCH(Table_NFI[[#This Row],[Pcode]],CampList[CP_Pcode],0)-1,0,1,1))</f>
        <v>P4</v>
      </c>
      <c r="AS295" s="351">
        <f>IFERROR(Table_NFI[[#This Row],[Kitchen Set]]/VLOOKUP(Table_NFI[[#This Row],[Camp Name]],CL,4,0),"")</f>
        <v>0</v>
      </c>
      <c r="AT295" s="533"/>
      <c r="AU295" s="536"/>
    </row>
    <row r="296" spans="1:47" s="537" customFormat="1" ht="14.45" customHeight="1" x14ac:dyDescent="0.25">
      <c r="A296" s="355">
        <f t="shared" si="4"/>
        <v>24.933333333333334</v>
      </c>
      <c r="B296" s="532">
        <v>41823</v>
      </c>
      <c r="C296" s="533" t="s">
        <v>453</v>
      </c>
      <c r="D296" s="533"/>
      <c r="E296" s="533" t="s">
        <v>380</v>
      </c>
      <c r="F296" s="533" t="s">
        <v>151</v>
      </c>
      <c r="G296" s="533" t="s">
        <v>944</v>
      </c>
      <c r="H296" s="349"/>
      <c r="I296" s="349"/>
      <c r="J296" s="349"/>
      <c r="K296" s="349">
        <v>50</v>
      </c>
      <c r="L296" s="350">
        <v>15</v>
      </c>
      <c r="M296" s="350"/>
      <c r="N296" s="350">
        <v>15</v>
      </c>
      <c r="O296" s="350"/>
      <c r="P296" s="352">
        <v>15</v>
      </c>
      <c r="Q296" s="352">
        <v>60</v>
      </c>
      <c r="R296" s="352"/>
      <c r="S296" s="352"/>
      <c r="T296" s="352"/>
      <c r="U296" s="352"/>
      <c r="V296" s="497"/>
      <c r="W296" s="352"/>
      <c r="X296" s="352"/>
      <c r="Y296" s="352">
        <f>IF(NFI_Expiration=1,IF($A296&lt;VLOOKUP(H$5,NFI,5,0),1,0)*Table_NFI[[#This Row],[Hygiene Kit]],Table_NFI[Hygiene Kit])</f>
        <v>0</v>
      </c>
      <c r="Z296" s="352">
        <f>IF(NFI_Expiration=1,IF($A296&lt;VLOOKUP(I$5,NFI,5,0),1,0)*Table_NFI[[#This Row],[NFI Core Kit]],Table_NFI[NFI Core Kit])</f>
        <v>0</v>
      </c>
      <c r="AA296" s="352">
        <f>IF(NFI_Expiration=1,IF($A296&lt;VLOOKUP(J$5,NFI,5,0),1,0)*Table_NFI[[#This Row],[Sanitary Kit]],Table_NFI[Sanitary Kit])</f>
        <v>0</v>
      </c>
      <c r="AB296" s="352">
        <f>IF(NFI_Expiration=1,IF($A296&lt;VLOOKUP(K$5,NFI,5,0),1,0)*Table_NFI[[#This Row],[Mosquito net]],Table_NFI[Mosquito net])</f>
        <v>0</v>
      </c>
      <c r="AC296" s="352">
        <f>IF(NFI_Expiration=1,IF($A296&lt;VLOOKUP(L$5,NFI,5,0),1,0)*Table_NFI[[#This Row],[Tarpaulin]],Table_NFI[[#This Row],[Tarpaulin]])</f>
        <v>0</v>
      </c>
      <c r="AD296" s="352">
        <f>IF(NFI_Expiration=1,IF($A296&lt;VLOOKUP(M$5,NFI,5,0),1,0)*Table_NFI[[#This Row],[Blanket]],Table_NFI[[#This Row],[Blanket]])</f>
        <v>0</v>
      </c>
      <c r="AE296" s="352">
        <f>IF(NFI_Expiration=1,IF($A296&lt;VLOOKUP(N$5,NFI,5,0),1,0)*Table_NFI[[#This Row],[Kitchen Set]],Table_NFI[Kitchen Set])</f>
        <v>0</v>
      </c>
      <c r="AF296" s="352">
        <f>IF(NFI_Expiration=1,IF($A296&lt;VLOOKUP(O$5,NFI,5,0),1,0)*Table_NFI[[#This Row],[Clothes Kit]],Table_NFI[Clothes Kit])</f>
        <v>0</v>
      </c>
      <c r="AG296" s="352">
        <f>IF(NFI_Expiration=1,IF($A296&lt;VLOOKUP(P$5,NFI,5,0),1,0)*Table_NFI[[#This Row],[Plastic Bucket]],Table_NFI[Plastic Bucket])</f>
        <v>0</v>
      </c>
      <c r="AH296" s="352">
        <f>IF(NFI_Expiration=1,IF($A296&lt;VLOOKUP(Q$5,NFI,5,0),1,0)*Table_NFI[[#This Row],[Plastic Mat]],Table_NFI[Plastic Mat])*IF(Table_NFI[[#This Row],[Distribution Date]]&gt;"2014-04-01",1,2.5)</f>
        <v>0</v>
      </c>
      <c r="AI296" s="352">
        <f>IF(NFI_Expiration=1,IF($A296&lt;VLOOKUP(R$5,NFI,5,0),1,0)*Table_NFI[[#This Row],[Winter Clothes Adult]],Table_NFI[Winter Clothes Adult])</f>
        <v>0</v>
      </c>
      <c r="AJ296" s="352">
        <f>IF(NFI_Expiration=1,IF($A296&lt;VLOOKUP(S$5,NFI,5,0),1,0)*Table_NFI[[#This Row],[Winter Clothes Children]],Table_NFI[Winter Clothes Children])</f>
        <v>0</v>
      </c>
      <c r="AK296" s="352">
        <f>IF(NFI_Expiration=1,IF($A296&lt;VLOOKUP(T$5,NFI,5,0),1,0)*Table_NFI[[#This Row],[Winter Items Other]],Table_NFI[Winter Items Other])</f>
        <v>0</v>
      </c>
      <c r="AL296" s="352">
        <f>IF(NFI_Expiration=1,IF($A296&lt;VLOOKUP(M$5,NFI,5,0),1,0)*Table_NFI[[#This Row],[Winter Blanket]],Table_NFI[[#This Row],[Winter Blanket]])</f>
        <v>0</v>
      </c>
      <c r="AM296" s="352">
        <f>IF(Table_NFI[[#This Row],[Winter Clothes Adult]]+Table_NFI[[#This Row],[Winter Clothes Children]]+Table_NFI[[#This Row],[Winter Items Other]]+Table_NFI[[#This Row],[Winter Blanket]]&gt;0,1,0)</f>
        <v>0</v>
      </c>
      <c r="AN296" s="392">
        <f>IF(NFI_Expiration=1,IF($A296&lt;VLOOKUP(V$5,NFI,5,0),1,0)*Table_NFI[[#This Row],[Jerry Can]],Table_NFI[Jerry Can])</f>
        <v>0</v>
      </c>
      <c r="AO296" s="540" t="str">
        <f>IFERROR(VLOOKUP(Table_NFI[[#This Row],[Camp Name]],CL,2,0),"")</f>
        <v>MMR001CMP223</v>
      </c>
      <c r="AP296" s="535">
        <f ca="1">IF(Table_NFI[[#This Row],[Pcode]]="","",IF(OFFSET(CampList[Opening Date],MATCH(Table_NFI[[#This Row],[Pcode]],CampList[CP_Pcode],0)-1,0,1,1)&gt;=NFI_Monitor_Date,1,0))</f>
        <v>0</v>
      </c>
      <c r="AQ296" s="540" t="str">
        <f>IFERROR(VLOOKUP(Table_NFI[[#This Row],[Camp Name]],CL,3,0),"")</f>
        <v>Open</v>
      </c>
      <c r="AR296" s="352" t="str">
        <f ca="1">IF(Table_NFI[[#This Row],[Pcode]]="","",OFFSET(CampList[Priority],MATCH(Table_NFI[[#This Row],[Pcode]],CampList[CP_Pcode],0)-1,0,1,1))</f>
        <v>P4</v>
      </c>
      <c r="AS296" s="351">
        <f>IFERROR(Table_NFI[[#This Row],[Kitchen Set]]/VLOOKUP(Table_NFI[[#This Row],[Camp Name]],CL,4,0),"")</f>
        <v>0.12195121951219512</v>
      </c>
      <c r="AT296" s="533"/>
      <c r="AU296" s="536"/>
    </row>
    <row r="297" spans="1:47" s="537" customFormat="1" ht="14.45" customHeight="1" x14ac:dyDescent="0.25">
      <c r="A297" s="355">
        <f t="shared" si="4"/>
        <v>25</v>
      </c>
      <c r="B297" s="532">
        <v>41821</v>
      </c>
      <c r="C297" s="533" t="s">
        <v>453</v>
      </c>
      <c r="D297" s="533"/>
      <c r="E297" s="533" t="s">
        <v>380</v>
      </c>
      <c r="F297" s="533" t="s">
        <v>151</v>
      </c>
      <c r="G297" s="533" t="s">
        <v>886</v>
      </c>
      <c r="H297" s="349"/>
      <c r="I297" s="349"/>
      <c r="J297" s="349"/>
      <c r="K297" s="349"/>
      <c r="L297" s="350">
        <v>19</v>
      </c>
      <c r="M297" s="350"/>
      <c r="N297" s="350">
        <v>19</v>
      </c>
      <c r="O297" s="350"/>
      <c r="P297" s="352"/>
      <c r="Q297" s="352">
        <v>100</v>
      </c>
      <c r="R297" s="352"/>
      <c r="S297" s="352"/>
      <c r="T297" s="352"/>
      <c r="U297" s="352"/>
      <c r="V297" s="497"/>
      <c r="W297" s="352"/>
      <c r="X297" s="352"/>
      <c r="Y297" s="352">
        <f>IF(NFI_Expiration=1,IF($A297&lt;VLOOKUP(H$5,NFI,5,0),1,0)*Table_NFI[[#This Row],[Hygiene Kit]],Table_NFI[Hygiene Kit])</f>
        <v>0</v>
      </c>
      <c r="Z297" s="352">
        <f>IF(NFI_Expiration=1,IF($A297&lt;VLOOKUP(I$5,NFI,5,0),1,0)*Table_NFI[[#This Row],[NFI Core Kit]],Table_NFI[NFI Core Kit])</f>
        <v>0</v>
      </c>
      <c r="AA297" s="352">
        <f>IF(NFI_Expiration=1,IF($A297&lt;VLOOKUP(J$5,NFI,5,0),1,0)*Table_NFI[[#This Row],[Sanitary Kit]],Table_NFI[Sanitary Kit])</f>
        <v>0</v>
      </c>
      <c r="AB297" s="352">
        <f>IF(NFI_Expiration=1,IF($A297&lt;VLOOKUP(K$5,NFI,5,0),1,0)*Table_NFI[[#This Row],[Mosquito net]],Table_NFI[Mosquito net])</f>
        <v>0</v>
      </c>
      <c r="AC297" s="352">
        <f>IF(NFI_Expiration=1,IF($A297&lt;VLOOKUP(L$5,NFI,5,0),1,0)*Table_NFI[[#This Row],[Tarpaulin]],Table_NFI[[#This Row],[Tarpaulin]])</f>
        <v>0</v>
      </c>
      <c r="AD297" s="352">
        <f>IF(NFI_Expiration=1,IF($A297&lt;VLOOKUP(M$5,NFI,5,0),1,0)*Table_NFI[[#This Row],[Blanket]],Table_NFI[[#This Row],[Blanket]])</f>
        <v>0</v>
      </c>
      <c r="AE297" s="352">
        <f>IF(NFI_Expiration=1,IF($A297&lt;VLOOKUP(N$5,NFI,5,0),1,0)*Table_NFI[[#This Row],[Kitchen Set]],Table_NFI[Kitchen Set])</f>
        <v>0</v>
      </c>
      <c r="AF297" s="352">
        <f>IF(NFI_Expiration=1,IF($A297&lt;VLOOKUP(O$5,NFI,5,0),1,0)*Table_NFI[[#This Row],[Clothes Kit]],Table_NFI[Clothes Kit])</f>
        <v>0</v>
      </c>
      <c r="AG297" s="352">
        <f>IF(NFI_Expiration=1,IF($A297&lt;VLOOKUP(P$5,NFI,5,0),1,0)*Table_NFI[[#This Row],[Plastic Bucket]],Table_NFI[Plastic Bucket])</f>
        <v>0</v>
      </c>
      <c r="AH297" s="352">
        <f>IF(NFI_Expiration=1,IF($A297&lt;VLOOKUP(Q$5,NFI,5,0),1,0)*Table_NFI[[#This Row],[Plastic Mat]],Table_NFI[Plastic Mat])*IF(Table_NFI[[#This Row],[Distribution Date]]&gt;"2014-04-01",1,2.5)</f>
        <v>0</v>
      </c>
      <c r="AI297" s="352">
        <f>IF(NFI_Expiration=1,IF($A297&lt;VLOOKUP(R$5,NFI,5,0),1,0)*Table_NFI[[#This Row],[Winter Clothes Adult]],Table_NFI[Winter Clothes Adult])</f>
        <v>0</v>
      </c>
      <c r="AJ297" s="352">
        <f>IF(NFI_Expiration=1,IF($A297&lt;VLOOKUP(S$5,NFI,5,0),1,0)*Table_NFI[[#This Row],[Winter Clothes Children]],Table_NFI[Winter Clothes Children])</f>
        <v>0</v>
      </c>
      <c r="AK297" s="352">
        <f>IF(NFI_Expiration=1,IF($A297&lt;VLOOKUP(T$5,NFI,5,0),1,0)*Table_NFI[[#This Row],[Winter Items Other]],Table_NFI[Winter Items Other])</f>
        <v>0</v>
      </c>
      <c r="AL297" s="352">
        <f>IF(NFI_Expiration=1,IF($A297&lt;VLOOKUP(M$5,NFI,5,0),1,0)*Table_NFI[[#This Row],[Winter Blanket]],Table_NFI[[#This Row],[Winter Blanket]])</f>
        <v>0</v>
      </c>
      <c r="AM297" s="352">
        <f>IF(Table_NFI[[#This Row],[Winter Clothes Adult]]+Table_NFI[[#This Row],[Winter Clothes Children]]+Table_NFI[[#This Row],[Winter Items Other]]+Table_NFI[[#This Row],[Winter Blanket]]&gt;0,1,0)</f>
        <v>0</v>
      </c>
      <c r="AN297" s="392">
        <f>IF(NFI_Expiration=1,IF($A297&lt;VLOOKUP(V$5,NFI,5,0),1,0)*Table_NFI[[#This Row],[Jerry Can]],Table_NFI[Jerry Can])</f>
        <v>0</v>
      </c>
      <c r="AO297" s="540" t="str">
        <f>IFERROR(VLOOKUP(Table_NFI[[#This Row],[Camp Name]],CL,2,0),"")</f>
        <v>MMR001CMP218</v>
      </c>
      <c r="AP297" s="535">
        <f ca="1">IF(Table_NFI[[#This Row],[Pcode]]="","",IF(OFFSET(CampList[Opening Date],MATCH(Table_NFI[[#This Row],[Pcode]],CampList[CP_Pcode],0)-1,0,1,1)&gt;=NFI_Monitor_Date,1,0))</f>
        <v>0</v>
      </c>
      <c r="AQ297" s="540" t="str">
        <f>IFERROR(VLOOKUP(Table_NFI[[#This Row],[Camp Name]],CL,3,0),"")</f>
        <v>Open</v>
      </c>
      <c r="AR297" s="352" t="str">
        <f ca="1">IF(Table_NFI[[#This Row],[Pcode]]="","",OFFSET(CampList[Priority],MATCH(Table_NFI[[#This Row],[Pcode]],CampList[CP_Pcode],0)-1,0,1,1))</f>
        <v>P4</v>
      </c>
      <c r="AS297" s="351">
        <f>IFERROR(Table_NFI[[#This Row],[Kitchen Set]]/VLOOKUP(Table_NFI[[#This Row],[Camp Name]],CL,4,0),"")</f>
        <v>4.8717948717948718E-2</v>
      </c>
      <c r="AT297" s="533"/>
      <c r="AU297" s="536"/>
    </row>
    <row r="298" spans="1:47" s="537" customFormat="1" ht="14.45" customHeight="1" x14ac:dyDescent="0.25">
      <c r="A298" s="355">
        <f t="shared" si="4"/>
        <v>25.466666666666665</v>
      </c>
      <c r="B298" s="532">
        <v>41807</v>
      </c>
      <c r="C298" s="533" t="s">
        <v>453</v>
      </c>
      <c r="D298" s="533"/>
      <c r="E298" s="533" t="s">
        <v>380</v>
      </c>
      <c r="F298" s="533" t="s">
        <v>151</v>
      </c>
      <c r="G298" s="533" t="s">
        <v>886</v>
      </c>
      <c r="H298" s="349"/>
      <c r="I298" s="349"/>
      <c r="J298" s="349"/>
      <c r="K298" s="349">
        <v>10</v>
      </c>
      <c r="L298" s="350">
        <v>3</v>
      </c>
      <c r="M298" s="350">
        <v>10</v>
      </c>
      <c r="N298" s="350">
        <v>3</v>
      </c>
      <c r="O298" s="350"/>
      <c r="P298" s="352">
        <v>3</v>
      </c>
      <c r="Q298" s="352">
        <v>10</v>
      </c>
      <c r="R298" s="352"/>
      <c r="S298" s="352"/>
      <c r="T298" s="352"/>
      <c r="U298" s="352"/>
      <c r="V298" s="497"/>
      <c r="W298" s="352"/>
      <c r="X298" s="352"/>
      <c r="Y298" s="352">
        <f>IF(NFI_Expiration=1,IF($A298&lt;VLOOKUP(H$5,NFI,5,0),1,0)*Table_NFI[[#This Row],[Hygiene Kit]],Table_NFI[Hygiene Kit])</f>
        <v>0</v>
      </c>
      <c r="Z298" s="352">
        <f>IF(NFI_Expiration=1,IF($A298&lt;VLOOKUP(I$5,NFI,5,0),1,0)*Table_NFI[[#This Row],[NFI Core Kit]],Table_NFI[NFI Core Kit])</f>
        <v>0</v>
      </c>
      <c r="AA298" s="352">
        <f>IF(NFI_Expiration=1,IF($A298&lt;VLOOKUP(J$5,NFI,5,0),1,0)*Table_NFI[[#This Row],[Sanitary Kit]],Table_NFI[Sanitary Kit])</f>
        <v>0</v>
      </c>
      <c r="AB298" s="352">
        <f>IF(NFI_Expiration=1,IF($A298&lt;VLOOKUP(K$5,NFI,5,0),1,0)*Table_NFI[[#This Row],[Mosquito net]],Table_NFI[Mosquito net])</f>
        <v>0</v>
      </c>
      <c r="AC298" s="352">
        <f>IF(NFI_Expiration=1,IF($A298&lt;VLOOKUP(L$5,NFI,5,0),1,0)*Table_NFI[[#This Row],[Tarpaulin]],Table_NFI[[#This Row],[Tarpaulin]])</f>
        <v>0</v>
      </c>
      <c r="AD298" s="352">
        <f>IF(NFI_Expiration=1,IF($A298&lt;VLOOKUP(M$5,NFI,5,0),1,0)*Table_NFI[[#This Row],[Blanket]],Table_NFI[[#This Row],[Blanket]])</f>
        <v>0</v>
      </c>
      <c r="AE298" s="352">
        <f>IF(NFI_Expiration=1,IF($A298&lt;VLOOKUP(N$5,NFI,5,0),1,0)*Table_NFI[[#This Row],[Kitchen Set]],Table_NFI[Kitchen Set])</f>
        <v>0</v>
      </c>
      <c r="AF298" s="352">
        <f>IF(NFI_Expiration=1,IF($A298&lt;VLOOKUP(O$5,NFI,5,0),1,0)*Table_NFI[[#This Row],[Clothes Kit]],Table_NFI[Clothes Kit])</f>
        <v>0</v>
      </c>
      <c r="AG298" s="352">
        <f>IF(NFI_Expiration=1,IF($A298&lt;VLOOKUP(P$5,NFI,5,0),1,0)*Table_NFI[[#This Row],[Plastic Bucket]],Table_NFI[Plastic Bucket])</f>
        <v>0</v>
      </c>
      <c r="AH298" s="352">
        <f>IF(NFI_Expiration=1,IF($A298&lt;VLOOKUP(Q$5,NFI,5,0),1,0)*Table_NFI[[#This Row],[Plastic Mat]],Table_NFI[Plastic Mat])*IF(Table_NFI[[#This Row],[Distribution Date]]&gt;"2014-04-01",1,2.5)</f>
        <v>0</v>
      </c>
      <c r="AI298" s="352">
        <f>IF(NFI_Expiration=1,IF($A298&lt;VLOOKUP(R$5,NFI,5,0),1,0)*Table_NFI[[#This Row],[Winter Clothes Adult]],Table_NFI[Winter Clothes Adult])</f>
        <v>0</v>
      </c>
      <c r="AJ298" s="352">
        <f>IF(NFI_Expiration=1,IF($A298&lt;VLOOKUP(S$5,NFI,5,0),1,0)*Table_NFI[[#This Row],[Winter Clothes Children]],Table_NFI[Winter Clothes Children])</f>
        <v>0</v>
      </c>
      <c r="AK298" s="352">
        <f>IF(NFI_Expiration=1,IF($A298&lt;VLOOKUP(T$5,NFI,5,0),1,0)*Table_NFI[[#This Row],[Winter Items Other]],Table_NFI[Winter Items Other])</f>
        <v>0</v>
      </c>
      <c r="AL298" s="352">
        <f>IF(NFI_Expiration=1,IF($A298&lt;VLOOKUP(M$5,NFI,5,0),1,0)*Table_NFI[[#This Row],[Winter Blanket]],Table_NFI[[#This Row],[Winter Blanket]])</f>
        <v>0</v>
      </c>
      <c r="AM298" s="352">
        <f>IF(Table_NFI[[#This Row],[Winter Clothes Adult]]+Table_NFI[[#This Row],[Winter Clothes Children]]+Table_NFI[[#This Row],[Winter Items Other]]+Table_NFI[[#This Row],[Winter Blanket]]&gt;0,1,0)</f>
        <v>0</v>
      </c>
      <c r="AN298" s="392">
        <f>IF(NFI_Expiration=1,IF($A298&lt;VLOOKUP(V$5,NFI,5,0),1,0)*Table_NFI[[#This Row],[Jerry Can]],Table_NFI[Jerry Can])</f>
        <v>0</v>
      </c>
      <c r="AO298" s="540" t="str">
        <f>IFERROR(VLOOKUP(Table_NFI[[#This Row],[Camp Name]],CL,2,0),"")</f>
        <v>MMR001CMP218</v>
      </c>
      <c r="AP298" s="535">
        <f ca="1">IF(Table_NFI[[#This Row],[Pcode]]="","",IF(OFFSET(CampList[Opening Date],MATCH(Table_NFI[[#This Row],[Pcode]],CampList[CP_Pcode],0)-1,0,1,1)&gt;=NFI_Monitor_Date,1,0))</f>
        <v>0</v>
      </c>
      <c r="AQ298" s="540" t="str">
        <f>IFERROR(VLOOKUP(Table_NFI[[#This Row],[Camp Name]],CL,3,0),"")</f>
        <v>Open</v>
      </c>
      <c r="AR298" s="352" t="str">
        <f ca="1">IF(Table_NFI[[#This Row],[Pcode]]="","",OFFSET(CampList[Priority],MATCH(Table_NFI[[#This Row],[Pcode]],CampList[CP_Pcode],0)-1,0,1,1))</f>
        <v>P4</v>
      </c>
      <c r="AS298" s="351">
        <f>IFERROR(Table_NFI[[#This Row],[Kitchen Set]]/VLOOKUP(Table_NFI[[#This Row],[Camp Name]],CL,4,0),"")</f>
        <v>7.6923076923076927E-3</v>
      </c>
      <c r="AT298" s="533"/>
      <c r="AU298" s="536"/>
    </row>
    <row r="299" spans="1:47" s="537" customFormat="1" ht="14.45" hidden="1" customHeight="1" x14ac:dyDescent="0.25">
      <c r="A299" s="355">
        <f t="shared" si="4"/>
        <v>18.466666666666665</v>
      </c>
      <c r="B299" s="532">
        <v>42017</v>
      </c>
      <c r="C299" s="533" t="s">
        <v>1096</v>
      </c>
      <c r="D299" s="533" t="s">
        <v>902</v>
      </c>
      <c r="E299" s="533" t="s">
        <v>380</v>
      </c>
      <c r="F299" s="533" t="s">
        <v>27</v>
      </c>
      <c r="G299" s="533" t="s">
        <v>365</v>
      </c>
      <c r="H299" s="349"/>
      <c r="I299" s="352"/>
      <c r="J299" s="352"/>
      <c r="K299" s="352"/>
      <c r="L299" s="350"/>
      <c r="M299" s="350"/>
      <c r="N299" s="350"/>
      <c r="O299" s="350"/>
      <c r="P299" s="352"/>
      <c r="Q299" s="352"/>
      <c r="R299" s="352">
        <v>350</v>
      </c>
      <c r="S299" s="352">
        <v>236</v>
      </c>
      <c r="T299" s="352"/>
      <c r="U299" s="352">
        <v>203</v>
      </c>
      <c r="V299" s="497"/>
      <c r="W299" s="352"/>
      <c r="X299" s="352"/>
      <c r="Y299" s="352">
        <f>IF(NFI_Expiration=1,IF($A299&lt;VLOOKUP(H$5,NFI,5,0),1,0)*Table_NFI[[#This Row],[Hygiene Kit]],Table_NFI[Hygiene Kit])</f>
        <v>0</v>
      </c>
      <c r="Z299" s="352">
        <f>IF(NFI_Expiration=1,IF($A299&lt;VLOOKUP(I$5,NFI,5,0),1,0)*Table_NFI[[#This Row],[NFI Core Kit]],Table_NFI[NFI Core Kit])</f>
        <v>0</v>
      </c>
      <c r="AA299" s="352">
        <f>IF(NFI_Expiration=1,IF($A299&lt;VLOOKUP(J$5,NFI,5,0),1,0)*Table_NFI[[#This Row],[Sanitary Kit]],Table_NFI[Sanitary Kit])</f>
        <v>0</v>
      </c>
      <c r="AB299" s="352">
        <f>IF(NFI_Expiration=1,IF($A299&lt;VLOOKUP(K$5,NFI,5,0),1,0)*Table_NFI[[#This Row],[Mosquito net]],Table_NFI[Mosquito net])</f>
        <v>0</v>
      </c>
      <c r="AC299" s="352">
        <f>IF(NFI_Expiration=1,IF($A299&lt;VLOOKUP(L$5,NFI,5,0),1,0)*Table_NFI[[#This Row],[Tarpaulin]],Table_NFI[[#This Row],[Tarpaulin]])</f>
        <v>0</v>
      </c>
      <c r="AD299" s="352">
        <f>IF(NFI_Expiration=1,IF($A299&lt;VLOOKUP(M$5,NFI,5,0),1,0)*Table_NFI[[#This Row],[Blanket]],Table_NFI[[#This Row],[Blanket]])</f>
        <v>0</v>
      </c>
      <c r="AE299" s="352">
        <f>IF(NFI_Expiration=1,IF($A299&lt;VLOOKUP(N$5,NFI,5,0),1,0)*Table_NFI[[#This Row],[Kitchen Set]],Table_NFI[Kitchen Set])</f>
        <v>0</v>
      </c>
      <c r="AF299" s="352">
        <f>IF(NFI_Expiration=1,IF($A299&lt;VLOOKUP(O$5,NFI,5,0),1,0)*Table_NFI[[#This Row],[Clothes Kit]],Table_NFI[Clothes Kit])</f>
        <v>0</v>
      </c>
      <c r="AG299" s="352">
        <f>IF(NFI_Expiration=1,IF($A299&lt;VLOOKUP(P$5,NFI,5,0),1,0)*Table_NFI[[#This Row],[Plastic Bucket]],Table_NFI[Plastic Bucket])</f>
        <v>0</v>
      </c>
      <c r="AH299" s="352">
        <f>IF(NFI_Expiration=1,IF($A299&lt;VLOOKUP(Q$5,NFI,5,0),1,0)*Table_NFI[[#This Row],[Plastic Mat]],Table_NFI[Plastic Mat])*IF(Table_NFI[[#This Row],[Distribution Date]]&gt;"2014-04-01",1,2.5)</f>
        <v>0</v>
      </c>
      <c r="AI299" s="352">
        <f>IF(NFI_Expiration=1,IF($A299&lt;VLOOKUP(R$5,NFI,5,0),1,0)*Table_NFI[[#This Row],[Winter Clothes Adult]],Table_NFI[Winter Clothes Adult])</f>
        <v>0</v>
      </c>
      <c r="AJ299" s="352">
        <f>IF(NFI_Expiration=1,IF($A299&lt;VLOOKUP(S$5,NFI,5,0),1,0)*Table_NFI[[#This Row],[Winter Clothes Children]],Table_NFI[Winter Clothes Children])</f>
        <v>0</v>
      </c>
      <c r="AK299" s="352">
        <f>IF(NFI_Expiration=1,IF($A299&lt;VLOOKUP(T$5,NFI,5,0),1,0)*Table_NFI[[#This Row],[Winter Items Other]],Table_NFI[Winter Items Other])</f>
        <v>0</v>
      </c>
      <c r="AL299" s="352">
        <f>IF(NFI_Expiration=1,IF($A299&lt;VLOOKUP(M$5,NFI,5,0),1,0)*Table_NFI[[#This Row],[Winter Blanket]],Table_NFI[[#This Row],[Winter Blanket]])</f>
        <v>0</v>
      </c>
      <c r="AM299" s="352">
        <f>IF(Table_NFI[[#This Row],[Winter Clothes Adult]]+Table_NFI[[#This Row],[Winter Clothes Children]]+Table_NFI[[#This Row],[Winter Items Other]]+Table_NFI[[#This Row],[Winter Blanket]]&gt;0,1,0)</f>
        <v>1</v>
      </c>
      <c r="AN299" s="392">
        <f>IF(NFI_Expiration=1,IF($A299&lt;VLOOKUP(V$5,NFI,5,0),1,0)*Table_NFI[[#This Row],[Jerry Can]],Table_NFI[Jerry Can])</f>
        <v>0</v>
      </c>
      <c r="AO299" s="540" t="str">
        <f>IFERROR(VLOOKUP(Table_NFI[[#This Row],[Camp Name]],CL,2,0),"")</f>
        <v>MMR001CMP195</v>
      </c>
      <c r="AP299" s="535">
        <f ca="1">IF(Table_NFI[[#This Row],[Pcode]]="","",IF(OFFSET(CampList[Opening Date],MATCH(Table_NFI[[#This Row],[Pcode]],CampList[CP_Pcode],0)-1,0,1,1)&gt;=NFI_Monitor_Date,1,0))</f>
        <v>0</v>
      </c>
      <c r="AQ299" s="540" t="str">
        <f>IFERROR(VLOOKUP(Table_NFI[[#This Row],[Camp Name]],CL,3,0),"")</f>
        <v>Open</v>
      </c>
      <c r="AR299" s="352" t="str">
        <f ca="1">IF(Table_NFI[[#This Row],[Pcode]]="","",OFFSET(CampList[Priority],MATCH(Table_NFI[[#This Row],[Pcode]],CampList[CP_Pcode],0)-1,0,1,1))</f>
        <v>P1</v>
      </c>
      <c r="AS299" s="351">
        <f>IFERROR(Table_NFI[[#This Row],[Kitchen Set]]/VLOOKUP(Table_NFI[[#This Row],[Camp Name]],CL,4,0),"")</f>
        <v>0</v>
      </c>
      <c r="AT299" s="533"/>
      <c r="AU299" s="557"/>
    </row>
    <row r="300" spans="1:47" s="537" customFormat="1" ht="14.45" customHeight="1" x14ac:dyDescent="0.25">
      <c r="A300" s="355">
        <f t="shared" si="4"/>
        <v>25.6</v>
      </c>
      <c r="B300" s="532">
        <v>41803</v>
      </c>
      <c r="C300" s="533" t="s">
        <v>453</v>
      </c>
      <c r="D300" s="533"/>
      <c r="E300" s="533" t="s">
        <v>380</v>
      </c>
      <c r="F300" s="533" t="s">
        <v>151</v>
      </c>
      <c r="G300" s="533" t="s">
        <v>886</v>
      </c>
      <c r="H300" s="349"/>
      <c r="I300" s="349"/>
      <c r="J300" s="349"/>
      <c r="K300" s="349">
        <v>54</v>
      </c>
      <c r="L300" s="350">
        <v>18</v>
      </c>
      <c r="M300" s="350">
        <v>45</v>
      </c>
      <c r="N300" s="350">
        <v>18</v>
      </c>
      <c r="O300" s="350"/>
      <c r="P300" s="352">
        <v>18</v>
      </c>
      <c r="Q300" s="352">
        <v>50</v>
      </c>
      <c r="R300" s="352"/>
      <c r="S300" s="352"/>
      <c r="T300" s="352"/>
      <c r="U300" s="352"/>
      <c r="V300" s="497"/>
      <c r="W300" s="352"/>
      <c r="X300" s="352"/>
      <c r="Y300" s="352">
        <f>IF(NFI_Expiration=1,IF($A300&lt;VLOOKUP(H$5,NFI,5,0),1,0)*Table_NFI[[#This Row],[Hygiene Kit]],Table_NFI[Hygiene Kit])</f>
        <v>0</v>
      </c>
      <c r="Z300" s="352">
        <f>IF(NFI_Expiration=1,IF($A300&lt;VLOOKUP(I$5,NFI,5,0),1,0)*Table_NFI[[#This Row],[NFI Core Kit]],Table_NFI[NFI Core Kit])</f>
        <v>0</v>
      </c>
      <c r="AA300" s="352">
        <f>IF(NFI_Expiration=1,IF($A300&lt;VLOOKUP(J$5,NFI,5,0),1,0)*Table_NFI[[#This Row],[Sanitary Kit]],Table_NFI[Sanitary Kit])</f>
        <v>0</v>
      </c>
      <c r="AB300" s="352">
        <f>IF(NFI_Expiration=1,IF($A300&lt;VLOOKUP(K$5,NFI,5,0),1,0)*Table_NFI[[#This Row],[Mosquito net]],Table_NFI[Mosquito net])</f>
        <v>0</v>
      </c>
      <c r="AC300" s="352">
        <f>IF(NFI_Expiration=1,IF($A300&lt;VLOOKUP(L$5,NFI,5,0),1,0)*Table_NFI[[#This Row],[Tarpaulin]],Table_NFI[[#This Row],[Tarpaulin]])</f>
        <v>0</v>
      </c>
      <c r="AD300" s="352">
        <f>IF(NFI_Expiration=1,IF($A300&lt;VLOOKUP(M$5,NFI,5,0),1,0)*Table_NFI[[#This Row],[Blanket]],Table_NFI[[#This Row],[Blanket]])</f>
        <v>0</v>
      </c>
      <c r="AE300" s="352">
        <f>IF(NFI_Expiration=1,IF($A300&lt;VLOOKUP(N$5,NFI,5,0),1,0)*Table_NFI[[#This Row],[Kitchen Set]],Table_NFI[Kitchen Set])</f>
        <v>0</v>
      </c>
      <c r="AF300" s="352">
        <f>IF(NFI_Expiration=1,IF($A300&lt;VLOOKUP(O$5,NFI,5,0),1,0)*Table_NFI[[#This Row],[Clothes Kit]],Table_NFI[Clothes Kit])</f>
        <v>0</v>
      </c>
      <c r="AG300" s="352">
        <f>IF(NFI_Expiration=1,IF($A300&lt;VLOOKUP(P$5,NFI,5,0),1,0)*Table_NFI[[#This Row],[Plastic Bucket]],Table_NFI[Plastic Bucket])</f>
        <v>0</v>
      </c>
      <c r="AH300" s="352">
        <f>IF(NFI_Expiration=1,IF($A300&lt;VLOOKUP(Q$5,NFI,5,0),1,0)*Table_NFI[[#This Row],[Plastic Mat]],Table_NFI[Plastic Mat])*IF(Table_NFI[[#This Row],[Distribution Date]]&gt;"2014-04-01",1,2.5)</f>
        <v>0</v>
      </c>
      <c r="AI300" s="352">
        <f>IF(NFI_Expiration=1,IF($A300&lt;VLOOKUP(R$5,NFI,5,0),1,0)*Table_NFI[[#This Row],[Winter Clothes Adult]],Table_NFI[Winter Clothes Adult])</f>
        <v>0</v>
      </c>
      <c r="AJ300" s="352">
        <f>IF(NFI_Expiration=1,IF($A300&lt;VLOOKUP(S$5,NFI,5,0),1,0)*Table_NFI[[#This Row],[Winter Clothes Children]],Table_NFI[Winter Clothes Children])</f>
        <v>0</v>
      </c>
      <c r="AK300" s="352">
        <f>IF(NFI_Expiration=1,IF($A300&lt;VLOOKUP(T$5,NFI,5,0),1,0)*Table_NFI[[#This Row],[Winter Items Other]],Table_NFI[Winter Items Other])</f>
        <v>0</v>
      </c>
      <c r="AL300" s="352">
        <f>IF(NFI_Expiration=1,IF($A300&lt;VLOOKUP(M$5,NFI,5,0),1,0)*Table_NFI[[#This Row],[Winter Blanket]],Table_NFI[[#This Row],[Winter Blanket]])</f>
        <v>0</v>
      </c>
      <c r="AM300" s="352">
        <f>IF(Table_NFI[[#This Row],[Winter Clothes Adult]]+Table_NFI[[#This Row],[Winter Clothes Children]]+Table_NFI[[#This Row],[Winter Items Other]]+Table_NFI[[#This Row],[Winter Blanket]]&gt;0,1,0)</f>
        <v>0</v>
      </c>
      <c r="AN300" s="392">
        <f>IF(NFI_Expiration=1,IF($A300&lt;VLOOKUP(V$5,NFI,5,0),1,0)*Table_NFI[[#This Row],[Jerry Can]],Table_NFI[Jerry Can])</f>
        <v>0</v>
      </c>
      <c r="AO300" s="540" t="str">
        <f>IFERROR(VLOOKUP(Table_NFI[[#This Row],[Camp Name]],CL,2,0),"")</f>
        <v>MMR001CMP218</v>
      </c>
      <c r="AP300" s="535">
        <f ca="1">IF(Table_NFI[[#This Row],[Pcode]]="","",IF(OFFSET(CampList[Opening Date],MATCH(Table_NFI[[#This Row],[Pcode]],CampList[CP_Pcode],0)-1,0,1,1)&gt;=NFI_Monitor_Date,1,0))</f>
        <v>0</v>
      </c>
      <c r="AQ300" s="540" t="str">
        <f>IFERROR(VLOOKUP(Table_NFI[[#This Row],[Camp Name]],CL,3,0),"")</f>
        <v>Open</v>
      </c>
      <c r="AR300" s="352" t="str">
        <f ca="1">IF(Table_NFI[[#This Row],[Pcode]]="","",OFFSET(CampList[Priority],MATCH(Table_NFI[[#This Row],[Pcode]],CampList[CP_Pcode],0)-1,0,1,1))</f>
        <v>P4</v>
      </c>
      <c r="AS300" s="351">
        <f>IFERROR(Table_NFI[[#This Row],[Kitchen Set]]/VLOOKUP(Table_NFI[[#This Row],[Camp Name]],CL,4,0),"")</f>
        <v>4.6153846153846156E-2</v>
      </c>
      <c r="AT300" s="533"/>
      <c r="AU300" s="536"/>
    </row>
    <row r="301" spans="1:47" s="537" customFormat="1" ht="14.45" customHeight="1" x14ac:dyDescent="0.25">
      <c r="A301" s="355">
        <f t="shared" si="4"/>
        <v>25.9</v>
      </c>
      <c r="B301" s="532">
        <v>41794</v>
      </c>
      <c r="C301" s="533" t="s">
        <v>453</v>
      </c>
      <c r="D301" s="533" t="s">
        <v>461</v>
      </c>
      <c r="E301" s="533" t="s">
        <v>380</v>
      </c>
      <c r="F301" s="533" t="s">
        <v>185</v>
      </c>
      <c r="G301" s="533" t="s">
        <v>209</v>
      </c>
      <c r="H301" s="349"/>
      <c r="I301" s="349"/>
      <c r="J301" s="349"/>
      <c r="K301" s="349"/>
      <c r="L301" s="350">
        <v>80</v>
      </c>
      <c r="M301" s="350"/>
      <c r="N301" s="350"/>
      <c r="O301" s="350"/>
      <c r="P301" s="352"/>
      <c r="Q301" s="352"/>
      <c r="R301" s="352"/>
      <c r="S301" s="352"/>
      <c r="T301" s="352"/>
      <c r="U301" s="352"/>
      <c r="V301" s="497"/>
      <c r="W301" s="352"/>
      <c r="X301" s="352"/>
      <c r="Y301" s="352">
        <f>IF(NFI_Expiration=1,IF($A301&lt;VLOOKUP(H$5,NFI,5,0),1,0)*Table_NFI[[#This Row],[Hygiene Kit]],Table_NFI[Hygiene Kit])</f>
        <v>0</v>
      </c>
      <c r="Z301" s="352">
        <f>IF(NFI_Expiration=1,IF($A301&lt;VLOOKUP(I$5,NFI,5,0),1,0)*Table_NFI[[#This Row],[NFI Core Kit]],Table_NFI[NFI Core Kit])</f>
        <v>0</v>
      </c>
      <c r="AA301" s="352">
        <f>IF(NFI_Expiration=1,IF($A301&lt;VLOOKUP(J$5,NFI,5,0),1,0)*Table_NFI[[#This Row],[Sanitary Kit]],Table_NFI[Sanitary Kit])</f>
        <v>0</v>
      </c>
      <c r="AB301" s="352">
        <f>IF(NFI_Expiration=1,IF($A301&lt;VLOOKUP(K$5,NFI,5,0),1,0)*Table_NFI[[#This Row],[Mosquito net]],Table_NFI[Mosquito net])</f>
        <v>0</v>
      </c>
      <c r="AC301" s="352">
        <f>IF(NFI_Expiration=1,IF($A301&lt;VLOOKUP(L$5,NFI,5,0),1,0)*Table_NFI[[#This Row],[Tarpaulin]],Table_NFI[[#This Row],[Tarpaulin]])</f>
        <v>0</v>
      </c>
      <c r="AD301" s="352">
        <f>IF(NFI_Expiration=1,IF($A301&lt;VLOOKUP(M$5,NFI,5,0),1,0)*Table_NFI[[#This Row],[Blanket]],Table_NFI[[#This Row],[Blanket]])</f>
        <v>0</v>
      </c>
      <c r="AE301" s="352">
        <f>IF(NFI_Expiration=1,IF($A301&lt;VLOOKUP(N$5,NFI,5,0),1,0)*Table_NFI[[#This Row],[Kitchen Set]],Table_NFI[Kitchen Set])</f>
        <v>0</v>
      </c>
      <c r="AF301" s="352">
        <f>IF(NFI_Expiration=1,IF($A301&lt;VLOOKUP(O$5,NFI,5,0),1,0)*Table_NFI[[#This Row],[Clothes Kit]],Table_NFI[Clothes Kit])</f>
        <v>0</v>
      </c>
      <c r="AG301" s="352">
        <f>IF(NFI_Expiration=1,IF($A301&lt;VLOOKUP(P$5,NFI,5,0),1,0)*Table_NFI[[#This Row],[Plastic Bucket]],Table_NFI[Plastic Bucket])</f>
        <v>0</v>
      </c>
      <c r="AH301" s="352">
        <f>IF(NFI_Expiration=1,IF($A301&lt;VLOOKUP(Q$5,NFI,5,0),1,0)*Table_NFI[[#This Row],[Plastic Mat]],Table_NFI[Plastic Mat])*IF(Table_NFI[[#This Row],[Distribution Date]]&gt;"2014-04-01",1,2.5)</f>
        <v>0</v>
      </c>
      <c r="AI301" s="352">
        <f>IF(NFI_Expiration=1,IF($A301&lt;VLOOKUP(R$5,NFI,5,0),1,0)*Table_NFI[[#This Row],[Winter Clothes Adult]],Table_NFI[Winter Clothes Adult])</f>
        <v>0</v>
      </c>
      <c r="AJ301" s="352">
        <f>IF(NFI_Expiration=1,IF($A301&lt;VLOOKUP(S$5,NFI,5,0),1,0)*Table_NFI[[#This Row],[Winter Clothes Children]],Table_NFI[Winter Clothes Children])</f>
        <v>0</v>
      </c>
      <c r="AK301" s="352">
        <f>IF(NFI_Expiration=1,IF($A301&lt;VLOOKUP(T$5,NFI,5,0),1,0)*Table_NFI[[#This Row],[Winter Items Other]],Table_NFI[Winter Items Other])</f>
        <v>0</v>
      </c>
      <c r="AL301" s="352">
        <f>IF(NFI_Expiration=1,IF($A301&lt;VLOOKUP(M$5,NFI,5,0),1,0)*Table_NFI[[#This Row],[Winter Blanket]],Table_NFI[[#This Row],[Winter Blanket]])</f>
        <v>0</v>
      </c>
      <c r="AM301" s="352">
        <f>IF(Table_NFI[[#This Row],[Winter Clothes Adult]]+Table_NFI[[#This Row],[Winter Clothes Children]]+Table_NFI[[#This Row],[Winter Items Other]]+Table_NFI[[#This Row],[Winter Blanket]]&gt;0,1,0)</f>
        <v>0</v>
      </c>
      <c r="AN301" s="392">
        <f>IF(NFI_Expiration=1,IF($A301&lt;VLOOKUP(V$5,NFI,5,0),1,0)*Table_NFI[[#This Row],[Jerry Can]],Table_NFI[Jerry Can])</f>
        <v>0</v>
      </c>
      <c r="AO301" s="540" t="str">
        <f>IFERROR(VLOOKUP(Table_NFI[[#This Row],[Camp Name]],CL,2,0),"")</f>
        <v>MMR001CMP056</v>
      </c>
      <c r="AP301" s="535">
        <f ca="1">IF(Table_NFI[[#This Row],[Pcode]]="","",IF(OFFSET(CampList[Opening Date],MATCH(Table_NFI[[#This Row],[Pcode]],CampList[CP_Pcode],0)-1,0,1,1)&gt;=NFI_Monitor_Date,1,0))</f>
        <v>0</v>
      </c>
      <c r="AQ301" s="540" t="str">
        <f>IFERROR(VLOOKUP(Table_NFI[[#This Row],[Camp Name]],CL,3,0),"")</f>
        <v>Open</v>
      </c>
      <c r="AR301" s="352" t="str">
        <f ca="1">IF(Table_NFI[[#This Row],[Pcode]]="","",OFFSET(CampList[Priority],MATCH(Table_NFI[[#This Row],[Pcode]],CampList[CP_Pcode],0)-1,0,1,1))</f>
        <v>P4</v>
      </c>
      <c r="AS301" s="351">
        <f>IFERROR(Table_NFI[[#This Row],[Kitchen Set]]/VLOOKUP(Table_NFI[[#This Row],[Camp Name]],CL,4,0),"")</f>
        <v>0</v>
      </c>
      <c r="AT301" s="533" t="s">
        <v>1094</v>
      </c>
      <c r="AU301" s="536"/>
    </row>
    <row r="302" spans="1:47" s="537" customFormat="1" ht="14.45" hidden="1" customHeight="1" x14ac:dyDescent="0.25">
      <c r="A302" s="355">
        <f t="shared" si="4"/>
        <v>29.266666666666666</v>
      </c>
      <c r="B302" s="532">
        <v>41693</v>
      </c>
      <c r="C302" s="533" t="s">
        <v>1106</v>
      </c>
      <c r="D302" s="533" t="s">
        <v>902</v>
      </c>
      <c r="E302" s="533" t="s">
        <v>380</v>
      </c>
      <c r="F302" s="533" t="s">
        <v>27</v>
      </c>
      <c r="G302" s="533" t="s">
        <v>365</v>
      </c>
      <c r="H302" s="349"/>
      <c r="I302" s="349"/>
      <c r="J302" s="349"/>
      <c r="K302" s="349"/>
      <c r="L302" s="350"/>
      <c r="M302" s="350"/>
      <c r="N302" s="350"/>
      <c r="O302" s="350"/>
      <c r="P302" s="352"/>
      <c r="Q302" s="352"/>
      <c r="R302" s="352"/>
      <c r="S302" s="352"/>
      <c r="T302" s="352"/>
      <c r="U302" s="352">
        <v>278</v>
      </c>
      <c r="V302" s="497"/>
      <c r="W302" s="352"/>
      <c r="X302" s="352"/>
      <c r="Y302" s="352">
        <f>IF(NFI_Expiration=1,IF($A302&lt;VLOOKUP(H$5,NFI,5,0),1,0)*Table_NFI[[#This Row],[Hygiene Kit]],Table_NFI[Hygiene Kit])</f>
        <v>0</v>
      </c>
      <c r="Z302" s="352">
        <f>IF(NFI_Expiration=1,IF($A302&lt;VLOOKUP(I$5,NFI,5,0),1,0)*Table_NFI[[#This Row],[NFI Core Kit]],Table_NFI[NFI Core Kit])</f>
        <v>0</v>
      </c>
      <c r="AA302" s="352">
        <f>IF(NFI_Expiration=1,IF($A302&lt;VLOOKUP(J$5,NFI,5,0),1,0)*Table_NFI[[#This Row],[Sanitary Kit]],Table_NFI[Sanitary Kit])</f>
        <v>0</v>
      </c>
      <c r="AB302" s="352">
        <f>IF(NFI_Expiration=1,IF($A302&lt;VLOOKUP(K$5,NFI,5,0),1,0)*Table_NFI[[#This Row],[Mosquito net]],Table_NFI[Mosquito net])</f>
        <v>0</v>
      </c>
      <c r="AC302" s="352">
        <f>IF(NFI_Expiration=1,IF($A302&lt;VLOOKUP(L$5,NFI,5,0),1,0)*Table_NFI[[#This Row],[Tarpaulin]],Table_NFI[[#This Row],[Tarpaulin]])</f>
        <v>0</v>
      </c>
      <c r="AD302" s="352">
        <f>IF(NFI_Expiration=1,IF($A302&lt;VLOOKUP(M$5,NFI,5,0),1,0)*Table_NFI[[#This Row],[Blanket]],Table_NFI[[#This Row],[Blanket]])</f>
        <v>0</v>
      </c>
      <c r="AE302" s="352">
        <f>IF(NFI_Expiration=1,IF($A302&lt;VLOOKUP(N$5,NFI,5,0),1,0)*Table_NFI[[#This Row],[Kitchen Set]],Table_NFI[Kitchen Set])</f>
        <v>0</v>
      </c>
      <c r="AF302" s="352">
        <f>IF(NFI_Expiration=1,IF($A302&lt;VLOOKUP(O$5,NFI,5,0),1,0)*Table_NFI[[#This Row],[Clothes Kit]],Table_NFI[Clothes Kit])</f>
        <v>0</v>
      </c>
      <c r="AG302" s="352">
        <f>IF(NFI_Expiration=1,IF($A302&lt;VLOOKUP(P$5,NFI,5,0),1,0)*Table_NFI[[#This Row],[Plastic Bucket]],Table_NFI[Plastic Bucket])</f>
        <v>0</v>
      </c>
      <c r="AH302" s="352">
        <f>IF(NFI_Expiration=1,IF($A302&lt;VLOOKUP(Q$5,NFI,5,0),1,0)*Table_NFI[[#This Row],[Plastic Mat]],Table_NFI[Plastic Mat])*IF(Table_NFI[[#This Row],[Distribution Date]]&gt;"2014-04-01",1,2.5)</f>
        <v>0</v>
      </c>
      <c r="AI302" s="352">
        <f>IF(NFI_Expiration=1,IF($A302&lt;VLOOKUP(R$5,NFI,5,0),1,0)*Table_NFI[[#This Row],[Winter Clothes Adult]],Table_NFI[Winter Clothes Adult])</f>
        <v>0</v>
      </c>
      <c r="AJ302" s="352">
        <f>IF(NFI_Expiration=1,IF($A302&lt;VLOOKUP(S$5,NFI,5,0),1,0)*Table_NFI[[#This Row],[Winter Clothes Children]],Table_NFI[Winter Clothes Children])</f>
        <v>0</v>
      </c>
      <c r="AK302" s="352">
        <f>IF(NFI_Expiration=1,IF($A302&lt;VLOOKUP(T$5,NFI,5,0),1,0)*Table_NFI[[#This Row],[Winter Items Other]],Table_NFI[Winter Items Other])</f>
        <v>0</v>
      </c>
      <c r="AL302" s="352">
        <f>IF(NFI_Expiration=1,IF($A302&lt;VLOOKUP(M$5,NFI,5,0),1,0)*Table_NFI[[#This Row],[Winter Blanket]],Table_NFI[[#This Row],[Winter Blanket]])</f>
        <v>0</v>
      </c>
      <c r="AM302" s="352">
        <f>IF(Table_NFI[[#This Row],[Winter Clothes Adult]]+Table_NFI[[#This Row],[Winter Clothes Children]]+Table_NFI[[#This Row],[Winter Items Other]]+Table_NFI[[#This Row],[Winter Blanket]]&gt;0,1,0)</f>
        <v>1</v>
      </c>
      <c r="AN302" s="392">
        <f>IF(NFI_Expiration=1,IF($A302&lt;VLOOKUP(V$5,NFI,5,0),1,0)*Table_NFI[[#This Row],[Jerry Can]],Table_NFI[Jerry Can])</f>
        <v>0</v>
      </c>
      <c r="AO302" s="540" t="str">
        <f>IFERROR(VLOOKUP(Table_NFI[[#This Row],[Camp Name]],CL,2,0),"")</f>
        <v>MMR001CMP195</v>
      </c>
      <c r="AP302" s="535">
        <f ca="1">IF(Table_NFI[[#This Row],[Pcode]]="","",IF(OFFSET(CampList[Opening Date],MATCH(Table_NFI[[#This Row],[Pcode]],CampList[CP_Pcode],0)-1,0,1,1)&gt;=NFI_Monitor_Date,1,0))</f>
        <v>0</v>
      </c>
      <c r="AQ302" s="540" t="str">
        <f>IFERROR(VLOOKUP(Table_NFI[[#This Row],[Camp Name]],CL,3,0),"")</f>
        <v>Open</v>
      </c>
      <c r="AR302" s="352" t="str">
        <f ca="1">IF(Table_NFI[[#This Row],[Pcode]]="","",OFFSET(CampList[Priority],MATCH(Table_NFI[[#This Row],[Pcode]],CampList[CP_Pcode],0)-1,0,1,1))</f>
        <v>P1</v>
      </c>
      <c r="AS302" s="351">
        <f>IFERROR(Table_NFI[[#This Row],[Kitchen Set]]/VLOOKUP(Table_NFI[[#This Row],[Camp Name]],CL,4,0),"")</f>
        <v>0</v>
      </c>
      <c r="AT302" s="533"/>
      <c r="AU302" s="536"/>
    </row>
    <row r="303" spans="1:47" s="537" customFormat="1" hidden="1" x14ac:dyDescent="0.25">
      <c r="A303" s="355">
        <f t="shared" si="4"/>
        <v>32.1</v>
      </c>
      <c r="B303" s="532">
        <v>41608</v>
      </c>
      <c r="C303" s="533" t="s">
        <v>907</v>
      </c>
      <c r="D303" s="533" t="s">
        <v>461</v>
      </c>
      <c r="E303" s="533" t="s">
        <v>380</v>
      </c>
      <c r="F303" s="348" t="s">
        <v>27</v>
      </c>
      <c r="G303" s="348" t="s">
        <v>365</v>
      </c>
      <c r="H303" s="349"/>
      <c r="I303" s="349"/>
      <c r="J303" s="349"/>
      <c r="K303" s="349"/>
      <c r="L303" s="350"/>
      <c r="M303" s="350"/>
      <c r="N303" s="350"/>
      <c r="O303" s="350"/>
      <c r="P303" s="352"/>
      <c r="Q303" s="352"/>
      <c r="R303" s="352"/>
      <c r="S303" s="352"/>
      <c r="T303" s="352"/>
      <c r="U303" s="352"/>
      <c r="V303" s="497"/>
      <c r="W303" s="352"/>
      <c r="X303" s="352"/>
      <c r="Y303" s="352">
        <f>IF(NFI_Expiration=1,IF($A303&lt;VLOOKUP(H$5,NFI,5,0),1,0)*Table_NFI[[#This Row],[Hygiene Kit]],Table_NFI[Hygiene Kit])</f>
        <v>0</v>
      </c>
      <c r="Z303" s="352">
        <f>IF(NFI_Expiration=1,IF($A303&lt;VLOOKUP(I$5,NFI,5,0),1,0)*Table_NFI[[#This Row],[NFI Core Kit]],Table_NFI[NFI Core Kit])</f>
        <v>0</v>
      </c>
      <c r="AA303" s="352">
        <f>IF(NFI_Expiration=1,IF($A303&lt;VLOOKUP(J$5,NFI,5,0),1,0)*Table_NFI[[#This Row],[Sanitary Kit]],Table_NFI[Sanitary Kit])</f>
        <v>0</v>
      </c>
      <c r="AB303" s="352">
        <f>IF(NFI_Expiration=1,IF($A303&lt;VLOOKUP(K$5,NFI,5,0),1,0)*Table_NFI[[#This Row],[Mosquito net]],Table_NFI[Mosquito net])</f>
        <v>0</v>
      </c>
      <c r="AC303" s="352">
        <f>IF(NFI_Expiration=1,IF($A303&lt;VLOOKUP(L$5,NFI,5,0),1,0)*Table_NFI[[#This Row],[Tarpaulin]],Table_NFI[[#This Row],[Tarpaulin]])</f>
        <v>0</v>
      </c>
      <c r="AD303" s="352">
        <f>IF(NFI_Expiration=1,IF($A303&lt;VLOOKUP(M$5,NFI,5,0),1,0)*Table_NFI[[#This Row],[Blanket]],Table_NFI[[#This Row],[Blanket]])</f>
        <v>0</v>
      </c>
      <c r="AE303" s="352">
        <f>IF(NFI_Expiration=1,IF($A303&lt;VLOOKUP(N$5,NFI,5,0),1,0)*Table_NFI[[#This Row],[Kitchen Set]],Table_NFI[Kitchen Set])</f>
        <v>0</v>
      </c>
      <c r="AF303" s="352">
        <f>IF(NFI_Expiration=1,IF($A303&lt;VLOOKUP(O$5,NFI,5,0),1,0)*Table_NFI[[#This Row],[Clothes Kit]],Table_NFI[Clothes Kit])</f>
        <v>0</v>
      </c>
      <c r="AG303" s="352">
        <f>IF(NFI_Expiration=1,IF($A303&lt;VLOOKUP(P$5,NFI,5,0),1,0)*Table_NFI[[#This Row],[Plastic Bucket]],Table_NFI[Plastic Bucket])</f>
        <v>0</v>
      </c>
      <c r="AH303" s="352">
        <f>IF(NFI_Expiration=1,IF($A303&lt;VLOOKUP(Q$5,NFI,5,0),1,0)*Table_NFI[[#This Row],[Plastic Mat]],Table_NFI[Plastic Mat])*IF(Table_NFI[[#This Row],[Distribution Date]]&gt;"2014-04-01",1,2.5)</f>
        <v>0</v>
      </c>
      <c r="AI303" s="352">
        <f>IF(NFI_Expiration=1,IF($A303&lt;VLOOKUP(R$5,NFI,5,0),1,0)*Table_NFI[[#This Row],[Winter Clothes Adult]],Table_NFI[Winter Clothes Adult])</f>
        <v>0</v>
      </c>
      <c r="AJ303" s="352">
        <f>IF(NFI_Expiration=1,IF($A303&lt;VLOOKUP(S$5,NFI,5,0),1,0)*Table_NFI[[#This Row],[Winter Clothes Children]],Table_NFI[Winter Clothes Children])</f>
        <v>0</v>
      </c>
      <c r="AK303" s="352">
        <f>IF(NFI_Expiration=1,IF($A303&lt;VLOOKUP(T$5,NFI,5,0),1,0)*Table_NFI[[#This Row],[Winter Items Other]],Table_NFI[Winter Items Other])</f>
        <v>0</v>
      </c>
      <c r="AL303" s="352">
        <f>IF(NFI_Expiration=1,IF($A303&lt;VLOOKUP(M$5,NFI,5,0),1,0)*Table_NFI[[#This Row],[Winter Blanket]],Table_NFI[[#This Row],[Winter Blanket]])</f>
        <v>0</v>
      </c>
      <c r="AM303" s="352">
        <f>IF(Table_NFI[[#This Row],[Winter Clothes Adult]]+Table_NFI[[#This Row],[Winter Clothes Children]]+Table_NFI[[#This Row],[Winter Items Other]]+Table_NFI[[#This Row],[Winter Blanket]]&gt;0,1,0)</f>
        <v>0</v>
      </c>
      <c r="AN303" s="392">
        <f>IF(NFI_Expiration=1,IF($A303&lt;VLOOKUP(V$5,NFI,5,0),1,0)*Table_NFI[[#This Row],[Jerry Can]],Table_NFI[Jerry Can])</f>
        <v>0</v>
      </c>
      <c r="AO303" s="540" t="str">
        <f>IFERROR(VLOOKUP(Table_NFI[[#This Row],[Camp Name]],CL,2,0),"")</f>
        <v>MMR001CMP195</v>
      </c>
      <c r="AP303" s="535">
        <f ca="1">IF(Table_NFI[[#This Row],[Pcode]]="","",IF(OFFSET(CampList[Opening Date],MATCH(Table_NFI[[#This Row],[Pcode]],CampList[CP_Pcode],0)-1,0,1,1)&gt;=NFI_Monitor_Date,1,0))</f>
        <v>0</v>
      </c>
      <c r="AQ303" s="540" t="str">
        <f>IFERROR(VLOOKUP(Table_NFI[[#This Row],[Camp Name]],CL,3,0),"")</f>
        <v>Open</v>
      </c>
      <c r="AR303" s="352" t="str">
        <f ca="1">IF(Table_NFI[[#This Row],[Pcode]]="","",OFFSET(CampList[Priority],MATCH(Table_NFI[[#This Row],[Pcode]],CampList[CP_Pcode],0)-1,0,1,1))</f>
        <v>P1</v>
      </c>
      <c r="AS303" s="351">
        <f>IFERROR(Table_NFI[[#This Row],[Kitchen Set]]/VLOOKUP(Table_NFI[[#This Row],[Camp Name]],CL,4,0),"")</f>
        <v>0</v>
      </c>
      <c r="AT303" s="533" t="s">
        <v>1094</v>
      </c>
      <c r="AU303" s="536"/>
    </row>
    <row r="304" spans="1:47" s="537" customFormat="1" ht="14.45" hidden="1" customHeight="1" x14ac:dyDescent="0.25">
      <c r="A304" s="355">
        <f t="shared" si="4"/>
        <v>38.5</v>
      </c>
      <c r="B304" s="532">
        <v>41416</v>
      </c>
      <c r="C304" s="533" t="s">
        <v>903</v>
      </c>
      <c r="D304" s="534" t="s">
        <v>507</v>
      </c>
      <c r="E304" s="533" t="s">
        <v>380</v>
      </c>
      <c r="F304" s="348" t="s">
        <v>27</v>
      </c>
      <c r="G304" s="348" t="s">
        <v>365</v>
      </c>
      <c r="H304" s="349">
        <v>35</v>
      </c>
      <c r="I304" s="349"/>
      <c r="J304" s="349"/>
      <c r="K304" s="349"/>
      <c r="L304" s="350"/>
      <c r="M304" s="350"/>
      <c r="N304" s="350"/>
      <c r="O304" s="350"/>
      <c r="P304" s="352"/>
      <c r="Q304" s="352"/>
      <c r="R304" s="352"/>
      <c r="S304" s="352"/>
      <c r="T304" s="352"/>
      <c r="U304" s="352"/>
      <c r="V304" s="497"/>
      <c r="W304" s="352"/>
      <c r="X304" s="352"/>
      <c r="Y304" s="352">
        <f>IF(NFI_Expiration=1,IF($A304&lt;VLOOKUP(H$5,NFI,5,0),1,0)*Table_NFI[[#This Row],[Hygiene Kit]],Table_NFI[Hygiene Kit])</f>
        <v>0</v>
      </c>
      <c r="Z304" s="352">
        <f>IF(NFI_Expiration=1,IF($A304&lt;VLOOKUP(I$5,NFI,5,0),1,0)*Table_NFI[[#This Row],[NFI Core Kit]],Table_NFI[NFI Core Kit])</f>
        <v>0</v>
      </c>
      <c r="AA304" s="352">
        <f>IF(NFI_Expiration=1,IF($A304&lt;VLOOKUP(J$5,NFI,5,0),1,0)*Table_NFI[[#This Row],[Sanitary Kit]],Table_NFI[Sanitary Kit])</f>
        <v>0</v>
      </c>
      <c r="AB304" s="352">
        <f>IF(NFI_Expiration=1,IF($A304&lt;VLOOKUP(K$5,NFI,5,0),1,0)*Table_NFI[[#This Row],[Mosquito net]],Table_NFI[Mosquito net])</f>
        <v>0</v>
      </c>
      <c r="AC304" s="352">
        <f>IF(NFI_Expiration=1,IF($A304&lt;VLOOKUP(L$5,NFI,5,0),1,0)*Table_NFI[[#This Row],[Tarpaulin]],Table_NFI[[#This Row],[Tarpaulin]])</f>
        <v>0</v>
      </c>
      <c r="AD304" s="352">
        <f>IF(NFI_Expiration=1,IF($A304&lt;VLOOKUP(M$5,NFI,5,0),1,0)*Table_NFI[[#This Row],[Blanket]],Table_NFI[[#This Row],[Blanket]])</f>
        <v>0</v>
      </c>
      <c r="AE304" s="352">
        <f>IF(NFI_Expiration=1,IF($A304&lt;VLOOKUP(N$5,NFI,5,0),1,0)*Table_NFI[[#This Row],[Kitchen Set]],Table_NFI[Kitchen Set])</f>
        <v>0</v>
      </c>
      <c r="AF304" s="352">
        <f>IF(NFI_Expiration=1,IF($A304&lt;VLOOKUP(O$5,NFI,5,0),1,0)*Table_NFI[[#This Row],[Clothes Kit]],Table_NFI[Clothes Kit])</f>
        <v>0</v>
      </c>
      <c r="AG304" s="352">
        <f>IF(NFI_Expiration=1,IF($A304&lt;VLOOKUP(P$5,NFI,5,0),1,0)*Table_NFI[[#This Row],[Plastic Bucket]],Table_NFI[Plastic Bucket])</f>
        <v>0</v>
      </c>
      <c r="AH304" s="352">
        <f>IF(NFI_Expiration=1,IF($A304&lt;VLOOKUP(Q$5,NFI,5,0),1,0)*Table_NFI[[#This Row],[Plastic Mat]],Table_NFI[Plastic Mat])*IF(Table_NFI[[#This Row],[Distribution Date]]&gt;"2014-04-01",1,2.5)</f>
        <v>0</v>
      </c>
      <c r="AI304" s="352">
        <f>IF(NFI_Expiration=1,IF($A304&lt;VLOOKUP(R$5,NFI,5,0),1,0)*Table_NFI[[#This Row],[Winter Clothes Adult]],Table_NFI[Winter Clothes Adult])</f>
        <v>0</v>
      </c>
      <c r="AJ304" s="352">
        <f>IF(NFI_Expiration=1,IF($A304&lt;VLOOKUP(S$5,NFI,5,0),1,0)*Table_NFI[[#This Row],[Winter Clothes Children]],Table_NFI[Winter Clothes Children])</f>
        <v>0</v>
      </c>
      <c r="AK304" s="352">
        <f>IF(NFI_Expiration=1,IF($A304&lt;VLOOKUP(T$5,NFI,5,0),1,0)*Table_NFI[[#This Row],[Winter Items Other]],Table_NFI[Winter Items Other])</f>
        <v>0</v>
      </c>
      <c r="AL304" s="352">
        <f>IF(NFI_Expiration=1,IF($A304&lt;VLOOKUP(M$5,NFI,5,0),1,0)*Table_NFI[[#This Row],[Winter Blanket]],Table_NFI[[#This Row],[Winter Blanket]])</f>
        <v>0</v>
      </c>
      <c r="AM304" s="352">
        <f>IF(Table_NFI[[#This Row],[Winter Clothes Adult]]+Table_NFI[[#This Row],[Winter Clothes Children]]+Table_NFI[[#This Row],[Winter Items Other]]+Table_NFI[[#This Row],[Winter Blanket]]&gt;0,1,0)</f>
        <v>0</v>
      </c>
      <c r="AN304" s="392">
        <f>IF(NFI_Expiration=1,IF($A304&lt;VLOOKUP(V$5,NFI,5,0),1,0)*Table_NFI[[#This Row],[Jerry Can]],Table_NFI[Jerry Can])</f>
        <v>0</v>
      </c>
      <c r="AO304" s="540" t="str">
        <f>IFERROR(VLOOKUP(Table_NFI[[#This Row],[Camp Name]],CL,2,0),"")</f>
        <v>MMR001CMP195</v>
      </c>
      <c r="AP304" s="535">
        <f ca="1">IF(Table_NFI[[#This Row],[Pcode]]="","",IF(OFFSET(CampList[Opening Date],MATCH(Table_NFI[[#This Row],[Pcode]],CampList[CP_Pcode],0)-1,0,1,1)&gt;=NFI_Monitor_Date,1,0))</f>
        <v>0</v>
      </c>
      <c r="AQ304" s="540" t="str">
        <f>IFERROR(VLOOKUP(Table_NFI[[#This Row],[Camp Name]],CL,3,0),"")</f>
        <v>Open</v>
      </c>
      <c r="AR304" s="352" t="str">
        <f ca="1">IF(Table_NFI[[#This Row],[Pcode]]="","",OFFSET(CampList[Priority],MATCH(Table_NFI[[#This Row],[Pcode]],CampList[CP_Pcode],0)-1,0,1,1))</f>
        <v>P1</v>
      </c>
      <c r="AS304" s="351">
        <f>IFERROR(Table_NFI[[#This Row],[Kitchen Set]]/VLOOKUP(Table_NFI[[#This Row],[Camp Name]],CL,4,0),"")</f>
        <v>0</v>
      </c>
      <c r="AT304" s="533" t="s">
        <v>1094</v>
      </c>
      <c r="AU304" s="536"/>
    </row>
    <row r="305" spans="1:47" s="537" customFormat="1" ht="14.45" customHeight="1" x14ac:dyDescent="0.25">
      <c r="A305" s="355">
        <f t="shared" si="4"/>
        <v>26.166666666666668</v>
      </c>
      <c r="B305" s="532">
        <v>41786</v>
      </c>
      <c r="C305" s="533" t="s">
        <v>453</v>
      </c>
      <c r="D305" s="533" t="s">
        <v>506</v>
      </c>
      <c r="E305" s="533" t="s">
        <v>380</v>
      </c>
      <c r="F305" s="533" t="s">
        <v>27</v>
      </c>
      <c r="G305" s="533" t="s">
        <v>28</v>
      </c>
      <c r="H305" s="349"/>
      <c r="I305" s="349"/>
      <c r="J305" s="349">
        <v>36</v>
      </c>
      <c r="K305" s="349">
        <v>18</v>
      </c>
      <c r="L305" s="350">
        <v>36</v>
      </c>
      <c r="M305" s="350">
        <v>18</v>
      </c>
      <c r="N305" s="350"/>
      <c r="O305" s="350">
        <v>18</v>
      </c>
      <c r="P305" s="352">
        <v>90</v>
      </c>
      <c r="Q305" s="352"/>
      <c r="R305" s="352"/>
      <c r="S305" s="352"/>
      <c r="T305" s="352"/>
      <c r="U305" s="352"/>
      <c r="V305" s="497"/>
      <c r="W305" s="352"/>
      <c r="X305" s="352"/>
      <c r="Y305" s="352">
        <f>IF(NFI_Expiration=1,IF($A305&lt;VLOOKUP(H$5,NFI,5,0),1,0)*Table_NFI[[#This Row],[Hygiene Kit]],Table_NFI[Hygiene Kit])</f>
        <v>0</v>
      </c>
      <c r="Z305" s="352">
        <f>IF(NFI_Expiration=1,IF($A305&lt;VLOOKUP(I$5,NFI,5,0),1,0)*Table_NFI[[#This Row],[NFI Core Kit]],Table_NFI[NFI Core Kit])</f>
        <v>0</v>
      </c>
      <c r="AA305" s="352">
        <f>IF(NFI_Expiration=1,IF($A305&lt;VLOOKUP(J$5,NFI,5,0),1,0)*Table_NFI[[#This Row],[Sanitary Kit]],Table_NFI[Sanitary Kit])</f>
        <v>0</v>
      </c>
      <c r="AB305" s="352">
        <f>IF(NFI_Expiration=1,IF($A305&lt;VLOOKUP(K$5,NFI,5,0),1,0)*Table_NFI[[#This Row],[Mosquito net]],Table_NFI[Mosquito net])</f>
        <v>0</v>
      </c>
      <c r="AC305" s="352">
        <f>IF(NFI_Expiration=1,IF($A305&lt;VLOOKUP(L$5,NFI,5,0),1,0)*Table_NFI[[#This Row],[Tarpaulin]],Table_NFI[[#This Row],[Tarpaulin]])</f>
        <v>0</v>
      </c>
      <c r="AD305" s="352">
        <f>IF(NFI_Expiration=1,IF($A305&lt;VLOOKUP(M$5,NFI,5,0),1,0)*Table_NFI[[#This Row],[Blanket]],Table_NFI[[#This Row],[Blanket]])</f>
        <v>0</v>
      </c>
      <c r="AE305" s="352">
        <f>IF(NFI_Expiration=1,IF($A305&lt;VLOOKUP(N$5,NFI,5,0),1,0)*Table_NFI[[#This Row],[Kitchen Set]],Table_NFI[Kitchen Set])</f>
        <v>0</v>
      </c>
      <c r="AF305" s="352">
        <f>IF(NFI_Expiration=1,IF($A305&lt;VLOOKUP(O$5,NFI,5,0),1,0)*Table_NFI[[#This Row],[Clothes Kit]],Table_NFI[Clothes Kit])</f>
        <v>0</v>
      </c>
      <c r="AG305" s="352">
        <f>IF(NFI_Expiration=1,IF($A305&lt;VLOOKUP(P$5,NFI,5,0),1,0)*Table_NFI[[#This Row],[Plastic Bucket]],Table_NFI[Plastic Bucket])</f>
        <v>0</v>
      </c>
      <c r="AH305" s="352">
        <f>IF(NFI_Expiration=1,IF($A305&lt;VLOOKUP(Q$5,NFI,5,0),1,0)*Table_NFI[[#This Row],[Plastic Mat]],Table_NFI[Plastic Mat])*IF(Table_NFI[[#This Row],[Distribution Date]]&gt;"2014-04-01",1,2.5)</f>
        <v>0</v>
      </c>
      <c r="AI305" s="352">
        <f>IF(NFI_Expiration=1,IF($A305&lt;VLOOKUP(R$5,NFI,5,0),1,0)*Table_NFI[[#This Row],[Winter Clothes Adult]],Table_NFI[Winter Clothes Adult])</f>
        <v>0</v>
      </c>
      <c r="AJ305" s="352">
        <f>IF(NFI_Expiration=1,IF($A305&lt;VLOOKUP(S$5,NFI,5,0),1,0)*Table_NFI[[#This Row],[Winter Clothes Children]],Table_NFI[Winter Clothes Children])</f>
        <v>0</v>
      </c>
      <c r="AK305" s="352">
        <f>IF(NFI_Expiration=1,IF($A305&lt;VLOOKUP(T$5,NFI,5,0),1,0)*Table_NFI[[#This Row],[Winter Items Other]],Table_NFI[Winter Items Other])</f>
        <v>0</v>
      </c>
      <c r="AL305" s="352">
        <f>IF(NFI_Expiration=1,IF($A305&lt;VLOOKUP(M$5,NFI,5,0),1,0)*Table_NFI[[#This Row],[Winter Blanket]],Table_NFI[[#This Row],[Winter Blanket]])</f>
        <v>0</v>
      </c>
      <c r="AM305" s="352">
        <f>IF(Table_NFI[[#This Row],[Winter Clothes Adult]]+Table_NFI[[#This Row],[Winter Clothes Children]]+Table_NFI[[#This Row],[Winter Items Other]]+Table_NFI[[#This Row],[Winter Blanket]]&gt;0,1,0)</f>
        <v>0</v>
      </c>
      <c r="AN305" s="392">
        <f>IF(NFI_Expiration=1,IF($A305&lt;VLOOKUP(V$5,NFI,5,0),1,0)*Table_NFI[[#This Row],[Jerry Can]],Table_NFI[Jerry Can])</f>
        <v>0</v>
      </c>
      <c r="AO305" s="540" t="str">
        <f>IFERROR(VLOOKUP(Table_NFI[[#This Row],[Camp Name]],CL,2,0),"")</f>
        <v>MMR001CMP042</v>
      </c>
      <c r="AP305" s="535">
        <f ca="1">IF(Table_NFI[[#This Row],[Pcode]]="","",IF(OFFSET(CampList[Opening Date],MATCH(Table_NFI[[#This Row],[Pcode]],CampList[CP_Pcode],0)-1,0,1,1)&gt;=NFI_Monitor_Date,1,0))</f>
        <v>0</v>
      </c>
      <c r="AQ305" s="540" t="str">
        <f>IFERROR(VLOOKUP(Table_NFI[[#This Row],[Camp Name]],CL,3,0),"")</f>
        <v>Open</v>
      </c>
      <c r="AR305" s="352" t="str">
        <f ca="1">IF(Table_NFI[[#This Row],[Pcode]]="","",OFFSET(CampList[Priority],MATCH(Table_NFI[[#This Row],[Pcode]],CampList[CP_Pcode],0)-1,0,1,1))</f>
        <v>P1</v>
      </c>
      <c r="AS305" s="351">
        <f>IFERROR(Table_NFI[[#This Row],[Kitchen Set]]/VLOOKUP(Table_NFI[[#This Row],[Camp Name]],CL,4,0),"")</f>
        <v>0</v>
      </c>
      <c r="AT305" s="533"/>
      <c r="AU305" s="536"/>
    </row>
    <row r="306" spans="1:47" s="537" customFormat="1" ht="14.45" customHeight="1" x14ac:dyDescent="0.25">
      <c r="A306" s="355">
        <f t="shared" si="4"/>
        <v>26.166666666666668</v>
      </c>
      <c r="B306" s="532">
        <v>41786</v>
      </c>
      <c r="C306" s="533" t="s">
        <v>453</v>
      </c>
      <c r="D306" s="533" t="s">
        <v>506</v>
      </c>
      <c r="E306" s="533" t="s">
        <v>380</v>
      </c>
      <c r="F306" s="533" t="s">
        <v>310</v>
      </c>
      <c r="G306" s="533" t="s">
        <v>313</v>
      </c>
      <c r="H306" s="349"/>
      <c r="I306" s="349"/>
      <c r="J306" s="349">
        <v>2</v>
      </c>
      <c r="K306" s="349">
        <v>1</v>
      </c>
      <c r="L306" s="350">
        <v>2</v>
      </c>
      <c r="M306" s="350">
        <v>1</v>
      </c>
      <c r="N306" s="350"/>
      <c r="O306" s="350">
        <v>1</v>
      </c>
      <c r="P306" s="352">
        <v>5</v>
      </c>
      <c r="Q306" s="352"/>
      <c r="R306" s="352"/>
      <c r="S306" s="352"/>
      <c r="T306" s="352"/>
      <c r="U306" s="352"/>
      <c r="V306" s="497"/>
      <c r="W306" s="352"/>
      <c r="X306" s="352"/>
      <c r="Y306" s="352">
        <f>IF(NFI_Expiration=1,IF($A306&lt;VLOOKUP(H$5,NFI,5,0),1,0)*Table_NFI[[#This Row],[Hygiene Kit]],Table_NFI[Hygiene Kit])</f>
        <v>0</v>
      </c>
      <c r="Z306" s="352">
        <f>IF(NFI_Expiration=1,IF($A306&lt;VLOOKUP(I$5,NFI,5,0),1,0)*Table_NFI[[#This Row],[NFI Core Kit]],Table_NFI[NFI Core Kit])</f>
        <v>0</v>
      </c>
      <c r="AA306" s="352">
        <f>IF(NFI_Expiration=1,IF($A306&lt;VLOOKUP(J$5,NFI,5,0),1,0)*Table_NFI[[#This Row],[Sanitary Kit]],Table_NFI[Sanitary Kit])</f>
        <v>0</v>
      </c>
      <c r="AB306" s="352">
        <f>IF(NFI_Expiration=1,IF($A306&lt;VLOOKUP(K$5,NFI,5,0),1,0)*Table_NFI[[#This Row],[Mosquito net]],Table_NFI[Mosquito net])</f>
        <v>0</v>
      </c>
      <c r="AC306" s="352">
        <f>IF(NFI_Expiration=1,IF($A306&lt;VLOOKUP(L$5,NFI,5,0),1,0)*Table_NFI[[#This Row],[Tarpaulin]],Table_NFI[[#This Row],[Tarpaulin]])</f>
        <v>0</v>
      </c>
      <c r="AD306" s="352">
        <f>IF(NFI_Expiration=1,IF($A306&lt;VLOOKUP(M$5,NFI,5,0),1,0)*Table_NFI[[#This Row],[Blanket]],Table_NFI[[#This Row],[Blanket]])</f>
        <v>0</v>
      </c>
      <c r="AE306" s="352">
        <f>IF(NFI_Expiration=1,IF($A306&lt;VLOOKUP(N$5,NFI,5,0),1,0)*Table_NFI[[#This Row],[Kitchen Set]],Table_NFI[Kitchen Set])</f>
        <v>0</v>
      </c>
      <c r="AF306" s="352">
        <f>IF(NFI_Expiration=1,IF($A306&lt;VLOOKUP(O$5,NFI,5,0),1,0)*Table_NFI[[#This Row],[Clothes Kit]],Table_NFI[Clothes Kit])</f>
        <v>0</v>
      </c>
      <c r="AG306" s="352">
        <f>IF(NFI_Expiration=1,IF($A306&lt;VLOOKUP(P$5,NFI,5,0),1,0)*Table_NFI[[#This Row],[Plastic Bucket]],Table_NFI[Plastic Bucket])</f>
        <v>0</v>
      </c>
      <c r="AH306" s="352">
        <f>IF(NFI_Expiration=1,IF($A306&lt;VLOOKUP(Q$5,NFI,5,0),1,0)*Table_NFI[[#This Row],[Plastic Mat]],Table_NFI[Plastic Mat])*IF(Table_NFI[[#This Row],[Distribution Date]]&gt;"2014-04-01",1,2.5)</f>
        <v>0</v>
      </c>
      <c r="AI306" s="352">
        <f>IF(NFI_Expiration=1,IF($A306&lt;VLOOKUP(R$5,NFI,5,0),1,0)*Table_NFI[[#This Row],[Winter Clothes Adult]],Table_NFI[Winter Clothes Adult])</f>
        <v>0</v>
      </c>
      <c r="AJ306" s="352">
        <f>IF(NFI_Expiration=1,IF($A306&lt;VLOOKUP(S$5,NFI,5,0),1,0)*Table_NFI[[#This Row],[Winter Clothes Children]],Table_NFI[Winter Clothes Children])</f>
        <v>0</v>
      </c>
      <c r="AK306" s="352">
        <f>IF(NFI_Expiration=1,IF($A306&lt;VLOOKUP(T$5,NFI,5,0),1,0)*Table_NFI[[#This Row],[Winter Items Other]],Table_NFI[Winter Items Other])</f>
        <v>0</v>
      </c>
      <c r="AL306" s="352">
        <f>IF(NFI_Expiration=1,IF($A306&lt;VLOOKUP(M$5,NFI,5,0),1,0)*Table_NFI[[#This Row],[Winter Blanket]],Table_NFI[[#This Row],[Winter Blanket]])</f>
        <v>0</v>
      </c>
      <c r="AM306" s="352">
        <f>IF(Table_NFI[[#This Row],[Winter Clothes Adult]]+Table_NFI[[#This Row],[Winter Clothes Children]]+Table_NFI[[#This Row],[Winter Items Other]]+Table_NFI[[#This Row],[Winter Blanket]]&gt;0,1,0)</f>
        <v>0</v>
      </c>
      <c r="AN306" s="392">
        <f>IF(NFI_Expiration=1,IF($A306&lt;VLOOKUP(V$5,NFI,5,0),1,0)*Table_NFI[[#This Row],[Jerry Can]],Table_NFI[Jerry Can])</f>
        <v>0</v>
      </c>
      <c r="AO306" s="540" t="str">
        <f>IFERROR(VLOOKUP(Table_NFI[[#This Row],[Camp Name]],CL,2,0),"")</f>
        <v>MMR001CMP028</v>
      </c>
      <c r="AP306" s="535">
        <f ca="1">IF(Table_NFI[[#This Row],[Pcode]]="","",IF(OFFSET(CampList[Opening Date],MATCH(Table_NFI[[#This Row],[Pcode]],CampList[CP_Pcode],0)-1,0,1,1)&gt;=NFI_Monitor_Date,1,0))</f>
        <v>0</v>
      </c>
      <c r="AQ306" s="540" t="str">
        <f>IFERROR(VLOOKUP(Table_NFI[[#This Row],[Camp Name]],CL,3,0),"")</f>
        <v>Open</v>
      </c>
      <c r="AR306" s="352" t="str">
        <f ca="1">IF(Table_NFI[[#This Row],[Pcode]]="","",OFFSET(CampList[Priority],MATCH(Table_NFI[[#This Row],[Pcode]],CampList[CP_Pcode],0)-1,0,1,1))</f>
        <v>P4</v>
      </c>
      <c r="AS306" s="351">
        <f>IFERROR(Table_NFI[[#This Row],[Kitchen Set]]/VLOOKUP(Table_NFI[[#This Row],[Camp Name]],CL,4,0),"")</f>
        <v>0</v>
      </c>
      <c r="AT306" s="533"/>
      <c r="AU306" s="536"/>
    </row>
    <row r="307" spans="1:47" s="537" customFormat="1" ht="14.45" customHeight="1" x14ac:dyDescent="0.25">
      <c r="A307" s="355">
        <f t="shared" si="4"/>
        <v>26.166666666666668</v>
      </c>
      <c r="B307" s="532">
        <v>41786</v>
      </c>
      <c r="C307" s="533" t="s">
        <v>453</v>
      </c>
      <c r="D307" s="533" t="s">
        <v>506</v>
      </c>
      <c r="E307" s="533" t="s">
        <v>380</v>
      </c>
      <c r="F307" s="533" t="s">
        <v>310</v>
      </c>
      <c r="G307" s="533" t="s">
        <v>328</v>
      </c>
      <c r="H307" s="349"/>
      <c r="I307" s="349"/>
      <c r="J307" s="349">
        <v>50</v>
      </c>
      <c r="K307" s="349">
        <v>25</v>
      </c>
      <c r="L307" s="350">
        <v>50</v>
      </c>
      <c r="M307" s="350">
        <v>25</v>
      </c>
      <c r="N307" s="350"/>
      <c r="O307" s="350">
        <v>25</v>
      </c>
      <c r="P307" s="352">
        <v>125</v>
      </c>
      <c r="Q307" s="352"/>
      <c r="R307" s="352"/>
      <c r="S307" s="352"/>
      <c r="T307" s="352"/>
      <c r="U307" s="352"/>
      <c r="V307" s="497"/>
      <c r="W307" s="352"/>
      <c r="X307" s="352"/>
      <c r="Y307" s="352">
        <f>IF(NFI_Expiration=1,IF($A307&lt;VLOOKUP(H$5,NFI,5,0),1,0)*Table_NFI[[#This Row],[Hygiene Kit]],Table_NFI[Hygiene Kit])</f>
        <v>0</v>
      </c>
      <c r="Z307" s="352">
        <f>IF(NFI_Expiration=1,IF($A307&lt;VLOOKUP(I$5,NFI,5,0),1,0)*Table_NFI[[#This Row],[NFI Core Kit]],Table_NFI[NFI Core Kit])</f>
        <v>0</v>
      </c>
      <c r="AA307" s="352">
        <f>IF(NFI_Expiration=1,IF($A307&lt;VLOOKUP(J$5,NFI,5,0),1,0)*Table_NFI[[#This Row],[Sanitary Kit]],Table_NFI[Sanitary Kit])</f>
        <v>0</v>
      </c>
      <c r="AB307" s="352">
        <f>IF(NFI_Expiration=1,IF($A307&lt;VLOOKUP(K$5,NFI,5,0),1,0)*Table_NFI[[#This Row],[Mosquito net]],Table_NFI[Mosquito net])</f>
        <v>0</v>
      </c>
      <c r="AC307" s="352">
        <f>IF(NFI_Expiration=1,IF($A307&lt;VLOOKUP(L$5,NFI,5,0),1,0)*Table_NFI[[#This Row],[Tarpaulin]],Table_NFI[[#This Row],[Tarpaulin]])</f>
        <v>0</v>
      </c>
      <c r="AD307" s="352">
        <f>IF(NFI_Expiration=1,IF($A307&lt;VLOOKUP(M$5,NFI,5,0),1,0)*Table_NFI[[#This Row],[Blanket]],Table_NFI[[#This Row],[Blanket]])</f>
        <v>0</v>
      </c>
      <c r="AE307" s="352">
        <f>IF(NFI_Expiration=1,IF($A307&lt;VLOOKUP(N$5,NFI,5,0),1,0)*Table_NFI[[#This Row],[Kitchen Set]],Table_NFI[Kitchen Set])</f>
        <v>0</v>
      </c>
      <c r="AF307" s="352">
        <f>IF(NFI_Expiration=1,IF($A307&lt;VLOOKUP(O$5,NFI,5,0),1,0)*Table_NFI[[#This Row],[Clothes Kit]],Table_NFI[Clothes Kit])</f>
        <v>0</v>
      </c>
      <c r="AG307" s="352">
        <f>IF(NFI_Expiration=1,IF($A307&lt;VLOOKUP(P$5,NFI,5,0),1,0)*Table_NFI[[#This Row],[Plastic Bucket]],Table_NFI[Plastic Bucket])</f>
        <v>0</v>
      </c>
      <c r="AH307" s="352">
        <f>IF(NFI_Expiration=1,IF($A307&lt;VLOOKUP(Q$5,NFI,5,0),1,0)*Table_NFI[[#This Row],[Plastic Mat]],Table_NFI[Plastic Mat])*IF(Table_NFI[[#This Row],[Distribution Date]]&gt;"2014-04-01",1,2.5)</f>
        <v>0</v>
      </c>
      <c r="AI307" s="352">
        <f>IF(NFI_Expiration=1,IF($A307&lt;VLOOKUP(R$5,NFI,5,0),1,0)*Table_NFI[[#This Row],[Winter Clothes Adult]],Table_NFI[Winter Clothes Adult])</f>
        <v>0</v>
      </c>
      <c r="AJ307" s="352">
        <f>IF(NFI_Expiration=1,IF($A307&lt;VLOOKUP(S$5,NFI,5,0),1,0)*Table_NFI[[#This Row],[Winter Clothes Children]],Table_NFI[Winter Clothes Children])</f>
        <v>0</v>
      </c>
      <c r="AK307" s="352">
        <f>IF(NFI_Expiration=1,IF($A307&lt;VLOOKUP(T$5,NFI,5,0),1,0)*Table_NFI[[#This Row],[Winter Items Other]],Table_NFI[Winter Items Other])</f>
        <v>0</v>
      </c>
      <c r="AL307" s="352">
        <f>IF(NFI_Expiration=1,IF($A307&lt;VLOOKUP(M$5,NFI,5,0),1,0)*Table_NFI[[#This Row],[Winter Blanket]],Table_NFI[[#This Row],[Winter Blanket]])</f>
        <v>0</v>
      </c>
      <c r="AM307" s="352">
        <f>IF(Table_NFI[[#This Row],[Winter Clothes Adult]]+Table_NFI[[#This Row],[Winter Clothes Children]]+Table_NFI[[#This Row],[Winter Items Other]]+Table_NFI[[#This Row],[Winter Blanket]]&gt;0,1,0)</f>
        <v>0</v>
      </c>
      <c r="AN307" s="392">
        <f>IF(NFI_Expiration=1,IF($A307&lt;VLOOKUP(V$5,NFI,5,0),1,0)*Table_NFI[[#This Row],[Jerry Can]],Table_NFI[Jerry Can])</f>
        <v>0</v>
      </c>
      <c r="AO307" s="540" t="str">
        <f>IFERROR(VLOOKUP(Table_NFI[[#This Row],[Camp Name]],CL,2,0),"")</f>
        <v>MMR001CMP031</v>
      </c>
      <c r="AP307" s="535">
        <f ca="1">IF(Table_NFI[[#This Row],[Pcode]]="","",IF(OFFSET(CampList[Opening Date],MATCH(Table_NFI[[#This Row],[Pcode]],CampList[CP_Pcode],0)-1,0,1,1)&gt;=NFI_Monitor_Date,1,0))</f>
        <v>0</v>
      </c>
      <c r="AQ307" s="540" t="str">
        <f>IFERROR(VLOOKUP(Table_NFI[[#This Row],[Camp Name]],CL,3,0),"")</f>
        <v>Open</v>
      </c>
      <c r="AR307" s="352" t="str">
        <f ca="1">IF(Table_NFI[[#This Row],[Pcode]]="","",OFFSET(CampList[Priority],MATCH(Table_NFI[[#This Row],[Pcode]],CampList[CP_Pcode],0)-1,0,1,1))</f>
        <v>P4</v>
      </c>
      <c r="AS307" s="351">
        <f>IFERROR(Table_NFI[[#This Row],[Kitchen Set]]/VLOOKUP(Table_NFI[[#This Row],[Camp Name]],CL,4,0),"")</f>
        <v>0</v>
      </c>
      <c r="AT307" s="533"/>
      <c r="AU307" s="536"/>
    </row>
    <row r="308" spans="1:47" s="537" customFormat="1" ht="14.45" customHeight="1" x14ac:dyDescent="0.25">
      <c r="A308" s="355">
        <f t="shared" si="4"/>
        <v>26.166666666666668</v>
      </c>
      <c r="B308" s="532">
        <v>41786</v>
      </c>
      <c r="C308" s="533" t="s">
        <v>453</v>
      </c>
      <c r="D308" s="533" t="s">
        <v>506</v>
      </c>
      <c r="E308" s="533" t="s">
        <v>380</v>
      </c>
      <c r="F308" s="533" t="s">
        <v>237</v>
      </c>
      <c r="G308" s="533" t="s">
        <v>263</v>
      </c>
      <c r="H308" s="349"/>
      <c r="I308" s="349"/>
      <c r="J308" s="349">
        <v>12</v>
      </c>
      <c r="K308" s="349">
        <v>6</v>
      </c>
      <c r="L308" s="350">
        <v>12</v>
      </c>
      <c r="M308" s="350">
        <v>6</v>
      </c>
      <c r="N308" s="350"/>
      <c r="O308" s="350">
        <v>6</v>
      </c>
      <c r="P308" s="352">
        <v>30</v>
      </c>
      <c r="Q308" s="352"/>
      <c r="R308" s="352"/>
      <c r="S308" s="352"/>
      <c r="T308" s="352"/>
      <c r="U308" s="352"/>
      <c r="V308" s="497"/>
      <c r="W308" s="352"/>
      <c r="X308" s="352"/>
      <c r="Y308" s="352">
        <f>IF(NFI_Expiration=1,IF($A308&lt;VLOOKUP(H$5,NFI,5,0),1,0)*Table_NFI[[#This Row],[Hygiene Kit]],Table_NFI[Hygiene Kit])</f>
        <v>0</v>
      </c>
      <c r="Z308" s="352">
        <f>IF(NFI_Expiration=1,IF($A308&lt;VLOOKUP(I$5,NFI,5,0),1,0)*Table_NFI[[#This Row],[NFI Core Kit]],Table_NFI[NFI Core Kit])</f>
        <v>0</v>
      </c>
      <c r="AA308" s="352">
        <f>IF(NFI_Expiration=1,IF($A308&lt;VLOOKUP(J$5,NFI,5,0),1,0)*Table_NFI[[#This Row],[Sanitary Kit]],Table_NFI[Sanitary Kit])</f>
        <v>0</v>
      </c>
      <c r="AB308" s="352">
        <f>IF(NFI_Expiration=1,IF($A308&lt;VLOOKUP(K$5,NFI,5,0),1,0)*Table_NFI[[#This Row],[Mosquito net]],Table_NFI[Mosquito net])</f>
        <v>0</v>
      </c>
      <c r="AC308" s="352">
        <f>IF(NFI_Expiration=1,IF($A308&lt;VLOOKUP(L$5,NFI,5,0),1,0)*Table_NFI[[#This Row],[Tarpaulin]],Table_NFI[[#This Row],[Tarpaulin]])</f>
        <v>0</v>
      </c>
      <c r="AD308" s="352">
        <f>IF(NFI_Expiration=1,IF($A308&lt;VLOOKUP(M$5,NFI,5,0),1,0)*Table_NFI[[#This Row],[Blanket]],Table_NFI[[#This Row],[Blanket]])</f>
        <v>0</v>
      </c>
      <c r="AE308" s="352">
        <f>IF(NFI_Expiration=1,IF($A308&lt;VLOOKUP(N$5,NFI,5,0),1,0)*Table_NFI[[#This Row],[Kitchen Set]],Table_NFI[Kitchen Set])</f>
        <v>0</v>
      </c>
      <c r="AF308" s="352">
        <f>IF(NFI_Expiration=1,IF($A308&lt;VLOOKUP(O$5,NFI,5,0),1,0)*Table_NFI[[#This Row],[Clothes Kit]],Table_NFI[Clothes Kit])</f>
        <v>0</v>
      </c>
      <c r="AG308" s="352">
        <f>IF(NFI_Expiration=1,IF($A308&lt;VLOOKUP(P$5,NFI,5,0),1,0)*Table_NFI[[#This Row],[Plastic Bucket]],Table_NFI[Plastic Bucket])</f>
        <v>0</v>
      </c>
      <c r="AH308" s="352">
        <f>IF(NFI_Expiration=1,IF($A308&lt;VLOOKUP(Q$5,NFI,5,0),1,0)*Table_NFI[[#This Row],[Plastic Mat]],Table_NFI[Plastic Mat])*IF(Table_NFI[[#This Row],[Distribution Date]]&gt;"2014-04-01",1,2.5)</f>
        <v>0</v>
      </c>
      <c r="AI308" s="352">
        <f>IF(NFI_Expiration=1,IF($A308&lt;VLOOKUP(R$5,NFI,5,0),1,0)*Table_NFI[[#This Row],[Winter Clothes Adult]],Table_NFI[Winter Clothes Adult])</f>
        <v>0</v>
      </c>
      <c r="AJ308" s="352">
        <f>IF(NFI_Expiration=1,IF($A308&lt;VLOOKUP(S$5,NFI,5,0),1,0)*Table_NFI[[#This Row],[Winter Clothes Children]],Table_NFI[Winter Clothes Children])</f>
        <v>0</v>
      </c>
      <c r="AK308" s="352">
        <f>IF(NFI_Expiration=1,IF($A308&lt;VLOOKUP(T$5,NFI,5,0),1,0)*Table_NFI[[#This Row],[Winter Items Other]],Table_NFI[Winter Items Other])</f>
        <v>0</v>
      </c>
      <c r="AL308" s="352">
        <f>IF(NFI_Expiration=1,IF($A308&lt;VLOOKUP(M$5,NFI,5,0),1,0)*Table_NFI[[#This Row],[Winter Blanket]],Table_NFI[[#This Row],[Winter Blanket]])</f>
        <v>0</v>
      </c>
      <c r="AM308" s="352">
        <f>IF(Table_NFI[[#This Row],[Winter Clothes Adult]]+Table_NFI[[#This Row],[Winter Clothes Children]]+Table_NFI[[#This Row],[Winter Items Other]]+Table_NFI[[#This Row],[Winter Blanket]]&gt;0,1,0)</f>
        <v>0</v>
      </c>
      <c r="AN308" s="392">
        <f>IF(NFI_Expiration=1,IF($A308&lt;VLOOKUP(V$5,NFI,5,0),1,0)*Table_NFI[[#This Row],[Jerry Can]],Table_NFI[Jerry Can])</f>
        <v>0</v>
      </c>
      <c r="AO308" s="540" t="str">
        <f>IFERROR(VLOOKUP(Table_NFI[[#This Row],[Camp Name]],CL,2,0),"")</f>
        <v>MMR001CMP020</v>
      </c>
      <c r="AP308" s="535">
        <f ca="1">IF(Table_NFI[[#This Row],[Pcode]]="","",IF(OFFSET(CampList[Opening Date],MATCH(Table_NFI[[#This Row],[Pcode]],CampList[CP_Pcode],0)-1,0,1,1)&gt;=NFI_Monitor_Date,1,0))</f>
        <v>0</v>
      </c>
      <c r="AQ308" s="540" t="str">
        <f>IFERROR(VLOOKUP(Table_NFI[[#This Row],[Camp Name]],CL,3,0),"")</f>
        <v>Open</v>
      </c>
      <c r="AR308" s="352" t="str">
        <f ca="1">IF(Table_NFI[[#This Row],[Pcode]]="","",OFFSET(CampList[Priority],MATCH(Table_NFI[[#This Row],[Pcode]],CampList[CP_Pcode],0)-1,0,1,1))</f>
        <v>P4</v>
      </c>
      <c r="AS308" s="351">
        <f>IFERROR(Table_NFI[[#This Row],[Kitchen Set]]/VLOOKUP(Table_NFI[[#This Row],[Camp Name]],CL,4,0),"")</f>
        <v>0</v>
      </c>
      <c r="AT308" s="533"/>
      <c r="AU308" s="536"/>
    </row>
    <row r="309" spans="1:47" s="549" customFormat="1" ht="14.45" customHeight="1" x14ac:dyDescent="0.25">
      <c r="A309" s="355">
        <f t="shared" si="4"/>
        <v>26.166666666666668</v>
      </c>
      <c r="B309" s="532">
        <v>41786</v>
      </c>
      <c r="C309" s="533" t="s">
        <v>453</v>
      </c>
      <c r="D309" s="533" t="s">
        <v>506</v>
      </c>
      <c r="E309" s="533" t="s">
        <v>380</v>
      </c>
      <c r="F309" s="533" t="s">
        <v>310</v>
      </c>
      <c r="G309" s="533" t="s">
        <v>351</v>
      </c>
      <c r="H309" s="349"/>
      <c r="I309" s="349"/>
      <c r="J309" s="349">
        <v>3</v>
      </c>
      <c r="K309" s="349">
        <v>3</v>
      </c>
      <c r="L309" s="350">
        <v>6</v>
      </c>
      <c r="M309" s="350">
        <v>3</v>
      </c>
      <c r="N309" s="350"/>
      <c r="O309" s="350">
        <v>3</v>
      </c>
      <c r="P309" s="352">
        <v>15</v>
      </c>
      <c r="Q309" s="392"/>
      <c r="R309" s="392"/>
      <c r="S309" s="392"/>
      <c r="T309" s="392"/>
      <c r="U309" s="392"/>
      <c r="V309" s="497"/>
      <c r="W309" s="392"/>
      <c r="X309" s="392"/>
      <c r="Y309" s="352">
        <f>IF(NFI_Expiration=1,IF($A309&lt;VLOOKUP(H$5,NFI,5,0),1,0)*Table_NFI[[#This Row],[Hygiene Kit]],Table_NFI[Hygiene Kit])</f>
        <v>0</v>
      </c>
      <c r="Z309" s="352">
        <f>IF(NFI_Expiration=1,IF($A309&lt;VLOOKUP(I$5,NFI,5,0),1,0)*Table_NFI[[#This Row],[NFI Core Kit]],Table_NFI[NFI Core Kit])</f>
        <v>0</v>
      </c>
      <c r="AA309" s="352">
        <f>IF(NFI_Expiration=1,IF($A309&lt;VLOOKUP(J$5,NFI,5,0),1,0)*Table_NFI[[#This Row],[Sanitary Kit]],Table_NFI[Sanitary Kit])</f>
        <v>0</v>
      </c>
      <c r="AB309" s="352">
        <f>IF(NFI_Expiration=1,IF($A309&lt;VLOOKUP(K$5,NFI,5,0),1,0)*Table_NFI[[#This Row],[Mosquito net]],Table_NFI[Mosquito net])</f>
        <v>0</v>
      </c>
      <c r="AC309" s="352">
        <f>IF(NFI_Expiration=1,IF($A309&lt;VLOOKUP(L$5,NFI,5,0),1,0)*Table_NFI[[#This Row],[Tarpaulin]],Table_NFI[[#This Row],[Tarpaulin]])</f>
        <v>0</v>
      </c>
      <c r="AD309" s="352">
        <f>IF(NFI_Expiration=1,IF($A309&lt;VLOOKUP(M$5,NFI,5,0),1,0)*Table_NFI[[#This Row],[Blanket]],Table_NFI[[#This Row],[Blanket]])</f>
        <v>0</v>
      </c>
      <c r="AE309" s="352">
        <f>IF(NFI_Expiration=1,IF($A309&lt;VLOOKUP(N$5,NFI,5,0),1,0)*Table_NFI[[#This Row],[Kitchen Set]],Table_NFI[Kitchen Set])</f>
        <v>0</v>
      </c>
      <c r="AF309" s="352">
        <f>IF(NFI_Expiration=1,IF($A309&lt;VLOOKUP(O$5,NFI,5,0),1,0)*Table_NFI[[#This Row],[Clothes Kit]],Table_NFI[Clothes Kit])</f>
        <v>0</v>
      </c>
      <c r="AG309" s="352">
        <f>IF(NFI_Expiration=1,IF($A309&lt;VLOOKUP(P$5,NFI,5,0),1,0)*Table_NFI[[#This Row],[Plastic Bucket]],Table_NFI[Plastic Bucket])</f>
        <v>0</v>
      </c>
      <c r="AH309" s="352">
        <f>IF(NFI_Expiration=1,IF($A309&lt;VLOOKUP(Q$5,NFI,5,0),1,0)*Table_NFI[[#This Row],[Plastic Mat]],Table_NFI[Plastic Mat])*IF(Table_NFI[[#This Row],[Distribution Date]]&gt;"2014-04-01",1,2.5)</f>
        <v>0</v>
      </c>
      <c r="AI309" s="352">
        <f>IF(NFI_Expiration=1,IF($A309&lt;VLOOKUP(R$5,NFI,5,0),1,0)*Table_NFI[[#This Row],[Winter Clothes Adult]],Table_NFI[Winter Clothes Adult])</f>
        <v>0</v>
      </c>
      <c r="AJ309" s="352">
        <f>IF(NFI_Expiration=1,IF($A309&lt;VLOOKUP(S$5,NFI,5,0),1,0)*Table_NFI[[#This Row],[Winter Clothes Children]],Table_NFI[Winter Clothes Children])</f>
        <v>0</v>
      </c>
      <c r="AK309" s="352">
        <f>IF(NFI_Expiration=1,IF($A309&lt;VLOOKUP(T$5,NFI,5,0),1,0)*Table_NFI[[#This Row],[Winter Items Other]],Table_NFI[Winter Items Other])</f>
        <v>0</v>
      </c>
      <c r="AL309" s="352">
        <f>IF(NFI_Expiration=1,IF($A309&lt;VLOOKUP(M$5,NFI,5,0),1,0)*Table_NFI[[#This Row],[Winter Blanket]],Table_NFI[[#This Row],[Winter Blanket]])</f>
        <v>0</v>
      </c>
      <c r="AM309" s="352">
        <f>IF(Table_NFI[[#This Row],[Winter Clothes Adult]]+Table_NFI[[#This Row],[Winter Clothes Children]]+Table_NFI[[#This Row],[Winter Items Other]]+Table_NFI[[#This Row],[Winter Blanket]]&gt;0,1,0)</f>
        <v>0</v>
      </c>
      <c r="AN309" s="392">
        <f>IF(NFI_Expiration=1,IF($A309&lt;VLOOKUP(V$5,NFI,5,0),1,0)*Table_NFI[[#This Row],[Jerry Can]],Table_NFI[Jerry Can])</f>
        <v>0</v>
      </c>
      <c r="AO309" s="540" t="str">
        <f>IFERROR(VLOOKUP(Table_NFI[[#This Row],[Camp Name]],CL,2,0),"")</f>
        <v>MMR001CMP026</v>
      </c>
      <c r="AP309" s="535">
        <f ca="1">IF(Table_NFI[[#This Row],[Pcode]]="","",IF(OFFSET(CampList[Opening Date],MATCH(Table_NFI[[#This Row],[Pcode]],CampList[CP_Pcode],0)-1,0,1,1)&gt;=NFI_Monitor_Date,1,0))</f>
        <v>0</v>
      </c>
      <c r="AQ309" s="540" t="str">
        <f>IFERROR(VLOOKUP(Table_NFI[[#This Row],[Camp Name]],CL,3,0),"")</f>
        <v>Open</v>
      </c>
      <c r="AR309" s="352" t="str">
        <f ca="1">IF(Table_NFI[[#This Row],[Pcode]]="","",OFFSET(CampList[Priority],MATCH(Table_NFI[[#This Row],[Pcode]],CampList[CP_Pcode],0)-1,0,1,1))</f>
        <v>P4</v>
      </c>
      <c r="AS309" s="351">
        <f>IFERROR(Table_NFI[[#This Row],[Kitchen Set]]/VLOOKUP(Table_NFI[[#This Row],[Camp Name]],CL,4,0),"")</f>
        <v>0</v>
      </c>
      <c r="AT309" s="533"/>
      <c r="AU309" s="536"/>
    </row>
    <row r="310" spans="1:47" s="537" customFormat="1" ht="14.45" hidden="1" customHeight="1" x14ac:dyDescent="0.25">
      <c r="A310" s="355">
        <f t="shared" si="4"/>
        <v>21.133333333333333</v>
      </c>
      <c r="B310" s="532">
        <v>41937</v>
      </c>
      <c r="C310" s="533" t="s">
        <v>1096</v>
      </c>
      <c r="D310" s="533" t="s">
        <v>902</v>
      </c>
      <c r="E310" s="533" t="s">
        <v>380</v>
      </c>
      <c r="F310" s="533" t="s">
        <v>528</v>
      </c>
      <c r="G310" s="533" t="s">
        <v>90</v>
      </c>
      <c r="H310" s="349"/>
      <c r="I310" s="349"/>
      <c r="J310" s="349"/>
      <c r="K310" s="349"/>
      <c r="L310" s="350"/>
      <c r="M310" s="350"/>
      <c r="N310" s="350"/>
      <c r="O310" s="350"/>
      <c r="P310" s="352"/>
      <c r="Q310" s="352"/>
      <c r="R310" s="352">
        <v>90</v>
      </c>
      <c r="S310" s="352">
        <v>39</v>
      </c>
      <c r="T310" s="352"/>
      <c r="U310" s="352"/>
      <c r="V310" s="497"/>
      <c r="W310" s="352"/>
      <c r="X310" s="352"/>
      <c r="Y310" s="352">
        <f>IF(NFI_Expiration=1,IF($A310&lt;VLOOKUP(H$5,NFI,5,0),1,0)*Table_NFI[[#This Row],[Hygiene Kit]],Table_NFI[Hygiene Kit])</f>
        <v>0</v>
      </c>
      <c r="Z310" s="352">
        <f>IF(NFI_Expiration=1,IF($A310&lt;VLOOKUP(I$5,NFI,5,0),1,0)*Table_NFI[[#This Row],[NFI Core Kit]],Table_NFI[NFI Core Kit])</f>
        <v>0</v>
      </c>
      <c r="AA310" s="352">
        <f>IF(NFI_Expiration=1,IF($A310&lt;VLOOKUP(J$5,NFI,5,0),1,0)*Table_NFI[[#This Row],[Sanitary Kit]],Table_NFI[Sanitary Kit])</f>
        <v>0</v>
      </c>
      <c r="AB310" s="352">
        <f>IF(NFI_Expiration=1,IF($A310&lt;VLOOKUP(K$5,NFI,5,0),1,0)*Table_NFI[[#This Row],[Mosquito net]],Table_NFI[Mosquito net])</f>
        <v>0</v>
      </c>
      <c r="AC310" s="352">
        <f>IF(NFI_Expiration=1,IF($A310&lt;VLOOKUP(L$5,NFI,5,0),1,0)*Table_NFI[[#This Row],[Tarpaulin]],Table_NFI[[#This Row],[Tarpaulin]])</f>
        <v>0</v>
      </c>
      <c r="AD310" s="352">
        <f>IF(NFI_Expiration=1,IF($A310&lt;VLOOKUP(M$5,NFI,5,0),1,0)*Table_NFI[[#This Row],[Blanket]],Table_NFI[[#This Row],[Blanket]])</f>
        <v>0</v>
      </c>
      <c r="AE310" s="352">
        <f>IF(NFI_Expiration=1,IF($A310&lt;VLOOKUP(N$5,NFI,5,0),1,0)*Table_NFI[[#This Row],[Kitchen Set]],Table_NFI[Kitchen Set])</f>
        <v>0</v>
      </c>
      <c r="AF310" s="352">
        <f>IF(NFI_Expiration=1,IF($A310&lt;VLOOKUP(O$5,NFI,5,0),1,0)*Table_NFI[[#This Row],[Clothes Kit]],Table_NFI[Clothes Kit])</f>
        <v>0</v>
      </c>
      <c r="AG310" s="352">
        <f>IF(NFI_Expiration=1,IF($A310&lt;VLOOKUP(P$5,NFI,5,0),1,0)*Table_NFI[[#This Row],[Plastic Bucket]],Table_NFI[Plastic Bucket])</f>
        <v>0</v>
      </c>
      <c r="AH310" s="352">
        <f>IF(NFI_Expiration=1,IF($A310&lt;VLOOKUP(Q$5,NFI,5,0),1,0)*Table_NFI[[#This Row],[Plastic Mat]],Table_NFI[Plastic Mat])*IF(Table_NFI[[#This Row],[Distribution Date]]&gt;"2014-04-01",1,2.5)</f>
        <v>0</v>
      </c>
      <c r="AI310" s="352">
        <f>IF(NFI_Expiration=1,IF($A310&lt;VLOOKUP(R$5,NFI,5,0),1,0)*Table_NFI[[#This Row],[Winter Clothes Adult]],Table_NFI[Winter Clothes Adult])</f>
        <v>0</v>
      </c>
      <c r="AJ310" s="352">
        <f>IF(NFI_Expiration=1,IF($A310&lt;VLOOKUP(S$5,NFI,5,0),1,0)*Table_NFI[[#This Row],[Winter Clothes Children]],Table_NFI[Winter Clothes Children])</f>
        <v>0</v>
      </c>
      <c r="AK310" s="352">
        <f>IF(NFI_Expiration=1,IF($A310&lt;VLOOKUP(T$5,NFI,5,0),1,0)*Table_NFI[[#This Row],[Winter Items Other]],Table_NFI[Winter Items Other])</f>
        <v>0</v>
      </c>
      <c r="AL310" s="352">
        <f>IF(NFI_Expiration=1,IF($A310&lt;VLOOKUP(M$5,NFI,5,0),1,0)*Table_NFI[[#This Row],[Winter Blanket]],Table_NFI[[#This Row],[Winter Blanket]])</f>
        <v>0</v>
      </c>
      <c r="AM310" s="352">
        <f>IF(Table_NFI[[#This Row],[Winter Clothes Adult]]+Table_NFI[[#This Row],[Winter Clothes Children]]+Table_NFI[[#This Row],[Winter Items Other]]+Table_NFI[[#This Row],[Winter Blanket]]&gt;0,1,0)</f>
        <v>1</v>
      </c>
      <c r="AN310" s="392">
        <f>IF(NFI_Expiration=1,IF($A310&lt;VLOOKUP(V$5,NFI,5,0),1,0)*Table_NFI[[#This Row],[Jerry Can]],Table_NFI[Jerry Can])</f>
        <v>0</v>
      </c>
      <c r="AO310" s="540" t="str">
        <f>IFERROR(VLOOKUP(Table_NFI[[#This Row],[Camp Name]],CL,2,0),"")</f>
        <v>MMR001CMP181</v>
      </c>
      <c r="AP310" s="535">
        <f ca="1">IF(Table_NFI[[#This Row],[Pcode]]="","",IF(OFFSET(CampList[Opening Date],MATCH(Table_NFI[[#This Row],[Pcode]],CampList[CP_Pcode],0)-1,0,1,1)&gt;=NFI_Monitor_Date,1,0))</f>
        <v>0</v>
      </c>
      <c r="AQ310" s="540" t="str">
        <f>IFERROR(VLOOKUP(Table_NFI[[#This Row],[Camp Name]],CL,3,0),"")</f>
        <v>Open</v>
      </c>
      <c r="AR310" s="352" t="str">
        <f ca="1">IF(Table_NFI[[#This Row],[Pcode]]="","",OFFSET(CampList[Priority],MATCH(Table_NFI[[#This Row],[Pcode]],CampList[CP_Pcode],0)-1,0,1,1))</f>
        <v>P4</v>
      </c>
      <c r="AS310" s="351">
        <f>IFERROR(Table_NFI[[#This Row],[Kitchen Set]]/VLOOKUP(Table_NFI[[#This Row],[Camp Name]],CL,4,0),"")</f>
        <v>0</v>
      </c>
      <c r="AT310" s="533"/>
      <c r="AU310" s="536"/>
    </row>
    <row r="311" spans="1:47" s="537" customFormat="1" ht="14.45" customHeight="1" x14ac:dyDescent="0.25">
      <c r="A311" s="355">
        <f t="shared" si="4"/>
        <v>26.166666666666668</v>
      </c>
      <c r="B311" s="532">
        <v>41786</v>
      </c>
      <c r="C311" s="533" t="s">
        <v>453</v>
      </c>
      <c r="D311" s="533" t="s">
        <v>506</v>
      </c>
      <c r="E311" s="533" t="s">
        <v>380</v>
      </c>
      <c r="F311" s="533" t="s">
        <v>310</v>
      </c>
      <c r="G311" s="533" t="s">
        <v>349</v>
      </c>
      <c r="H311" s="349"/>
      <c r="I311" s="349"/>
      <c r="J311" s="349">
        <v>18</v>
      </c>
      <c r="K311" s="349">
        <v>9</v>
      </c>
      <c r="L311" s="350">
        <v>18</v>
      </c>
      <c r="M311" s="350">
        <v>9</v>
      </c>
      <c r="N311" s="350"/>
      <c r="O311" s="350">
        <v>9</v>
      </c>
      <c r="P311" s="352">
        <v>45</v>
      </c>
      <c r="Q311" s="352"/>
      <c r="R311" s="352"/>
      <c r="S311" s="352"/>
      <c r="T311" s="352"/>
      <c r="U311" s="352"/>
      <c r="V311" s="497"/>
      <c r="W311" s="352"/>
      <c r="X311" s="352"/>
      <c r="Y311" s="352">
        <f>IF(NFI_Expiration=1,IF($A311&lt;VLOOKUP(H$5,NFI,5,0),1,0)*Table_NFI[[#This Row],[Hygiene Kit]],Table_NFI[Hygiene Kit])</f>
        <v>0</v>
      </c>
      <c r="Z311" s="352">
        <f>IF(NFI_Expiration=1,IF($A311&lt;VLOOKUP(I$5,NFI,5,0),1,0)*Table_NFI[[#This Row],[NFI Core Kit]],Table_NFI[NFI Core Kit])</f>
        <v>0</v>
      </c>
      <c r="AA311" s="352">
        <f>IF(NFI_Expiration=1,IF($A311&lt;VLOOKUP(J$5,NFI,5,0),1,0)*Table_NFI[[#This Row],[Sanitary Kit]],Table_NFI[Sanitary Kit])</f>
        <v>0</v>
      </c>
      <c r="AB311" s="352">
        <f>IF(NFI_Expiration=1,IF($A311&lt;VLOOKUP(K$5,NFI,5,0),1,0)*Table_NFI[[#This Row],[Mosquito net]],Table_NFI[Mosquito net])</f>
        <v>0</v>
      </c>
      <c r="AC311" s="352">
        <f>IF(NFI_Expiration=1,IF($A311&lt;VLOOKUP(L$5,NFI,5,0),1,0)*Table_NFI[[#This Row],[Tarpaulin]],Table_NFI[[#This Row],[Tarpaulin]])</f>
        <v>0</v>
      </c>
      <c r="AD311" s="352">
        <f>IF(NFI_Expiration=1,IF($A311&lt;VLOOKUP(M$5,NFI,5,0),1,0)*Table_NFI[[#This Row],[Blanket]],Table_NFI[[#This Row],[Blanket]])</f>
        <v>0</v>
      </c>
      <c r="AE311" s="352">
        <f>IF(NFI_Expiration=1,IF($A311&lt;VLOOKUP(N$5,NFI,5,0),1,0)*Table_NFI[[#This Row],[Kitchen Set]],Table_NFI[Kitchen Set])</f>
        <v>0</v>
      </c>
      <c r="AF311" s="352">
        <f>IF(NFI_Expiration=1,IF($A311&lt;VLOOKUP(O$5,NFI,5,0),1,0)*Table_NFI[[#This Row],[Clothes Kit]],Table_NFI[Clothes Kit])</f>
        <v>0</v>
      </c>
      <c r="AG311" s="352">
        <f>IF(NFI_Expiration=1,IF($A311&lt;VLOOKUP(P$5,NFI,5,0),1,0)*Table_NFI[[#This Row],[Plastic Bucket]],Table_NFI[Plastic Bucket])</f>
        <v>0</v>
      </c>
      <c r="AH311" s="352">
        <f>IF(NFI_Expiration=1,IF($A311&lt;VLOOKUP(Q$5,NFI,5,0),1,0)*Table_NFI[[#This Row],[Plastic Mat]],Table_NFI[Plastic Mat])*IF(Table_NFI[[#This Row],[Distribution Date]]&gt;"2014-04-01",1,2.5)</f>
        <v>0</v>
      </c>
      <c r="AI311" s="352">
        <f>IF(NFI_Expiration=1,IF($A311&lt;VLOOKUP(R$5,NFI,5,0),1,0)*Table_NFI[[#This Row],[Winter Clothes Adult]],Table_NFI[Winter Clothes Adult])</f>
        <v>0</v>
      </c>
      <c r="AJ311" s="352">
        <f>IF(NFI_Expiration=1,IF($A311&lt;VLOOKUP(S$5,NFI,5,0),1,0)*Table_NFI[[#This Row],[Winter Clothes Children]],Table_NFI[Winter Clothes Children])</f>
        <v>0</v>
      </c>
      <c r="AK311" s="352">
        <f>IF(NFI_Expiration=1,IF($A311&lt;VLOOKUP(T$5,NFI,5,0),1,0)*Table_NFI[[#This Row],[Winter Items Other]],Table_NFI[Winter Items Other])</f>
        <v>0</v>
      </c>
      <c r="AL311" s="352">
        <f>IF(NFI_Expiration=1,IF($A311&lt;VLOOKUP(M$5,NFI,5,0),1,0)*Table_NFI[[#This Row],[Winter Blanket]],Table_NFI[[#This Row],[Winter Blanket]])</f>
        <v>0</v>
      </c>
      <c r="AM311" s="352">
        <f>IF(Table_NFI[[#This Row],[Winter Clothes Adult]]+Table_NFI[[#This Row],[Winter Clothes Children]]+Table_NFI[[#This Row],[Winter Items Other]]+Table_NFI[[#This Row],[Winter Blanket]]&gt;0,1,0)</f>
        <v>0</v>
      </c>
      <c r="AN311" s="392">
        <f>IF(NFI_Expiration=1,IF($A311&lt;VLOOKUP(V$5,NFI,5,0),1,0)*Table_NFI[[#This Row],[Jerry Can]],Table_NFI[Jerry Can])</f>
        <v>0</v>
      </c>
      <c r="AO311" s="540" t="str">
        <f>IFERROR(VLOOKUP(Table_NFI[[#This Row],[Camp Name]],CL,2,0),"")</f>
        <v>MMR001CMP037</v>
      </c>
      <c r="AP311" s="535">
        <f ca="1">IF(Table_NFI[[#This Row],[Pcode]]="","",IF(OFFSET(CampList[Opening Date],MATCH(Table_NFI[[#This Row],[Pcode]],CampList[CP_Pcode],0)-1,0,1,1)&gt;=NFI_Monitor_Date,1,0))</f>
        <v>0</v>
      </c>
      <c r="AQ311" s="540" t="str">
        <f>IFERROR(VLOOKUP(Table_NFI[[#This Row],[Camp Name]],CL,3,0),"")</f>
        <v>Open</v>
      </c>
      <c r="AR311" s="352" t="str">
        <f ca="1">IF(Table_NFI[[#This Row],[Pcode]]="","",OFFSET(CampList[Priority],MATCH(Table_NFI[[#This Row],[Pcode]],CampList[CP_Pcode],0)-1,0,1,1))</f>
        <v>P4</v>
      </c>
      <c r="AS311" s="351">
        <f>IFERROR(Table_NFI[[#This Row],[Kitchen Set]]/VLOOKUP(Table_NFI[[#This Row],[Camp Name]],CL,4,0),"")</f>
        <v>0</v>
      </c>
      <c r="AT311" s="533"/>
      <c r="AU311" s="536"/>
    </row>
    <row r="312" spans="1:47" s="537" customFormat="1" ht="14.45" customHeight="1" x14ac:dyDescent="0.25">
      <c r="A312" s="355">
        <f t="shared" si="4"/>
        <v>26.533333333333335</v>
      </c>
      <c r="B312" s="532">
        <v>41775</v>
      </c>
      <c r="C312" s="533" t="s">
        <v>453</v>
      </c>
      <c r="D312" s="533" t="s">
        <v>453</v>
      </c>
      <c r="E312" s="533" t="s">
        <v>380</v>
      </c>
      <c r="F312" s="533" t="s">
        <v>5</v>
      </c>
      <c r="G312" s="533" t="s">
        <v>8</v>
      </c>
      <c r="H312" s="349"/>
      <c r="I312" s="349"/>
      <c r="J312" s="349"/>
      <c r="K312" s="349">
        <v>10</v>
      </c>
      <c r="L312" s="350">
        <v>4</v>
      </c>
      <c r="M312" s="350">
        <v>10</v>
      </c>
      <c r="N312" s="350">
        <v>4</v>
      </c>
      <c r="O312" s="350">
        <v>4</v>
      </c>
      <c r="P312" s="352">
        <v>4</v>
      </c>
      <c r="Q312" s="352">
        <v>18</v>
      </c>
      <c r="R312" s="352"/>
      <c r="S312" s="352"/>
      <c r="T312" s="352"/>
      <c r="U312" s="352"/>
      <c r="V312" s="497"/>
      <c r="W312" s="352"/>
      <c r="X312" s="352"/>
      <c r="Y312" s="352">
        <f>IF(NFI_Expiration=1,IF($A312&lt;VLOOKUP(H$5,NFI,5,0),1,0)*Table_NFI[[#This Row],[Hygiene Kit]],Table_NFI[Hygiene Kit])</f>
        <v>0</v>
      </c>
      <c r="Z312" s="352">
        <f>IF(NFI_Expiration=1,IF($A312&lt;VLOOKUP(I$5,NFI,5,0),1,0)*Table_NFI[[#This Row],[NFI Core Kit]],Table_NFI[NFI Core Kit])</f>
        <v>0</v>
      </c>
      <c r="AA312" s="352">
        <f>IF(NFI_Expiration=1,IF($A312&lt;VLOOKUP(J$5,NFI,5,0),1,0)*Table_NFI[[#This Row],[Sanitary Kit]],Table_NFI[Sanitary Kit])</f>
        <v>0</v>
      </c>
      <c r="AB312" s="352">
        <f>IF(NFI_Expiration=1,IF($A312&lt;VLOOKUP(K$5,NFI,5,0),1,0)*Table_NFI[[#This Row],[Mosquito net]],Table_NFI[Mosquito net])</f>
        <v>0</v>
      </c>
      <c r="AC312" s="352">
        <f>IF(NFI_Expiration=1,IF($A312&lt;VLOOKUP(L$5,NFI,5,0),1,0)*Table_NFI[[#This Row],[Tarpaulin]],Table_NFI[[#This Row],[Tarpaulin]])</f>
        <v>0</v>
      </c>
      <c r="AD312" s="352">
        <f>IF(NFI_Expiration=1,IF($A312&lt;VLOOKUP(M$5,NFI,5,0),1,0)*Table_NFI[[#This Row],[Blanket]],Table_NFI[[#This Row],[Blanket]])</f>
        <v>0</v>
      </c>
      <c r="AE312" s="352">
        <f>IF(NFI_Expiration=1,IF($A312&lt;VLOOKUP(N$5,NFI,5,0),1,0)*Table_NFI[[#This Row],[Kitchen Set]],Table_NFI[Kitchen Set])</f>
        <v>0</v>
      </c>
      <c r="AF312" s="352">
        <f>IF(NFI_Expiration=1,IF($A312&lt;VLOOKUP(O$5,NFI,5,0),1,0)*Table_NFI[[#This Row],[Clothes Kit]],Table_NFI[Clothes Kit])</f>
        <v>0</v>
      </c>
      <c r="AG312" s="352">
        <f>IF(NFI_Expiration=1,IF($A312&lt;VLOOKUP(P$5,NFI,5,0),1,0)*Table_NFI[[#This Row],[Plastic Bucket]],Table_NFI[Plastic Bucket])</f>
        <v>0</v>
      </c>
      <c r="AH312" s="352">
        <f>IF(NFI_Expiration=1,IF($A312&lt;VLOOKUP(Q$5,NFI,5,0),1,0)*Table_NFI[[#This Row],[Plastic Mat]],Table_NFI[Plastic Mat])*IF(Table_NFI[[#This Row],[Distribution Date]]&gt;"2014-04-01",1,2.5)</f>
        <v>0</v>
      </c>
      <c r="AI312" s="352">
        <f>IF(NFI_Expiration=1,IF($A312&lt;VLOOKUP(R$5,NFI,5,0),1,0)*Table_NFI[[#This Row],[Winter Clothes Adult]],Table_NFI[Winter Clothes Adult])</f>
        <v>0</v>
      </c>
      <c r="AJ312" s="352">
        <f>IF(NFI_Expiration=1,IF($A312&lt;VLOOKUP(S$5,NFI,5,0),1,0)*Table_NFI[[#This Row],[Winter Clothes Children]],Table_NFI[Winter Clothes Children])</f>
        <v>0</v>
      </c>
      <c r="AK312" s="352">
        <f>IF(NFI_Expiration=1,IF($A312&lt;VLOOKUP(T$5,NFI,5,0),1,0)*Table_NFI[[#This Row],[Winter Items Other]],Table_NFI[Winter Items Other])</f>
        <v>0</v>
      </c>
      <c r="AL312" s="352">
        <f>IF(NFI_Expiration=1,IF($A312&lt;VLOOKUP(M$5,NFI,5,0),1,0)*Table_NFI[[#This Row],[Winter Blanket]],Table_NFI[[#This Row],[Winter Blanket]])</f>
        <v>0</v>
      </c>
      <c r="AM312" s="352">
        <f>IF(Table_NFI[[#This Row],[Winter Clothes Adult]]+Table_NFI[[#This Row],[Winter Clothes Children]]+Table_NFI[[#This Row],[Winter Items Other]]+Table_NFI[[#This Row],[Winter Blanket]]&gt;0,1,0)</f>
        <v>0</v>
      </c>
      <c r="AN312" s="392">
        <f>IF(NFI_Expiration=1,IF($A312&lt;VLOOKUP(V$5,NFI,5,0),1,0)*Table_NFI[[#This Row],[Jerry Can]],Table_NFI[Jerry Can])</f>
        <v>0</v>
      </c>
      <c r="AO312" s="540" t="str">
        <f>IFERROR(VLOOKUP(Table_NFI[[#This Row],[Camp Name]],CL,2,0),"")</f>
        <v>MMR001CMP051</v>
      </c>
      <c r="AP312" s="535">
        <f ca="1">IF(Table_NFI[[#This Row],[Pcode]]="","",IF(OFFSET(CampList[Opening Date],MATCH(Table_NFI[[#This Row],[Pcode]],CampList[CP_Pcode],0)-1,0,1,1)&gt;=NFI_Monitor_Date,1,0))</f>
        <v>0</v>
      </c>
      <c r="AQ312" s="540" t="str">
        <f>IFERROR(VLOOKUP(Table_NFI[[#This Row],[Camp Name]],CL,3,0),"")</f>
        <v>Open</v>
      </c>
      <c r="AR312" s="352" t="str">
        <f ca="1">IF(Table_NFI[[#This Row],[Pcode]]="","",OFFSET(CampList[Priority],MATCH(Table_NFI[[#This Row],[Pcode]],CampList[CP_Pcode],0)-1,0,1,1))</f>
        <v>P4</v>
      </c>
      <c r="AS312" s="351">
        <f>IFERROR(Table_NFI[[#This Row],[Kitchen Set]]/VLOOKUP(Table_NFI[[#This Row],[Camp Name]],CL,4,0),"")</f>
        <v>0.2857142857142857</v>
      </c>
      <c r="AT312" s="533" t="s">
        <v>1094</v>
      </c>
      <c r="AU312" s="536"/>
    </row>
    <row r="313" spans="1:47" s="537" customFormat="1" ht="14.45" customHeight="1" x14ac:dyDescent="0.25">
      <c r="A313" s="355">
        <f t="shared" si="4"/>
        <v>26.533333333333335</v>
      </c>
      <c r="B313" s="532">
        <v>41775</v>
      </c>
      <c r="C313" s="533" t="s">
        <v>453</v>
      </c>
      <c r="D313" s="533" t="s">
        <v>453</v>
      </c>
      <c r="E313" s="533" t="s">
        <v>380</v>
      </c>
      <c r="F313" s="533" t="s">
        <v>5</v>
      </c>
      <c r="G313" s="533" t="s">
        <v>24</v>
      </c>
      <c r="H313" s="349"/>
      <c r="I313" s="349"/>
      <c r="J313" s="349"/>
      <c r="K313" s="349">
        <v>24</v>
      </c>
      <c r="L313" s="350">
        <v>13</v>
      </c>
      <c r="M313" s="350">
        <v>24</v>
      </c>
      <c r="N313" s="350">
        <v>13</v>
      </c>
      <c r="O313" s="350">
        <v>13</v>
      </c>
      <c r="P313" s="352">
        <v>13</v>
      </c>
      <c r="Q313" s="352">
        <v>33</v>
      </c>
      <c r="R313" s="352"/>
      <c r="S313" s="352"/>
      <c r="T313" s="352"/>
      <c r="U313" s="352"/>
      <c r="V313" s="497"/>
      <c r="W313" s="352"/>
      <c r="X313" s="352"/>
      <c r="Y313" s="352">
        <f>IF(NFI_Expiration=1,IF($A313&lt;VLOOKUP(H$5,NFI,5,0),1,0)*Table_NFI[[#This Row],[Hygiene Kit]],Table_NFI[Hygiene Kit])</f>
        <v>0</v>
      </c>
      <c r="Z313" s="352">
        <f>IF(NFI_Expiration=1,IF($A313&lt;VLOOKUP(I$5,NFI,5,0),1,0)*Table_NFI[[#This Row],[NFI Core Kit]],Table_NFI[NFI Core Kit])</f>
        <v>0</v>
      </c>
      <c r="AA313" s="352">
        <f>IF(NFI_Expiration=1,IF($A313&lt;VLOOKUP(J$5,NFI,5,0),1,0)*Table_NFI[[#This Row],[Sanitary Kit]],Table_NFI[Sanitary Kit])</f>
        <v>0</v>
      </c>
      <c r="AB313" s="352">
        <f>IF(NFI_Expiration=1,IF($A313&lt;VLOOKUP(K$5,NFI,5,0),1,0)*Table_NFI[[#This Row],[Mosquito net]],Table_NFI[Mosquito net])</f>
        <v>0</v>
      </c>
      <c r="AC313" s="352">
        <f>IF(NFI_Expiration=1,IF($A313&lt;VLOOKUP(L$5,NFI,5,0),1,0)*Table_NFI[[#This Row],[Tarpaulin]],Table_NFI[[#This Row],[Tarpaulin]])</f>
        <v>0</v>
      </c>
      <c r="AD313" s="352">
        <f>IF(NFI_Expiration=1,IF($A313&lt;VLOOKUP(M$5,NFI,5,0),1,0)*Table_NFI[[#This Row],[Blanket]],Table_NFI[[#This Row],[Blanket]])</f>
        <v>0</v>
      </c>
      <c r="AE313" s="352">
        <f>IF(NFI_Expiration=1,IF($A313&lt;VLOOKUP(N$5,NFI,5,0),1,0)*Table_NFI[[#This Row],[Kitchen Set]],Table_NFI[Kitchen Set])</f>
        <v>0</v>
      </c>
      <c r="AF313" s="352">
        <f>IF(NFI_Expiration=1,IF($A313&lt;VLOOKUP(O$5,NFI,5,0),1,0)*Table_NFI[[#This Row],[Clothes Kit]],Table_NFI[Clothes Kit])</f>
        <v>0</v>
      </c>
      <c r="AG313" s="352">
        <f>IF(NFI_Expiration=1,IF($A313&lt;VLOOKUP(P$5,NFI,5,0),1,0)*Table_NFI[[#This Row],[Plastic Bucket]],Table_NFI[Plastic Bucket])</f>
        <v>0</v>
      </c>
      <c r="AH313" s="352">
        <f>IF(NFI_Expiration=1,IF($A313&lt;VLOOKUP(Q$5,NFI,5,0),1,0)*Table_NFI[[#This Row],[Plastic Mat]],Table_NFI[Plastic Mat])*IF(Table_NFI[[#This Row],[Distribution Date]]&gt;"2014-04-01",1,2.5)</f>
        <v>0</v>
      </c>
      <c r="AI313" s="352">
        <f>IF(NFI_Expiration=1,IF($A313&lt;VLOOKUP(R$5,NFI,5,0),1,0)*Table_NFI[[#This Row],[Winter Clothes Adult]],Table_NFI[Winter Clothes Adult])</f>
        <v>0</v>
      </c>
      <c r="AJ313" s="352">
        <f>IF(NFI_Expiration=1,IF($A313&lt;VLOOKUP(S$5,NFI,5,0),1,0)*Table_NFI[[#This Row],[Winter Clothes Children]],Table_NFI[Winter Clothes Children])</f>
        <v>0</v>
      </c>
      <c r="AK313" s="352">
        <f>IF(NFI_Expiration=1,IF($A313&lt;VLOOKUP(T$5,NFI,5,0),1,0)*Table_NFI[[#This Row],[Winter Items Other]],Table_NFI[Winter Items Other])</f>
        <v>0</v>
      </c>
      <c r="AL313" s="352">
        <f>IF(NFI_Expiration=1,IF($A313&lt;VLOOKUP(M$5,NFI,5,0),1,0)*Table_NFI[[#This Row],[Winter Blanket]],Table_NFI[[#This Row],[Winter Blanket]])</f>
        <v>0</v>
      </c>
      <c r="AM313" s="352">
        <f>IF(Table_NFI[[#This Row],[Winter Clothes Adult]]+Table_NFI[[#This Row],[Winter Clothes Children]]+Table_NFI[[#This Row],[Winter Items Other]]+Table_NFI[[#This Row],[Winter Blanket]]&gt;0,1,0)</f>
        <v>0</v>
      </c>
      <c r="AN313" s="392">
        <f>IF(NFI_Expiration=1,IF($A313&lt;VLOOKUP(V$5,NFI,5,0),1,0)*Table_NFI[[#This Row],[Jerry Can]],Table_NFI[Jerry Can])</f>
        <v>0</v>
      </c>
      <c r="AO313" s="540" t="str">
        <f>IFERROR(VLOOKUP(Table_NFI[[#This Row],[Camp Name]],CL,2,0),"")</f>
        <v>MMR001CMP055</v>
      </c>
      <c r="AP313" s="535">
        <f ca="1">IF(Table_NFI[[#This Row],[Pcode]]="","",IF(OFFSET(CampList[Opening Date],MATCH(Table_NFI[[#This Row],[Pcode]],CampList[CP_Pcode],0)-1,0,1,1)&gt;=NFI_Monitor_Date,1,0))</f>
        <v>0</v>
      </c>
      <c r="AQ313" s="540" t="str">
        <f>IFERROR(VLOOKUP(Table_NFI[[#This Row],[Camp Name]],CL,3,0),"")</f>
        <v>Open</v>
      </c>
      <c r="AR313" s="352" t="str">
        <f ca="1">IF(Table_NFI[[#This Row],[Pcode]]="","",OFFSET(CampList[Priority],MATCH(Table_NFI[[#This Row],[Pcode]],CampList[CP_Pcode],0)-1,0,1,1))</f>
        <v>P4</v>
      </c>
      <c r="AS313" s="351">
        <f>IFERROR(Table_NFI[[#This Row],[Kitchen Set]]/VLOOKUP(Table_NFI[[#This Row],[Camp Name]],CL,4,0),"")</f>
        <v>0.61904761904761907</v>
      </c>
      <c r="AT313" s="533" t="s">
        <v>1094</v>
      </c>
      <c r="AU313" s="536"/>
    </row>
    <row r="314" spans="1:47" s="537" customFormat="1" ht="14.45" hidden="1" customHeight="1" x14ac:dyDescent="0.25">
      <c r="A314" s="355">
        <f t="shared" si="4"/>
        <v>21.133333333333333</v>
      </c>
      <c r="B314" s="532">
        <v>41937</v>
      </c>
      <c r="C314" s="533" t="s">
        <v>1096</v>
      </c>
      <c r="D314" s="533" t="s">
        <v>902</v>
      </c>
      <c r="E314" s="533" t="s">
        <v>380</v>
      </c>
      <c r="F314" s="533" t="s">
        <v>528</v>
      </c>
      <c r="G314" s="533" t="s">
        <v>92</v>
      </c>
      <c r="H314" s="349"/>
      <c r="I314" s="349"/>
      <c r="J314" s="349"/>
      <c r="K314" s="349"/>
      <c r="L314" s="350"/>
      <c r="M314" s="350"/>
      <c r="N314" s="350"/>
      <c r="O314" s="350"/>
      <c r="P314" s="352"/>
      <c r="Q314" s="352"/>
      <c r="R314" s="352">
        <v>48</v>
      </c>
      <c r="S314" s="352">
        <v>23</v>
      </c>
      <c r="T314" s="352"/>
      <c r="U314" s="352"/>
      <c r="V314" s="497"/>
      <c r="W314" s="352"/>
      <c r="X314" s="352"/>
      <c r="Y314" s="352">
        <f>IF(NFI_Expiration=1,IF($A314&lt;VLOOKUP(H$5,NFI,5,0),1,0)*Table_NFI[[#This Row],[Hygiene Kit]],Table_NFI[Hygiene Kit])</f>
        <v>0</v>
      </c>
      <c r="Z314" s="352">
        <f>IF(NFI_Expiration=1,IF($A314&lt;VLOOKUP(I$5,NFI,5,0),1,0)*Table_NFI[[#This Row],[NFI Core Kit]],Table_NFI[NFI Core Kit])</f>
        <v>0</v>
      </c>
      <c r="AA314" s="352">
        <f>IF(NFI_Expiration=1,IF($A314&lt;VLOOKUP(J$5,NFI,5,0),1,0)*Table_NFI[[#This Row],[Sanitary Kit]],Table_NFI[Sanitary Kit])</f>
        <v>0</v>
      </c>
      <c r="AB314" s="352">
        <f>IF(NFI_Expiration=1,IF($A314&lt;VLOOKUP(K$5,NFI,5,0),1,0)*Table_NFI[[#This Row],[Mosquito net]],Table_NFI[Mosquito net])</f>
        <v>0</v>
      </c>
      <c r="AC314" s="352">
        <f>IF(NFI_Expiration=1,IF($A314&lt;VLOOKUP(L$5,NFI,5,0),1,0)*Table_NFI[[#This Row],[Tarpaulin]],Table_NFI[[#This Row],[Tarpaulin]])</f>
        <v>0</v>
      </c>
      <c r="AD314" s="352">
        <f>IF(NFI_Expiration=1,IF($A314&lt;VLOOKUP(M$5,NFI,5,0),1,0)*Table_NFI[[#This Row],[Blanket]],Table_NFI[[#This Row],[Blanket]])</f>
        <v>0</v>
      </c>
      <c r="AE314" s="352">
        <f>IF(NFI_Expiration=1,IF($A314&lt;VLOOKUP(N$5,NFI,5,0),1,0)*Table_NFI[[#This Row],[Kitchen Set]],Table_NFI[Kitchen Set])</f>
        <v>0</v>
      </c>
      <c r="AF314" s="352">
        <f>IF(NFI_Expiration=1,IF($A314&lt;VLOOKUP(O$5,NFI,5,0),1,0)*Table_NFI[[#This Row],[Clothes Kit]],Table_NFI[Clothes Kit])</f>
        <v>0</v>
      </c>
      <c r="AG314" s="352">
        <f>IF(NFI_Expiration=1,IF($A314&lt;VLOOKUP(P$5,NFI,5,0),1,0)*Table_NFI[[#This Row],[Plastic Bucket]],Table_NFI[Plastic Bucket])</f>
        <v>0</v>
      </c>
      <c r="AH314" s="352">
        <f>IF(NFI_Expiration=1,IF($A314&lt;VLOOKUP(Q$5,NFI,5,0),1,0)*Table_NFI[[#This Row],[Plastic Mat]],Table_NFI[Plastic Mat])*IF(Table_NFI[[#This Row],[Distribution Date]]&gt;"2014-04-01",1,2.5)</f>
        <v>0</v>
      </c>
      <c r="AI314" s="352">
        <f>IF(NFI_Expiration=1,IF($A314&lt;VLOOKUP(R$5,NFI,5,0),1,0)*Table_NFI[[#This Row],[Winter Clothes Adult]],Table_NFI[Winter Clothes Adult])</f>
        <v>0</v>
      </c>
      <c r="AJ314" s="352">
        <f>IF(NFI_Expiration=1,IF($A314&lt;VLOOKUP(S$5,NFI,5,0),1,0)*Table_NFI[[#This Row],[Winter Clothes Children]],Table_NFI[Winter Clothes Children])</f>
        <v>0</v>
      </c>
      <c r="AK314" s="352">
        <f>IF(NFI_Expiration=1,IF($A314&lt;VLOOKUP(T$5,NFI,5,0),1,0)*Table_NFI[[#This Row],[Winter Items Other]],Table_NFI[Winter Items Other])</f>
        <v>0</v>
      </c>
      <c r="AL314" s="352">
        <f>IF(NFI_Expiration=1,IF($A314&lt;VLOOKUP(M$5,NFI,5,0),1,0)*Table_NFI[[#This Row],[Winter Blanket]],Table_NFI[[#This Row],[Winter Blanket]])</f>
        <v>0</v>
      </c>
      <c r="AM314" s="352">
        <f>IF(Table_NFI[[#This Row],[Winter Clothes Adult]]+Table_NFI[[#This Row],[Winter Clothes Children]]+Table_NFI[[#This Row],[Winter Items Other]]+Table_NFI[[#This Row],[Winter Blanket]]&gt;0,1,0)</f>
        <v>1</v>
      </c>
      <c r="AN314" s="392">
        <f>IF(NFI_Expiration=1,IF($A314&lt;VLOOKUP(V$5,NFI,5,0),1,0)*Table_NFI[[#This Row],[Jerry Can]],Table_NFI[Jerry Can])</f>
        <v>0</v>
      </c>
      <c r="AO314" s="540" t="str">
        <f>IFERROR(VLOOKUP(Table_NFI[[#This Row],[Camp Name]],CL,2,0),"")</f>
        <v>MMR001CMP167</v>
      </c>
      <c r="AP314" s="535">
        <f ca="1">IF(Table_NFI[[#This Row],[Pcode]]="","",IF(OFFSET(CampList[Opening Date],MATCH(Table_NFI[[#This Row],[Pcode]],CampList[CP_Pcode],0)-1,0,1,1)&gt;=NFI_Monitor_Date,1,0))</f>
        <v>0</v>
      </c>
      <c r="AQ314" s="540" t="str">
        <f>IFERROR(VLOOKUP(Table_NFI[[#This Row],[Camp Name]],CL,3,0),"")</f>
        <v>Open</v>
      </c>
      <c r="AR314" s="352" t="str">
        <f ca="1">IF(Table_NFI[[#This Row],[Pcode]]="","",OFFSET(CampList[Priority],MATCH(Table_NFI[[#This Row],[Pcode]],CampList[CP_Pcode],0)-1,0,1,1))</f>
        <v>P4</v>
      </c>
      <c r="AS314" s="351">
        <f>IFERROR(Table_NFI[[#This Row],[Kitchen Set]]/VLOOKUP(Table_NFI[[#This Row],[Camp Name]],CL,4,0),"")</f>
        <v>0</v>
      </c>
      <c r="AT314" s="533"/>
      <c r="AU314" s="536"/>
    </row>
    <row r="315" spans="1:47" s="537" customFormat="1" ht="14.45" customHeight="1" x14ac:dyDescent="0.25">
      <c r="A315" s="355">
        <f t="shared" si="4"/>
        <v>26.566666666666666</v>
      </c>
      <c r="B315" s="532">
        <v>41774</v>
      </c>
      <c r="C315" s="533" t="s">
        <v>453</v>
      </c>
      <c r="D315" s="533" t="s">
        <v>453</v>
      </c>
      <c r="E315" s="533" t="s">
        <v>380</v>
      </c>
      <c r="F315" s="533" t="s">
        <v>5</v>
      </c>
      <c r="G315" s="533" t="s">
        <v>6</v>
      </c>
      <c r="H315" s="349"/>
      <c r="I315" s="349"/>
      <c r="J315" s="349"/>
      <c r="K315" s="349">
        <v>10</v>
      </c>
      <c r="L315" s="350">
        <v>4</v>
      </c>
      <c r="M315" s="350">
        <v>12</v>
      </c>
      <c r="N315" s="350">
        <v>4</v>
      </c>
      <c r="O315" s="350">
        <v>4</v>
      </c>
      <c r="P315" s="352">
        <v>4</v>
      </c>
      <c r="Q315" s="352">
        <v>12</v>
      </c>
      <c r="R315" s="352"/>
      <c r="S315" s="352"/>
      <c r="T315" s="352"/>
      <c r="U315" s="352"/>
      <c r="V315" s="497"/>
      <c r="W315" s="352"/>
      <c r="X315" s="352"/>
      <c r="Y315" s="352">
        <f>IF(NFI_Expiration=1,IF($A315&lt;VLOOKUP(H$5,NFI,5,0),1,0)*Table_NFI[[#This Row],[Hygiene Kit]],Table_NFI[Hygiene Kit])</f>
        <v>0</v>
      </c>
      <c r="Z315" s="352">
        <f>IF(NFI_Expiration=1,IF($A315&lt;VLOOKUP(I$5,NFI,5,0),1,0)*Table_NFI[[#This Row],[NFI Core Kit]],Table_NFI[NFI Core Kit])</f>
        <v>0</v>
      </c>
      <c r="AA315" s="352">
        <f>IF(NFI_Expiration=1,IF($A315&lt;VLOOKUP(J$5,NFI,5,0),1,0)*Table_NFI[[#This Row],[Sanitary Kit]],Table_NFI[Sanitary Kit])</f>
        <v>0</v>
      </c>
      <c r="AB315" s="352">
        <f>IF(NFI_Expiration=1,IF($A315&lt;VLOOKUP(K$5,NFI,5,0),1,0)*Table_NFI[[#This Row],[Mosquito net]],Table_NFI[Mosquito net])</f>
        <v>0</v>
      </c>
      <c r="AC315" s="352">
        <f>IF(NFI_Expiration=1,IF($A315&lt;VLOOKUP(L$5,NFI,5,0),1,0)*Table_NFI[[#This Row],[Tarpaulin]],Table_NFI[[#This Row],[Tarpaulin]])</f>
        <v>0</v>
      </c>
      <c r="AD315" s="352">
        <f>IF(NFI_Expiration=1,IF($A315&lt;VLOOKUP(M$5,NFI,5,0),1,0)*Table_NFI[[#This Row],[Blanket]],Table_NFI[[#This Row],[Blanket]])</f>
        <v>0</v>
      </c>
      <c r="AE315" s="352">
        <f>IF(NFI_Expiration=1,IF($A315&lt;VLOOKUP(N$5,NFI,5,0),1,0)*Table_NFI[[#This Row],[Kitchen Set]],Table_NFI[Kitchen Set])</f>
        <v>0</v>
      </c>
      <c r="AF315" s="352">
        <f>IF(NFI_Expiration=1,IF($A315&lt;VLOOKUP(O$5,NFI,5,0),1,0)*Table_NFI[[#This Row],[Clothes Kit]],Table_NFI[Clothes Kit])</f>
        <v>0</v>
      </c>
      <c r="AG315" s="352">
        <f>IF(NFI_Expiration=1,IF($A315&lt;VLOOKUP(P$5,NFI,5,0),1,0)*Table_NFI[[#This Row],[Plastic Bucket]],Table_NFI[Plastic Bucket])</f>
        <v>0</v>
      </c>
      <c r="AH315" s="352">
        <f>IF(NFI_Expiration=1,IF($A315&lt;VLOOKUP(Q$5,NFI,5,0),1,0)*Table_NFI[[#This Row],[Plastic Mat]],Table_NFI[Plastic Mat])*IF(Table_NFI[[#This Row],[Distribution Date]]&gt;"2014-04-01",1,2.5)</f>
        <v>0</v>
      </c>
      <c r="AI315" s="352">
        <f>IF(NFI_Expiration=1,IF($A315&lt;VLOOKUP(R$5,NFI,5,0),1,0)*Table_NFI[[#This Row],[Winter Clothes Adult]],Table_NFI[Winter Clothes Adult])</f>
        <v>0</v>
      </c>
      <c r="AJ315" s="352">
        <f>IF(NFI_Expiration=1,IF($A315&lt;VLOOKUP(S$5,NFI,5,0),1,0)*Table_NFI[[#This Row],[Winter Clothes Children]],Table_NFI[Winter Clothes Children])</f>
        <v>0</v>
      </c>
      <c r="AK315" s="352">
        <f>IF(NFI_Expiration=1,IF($A315&lt;VLOOKUP(T$5,NFI,5,0),1,0)*Table_NFI[[#This Row],[Winter Items Other]],Table_NFI[Winter Items Other])</f>
        <v>0</v>
      </c>
      <c r="AL315" s="352">
        <f>IF(NFI_Expiration=1,IF($A315&lt;VLOOKUP(M$5,NFI,5,0),1,0)*Table_NFI[[#This Row],[Winter Blanket]],Table_NFI[[#This Row],[Winter Blanket]])</f>
        <v>0</v>
      </c>
      <c r="AM315" s="352">
        <f>IF(Table_NFI[[#This Row],[Winter Clothes Adult]]+Table_NFI[[#This Row],[Winter Clothes Children]]+Table_NFI[[#This Row],[Winter Items Other]]+Table_NFI[[#This Row],[Winter Blanket]]&gt;0,1,0)</f>
        <v>0</v>
      </c>
      <c r="AN315" s="392">
        <f>IF(NFI_Expiration=1,IF($A315&lt;VLOOKUP(V$5,NFI,5,0),1,0)*Table_NFI[[#This Row],[Jerry Can]],Table_NFI[Jerry Can])</f>
        <v>0</v>
      </c>
      <c r="AO315" s="540" t="str">
        <f>IFERROR(VLOOKUP(Table_NFI[[#This Row],[Camp Name]],CL,2,0),"")</f>
        <v>MMR001CMP050</v>
      </c>
      <c r="AP315" s="535">
        <f ca="1">IF(Table_NFI[[#This Row],[Pcode]]="","",IF(OFFSET(CampList[Opening Date],MATCH(Table_NFI[[#This Row],[Pcode]],CampList[CP_Pcode],0)-1,0,1,1)&gt;=NFI_Monitor_Date,1,0))</f>
        <v>0</v>
      </c>
      <c r="AQ315" s="540" t="str">
        <f>IFERROR(VLOOKUP(Table_NFI[[#This Row],[Camp Name]],CL,3,0),"")</f>
        <v>Open</v>
      </c>
      <c r="AR315" s="352" t="str">
        <f ca="1">IF(Table_NFI[[#This Row],[Pcode]]="","",OFFSET(CampList[Priority],MATCH(Table_NFI[[#This Row],[Pcode]],CampList[CP_Pcode],0)-1,0,1,1))</f>
        <v>P4</v>
      </c>
      <c r="AS315" s="351">
        <f>IFERROR(Table_NFI[[#This Row],[Kitchen Set]]/VLOOKUP(Table_NFI[[#This Row],[Camp Name]],CL,4,0),"")</f>
        <v>1.4598540145985401E-2</v>
      </c>
      <c r="AT315" s="533" t="s">
        <v>1094</v>
      </c>
      <c r="AU315" s="536"/>
    </row>
    <row r="316" spans="1:47" s="537" customFormat="1" ht="14.45" customHeight="1" x14ac:dyDescent="0.25">
      <c r="A316" s="355">
        <f t="shared" si="4"/>
        <v>26.566666666666666</v>
      </c>
      <c r="B316" s="532">
        <v>41774</v>
      </c>
      <c r="C316" s="533" t="s">
        <v>453</v>
      </c>
      <c r="D316" s="533" t="s">
        <v>453</v>
      </c>
      <c r="E316" s="533" t="s">
        <v>380</v>
      </c>
      <c r="F316" s="533" t="s">
        <v>151</v>
      </c>
      <c r="G316" s="533" t="s">
        <v>886</v>
      </c>
      <c r="H316" s="349"/>
      <c r="I316" s="349"/>
      <c r="J316" s="349">
        <v>10</v>
      </c>
      <c r="K316" s="349">
        <v>10</v>
      </c>
      <c r="L316" s="350">
        <v>5</v>
      </c>
      <c r="M316" s="350">
        <v>15</v>
      </c>
      <c r="N316" s="350">
        <v>5</v>
      </c>
      <c r="O316" s="350">
        <v>5</v>
      </c>
      <c r="P316" s="352">
        <v>5</v>
      </c>
      <c r="Q316" s="352">
        <v>20</v>
      </c>
      <c r="R316" s="352"/>
      <c r="S316" s="352"/>
      <c r="T316" s="352"/>
      <c r="U316" s="352"/>
      <c r="V316" s="497"/>
      <c r="W316" s="352"/>
      <c r="X316" s="352"/>
      <c r="Y316" s="352">
        <f>IF(NFI_Expiration=1,IF($A316&lt;VLOOKUP(H$5,NFI,5,0),1,0)*Table_NFI[[#This Row],[Hygiene Kit]],Table_NFI[Hygiene Kit])</f>
        <v>0</v>
      </c>
      <c r="Z316" s="352">
        <f>IF(NFI_Expiration=1,IF($A316&lt;VLOOKUP(I$5,NFI,5,0),1,0)*Table_NFI[[#This Row],[NFI Core Kit]],Table_NFI[NFI Core Kit])</f>
        <v>0</v>
      </c>
      <c r="AA316" s="352">
        <f>IF(NFI_Expiration=1,IF($A316&lt;VLOOKUP(J$5,NFI,5,0),1,0)*Table_NFI[[#This Row],[Sanitary Kit]],Table_NFI[Sanitary Kit])</f>
        <v>0</v>
      </c>
      <c r="AB316" s="352">
        <f>IF(NFI_Expiration=1,IF($A316&lt;VLOOKUP(K$5,NFI,5,0),1,0)*Table_NFI[[#This Row],[Mosquito net]],Table_NFI[Mosquito net])</f>
        <v>0</v>
      </c>
      <c r="AC316" s="352">
        <f>IF(NFI_Expiration=1,IF($A316&lt;VLOOKUP(L$5,NFI,5,0),1,0)*Table_NFI[[#This Row],[Tarpaulin]],Table_NFI[[#This Row],[Tarpaulin]])</f>
        <v>0</v>
      </c>
      <c r="AD316" s="352">
        <f>IF(NFI_Expiration=1,IF($A316&lt;VLOOKUP(M$5,NFI,5,0),1,0)*Table_NFI[[#This Row],[Blanket]],Table_NFI[[#This Row],[Blanket]])</f>
        <v>0</v>
      </c>
      <c r="AE316" s="352">
        <f>IF(NFI_Expiration=1,IF($A316&lt;VLOOKUP(N$5,NFI,5,0),1,0)*Table_NFI[[#This Row],[Kitchen Set]],Table_NFI[Kitchen Set])</f>
        <v>0</v>
      </c>
      <c r="AF316" s="352">
        <f>IF(NFI_Expiration=1,IF($A316&lt;VLOOKUP(O$5,NFI,5,0),1,0)*Table_NFI[[#This Row],[Clothes Kit]],Table_NFI[Clothes Kit])</f>
        <v>0</v>
      </c>
      <c r="AG316" s="352">
        <f>IF(NFI_Expiration=1,IF($A316&lt;VLOOKUP(P$5,NFI,5,0),1,0)*Table_NFI[[#This Row],[Plastic Bucket]],Table_NFI[Plastic Bucket])</f>
        <v>0</v>
      </c>
      <c r="AH316" s="352">
        <f>IF(NFI_Expiration=1,IF($A316&lt;VLOOKUP(Q$5,NFI,5,0),1,0)*Table_NFI[[#This Row],[Plastic Mat]],Table_NFI[Plastic Mat])*IF(Table_NFI[[#This Row],[Distribution Date]]&gt;"2014-04-01",1,2.5)</f>
        <v>0</v>
      </c>
      <c r="AI316" s="352">
        <f>IF(NFI_Expiration=1,IF($A316&lt;VLOOKUP(R$5,NFI,5,0),1,0)*Table_NFI[[#This Row],[Winter Clothes Adult]],Table_NFI[Winter Clothes Adult])</f>
        <v>0</v>
      </c>
      <c r="AJ316" s="352">
        <f>IF(NFI_Expiration=1,IF($A316&lt;VLOOKUP(S$5,NFI,5,0),1,0)*Table_NFI[[#This Row],[Winter Clothes Children]],Table_NFI[Winter Clothes Children])</f>
        <v>0</v>
      </c>
      <c r="AK316" s="352">
        <f>IF(NFI_Expiration=1,IF($A316&lt;VLOOKUP(T$5,NFI,5,0),1,0)*Table_NFI[[#This Row],[Winter Items Other]],Table_NFI[Winter Items Other])</f>
        <v>0</v>
      </c>
      <c r="AL316" s="352">
        <f>IF(NFI_Expiration=1,IF($A316&lt;VLOOKUP(M$5,NFI,5,0),1,0)*Table_NFI[[#This Row],[Winter Blanket]],Table_NFI[[#This Row],[Winter Blanket]])</f>
        <v>0</v>
      </c>
      <c r="AM316" s="352">
        <f>IF(Table_NFI[[#This Row],[Winter Clothes Adult]]+Table_NFI[[#This Row],[Winter Clothes Children]]+Table_NFI[[#This Row],[Winter Items Other]]+Table_NFI[[#This Row],[Winter Blanket]]&gt;0,1,0)</f>
        <v>0</v>
      </c>
      <c r="AN316" s="392">
        <f>IF(NFI_Expiration=1,IF($A316&lt;VLOOKUP(V$5,NFI,5,0),1,0)*Table_NFI[[#This Row],[Jerry Can]],Table_NFI[Jerry Can])</f>
        <v>0</v>
      </c>
      <c r="AO316" s="540" t="str">
        <f>IFERROR(VLOOKUP(Table_NFI[[#This Row],[Camp Name]],CL,2,0),"")</f>
        <v>MMR001CMP218</v>
      </c>
      <c r="AP316" s="535">
        <f ca="1">IF(Table_NFI[[#This Row],[Pcode]]="","",IF(OFFSET(CampList[Opening Date],MATCH(Table_NFI[[#This Row],[Pcode]],CampList[CP_Pcode],0)-1,0,1,1)&gt;=NFI_Monitor_Date,1,0))</f>
        <v>0</v>
      </c>
      <c r="AQ316" s="540" t="str">
        <f>IFERROR(VLOOKUP(Table_NFI[[#This Row],[Camp Name]],CL,3,0),"")</f>
        <v>Open</v>
      </c>
      <c r="AR316" s="352" t="str">
        <f ca="1">IF(Table_NFI[[#This Row],[Pcode]]="","",OFFSET(CampList[Priority],MATCH(Table_NFI[[#This Row],[Pcode]],CampList[CP_Pcode],0)-1,0,1,1))</f>
        <v>P4</v>
      </c>
      <c r="AS316" s="351">
        <f>IFERROR(Table_NFI[[#This Row],[Kitchen Set]]/VLOOKUP(Table_NFI[[#This Row],[Camp Name]],CL,4,0),"")</f>
        <v>1.282051282051282E-2</v>
      </c>
      <c r="AT316" s="533" t="s">
        <v>1094</v>
      </c>
      <c r="AU316" s="536"/>
    </row>
    <row r="317" spans="1:47" s="537" customFormat="1" ht="14.45" customHeight="1" x14ac:dyDescent="0.25">
      <c r="A317" s="355">
        <f t="shared" si="4"/>
        <v>26.6</v>
      </c>
      <c r="B317" s="532">
        <v>41773</v>
      </c>
      <c r="C317" s="533" t="s">
        <v>453</v>
      </c>
      <c r="D317" s="533" t="s">
        <v>453</v>
      </c>
      <c r="E317" s="533" t="s">
        <v>380</v>
      </c>
      <c r="F317" s="533" t="s">
        <v>5</v>
      </c>
      <c r="G317" s="533" t="s">
        <v>6</v>
      </c>
      <c r="H317" s="349"/>
      <c r="I317" s="349"/>
      <c r="J317" s="349">
        <v>11</v>
      </c>
      <c r="K317" s="349">
        <v>12</v>
      </c>
      <c r="L317" s="350">
        <v>4</v>
      </c>
      <c r="M317" s="350">
        <v>12</v>
      </c>
      <c r="N317" s="350">
        <v>4</v>
      </c>
      <c r="O317" s="350">
        <v>4</v>
      </c>
      <c r="P317" s="352">
        <v>4</v>
      </c>
      <c r="Q317" s="352">
        <v>15</v>
      </c>
      <c r="R317" s="352"/>
      <c r="S317" s="352"/>
      <c r="T317" s="352"/>
      <c r="U317" s="352"/>
      <c r="V317" s="497"/>
      <c r="W317" s="352"/>
      <c r="X317" s="352"/>
      <c r="Y317" s="352">
        <f>IF(NFI_Expiration=1,IF($A317&lt;VLOOKUP(H$5,NFI,5,0),1,0)*Table_NFI[[#This Row],[Hygiene Kit]],Table_NFI[Hygiene Kit])</f>
        <v>0</v>
      </c>
      <c r="Z317" s="352">
        <f>IF(NFI_Expiration=1,IF($A317&lt;VLOOKUP(I$5,NFI,5,0),1,0)*Table_NFI[[#This Row],[NFI Core Kit]],Table_NFI[NFI Core Kit])</f>
        <v>0</v>
      </c>
      <c r="AA317" s="352">
        <f>IF(NFI_Expiration=1,IF($A317&lt;VLOOKUP(J$5,NFI,5,0),1,0)*Table_NFI[[#This Row],[Sanitary Kit]],Table_NFI[Sanitary Kit])</f>
        <v>0</v>
      </c>
      <c r="AB317" s="352">
        <f>IF(NFI_Expiration=1,IF($A317&lt;VLOOKUP(K$5,NFI,5,0),1,0)*Table_NFI[[#This Row],[Mosquito net]],Table_NFI[Mosquito net])</f>
        <v>0</v>
      </c>
      <c r="AC317" s="352">
        <f>IF(NFI_Expiration=1,IF($A317&lt;VLOOKUP(L$5,NFI,5,0),1,0)*Table_NFI[[#This Row],[Tarpaulin]],Table_NFI[[#This Row],[Tarpaulin]])</f>
        <v>0</v>
      </c>
      <c r="AD317" s="352">
        <f>IF(NFI_Expiration=1,IF($A317&lt;VLOOKUP(M$5,NFI,5,0),1,0)*Table_NFI[[#This Row],[Blanket]],Table_NFI[[#This Row],[Blanket]])</f>
        <v>0</v>
      </c>
      <c r="AE317" s="352">
        <f>IF(NFI_Expiration=1,IF($A317&lt;VLOOKUP(N$5,NFI,5,0),1,0)*Table_NFI[[#This Row],[Kitchen Set]],Table_NFI[Kitchen Set])</f>
        <v>0</v>
      </c>
      <c r="AF317" s="352">
        <f>IF(NFI_Expiration=1,IF($A317&lt;VLOOKUP(O$5,NFI,5,0),1,0)*Table_NFI[[#This Row],[Clothes Kit]],Table_NFI[Clothes Kit])</f>
        <v>0</v>
      </c>
      <c r="AG317" s="352">
        <f>IF(NFI_Expiration=1,IF($A317&lt;VLOOKUP(P$5,NFI,5,0),1,0)*Table_NFI[[#This Row],[Plastic Bucket]],Table_NFI[Plastic Bucket])</f>
        <v>0</v>
      </c>
      <c r="AH317" s="352">
        <f>IF(NFI_Expiration=1,IF($A317&lt;VLOOKUP(Q$5,NFI,5,0),1,0)*Table_NFI[[#This Row],[Plastic Mat]],Table_NFI[Plastic Mat])*IF(Table_NFI[[#This Row],[Distribution Date]]&gt;"2014-04-01",1,2.5)</f>
        <v>0</v>
      </c>
      <c r="AI317" s="352">
        <f>IF(NFI_Expiration=1,IF($A317&lt;VLOOKUP(R$5,NFI,5,0),1,0)*Table_NFI[[#This Row],[Winter Clothes Adult]],Table_NFI[Winter Clothes Adult])</f>
        <v>0</v>
      </c>
      <c r="AJ317" s="352">
        <f>IF(NFI_Expiration=1,IF($A317&lt;VLOOKUP(S$5,NFI,5,0),1,0)*Table_NFI[[#This Row],[Winter Clothes Children]],Table_NFI[Winter Clothes Children])</f>
        <v>0</v>
      </c>
      <c r="AK317" s="352">
        <f>IF(NFI_Expiration=1,IF($A317&lt;VLOOKUP(T$5,NFI,5,0),1,0)*Table_NFI[[#This Row],[Winter Items Other]],Table_NFI[Winter Items Other])</f>
        <v>0</v>
      </c>
      <c r="AL317" s="352">
        <f>IF(NFI_Expiration=1,IF($A317&lt;VLOOKUP(M$5,NFI,5,0),1,0)*Table_NFI[[#This Row],[Winter Blanket]],Table_NFI[[#This Row],[Winter Blanket]])</f>
        <v>0</v>
      </c>
      <c r="AM317" s="352">
        <f>IF(Table_NFI[[#This Row],[Winter Clothes Adult]]+Table_NFI[[#This Row],[Winter Clothes Children]]+Table_NFI[[#This Row],[Winter Items Other]]+Table_NFI[[#This Row],[Winter Blanket]]&gt;0,1,0)</f>
        <v>0</v>
      </c>
      <c r="AN317" s="392">
        <f>IF(NFI_Expiration=1,IF($A317&lt;VLOOKUP(V$5,NFI,5,0),1,0)*Table_NFI[[#This Row],[Jerry Can]],Table_NFI[Jerry Can])</f>
        <v>0</v>
      </c>
      <c r="AO317" s="540" t="str">
        <f>IFERROR(VLOOKUP(Table_NFI[[#This Row],[Camp Name]],CL,2,0),"")</f>
        <v>MMR001CMP050</v>
      </c>
      <c r="AP317" s="535">
        <f ca="1">IF(Table_NFI[[#This Row],[Pcode]]="","",IF(OFFSET(CampList[Opening Date],MATCH(Table_NFI[[#This Row],[Pcode]],CampList[CP_Pcode],0)-1,0,1,1)&gt;=NFI_Monitor_Date,1,0))</f>
        <v>0</v>
      </c>
      <c r="AQ317" s="540" t="str">
        <f>IFERROR(VLOOKUP(Table_NFI[[#This Row],[Camp Name]],CL,3,0),"")</f>
        <v>Open</v>
      </c>
      <c r="AR317" s="352" t="str">
        <f ca="1">IF(Table_NFI[[#This Row],[Pcode]]="","",OFFSET(CampList[Priority],MATCH(Table_NFI[[#This Row],[Pcode]],CampList[CP_Pcode],0)-1,0,1,1))</f>
        <v>P4</v>
      </c>
      <c r="AS317" s="351">
        <f>IFERROR(Table_NFI[[#This Row],[Kitchen Set]]/VLOOKUP(Table_NFI[[#This Row],[Camp Name]],CL,4,0),"")</f>
        <v>1.4598540145985401E-2</v>
      </c>
      <c r="AT317" s="533" t="s">
        <v>1094</v>
      </c>
      <c r="AU317" s="536"/>
    </row>
    <row r="318" spans="1:47" s="537" customFormat="1" ht="14.45" hidden="1" customHeight="1" x14ac:dyDescent="0.25">
      <c r="A318" s="355">
        <f t="shared" si="4"/>
        <v>43.233333333333334</v>
      </c>
      <c r="B318" s="532">
        <v>41274</v>
      </c>
      <c r="C318" s="533" t="s">
        <v>454</v>
      </c>
      <c r="D318" s="534" t="s">
        <v>454</v>
      </c>
      <c r="E318" s="533" t="s">
        <v>380</v>
      </c>
      <c r="F318" s="348" t="s">
        <v>528</v>
      </c>
      <c r="G318" s="348" t="s">
        <v>92</v>
      </c>
      <c r="H318" s="349">
        <v>1</v>
      </c>
      <c r="I318" s="349"/>
      <c r="J318" s="349"/>
      <c r="K318" s="349"/>
      <c r="L318" s="350"/>
      <c r="M318" s="350"/>
      <c r="N318" s="350"/>
      <c r="O318" s="350"/>
      <c r="P318" s="352">
        <v>0</v>
      </c>
      <c r="Q318" s="352">
        <v>0</v>
      </c>
      <c r="R318" s="352"/>
      <c r="S318" s="352"/>
      <c r="T318" s="352"/>
      <c r="U318" s="352"/>
      <c r="V318" s="497"/>
      <c r="W318" s="352"/>
      <c r="X318" s="352"/>
      <c r="Y318" s="352">
        <f>IF(NFI_Expiration=1,IF($A318&lt;VLOOKUP(H$5,NFI,5,0),1,0)*Table_NFI[[#This Row],[Hygiene Kit]],Table_NFI[Hygiene Kit])</f>
        <v>0</v>
      </c>
      <c r="Z318" s="352">
        <f>IF(NFI_Expiration=1,IF($A318&lt;VLOOKUP(I$5,NFI,5,0),1,0)*Table_NFI[[#This Row],[NFI Core Kit]],Table_NFI[NFI Core Kit])</f>
        <v>0</v>
      </c>
      <c r="AA318" s="352">
        <f>IF(NFI_Expiration=1,IF($A318&lt;VLOOKUP(J$5,NFI,5,0),1,0)*Table_NFI[[#This Row],[Sanitary Kit]],Table_NFI[Sanitary Kit])</f>
        <v>0</v>
      </c>
      <c r="AB318" s="352">
        <f>IF(NFI_Expiration=1,IF($A318&lt;VLOOKUP(K$5,NFI,5,0),1,0)*Table_NFI[[#This Row],[Mosquito net]],Table_NFI[Mosquito net])</f>
        <v>0</v>
      </c>
      <c r="AC318" s="352">
        <f>IF(NFI_Expiration=1,IF($A318&lt;VLOOKUP(L$5,NFI,5,0),1,0)*Table_NFI[[#This Row],[Tarpaulin]],Table_NFI[[#This Row],[Tarpaulin]])</f>
        <v>0</v>
      </c>
      <c r="AD318" s="352">
        <f>IF(NFI_Expiration=1,IF($A318&lt;VLOOKUP(M$5,NFI,5,0),1,0)*Table_NFI[[#This Row],[Blanket]],Table_NFI[[#This Row],[Blanket]])</f>
        <v>0</v>
      </c>
      <c r="AE318" s="352">
        <f>IF(NFI_Expiration=1,IF($A318&lt;VLOOKUP(N$5,NFI,5,0),1,0)*Table_NFI[[#This Row],[Kitchen Set]],Table_NFI[Kitchen Set])</f>
        <v>0</v>
      </c>
      <c r="AF318" s="352">
        <f>IF(NFI_Expiration=1,IF($A318&lt;VLOOKUP(O$5,NFI,5,0),1,0)*Table_NFI[[#This Row],[Clothes Kit]],Table_NFI[Clothes Kit])</f>
        <v>0</v>
      </c>
      <c r="AG318" s="352">
        <f>IF(NFI_Expiration=1,IF($A318&lt;VLOOKUP(P$5,NFI,5,0),1,0)*Table_NFI[[#This Row],[Plastic Bucket]],Table_NFI[Plastic Bucket])</f>
        <v>0</v>
      </c>
      <c r="AH318" s="352">
        <f>IF(NFI_Expiration=1,IF($A318&lt;VLOOKUP(Q$5,NFI,5,0),1,0)*Table_NFI[[#This Row],[Plastic Mat]],Table_NFI[Plastic Mat])*IF(Table_NFI[[#This Row],[Distribution Date]]&gt;"2014-04-01",1,2.5)</f>
        <v>0</v>
      </c>
      <c r="AI318" s="352">
        <f>IF(NFI_Expiration=1,IF($A318&lt;VLOOKUP(R$5,NFI,5,0),1,0)*Table_NFI[[#This Row],[Winter Clothes Adult]],Table_NFI[Winter Clothes Adult])</f>
        <v>0</v>
      </c>
      <c r="AJ318" s="352">
        <f>IF(NFI_Expiration=1,IF($A318&lt;VLOOKUP(S$5,NFI,5,0),1,0)*Table_NFI[[#This Row],[Winter Clothes Children]],Table_NFI[Winter Clothes Children])</f>
        <v>0</v>
      </c>
      <c r="AK318" s="352">
        <f>IF(NFI_Expiration=1,IF($A318&lt;VLOOKUP(T$5,NFI,5,0),1,0)*Table_NFI[[#This Row],[Winter Items Other]],Table_NFI[Winter Items Other])</f>
        <v>0</v>
      </c>
      <c r="AL318" s="352">
        <f>IF(NFI_Expiration=1,IF($A318&lt;VLOOKUP(M$5,NFI,5,0),1,0)*Table_NFI[[#This Row],[Winter Blanket]],Table_NFI[[#This Row],[Winter Blanket]])</f>
        <v>0</v>
      </c>
      <c r="AM318" s="352">
        <f>IF(Table_NFI[[#This Row],[Winter Clothes Adult]]+Table_NFI[[#This Row],[Winter Clothes Children]]+Table_NFI[[#This Row],[Winter Items Other]]+Table_NFI[[#This Row],[Winter Blanket]]&gt;0,1,0)</f>
        <v>0</v>
      </c>
      <c r="AN318" s="392">
        <f>IF(NFI_Expiration=1,IF($A318&lt;VLOOKUP(V$5,NFI,5,0),1,0)*Table_NFI[[#This Row],[Jerry Can]],Table_NFI[Jerry Can])</f>
        <v>0</v>
      </c>
      <c r="AO318" s="540" t="str">
        <f>IFERROR(VLOOKUP(Table_NFI[[#This Row],[Camp Name]],CL,2,0),"")</f>
        <v>MMR001CMP167</v>
      </c>
      <c r="AP318" s="535">
        <f ca="1">IF(Table_NFI[[#This Row],[Pcode]]="","",IF(OFFSET(CampList[Opening Date],MATCH(Table_NFI[[#This Row],[Pcode]],CampList[CP_Pcode],0)-1,0,1,1)&gt;=NFI_Monitor_Date,1,0))</f>
        <v>0</v>
      </c>
      <c r="AQ318" s="540" t="str">
        <f>IFERROR(VLOOKUP(Table_NFI[[#This Row],[Camp Name]],CL,3,0),"")</f>
        <v>Open</v>
      </c>
      <c r="AR318" s="352" t="str">
        <f ca="1">IF(Table_NFI[[#This Row],[Pcode]]="","",OFFSET(CampList[Priority],MATCH(Table_NFI[[#This Row],[Pcode]],CampList[CP_Pcode],0)-1,0,1,1))</f>
        <v>P4</v>
      </c>
      <c r="AS318" s="351">
        <f>IFERROR(Table_NFI[[#This Row],[Kitchen Set]]/VLOOKUP(Table_NFI[[#This Row],[Camp Name]],CL,4,0),"")</f>
        <v>0</v>
      </c>
      <c r="AT318" s="533" t="s">
        <v>1094</v>
      </c>
      <c r="AU318" s="536"/>
    </row>
    <row r="319" spans="1:47" s="537" customFormat="1" ht="14.45" customHeight="1" x14ac:dyDescent="0.25">
      <c r="A319" s="355">
        <f t="shared" si="4"/>
        <v>26.6</v>
      </c>
      <c r="B319" s="532">
        <v>41773</v>
      </c>
      <c r="C319" s="533" t="s">
        <v>453</v>
      </c>
      <c r="D319" s="533" t="s">
        <v>453</v>
      </c>
      <c r="E319" s="533" t="s">
        <v>380</v>
      </c>
      <c r="F319" s="533" t="s">
        <v>185</v>
      </c>
      <c r="G319" s="533" t="s">
        <v>209</v>
      </c>
      <c r="H319" s="349"/>
      <c r="I319" s="349"/>
      <c r="J319" s="349">
        <v>5</v>
      </c>
      <c r="K319" s="349">
        <v>6</v>
      </c>
      <c r="L319" s="350">
        <v>32</v>
      </c>
      <c r="M319" s="350">
        <v>6</v>
      </c>
      <c r="N319" s="350">
        <v>2</v>
      </c>
      <c r="O319" s="350">
        <v>2</v>
      </c>
      <c r="P319" s="352">
        <v>2</v>
      </c>
      <c r="Q319" s="352">
        <v>10</v>
      </c>
      <c r="R319" s="352"/>
      <c r="S319" s="352"/>
      <c r="T319" s="352"/>
      <c r="U319" s="352"/>
      <c r="V319" s="497"/>
      <c r="W319" s="352"/>
      <c r="X319" s="352"/>
      <c r="Y319" s="352">
        <f>IF(NFI_Expiration=1,IF($A319&lt;VLOOKUP(H$5,NFI,5,0),1,0)*Table_NFI[[#This Row],[Hygiene Kit]],Table_NFI[Hygiene Kit])</f>
        <v>0</v>
      </c>
      <c r="Z319" s="352">
        <f>IF(NFI_Expiration=1,IF($A319&lt;VLOOKUP(I$5,NFI,5,0),1,0)*Table_NFI[[#This Row],[NFI Core Kit]],Table_NFI[NFI Core Kit])</f>
        <v>0</v>
      </c>
      <c r="AA319" s="352">
        <f>IF(NFI_Expiration=1,IF($A319&lt;VLOOKUP(J$5,NFI,5,0),1,0)*Table_NFI[[#This Row],[Sanitary Kit]],Table_NFI[Sanitary Kit])</f>
        <v>0</v>
      </c>
      <c r="AB319" s="352">
        <f>IF(NFI_Expiration=1,IF($A319&lt;VLOOKUP(K$5,NFI,5,0),1,0)*Table_NFI[[#This Row],[Mosquito net]],Table_NFI[Mosquito net])</f>
        <v>0</v>
      </c>
      <c r="AC319" s="352">
        <f>IF(NFI_Expiration=1,IF($A319&lt;VLOOKUP(L$5,NFI,5,0),1,0)*Table_NFI[[#This Row],[Tarpaulin]],Table_NFI[[#This Row],[Tarpaulin]])</f>
        <v>0</v>
      </c>
      <c r="AD319" s="352">
        <f>IF(NFI_Expiration=1,IF($A319&lt;VLOOKUP(M$5,NFI,5,0),1,0)*Table_NFI[[#This Row],[Blanket]],Table_NFI[[#This Row],[Blanket]])</f>
        <v>0</v>
      </c>
      <c r="AE319" s="352">
        <f>IF(NFI_Expiration=1,IF($A319&lt;VLOOKUP(N$5,NFI,5,0),1,0)*Table_NFI[[#This Row],[Kitchen Set]],Table_NFI[Kitchen Set])</f>
        <v>0</v>
      </c>
      <c r="AF319" s="352">
        <f>IF(NFI_Expiration=1,IF($A319&lt;VLOOKUP(O$5,NFI,5,0),1,0)*Table_NFI[[#This Row],[Clothes Kit]],Table_NFI[Clothes Kit])</f>
        <v>0</v>
      </c>
      <c r="AG319" s="352">
        <f>IF(NFI_Expiration=1,IF($A319&lt;VLOOKUP(P$5,NFI,5,0),1,0)*Table_NFI[[#This Row],[Plastic Bucket]],Table_NFI[Plastic Bucket])</f>
        <v>0</v>
      </c>
      <c r="AH319" s="352">
        <f>IF(NFI_Expiration=1,IF($A319&lt;VLOOKUP(Q$5,NFI,5,0),1,0)*Table_NFI[[#This Row],[Plastic Mat]],Table_NFI[Plastic Mat])*IF(Table_NFI[[#This Row],[Distribution Date]]&gt;"2014-04-01",1,2.5)</f>
        <v>0</v>
      </c>
      <c r="AI319" s="352">
        <f>IF(NFI_Expiration=1,IF($A319&lt;VLOOKUP(R$5,NFI,5,0),1,0)*Table_NFI[[#This Row],[Winter Clothes Adult]],Table_NFI[Winter Clothes Adult])</f>
        <v>0</v>
      </c>
      <c r="AJ319" s="352">
        <f>IF(NFI_Expiration=1,IF($A319&lt;VLOOKUP(S$5,NFI,5,0),1,0)*Table_NFI[[#This Row],[Winter Clothes Children]],Table_NFI[Winter Clothes Children])</f>
        <v>0</v>
      </c>
      <c r="AK319" s="352">
        <f>IF(NFI_Expiration=1,IF($A319&lt;VLOOKUP(T$5,NFI,5,0),1,0)*Table_NFI[[#This Row],[Winter Items Other]],Table_NFI[Winter Items Other])</f>
        <v>0</v>
      </c>
      <c r="AL319" s="352">
        <f>IF(NFI_Expiration=1,IF($A319&lt;VLOOKUP(M$5,NFI,5,0),1,0)*Table_NFI[[#This Row],[Winter Blanket]],Table_NFI[[#This Row],[Winter Blanket]])</f>
        <v>0</v>
      </c>
      <c r="AM319" s="352">
        <f>IF(Table_NFI[[#This Row],[Winter Clothes Adult]]+Table_NFI[[#This Row],[Winter Clothes Children]]+Table_NFI[[#This Row],[Winter Items Other]]+Table_NFI[[#This Row],[Winter Blanket]]&gt;0,1,0)</f>
        <v>0</v>
      </c>
      <c r="AN319" s="392">
        <f>IF(NFI_Expiration=1,IF($A319&lt;VLOOKUP(V$5,NFI,5,0),1,0)*Table_NFI[[#This Row],[Jerry Can]],Table_NFI[Jerry Can])</f>
        <v>0</v>
      </c>
      <c r="AO319" s="540" t="str">
        <f>IFERROR(VLOOKUP(Table_NFI[[#This Row],[Camp Name]],CL,2,0),"")</f>
        <v>MMR001CMP056</v>
      </c>
      <c r="AP319" s="535">
        <f ca="1">IF(Table_NFI[[#This Row],[Pcode]]="","",IF(OFFSET(CampList[Opening Date],MATCH(Table_NFI[[#This Row],[Pcode]],CampList[CP_Pcode],0)-1,0,1,1)&gt;=NFI_Monitor_Date,1,0))</f>
        <v>0</v>
      </c>
      <c r="AQ319" s="540" t="str">
        <f>IFERROR(VLOOKUP(Table_NFI[[#This Row],[Camp Name]],CL,3,0),"")</f>
        <v>Open</v>
      </c>
      <c r="AR319" s="352" t="str">
        <f ca="1">IF(Table_NFI[[#This Row],[Pcode]]="","",OFFSET(CampList[Priority],MATCH(Table_NFI[[#This Row],[Pcode]],CampList[CP_Pcode],0)-1,0,1,1))</f>
        <v>P4</v>
      </c>
      <c r="AS319" s="351">
        <f>IFERROR(Table_NFI[[#This Row],[Kitchen Set]]/VLOOKUP(Table_NFI[[#This Row],[Camp Name]],CL,4,0),"")</f>
        <v>8.8495575221238937E-3</v>
      </c>
      <c r="AT319" s="533" t="s">
        <v>1094</v>
      </c>
      <c r="AU319" s="536"/>
    </row>
    <row r="320" spans="1:47" s="537" customFormat="1" ht="14.45" customHeight="1" x14ac:dyDescent="0.25">
      <c r="A320" s="355">
        <f t="shared" si="4"/>
        <v>26.6</v>
      </c>
      <c r="B320" s="532">
        <v>41773</v>
      </c>
      <c r="C320" s="533" t="s">
        <v>453</v>
      </c>
      <c r="D320" s="533" t="s">
        <v>453</v>
      </c>
      <c r="E320" s="533" t="s">
        <v>380</v>
      </c>
      <c r="F320" s="533" t="s">
        <v>5</v>
      </c>
      <c r="G320" s="533" t="s">
        <v>24</v>
      </c>
      <c r="H320" s="349"/>
      <c r="I320" s="349"/>
      <c r="J320" s="349">
        <v>17</v>
      </c>
      <c r="K320" s="349">
        <v>108</v>
      </c>
      <c r="L320" s="350">
        <v>36</v>
      </c>
      <c r="M320" s="350">
        <v>108</v>
      </c>
      <c r="N320" s="350">
        <v>36</v>
      </c>
      <c r="O320" s="350">
        <v>36</v>
      </c>
      <c r="P320" s="352">
        <v>36</v>
      </c>
      <c r="Q320" s="352">
        <v>142</v>
      </c>
      <c r="R320" s="352"/>
      <c r="S320" s="352"/>
      <c r="T320" s="352"/>
      <c r="U320" s="352"/>
      <c r="V320" s="497"/>
      <c r="W320" s="352"/>
      <c r="X320" s="352"/>
      <c r="Y320" s="352">
        <f>IF(NFI_Expiration=1,IF($A320&lt;VLOOKUP(H$5,NFI,5,0),1,0)*Table_NFI[[#This Row],[Hygiene Kit]],Table_NFI[Hygiene Kit])</f>
        <v>0</v>
      </c>
      <c r="Z320" s="352">
        <f>IF(NFI_Expiration=1,IF($A320&lt;VLOOKUP(I$5,NFI,5,0),1,0)*Table_NFI[[#This Row],[NFI Core Kit]],Table_NFI[NFI Core Kit])</f>
        <v>0</v>
      </c>
      <c r="AA320" s="352">
        <f>IF(NFI_Expiration=1,IF($A320&lt;VLOOKUP(J$5,NFI,5,0),1,0)*Table_NFI[[#This Row],[Sanitary Kit]],Table_NFI[Sanitary Kit])</f>
        <v>0</v>
      </c>
      <c r="AB320" s="352">
        <f>IF(NFI_Expiration=1,IF($A320&lt;VLOOKUP(K$5,NFI,5,0),1,0)*Table_NFI[[#This Row],[Mosquito net]],Table_NFI[Mosquito net])</f>
        <v>0</v>
      </c>
      <c r="AC320" s="352">
        <f>IF(NFI_Expiration=1,IF($A320&lt;VLOOKUP(L$5,NFI,5,0),1,0)*Table_NFI[[#This Row],[Tarpaulin]],Table_NFI[[#This Row],[Tarpaulin]])</f>
        <v>0</v>
      </c>
      <c r="AD320" s="352">
        <f>IF(NFI_Expiration=1,IF($A320&lt;VLOOKUP(M$5,NFI,5,0),1,0)*Table_NFI[[#This Row],[Blanket]],Table_NFI[[#This Row],[Blanket]])</f>
        <v>0</v>
      </c>
      <c r="AE320" s="352">
        <f>IF(NFI_Expiration=1,IF($A320&lt;VLOOKUP(N$5,NFI,5,0),1,0)*Table_NFI[[#This Row],[Kitchen Set]],Table_NFI[Kitchen Set])</f>
        <v>0</v>
      </c>
      <c r="AF320" s="352">
        <f>IF(NFI_Expiration=1,IF($A320&lt;VLOOKUP(O$5,NFI,5,0),1,0)*Table_NFI[[#This Row],[Clothes Kit]],Table_NFI[Clothes Kit])</f>
        <v>0</v>
      </c>
      <c r="AG320" s="352">
        <f>IF(NFI_Expiration=1,IF($A320&lt;VLOOKUP(P$5,NFI,5,0),1,0)*Table_NFI[[#This Row],[Plastic Bucket]],Table_NFI[Plastic Bucket])</f>
        <v>0</v>
      </c>
      <c r="AH320" s="352">
        <f>IF(NFI_Expiration=1,IF($A320&lt;VLOOKUP(Q$5,NFI,5,0),1,0)*Table_NFI[[#This Row],[Plastic Mat]],Table_NFI[Plastic Mat])*IF(Table_NFI[[#This Row],[Distribution Date]]&gt;"2014-04-01",1,2.5)</f>
        <v>0</v>
      </c>
      <c r="AI320" s="352">
        <f>IF(NFI_Expiration=1,IF($A320&lt;VLOOKUP(R$5,NFI,5,0),1,0)*Table_NFI[[#This Row],[Winter Clothes Adult]],Table_NFI[Winter Clothes Adult])</f>
        <v>0</v>
      </c>
      <c r="AJ320" s="352">
        <f>IF(NFI_Expiration=1,IF($A320&lt;VLOOKUP(S$5,NFI,5,0),1,0)*Table_NFI[[#This Row],[Winter Clothes Children]],Table_NFI[Winter Clothes Children])</f>
        <v>0</v>
      </c>
      <c r="AK320" s="352">
        <f>IF(NFI_Expiration=1,IF($A320&lt;VLOOKUP(T$5,NFI,5,0),1,0)*Table_NFI[[#This Row],[Winter Items Other]],Table_NFI[Winter Items Other])</f>
        <v>0</v>
      </c>
      <c r="AL320" s="352">
        <f>IF(NFI_Expiration=1,IF($A320&lt;VLOOKUP(M$5,NFI,5,0),1,0)*Table_NFI[[#This Row],[Winter Blanket]],Table_NFI[[#This Row],[Winter Blanket]])</f>
        <v>0</v>
      </c>
      <c r="AM320" s="352">
        <f>IF(Table_NFI[[#This Row],[Winter Clothes Adult]]+Table_NFI[[#This Row],[Winter Clothes Children]]+Table_NFI[[#This Row],[Winter Items Other]]+Table_NFI[[#This Row],[Winter Blanket]]&gt;0,1,0)</f>
        <v>0</v>
      </c>
      <c r="AN320" s="392">
        <f>IF(NFI_Expiration=1,IF($A320&lt;VLOOKUP(V$5,NFI,5,0),1,0)*Table_NFI[[#This Row],[Jerry Can]],Table_NFI[Jerry Can])</f>
        <v>0</v>
      </c>
      <c r="AO320" s="540" t="str">
        <f>IFERROR(VLOOKUP(Table_NFI[[#This Row],[Camp Name]],CL,2,0),"")</f>
        <v>MMR001CMP055</v>
      </c>
      <c r="AP320" s="535">
        <f ca="1">IF(Table_NFI[[#This Row],[Pcode]]="","",IF(OFFSET(CampList[Opening Date],MATCH(Table_NFI[[#This Row],[Pcode]],CampList[CP_Pcode],0)-1,0,1,1)&gt;=NFI_Monitor_Date,1,0))</f>
        <v>0</v>
      </c>
      <c r="AQ320" s="540" t="str">
        <f>IFERROR(VLOOKUP(Table_NFI[[#This Row],[Camp Name]],CL,3,0),"")</f>
        <v>Open</v>
      </c>
      <c r="AR320" s="352" t="str">
        <f ca="1">IF(Table_NFI[[#This Row],[Pcode]]="","",OFFSET(CampList[Priority],MATCH(Table_NFI[[#This Row],[Pcode]],CampList[CP_Pcode],0)-1,0,1,1))</f>
        <v>P4</v>
      </c>
      <c r="AS320" s="351">
        <f>IFERROR(Table_NFI[[#This Row],[Kitchen Set]]/VLOOKUP(Table_NFI[[#This Row],[Camp Name]],CL,4,0),"")</f>
        <v>1.7142857142857142</v>
      </c>
      <c r="AT320" s="533" t="s">
        <v>1094</v>
      </c>
      <c r="AU320" s="536"/>
    </row>
    <row r="321" spans="1:47" s="537" customFormat="1" ht="14.45" customHeight="1" x14ac:dyDescent="0.25">
      <c r="A321" s="355">
        <f t="shared" si="4"/>
        <v>26.666666666666668</v>
      </c>
      <c r="B321" s="532">
        <v>41771</v>
      </c>
      <c r="C321" s="533" t="s">
        <v>453</v>
      </c>
      <c r="D321" s="533"/>
      <c r="E321" s="533" t="s">
        <v>554</v>
      </c>
      <c r="F321" s="533" t="s">
        <v>230</v>
      </c>
      <c r="G321" s="533" t="s">
        <v>1065</v>
      </c>
      <c r="H321" s="349"/>
      <c r="I321" s="349"/>
      <c r="J321" s="349"/>
      <c r="K321" s="349">
        <v>68</v>
      </c>
      <c r="L321" s="350">
        <v>9</v>
      </c>
      <c r="M321" s="350">
        <v>118</v>
      </c>
      <c r="N321" s="350">
        <v>9</v>
      </c>
      <c r="O321" s="350">
        <v>0</v>
      </c>
      <c r="P321" s="352">
        <v>9</v>
      </c>
      <c r="Q321" s="352">
        <v>45</v>
      </c>
      <c r="R321" s="352"/>
      <c r="S321" s="352"/>
      <c r="T321" s="352"/>
      <c r="U321" s="352"/>
      <c r="V321" s="497"/>
      <c r="W321" s="352"/>
      <c r="X321" s="352"/>
      <c r="Y321" s="352">
        <f>IF(NFI_Expiration=1,IF($A321&lt;VLOOKUP(H$5,NFI,5,0),1,0)*Table_NFI[[#This Row],[Hygiene Kit]],Table_NFI[Hygiene Kit])</f>
        <v>0</v>
      </c>
      <c r="Z321" s="352">
        <f>IF(NFI_Expiration=1,IF($A321&lt;VLOOKUP(I$5,NFI,5,0),1,0)*Table_NFI[[#This Row],[NFI Core Kit]],Table_NFI[NFI Core Kit])</f>
        <v>0</v>
      </c>
      <c r="AA321" s="352">
        <f>IF(NFI_Expiration=1,IF($A321&lt;VLOOKUP(J$5,NFI,5,0),1,0)*Table_NFI[[#This Row],[Sanitary Kit]],Table_NFI[Sanitary Kit])</f>
        <v>0</v>
      </c>
      <c r="AB321" s="352">
        <f>IF(NFI_Expiration=1,IF($A321&lt;VLOOKUP(K$5,NFI,5,0),1,0)*Table_NFI[[#This Row],[Mosquito net]],Table_NFI[Mosquito net])</f>
        <v>0</v>
      </c>
      <c r="AC321" s="352">
        <f>IF(NFI_Expiration=1,IF($A321&lt;VLOOKUP(L$5,NFI,5,0),1,0)*Table_NFI[[#This Row],[Tarpaulin]],Table_NFI[[#This Row],[Tarpaulin]])</f>
        <v>0</v>
      </c>
      <c r="AD321" s="352">
        <f>IF(NFI_Expiration=1,IF($A321&lt;VLOOKUP(M$5,NFI,5,0),1,0)*Table_NFI[[#This Row],[Blanket]],Table_NFI[[#This Row],[Blanket]])</f>
        <v>0</v>
      </c>
      <c r="AE321" s="352">
        <f>IF(NFI_Expiration=1,IF($A321&lt;VLOOKUP(N$5,NFI,5,0),1,0)*Table_NFI[[#This Row],[Kitchen Set]],Table_NFI[Kitchen Set])</f>
        <v>0</v>
      </c>
      <c r="AF321" s="352">
        <f>IF(NFI_Expiration=1,IF($A321&lt;VLOOKUP(O$5,NFI,5,0),1,0)*Table_NFI[[#This Row],[Clothes Kit]],Table_NFI[Clothes Kit])</f>
        <v>0</v>
      </c>
      <c r="AG321" s="352">
        <f>IF(NFI_Expiration=1,IF($A321&lt;VLOOKUP(P$5,NFI,5,0),1,0)*Table_NFI[[#This Row],[Plastic Bucket]],Table_NFI[Plastic Bucket])</f>
        <v>0</v>
      </c>
      <c r="AH321" s="352">
        <f>IF(NFI_Expiration=1,IF($A321&lt;VLOOKUP(Q$5,NFI,5,0),1,0)*Table_NFI[[#This Row],[Plastic Mat]],Table_NFI[Plastic Mat])*IF(Table_NFI[[#This Row],[Distribution Date]]&gt;"2014-04-01",1,2.5)</f>
        <v>0</v>
      </c>
      <c r="AI321" s="352">
        <f>IF(NFI_Expiration=1,IF($A321&lt;VLOOKUP(R$5,NFI,5,0),1,0)*Table_NFI[[#This Row],[Winter Clothes Adult]],Table_NFI[Winter Clothes Adult])</f>
        <v>0</v>
      </c>
      <c r="AJ321" s="352">
        <f>IF(NFI_Expiration=1,IF($A321&lt;VLOOKUP(S$5,NFI,5,0),1,0)*Table_NFI[[#This Row],[Winter Clothes Children]],Table_NFI[Winter Clothes Children])</f>
        <v>0</v>
      </c>
      <c r="AK321" s="352">
        <f>IF(NFI_Expiration=1,IF($A321&lt;VLOOKUP(T$5,NFI,5,0),1,0)*Table_NFI[[#This Row],[Winter Items Other]],Table_NFI[Winter Items Other])</f>
        <v>0</v>
      </c>
      <c r="AL321" s="352">
        <f>IF(NFI_Expiration=1,IF($A321&lt;VLOOKUP(M$5,NFI,5,0),1,0)*Table_NFI[[#This Row],[Winter Blanket]],Table_NFI[[#This Row],[Winter Blanket]])</f>
        <v>0</v>
      </c>
      <c r="AM321" s="352">
        <f>IF(Table_NFI[[#This Row],[Winter Clothes Adult]]+Table_NFI[[#This Row],[Winter Clothes Children]]+Table_NFI[[#This Row],[Winter Items Other]]+Table_NFI[[#This Row],[Winter Blanket]]&gt;0,1,0)</f>
        <v>0</v>
      </c>
      <c r="AN321" s="392">
        <f>IF(NFI_Expiration=1,IF($A321&lt;VLOOKUP(V$5,NFI,5,0),1,0)*Table_NFI[[#This Row],[Jerry Can]],Table_NFI[Jerry Can])</f>
        <v>0</v>
      </c>
      <c r="AO321" s="540" t="str">
        <f>IFERROR(VLOOKUP(Table_NFI[[#This Row],[Camp Name]],CL,2,0),"")</f>
        <v>MMR015CMP216</v>
      </c>
      <c r="AP321" s="535">
        <f ca="1">IF(Table_NFI[[#This Row],[Pcode]]="","",IF(OFFSET(CampList[Opening Date],MATCH(Table_NFI[[#This Row],[Pcode]],CampList[CP_Pcode],0)-1,0,1,1)&gt;=NFI_Monitor_Date,1,0))</f>
        <v>1</v>
      </c>
      <c r="AQ321" s="540" t="str">
        <f>IFERROR(VLOOKUP(Table_NFI[[#This Row],[Camp Name]],CL,3,0),"")</f>
        <v>Open</v>
      </c>
      <c r="AR321" s="352" t="str">
        <f ca="1">IF(Table_NFI[[#This Row],[Pcode]]="","",OFFSET(CampList[Priority],MATCH(Table_NFI[[#This Row],[Pcode]],CampList[CP_Pcode],0)-1,0,1,1))</f>
        <v>P4</v>
      </c>
      <c r="AS321" s="351">
        <f>IFERROR(Table_NFI[[#This Row],[Kitchen Set]]/VLOOKUP(Table_NFI[[#This Row],[Camp Name]],CL,4,0),"")</f>
        <v>0.34615384615384615</v>
      </c>
      <c r="AT321" s="533"/>
      <c r="AU321" s="536" t="s">
        <v>1235</v>
      </c>
    </row>
    <row r="322" spans="1:47" s="537" customFormat="1" ht="14.45" hidden="1" customHeight="1" x14ac:dyDescent="0.25">
      <c r="A322" s="355">
        <f t="shared" si="4"/>
        <v>32.1</v>
      </c>
      <c r="B322" s="532">
        <v>41608</v>
      </c>
      <c r="C322" s="533" t="s">
        <v>1099</v>
      </c>
      <c r="D322" s="534" t="s">
        <v>946</v>
      </c>
      <c r="E322" s="533" t="s">
        <v>380</v>
      </c>
      <c r="F322" s="348" t="s">
        <v>5</v>
      </c>
      <c r="G322" s="348" t="s">
        <v>18</v>
      </c>
      <c r="H322" s="349"/>
      <c r="I322" s="349"/>
      <c r="J322" s="349"/>
      <c r="K322" s="349"/>
      <c r="L322" s="350"/>
      <c r="M322" s="350">
        <v>206</v>
      </c>
      <c r="N322" s="350"/>
      <c r="O322" s="350"/>
      <c r="P322" s="352"/>
      <c r="Q322" s="352"/>
      <c r="R322" s="352">
        <v>242</v>
      </c>
      <c r="S322" s="352">
        <v>156</v>
      </c>
      <c r="T322" s="352">
        <v>0</v>
      </c>
      <c r="U322" s="352"/>
      <c r="V322" s="497"/>
      <c r="W322" s="352"/>
      <c r="X322" s="352"/>
      <c r="Y322" s="352">
        <f>IF(NFI_Expiration=1,IF($A322&lt;VLOOKUP(H$5,NFI,5,0),1,0)*Table_NFI[[#This Row],[Hygiene Kit]],Table_NFI[Hygiene Kit])</f>
        <v>0</v>
      </c>
      <c r="Z322" s="352">
        <f>IF(NFI_Expiration=1,IF($A322&lt;VLOOKUP(I$5,NFI,5,0),1,0)*Table_NFI[[#This Row],[NFI Core Kit]],Table_NFI[NFI Core Kit])</f>
        <v>0</v>
      </c>
      <c r="AA322" s="352">
        <f>IF(NFI_Expiration=1,IF($A322&lt;VLOOKUP(J$5,NFI,5,0),1,0)*Table_NFI[[#This Row],[Sanitary Kit]],Table_NFI[Sanitary Kit])</f>
        <v>0</v>
      </c>
      <c r="AB322" s="352">
        <f>IF(NFI_Expiration=1,IF($A322&lt;VLOOKUP(K$5,NFI,5,0),1,0)*Table_NFI[[#This Row],[Mosquito net]],Table_NFI[Mosquito net])</f>
        <v>0</v>
      </c>
      <c r="AC322" s="352">
        <f>IF(NFI_Expiration=1,IF($A322&lt;VLOOKUP(L$5,NFI,5,0),1,0)*Table_NFI[[#This Row],[Tarpaulin]],Table_NFI[[#This Row],[Tarpaulin]])</f>
        <v>0</v>
      </c>
      <c r="AD322" s="352">
        <f>IF(NFI_Expiration=1,IF($A322&lt;VLOOKUP(M$5,NFI,5,0),1,0)*Table_NFI[[#This Row],[Blanket]],Table_NFI[[#This Row],[Blanket]])</f>
        <v>0</v>
      </c>
      <c r="AE322" s="352">
        <f>IF(NFI_Expiration=1,IF($A322&lt;VLOOKUP(N$5,NFI,5,0),1,0)*Table_NFI[[#This Row],[Kitchen Set]],Table_NFI[Kitchen Set])</f>
        <v>0</v>
      </c>
      <c r="AF322" s="352">
        <f>IF(NFI_Expiration=1,IF($A322&lt;VLOOKUP(O$5,NFI,5,0),1,0)*Table_NFI[[#This Row],[Clothes Kit]],Table_NFI[Clothes Kit])</f>
        <v>0</v>
      </c>
      <c r="AG322" s="352">
        <f>IF(NFI_Expiration=1,IF($A322&lt;VLOOKUP(P$5,NFI,5,0),1,0)*Table_NFI[[#This Row],[Plastic Bucket]],Table_NFI[Plastic Bucket])</f>
        <v>0</v>
      </c>
      <c r="AH322" s="352">
        <f>IF(NFI_Expiration=1,IF($A322&lt;VLOOKUP(Q$5,NFI,5,0),1,0)*Table_NFI[[#This Row],[Plastic Mat]],Table_NFI[Plastic Mat])*IF(Table_NFI[[#This Row],[Distribution Date]]&gt;"2014-04-01",1,2.5)</f>
        <v>0</v>
      </c>
      <c r="AI322" s="352">
        <f>IF(NFI_Expiration=1,IF($A322&lt;VLOOKUP(R$5,NFI,5,0),1,0)*Table_NFI[[#This Row],[Winter Clothes Adult]],Table_NFI[Winter Clothes Adult])</f>
        <v>0</v>
      </c>
      <c r="AJ322" s="352">
        <f>IF(NFI_Expiration=1,IF($A322&lt;VLOOKUP(S$5,NFI,5,0),1,0)*Table_NFI[[#This Row],[Winter Clothes Children]],Table_NFI[Winter Clothes Children])</f>
        <v>0</v>
      </c>
      <c r="AK322" s="352">
        <f>IF(NFI_Expiration=1,IF($A322&lt;VLOOKUP(T$5,NFI,5,0),1,0)*Table_NFI[[#This Row],[Winter Items Other]],Table_NFI[Winter Items Other])</f>
        <v>0</v>
      </c>
      <c r="AL322" s="352">
        <f>IF(NFI_Expiration=1,IF($A322&lt;VLOOKUP(M$5,NFI,5,0),1,0)*Table_NFI[[#This Row],[Winter Blanket]],Table_NFI[[#This Row],[Winter Blanket]])</f>
        <v>0</v>
      </c>
      <c r="AM322" s="352">
        <f>IF(Table_NFI[[#This Row],[Winter Clothes Adult]]+Table_NFI[[#This Row],[Winter Clothes Children]]+Table_NFI[[#This Row],[Winter Items Other]]+Table_NFI[[#This Row],[Winter Blanket]]&gt;0,1,0)</f>
        <v>1</v>
      </c>
      <c r="AN322" s="392">
        <f>IF(NFI_Expiration=1,IF($A322&lt;VLOOKUP(V$5,NFI,5,0),1,0)*Table_NFI[[#This Row],[Jerry Can]],Table_NFI[Jerry Can])</f>
        <v>0</v>
      </c>
      <c r="AO322" s="540" t="str">
        <f>IFERROR(VLOOKUP(Table_NFI[[#This Row],[Camp Name]],CL,2,0),"")</f>
        <v>MMR001CMP049</v>
      </c>
      <c r="AP322" s="535">
        <f ca="1">IF(Table_NFI[[#This Row],[Pcode]]="","",IF(OFFSET(CampList[Opening Date],MATCH(Table_NFI[[#This Row],[Pcode]],CampList[CP_Pcode],0)-1,0,1,1)&gt;=NFI_Monitor_Date,1,0))</f>
        <v>0</v>
      </c>
      <c r="AQ322" s="540" t="str">
        <f>IFERROR(VLOOKUP(Table_NFI[[#This Row],[Camp Name]],CL,3,0),"")</f>
        <v>Open</v>
      </c>
      <c r="AR322" s="352" t="str">
        <f ca="1">IF(Table_NFI[[#This Row],[Pcode]]="","",OFFSET(CampList[Priority],MATCH(Table_NFI[[#This Row],[Pcode]],CampList[CP_Pcode],0)-1,0,1,1))</f>
        <v>P4</v>
      </c>
      <c r="AS322" s="351">
        <f>IFERROR(Table_NFI[[#This Row],[Kitchen Set]]/VLOOKUP(Table_NFI[[#This Row],[Camp Name]],CL,4,0),"")</f>
        <v>0</v>
      </c>
      <c r="AT322" s="533" t="s">
        <v>1094</v>
      </c>
      <c r="AU322" s="536"/>
    </row>
    <row r="323" spans="1:47" s="537" customFormat="1" hidden="1" x14ac:dyDescent="0.25">
      <c r="A323" s="355">
        <f t="shared" si="4"/>
        <v>32.1</v>
      </c>
      <c r="B323" s="532">
        <v>41608</v>
      </c>
      <c r="C323" s="533" t="s">
        <v>907</v>
      </c>
      <c r="D323" s="533"/>
      <c r="E323" s="533" t="s">
        <v>380</v>
      </c>
      <c r="F323" s="348" t="s">
        <v>5</v>
      </c>
      <c r="G323" s="348" t="s">
        <v>18</v>
      </c>
      <c r="H323" s="349"/>
      <c r="I323" s="349"/>
      <c r="J323" s="349"/>
      <c r="K323" s="349"/>
      <c r="L323" s="350"/>
      <c r="M323" s="350"/>
      <c r="N323" s="350"/>
      <c r="O323" s="350"/>
      <c r="P323" s="352"/>
      <c r="Q323" s="352">
        <v>120</v>
      </c>
      <c r="R323" s="352"/>
      <c r="S323" s="352"/>
      <c r="T323" s="352"/>
      <c r="U323" s="352"/>
      <c r="V323" s="497"/>
      <c r="W323" s="352"/>
      <c r="X323" s="352"/>
      <c r="Y323" s="352">
        <f>IF(NFI_Expiration=1,IF($A323&lt;VLOOKUP(H$5,NFI,5,0),1,0)*Table_NFI[[#This Row],[Hygiene Kit]],Table_NFI[Hygiene Kit])</f>
        <v>0</v>
      </c>
      <c r="Z323" s="352">
        <f>IF(NFI_Expiration=1,IF($A323&lt;VLOOKUP(I$5,NFI,5,0),1,0)*Table_NFI[[#This Row],[NFI Core Kit]],Table_NFI[NFI Core Kit])</f>
        <v>0</v>
      </c>
      <c r="AA323" s="352">
        <f>IF(NFI_Expiration=1,IF($A323&lt;VLOOKUP(J$5,NFI,5,0),1,0)*Table_NFI[[#This Row],[Sanitary Kit]],Table_NFI[Sanitary Kit])</f>
        <v>0</v>
      </c>
      <c r="AB323" s="352">
        <f>IF(NFI_Expiration=1,IF($A323&lt;VLOOKUP(K$5,NFI,5,0),1,0)*Table_NFI[[#This Row],[Mosquito net]],Table_NFI[Mosquito net])</f>
        <v>0</v>
      </c>
      <c r="AC323" s="352">
        <f>IF(NFI_Expiration=1,IF($A323&lt;VLOOKUP(L$5,NFI,5,0),1,0)*Table_NFI[[#This Row],[Tarpaulin]],Table_NFI[[#This Row],[Tarpaulin]])</f>
        <v>0</v>
      </c>
      <c r="AD323" s="352">
        <f>IF(NFI_Expiration=1,IF($A323&lt;VLOOKUP(M$5,NFI,5,0),1,0)*Table_NFI[[#This Row],[Blanket]],Table_NFI[[#This Row],[Blanket]])</f>
        <v>0</v>
      </c>
      <c r="AE323" s="352">
        <f>IF(NFI_Expiration=1,IF($A323&lt;VLOOKUP(N$5,NFI,5,0),1,0)*Table_NFI[[#This Row],[Kitchen Set]],Table_NFI[Kitchen Set])</f>
        <v>0</v>
      </c>
      <c r="AF323" s="352">
        <f>IF(NFI_Expiration=1,IF($A323&lt;VLOOKUP(O$5,NFI,5,0),1,0)*Table_NFI[[#This Row],[Clothes Kit]],Table_NFI[Clothes Kit])</f>
        <v>0</v>
      </c>
      <c r="AG323" s="352">
        <f>IF(NFI_Expiration=1,IF($A323&lt;VLOOKUP(P$5,NFI,5,0),1,0)*Table_NFI[[#This Row],[Plastic Bucket]],Table_NFI[Plastic Bucket])</f>
        <v>0</v>
      </c>
      <c r="AH323" s="352">
        <f>IF(NFI_Expiration=1,IF($A323&lt;VLOOKUP(Q$5,NFI,5,0),1,0)*Table_NFI[[#This Row],[Plastic Mat]],Table_NFI[Plastic Mat])*IF(Table_NFI[[#This Row],[Distribution Date]]&gt;"2014-04-01",1,2.5)</f>
        <v>0</v>
      </c>
      <c r="AI323" s="352">
        <f>IF(NFI_Expiration=1,IF($A323&lt;VLOOKUP(R$5,NFI,5,0),1,0)*Table_NFI[[#This Row],[Winter Clothes Adult]],Table_NFI[Winter Clothes Adult])</f>
        <v>0</v>
      </c>
      <c r="AJ323" s="352">
        <f>IF(NFI_Expiration=1,IF($A323&lt;VLOOKUP(S$5,NFI,5,0),1,0)*Table_NFI[[#This Row],[Winter Clothes Children]],Table_NFI[Winter Clothes Children])</f>
        <v>0</v>
      </c>
      <c r="AK323" s="352">
        <f>IF(NFI_Expiration=1,IF($A323&lt;VLOOKUP(T$5,NFI,5,0),1,0)*Table_NFI[[#This Row],[Winter Items Other]],Table_NFI[Winter Items Other])</f>
        <v>0</v>
      </c>
      <c r="AL323" s="352">
        <f>IF(NFI_Expiration=1,IF($A323&lt;VLOOKUP(M$5,NFI,5,0),1,0)*Table_NFI[[#This Row],[Winter Blanket]],Table_NFI[[#This Row],[Winter Blanket]])</f>
        <v>0</v>
      </c>
      <c r="AM323" s="352">
        <f>IF(Table_NFI[[#This Row],[Winter Clothes Adult]]+Table_NFI[[#This Row],[Winter Clothes Children]]+Table_NFI[[#This Row],[Winter Items Other]]+Table_NFI[[#This Row],[Winter Blanket]]&gt;0,1,0)</f>
        <v>0</v>
      </c>
      <c r="AN323" s="392">
        <f>IF(NFI_Expiration=1,IF($A323&lt;VLOOKUP(V$5,NFI,5,0),1,0)*Table_NFI[[#This Row],[Jerry Can]],Table_NFI[Jerry Can])</f>
        <v>0</v>
      </c>
      <c r="AO323" s="540" t="str">
        <f>IFERROR(VLOOKUP(Table_NFI[[#This Row],[Camp Name]],CL,2,0),"")</f>
        <v>MMR001CMP049</v>
      </c>
      <c r="AP323" s="535">
        <f ca="1">IF(Table_NFI[[#This Row],[Pcode]]="","",IF(OFFSET(CampList[Opening Date],MATCH(Table_NFI[[#This Row],[Pcode]],CampList[CP_Pcode],0)-1,0,1,1)&gt;=NFI_Monitor_Date,1,0))</f>
        <v>0</v>
      </c>
      <c r="AQ323" s="540" t="str">
        <f>IFERROR(VLOOKUP(Table_NFI[[#This Row],[Camp Name]],CL,3,0),"")</f>
        <v>Open</v>
      </c>
      <c r="AR323" s="352" t="str">
        <f ca="1">IF(Table_NFI[[#This Row],[Pcode]]="","",OFFSET(CampList[Priority],MATCH(Table_NFI[[#This Row],[Pcode]],CampList[CP_Pcode],0)-1,0,1,1))</f>
        <v>P4</v>
      </c>
      <c r="AS323" s="351">
        <f>IFERROR(Table_NFI[[#This Row],[Kitchen Set]]/VLOOKUP(Table_NFI[[#This Row],[Camp Name]],CL,4,0),"")</f>
        <v>0</v>
      </c>
      <c r="AT323" s="533" t="s">
        <v>1094</v>
      </c>
      <c r="AU323" s="536"/>
    </row>
    <row r="324" spans="1:47" s="537" customFormat="1" hidden="1" x14ac:dyDescent="0.25">
      <c r="A324" s="355">
        <f t="shared" si="4"/>
        <v>54.6</v>
      </c>
      <c r="B324" s="532">
        <v>40933</v>
      </c>
      <c r="C324" s="533" t="s">
        <v>907</v>
      </c>
      <c r="D324" s="533"/>
      <c r="E324" s="533" t="s">
        <v>380</v>
      </c>
      <c r="F324" s="348" t="s">
        <v>5</v>
      </c>
      <c r="G324" s="348" t="s">
        <v>18</v>
      </c>
      <c r="H324" s="352">
        <v>94</v>
      </c>
      <c r="I324" s="349"/>
      <c r="J324" s="349"/>
      <c r="K324" s="349"/>
      <c r="L324" s="350"/>
      <c r="M324" s="350"/>
      <c r="N324" s="350"/>
      <c r="O324" s="350"/>
      <c r="P324" s="352"/>
      <c r="Q324" s="392"/>
      <c r="R324" s="392"/>
      <c r="S324" s="392"/>
      <c r="T324" s="392"/>
      <c r="U324" s="392"/>
      <c r="V324" s="497"/>
      <c r="W324" s="392"/>
      <c r="X324" s="392"/>
      <c r="Y324" s="352">
        <f>IF(NFI_Expiration=1,IF($A324&lt;VLOOKUP(H$5,NFI,5,0),1,0)*Table_NFI[[#This Row],[Hygiene Kit]],Table_NFI[Hygiene Kit])</f>
        <v>0</v>
      </c>
      <c r="Z324" s="352">
        <f>IF(NFI_Expiration=1,IF($A324&lt;VLOOKUP(I$5,NFI,5,0),1,0)*Table_NFI[[#This Row],[NFI Core Kit]],Table_NFI[NFI Core Kit])</f>
        <v>0</v>
      </c>
      <c r="AA324" s="352">
        <f>IF(NFI_Expiration=1,IF($A324&lt;VLOOKUP(J$5,NFI,5,0),1,0)*Table_NFI[[#This Row],[Sanitary Kit]],Table_NFI[Sanitary Kit])</f>
        <v>0</v>
      </c>
      <c r="AB324" s="352">
        <f>IF(NFI_Expiration=1,IF($A324&lt;VLOOKUP(K$5,NFI,5,0),1,0)*Table_NFI[[#This Row],[Mosquito net]],Table_NFI[Mosquito net])</f>
        <v>0</v>
      </c>
      <c r="AC324" s="352">
        <f>IF(NFI_Expiration=1,IF($A324&lt;VLOOKUP(L$5,NFI,5,0),1,0)*Table_NFI[[#This Row],[Tarpaulin]],Table_NFI[[#This Row],[Tarpaulin]])</f>
        <v>0</v>
      </c>
      <c r="AD324" s="352">
        <f>IF(NFI_Expiration=1,IF($A324&lt;VLOOKUP(M$5,NFI,5,0),1,0)*Table_NFI[[#This Row],[Blanket]],Table_NFI[[#This Row],[Blanket]])</f>
        <v>0</v>
      </c>
      <c r="AE324" s="352">
        <f>IF(NFI_Expiration=1,IF($A324&lt;VLOOKUP(N$5,NFI,5,0),1,0)*Table_NFI[[#This Row],[Kitchen Set]],Table_NFI[Kitchen Set])</f>
        <v>0</v>
      </c>
      <c r="AF324" s="352">
        <f>IF(NFI_Expiration=1,IF($A324&lt;VLOOKUP(O$5,NFI,5,0),1,0)*Table_NFI[[#This Row],[Clothes Kit]],Table_NFI[Clothes Kit])</f>
        <v>0</v>
      </c>
      <c r="AG324" s="352">
        <f>IF(NFI_Expiration=1,IF($A324&lt;VLOOKUP(P$5,NFI,5,0),1,0)*Table_NFI[[#This Row],[Plastic Bucket]],Table_NFI[Plastic Bucket])</f>
        <v>0</v>
      </c>
      <c r="AH324" s="352">
        <f>IF(NFI_Expiration=1,IF($A324&lt;VLOOKUP(Q$5,NFI,5,0),1,0)*Table_NFI[[#This Row],[Plastic Mat]],Table_NFI[Plastic Mat])*IF(Table_NFI[[#This Row],[Distribution Date]]&gt;"2014-04-01",1,2.5)</f>
        <v>0</v>
      </c>
      <c r="AI324" s="352">
        <f>IF(NFI_Expiration=1,IF($A324&lt;VLOOKUP(R$5,NFI,5,0),1,0)*Table_NFI[[#This Row],[Winter Clothes Adult]],Table_NFI[Winter Clothes Adult])</f>
        <v>0</v>
      </c>
      <c r="AJ324" s="352">
        <f>IF(NFI_Expiration=1,IF($A324&lt;VLOOKUP(S$5,NFI,5,0),1,0)*Table_NFI[[#This Row],[Winter Clothes Children]],Table_NFI[Winter Clothes Children])</f>
        <v>0</v>
      </c>
      <c r="AK324" s="352">
        <f>IF(NFI_Expiration=1,IF($A324&lt;VLOOKUP(T$5,NFI,5,0),1,0)*Table_NFI[[#This Row],[Winter Items Other]],Table_NFI[Winter Items Other])</f>
        <v>0</v>
      </c>
      <c r="AL324" s="352">
        <f>IF(NFI_Expiration=1,IF($A324&lt;VLOOKUP(M$5,NFI,5,0),1,0)*Table_NFI[[#This Row],[Winter Blanket]],Table_NFI[[#This Row],[Winter Blanket]])</f>
        <v>0</v>
      </c>
      <c r="AM324" s="352">
        <f>IF(Table_NFI[[#This Row],[Winter Clothes Adult]]+Table_NFI[[#This Row],[Winter Clothes Children]]+Table_NFI[[#This Row],[Winter Items Other]]+Table_NFI[[#This Row],[Winter Blanket]]&gt;0,1,0)</f>
        <v>0</v>
      </c>
      <c r="AN324" s="392">
        <f>IF(NFI_Expiration=1,IF($A324&lt;VLOOKUP(V$5,NFI,5,0),1,0)*Table_NFI[[#This Row],[Jerry Can]],Table_NFI[Jerry Can])</f>
        <v>0</v>
      </c>
      <c r="AO324" s="540" t="str">
        <f>IFERROR(VLOOKUP(Table_NFI[[#This Row],[Camp Name]],CL,2,0),"")</f>
        <v>MMR001CMP049</v>
      </c>
      <c r="AP324" s="535">
        <f ca="1">IF(Table_NFI[[#This Row],[Pcode]]="","",IF(OFFSET(CampList[Opening Date],MATCH(Table_NFI[[#This Row],[Pcode]],CampList[CP_Pcode],0)-1,0,1,1)&gt;=NFI_Monitor_Date,1,0))</f>
        <v>0</v>
      </c>
      <c r="AQ324" s="540" t="str">
        <f>IFERROR(VLOOKUP(Table_NFI[[#This Row],[Camp Name]],CL,3,0),"")</f>
        <v>Open</v>
      </c>
      <c r="AR324" s="352" t="str">
        <f ca="1">IF(Table_NFI[[#This Row],[Pcode]]="","",OFFSET(CampList[Priority],MATCH(Table_NFI[[#This Row],[Pcode]],CampList[CP_Pcode],0)-1,0,1,1))</f>
        <v>P4</v>
      </c>
      <c r="AS324" s="351">
        <f>IFERROR(Table_NFI[[#This Row],[Kitchen Set]]/VLOOKUP(Table_NFI[[#This Row],[Camp Name]],CL,4,0),"")</f>
        <v>0</v>
      </c>
      <c r="AT324" s="533"/>
      <c r="AU324" s="536"/>
    </row>
    <row r="325" spans="1:47" s="537" customFormat="1" ht="14.45" customHeight="1" x14ac:dyDescent="0.25">
      <c r="A325" s="355">
        <f t="shared" si="4"/>
        <v>26.666666666666668</v>
      </c>
      <c r="B325" s="532">
        <v>41771</v>
      </c>
      <c r="C325" s="533" t="s">
        <v>453</v>
      </c>
      <c r="D325" s="533"/>
      <c r="E325" s="533" t="s">
        <v>554</v>
      </c>
      <c r="F325" s="533" t="s">
        <v>230</v>
      </c>
      <c r="G325" s="533" t="s">
        <v>1065</v>
      </c>
      <c r="H325" s="349"/>
      <c r="I325" s="349"/>
      <c r="J325" s="349"/>
      <c r="K325" s="349">
        <v>82</v>
      </c>
      <c r="L325" s="350">
        <v>41</v>
      </c>
      <c r="M325" s="350">
        <v>82</v>
      </c>
      <c r="N325" s="350">
        <v>41</v>
      </c>
      <c r="O325" s="350"/>
      <c r="P325" s="352">
        <v>41</v>
      </c>
      <c r="Q325" s="352">
        <v>205</v>
      </c>
      <c r="R325" s="352"/>
      <c r="S325" s="352"/>
      <c r="T325" s="352"/>
      <c r="U325" s="352"/>
      <c r="V325" s="497"/>
      <c r="W325" s="352"/>
      <c r="X325" s="352"/>
      <c r="Y325" s="352">
        <f>IF(NFI_Expiration=1,IF($A325&lt;VLOOKUP(H$5,NFI,5,0),1,0)*Table_NFI[[#This Row],[Hygiene Kit]],Table_NFI[Hygiene Kit])</f>
        <v>0</v>
      </c>
      <c r="Z325" s="352">
        <f>IF(NFI_Expiration=1,IF($A325&lt;VLOOKUP(I$5,NFI,5,0),1,0)*Table_NFI[[#This Row],[NFI Core Kit]],Table_NFI[NFI Core Kit])</f>
        <v>0</v>
      </c>
      <c r="AA325" s="352">
        <f>IF(NFI_Expiration=1,IF($A325&lt;VLOOKUP(J$5,NFI,5,0),1,0)*Table_NFI[[#This Row],[Sanitary Kit]],Table_NFI[Sanitary Kit])</f>
        <v>0</v>
      </c>
      <c r="AB325" s="352">
        <f>IF(NFI_Expiration=1,IF($A325&lt;VLOOKUP(K$5,NFI,5,0),1,0)*Table_NFI[[#This Row],[Mosquito net]],Table_NFI[Mosquito net])</f>
        <v>0</v>
      </c>
      <c r="AC325" s="352">
        <f>IF(NFI_Expiration=1,IF($A325&lt;VLOOKUP(L$5,NFI,5,0),1,0)*Table_NFI[[#This Row],[Tarpaulin]],Table_NFI[[#This Row],[Tarpaulin]])</f>
        <v>0</v>
      </c>
      <c r="AD325" s="352">
        <f>IF(NFI_Expiration=1,IF($A325&lt;VLOOKUP(M$5,NFI,5,0),1,0)*Table_NFI[[#This Row],[Blanket]],Table_NFI[[#This Row],[Blanket]])</f>
        <v>0</v>
      </c>
      <c r="AE325" s="352">
        <f>IF(NFI_Expiration=1,IF($A325&lt;VLOOKUP(N$5,NFI,5,0),1,0)*Table_NFI[[#This Row],[Kitchen Set]],Table_NFI[Kitchen Set])</f>
        <v>0</v>
      </c>
      <c r="AF325" s="352">
        <f>IF(NFI_Expiration=1,IF($A325&lt;VLOOKUP(O$5,NFI,5,0),1,0)*Table_NFI[[#This Row],[Clothes Kit]],Table_NFI[Clothes Kit])</f>
        <v>0</v>
      </c>
      <c r="AG325" s="352">
        <f>IF(NFI_Expiration=1,IF($A325&lt;VLOOKUP(P$5,NFI,5,0),1,0)*Table_NFI[[#This Row],[Plastic Bucket]],Table_NFI[Plastic Bucket])</f>
        <v>0</v>
      </c>
      <c r="AH325" s="352">
        <f>IF(NFI_Expiration=1,IF($A325&lt;VLOOKUP(Q$5,NFI,5,0),1,0)*Table_NFI[[#This Row],[Plastic Mat]],Table_NFI[Plastic Mat])*IF(Table_NFI[[#This Row],[Distribution Date]]&gt;"2014-04-01",1,2.5)</f>
        <v>0</v>
      </c>
      <c r="AI325" s="352">
        <f>IF(NFI_Expiration=1,IF($A325&lt;VLOOKUP(R$5,NFI,5,0),1,0)*Table_NFI[[#This Row],[Winter Clothes Adult]],Table_NFI[Winter Clothes Adult])</f>
        <v>0</v>
      </c>
      <c r="AJ325" s="352">
        <f>IF(NFI_Expiration=1,IF($A325&lt;VLOOKUP(S$5,NFI,5,0),1,0)*Table_NFI[[#This Row],[Winter Clothes Children]],Table_NFI[Winter Clothes Children])</f>
        <v>0</v>
      </c>
      <c r="AK325" s="352">
        <f>IF(NFI_Expiration=1,IF($A325&lt;VLOOKUP(T$5,NFI,5,0),1,0)*Table_NFI[[#This Row],[Winter Items Other]],Table_NFI[Winter Items Other])</f>
        <v>0</v>
      </c>
      <c r="AL325" s="352">
        <f>IF(NFI_Expiration=1,IF($A325&lt;VLOOKUP(M$5,NFI,5,0),1,0)*Table_NFI[[#This Row],[Winter Blanket]],Table_NFI[[#This Row],[Winter Blanket]])</f>
        <v>0</v>
      </c>
      <c r="AM325" s="352">
        <f>IF(Table_NFI[[#This Row],[Winter Clothes Adult]]+Table_NFI[[#This Row],[Winter Clothes Children]]+Table_NFI[[#This Row],[Winter Items Other]]+Table_NFI[[#This Row],[Winter Blanket]]&gt;0,1,0)</f>
        <v>0</v>
      </c>
      <c r="AN325" s="392">
        <f>IF(NFI_Expiration=1,IF($A325&lt;VLOOKUP(V$5,NFI,5,0),1,0)*Table_NFI[[#This Row],[Jerry Can]],Table_NFI[Jerry Can])</f>
        <v>0</v>
      </c>
      <c r="AO325" s="540" t="str">
        <f>IFERROR(VLOOKUP(Table_NFI[[#This Row],[Camp Name]],CL,2,0),"")</f>
        <v>MMR015CMP216</v>
      </c>
      <c r="AP325" s="535">
        <f ca="1">IF(Table_NFI[[#This Row],[Pcode]]="","",IF(OFFSET(CampList[Opening Date],MATCH(Table_NFI[[#This Row],[Pcode]],CampList[CP_Pcode],0)-1,0,1,1)&gt;=NFI_Monitor_Date,1,0))</f>
        <v>1</v>
      </c>
      <c r="AQ325" s="540" t="str">
        <f>IFERROR(VLOOKUP(Table_NFI[[#This Row],[Camp Name]],CL,3,0),"")</f>
        <v>Open</v>
      </c>
      <c r="AR325" s="352" t="str">
        <f ca="1">IF(Table_NFI[[#This Row],[Pcode]]="","",OFFSET(CampList[Priority],MATCH(Table_NFI[[#This Row],[Pcode]],CampList[CP_Pcode],0)-1,0,1,1))</f>
        <v>P4</v>
      </c>
      <c r="AS325" s="351">
        <f>IFERROR(Table_NFI[[#This Row],[Kitchen Set]]/VLOOKUP(Table_NFI[[#This Row],[Camp Name]],CL,4,0),"")</f>
        <v>1.5769230769230769</v>
      </c>
      <c r="AT325" s="533"/>
      <c r="AU325" s="536"/>
    </row>
    <row r="326" spans="1:47" s="537" customFormat="1" hidden="1" x14ac:dyDescent="0.25">
      <c r="A326" s="355">
        <f t="shared" ref="A326:A389" si="5">IF(ISBLANK(B326),"",(Report_Date-B326)/30)</f>
        <v>42.93333333333333</v>
      </c>
      <c r="B326" s="532">
        <v>41283</v>
      </c>
      <c r="C326" s="533" t="s">
        <v>907</v>
      </c>
      <c r="D326" s="534" t="s">
        <v>907</v>
      </c>
      <c r="E326" s="533" t="s">
        <v>380</v>
      </c>
      <c r="F326" s="348" t="s">
        <v>5</v>
      </c>
      <c r="G326" s="348" t="s">
        <v>18</v>
      </c>
      <c r="H326" s="349">
        <v>205</v>
      </c>
      <c r="I326" s="349"/>
      <c r="J326" s="349"/>
      <c r="K326" s="349"/>
      <c r="L326" s="350"/>
      <c r="M326" s="350"/>
      <c r="N326" s="350"/>
      <c r="O326" s="350"/>
      <c r="P326" s="352">
        <v>0</v>
      </c>
      <c r="Q326" s="352">
        <v>0</v>
      </c>
      <c r="R326" s="352"/>
      <c r="S326" s="352"/>
      <c r="T326" s="352"/>
      <c r="U326" s="352"/>
      <c r="V326" s="497"/>
      <c r="W326" s="352"/>
      <c r="X326" s="352"/>
      <c r="Y326" s="352">
        <f>IF(NFI_Expiration=1,IF($A326&lt;VLOOKUP(H$5,NFI,5,0),1,0)*Table_NFI[[#This Row],[Hygiene Kit]],Table_NFI[Hygiene Kit])</f>
        <v>0</v>
      </c>
      <c r="Z326" s="352">
        <f>IF(NFI_Expiration=1,IF($A326&lt;VLOOKUP(I$5,NFI,5,0),1,0)*Table_NFI[[#This Row],[NFI Core Kit]],Table_NFI[NFI Core Kit])</f>
        <v>0</v>
      </c>
      <c r="AA326" s="352">
        <f>IF(NFI_Expiration=1,IF($A326&lt;VLOOKUP(J$5,NFI,5,0),1,0)*Table_NFI[[#This Row],[Sanitary Kit]],Table_NFI[Sanitary Kit])</f>
        <v>0</v>
      </c>
      <c r="AB326" s="352">
        <f>IF(NFI_Expiration=1,IF($A326&lt;VLOOKUP(K$5,NFI,5,0),1,0)*Table_NFI[[#This Row],[Mosquito net]],Table_NFI[Mosquito net])</f>
        <v>0</v>
      </c>
      <c r="AC326" s="352">
        <f>IF(NFI_Expiration=1,IF($A326&lt;VLOOKUP(L$5,NFI,5,0),1,0)*Table_NFI[[#This Row],[Tarpaulin]],Table_NFI[[#This Row],[Tarpaulin]])</f>
        <v>0</v>
      </c>
      <c r="AD326" s="352">
        <f>IF(NFI_Expiration=1,IF($A326&lt;VLOOKUP(M$5,NFI,5,0),1,0)*Table_NFI[[#This Row],[Blanket]],Table_NFI[[#This Row],[Blanket]])</f>
        <v>0</v>
      </c>
      <c r="AE326" s="352">
        <f>IF(NFI_Expiration=1,IF($A326&lt;VLOOKUP(N$5,NFI,5,0),1,0)*Table_NFI[[#This Row],[Kitchen Set]],Table_NFI[Kitchen Set])</f>
        <v>0</v>
      </c>
      <c r="AF326" s="352">
        <f>IF(NFI_Expiration=1,IF($A326&lt;VLOOKUP(O$5,NFI,5,0),1,0)*Table_NFI[[#This Row],[Clothes Kit]],Table_NFI[Clothes Kit])</f>
        <v>0</v>
      </c>
      <c r="AG326" s="352">
        <f>IF(NFI_Expiration=1,IF($A326&lt;VLOOKUP(P$5,NFI,5,0),1,0)*Table_NFI[[#This Row],[Plastic Bucket]],Table_NFI[Plastic Bucket])</f>
        <v>0</v>
      </c>
      <c r="AH326" s="352">
        <f>IF(NFI_Expiration=1,IF($A326&lt;VLOOKUP(Q$5,NFI,5,0),1,0)*Table_NFI[[#This Row],[Plastic Mat]],Table_NFI[Plastic Mat])*IF(Table_NFI[[#This Row],[Distribution Date]]&gt;"2014-04-01",1,2.5)</f>
        <v>0</v>
      </c>
      <c r="AI326" s="352">
        <f>IF(NFI_Expiration=1,IF($A326&lt;VLOOKUP(R$5,NFI,5,0),1,0)*Table_NFI[[#This Row],[Winter Clothes Adult]],Table_NFI[Winter Clothes Adult])</f>
        <v>0</v>
      </c>
      <c r="AJ326" s="352">
        <f>IF(NFI_Expiration=1,IF($A326&lt;VLOOKUP(S$5,NFI,5,0),1,0)*Table_NFI[[#This Row],[Winter Clothes Children]],Table_NFI[Winter Clothes Children])</f>
        <v>0</v>
      </c>
      <c r="AK326" s="352">
        <f>IF(NFI_Expiration=1,IF($A326&lt;VLOOKUP(T$5,NFI,5,0),1,0)*Table_NFI[[#This Row],[Winter Items Other]],Table_NFI[Winter Items Other])</f>
        <v>0</v>
      </c>
      <c r="AL326" s="352">
        <f>IF(NFI_Expiration=1,IF($A326&lt;VLOOKUP(M$5,NFI,5,0),1,0)*Table_NFI[[#This Row],[Winter Blanket]],Table_NFI[[#This Row],[Winter Blanket]])</f>
        <v>0</v>
      </c>
      <c r="AM326" s="352">
        <f>IF(Table_NFI[[#This Row],[Winter Clothes Adult]]+Table_NFI[[#This Row],[Winter Clothes Children]]+Table_NFI[[#This Row],[Winter Items Other]]+Table_NFI[[#This Row],[Winter Blanket]]&gt;0,1,0)</f>
        <v>0</v>
      </c>
      <c r="AN326" s="392">
        <f>IF(NFI_Expiration=1,IF($A326&lt;VLOOKUP(V$5,NFI,5,0),1,0)*Table_NFI[[#This Row],[Jerry Can]],Table_NFI[Jerry Can])</f>
        <v>0</v>
      </c>
      <c r="AO326" s="540" t="str">
        <f>IFERROR(VLOOKUP(Table_NFI[[#This Row],[Camp Name]],CL,2,0),"")</f>
        <v>MMR001CMP049</v>
      </c>
      <c r="AP326" s="535">
        <f ca="1">IF(Table_NFI[[#This Row],[Pcode]]="","",IF(OFFSET(CampList[Opening Date],MATCH(Table_NFI[[#This Row],[Pcode]],CampList[CP_Pcode],0)-1,0,1,1)&gt;=NFI_Monitor_Date,1,0))</f>
        <v>0</v>
      </c>
      <c r="AQ326" s="540" t="str">
        <f>IFERROR(VLOOKUP(Table_NFI[[#This Row],[Camp Name]],CL,3,0),"")</f>
        <v>Open</v>
      </c>
      <c r="AR326" s="352" t="str">
        <f ca="1">IF(Table_NFI[[#This Row],[Pcode]]="","",OFFSET(CampList[Priority],MATCH(Table_NFI[[#This Row],[Pcode]],CampList[CP_Pcode],0)-1,0,1,1))</f>
        <v>P4</v>
      </c>
      <c r="AS326" s="351">
        <f>IFERROR(Table_NFI[[#This Row],[Kitchen Set]]/VLOOKUP(Table_NFI[[#This Row],[Camp Name]],CL,4,0),"")</f>
        <v>0</v>
      </c>
      <c r="AT326" s="533" t="s">
        <v>1094</v>
      </c>
      <c r="AU326" s="536"/>
    </row>
    <row r="327" spans="1:47" s="537" customFormat="1" ht="14.45" customHeight="1" x14ac:dyDescent="0.25">
      <c r="A327" s="355">
        <f t="shared" si="5"/>
        <v>26.7</v>
      </c>
      <c r="B327" s="532">
        <v>41770</v>
      </c>
      <c r="C327" s="533" t="s">
        <v>453</v>
      </c>
      <c r="D327" s="533"/>
      <c r="E327" s="533" t="s">
        <v>554</v>
      </c>
      <c r="F327" s="533" t="s">
        <v>230</v>
      </c>
      <c r="G327" s="533" t="s">
        <v>1055</v>
      </c>
      <c r="H327" s="349"/>
      <c r="I327" s="349"/>
      <c r="J327" s="349"/>
      <c r="K327" s="349">
        <v>138</v>
      </c>
      <c r="L327" s="350">
        <v>19</v>
      </c>
      <c r="M327" s="350">
        <v>238</v>
      </c>
      <c r="N327" s="350">
        <v>19</v>
      </c>
      <c r="O327" s="350">
        <v>0</v>
      </c>
      <c r="P327" s="352">
        <v>19</v>
      </c>
      <c r="Q327" s="352">
        <v>95</v>
      </c>
      <c r="R327" s="352"/>
      <c r="S327" s="352"/>
      <c r="T327" s="352"/>
      <c r="U327" s="352"/>
      <c r="V327" s="497"/>
      <c r="W327" s="352"/>
      <c r="X327" s="352"/>
      <c r="Y327" s="352">
        <f>IF(NFI_Expiration=1,IF($A327&lt;VLOOKUP(H$5,NFI,5,0),1,0)*Table_NFI[[#This Row],[Hygiene Kit]],Table_NFI[Hygiene Kit])</f>
        <v>0</v>
      </c>
      <c r="Z327" s="352">
        <f>IF(NFI_Expiration=1,IF($A327&lt;VLOOKUP(I$5,NFI,5,0),1,0)*Table_NFI[[#This Row],[NFI Core Kit]],Table_NFI[NFI Core Kit])</f>
        <v>0</v>
      </c>
      <c r="AA327" s="352">
        <f>IF(NFI_Expiration=1,IF($A327&lt;VLOOKUP(J$5,NFI,5,0),1,0)*Table_NFI[[#This Row],[Sanitary Kit]],Table_NFI[Sanitary Kit])</f>
        <v>0</v>
      </c>
      <c r="AB327" s="352">
        <f>IF(NFI_Expiration=1,IF($A327&lt;VLOOKUP(K$5,NFI,5,0),1,0)*Table_NFI[[#This Row],[Mosquito net]],Table_NFI[Mosquito net])</f>
        <v>0</v>
      </c>
      <c r="AC327" s="352">
        <f>IF(NFI_Expiration=1,IF($A327&lt;VLOOKUP(L$5,NFI,5,0),1,0)*Table_NFI[[#This Row],[Tarpaulin]],Table_NFI[[#This Row],[Tarpaulin]])</f>
        <v>0</v>
      </c>
      <c r="AD327" s="352">
        <f>IF(NFI_Expiration=1,IF($A327&lt;VLOOKUP(M$5,NFI,5,0),1,0)*Table_NFI[[#This Row],[Blanket]],Table_NFI[[#This Row],[Blanket]])</f>
        <v>0</v>
      </c>
      <c r="AE327" s="352">
        <f>IF(NFI_Expiration=1,IF($A327&lt;VLOOKUP(N$5,NFI,5,0),1,0)*Table_NFI[[#This Row],[Kitchen Set]],Table_NFI[Kitchen Set])</f>
        <v>0</v>
      </c>
      <c r="AF327" s="352">
        <f>IF(NFI_Expiration=1,IF($A327&lt;VLOOKUP(O$5,NFI,5,0),1,0)*Table_NFI[[#This Row],[Clothes Kit]],Table_NFI[Clothes Kit])</f>
        <v>0</v>
      </c>
      <c r="AG327" s="352">
        <f>IF(NFI_Expiration=1,IF($A327&lt;VLOOKUP(P$5,NFI,5,0),1,0)*Table_NFI[[#This Row],[Plastic Bucket]],Table_NFI[Plastic Bucket])</f>
        <v>0</v>
      </c>
      <c r="AH327" s="352">
        <f>IF(NFI_Expiration=1,IF($A327&lt;VLOOKUP(Q$5,NFI,5,0),1,0)*Table_NFI[[#This Row],[Plastic Mat]],Table_NFI[Plastic Mat])*IF(Table_NFI[[#This Row],[Distribution Date]]&gt;"2014-04-01",1,2.5)</f>
        <v>0</v>
      </c>
      <c r="AI327" s="352">
        <f>IF(NFI_Expiration=1,IF($A327&lt;VLOOKUP(R$5,NFI,5,0),1,0)*Table_NFI[[#This Row],[Winter Clothes Adult]],Table_NFI[Winter Clothes Adult])</f>
        <v>0</v>
      </c>
      <c r="AJ327" s="352">
        <f>IF(NFI_Expiration=1,IF($A327&lt;VLOOKUP(S$5,NFI,5,0),1,0)*Table_NFI[[#This Row],[Winter Clothes Children]],Table_NFI[Winter Clothes Children])</f>
        <v>0</v>
      </c>
      <c r="AK327" s="352">
        <f>IF(NFI_Expiration=1,IF($A327&lt;VLOOKUP(T$5,NFI,5,0),1,0)*Table_NFI[[#This Row],[Winter Items Other]],Table_NFI[Winter Items Other])</f>
        <v>0</v>
      </c>
      <c r="AL327" s="352">
        <f>IF(NFI_Expiration=1,IF($A327&lt;VLOOKUP(M$5,NFI,5,0),1,0)*Table_NFI[[#This Row],[Winter Blanket]],Table_NFI[[#This Row],[Winter Blanket]])</f>
        <v>0</v>
      </c>
      <c r="AM327" s="352">
        <f>IF(Table_NFI[[#This Row],[Winter Clothes Adult]]+Table_NFI[[#This Row],[Winter Clothes Children]]+Table_NFI[[#This Row],[Winter Items Other]]+Table_NFI[[#This Row],[Winter Blanket]]&gt;0,1,0)</f>
        <v>0</v>
      </c>
      <c r="AN327" s="392">
        <f>IF(NFI_Expiration=1,IF($A327&lt;VLOOKUP(V$5,NFI,5,0),1,0)*Table_NFI[[#This Row],[Jerry Can]],Table_NFI[Jerry Can])</f>
        <v>0</v>
      </c>
      <c r="AO327" s="540" t="str">
        <f>IFERROR(VLOOKUP(Table_NFI[[#This Row],[Camp Name]],CL,2,0),"")</f>
        <v>MMR015CMP213</v>
      </c>
      <c r="AP327" s="535">
        <f ca="1">IF(Table_NFI[[#This Row],[Pcode]]="","",IF(OFFSET(CampList[Opening Date],MATCH(Table_NFI[[#This Row],[Pcode]],CampList[CP_Pcode],0)-1,0,1,1)&gt;=NFI_Monitor_Date,1,0))</f>
        <v>1</v>
      </c>
      <c r="AQ327" s="540" t="str">
        <f>IFERROR(VLOOKUP(Table_NFI[[#This Row],[Camp Name]],CL,3,0),"")</f>
        <v>Open</v>
      </c>
      <c r="AR327" s="352" t="str">
        <f ca="1">IF(Table_NFI[[#This Row],[Pcode]]="","",OFFSET(CampList[Priority],MATCH(Table_NFI[[#This Row],[Pcode]],CampList[CP_Pcode],0)-1,0,1,1))</f>
        <v>P4</v>
      </c>
      <c r="AS327" s="351">
        <f>IFERROR(Table_NFI[[#This Row],[Kitchen Set]]/VLOOKUP(Table_NFI[[#This Row],[Camp Name]],CL,4,0),"")</f>
        <v>0.36538461538461536</v>
      </c>
      <c r="AT327" s="533"/>
      <c r="AU327" s="536" t="s">
        <v>1235</v>
      </c>
    </row>
    <row r="328" spans="1:47" s="537" customFormat="1" ht="14.45" hidden="1" customHeight="1" x14ac:dyDescent="0.25">
      <c r="A328" s="355">
        <f t="shared" si="5"/>
        <v>21.133333333333333</v>
      </c>
      <c r="B328" s="532">
        <v>41937</v>
      </c>
      <c r="C328" s="533" t="s">
        <v>1096</v>
      </c>
      <c r="D328" s="533" t="s">
        <v>902</v>
      </c>
      <c r="E328" s="533" t="s">
        <v>380</v>
      </c>
      <c r="F328" s="533" t="s">
        <v>185</v>
      </c>
      <c r="G328" s="533" t="s">
        <v>186</v>
      </c>
      <c r="H328" s="349"/>
      <c r="I328" s="349"/>
      <c r="J328" s="349"/>
      <c r="K328" s="349"/>
      <c r="L328" s="350"/>
      <c r="M328" s="350"/>
      <c r="N328" s="350"/>
      <c r="O328" s="350"/>
      <c r="P328" s="352"/>
      <c r="Q328" s="352"/>
      <c r="R328" s="352">
        <v>112</v>
      </c>
      <c r="S328" s="352">
        <v>59</v>
      </c>
      <c r="T328" s="352"/>
      <c r="U328" s="352">
        <v>74</v>
      </c>
      <c r="V328" s="497"/>
      <c r="W328" s="352"/>
      <c r="X328" s="352"/>
      <c r="Y328" s="352">
        <f>IF(NFI_Expiration=1,IF($A328&lt;VLOOKUP(H$5,NFI,5,0),1,0)*Table_NFI[[#This Row],[Hygiene Kit]],Table_NFI[Hygiene Kit])</f>
        <v>0</v>
      </c>
      <c r="Z328" s="352">
        <f>IF(NFI_Expiration=1,IF($A328&lt;VLOOKUP(I$5,NFI,5,0),1,0)*Table_NFI[[#This Row],[NFI Core Kit]],Table_NFI[NFI Core Kit])</f>
        <v>0</v>
      </c>
      <c r="AA328" s="352">
        <f>IF(NFI_Expiration=1,IF($A328&lt;VLOOKUP(J$5,NFI,5,0),1,0)*Table_NFI[[#This Row],[Sanitary Kit]],Table_NFI[Sanitary Kit])</f>
        <v>0</v>
      </c>
      <c r="AB328" s="352">
        <f>IF(NFI_Expiration=1,IF($A328&lt;VLOOKUP(K$5,NFI,5,0),1,0)*Table_NFI[[#This Row],[Mosquito net]],Table_NFI[Mosquito net])</f>
        <v>0</v>
      </c>
      <c r="AC328" s="352">
        <f>IF(NFI_Expiration=1,IF($A328&lt;VLOOKUP(L$5,NFI,5,0),1,0)*Table_NFI[[#This Row],[Tarpaulin]],Table_NFI[[#This Row],[Tarpaulin]])</f>
        <v>0</v>
      </c>
      <c r="AD328" s="352">
        <f>IF(NFI_Expiration=1,IF($A328&lt;VLOOKUP(M$5,NFI,5,0),1,0)*Table_NFI[[#This Row],[Blanket]],Table_NFI[[#This Row],[Blanket]])</f>
        <v>0</v>
      </c>
      <c r="AE328" s="352">
        <f>IF(NFI_Expiration=1,IF($A328&lt;VLOOKUP(N$5,NFI,5,0),1,0)*Table_NFI[[#This Row],[Kitchen Set]],Table_NFI[Kitchen Set])</f>
        <v>0</v>
      </c>
      <c r="AF328" s="352">
        <f>IF(NFI_Expiration=1,IF($A328&lt;VLOOKUP(O$5,NFI,5,0),1,0)*Table_NFI[[#This Row],[Clothes Kit]],Table_NFI[Clothes Kit])</f>
        <v>0</v>
      </c>
      <c r="AG328" s="352">
        <f>IF(NFI_Expiration=1,IF($A328&lt;VLOOKUP(P$5,NFI,5,0),1,0)*Table_NFI[[#This Row],[Plastic Bucket]],Table_NFI[Plastic Bucket])</f>
        <v>0</v>
      </c>
      <c r="AH328" s="352">
        <f>IF(NFI_Expiration=1,IF($A328&lt;VLOOKUP(Q$5,NFI,5,0),1,0)*Table_NFI[[#This Row],[Plastic Mat]],Table_NFI[Plastic Mat])*IF(Table_NFI[[#This Row],[Distribution Date]]&gt;"2014-04-01",1,2.5)</f>
        <v>0</v>
      </c>
      <c r="AI328" s="352">
        <f>IF(NFI_Expiration=1,IF($A328&lt;VLOOKUP(R$5,NFI,5,0),1,0)*Table_NFI[[#This Row],[Winter Clothes Adult]],Table_NFI[Winter Clothes Adult])</f>
        <v>0</v>
      </c>
      <c r="AJ328" s="352">
        <f>IF(NFI_Expiration=1,IF($A328&lt;VLOOKUP(S$5,NFI,5,0),1,0)*Table_NFI[[#This Row],[Winter Clothes Children]],Table_NFI[Winter Clothes Children])</f>
        <v>0</v>
      </c>
      <c r="AK328" s="352">
        <f>IF(NFI_Expiration=1,IF($A328&lt;VLOOKUP(T$5,NFI,5,0),1,0)*Table_NFI[[#This Row],[Winter Items Other]],Table_NFI[Winter Items Other])</f>
        <v>0</v>
      </c>
      <c r="AL328" s="352">
        <f>IF(NFI_Expiration=1,IF($A328&lt;VLOOKUP(M$5,NFI,5,0),1,0)*Table_NFI[[#This Row],[Winter Blanket]],Table_NFI[[#This Row],[Winter Blanket]])</f>
        <v>0</v>
      </c>
      <c r="AM328" s="352">
        <f>IF(Table_NFI[[#This Row],[Winter Clothes Adult]]+Table_NFI[[#This Row],[Winter Clothes Children]]+Table_NFI[[#This Row],[Winter Items Other]]+Table_NFI[[#This Row],[Winter Blanket]]&gt;0,1,0)</f>
        <v>1</v>
      </c>
      <c r="AN328" s="392">
        <f>IF(NFI_Expiration=1,IF($A328&lt;VLOOKUP(V$5,NFI,5,0),1,0)*Table_NFI[[#This Row],[Jerry Can]],Table_NFI[Jerry Can])</f>
        <v>0</v>
      </c>
      <c r="AO328" s="540" t="str">
        <f>IFERROR(VLOOKUP(Table_NFI[[#This Row],[Camp Name]],CL,2,0),"")</f>
        <v>MMR001CMP071</v>
      </c>
      <c r="AP328" s="535">
        <f ca="1">IF(Table_NFI[[#This Row],[Pcode]]="","",IF(OFFSET(CampList[Opening Date],MATCH(Table_NFI[[#This Row],[Pcode]],CampList[CP_Pcode],0)-1,0,1,1)&gt;=NFI_Monitor_Date,1,0))</f>
        <v>0</v>
      </c>
      <c r="AQ328" s="540" t="str">
        <f>IFERROR(VLOOKUP(Table_NFI[[#This Row],[Camp Name]],CL,3,0),"")</f>
        <v>Open</v>
      </c>
      <c r="AR328" s="352" t="str">
        <f ca="1">IF(Table_NFI[[#This Row],[Pcode]]="","",OFFSET(CampList[Priority],MATCH(Table_NFI[[#This Row],[Pcode]],CampList[CP_Pcode],0)-1,0,1,1))</f>
        <v>P3</v>
      </c>
      <c r="AS328" s="351">
        <f>IFERROR(Table_NFI[[#This Row],[Kitchen Set]]/VLOOKUP(Table_NFI[[#This Row],[Camp Name]],CL,4,0),"")</f>
        <v>0</v>
      </c>
      <c r="AT328" s="533"/>
      <c r="AU328" s="536"/>
    </row>
    <row r="329" spans="1:47" s="537" customFormat="1" ht="14.45" customHeight="1" x14ac:dyDescent="0.25">
      <c r="A329" s="355">
        <f t="shared" si="5"/>
        <v>26.7</v>
      </c>
      <c r="B329" s="532">
        <v>41770</v>
      </c>
      <c r="C329" s="533" t="s">
        <v>453</v>
      </c>
      <c r="D329" s="533"/>
      <c r="E329" s="533" t="s">
        <v>554</v>
      </c>
      <c r="F329" s="533" t="s">
        <v>230</v>
      </c>
      <c r="G329" s="533" t="s">
        <v>1055</v>
      </c>
      <c r="H329" s="349"/>
      <c r="I329" s="349"/>
      <c r="J329" s="349"/>
      <c r="K329" s="349">
        <v>162</v>
      </c>
      <c r="L329" s="350">
        <v>81</v>
      </c>
      <c r="M329" s="350">
        <v>162</v>
      </c>
      <c r="N329" s="350">
        <v>81</v>
      </c>
      <c r="O329" s="350"/>
      <c r="P329" s="352">
        <v>81</v>
      </c>
      <c r="Q329" s="352">
        <v>405</v>
      </c>
      <c r="R329" s="352"/>
      <c r="S329" s="352"/>
      <c r="T329" s="352"/>
      <c r="U329" s="352"/>
      <c r="V329" s="497"/>
      <c r="W329" s="352"/>
      <c r="X329" s="352"/>
      <c r="Y329" s="352">
        <f>IF(NFI_Expiration=1,IF($A329&lt;VLOOKUP(H$5,NFI,5,0),1,0)*Table_NFI[[#This Row],[Hygiene Kit]],Table_NFI[Hygiene Kit])</f>
        <v>0</v>
      </c>
      <c r="Z329" s="352">
        <f>IF(NFI_Expiration=1,IF($A329&lt;VLOOKUP(I$5,NFI,5,0),1,0)*Table_NFI[[#This Row],[NFI Core Kit]],Table_NFI[NFI Core Kit])</f>
        <v>0</v>
      </c>
      <c r="AA329" s="352">
        <f>IF(NFI_Expiration=1,IF($A329&lt;VLOOKUP(J$5,NFI,5,0),1,0)*Table_NFI[[#This Row],[Sanitary Kit]],Table_NFI[Sanitary Kit])</f>
        <v>0</v>
      </c>
      <c r="AB329" s="352">
        <f>IF(NFI_Expiration=1,IF($A329&lt;VLOOKUP(K$5,NFI,5,0),1,0)*Table_NFI[[#This Row],[Mosquito net]],Table_NFI[Mosquito net])</f>
        <v>0</v>
      </c>
      <c r="AC329" s="352">
        <f>IF(NFI_Expiration=1,IF($A329&lt;VLOOKUP(L$5,NFI,5,0),1,0)*Table_NFI[[#This Row],[Tarpaulin]],Table_NFI[[#This Row],[Tarpaulin]])</f>
        <v>0</v>
      </c>
      <c r="AD329" s="352">
        <f>IF(NFI_Expiration=1,IF($A329&lt;VLOOKUP(M$5,NFI,5,0),1,0)*Table_NFI[[#This Row],[Blanket]],Table_NFI[[#This Row],[Blanket]])</f>
        <v>0</v>
      </c>
      <c r="AE329" s="352">
        <f>IF(NFI_Expiration=1,IF($A329&lt;VLOOKUP(N$5,NFI,5,0),1,0)*Table_NFI[[#This Row],[Kitchen Set]],Table_NFI[Kitchen Set])</f>
        <v>0</v>
      </c>
      <c r="AF329" s="352">
        <f>IF(NFI_Expiration=1,IF($A329&lt;VLOOKUP(O$5,NFI,5,0),1,0)*Table_NFI[[#This Row],[Clothes Kit]],Table_NFI[Clothes Kit])</f>
        <v>0</v>
      </c>
      <c r="AG329" s="352">
        <f>IF(NFI_Expiration=1,IF($A329&lt;VLOOKUP(P$5,NFI,5,0),1,0)*Table_NFI[[#This Row],[Plastic Bucket]],Table_NFI[Plastic Bucket])</f>
        <v>0</v>
      </c>
      <c r="AH329" s="352">
        <f>IF(NFI_Expiration=1,IF($A329&lt;VLOOKUP(Q$5,NFI,5,0),1,0)*Table_NFI[[#This Row],[Plastic Mat]],Table_NFI[Plastic Mat])*IF(Table_NFI[[#This Row],[Distribution Date]]&gt;"2014-04-01",1,2.5)</f>
        <v>0</v>
      </c>
      <c r="AI329" s="352">
        <f>IF(NFI_Expiration=1,IF($A329&lt;VLOOKUP(R$5,NFI,5,0),1,0)*Table_NFI[[#This Row],[Winter Clothes Adult]],Table_NFI[Winter Clothes Adult])</f>
        <v>0</v>
      </c>
      <c r="AJ329" s="352">
        <f>IF(NFI_Expiration=1,IF($A329&lt;VLOOKUP(S$5,NFI,5,0),1,0)*Table_NFI[[#This Row],[Winter Clothes Children]],Table_NFI[Winter Clothes Children])</f>
        <v>0</v>
      </c>
      <c r="AK329" s="352">
        <f>IF(NFI_Expiration=1,IF($A329&lt;VLOOKUP(T$5,NFI,5,0),1,0)*Table_NFI[[#This Row],[Winter Items Other]],Table_NFI[Winter Items Other])</f>
        <v>0</v>
      </c>
      <c r="AL329" s="352">
        <f>IF(NFI_Expiration=1,IF($A329&lt;VLOOKUP(M$5,NFI,5,0),1,0)*Table_NFI[[#This Row],[Winter Blanket]],Table_NFI[[#This Row],[Winter Blanket]])</f>
        <v>0</v>
      </c>
      <c r="AM329" s="352">
        <f>IF(Table_NFI[[#This Row],[Winter Clothes Adult]]+Table_NFI[[#This Row],[Winter Clothes Children]]+Table_NFI[[#This Row],[Winter Items Other]]+Table_NFI[[#This Row],[Winter Blanket]]&gt;0,1,0)</f>
        <v>0</v>
      </c>
      <c r="AN329" s="392">
        <f>IF(NFI_Expiration=1,IF($A329&lt;VLOOKUP(V$5,NFI,5,0),1,0)*Table_NFI[[#This Row],[Jerry Can]],Table_NFI[Jerry Can])</f>
        <v>0</v>
      </c>
      <c r="AO329" s="540" t="str">
        <f>IFERROR(VLOOKUP(Table_NFI[[#This Row],[Camp Name]],CL,2,0),"")</f>
        <v>MMR015CMP213</v>
      </c>
      <c r="AP329" s="535">
        <f ca="1">IF(Table_NFI[[#This Row],[Pcode]]="","",IF(OFFSET(CampList[Opening Date],MATCH(Table_NFI[[#This Row],[Pcode]],CampList[CP_Pcode],0)-1,0,1,1)&gt;=NFI_Monitor_Date,1,0))</f>
        <v>1</v>
      </c>
      <c r="AQ329" s="540" t="str">
        <f>IFERROR(VLOOKUP(Table_NFI[[#This Row],[Camp Name]],CL,3,0),"")</f>
        <v>Open</v>
      </c>
      <c r="AR329" s="352" t="str">
        <f ca="1">IF(Table_NFI[[#This Row],[Pcode]]="","",OFFSET(CampList[Priority],MATCH(Table_NFI[[#This Row],[Pcode]],CampList[CP_Pcode],0)-1,0,1,1))</f>
        <v>P4</v>
      </c>
      <c r="AS329" s="351">
        <f>IFERROR(Table_NFI[[#This Row],[Kitchen Set]]/VLOOKUP(Table_NFI[[#This Row],[Camp Name]],CL,4,0),"")</f>
        <v>1.5576923076923077</v>
      </c>
      <c r="AT329" s="533"/>
      <c r="AU329" s="536"/>
    </row>
    <row r="330" spans="1:47" s="537" customFormat="1" hidden="1" x14ac:dyDescent="0.25">
      <c r="A330" s="355">
        <f t="shared" si="5"/>
        <v>32.1</v>
      </c>
      <c r="B330" s="532">
        <v>41608</v>
      </c>
      <c r="C330" s="533" t="s">
        <v>907</v>
      </c>
      <c r="D330" s="533"/>
      <c r="E330" s="533" t="s">
        <v>380</v>
      </c>
      <c r="F330" s="348" t="s">
        <v>185</v>
      </c>
      <c r="G330" s="348" t="s">
        <v>186</v>
      </c>
      <c r="H330" s="349"/>
      <c r="I330" s="349"/>
      <c r="J330" s="349"/>
      <c r="K330" s="349"/>
      <c r="L330" s="350"/>
      <c r="M330" s="350"/>
      <c r="N330" s="350"/>
      <c r="O330" s="350"/>
      <c r="P330" s="352"/>
      <c r="Q330" s="352">
        <v>105</v>
      </c>
      <c r="R330" s="352"/>
      <c r="S330" s="352"/>
      <c r="T330" s="352"/>
      <c r="U330" s="352"/>
      <c r="V330" s="497"/>
      <c r="W330" s="352"/>
      <c r="X330" s="352"/>
      <c r="Y330" s="352">
        <f>IF(NFI_Expiration=1,IF($A330&lt;VLOOKUP(H$5,NFI,5,0),1,0)*Table_NFI[[#This Row],[Hygiene Kit]],Table_NFI[Hygiene Kit])</f>
        <v>0</v>
      </c>
      <c r="Z330" s="352">
        <f>IF(NFI_Expiration=1,IF($A330&lt;VLOOKUP(I$5,NFI,5,0),1,0)*Table_NFI[[#This Row],[NFI Core Kit]],Table_NFI[NFI Core Kit])</f>
        <v>0</v>
      </c>
      <c r="AA330" s="352">
        <f>IF(NFI_Expiration=1,IF($A330&lt;VLOOKUP(J$5,NFI,5,0),1,0)*Table_NFI[[#This Row],[Sanitary Kit]],Table_NFI[Sanitary Kit])</f>
        <v>0</v>
      </c>
      <c r="AB330" s="352">
        <f>IF(NFI_Expiration=1,IF($A330&lt;VLOOKUP(K$5,NFI,5,0),1,0)*Table_NFI[[#This Row],[Mosquito net]],Table_NFI[Mosquito net])</f>
        <v>0</v>
      </c>
      <c r="AC330" s="352">
        <f>IF(NFI_Expiration=1,IF($A330&lt;VLOOKUP(L$5,NFI,5,0),1,0)*Table_NFI[[#This Row],[Tarpaulin]],Table_NFI[[#This Row],[Tarpaulin]])</f>
        <v>0</v>
      </c>
      <c r="AD330" s="352">
        <f>IF(NFI_Expiration=1,IF($A330&lt;VLOOKUP(M$5,NFI,5,0),1,0)*Table_NFI[[#This Row],[Blanket]],Table_NFI[[#This Row],[Blanket]])</f>
        <v>0</v>
      </c>
      <c r="AE330" s="352">
        <f>IF(NFI_Expiration=1,IF($A330&lt;VLOOKUP(N$5,NFI,5,0),1,0)*Table_NFI[[#This Row],[Kitchen Set]],Table_NFI[Kitchen Set])</f>
        <v>0</v>
      </c>
      <c r="AF330" s="352">
        <f>IF(NFI_Expiration=1,IF($A330&lt;VLOOKUP(O$5,NFI,5,0),1,0)*Table_NFI[[#This Row],[Clothes Kit]],Table_NFI[Clothes Kit])</f>
        <v>0</v>
      </c>
      <c r="AG330" s="352">
        <f>IF(NFI_Expiration=1,IF($A330&lt;VLOOKUP(P$5,NFI,5,0),1,0)*Table_NFI[[#This Row],[Plastic Bucket]],Table_NFI[Plastic Bucket])</f>
        <v>0</v>
      </c>
      <c r="AH330" s="352">
        <f>IF(NFI_Expiration=1,IF($A330&lt;VLOOKUP(Q$5,NFI,5,0),1,0)*Table_NFI[[#This Row],[Plastic Mat]],Table_NFI[Plastic Mat])*IF(Table_NFI[[#This Row],[Distribution Date]]&gt;"2014-04-01",1,2.5)</f>
        <v>0</v>
      </c>
      <c r="AI330" s="352">
        <f>IF(NFI_Expiration=1,IF($A330&lt;VLOOKUP(R$5,NFI,5,0),1,0)*Table_NFI[[#This Row],[Winter Clothes Adult]],Table_NFI[Winter Clothes Adult])</f>
        <v>0</v>
      </c>
      <c r="AJ330" s="352">
        <f>IF(NFI_Expiration=1,IF($A330&lt;VLOOKUP(S$5,NFI,5,0),1,0)*Table_NFI[[#This Row],[Winter Clothes Children]],Table_NFI[Winter Clothes Children])</f>
        <v>0</v>
      </c>
      <c r="AK330" s="352">
        <f>IF(NFI_Expiration=1,IF($A330&lt;VLOOKUP(T$5,NFI,5,0),1,0)*Table_NFI[[#This Row],[Winter Items Other]],Table_NFI[Winter Items Other])</f>
        <v>0</v>
      </c>
      <c r="AL330" s="352">
        <f>IF(NFI_Expiration=1,IF($A330&lt;VLOOKUP(M$5,NFI,5,0),1,0)*Table_NFI[[#This Row],[Winter Blanket]],Table_NFI[[#This Row],[Winter Blanket]])</f>
        <v>0</v>
      </c>
      <c r="AM330" s="352">
        <f>IF(Table_NFI[[#This Row],[Winter Clothes Adult]]+Table_NFI[[#This Row],[Winter Clothes Children]]+Table_NFI[[#This Row],[Winter Items Other]]+Table_NFI[[#This Row],[Winter Blanket]]&gt;0,1,0)</f>
        <v>0</v>
      </c>
      <c r="AN330" s="392">
        <f>IF(NFI_Expiration=1,IF($A330&lt;VLOOKUP(V$5,NFI,5,0),1,0)*Table_NFI[[#This Row],[Jerry Can]],Table_NFI[Jerry Can])</f>
        <v>0</v>
      </c>
      <c r="AO330" s="540" t="str">
        <f>IFERROR(VLOOKUP(Table_NFI[[#This Row],[Camp Name]],CL,2,0),"")</f>
        <v>MMR001CMP071</v>
      </c>
      <c r="AP330" s="535">
        <f ca="1">IF(Table_NFI[[#This Row],[Pcode]]="","",IF(OFFSET(CampList[Opening Date],MATCH(Table_NFI[[#This Row],[Pcode]],CampList[CP_Pcode],0)-1,0,1,1)&gt;=NFI_Monitor_Date,1,0))</f>
        <v>0</v>
      </c>
      <c r="AQ330" s="540" t="str">
        <f>IFERROR(VLOOKUP(Table_NFI[[#This Row],[Camp Name]],CL,3,0),"")</f>
        <v>Open</v>
      </c>
      <c r="AR330" s="352" t="str">
        <f ca="1">IF(Table_NFI[[#This Row],[Pcode]]="","",OFFSET(CampList[Priority],MATCH(Table_NFI[[#This Row],[Pcode]],CampList[CP_Pcode],0)-1,0,1,1))</f>
        <v>P3</v>
      </c>
      <c r="AS330" s="351">
        <f>IFERROR(Table_NFI[[#This Row],[Kitchen Set]]/VLOOKUP(Table_NFI[[#This Row],[Camp Name]],CL,4,0),"")</f>
        <v>0</v>
      </c>
      <c r="AT330" s="533" t="s">
        <v>1094</v>
      </c>
      <c r="AU330" s="536"/>
    </row>
    <row r="331" spans="1:47" s="537" customFormat="1" ht="14.45" hidden="1" customHeight="1" x14ac:dyDescent="0.25">
      <c r="A331" s="355">
        <f t="shared" si="5"/>
        <v>32.633333333333333</v>
      </c>
      <c r="B331" s="532">
        <v>41592</v>
      </c>
      <c r="C331" s="533" t="s">
        <v>454</v>
      </c>
      <c r="D331" s="533"/>
      <c r="E331" s="533" t="s">
        <v>380</v>
      </c>
      <c r="F331" s="533" t="s">
        <v>185</v>
      </c>
      <c r="G331" s="533" t="s">
        <v>186</v>
      </c>
      <c r="H331" s="349"/>
      <c r="I331" s="349"/>
      <c r="J331" s="349"/>
      <c r="K331" s="349"/>
      <c r="L331" s="350"/>
      <c r="M331" s="350">
        <v>75</v>
      </c>
      <c r="N331" s="350"/>
      <c r="O331" s="350"/>
      <c r="P331" s="352"/>
      <c r="Q331" s="352"/>
      <c r="R331" s="352"/>
      <c r="S331" s="352"/>
      <c r="T331" s="352"/>
      <c r="U331" s="352"/>
      <c r="V331" s="497"/>
      <c r="W331" s="352"/>
      <c r="X331" s="352"/>
      <c r="Y331" s="352">
        <f>IF(NFI_Expiration=1,IF($A331&lt;VLOOKUP(H$5,NFI,5,0),1,0)*Table_NFI[[#This Row],[Hygiene Kit]],Table_NFI[Hygiene Kit])</f>
        <v>0</v>
      </c>
      <c r="Z331" s="352">
        <f>IF(NFI_Expiration=1,IF($A331&lt;VLOOKUP(I$5,NFI,5,0),1,0)*Table_NFI[[#This Row],[NFI Core Kit]],Table_NFI[NFI Core Kit])</f>
        <v>0</v>
      </c>
      <c r="AA331" s="352">
        <f>IF(NFI_Expiration=1,IF($A331&lt;VLOOKUP(J$5,NFI,5,0),1,0)*Table_NFI[[#This Row],[Sanitary Kit]],Table_NFI[Sanitary Kit])</f>
        <v>0</v>
      </c>
      <c r="AB331" s="352">
        <f>IF(NFI_Expiration=1,IF($A331&lt;VLOOKUP(K$5,NFI,5,0),1,0)*Table_NFI[[#This Row],[Mosquito net]],Table_NFI[Mosquito net])</f>
        <v>0</v>
      </c>
      <c r="AC331" s="352">
        <f>IF(NFI_Expiration=1,IF($A331&lt;VLOOKUP(L$5,NFI,5,0),1,0)*Table_NFI[[#This Row],[Tarpaulin]],Table_NFI[[#This Row],[Tarpaulin]])</f>
        <v>0</v>
      </c>
      <c r="AD331" s="352">
        <f>IF(NFI_Expiration=1,IF($A331&lt;VLOOKUP(M$5,NFI,5,0),1,0)*Table_NFI[[#This Row],[Blanket]],Table_NFI[[#This Row],[Blanket]])</f>
        <v>0</v>
      </c>
      <c r="AE331" s="352">
        <f>IF(NFI_Expiration=1,IF($A331&lt;VLOOKUP(N$5,NFI,5,0),1,0)*Table_NFI[[#This Row],[Kitchen Set]],Table_NFI[Kitchen Set])</f>
        <v>0</v>
      </c>
      <c r="AF331" s="352">
        <f>IF(NFI_Expiration=1,IF($A331&lt;VLOOKUP(O$5,NFI,5,0),1,0)*Table_NFI[[#This Row],[Clothes Kit]],Table_NFI[Clothes Kit])</f>
        <v>0</v>
      </c>
      <c r="AG331" s="352">
        <f>IF(NFI_Expiration=1,IF($A331&lt;VLOOKUP(P$5,NFI,5,0),1,0)*Table_NFI[[#This Row],[Plastic Bucket]],Table_NFI[Plastic Bucket])</f>
        <v>0</v>
      </c>
      <c r="AH331" s="352">
        <f>IF(NFI_Expiration=1,IF($A331&lt;VLOOKUP(Q$5,NFI,5,0),1,0)*Table_NFI[[#This Row],[Plastic Mat]],Table_NFI[Plastic Mat])*IF(Table_NFI[[#This Row],[Distribution Date]]&gt;"2014-04-01",1,2.5)</f>
        <v>0</v>
      </c>
      <c r="AI331" s="352">
        <f>IF(NFI_Expiration=1,IF($A331&lt;VLOOKUP(R$5,NFI,5,0),1,0)*Table_NFI[[#This Row],[Winter Clothes Adult]],Table_NFI[Winter Clothes Adult])</f>
        <v>0</v>
      </c>
      <c r="AJ331" s="352">
        <f>IF(NFI_Expiration=1,IF($A331&lt;VLOOKUP(S$5,NFI,5,0),1,0)*Table_NFI[[#This Row],[Winter Clothes Children]],Table_NFI[Winter Clothes Children])</f>
        <v>0</v>
      </c>
      <c r="AK331" s="352">
        <f>IF(NFI_Expiration=1,IF($A331&lt;VLOOKUP(T$5,NFI,5,0),1,0)*Table_NFI[[#This Row],[Winter Items Other]],Table_NFI[Winter Items Other])</f>
        <v>0</v>
      </c>
      <c r="AL331" s="352">
        <f>IF(NFI_Expiration=1,IF($A331&lt;VLOOKUP(M$5,NFI,5,0),1,0)*Table_NFI[[#This Row],[Winter Blanket]],Table_NFI[[#This Row],[Winter Blanket]])</f>
        <v>0</v>
      </c>
      <c r="AM331" s="352">
        <f>IF(Table_NFI[[#This Row],[Winter Clothes Adult]]+Table_NFI[[#This Row],[Winter Clothes Children]]+Table_NFI[[#This Row],[Winter Items Other]]+Table_NFI[[#This Row],[Winter Blanket]]&gt;0,1,0)</f>
        <v>0</v>
      </c>
      <c r="AN331" s="392">
        <f>IF(NFI_Expiration=1,IF($A331&lt;VLOOKUP(V$5,NFI,5,0),1,0)*Table_NFI[[#This Row],[Jerry Can]],Table_NFI[Jerry Can])</f>
        <v>0</v>
      </c>
      <c r="AO331" s="540" t="str">
        <f>IFERROR(VLOOKUP(Table_NFI[[#This Row],[Camp Name]],CL,2,0),"")</f>
        <v>MMR001CMP071</v>
      </c>
      <c r="AP331" s="535">
        <f ca="1">IF(Table_NFI[[#This Row],[Pcode]]="","",IF(OFFSET(CampList[Opening Date],MATCH(Table_NFI[[#This Row],[Pcode]],CampList[CP_Pcode],0)-1,0,1,1)&gt;=NFI_Monitor_Date,1,0))</f>
        <v>0</v>
      </c>
      <c r="AQ331" s="540" t="str">
        <f>IFERROR(VLOOKUP(Table_NFI[[#This Row],[Camp Name]],CL,3,0),"")</f>
        <v>Open</v>
      </c>
      <c r="AR331" s="352" t="str">
        <f ca="1">IF(Table_NFI[[#This Row],[Pcode]]="","",OFFSET(CampList[Priority],MATCH(Table_NFI[[#This Row],[Pcode]],CampList[CP_Pcode],0)-1,0,1,1))</f>
        <v>P3</v>
      </c>
      <c r="AS331" s="351">
        <f>IFERROR(Table_NFI[[#This Row],[Kitchen Set]]/VLOOKUP(Table_NFI[[#This Row],[Camp Name]],CL,4,0),"")</f>
        <v>0</v>
      </c>
      <c r="AT331" s="533" t="s">
        <v>1094</v>
      </c>
      <c r="AU331" s="536"/>
    </row>
    <row r="332" spans="1:47" s="537" customFormat="1" ht="14.45" customHeight="1" x14ac:dyDescent="0.25">
      <c r="A332" s="355">
        <f t="shared" si="5"/>
        <v>27.366666666666667</v>
      </c>
      <c r="B332" s="532">
        <v>41750</v>
      </c>
      <c r="C332" s="533" t="s">
        <v>453</v>
      </c>
      <c r="D332" s="533" t="s">
        <v>453</v>
      </c>
      <c r="E332" s="533" t="s">
        <v>380</v>
      </c>
      <c r="F332" s="533" t="s">
        <v>5</v>
      </c>
      <c r="G332" s="533" t="s">
        <v>6</v>
      </c>
      <c r="H332" s="349"/>
      <c r="I332" s="349"/>
      <c r="J332" s="349">
        <v>5</v>
      </c>
      <c r="K332" s="349">
        <v>6</v>
      </c>
      <c r="L332" s="350">
        <v>2</v>
      </c>
      <c r="M332" s="350">
        <v>6</v>
      </c>
      <c r="N332" s="350">
        <v>2</v>
      </c>
      <c r="O332" s="350">
        <v>2</v>
      </c>
      <c r="P332" s="352">
        <v>2</v>
      </c>
      <c r="Q332" s="352">
        <v>6</v>
      </c>
      <c r="R332" s="352"/>
      <c r="S332" s="352"/>
      <c r="T332" s="352"/>
      <c r="U332" s="352"/>
      <c r="V332" s="497"/>
      <c r="W332" s="352"/>
      <c r="X332" s="352"/>
      <c r="Y332" s="352">
        <f>IF(NFI_Expiration=1,IF($A332&lt;VLOOKUP(H$5,NFI,5,0),1,0)*Table_NFI[[#This Row],[Hygiene Kit]],Table_NFI[Hygiene Kit])</f>
        <v>0</v>
      </c>
      <c r="Z332" s="352">
        <f>IF(NFI_Expiration=1,IF($A332&lt;VLOOKUP(I$5,NFI,5,0),1,0)*Table_NFI[[#This Row],[NFI Core Kit]],Table_NFI[NFI Core Kit])</f>
        <v>0</v>
      </c>
      <c r="AA332" s="352">
        <f>IF(NFI_Expiration=1,IF($A332&lt;VLOOKUP(J$5,NFI,5,0),1,0)*Table_NFI[[#This Row],[Sanitary Kit]],Table_NFI[Sanitary Kit])</f>
        <v>0</v>
      </c>
      <c r="AB332" s="352">
        <f>IF(NFI_Expiration=1,IF($A332&lt;VLOOKUP(K$5,NFI,5,0),1,0)*Table_NFI[[#This Row],[Mosquito net]],Table_NFI[Mosquito net])</f>
        <v>0</v>
      </c>
      <c r="AC332" s="352">
        <f>IF(NFI_Expiration=1,IF($A332&lt;VLOOKUP(L$5,NFI,5,0),1,0)*Table_NFI[[#This Row],[Tarpaulin]],Table_NFI[[#This Row],[Tarpaulin]])</f>
        <v>0</v>
      </c>
      <c r="AD332" s="352">
        <f>IF(NFI_Expiration=1,IF($A332&lt;VLOOKUP(M$5,NFI,5,0),1,0)*Table_NFI[[#This Row],[Blanket]],Table_NFI[[#This Row],[Blanket]])</f>
        <v>0</v>
      </c>
      <c r="AE332" s="352">
        <f>IF(NFI_Expiration=1,IF($A332&lt;VLOOKUP(N$5,NFI,5,0),1,0)*Table_NFI[[#This Row],[Kitchen Set]],Table_NFI[Kitchen Set])</f>
        <v>0</v>
      </c>
      <c r="AF332" s="352">
        <f>IF(NFI_Expiration=1,IF($A332&lt;VLOOKUP(O$5,NFI,5,0),1,0)*Table_NFI[[#This Row],[Clothes Kit]],Table_NFI[Clothes Kit])</f>
        <v>0</v>
      </c>
      <c r="AG332" s="352">
        <f>IF(NFI_Expiration=1,IF($A332&lt;VLOOKUP(P$5,NFI,5,0),1,0)*Table_NFI[[#This Row],[Plastic Bucket]],Table_NFI[Plastic Bucket])</f>
        <v>0</v>
      </c>
      <c r="AH332" s="352">
        <f>IF(NFI_Expiration=1,IF($A332&lt;VLOOKUP(Q$5,NFI,5,0),1,0)*Table_NFI[[#This Row],[Plastic Mat]],Table_NFI[Plastic Mat])*IF(Table_NFI[[#This Row],[Distribution Date]]&gt;"2014-04-01",1,2.5)</f>
        <v>0</v>
      </c>
      <c r="AI332" s="352">
        <f>IF(NFI_Expiration=1,IF($A332&lt;VLOOKUP(R$5,NFI,5,0),1,0)*Table_NFI[[#This Row],[Winter Clothes Adult]],Table_NFI[Winter Clothes Adult])</f>
        <v>0</v>
      </c>
      <c r="AJ332" s="352">
        <f>IF(NFI_Expiration=1,IF($A332&lt;VLOOKUP(S$5,NFI,5,0),1,0)*Table_NFI[[#This Row],[Winter Clothes Children]],Table_NFI[Winter Clothes Children])</f>
        <v>0</v>
      </c>
      <c r="AK332" s="352">
        <f>IF(NFI_Expiration=1,IF($A332&lt;VLOOKUP(T$5,NFI,5,0),1,0)*Table_NFI[[#This Row],[Winter Items Other]],Table_NFI[Winter Items Other])</f>
        <v>0</v>
      </c>
      <c r="AL332" s="352">
        <f>IF(NFI_Expiration=1,IF($A332&lt;VLOOKUP(M$5,NFI,5,0),1,0)*Table_NFI[[#This Row],[Winter Blanket]],Table_NFI[[#This Row],[Winter Blanket]])</f>
        <v>0</v>
      </c>
      <c r="AM332" s="352">
        <f>IF(Table_NFI[[#This Row],[Winter Clothes Adult]]+Table_NFI[[#This Row],[Winter Clothes Children]]+Table_NFI[[#This Row],[Winter Items Other]]+Table_NFI[[#This Row],[Winter Blanket]]&gt;0,1,0)</f>
        <v>0</v>
      </c>
      <c r="AN332" s="392">
        <f>IF(NFI_Expiration=1,IF($A332&lt;VLOOKUP(V$5,NFI,5,0),1,0)*Table_NFI[[#This Row],[Jerry Can]],Table_NFI[Jerry Can])</f>
        <v>0</v>
      </c>
      <c r="AO332" s="540" t="str">
        <f>IFERROR(VLOOKUP(Table_NFI[[#This Row],[Camp Name]],CL,2,0),"")</f>
        <v>MMR001CMP050</v>
      </c>
      <c r="AP332" s="535">
        <f ca="1">IF(Table_NFI[[#This Row],[Pcode]]="","",IF(OFFSET(CampList[Opening Date],MATCH(Table_NFI[[#This Row],[Pcode]],CampList[CP_Pcode],0)-1,0,1,1)&gt;=NFI_Monitor_Date,1,0))</f>
        <v>0</v>
      </c>
      <c r="AQ332" s="540" t="str">
        <f>IFERROR(VLOOKUP(Table_NFI[[#This Row],[Camp Name]],CL,3,0),"")</f>
        <v>Open</v>
      </c>
      <c r="AR332" s="352" t="str">
        <f ca="1">IF(Table_NFI[[#This Row],[Pcode]]="","",OFFSET(CampList[Priority],MATCH(Table_NFI[[#This Row],[Pcode]],CampList[CP_Pcode],0)-1,0,1,1))</f>
        <v>P4</v>
      </c>
      <c r="AS332" s="351">
        <f>IFERROR(Table_NFI[[#This Row],[Kitchen Set]]/VLOOKUP(Table_NFI[[#This Row],[Camp Name]],CL,4,0),"")</f>
        <v>7.2992700729927005E-3</v>
      </c>
      <c r="AT332" s="533" t="s">
        <v>1094</v>
      </c>
      <c r="AU332" s="536"/>
    </row>
    <row r="333" spans="1:47" s="537" customFormat="1" hidden="1" x14ac:dyDescent="0.2">
      <c r="A333" s="355">
        <f t="shared" si="5"/>
        <v>43.666666666666664</v>
      </c>
      <c r="B333" s="532">
        <v>41261</v>
      </c>
      <c r="C333" s="533" t="s">
        <v>907</v>
      </c>
      <c r="D333" s="534" t="s">
        <v>907</v>
      </c>
      <c r="E333" s="533" t="s">
        <v>380</v>
      </c>
      <c r="F333" s="348" t="s">
        <v>185</v>
      </c>
      <c r="G333" s="348" t="s">
        <v>186</v>
      </c>
      <c r="H333" s="349"/>
      <c r="I333" s="349"/>
      <c r="J333" s="677">
        <v>54</v>
      </c>
      <c r="K333" s="349"/>
      <c r="L333" s="350"/>
      <c r="M333" s="350"/>
      <c r="N333" s="350"/>
      <c r="O333" s="350"/>
      <c r="P333" s="352"/>
      <c r="Q333" s="392"/>
      <c r="R333" s="392"/>
      <c r="S333" s="392"/>
      <c r="T333" s="392"/>
      <c r="U333" s="392"/>
      <c r="V333" s="497"/>
      <c r="W333" s="392"/>
      <c r="X333" s="392"/>
      <c r="Y333" s="352">
        <f>IF(NFI_Expiration=1,IF($A333&lt;VLOOKUP(H$5,NFI,5,0),1,0)*Table_NFI[[#This Row],[Hygiene Kit]],Table_NFI[Hygiene Kit])</f>
        <v>0</v>
      </c>
      <c r="Z333" s="352">
        <f>IF(NFI_Expiration=1,IF($A333&lt;VLOOKUP(I$5,NFI,5,0),1,0)*Table_NFI[[#This Row],[NFI Core Kit]],Table_NFI[NFI Core Kit])</f>
        <v>0</v>
      </c>
      <c r="AA333" s="352">
        <f>IF(NFI_Expiration=1,IF($A333&lt;VLOOKUP(J$5,NFI,5,0),1,0)*Table_NFI[[#This Row],[Sanitary Kit]],Table_NFI[Sanitary Kit])</f>
        <v>0</v>
      </c>
      <c r="AB333" s="352">
        <f>IF(NFI_Expiration=1,IF($A333&lt;VLOOKUP(K$5,NFI,5,0),1,0)*Table_NFI[[#This Row],[Mosquito net]],Table_NFI[Mosquito net])</f>
        <v>0</v>
      </c>
      <c r="AC333" s="352">
        <f>IF(NFI_Expiration=1,IF($A333&lt;VLOOKUP(L$5,NFI,5,0),1,0)*Table_NFI[[#This Row],[Tarpaulin]],Table_NFI[[#This Row],[Tarpaulin]])</f>
        <v>0</v>
      </c>
      <c r="AD333" s="352">
        <f>IF(NFI_Expiration=1,IF($A333&lt;VLOOKUP(M$5,NFI,5,0),1,0)*Table_NFI[[#This Row],[Blanket]],Table_NFI[[#This Row],[Blanket]])</f>
        <v>0</v>
      </c>
      <c r="AE333" s="352">
        <f>IF(NFI_Expiration=1,IF($A333&lt;VLOOKUP(N$5,NFI,5,0),1,0)*Table_NFI[[#This Row],[Kitchen Set]],Table_NFI[Kitchen Set])</f>
        <v>0</v>
      </c>
      <c r="AF333" s="352">
        <f>IF(NFI_Expiration=1,IF($A333&lt;VLOOKUP(O$5,NFI,5,0),1,0)*Table_NFI[[#This Row],[Clothes Kit]],Table_NFI[Clothes Kit])</f>
        <v>0</v>
      </c>
      <c r="AG333" s="352">
        <f>IF(NFI_Expiration=1,IF($A333&lt;VLOOKUP(P$5,NFI,5,0),1,0)*Table_NFI[[#This Row],[Plastic Bucket]],Table_NFI[Plastic Bucket])</f>
        <v>0</v>
      </c>
      <c r="AH333" s="352">
        <f>IF(NFI_Expiration=1,IF($A333&lt;VLOOKUP(Q$5,NFI,5,0),1,0)*Table_NFI[[#This Row],[Plastic Mat]],Table_NFI[Plastic Mat])*IF(Table_NFI[[#This Row],[Distribution Date]]&gt;"2014-04-01",1,2.5)</f>
        <v>0</v>
      </c>
      <c r="AI333" s="352">
        <f>IF(NFI_Expiration=1,IF($A333&lt;VLOOKUP(R$5,NFI,5,0),1,0)*Table_NFI[[#This Row],[Winter Clothes Adult]],Table_NFI[Winter Clothes Adult])</f>
        <v>0</v>
      </c>
      <c r="AJ333" s="352">
        <f>IF(NFI_Expiration=1,IF($A333&lt;VLOOKUP(S$5,NFI,5,0),1,0)*Table_NFI[[#This Row],[Winter Clothes Children]],Table_NFI[Winter Clothes Children])</f>
        <v>0</v>
      </c>
      <c r="AK333" s="352">
        <f>IF(NFI_Expiration=1,IF($A333&lt;VLOOKUP(T$5,NFI,5,0),1,0)*Table_NFI[[#This Row],[Winter Items Other]],Table_NFI[Winter Items Other])</f>
        <v>0</v>
      </c>
      <c r="AL333" s="352">
        <f>IF(NFI_Expiration=1,IF($A333&lt;VLOOKUP(M$5,NFI,5,0),1,0)*Table_NFI[[#This Row],[Winter Blanket]],Table_NFI[[#This Row],[Winter Blanket]])</f>
        <v>0</v>
      </c>
      <c r="AM333" s="352">
        <f>IF(Table_NFI[[#This Row],[Winter Clothes Adult]]+Table_NFI[[#This Row],[Winter Clothes Children]]+Table_NFI[[#This Row],[Winter Items Other]]+Table_NFI[[#This Row],[Winter Blanket]]&gt;0,1,0)</f>
        <v>0</v>
      </c>
      <c r="AN333" s="392">
        <f>IF(NFI_Expiration=1,IF($A333&lt;VLOOKUP(V$5,NFI,5,0),1,0)*Table_NFI[[#This Row],[Jerry Can]],Table_NFI[Jerry Can])</f>
        <v>0</v>
      </c>
      <c r="AO333" s="540" t="str">
        <f>IFERROR(VLOOKUP(Table_NFI[[#This Row],[Camp Name]],CL,2,0),"")</f>
        <v>MMR001CMP071</v>
      </c>
      <c r="AP333" s="535">
        <f ca="1">IF(Table_NFI[[#This Row],[Pcode]]="","",IF(OFFSET(CampList[Opening Date],MATCH(Table_NFI[[#This Row],[Pcode]],CampList[CP_Pcode],0)-1,0,1,1)&gt;=NFI_Monitor_Date,1,0))</f>
        <v>0</v>
      </c>
      <c r="AQ333" s="540" t="str">
        <f>IFERROR(VLOOKUP(Table_NFI[[#This Row],[Camp Name]],CL,3,0),"")</f>
        <v>Open</v>
      </c>
      <c r="AR333" s="352" t="str">
        <f ca="1">IF(Table_NFI[[#This Row],[Pcode]]="","",OFFSET(CampList[Priority],MATCH(Table_NFI[[#This Row],[Pcode]],CampList[CP_Pcode],0)-1,0,1,1))</f>
        <v>P3</v>
      </c>
      <c r="AS333" s="351">
        <f>IFERROR(Table_NFI[[#This Row],[Kitchen Set]]/VLOOKUP(Table_NFI[[#This Row],[Camp Name]],CL,4,0),"")</f>
        <v>0</v>
      </c>
      <c r="AT333" s="533"/>
      <c r="AU333" s="536"/>
    </row>
    <row r="334" spans="1:47" s="537" customFormat="1" hidden="1" x14ac:dyDescent="0.25">
      <c r="A334" s="355">
        <f t="shared" si="5"/>
        <v>16.100000000000001</v>
      </c>
      <c r="B334" s="532">
        <v>42088</v>
      </c>
      <c r="C334" s="533" t="s">
        <v>907</v>
      </c>
      <c r="D334" s="534" t="s">
        <v>907</v>
      </c>
      <c r="E334" s="533" t="s">
        <v>380</v>
      </c>
      <c r="F334" s="348" t="s">
        <v>185</v>
      </c>
      <c r="G334" s="348" t="s">
        <v>1566</v>
      </c>
      <c r="H334" s="349"/>
      <c r="I334" s="349"/>
      <c r="J334" s="350"/>
      <c r="K334" s="349"/>
      <c r="L334" s="350"/>
      <c r="M334" s="350"/>
      <c r="N334" s="350"/>
      <c r="O334" s="350"/>
      <c r="P334" s="352"/>
      <c r="Q334" s="392"/>
      <c r="R334" s="392"/>
      <c r="S334" s="392"/>
      <c r="T334" s="392"/>
      <c r="U334" s="392"/>
      <c r="V334" s="497"/>
      <c r="W334" s="392">
        <v>3</v>
      </c>
      <c r="X334" s="392"/>
      <c r="Y334" s="352">
        <f>IF(NFI_Expiration=1,IF($A334&lt;VLOOKUP(H$5,NFI,5,0),1,0)*Table_NFI[[#This Row],[Hygiene Kit]],Table_NFI[Hygiene Kit])</f>
        <v>0</v>
      </c>
      <c r="Z334" s="352">
        <f>IF(NFI_Expiration=1,IF($A334&lt;VLOOKUP(I$5,NFI,5,0),1,0)*Table_NFI[[#This Row],[NFI Core Kit]],Table_NFI[NFI Core Kit])</f>
        <v>0</v>
      </c>
      <c r="AA334" s="352">
        <f>IF(NFI_Expiration=1,IF($A334&lt;VLOOKUP(J$5,NFI,5,0),1,0)*Table_NFI[[#This Row],[Sanitary Kit]],Table_NFI[Sanitary Kit])</f>
        <v>0</v>
      </c>
      <c r="AB334" s="352">
        <f>IF(NFI_Expiration=1,IF($A334&lt;VLOOKUP(K$5,NFI,5,0),1,0)*Table_NFI[[#This Row],[Mosquito net]],Table_NFI[Mosquito net])</f>
        <v>0</v>
      </c>
      <c r="AC334" s="352">
        <f>IF(NFI_Expiration=1,IF($A334&lt;VLOOKUP(L$5,NFI,5,0),1,0)*Table_NFI[[#This Row],[Tarpaulin]],Table_NFI[[#This Row],[Tarpaulin]])</f>
        <v>0</v>
      </c>
      <c r="AD334" s="352">
        <f>IF(NFI_Expiration=1,IF($A334&lt;VLOOKUP(M$5,NFI,5,0),1,0)*Table_NFI[[#This Row],[Blanket]],Table_NFI[[#This Row],[Blanket]])</f>
        <v>0</v>
      </c>
      <c r="AE334" s="352">
        <f>IF(NFI_Expiration=1,IF($A334&lt;VLOOKUP(N$5,NFI,5,0),1,0)*Table_NFI[[#This Row],[Kitchen Set]],Table_NFI[Kitchen Set])</f>
        <v>0</v>
      </c>
      <c r="AF334" s="352">
        <f>IF(NFI_Expiration=1,IF($A334&lt;VLOOKUP(O$5,NFI,5,0),1,0)*Table_NFI[[#This Row],[Clothes Kit]],Table_NFI[Clothes Kit])</f>
        <v>0</v>
      </c>
      <c r="AG334" s="352">
        <f>IF(NFI_Expiration=1,IF($A334&lt;VLOOKUP(P$5,NFI,5,0),1,0)*Table_NFI[[#This Row],[Plastic Bucket]],Table_NFI[Plastic Bucket])</f>
        <v>0</v>
      </c>
      <c r="AH334" s="352">
        <f>IF(NFI_Expiration=1,IF($A334&lt;VLOOKUP(Q$5,NFI,5,0),1,0)*Table_NFI[[#This Row],[Plastic Mat]],Table_NFI[Plastic Mat])*IF(Table_NFI[[#This Row],[Distribution Date]]&gt;"2014-04-01",1,2.5)</f>
        <v>0</v>
      </c>
      <c r="AI334" s="352">
        <f>IF(NFI_Expiration=1,IF($A334&lt;VLOOKUP(R$5,NFI,5,0),1,0)*Table_NFI[[#This Row],[Winter Clothes Adult]],Table_NFI[Winter Clothes Adult])</f>
        <v>0</v>
      </c>
      <c r="AJ334" s="352">
        <f>IF(NFI_Expiration=1,IF($A334&lt;VLOOKUP(S$5,NFI,5,0),1,0)*Table_NFI[[#This Row],[Winter Clothes Children]],Table_NFI[Winter Clothes Children])</f>
        <v>0</v>
      </c>
      <c r="AK334" s="352">
        <f>IF(NFI_Expiration=1,IF($A334&lt;VLOOKUP(T$5,NFI,5,0),1,0)*Table_NFI[[#This Row],[Winter Items Other]],Table_NFI[Winter Items Other])</f>
        <v>0</v>
      </c>
      <c r="AL334" s="352">
        <f>IF(NFI_Expiration=1,IF($A334&lt;VLOOKUP(M$5,NFI,5,0),1,0)*Table_NFI[[#This Row],[Winter Blanket]],Table_NFI[[#This Row],[Winter Blanket]])</f>
        <v>0</v>
      </c>
      <c r="AM334" s="352">
        <f>IF(Table_NFI[[#This Row],[Winter Clothes Adult]]+Table_NFI[[#This Row],[Winter Clothes Children]]+Table_NFI[[#This Row],[Winter Items Other]]+Table_NFI[[#This Row],[Winter Blanket]]&gt;0,1,0)</f>
        <v>0</v>
      </c>
      <c r="AN334" s="392">
        <f>IF(NFI_Expiration=1,IF($A334&lt;VLOOKUP(V$5,NFI,5,0),1,0)*Table_NFI[[#This Row],[Jerry Can]],Table_NFI[Jerry Can])</f>
        <v>0</v>
      </c>
      <c r="AO334" s="540" t="str">
        <f>IFERROR(VLOOKUP(Table_NFI[[#This Row],[Camp Name]],CL,2,0),"")</f>
        <v/>
      </c>
      <c r="AP334" s="535" t="str">
        <f ca="1">IF(Table_NFI[[#This Row],[Pcode]]="","",IF(OFFSET(CampList[Opening Date],MATCH(Table_NFI[[#This Row],[Pcode]],CampList[CP_Pcode],0)-1,0,1,1)&gt;=NFI_Monitor_Date,1,0))</f>
        <v/>
      </c>
      <c r="AQ334" s="540" t="str">
        <f>IFERROR(VLOOKUP(Table_NFI[[#This Row],[Camp Name]],CL,3,0),"")</f>
        <v/>
      </c>
      <c r="AR334" s="352" t="str">
        <f ca="1">IF(Table_NFI[[#This Row],[Pcode]]="","",OFFSET(CampList[Priority],MATCH(Table_NFI[[#This Row],[Pcode]],CampList[CP_Pcode],0)-1,0,1,1))</f>
        <v/>
      </c>
      <c r="AS334" s="351" t="str">
        <f>IFERROR(Table_NFI[[#This Row],[Kitchen Set]]/VLOOKUP(Table_NFI[[#This Row],[Camp Name]],CL,4,0),"")</f>
        <v/>
      </c>
      <c r="AT334" s="533"/>
      <c r="AU334" s="536"/>
    </row>
    <row r="335" spans="1:47" s="537" customFormat="1" hidden="1" x14ac:dyDescent="0.25">
      <c r="A335" s="355">
        <f t="shared" si="5"/>
        <v>7.166666666666667</v>
      </c>
      <c r="B335" s="532">
        <v>42356</v>
      </c>
      <c r="C335" s="533" t="s">
        <v>907</v>
      </c>
      <c r="D335" s="534" t="s">
        <v>907</v>
      </c>
      <c r="E335" s="533" t="s">
        <v>380</v>
      </c>
      <c r="F335" s="348" t="s">
        <v>185</v>
      </c>
      <c r="G335" s="348" t="s">
        <v>1566</v>
      </c>
      <c r="H335" s="349"/>
      <c r="I335" s="349"/>
      <c r="J335" s="350"/>
      <c r="K335" s="349"/>
      <c r="L335" s="350"/>
      <c r="M335" s="350"/>
      <c r="N335" s="350"/>
      <c r="O335" s="350"/>
      <c r="P335" s="352"/>
      <c r="Q335" s="392"/>
      <c r="R335" s="392"/>
      <c r="S335" s="392"/>
      <c r="T335" s="392"/>
      <c r="U335" s="392"/>
      <c r="V335" s="497"/>
      <c r="W335" s="392">
        <v>13</v>
      </c>
      <c r="X335" s="392"/>
      <c r="Y335" s="352">
        <f>IF(NFI_Expiration=1,IF($A335&lt;VLOOKUP(H$5,NFI,5,0),1,0)*Table_NFI[[#This Row],[Hygiene Kit]],Table_NFI[Hygiene Kit])</f>
        <v>0</v>
      </c>
      <c r="Z335" s="352">
        <f>IF(NFI_Expiration=1,IF($A335&lt;VLOOKUP(I$5,NFI,5,0),1,0)*Table_NFI[[#This Row],[NFI Core Kit]],Table_NFI[NFI Core Kit])</f>
        <v>0</v>
      </c>
      <c r="AA335" s="352">
        <f>IF(NFI_Expiration=1,IF($A335&lt;VLOOKUP(J$5,NFI,5,0),1,0)*Table_NFI[[#This Row],[Sanitary Kit]],Table_NFI[Sanitary Kit])</f>
        <v>0</v>
      </c>
      <c r="AB335" s="352">
        <f>IF(NFI_Expiration=1,IF($A335&lt;VLOOKUP(K$5,NFI,5,0),1,0)*Table_NFI[[#This Row],[Mosquito net]],Table_NFI[Mosquito net])</f>
        <v>0</v>
      </c>
      <c r="AC335" s="352">
        <f>IF(NFI_Expiration=1,IF($A335&lt;VLOOKUP(L$5,NFI,5,0),1,0)*Table_NFI[[#This Row],[Tarpaulin]],Table_NFI[[#This Row],[Tarpaulin]])</f>
        <v>0</v>
      </c>
      <c r="AD335" s="352">
        <f>IF(NFI_Expiration=1,IF($A335&lt;VLOOKUP(M$5,NFI,5,0),1,0)*Table_NFI[[#This Row],[Blanket]],Table_NFI[[#This Row],[Blanket]])</f>
        <v>0</v>
      </c>
      <c r="AE335" s="352">
        <f>IF(NFI_Expiration=1,IF($A335&lt;VLOOKUP(N$5,NFI,5,0),1,0)*Table_NFI[[#This Row],[Kitchen Set]],Table_NFI[Kitchen Set])</f>
        <v>0</v>
      </c>
      <c r="AF335" s="352">
        <f>IF(NFI_Expiration=1,IF($A335&lt;VLOOKUP(O$5,NFI,5,0),1,0)*Table_NFI[[#This Row],[Clothes Kit]],Table_NFI[Clothes Kit])</f>
        <v>0</v>
      </c>
      <c r="AG335" s="352">
        <f>IF(NFI_Expiration=1,IF($A335&lt;VLOOKUP(P$5,NFI,5,0),1,0)*Table_NFI[[#This Row],[Plastic Bucket]],Table_NFI[Plastic Bucket])</f>
        <v>0</v>
      </c>
      <c r="AH335" s="352">
        <f>IF(NFI_Expiration=1,IF($A335&lt;VLOOKUP(Q$5,NFI,5,0),1,0)*Table_NFI[[#This Row],[Plastic Mat]],Table_NFI[Plastic Mat])*IF(Table_NFI[[#This Row],[Distribution Date]]&gt;"2014-04-01",1,2.5)</f>
        <v>0</v>
      </c>
      <c r="AI335" s="352">
        <f>IF(NFI_Expiration=1,IF($A335&lt;VLOOKUP(R$5,NFI,5,0),1,0)*Table_NFI[[#This Row],[Winter Clothes Adult]],Table_NFI[Winter Clothes Adult])</f>
        <v>0</v>
      </c>
      <c r="AJ335" s="352">
        <f>IF(NFI_Expiration=1,IF($A335&lt;VLOOKUP(S$5,NFI,5,0),1,0)*Table_NFI[[#This Row],[Winter Clothes Children]],Table_NFI[Winter Clothes Children])</f>
        <v>0</v>
      </c>
      <c r="AK335" s="352">
        <f>IF(NFI_Expiration=1,IF($A335&lt;VLOOKUP(T$5,NFI,5,0),1,0)*Table_NFI[[#This Row],[Winter Items Other]],Table_NFI[Winter Items Other])</f>
        <v>0</v>
      </c>
      <c r="AL335" s="352">
        <f>IF(NFI_Expiration=1,IF($A335&lt;VLOOKUP(M$5,NFI,5,0),1,0)*Table_NFI[[#This Row],[Winter Blanket]],Table_NFI[[#This Row],[Winter Blanket]])</f>
        <v>0</v>
      </c>
      <c r="AM335" s="352">
        <f>IF(Table_NFI[[#This Row],[Winter Clothes Adult]]+Table_NFI[[#This Row],[Winter Clothes Children]]+Table_NFI[[#This Row],[Winter Items Other]]+Table_NFI[[#This Row],[Winter Blanket]]&gt;0,1,0)</f>
        <v>0</v>
      </c>
      <c r="AN335" s="392">
        <f>IF(NFI_Expiration=1,IF($A335&lt;VLOOKUP(V$5,NFI,5,0),1,0)*Table_NFI[[#This Row],[Jerry Can]],Table_NFI[Jerry Can])</f>
        <v>0</v>
      </c>
      <c r="AO335" s="540" t="str">
        <f>IFERROR(VLOOKUP(Table_NFI[[#This Row],[Camp Name]],CL,2,0),"")</f>
        <v/>
      </c>
      <c r="AP335" s="535" t="str">
        <f ca="1">IF(Table_NFI[[#This Row],[Pcode]]="","",IF(OFFSET(CampList[Opening Date],MATCH(Table_NFI[[#This Row],[Pcode]],CampList[CP_Pcode],0)-1,0,1,1)&gt;=NFI_Monitor_Date,1,0))</f>
        <v/>
      </c>
      <c r="AQ335" s="540" t="str">
        <f>IFERROR(VLOOKUP(Table_NFI[[#This Row],[Camp Name]],CL,3,0),"")</f>
        <v/>
      </c>
      <c r="AR335" s="352" t="str">
        <f ca="1">IF(Table_NFI[[#This Row],[Pcode]]="","",OFFSET(CampList[Priority],MATCH(Table_NFI[[#This Row],[Pcode]],CampList[CP_Pcode],0)-1,0,1,1))</f>
        <v/>
      </c>
      <c r="AS335" s="351" t="str">
        <f>IFERROR(Table_NFI[[#This Row],[Kitchen Set]]/VLOOKUP(Table_NFI[[#This Row],[Camp Name]],CL,4,0),"")</f>
        <v/>
      </c>
      <c r="AT335" s="533"/>
      <c r="AU335" s="536"/>
    </row>
    <row r="336" spans="1:47" s="537" customFormat="1" hidden="1" x14ac:dyDescent="0.25">
      <c r="A336" s="355">
        <f t="shared" si="5"/>
        <v>4.7333333333333334</v>
      </c>
      <c r="B336" s="532">
        <v>42429</v>
      </c>
      <c r="C336" s="533" t="s">
        <v>907</v>
      </c>
      <c r="D336" s="534" t="s">
        <v>907</v>
      </c>
      <c r="E336" s="533" t="s">
        <v>380</v>
      </c>
      <c r="F336" s="348" t="s">
        <v>185</v>
      </c>
      <c r="G336" s="348" t="s">
        <v>1566</v>
      </c>
      <c r="H336" s="349"/>
      <c r="I336" s="349"/>
      <c r="J336" s="350"/>
      <c r="K336" s="349"/>
      <c r="L336" s="350"/>
      <c r="M336" s="350"/>
      <c r="N336" s="350"/>
      <c r="O336" s="350"/>
      <c r="P336" s="352"/>
      <c r="Q336" s="392"/>
      <c r="R336" s="392"/>
      <c r="S336" s="392"/>
      <c r="T336" s="392"/>
      <c r="U336" s="392"/>
      <c r="V336" s="497"/>
      <c r="W336" s="392">
        <v>13</v>
      </c>
      <c r="X336" s="392"/>
      <c r="Y336" s="352">
        <f>IF(NFI_Expiration=1,IF($A336&lt;VLOOKUP(H$5,NFI,5,0),1,0)*Table_NFI[[#This Row],[Hygiene Kit]],Table_NFI[Hygiene Kit])</f>
        <v>0</v>
      </c>
      <c r="Z336" s="352">
        <f>IF(NFI_Expiration=1,IF($A336&lt;VLOOKUP(I$5,NFI,5,0),1,0)*Table_NFI[[#This Row],[NFI Core Kit]],Table_NFI[NFI Core Kit])</f>
        <v>0</v>
      </c>
      <c r="AA336" s="352">
        <f>IF(NFI_Expiration=1,IF($A336&lt;VLOOKUP(J$5,NFI,5,0),1,0)*Table_NFI[[#This Row],[Sanitary Kit]],Table_NFI[Sanitary Kit])</f>
        <v>0</v>
      </c>
      <c r="AB336" s="352">
        <f>IF(NFI_Expiration=1,IF($A336&lt;VLOOKUP(K$5,NFI,5,0),1,0)*Table_NFI[[#This Row],[Mosquito net]],Table_NFI[Mosquito net])</f>
        <v>0</v>
      </c>
      <c r="AC336" s="352">
        <f>IF(NFI_Expiration=1,IF($A336&lt;VLOOKUP(L$5,NFI,5,0),1,0)*Table_NFI[[#This Row],[Tarpaulin]],Table_NFI[[#This Row],[Tarpaulin]])</f>
        <v>0</v>
      </c>
      <c r="AD336" s="352">
        <f>IF(NFI_Expiration=1,IF($A336&lt;VLOOKUP(M$5,NFI,5,0),1,0)*Table_NFI[[#This Row],[Blanket]],Table_NFI[[#This Row],[Blanket]])</f>
        <v>0</v>
      </c>
      <c r="AE336" s="352">
        <f>IF(NFI_Expiration=1,IF($A336&lt;VLOOKUP(N$5,NFI,5,0),1,0)*Table_NFI[[#This Row],[Kitchen Set]],Table_NFI[Kitchen Set])</f>
        <v>0</v>
      </c>
      <c r="AF336" s="352">
        <f>IF(NFI_Expiration=1,IF($A336&lt;VLOOKUP(O$5,NFI,5,0),1,0)*Table_NFI[[#This Row],[Clothes Kit]],Table_NFI[Clothes Kit])</f>
        <v>0</v>
      </c>
      <c r="AG336" s="352">
        <f>IF(NFI_Expiration=1,IF($A336&lt;VLOOKUP(P$5,NFI,5,0),1,0)*Table_NFI[[#This Row],[Plastic Bucket]],Table_NFI[Plastic Bucket])</f>
        <v>0</v>
      </c>
      <c r="AH336" s="352">
        <f>IF(NFI_Expiration=1,IF($A336&lt;VLOOKUP(Q$5,NFI,5,0),1,0)*Table_NFI[[#This Row],[Plastic Mat]],Table_NFI[Plastic Mat])*IF(Table_NFI[[#This Row],[Distribution Date]]&gt;"2014-04-01",1,2.5)</f>
        <v>0</v>
      </c>
      <c r="AI336" s="352">
        <f>IF(NFI_Expiration=1,IF($A336&lt;VLOOKUP(R$5,NFI,5,0),1,0)*Table_NFI[[#This Row],[Winter Clothes Adult]],Table_NFI[Winter Clothes Adult])</f>
        <v>0</v>
      </c>
      <c r="AJ336" s="352">
        <f>IF(NFI_Expiration=1,IF($A336&lt;VLOOKUP(S$5,NFI,5,0),1,0)*Table_NFI[[#This Row],[Winter Clothes Children]],Table_NFI[Winter Clothes Children])</f>
        <v>0</v>
      </c>
      <c r="AK336" s="352">
        <f>IF(NFI_Expiration=1,IF($A336&lt;VLOOKUP(T$5,NFI,5,0),1,0)*Table_NFI[[#This Row],[Winter Items Other]],Table_NFI[Winter Items Other])</f>
        <v>0</v>
      </c>
      <c r="AL336" s="352">
        <f>IF(NFI_Expiration=1,IF($A336&lt;VLOOKUP(M$5,NFI,5,0),1,0)*Table_NFI[[#This Row],[Winter Blanket]],Table_NFI[[#This Row],[Winter Blanket]])</f>
        <v>0</v>
      </c>
      <c r="AM336" s="352">
        <f>IF(Table_NFI[[#This Row],[Winter Clothes Adult]]+Table_NFI[[#This Row],[Winter Clothes Children]]+Table_NFI[[#This Row],[Winter Items Other]]+Table_NFI[[#This Row],[Winter Blanket]]&gt;0,1,0)</f>
        <v>0</v>
      </c>
      <c r="AN336" s="392">
        <f>IF(NFI_Expiration=1,IF($A336&lt;VLOOKUP(V$5,NFI,5,0),1,0)*Table_NFI[[#This Row],[Jerry Can]],Table_NFI[Jerry Can])</f>
        <v>0</v>
      </c>
      <c r="AO336" s="540" t="str">
        <f>IFERROR(VLOOKUP(Table_NFI[[#This Row],[Camp Name]],CL,2,0),"")</f>
        <v/>
      </c>
      <c r="AP336" s="535" t="str">
        <f ca="1">IF(Table_NFI[[#This Row],[Pcode]]="","",IF(OFFSET(CampList[Opening Date],MATCH(Table_NFI[[#This Row],[Pcode]],CampList[CP_Pcode],0)-1,0,1,1)&gt;=NFI_Monitor_Date,1,0))</f>
        <v/>
      </c>
      <c r="AQ336" s="540" t="str">
        <f>IFERROR(VLOOKUP(Table_NFI[[#This Row],[Camp Name]],CL,3,0),"")</f>
        <v/>
      </c>
      <c r="AR336" s="352" t="str">
        <f ca="1">IF(Table_NFI[[#This Row],[Pcode]]="","",OFFSET(CampList[Priority],MATCH(Table_NFI[[#This Row],[Pcode]],CampList[CP_Pcode],0)-1,0,1,1))</f>
        <v/>
      </c>
      <c r="AS336" s="351" t="str">
        <f>IFERROR(Table_NFI[[#This Row],[Kitchen Set]]/VLOOKUP(Table_NFI[[#This Row],[Camp Name]],CL,4,0),"")</f>
        <v/>
      </c>
      <c r="AT336" s="533"/>
      <c r="AU336" s="536"/>
    </row>
    <row r="337" spans="1:47" s="537" customFormat="1" hidden="1" x14ac:dyDescent="0.25">
      <c r="A337" s="355">
        <f t="shared" si="5"/>
        <v>2.7333333333333334</v>
      </c>
      <c r="B337" s="532">
        <v>42489</v>
      </c>
      <c r="C337" s="533" t="s">
        <v>907</v>
      </c>
      <c r="D337" s="534" t="s">
        <v>907</v>
      </c>
      <c r="E337" s="533" t="s">
        <v>380</v>
      </c>
      <c r="F337" s="348" t="s">
        <v>185</v>
      </c>
      <c r="G337" s="348" t="s">
        <v>1566</v>
      </c>
      <c r="H337" s="349"/>
      <c r="I337" s="349"/>
      <c r="J337" s="350"/>
      <c r="K337" s="349"/>
      <c r="L337" s="350"/>
      <c r="M337" s="350"/>
      <c r="N337" s="350"/>
      <c r="O337" s="350"/>
      <c r="P337" s="352"/>
      <c r="Q337" s="392"/>
      <c r="R337" s="392"/>
      <c r="S337" s="392"/>
      <c r="T337" s="392"/>
      <c r="U337" s="392"/>
      <c r="V337" s="497"/>
      <c r="W337" s="392">
        <v>26</v>
      </c>
      <c r="X337" s="392"/>
      <c r="Y337" s="352">
        <f>IF(NFI_Expiration=1,IF($A337&lt;VLOOKUP(H$5,NFI,5,0),1,0)*Table_NFI[[#This Row],[Hygiene Kit]],Table_NFI[Hygiene Kit])</f>
        <v>0</v>
      </c>
      <c r="Z337" s="352">
        <f>IF(NFI_Expiration=1,IF($A337&lt;VLOOKUP(I$5,NFI,5,0),1,0)*Table_NFI[[#This Row],[NFI Core Kit]],Table_NFI[NFI Core Kit])</f>
        <v>0</v>
      </c>
      <c r="AA337" s="352">
        <f>IF(NFI_Expiration=1,IF($A337&lt;VLOOKUP(J$5,NFI,5,0),1,0)*Table_NFI[[#This Row],[Sanitary Kit]],Table_NFI[Sanitary Kit])</f>
        <v>0</v>
      </c>
      <c r="AB337" s="352">
        <f>IF(NFI_Expiration=1,IF($A337&lt;VLOOKUP(K$5,NFI,5,0),1,0)*Table_NFI[[#This Row],[Mosquito net]],Table_NFI[Mosquito net])</f>
        <v>0</v>
      </c>
      <c r="AC337" s="352">
        <f>IF(NFI_Expiration=1,IF($A337&lt;VLOOKUP(L$5,NFI,5,0),1,0)*Table_NFI[[#This Row],[Tarpaulin]],Table_NFI[[#This Row],[Tarpaulin]])</f>
        <v>0</v>
      </c>
      <c r="AD337" s="352">
        <f>IF(NFI_Expiration=1,IF($A337&lt;VLOOKUP(M$5,NFI,5,0),1,0)*Table_NFI[[#This Row],[Blanket]],Table_NFI[[#This Row],[Blanket]])</f>
        <v>0</v>
      </c>
      <c r="AE337" s="352">
        <f>IF(NFI_Expiration=1,IF($A337&lt;VLOOKUP(N$5,NFI,5,0),1,0)*Table_NFI[[#This Row],[Kitchen Set]],Table_NFI[Kitchen Set])</f>
        <v>0</v>
      </c>
      <c r="AF337" s="352">
        <f>IF(NFI_Expiration=1,IF($A337&lt;VLOOKUP(O$5,NFI,5,0),1,0)*Table_NFI[[#This Row],[Clothes Kit]],Table_NFI[Clothes Kit])</f>
        <v>0</v>
      </c>
      <c r="AG337" s="352">
        <f>IF(NFI_Expiration=1,IF($A337&lt;VLOOKUP(P$5,NFI,5,0),1,0)*Table_NFI[[#This Row],[Plastic Bucket]],Table_NFI[Plastic Bucket])</f>
        <v>0</v>
      </c>
      <c r="AH337" s="352">
        <f>IF(NFI_Expiration=1,IF($A337&lt;VLOOKUP(Q$5,NFI,5,0),1,0)*Table_NFI[[#This Row],[Plastic Mat]],Table_NFI[Plastic Mat])*IF(Table_NFI[[#This Row],[Distribution Date]]&gt;"2014-04-01",1,2.5)</f>
        <v>0</v>
      </c>
      <c r="AI337" s="352">
        <f>IF(NFI_Expiration=1,IF($A337&lt;VLOOKUP(R$5,NFI,5,0),1,0)*Table_NFI[[#This Row],[Winter Clothes Adult]],Table_NFI[Winter Clothes Adult])</f>
        <v>0</v>
      </c>
      <c r="AJ337" s="352">
        <f>IF(NFI_Expiration=1,IF($A337&lt;VLOOKUP(S$5,NFI,5,0),1,0)*Table_NFI[[#This Row],[Winter Clothes Children]],Table_NFI[Winter Clothes Children])</f>
        <v>0</v>
      </c>
      <c r="AK337" s="352">
        <f>IF(NFI_Expiration=1,IF($A337&lt;VLOOKUP(T$5,NFI,5,0),1,0)*Table_NFI[[#This Row],[Winter Items Other]],Table_NFI[Winter Items Other])</f>
        <v>0</v>
      </c>
      <c r="AL337" s="352">
        <f>IF(NFI_Expiration=1,IF($A337&lt;VLOOKUP(M$5,NFI,5,0),1,0)*Table_NFI[[#This Row],[Winter Blanket]],Table_NFI[[#This Row],[Winter Blanket]])</f>
        <v>0</v>
      </c>
      <c r="AM337" s="352">
        <f>IF(Table_NFI[[#This Row],[Winter Clothes Adult]]+Table_NFI[[#This Row],[Winter Clothes Children]]+Table_NFI[[#This Row],[Winter Items Other]]+Table_NFI[[#This Row],[Winter Blanket]]&gt;0,1,0)</f>
        <v>0</v>
      </c>
      <c r="AN337" s="392">
        <f>IF(NFI_Expiration=1,IF($A337&lt;VLOOKUP(V$5,NFI,5,0),1,0)*Table_NFI[[#This Row],[Jerry Can]],Table_NFI[Jerry Can])</f>
        <v>0</v>
      </c>
      <c r="AO337" s="540" t="str">
        <f>IFERROR(VLOOKUP(Table_NFI[[#This Row],[Camp Name]],CL,2,0),"")</f>
        <v/>
      </c>
      <c r="AP337" s="535" t="str">
        <f ca="1">IF(Table_NFI[[#This Row],[Pcode]]="","",IF(OFFSET(CampList[Opening Date],MATCH(Table_NFI[[#This Row],[Pcode]],CampList[CP_Pcode],0)-1,0,1,1)&gt;=NFI_Monitor_Date,1,0))</f>
        <v/>
      </c>
      <c r="AQ337" s="540" t="str">
        <f>IFERROR(VLOOKUP(Table_NFI[[#This Row],[Camp Name]],CL,3,0),"")</f>
        <v/>
      </c>
      <c r="AR337" s="352" t="str">
        <f ca="1">IF(Table_NFI[[#This Row],[Pcode]]="","",OFFSET(CampList[Priority],MATCH(Table_NFI[[#This Row],[Pcode]],CampList[CP_Pcode],0)-1,0,1,1))</f>
        <v/>
      </c>
      <c r="AS337" s="351" t="str">
        <f>IFERROR(Table_NFI[[#This Row],[Kitchen Set]]/VLOOKUP(Table_NFI[[#This Row],[Camp Name]],CL,4,0),"")</f>
        <v/>
      </c>
      <c r="AT337" s="533"/>
      <c r="AU337" s="536"/>
    </row>
    <row r="338" spans="1:47" s="537" customFormat="1" hidden="1" x14ac:dyDescent="0.25">
      <c r="A338" s="355">
        <f t="shared" si="5"/>
        <v>16.533333333333335</v>
      </c>
      <c r="B338" s="532">
        <v>42075</v>
      </c>
      <c r="C338" s="533" t="s">
        <v>907</v>
      </c>
      <c r="D338" s="534" t="s">
        <v>907</v>
      </c>
      <c r="E338" s="533" t="s">
        <v>380</v>
      </c>
      <c r="F338" s="348" t="s">
        <v>185</v>
      </c>
      <c r="G338" s="348" t="s">
        <v>186</v>
      </c>
      <c r="H338" s="349"/>
      <c r="I338" s="349"/>
      <c r="J338" s="350"/>
      <c r="K338" s="349"/>
      <c r="L338" s="350"/>
      <c r="M338" s="350"/>
      <c r="N338" s="350"/>
      <c r="O338" s="350"/>
      <c r="P338" s="352"/>
      <c r="Q338" s="392"/>
      <c r="R338" s="392"/>
      <c r="S338" s="392"/>
      <c r="T338" s="392"/>
      <c r="U338" s="392"/>
      <c r="V338" s="497"/>
      <c r="W338" s="392">
        <v>1</v>
      </c>
      <c r="X338" s="392"/>
      <c r="Y338" s="352">
        <f>IF(NFI_Expiration=1,IF($A338&lt;VLOOKUP(H$5,NFI,5,0),1,0)*Table_NFI[[#This Row],[Hygiene Kit]],Table_NFI[Hygiene Kit])</f>
        <v>0</v>
      </c>
      <c r="Z338" s="352">
        <f>IF(NFI_Expiration=1,IF($A338&lt;VLOOKUP(I$5,NFI,5,0),1,0)*Table_NFI[[#This Row],[NFI Core Kit]],Table_NFI[NFI Core Kit])</f>
        <v>0</v>
      </c>
      <c r="AA338" s="352">
        <f>IF(NFI_Expiration=1,IF($A338&lt;VLOOKUP(J$5,NFI,5,0),1,0)*Table_NFI[[#This Row],[Sanitary Kit]],Table_NFI[Sanitary Kit])</f>
        <v>0</v>
      </c>
      <c r="AB338" s="352">
        <f>IF(NFI_Expiration=1,IF($A338&lt;VLOOKUP(K$5,NFI,5,0),1,0)*Table_NFI[[#This Row],[Mosquito net]],Table_NFI[Mosquito net])</f>
        <v>0</v>
      </c>
      <c r="AC338" s="352">
        <f>IF(NFI_Expiration=1,IF($A338&lt;VLOOKUP(L$5,NFI,5,0),1,0)*Table_NFI[[#This Row],[Tarpaulin]],Table_NFI[[#This Row],[Tarpaulin]])</f>
        <v>0</v>
      </c>
      <c r="AD338" s="352">
        <f>IF(NFI_Expiration=1,IF($A338&lt;VLOOKUP(M$5,NFI,5,0),1,0)*Table_NFI[[#This Row],[Blanket]],Table_NFI[[#This Row],[Blanket]])</f>
        <v>0</v>
      </c>
      <c r="AE338" s="352">
        <f>IF(NFI_Expiration=1,IF($A338&lt;VLOOKUP(N$5,NFI,5,0),1,0)*Table_NFI[[#This Row],[Kitchen Set]],Table_NFI[Kitchen Set])</f>
        <v>0</v>
      </c>
      <c r="AF338" s="352">
        <f>IF(NFI_Expiration=1,IF($A338&lt;VLOOKUP(O$5,NFI,5,0),1,0)*Table_NFI[[#This Row],[Clothes Kit]],Table_NFI[Clothes Kit])</f>
        <v>0</v>
      </c>
      <c r="AG338" s="352">
        <f>IF(NFI_Expiration=1,IF($A338&lt;VLOOKUP(P$5,NFI,5,0),1,0)*Table_NFI[[#This Row],[Plastic Bucket]],Table_NFI[Plastic Bucket])</f>
        <v>0</v>
      </c>
      <c r="AH338" s="352">
        <f>IF(NFI_Expiration=1,IF($A338&lt;VLOOKUP(Q$5,NFI,5,0),1,0)*Table_NFI[[#This Row],[Plastic Mat]],Table_NFI[Plastic Mat])*IF(Table_NFI[[#This Row],[Distribution Date]]&gt;"2014-04-01",1,2.5)</f>
        <v>0</v>
      </c>
      <c r="AI338" s="352">
        <f>IF(NFI_Expiration=1,IF($A338&lt;VLOOKUP(R$5,NFI,5,0),1,0)*Table_NFI[[#This Row],[Winter Clothes Adult]],Table_NFI[Winter Clothes Adult])</f>
        <v>0</v>
      </c>
      <c r="AJ338" s="352">
        <f>IF(NFI_Expiration=1,IF($A338&lt;VLOOKUP(S$5,NFI,5,0),1,0)*Table_NFI[[#This Row],[Winter Clothes Children]],Table_NFI[Winter Clothes Children])</f>
        <v>0</v>
      </c>
      <c r="AK338" s="352">
        <f>IF(NFI_Expiration=1,IF($A338&lt;VLOOKUP(T$5,NFI,5,0),1,0)*Table_NFI[[#This Row],[Winter Items Other]],Table_NFI[Winter Items Other])</f>
        <v>0</v>
      </c>
      <c r="AL338" s="352">
        <f>IF(NFI_Expiration=1,IF($A338&lt;VLOOKUP(M$5,NFI,5,0),1,0)*Table_NFI[[#This Row],[Winter Blanket]],Table_NFI[[#This Row],[Winter Blanket]])</f>
        <v>0</v>
      </c>
      <c r="AM338" s="352">
        <f>IF(Table_NFI[[#This Row],[Winter Clothes Adult]]+Table_NFI[[#This Row],[Winter Clothes Children]]+Table_NFI[[#This Row],[Winter Items Other]]+Table_NFI[[#This Row],[Winter Blanket]]&gt;0,1,0)</f>
        <v>0</v>
      </c>
      <c r="AN338" s="392">
        <f>IF(NFI_Expiration=1,IF($A338&lt;VLOOKUP(V$5,NFI,5,0),1,0)*Table_NFI[[#This Row],[Jerry Can]],Table_NFI[Jerry Can])</f>
        <v>0</v>
      </c>
      <c r="AO338" s="540" t="str">
        <f>IFERROR(VLOOKUP(Table_NFI[[#This Row],[Camp Name]],CL,2,0),"")</f>
        <v>MMR001CMP071</v>
      </c>
      <c r="AP338" s="535">
        <f ca="1">IF(Table_NFI[[#This Row],[Pcode]]="","",IF(OFFSET(CampList[Opening Date],MATCH(Table_NFI[[#This Row],[Pcode]],CampList[CP_Pcode],0)-1,0,1,1)&gt;=NFI_Monitor_Date,1,0))</f>
        <v>0</v>
      </c>
      <c r="AQ338" s="540" t="str">
        <f>IFERROR(VLOOKUP(Table_NFI[[#This Row],[Camp Name]],CL,3,0),"")</f>
        <v>Open</v>
      </c>
      <c r="AR338" s="352" t="str">
        <f ca="1">IF(Table_NFI[[#This Row],[Pcode]]="","",OFFSET(CampList[Priority],MATCH(Table_NFI[[#This Row],[Pcode]],CampList[CP_Pcode],0)-1,0,1,1))</f>
        <v>P3</v>
      </c>
      <c r="AS338" s="351">
        <f>IFERROR(Table_NFI[[#This Row],[Kitchen Set]]/VLOOKUP(Table_NFI[[#This Row],[Camp Name]],CL,4,0),"")</f>
        <v>0</v>
      </c>
      <c r="AT338" s="533"/>
      <c r="AU338" s="536"/>
    </row>
    <row r="339" spans="1:47" s="537" customFormat="1" hidden="1" x14ac:dyDescent="0.25">
      <c r="A339" s="355">
        <f t="shared" si="5"/>
        <v>7.2666666666666666</v>
      </c>
      <c r="B339" s="532">
        <v>42353</v>
      </c>
      <c r="C339" s="533" t="s">
        <v>907</v>
      </c>
      <c r="D339" s="534" t="s">
        <v>907</v>
      </c>
      <c r="E339" s="533" t="s">
        <v>380</v>
      </c>
      <c r="F339" s="348" t="s">
        <v>185</v>
      </c>
      <c r="G339" s="348" t="s">
        <v>186</v>
      </c>
      <c r="H339" s="349"/>
      <c r="I339" s="349"/>
      <c r="J339" s="350"/>
      <c r="K339" s="349"/>
      <c r="L339" s="350"/>
      <c r="M339" s="350"/>
      <c r="N339" s="350"/>
      <c r="O339" s="350"/>
      <c r="P339" s="352"/>
      <c r="Q339" s="392"/>
      <c r="R339" s="392"/>
      <c r="S339" s="392"/>
      <c r="T339" s="392"/>
      <c r="U339" s="392"/>
      <c r="V339" s="497"/>
      <c r="W339" s="392">
        <v>3</v>
      </c>
      <c r="X339" s="392"/>
      <c r="Y339" s="352">
        <f>IF(NFI_Expiration=1,IF($A339&lt;VLOOKUP(H$5,NFI,5,0),1,0)*Table_NFI[[#This Row],[Hygiene Kit]],Table_NFI[Hygiene Kit])</f>
        <v>0</v>
      </c>
      <c r="Z339" s="352">
        <f>IF(NFI_Expiration=1,IF($A339&lt;VLOOKUP(I$5,NFI,5,0),1,0)*Table_NFI[[#This Row],[NFI Core Kit]],Table_NFI[NFI Core Kit])</f>
        <v>0</v>
      </c>
      <c r="AA339" s="352">
        <f>IF(NFI_Expiration=1,IF($A339&lt;VLOOKUP(J$5,NFI,5,0),1,0)*Table_NFI[[#This Row],[Sanitary Kit]],Table_NFI[Sanitary Kit])</f>
        <v>0</v>
      </c>
      <c r="AB339" s="352">
        <f>IF(NFI_Expiration=1,IF($A339&lt;VLOOKUP(K$5,NFI,5,0),1,0)*Table_NFI[[#This Row],[Mosquito net]],Table_NFI[Mosquito net])</f>
        <v>0</v>
      </c>
      <c r="AC339" s="352">
        <f>IF(NFI_Expiration=1,IF($A339&lt;VLOOKUP(L$5,NFI,5,0),1,0)*Table_NFI[[#This Row],[Tarpaulin]],Table_NFI[[#This Row],[Tarpaulin]])</f>
        <v>0</v>
      </c>
      <c r="AD339" s="352">
        <f>IF(NFI_Expiration=1,IF($A339&lt;VLOOKUP(M$5,NFI,5,0),1,0)*Table_NFI[[#This Row],[Blanket]],Table_NFI[[#This Row],[Blanket]])</f>
        <v>0</v>
      </c>
      <c r="AE339" s="352">
        <f>IF(NFI_Expiration=1,IF($A339&lt;VLOOKUP(N$5,NFI,5,0),1,0)*Table_NFI[[#This Row],[Kitchen Set]],Table_NFI[Kitchen Set])</f>
        <v>0</v>
      </c>
      <c r="AF339" s="352">
        <f>IF(NFI_Expiration=1,IF($A339&lt;VLOOKUP(O$5,NFI,5,0),1,0)*Table_NFI[[#This Row],[Clothes Kit]],Table_NFI[Clothes Kit])</f>
        <v>0</v>
      </c>
      <c r="AG339" s="352">
        <f>IF(NFI_Expiration=1,IF($A339&lt;VLOOKUP(P$5,NFI,5,0),1,0)*Table_NFI[[#This Row],[Plastic Bucket]],Table_NFI[Plastic Bucket])</f>
        <v>0</v>
      </c>
      <c r="AH339" s="352">
        <f>IF(NFI_Expiration=1,IF($A339&lt;VLOOKUP(Q$5,NFI,5,0),1,0)*Table_NFI[[#This Row],[Plastic Mat]],Table_NFI[Plastic Mat])*IF(Table_NFI[[#This Row],[Distribution Date]]&gt;"2014-04-01",1,2.5)</f>
        <v>0</v>
      </c>
      <c r="AI339" s="352">
        <f>IF(NFI_Expiration=1,IF($A339&lt;VLOOKUP(R$5,NFI,5,0),1,0)*Table_NFI[[#This Row],[Winter Clothes Adult]],Table_NFI[Winter Clothes Adult])</f>
        <v>0</v>
      </c>
      <c r="AJ339" s="352">
        <f>IF(NFI_Expiration=1,IF($A339&lt;VLOOKUP(S$5,NFI,5,0),1,0)*Table_NFI[[#This Row],[Winter Clothes Children]],Table_NFI[Winter Clothes Children])</f>
        <v>0</v>
      </c>
      <c r="AK339" s="352">
        <f>IF(NFI_Expiration=1,IF($A339&lt;VLOOKUP(T$5,NFI,5,0),1,0)*Table_NFI[[#This Row],[Winter Items Other]],Table_NFI[Winter Items Other])</f>
        <v>0</v>
      </c>
      <c r="AL339" s="352">
        <f>IF(NFI_Expiration=1,IF($A339&lt;VLOOKUP(M$5,NFI,5,0),1,0)*Table_NFI[[#This Row],[Winter Blanket]],Table_NFI[[#This Row],[Winter Blanket]])</f>
        <v>0</v>
      </c>
      <c r="AM339" s="352">
        <f>IF(Table_NFI[[#This Row],[Winter Clothes Adult]]+Table_NFI[[#This Row],[Winter Clothes Children]]+Table_NFI[[#This Row],[Winter Items Other]]+Table_NFI[[#This Row],[Winter Blanket]]&gt;0,1,0)</f>
        <v>0</v>
      </c>
      <c r="AN339" s="392">
        <f>IF(NFI_Expiration=1,IF($A339&lt;VLOOKUP(V$5,NFI,5,0),1,0)*Table_NFI[[#This Row],[Jerry Can]],Table_NFI[Jerry Can])</f>
        <v>0</v>
      </c>
      <c r="AO339" s="540" t="str">
        <f>IFERROR(VLOOKUP(Table_NFI[[#This Row],[Camp Name]],CL,2,0),"")</f>
        <v>MMR001CMP071</v>
      </c>
      <c r="AP339" s="535">
        <f ca="1">IF(Table_NFI[[#This Row],[Pcode]]="","",IF(OFFSET(CampList[Opening Date],MATCH(Table_NFI[[#This Row],[Pcode]],CampList[CP_Pcode],0)-1,0,1,1)&gt;=NFI_Monitor_Date,1,0))</f>
        <v>0</v>
      </c>
      <c r="AQ339" s="540" t="str">
        <f>IFERROR(VLOOKUP(Table_NFI[[#This Row],[Camp Name]],CL,3,0),"")</f>
        <v>Open</v>
      </c>
      <c r="AR339" s="352" t="str">
        <f ca="1">IF(Table_NFI[[#This Row],[Pcode]]="","",OFFSET(CampList[Priority],MATCH(Table_NFI[[#This Row],[Pcode]],CampList[CP_Pcode],0)-1,0,1,1))</f>
        <v>P3</v>
      </c>
      <c r="AS339" s="351">
        <f>IFERROR(Table_NFI[[#This Row],[Kitchen Set]]/VLOOKUP(Table_NFI[[#This Row],[Camp Name]],CL,4,0),"")</f>
        <v>0</v>
      </c>
      <c r="AT339" s="533"/>
      <c r="AU339" s="536"/>
    </row>
    <row r="340" spans="1:47" s="537" customFormat="1" hidden="1" x14ac:dyDescent="0.25">
      <c r="A340" s="355">
        <f t="shared" si="5"/>
        <v>2.7</v>
      </c>
      <c r="B340" s="532">
        <v>42490</v>
      </c>
      <c r="C340" s="533" t="s">
        <v>907</v>
      </c>
      <c r="D340" s="534" t="s">
        <v>907</v>
      </c>
      <c r="E340" s="533" t="s">
        <v>380</v>
      </c>
      <c r="F340" s="348" t="s">
        <v>185</v>
      </c>
      <c r="G340" s="348" t="s">
        <v>186</v>
      </c>
      <c r="H340" s="349"/>
      <c r="I340" s="349"/>
      <c r="J340" s="350"/>
      <c r="K340" s="349"/>
      <c r="L340" s="350"/>
      <c r="M340" s="350"/>
      <c r="N340" s="350"/>
      <c r="O340" s="350"/>
      <c r="P340" s="352"/>
      <c r="Q340" s="392"/>
      <c r="R340" s="392"/>
      <c r="S340" s="392"/>
      <c r="T340" s="392"/>
      <c r="U340" s="392"/>
      <c r="V340" s="497"/>
      <c r="W340" s="392">
        <v>3</v>
      </c>
      <c r="X340" s="392"/>
      <c r="Y340" s="352">
        <f>IF(NFI_Expiration=1,IF($A340&lt;VLOOKUP(H$5,NFI,5,0),1,0)*Table_NFI[[#This Row],[Hygiene Kit]],Table_NFI[Hygiene Kit])</f>
        <v>0</v>
      </c>
      <c r="Z340" s="352">
        <f>IF(NFI_Expiration=1,IF($A340&lt;VLOOKUP(I$5,NFI,5,0),1,0)*Table_NFI[[#This Row],[NFI Core Kit]],Table_NFI[NFI Core Kit])</f>
        <v>0</v>
      </c>
      <c r="AA340" s="352">
        <f>IF(NFI_Expiration=1,IF($A340&lt;VLOOKUP(J$5,NFI,5,0),1,0)*Table_NFI[[#This Row],[Sanitary Kit]],Table_NFI[Sanitary Kit])</f>
        <v>0</v>
      </c>
      <c r="AB340" s="352">
        <f>IF(NFI_Expiration=1,IF($A340&lt;VLOOKUP(K$5,NFI,5,0),1,0)*Table_NFI[[#This Row],[Mosquito net]],Table_NFI[Mosquito net])</f>
        <v>0</v>
      </c>
      <c r="AC340" s="352">
        <f>IF(NFI_Expiration=1,IF($A340&lt;VLOOKUP(L$5,NFI,5,0),1,0)*Table_NFI[[#This Row],[Tarpaulin]],Table_NFI[[#This Row],[Tarpaulin]])</f>
        <v>0</v>
      </c>
      <c r="AD340" s="352">
        <f>IF(NFI_Expiration=1,IF($A340&lt;VLOOKUP(M$5,NFI,5,0),1,0)*Table_NFI[[#This Row],[Blanket]],Table_NFI[[#This Row],[Blanket]])</f>
        <v>0</v>
      </c>
      <c r="AE340" s="352">
        <f>IF(NFI_Expiration=1,IF($A340&lt;VLOOKUP(N$5,NFI,5,0),1,0)*Table_NFI[[#This Row],[Kitchen Set]],Table_NFI[Kitchen Set])</f>
        <v>0</v>
      </c>
      <c r="AF340" s="352">
        <f>IF(NFI_Expiration=1,IF($A340&lt;VLOOKUP(O$5,NFI,5,0),1,0)*Table_NFI[[#This Row],[Clothes Kit]],Table_NFI[Clothes Kit])</f>
        <v>0</v>
      </c>
      <c r="AG340" s="352">
        <f>IF(NFI_Expiration=1,IF($A340&lt;VLOOKUP(P$5,NFI,5,0),1,0)*Table_NFI[[#This Row],[Plastic Bucket]],Table_NFI[Plastic Bucket])</f>
        <v>0</v>
      </c>
      <c r="AH340" s="352">
        <f>IF(NFI_Expiration=1,IF($A340&lt;VLOOKUP(Q$5,NFI,5,0),1,0)*Table_NFI[[#This Row],[Plastic Mat]],Table_NFI[Plastic Mat])*IF(Table_NFI[[#This Row],[Distribution Date]]&gt;"2014-04-01",1,2.5)</f>
        <v>0</v>
      </c>
      <c r="AI340" s="352">
        <f>IF(NFI_Expiration=1,IF($A340&lt;VLOOKUP(R$5,NFI,5,0),1,0)*Table_NFI[[#This Row],[Winter Clothes Adult]],Table_NFI[Winter Clothes Adult])</f>
        <v>0</v>
      </c>
      <c r="AJ340" s="352">
        <f>IF(NFI_Expiration=1,IF($A340&lt;VLOOKUP(S$5,NFI,5,0),1,0)*Table_NFI[[#This Row],[Winter Clothes Children]],Table_NFI[Winter Clothes Children])</f>
        <v>0</v>
      </c>
      <c r="AK340" s="352">
        <f>IF(NFI_Expiration=1,IF($A340&lt;VLOOKUP(T$5,NFI,5,0),1,0)*Table_NFI[[#This Row],[Winter Items Other]],Table_NFI[Winter Items Other])</f>
        <v>0</v>
      </c>
      <c r="AL340" s="352">
        <f>IF(NFI_Expiration=1,IF($A340&lt;VLOOKUP(M$5,NFI,5,0),1,0)*Table_NFI[[#This Row],[Winter Blanket]],Table_NFI[[#This Row],[Winter Blanket]])</f>
        <v>0</v>
      </c>
      <c r="AM340" s="352">
        <f>IF(Table_NFI[[#This Row],[Winter Clothes Adult]]+Table_NFI[[#This Row],[Winter Clothes Children]]+Table_NFI[[#This Row],[Winter Items Other]]+Table_NFI[[#This Row],[Winter Blanket]]&gt;0,1,0)</f>
        <v>0</v>
      </c>
      <c r="AN340" s="392">
        <f>IF(NFI_Expiration=1,IF($A340&lt;VLOOKUP(V$5,NFI,5,0),1,0)*Table_NFI[[#This Row],[Jerry Can]],Table_NFI[Jerry Can])</f>
        <v>0</v>
      </c>
      <c r="AO340" s="540" t="str">
        <f>IFERROR(VLOOKUP(Table_NFI[[#This Row],[Camp Name]],CL,2,0),"")</f>
        <v>MMR001CMP071</v>
      </c>
      <c r="AP340" s="535">
        <f ca="1">IF(Table_NFI[[#This Row],[Pcode]]="","",IF(OFFSET(CampList[Opening Date],MATCH(Table_NFI[[#This Row],[Pcode]],CampList[CP_Pcode],0)-1,0,1,1)&gt;=NFI_Monitor_Date,1,0))</f>
        <v>0</v>
      </c>
      <c r="AQ340" s="540" t="str">
        <f>IFERROR(VLOOKUP(Table_NFI[[#This Row],[Camp Name]],CL,3,0),"")</f>
        <v>Open</v>
      </c>
      <c r="AR340" s="352" t="str">
        <f ca="1">IF(Table_NFI[[#This Row],[Pcode]]="","",OFFSET(CampList[Priority],MATCH(Table_NFI[[#This Row],[Pcode]],CampList[CP_Pcode],0)-1,0,1,1))</f>
        <v>P3</v>
      </c>
      <c r="AS340" s="351">
        <f>IFERROR(Table_NFI[[#This Row],[Kitchen Set]]/VLOOKUP(Table_NFI[[#This Row],[Camp Name]],CL,4,0),"")</f>
        <v>0</v>
      </c>
      <c r="AT340" s="533"/>
      <c r="AU340" s="536"/>
    </row>
    <row r="341" spans="1:47" s="537" customFormat="1" hidden="1" x14ac:dyDescent="0.2">
      <c r="A341" s="355">
        <f t="shared" si="5"/>
        <v>13.733333333333333</v>
      </c>
      <c r="B341" s="532">
        <v>42159</v>
      </c>
      <c r="C341" s="533" t="s">
        <v>907</v>
      </c>
      <c r="D341" s="534" t="s">
        <v>907</v>
      </c>
      <c r="E341" s="533" t="s">
        <v>380</v>
      </c>
      <c r="F341" s="348" t="s">
        <v>185</v>
      </c>
      <c r="G341" s="348" t="s">
        <v>186</v>
      </c>
      <c r="H341" s="349"/>
      <c r="I341" s="349"/>
      <c r="J341" s="677">
        <v>54</v>
      </c>
      <c r="K341" s="349"/>
      <c r="L341" s="350"/>
      <c r="M341" s="350"/>
      <c r="N341" s="350"/>
      <c r="O341" s="350"/>
      <c r="P341" s="352"/>
      <c r="Q341" s="392"/>
      <c r="R341" s="392"/>
      <c r="S341" s="392"/>
      <c r="T341" s="392"/>
      <c r="U341" s="392"/>
      <c r="V341" s="497"/>
      <c r="W341" s="392"/>
      <c r="X341" s="392"/>
      <c r="Y341" s="352">
        <f>IF(NFI_Expiration=1,IF($A341&lt;VLOOKUP(H$5,NFI,5,0),1,0)*Table_NFI[[#This Row],[Hygiene Kit]],Table_NFI[Hygiene Kit])</f>
        <v>0</v>
      </c>
      <c r="Z341" s="352">
        <f>IF(NFI_Expiration=1,IF($A341&lt;VLOOKUP(I$5,NFI,5,0),1,0)*Table_NFI[[#This Row],[NFI Core Kit]],Table_NFI[NFI Core Kit])</f>
        <v>0</v>
      </c>
      <c r="AA341" s="352">
        <f>IF(NFI_Expiration=1,IF($A341&lt;VLOOKUP(J$5,NFI,5,0),1,0)*Table_NFI[[#This Row],[Sanitary Kit]],Table_NFI[Sanitary Kit])</f>
        <v>0</v>
      </c>
      <c r="AB341" s="352">
        <f>IF(NFI_Expiration=1,IF($A341&lt;VLOOKUP(K$5,NFI,5,0),1,0)*Table_NFI[[#This Row],[Mosquito net]],Table_NFI[Mosquito net])</f>
        <v>0</v>
      </c>
      <c r="AC341" s="352">
        <f>IF(NFI_Expiration=1,IF($A341&lt;VLOOKUP(L$5,NFI,5,0),1,0)*Table_NFI[[#This Row],[Tarpaulin]],Table_NFI[[#This Row],[Tarpaulin]])</f>
        <v>0</v>
      </c>
      <c r="AD341" s="352">
        <f>IF(NFI_Expiration=1,IF($A341&lt;VLOOKUP(M$5,NFI,5,0),1,0)*Table_NFI[[#This Row],[Blanket]],Table_NFI[[#This Row],[Blanket]])</f>
        <v>0</v>
      </c>
      <c r="AE341" s="352">
        <f>IF(NFI_Expiration=1,IF($A341&lt;VLOOKUP(N$5,NFI,5,0),1,0)*Table_NFI[[#This Row],[Kitchen Set]],Table_NFI[Kitchen Set])</f>
        <v>0</v>
      </c>
      <c r="AF341" s="352">
        <f>IF(NFI_Expiration=1,IF($A341&lt;VLOOKUP(O$5,NFI,5,0),1,0)*Table_NFI[[#This Row],[Clothes Kit]],Table_NFI[Clothes Kit])</f>
        <v>0</v>
      </c>
      <c r="AG341" s="352">
        <f>IF(NFI_Expiration=1,IF($A341&lt;VLOOKUP(P$5,NFI,5,0),1,0)*Table_NFI[[#This Row],[Plastic Bucket]],Table_NFI[Plastic Bucket])</f>
        <v>0</v>
      </c>
      <c r="AH341" s="352">
        <f>IF(NFI_Expiration=1,IF($A341&lt;VLOOKUP(Q$5,NFI,5,0),1,0)*Table_NFI[[#This Row],[Plastic Mat]],Table_NFI[Plastic Mat])*IF(Table_NFI[[#This Row],[Distribution Date]]&gt;"2014-04-01",1,2.5)</f>
        <v>0</v>
      </c>
      <c r="AI341" s="352">
        <f>IF(NFI_Expiration=1,IF($A341&lt;VLOOKUP(R$5,NFI,5,0),1,0)*Table_NFI[[#This Row],[Winter Clothes Adult]],Table_NFI[Winter Clothes Adult])</f>
        <v>0</v>
      </c>
      <c r="AJ341" s="352">
        <f>IF(NFI_Expiration=1,IF($A341&lt;VLOOKUP(S$5,NFI,5,0),1,0)*Table_NFI[[#This Row],[Winter Clothes Children]],Table_NFI[Winter Clothes Children])</f>
        <v>0</v>
      </c>
      <c r="AK341" s="352">
        <f>IF(NFI_Expiration=1,IF($A341&lt;VLOOKUP(T$5,NFI,5,0),1,0)*Table_NFI[[#This Row],[Winter Items Other]],Table_NFI[Winter Items Other])</f>
        <v>0</v>
      </c>
      <c r="AL341" s="352">
        <f>IF(NFI_Expiration=1,IF($A341&lt;VLOOKUP(M$5,NFI,5,0),1,0)*Table_NFI[[#This Row],[Winter Blanket]],Table_NFI[[#This Row],[Winter Blanket]])</f>
        <v>0</v>
      </c>
      <c r="AM341" s="352">
        <f>IF(Table_NFI[[#This Row],[Winter Clothes Adult]]+Table_NFI[[#This Row],[Winter Clothes Children]]+Table_NFI[[#This Row],[Winter Items Other]]+Table_NFI[[#This Row],[Winter Blanket]]&gt;0,1,0)</f>
        <v>0</v>
      </c>
      <c r="AN341" s="392">
        <f>IF(NFI_Expiration=1,IF($A341&lt;VLOOKUP(V$5,NFI,5,0),1,0)*Table_NFI[[#This Row],[Jerry Can]],Table_NFI[Jerry Can])</f>
        <v>0</v>
      </c>
      <c r="AO341" s="540" t="str">
        <f>IFERROR(VLOOKUP(Table_NFI[[#This Row],[Camp Name]],CL,2,0),"")</f>
        <v>MMR001CMP071</v>
      </c>
      <c r="AP341" s="535">
        <f ca="1">IF(Table_NFI[[#This Row],[Pcode]]="","",IF(OFFSET(CampList[Opening Date],MATCH(Table_NFI[[#This Row],[Pcode]],CampList[CP_Pcode],0)-1,0,1,1)&gt;=NFI_Monitor_Date,1,0))</f>
        <v>0</v>
      </c>
      <c r="AQ341" s="540" t="str">
        <f>IFERROR(VLOOKUP(Table_NFI[[#This Row],[Camp Name]],CL,3,0),"")</f>
        <v>Open</v>
      </c>
      <c r="AR341" s="352" t="str">
        <f ca="1">IF(Table_NFI[[#This Row],[Pcode]]="","",OFFSET(CampList[Priority],MATCH(Table_NFI[[#This Row],[Pcode]],CampList[CP_Pcode],0)-1,0,1,1))</f>
        <v>P3</v>
      </c>
      <c r="AS341" s="351">
        <f>IFERROR(Table_NFI[[#This Row],[Kitchen Set]]/VLOOKUP(Table_NFI[[#This Row],[Camp Name]],CL,4,0),"")</f>
        <v>0</v>
      </c>
      <c r="AT341" s="533"/>
      <c r="AU341" s="536"/>
    </row>
    <row r="342" spans="1:47" s="537" customFormat="1" hidden="1" x14ac:dyDescent="0.2">
      <c r="A342" s="355">
        <f t="shared" si="5"/>
        <v>5.5666666666666664</v>
      </c>
      <c r="B342" s="532">
        <v>42404</v>
      </c>
      <c r="C342" s="533" t="s">
        <v>907</v>
      </c>
      <c r="D342" s="534" t="s">
        <v>907</v>
      </c>
      <c r="E342" s="533" t="s">
        <v>380</v>
      </c>
      <c r="F342" s="348" t="s">
        <v>185</v>
      </c>
      <c r="G342" s="348" t="s">
        <v>186</v>
      </c>
      <c r="H342" s="349"/>
      <c r="I342" s="349"/>
      <c r="J342" s="677">
        <v>55</v>
      </c>
      <c r="K342" s="349"/>
      <c r="L342" s="350"/>
      <c r="M342" s="350"/>
      <c r="N342" s="350"/>
      <c r="O342" s="350"/>
      <c r="P342" s="352"/>
      <c r="Q342" s="392"/>
      <c r="R342" s="392"/>
      <c r="S342" s="392"/>
      <c r="T342" s="392"/>
      <c r="U342" s="392"/>
      <c r="V342" s="497"/>
      <c r="W342" s="392"/>
      <c r="X342" s="392"/>
      <c r="Y342" s="352">
        <f>IF(NFI_Expiration=1,IF($A342&lt;VLOOKUP(H$5,NFI,5,0),1,0)*Table_NFI[[#This Row],[Hygiene Kit]],Table_NFI[Hygiene Kit])</f>
        <v>0</v>
      </c>
      <c r="Z342" s="352">
        <f>IF(NFI_Expiration=1,IF($A342&lt;VLOOKUP(I$5,NFI,5,0),1,0)*Table_NFI[[#This Row],[NFI Core Kit]],Table_NFI[NFI Core Kit])</f>
        <v>0</v>
      </c>
      <c r="AA342" s="352">
        <f>IF(NFI_Expiration=1,IF($A342&lt;VLOOKUP(J$5,NFI,5,0),1,0)*Table_NFI[[#This Row],[Sanitary Kit]],Table_NFI[Sanitary Kit])</f>
        <v>55</v>
      </c>
      <c r="AB342" s="352">
        <f>IF(NFI_Expiration=1,IF($A342&lt;VLOOKUP(K$5,NFI,5,0),1,0)*Table_NFI[[#This Row],[Mosquito net]],Table_NFI[Mosquito net])</f>
        <v>0</v>
      </c>
      <c r="AC342" s="352">
        <f>IF(NFI_Expiration=1,IF($A342&lt;VLOOKUP(L$5,NFI,5,0),1,0)*Table_NFI[[#This Row],[Tarpaulin]],Table_NFI[[#This Row],[Tarpaulin]])</f>
        <v>0</v>
      </c>
      <c r="AD342" s="352">
        <f>IF(NFI_Expiration=1,IF($A342&lt;VLOOKUP(M$5,NFI,5,0),1,0)*Table_NFI[[#This Row],[Blanket]],Table_NFI[[#This Row],[Blanket]])</f>
        <v>0</v>
      </c>
      <c r="AE342" s="352">
        <f>IF(NFI_Expiration=1,IF($A342&lt;VLOOKUP(N$5,NFI,5,0),1,0)*Table_NFI[[#This Row],[Kitchen Set]],Table_NFI[Kitchen Set])</f>
        <v>0</v>
      </c>
      <c r="AF342" s="352">
        <f>IF(NFI_Expiration=1,IF($A342&lt;VLOOKUP(O$5,NFI,5,0),1,0)*Table_NFI[[#This Row],[Clothes Kit]],Table_NFI[Clothes Kit])</f>
        <v>0</v>
      </c>
      <c r="AG342" s="352">
        <f>IF(NFI_Expiration=1,IF($A342&lt;VLOOKUP(P$5,NFI,5,0),1,0)*Table_NFI[[#This Row],[Plastic Bucket]],Table_NFI[Plastic Bucket])</f>
        <v>0</v>
      </c>
      <c r="AH342" s="352">
        <f>IF(NFI_Expiration=1,IF($A342&lt;VLOOKUP(Q$5,NFI,5,0),1,0)*Table_NFI[[#This Row],[Plastic Mat]],Table_NFI[Plastic Mat])*IF(Table_NFI[[#This Row],[Distribution Date]]&gt;"2014-04-01",1,2.5)</f>
        <v>0</v>
      </c>
      <c r="AI342" s="352">
        <f>IF(NFI_Expiration=1,IF($A342&lt;VLOOKUP(R$5,NFI,5,0),1,0)*Table_NFI[[#This Row],[Winter Clothes Adult]],Table_NFI[Winter Clothes Adult])</f>
        <v>0</v>
      </c>
      <c r="AJ342" s="352">
        <f>IF(NFI_Expiration=1,IF($A342&lt;VLOOKUP(S$5,NFI,5,0),1,0)*Table_NFI[[#This Row],[Winter Clothes Children]],Table_NFI[Winter Clothes Children])</f>
        <v>0</v>
      </c>
      <c r="AK342" s="352">
        <f>IF(NFI_Expiration=1,IF($A342&lt;VLOOKUP(T$5,NFI,5,0),1,0)*Table_NFI[[#This Row],[Winter Items Other]],Table_NFI[Winter Items Other])</f>
        <v>0</v>
      </c>
      <c r="AL342" s="352">
        <f>IF(NFI_Expiration=1,IF($A342&lt;VLOOKUP(M$5,NFI,5,0),1,0)*Table_NFI[[#This Row],[Winter Blanket]],Table_NFI[[#This Row],[Winter Blanket]])</f>
        <v>0</v>
      </c>
      <c r="AM342" s="352">
        <f>IF(Table_NFI[[#This Row],[Winter Clothes Adult]]+Table_NFI[[#This Row],[Winter Clothes Children]]+Table_NFI[[#This Row],[Winter Items Other]]+Table_NFI[[#This Row],[Winter Blanket]]&gt;0,1,0)</f>
        <v>0</v>
      </c>
      <c r="AN342" s="392">
        <f>IF(NFI_Expiration=1,IF($A342&lt;VLOOKUP(V$5,NFI,5,0),1,0)*Table_NFI[[#This Row],[Jerry Can]],Table_NFI[Jerry Can])</f>
        <v>0</v>
      </c>
      <c r="AO342" s="540" t="str">
        <f>IFERROR(VLOOKUP(Table_NFI[[#This Row],[Camp Name]],CL,2,0),"")</f>
        <v>MMR001CMP071</v>
      </c>
      <c r="AP342" s="535">
        <f ca="1">IF(Table_NFI[[#This Row],[Pcode]]="","",IF(OFFSET(CampList[Opening Date],MATCH(Table_NFI[[#This Row],[Pcode]],CampList[CP_Pcode],0)-1,0,1,1)&gt;=NFI_Monitor_Date,1,0))</f>
        <v>0</v>
      </c>
      <c r="AQ342" s="540" t="str">
        <f>IFERROR(VLOOKUP(Table_NFI[[#This Row],[Camp Name]],CL,3,0),"")</f>
        <v>Open</v>
      </c>
      <c r="AR342" s="352" t="str">
        <f ca="1">IF(Table_NFI[[#This Row],[Pcode]]="","",OFFSET(CampList[Priority],MATCH(Table_NFI[[#This Row],[Pcode]],CampList[CP_Pcode],0)-1,0,1,1))</f>
        <v>P3</v>
      </c>
      <c r="AS342" s="351">
        <f>IFERROR(Table_NFI[[#This Row],[Kitchen Set]]/VLOOKUP(Table_NFI[[#This Row],[Camp Name]],CL,4,0),"")</f>
        <v>0</v>
      </c>
      <c r="AT342" s="533"/>
      <c r="AU342" s="536"/>
    </row>
    <row r="343" spans="1:47" s="537" customFormat="1" hidden="1" x14ac:dyDescent="0.25">
      <c r="A343" s="355">
        <f t="shared" si="5"/>
        <v>53.633333333333333</v>
      </c>
      <c r="B343" s="532">
        <v>40962</v>
      </c>
      <c r="C343" s="533" t="s">
        <v>907</v>
      </c>
      <c r="D343" s="534" t="s">
        <v>907</v>
      </c>
      <c r="E343" s="533" t="s">
        <v>380</v>
      </c>
      <c r="F343" s="348" t="s">
        <v>185</v>
      </c>
      <c r="G343" s="348" t="s">
        <v>186</v>
      </c>
      <c r="H343" s="352">
        <v>172</v>
      </c>
      <c r="I343" s="349"/>
      <c r="J343" s="349"/>
      <c r="K343" s="349"/>
      <c r="L343" s="350"/>
      <c r="M343" s="350"/>
      <c r="N343" s="350"/>
      <c r="O343" s="350"/>
      <c r="P343" s="352"/>
      <c r="Q343" s="392"/>
      <c r="R343" s="392"/>
      <c r="S343" s="392"/>
      <c r="T343" s="392"/>
      <c r="U343" s="392"/>
      <c r="V343" s="497"/>
      <c r="W343" s="392"/>
      <c r="X343" s="392"/>
      <c r="Y343" s="352">
        <f>IF(NFI_Expiration=1,IF($A343&lt;VLOOKUP(H$5,NFI,5,0),1,0)*Table_NFI[[#This Row],[Hygiene Kit]],Table_NFI[Hygiene Kit])</f>
        <v>0</v>
      </c>
      <c r="Z343" s="352">
        <f>IF(NFI_Expiration=1,IF($A343&lt;VLOOKUP(I$5,NFI,5,0),1,0)*Table_NFI[[#This Row],[NFI Core Kit]],Table_NFI[NFI Core Kit])</f>
        <v>0</v>
      </c>
      <c r="AA343" s="352">
        <f>IF(NFI_Expiration=1,IF($A343&lt;VLOOKUP(J$5,NFI,5,0),1,0)*Table_NFI[[#This Row],[Sanitary Kit]],Table_NFI[Sanitary Kit])</f>
        <v>0</v>
      </c>
      <c r="AB343" s="352">
        <f>IF(NFI_Expiration=1,IF($A343&lt;VLOOKUP(K$5,NFI,5,0),1,0)*Table_NFI[[#This Row],[Mosquito net]],Table_NFI[Mosquito net])</f>
        <v>0</v>
      </c>
      <c r="AC343" s="352">
        <f>IF(NFI_Expiration=1,IF($A343&lt;VLOOKUP(L$5,NFI,5,0),1,0)*Table_NFI[[#This Row],[Tarpaulin]],Table_NFI[[#This Row],[Tarpaulin]])</f>
        <v>0</v>
      </c>
      <c r="AD343" s="352">
        <f>IF(NFI_Expiration=1,IF($A343&lt;VLOOKUP(M$5,NFI,5,0),1,0)*Table_NFI[[#This Row],[Blanket]],Table_NFI[[#This Row],[Blanket]])</f>
        <v>0</v>
      </c>
      <c r="AE343" s="352">
        <f>IF(NFI_Expiration=1,IF($A343&lt;VLOOKUP(N$5,NFI,5,0),1,0)*Table_NFI[[#This Row],[Kitchen Set]],Table_NFI[Kitchen Set])</f>
        <v>0</v>
      </c>
      <c r="AF343" s="352">
        <f>IF(NFI_Expiration=1,IF($A343&lt;VLOOKUP(O$5,NFI,5,0),1,0)*Table_NFI[[#This Row],[Clothes Kit]],Table_NFI[Clothes Kit])</f>
        <v>0</v>
      </c>
      <c r="AG343" s="352">
        <f>IF(NFI_Expiration=1,IF($A343&lt;VLOOKUP(P$5,NFI,5,0),1,0)*Table_NFI[[#This Row],[Plastic Bucket]],Table_NFI[Plastic Bucket])</f>
        <v>0</v>
      </c>
      <c r="AH343" s="352">
        <f>IF(NFI_Expiration=1,IF($A343&lt;VLOOKUP(Q$5,NFI,5,0),1,0)*Table_NFI[[#This Row],[Plastic Mat]],Table_NFI[Plastic Mat])*IF(Table_NFI[[#This Row],[Distribution Date]]&gt;"2014-04-01",1,2.5)</f>
        <v>0</v>
      </c>
      <c r="AI343" s="352">
        <f>IF(NFI_Expiration=1,IF($A343&lt;VLOOKUP(R$5,NFI,5,0),1,0)*Table_NFI[[#This Row],[Winter Clothes Adult]],Table_NFI[Winter Clothes Adult])</f>
        <v>0</v>
      </c>
      <c r="AJ343" s="352">
        <f>IF(NFI_Expiration=1,IF($A343&lt;VLOOKUP(S$5,NFI,5,0),1,0)*Table_NFI[[#This Row],[Winter Clothes Children]],Table_NFI[Winter Clothes Children])</f>
        <v>0</v>
      </c>
      <c r="AK343" s="352">
        <f>IF(NFI_Expiration=1,IF($A343&lt;VLOOKUP(T$5,NFI,5,0),1,0)*Table_NFI[[#This Row],[Winter Items Other]],Table_NFI[Winter Items Other])</f>
        <v>0</v>
      </c>
      <c r="AL343" s="352">
        <f>IF(NFI_Expiration=1,IF($A343&lt;VLOOKUP(M$5,NFI,5,0),1,0)*Table_NFI[[#This Row],[Winter Blanket]],Table_NFI[[#This Row],[Winter Blanket]])</f>
        <v>0</v>
      </c>
      <c r="AM343" s="352">
        <f>IF(Table_NFI[[#This Row],[Winter Clothes Adult]]+Table_NFI[[#This Row],[Winter Clothes Children]]+Table_NFI[[#This Row],[Winter Items Other]]+Table_NFI[[#This Row],[Winter Blanket]]&gt;0,1,0)</f>
        <v>0</v>
      </c>
      <c r="AN343" s="392">
        <f>IF(NFI_Expiration=1,IF($A343&lt;VLOOKUP(V$5,NFI,5,0),1,0)*Table_NFI[[#This Row],[Jerry Can]],Table_NFI[Jerry Can])</f>
        <v>0</v>
      </c>
      <c r="AO343" s="540" t="str">
        <f>IFERROR(VLOOKUP(Table_NFI[[#This Row],[Camp Name]],CL,2,0),"")</f>
        <v>MMR001CMP071</v>
      </c>
      <c r="AP343" s="535">
        <f ca="1">IF(Table_NFI[[#This Row],[Pcode]]="","",IF(OFFSET(CampList[Opening Date],MATCH(Table_NFI[[#This Row],[Pcode]],CampList[CP_Pcode],0)-1,0,1,1)&gt;=NFI_Monitor_Date,1,0))</f>
        <v>0</v>
      </c>
      <c r="AQ343" s="540" t="str">
        <f>IFERROR(VLOOKUP(Table_NFI[[#This Row],[Camp Name]],CL,3,0),"")</f>
        <v>Open</v>
      </c>
      <c r="AR343" s="352" t="str">
        <f ca="1">IF(Table_NFI[[#This Row],[Pcode]]="","",OFFSET(CampList[Priority],MATCH(Table_NFI[[#This Row],[Pcode]],CampList[CP_Pcode],0)-1,0,1,1))</f>
        <v>P3</v>
      </c>
      <c r="AS343" s="351">
        <f>IFERROR(Table_NFI[[#This Row],[Kitchen Set]]/VLOOKUP(Table_NFI[[#This Row],[Camp Name]],CL,4,0),"")</f>
        <v>0</v>
      </c>
      <c r="AT343" s="533"/>
      <c r="AU343" s="536"/>
    </row>
    <row r="344" spans="1:47" s="537" customFormat="1" hidden="1" x14ac:dyDescent="0.25">
      <c r="A344" s="355">
        <f t="shared" si="5"/>
        <v>41.2</v>
      </c>
      <c r="B344" s="532">
        <v>41335</v>
      </c>
      <c r="C344" s="533" t="s">
        <v>907</v>
      </c>
      <c r="D344" s="534" t="s">
        <v>907</v>
      </c>
      <c r="E344" s="533" t="s">
        <v>380</v>
      </c>
      <c r="F344" s="348" t="s">
        <v>185</v>
      </c>
      <c r="G344" s="348" t="s">
        <v>186</v>
      </c>
      <c r="H344" s="349">
        <v>3</v>
      </c>
      <c r="I344" s="349"/>
      <c r="J344" s="349"/>
      <c r="K344" s="349"/>
      <c r="L344" s="350"/>
      <c r="M344" s="350"/>
      <c r="N344" s="350"/>
      <c r="O344" s="350"/>
      <c r="P344" s="352">
        <v>0</v>
      </c>
      <c r="Q344" s="352">
        <v>0</v>
      </c>
      <c r="R344" s="352"/>
      <c r="S344" s="352"/>
      <c r="T344" s="352"/>
      <c r="U344" s="352"/>
      <c r="V344" s="497"/>
      <c r="W344" s="352"/>
      <c r="X344" s="352"/>
      <c r="Y344" s="352">
        <f>IF(NFI_Expiration=1,IF($A344&lt;VLOOKUP(H$5,NFI,5,0),1,0)*Table_NFI[[#This Row],[Hygiene Kit]],Table_NFI[Hygiene Kit])</f>
        <v>0</v>
      </c>
      <c r="Z344" s="352">
        <f>IF(NFI_Expiration=1,IF($A344&lt;VLOOKUP(I$5,NFI,5,0),1,0)*Table_NFI[[#This Row],[NFI Core Kit]],Table_NFI[NFI Core Kit])</f>
        <v>0</v>
      </c>
      <c r="AA344" s="352">
        <f>IF(NFI_Expiration=1,IF($A344&lt;VLOOKUP(J$5,NFI,5,0),1,0)*Table_NFI[[#This Row],[Sanitary Kit]],Table_NFI[Sanitary Kit])</f>
        <v>0</v>
      </c>
      <c r="AB344" s="352">
        <f>IF(NFI_Expiration=1,IF($A344&lt;VLOOKUP(K$5,NFI,5,0),1,0)*Table_NFI[[#This Row],[Mosquito net]],Table_NFI[Mosquito net])</f>
        <v>0</v>
      </c>
      <c r="AC344" s="352">
        <f>IF(NFI_Expiration=1,IF($A344&lt;VLOOKUP(L$5,NFI,5,0),1,0)*Table_NFI[[#This Row],[Tarpaulin]],Table_NFI[[#This Row],[Tarpaulin]])</f>
        <v>0</v>
      </c>
      <c r="AD344" s="352">
        <f>IF(NFI_Expiration=1,IF($A344&lt;VLOOKUP(M$5,NFI,5,0),1,0)*Table_NFI[[#This Row],[Blanket]],Table_NFI[[#This Row],[Blanket]])</f>
        <v>0</v>
      </c>
      <c r="AE344" s="352">
        <f>IF(NFI_Expiration=1,IF($A344&lt;VLOOKUP(N$5,NFI,5,0),1,0)*Table_NFI[[#This Row],[Kitchen Set]],Table_NFI[Kitchen Set])</f>
        <v>0</v>
      </c>
      <c r="AF344" s="352">
        <f>IF(NFI_Expiration=1,IF($A344&lt;VLOOKUP(O$5,NFI,5,0),1,0)*Table_NFI[[#This Row],[Clothes Kit]],Table_NFI[Clothes Kit])</f>
        <v>0</v>
      </c>
      <c r="AG344" s="352">
        <f>IF(NFI_Expiration=1,IF($A344&lt;VLOOKUP(P$5,NFI,5,0),1,0)*Table_NFI[[#This Row],[Plastic Bucket]],Table_NFI[Plastic Bucket])</f>
        <v>0</v>
      </c>
      <c r="AH344" s="352">
        <f>IF(NFI_Expiration=1,IF($A344&lt;VLOOKUP(Q$5,NFI,5,0),1,0)*Table_NFI[[#This Row],[Plastic Mat]],Table_NFI[Plastic Mat])*IF(Table_NFI[[#This Row],[Distribution Date]]&gt;"2014-04-01",1,2.5)</f>
        <v>0</v>
      </c>
      <c r="AI344" s="352">
        <f>IF(NFI_Expiration=1,IF($A344&lt;VLOOKUP(R$5,NFI,5,0),1,0)*Table_NFI[[#This Row],[Winter Clothes Adult]],Table_NFI[Winter Clothes Adult])</f>
        <v>0</v>
      </c>
      <c r="AJ344" s="352">
        <f>IF(NFI_Expiration=1,IF($A344&lt;VLOOKUP(S$5,NFI,5,0),1,0)*Table_NFI[[#This Row],[Winter Clothes Children]],Table_NFI[Winter Clothes Children])</f>
        <v>0</v>
      </c>
      <c r="AK344" s="352">
        <f>IF(NFI_Expiration=1,IF($A344&lt;VLOOKUP(T$5,NFI,5,0),1,0)*Table_NFI[[#This Row],[Winter Items Other]],Table_NFI[Winter Items Other])</f>
        <v>0</v>
      </c>
      <c r="AL344" s="352">
        <f>IF(NFI_Expiration=1,IF($A344&lt;VLOOKUP(M$5,NFI,5,0),1,0)*Table_NFI[[#This Row],[Winter Blanket]],Table_NFI[[#This Row],[Winter Blanket]])</f>
        <v>0</v>
      </c>
      <c r="AM344" s="352">
        <f>IF(Table_NFI[[#This Row],[Winter Clothes Adult]]+Table_NFI[[#This Row],[Winter Clothes Children]]+Table_NFI[[#This Row],[Winter Items Other]]+Table_NFI[[#This Row],[Winter Blanket]]&gt;0,1,0)</f>
        <v>0</v>
      </c>
      <c r="AN344" s="392">
        <f>IF(NFI_Expiration=1,IF($A344&lt;VLOOKUP(V$5,NFI,5,0),1,0)*Table_NFI[[#This Row],[Jerry Can]],Table_NFI[Jerry Can])</f>
        <v>0</v>
      </c>
      <c r="AO344" s="540" t="str">
        <f>IFERROR(VLOOKUP(Table_NFI[[#This Row],[Camp Name]],CL,2,0),"")</f>
        <v>MMR001CMP071</v>
      </c>
      <c r="AP344" s="535">
        <f ca="1">IF(Table_NFI[[#This Row],[Pcode]]="","",IF(OFFSET(CampList[Opening Date],MATCH(Table_NFI[[#This Row],[Pcode]],CampList[CP_Pcode],0)-1,0,1,1)&gt;=NFI_Monitor_Date,1,0))</f>
        <v>0</v>
      </c>
      <c r="AQ344" s="540" t="str">
        <f>IFERROR(VLOOKUP(Table_NFI[[#This Row],[Camp Name]],CL,3,0),"")</f>
        <v>Open</v>
      </c>
      <c r="AR344" s="352" t="str">
        <f ca="1">IF(Table_NFI[[#This Row],[Pcode]]="","",OFFSET(CampList[Priority],MATCH(Table_NFI[[#This Row],[Pcode]],CampList[CP_Pcode],0)-1,0,1,1))</f>
        <v>P3</v>
      </c>
      <c r="AS344" s="351">
        <f>IFERROR(Table_NFI[[#This Row],[Kitchen Set]]/VLOOKUP(Table_NFI[[#This Row],[Camp Name]],CL,4,0),"")</f>
        <v>0</v>
      </c>
      <c r="AT344" s="533" t="s">
        <v>1094</v>
      </c>
      <c r="AU344" s="536"/>
    </row>
    <row r="345" spans="1:47" s="537" customFormat="1" ht="14.45" customHeight="1" x14ac:dyDescent="0.25">
      <c r="A345" s="355">
        <f t="shared" si="5"/>
        <v>27.366666666666667</v>
      </c>
      <c r="B345" s="532">
        <v>41750</v>
      </c>
      <c r="C345" s="533" t="s">
        <v>453</v>
      </c>
      <c r="D345" s="533"/>
      <c r="E345" s="533" t="s">
        <v>380</v>
      </c>
      <c r="F345" s="348" t="s">
        <v>151</v>
      </c>
      <c r="G345" s="533" t="s">
        <v>1036</v>
      </c>
      <c r="H345" s="349"/>
      <c r="I345" s="349"/>
      <c r="J345" s="349"/>
      <c r="K345" s="349">
        <v>800</v>
      </c>
      <c r="L345" s="350">
        <v>400</v>
      </c>
      <c r="M345" s="350"/>
      <c r="N345" s="350">
        <v>100</v>
      </c>
      <c r="O345" s="350"/>
      <c r="P345" s="352">
        <v>400</v>
      </c>
      <c r="Q345" s="352">
        <v>2000</v>
      </c>
      <c r="R345" s="352"/>
      <c r="S345" s="352"/>
      <c r="T345" s="352"/>
      <c r="U345" s="352"/>
      <c r="V345" s="497"/>
      <c r="W345" s="352"/>
      <c r="X345" s="352"/>
      <c r="Y345" s="352">
        <f>IF(NFI_Expiration=1,IF($A345&lt;VLOOKUP(H$5,NFI,5,0),1,0)*Table_NFI[[#This Row],[Hygiene Kit]],Table_NFI[Hygiene Kit])</f>
        <v>0</v>
      </c>
      <c r="Z345" s="352">
        <f>IF(NFI_Expiration=1,IF($A345&lt;VLOOKUP(I$5,NFI,5,0),1,0)*Table_NFI[[#This Row],[NFI Core Kit]],Table_NFI[NFI Core Kit])</f>
        <v>0</v>
      </c>
      <c r="AA345" s="352">
        <f>IF(NFI_Expiration=1,IF($A345&lt;VLOOKUP(J$5,NFI,5,0),1,0)*Table_NFI[[#This Row],[Sanitary Kit]],Table_NFI[Sanitary Kit])</f>
        <v>0</v>
      </c>
      <c r="AB345" s="352">
        <f>IF(NFI_Expiration=1,IF($A345&lt;VLOOKUP(K$5,NFI,5,0),1,0)*Table_NFI[[#This Row],[Mosquito net]],Table_NFI[Mosquito net])</f>
        <v>0</v>
      </c>
      <c r="AC345" s="352">
        <f>IF(NFI_Expiration=1,IF($A345&lt;VLOOKUP(L$5,NFI,5,0),1,0)*Table_NFI[[#This Row],[Tarpaulin]],Table_NFI[[#This Row],[Tarpaulin]])</f>
        <v>0</v>
      </c>
      <c r="AD345" s="352">
        <f>IF(NFI_Expiration=1,IF($A345&lt;VLOOKUP(M$5,NFI,5,0),1,0)*Table_NFI[[#This Row],[Blanket]],Table_NFI[[#This Row],[Blanket]])</f>
        <v>0</v>
      </c>
      <c r="AE345" s="352">
        <f>IF(NFI_Expiration=1,IF($A345&lt;VLOOKUP(N$5,NFI,5,0),1,0)*Table_NFI[[#This Row],[Kitchen Set]],Table_NFI[Kitchen Set])</f>
        <v>0</v>
      </c>
      <c r="AF345" s="352">
        <f>IF(NFI_Expiration=1,IF($A345&lt;VLOOKUP(O$5,NFI,5,0),1,0)*Table_NFI[[#This Row],[Clothes Kit]],Table_NFI[Clothes Kit])</f>
        <v>0</v>
      </c>
      <c r="AG345" s="352">
        <f>IF(NFI_Expiration=1,IF($A345&lt;VLOOKUP(P$5,NFI,5,0),1,0)*Table_NFI[[#This Row],[Plastic Bucket]],Table_NFI[Plastic Bucket])</f>
        <v>0</v>
      </c>
      <c r="AH345" s="352">
        <f>IF(NFI_Expiration=1,IF($A345&lt;VLOOKUP(Q$5,NFI,5,0),1,0)*Table_NFI[[#This Row],[Plastic Mat]],Table_NFI[Plastic Mat])*IF(Table_NFI[[#This Row],[Distribution Date]]&gt;"2014-04-01",1,2.5)</f>
        <v>0</v>
      </c>
      <c r="AI345" s="352">
        <f>IF(NFI_Expiration=1,IF($A345&lt;VLOOKUP(R$5,NFI,5,0),1,0)*Table_NFI[[#This Row],[Winter Clothes Adult]],Table_NFI[Winter Clothes Adult])</f>
        <v>0</v>
      </c>
      <c r="AJ345" s="352">
        <f>IF(NFI_Expiration=1,IF($A345&lt;VLOOKUP(S$5,NFI,5,0),1,0)*Table_NFI[[#This Row],[Winter Clothes Children]],Table_NFI[Winter Clothes Children])</f>
        <v>0</v>
      </c>
      <c r="AK345" s="352">
        <f>IF(NFI_Expiration=1,IF($A345&lt;VLOOKUP(T$5,NFI,5,0),1,0)*Table_NFI[[#This Row],[Winter Items Other]],Table_NFI[Winter Items Other])</f>
        <v>0</v>
      </c>
      <c r="AL345" s="352">
        <f>IF(NFI_Expiration=1,IF($A345&lt;VLOOKUP(M$5,NFI,5,0),1,0)*Table_NFI[[#This Row],[Winter Blanket]],Table_NFI[[#This Row],[Winter Blanket]])</f>
        <v>0</v>
      </c>
      <c r="AM345" s="352">
        <f>IF(Table_NFI[[#This Row],[Winter Clothes Adult]]+Table_NFI[[#This Row],[Winter Clothes Children]]+Table_NFI[[#This Row],[Winter Items Other]]+Table_NFI[[#This Row],[Winter Blanket]]&gt;0,1,0)</f>
        <v>0</v>
      </c>
      <c r="AN345" s="392">
        <f>IF(NFI_Expiration=1,IF($A345&lt;VLOOKUP(V$5,NFI,5,0),1,0)*Table_NFI[[#This Row],[Jerry Can]],Table_NFI[Jerry Can])</f>
        <v>0</v>
      </c>
      <c r="AO345" s="540" t="str">
        <f>IFERROR(VLOOKUP(Table_NFI[[#This Row],[Camp Name]],CL,2,0),"")</f>
        <v>MMR001CMP226</v>
      </c>
      <c r="AP345" s="535">
        <f ca="1">IF(Table_NFI[[#This Row],[Pcode]]="","",IF(OFFSET(CampList[Opening Date],MATCH(Table_NFI[[#This Row],[Pcode]],CampList[CP_Pcode],0)-1,0,1,1)&gt;=NFI_Monitor_Date,1,0))</f>
        <v>0</v>
      </c>
      <c r="AQ345" s="540" t="str">
        <f>IFERROR(VLOOKUP(Table_NFI[[#This Row],[Camp Name]],CL,3,0),"")</f>
        <v>Open</v>
      </c>
      <c r="AR345" s="352" t="str">
        <f ca="1">IF(Table_NFI[[#This Row],[Pcode]]="","",OFFSET(CampList[Priority],MATCH(Table_NFI[[#This Row],[Pcode]],CampList[CP_Pcode],0)-1,0,1,1))</f>
        <v>P2</v>
      </c>
      <c r="AS345" s="351">
        <f>IFERROR(Table_NFI[[#This Row],[Kitchen Set]]/VLOOKUP(Table_NFI[[#This Row],[Camp Name]],CL,4,0),"")</f>
        <v>0.45662100456621002</v>
      </c>
      <c r="AT345" s="533"/>
      <c r="AU345" s="536"/>
    </row>
    <row r="346" spans="1:47" s="537" customFormat="1" ht="14.45" hidden="1" customHeight="1" x14ac:dyDescent="0.25">
      <c r="A346" s="355">
        <f t="shared" si="5"/>
        <v>21.133333333333333</v>
      </c>
      <c r="B346" s="532">
        <v>41937</v>
      </c>
      <c r="C346" s="533" t="s">
        <v>1096</v>
      </c>
      <c r="D346" s="533" t="s">
        <v>902</v>
      </c>
      <c r="E346" s="533" t="s">
        <v>380</v>
      </c>
      <c r="F346" s="533" t="s">
        <v>185</v>
      </c>
      <c r="G346" s="533" t="s">
        <v>223</v>
      </c>
      <c r="H346" s="349"/>
      <c r="I346" s="349"/>
      <c r="J346" s="349"/>
      <c r="K346" s="349"/>
      <c r="L346" s="350"/>
      <c r="M346" s="350"/>
      <c r="N346" s="350"/>
      <c r="O346" s="350"/>
      <c r="P346" s="352"/>
      <c r="Q346" s="352"/>
      <c r="R346" s="352">
        <v>203</v>
      </c>
      <c r="S346" s="352">
        <v>102</v>
      </c>
      <c r="T346" s="352"/>
      <c r="U346" s="352">
        <v>138</v>
      </c>
      <c r="V346" s="497"/>
      <c r="W346" s="352"/>
      <c r="X346" s="352"/>
      <c r="Y346" s="352">
        <f>IF(NFI_Expiration=1,IF($A346&lt;VLOOKUP(H$5,NFI,5,0),1,0)*Table_NFI[[#This Row],[Hygiene Kit]],Table_NFI[Hygiene Kit])</f>
        <v>0</v>
      </c>
      <c r="Z346" s="352">
        <f>IF(NFI_Expiration=1,IF($A346&lt;VLOOKUP(I$5,NFI,5,0),1,0)*Table_NFI[[#This Row],[NFI Core Kit]],Table_NFI[NFI Core Kit])</f>
        <v>0</v>
      </c>
      <c r="AA346" s="352">
        <f>IF(NFI_Expiration=1,IF($A346&lt;VLOOKUP(J$5,NFI,5,0),1,0)*Table_NFI[[#This Row],[Sanitary Kit]],Table_NFI[Sanitary Kit])</f>
        <v>0</v>
      </c>
      <c r="AB346" s="352">
        <f>IF(NFI_Expiration=1,IF($A346&lt;VLOOKUP(K$5,NFI,5,0),1,0)*Table_NFI[[#This Row],[Mosquito net]],Table_NFI[Mosquito net])</f>
        <v>0</v>
      </c>
      <c r="AC346" s="352">
        <f>IF(NFI_Expiration=1,IF($A346&lt;VLOOKUP(L$5,NFI,5,0),1,0)*Table_NFI[[#This Row],[Tarpaulin]],Table_NFI[[#This Row],[Tarpaulin]])</f>
        <v>0</v>
      </c>
      <c r="AD346" s="352">
        <f>IF(NFI_Expiration=1,IF($A346&lt;VLOOKUP(M$5,NFI,5,0),1,0)*Table_NFI[[#This Row],[Blanket]],Table_NFI[[#This Row],[Blanket]])</f>
        <v>0</v>
      </c>
      <c r="AE346" s="352">
        <f>IF(NFI_Expiration=1,IF($A346&lt;VLOOKUP(N$5,NFI,5,0),1,0)*Table_NFI[[#This Row],[Kitchen Set]],Table_NFI[Kitchen Set])</f>
        <v>0</v>
      </c>
      <c r="AF346" s="352">
        <f>IF(NFI_Expiration=1,IF($A346&lt;VLOOKUP(O$5,NFI,5,0),1,0)*Table_NFI[[#This Row],[Clothes Kit]],Table_NFI[Clothes Kit])</f>
        <v>0</v>
      </c>
      <c r="AG346" s="352">
        <f>IF(NFI_Expiration=1,IF($A346&lt;VLOOKUP(P$5,NFI,5,0),1,0)*Table_NFI[[#This Row],[Plastic Bucket]],Table_NFI[Plastic Bucket])</f>
        <v>0</v>
      </c>
      <c r="AH346" s="352">
        <f>IF(NFI_Expiration=1,IF($A346&lt;VLOOKUP(Q$5,NFI,5,0),1,0)*Table_NFI[[#This Row],[Plastic Mat]],Table_NFI[Plastic Mat])*IF(Table_NFI[[#This Row],[Distribution Date]]&gt;"2014-04-01",1,2.5)</f>
        <v>0</v>
      </c>
      <c r="AI346" s="352">
        <f>IF(NFI_Expiration=1,IF($A346&lt;VLOOKUP(R$5,NFI,5,0),1,0)*Table_NFI[[#This Row],[Winter Clothes Adult]],Table_NFI[Winter Clothes Adult])</f>
        <v>0</v>
      </c>
      <c r="AJ346" s="352">
        <f>IF(NFI_Expiration=1,IF($A346&lt;VLOOKUP(S$5,NFI,5,0),1,0)*Table_NFI[[#This Row],[Winter Clothes Children]],Table_NFI[Winter Clothes Children])</f>
        <v>0</v>
      </c>
      <c r="AK346" s="352">
        <f>IF(NFI_Expiration=1,IF($A346&lt;VLOOKUP(T$5,NFI,5,0),1,0)*Table_NFI[[#This Row],[Winter Items Other]],Table_NFI[Winter Items Other])</f>
        <v>0</v>
      </c>
      <c r="AL346" s="352">
        <f>IF(NFI_Expiration=1,IF($A346&lt;VLOOKUP(M$5,NFI,5,0),1,0)*Table_NFI[[#This Row],[Winter Blanket]],Table_NFI[[#This Row],[Winter Blanket]])</f>
        <v>0</v>
      </c>
      <c r="AM346" s="352">
        <f>IF(Table_NFI[[#This Row],[Winter Clothes Adult]]+Table_NFI[[#This Row],[Winter Clothes Children]]+Table_NFI[[#This Row],[Winter Items Other]]+Table_NFI[[#This Row],[Winter Blanket]]&gt;0,1,0)</f>
        <v>1</v>
      </c>
      <c r="AN346" s="392">
        <f>IF(NFI_Expiration=1,IF($A346&lt;VLOOKUP(V$5,NFI,5,0),1,0)*Table_NFI[[#This Row],[Jerry Can]],Table_NFI[Jerry Can])</f>
        <v>0</v>
      </c>
      <c r="AO346" s="540" t="str">
        <f>IFERROR(VLOOKUP(Table_NFI[[#This Row],[Camp Name]],CL,2,0),"")</f>
        <v>MMR001CMP069</v>
      </c>
      <c r="AP346" s="535">
        <f ca="1">IF(Table_NFI[[#This Row],[Pcode]]="","",IF(OFFSET(CampList[Opening Date],MATCH(Table_NFI[[#This Row],[Pcode]],CampList[CP_Pcode],0)-1,0,1,1)&gt;=NFI_Monitor_Date,1,0))</f>
        <v>0</v>
      </c>
      <c r="AQ346" s="540" t="str">
        <f>IFERROR(VLOOKUP(Table_NFI[[#This Row],[Camp Name]],CL,3,0),"")</f>
        <v>Open</v>
      </c>
      <c r="AR346" s="352" t="str">
        <f ca="1">IF(Table_NFI[[#This Row],[Pcode]]="","",OFFSET(CampList[Priority],MATCH(Table_NFI[[#This Row],[Pcode]],CampList[CP_Pcode],0)-1,0,1,1))</f>
        <v>P3</v>
      </c>
      <c r="AS346" s="351">
        <f>IFERROR(Table_NFI[[#This Row],[Kitchen Set]]/VLOOKUP(Table_NFI[[#This Row],[Camp Name]],CL,4,0),"")</f>
        <v>0</v>
      </c>
      <c r="AT346" s="533"/>
      <c r="AU346" s="536"/>
    </row>
    <row r="347" spans="1:47" s="537" customFormat="1" ht="14.45" customHeight="1" x14ac:dyDescent="0.25">
      <c r="A347" s="355">
        <f t="shared" si="5"/>
        <v>27.366666666666667</v>
      </c>
      <c r="B347" s="532">
        <v>41750</v>
      </c>
      <c r="C347" s="533" t="s">
        <v>453</v>
      </c>
      <c r="D347" s="533" t="s">
        <v>453</v>
      </c>
      <c r="E347" s="533" t="s">
        <v>380</v>
      </c>
      <c r="F347" s="533" t="s">
        <v>151</v>
      </c>
      <c r="G347" s="533" t="s">
        <v>152</v>
      </c>
      <c r="H347" s="349"/>
      <c r="I347" s="349"/>
      <c r="J347" s="349">
        <v>20</v>
      </c>
      <c r="K347" s="349">
        <v>30</v>
      </c>
      <c r="L347" s="350">
        <v>13</v>
      </c>
      <c r="M347" s="350">
        <v>40</v>
      </c>
      <c r="N347" s="350">
        <v>13</v>
      </c>
      <c r="O347" s="350">
        <v>13</v>
      </c>
      <c r="P347" s="352">
        <v>13</v>
      </c>
      <c r="Q347" s="352">
        <v>25</v>
      </c>
      <c r="R347" s="352"/>
      <c r="S347" s="352"/>
      <c r="T347" s="352"/>
      <c r="U347" s="352"/>
      <c r="V347" s="497"/>
      <c r="W347" s="352"/>
      <c r="X347" s="352"/>
      <c r="Y347" s="352">
        <f>IF(NFI_Expiration=1,IF($A347&lt;VLOOKUP(H$5,NFI,5,0),1,0)*Table_NFI[[#This Row],[Hygiene Kit]],Table_NFI[Hygiene Kit])</f>
        <v>0</v>
      </c>
      <c r="Z347" s="352">
        <f>IF(NFI_Expiration=1,IF($A347&lt;VLOOKUP(I$5,NFI,5,0),1,0)*Table_NFI[[#This Row],[NFI Core Kit]],Table_NFI[NFI Core Kit])</f>
        <v>0</v>
      </c>
      <c r="AA347" s="352">
        <f>IF(NFI_Expiration=1,IF($A347&lt;VLOOKUP(J$5,NFI,5,0),1,0)*Table_NFI[[#This Row],[Sanitary Kit]],Table_NFI[Sanitary Kit])</f>
        <v>0</v>
      </c>
      <c r="AB347" s="352">
        <f>IF(NFI_Expiration=1,IF($A347&lt;VLOOKUP(K$5,NFI,5,0),1,0)*Table_NFI[[#This Row],[Mosquito net]],Table_NFI[Mosquito net])</f>
        <v>0</v>
      </c>
      <c r="AC347" s="352">
        <f>IF(NFI_Expiration=1,IF($A347&lt;VLOOKUP(L$5,NFI,5,0),1,0)*Table_NFI[[#This Row],[Tarpaulin]],Table_NFI[[#This Row],[Tarpaulin]])</f>
        <v>0</v>
      </c>
      <c r="AD347" s="352">
        <f>IF(NFI_Expiration=1,IF($A347&lt;VLOOKUP(M$5,NFI,5,0),1,0)*Table_NFI[[#This Row],[Blanket]],Table_NFI[[#This Row],[Blanket]])</f>
        <v>0</v>
      </c>
      <c r="AE347" s="352">
        <f>IF(NFI_Expiration=1,IF($A347&lt;VLOOKUP(N$5,NFI,5,0),1,0)*Table_NFI[[#This Row],[Kitchen Set]],Table_NFI[Kitchen Set])</f>
        <v>0</v>
      </c>
      <c r="AF347" s="352">
        <f>IF(NFI_Expiration=1,IF($A347&lt;VLOOKUP(O$5,NFI,5,0),1,0)*Table_NFI[[#This Row],[Clothes Kit]],Table_NFI[Clothes Kit])</f>
        <v>0</v>
      </c>
      <c r="AG347" s="352">
        <f>IF(NFI_Expiration=1,IF($A347&lt;VLOOKUP(P$5,NFI,5,0),1,0)*Table_NFI[[#This Row],[Plastic Bucket]],Table_NFI[Plastic Bucket])</f>
        <v>0</v>
      </c>
      <c r="AH347" s="352">
        <f>IF(NFI_Expiration=1,IF($A347&lt;VLOOKUP(Q$5,NFI,5,0),1,0)*Table_NFI[[#This Row],[Plastic Mat]],Table_NFI[Plastic Mat])*IF(Table_NFI[[#This Row],[Distribution Date]]&gt;"2014-04-01",1,2.5)</f>
        <v>0</v>
      </c>
      <c r="AI347" s="352">
        <f>IF(NFI_Expiration=1,IF($A347&lt;VLOOKUP(R$5,NFI,5,0),1,0)*Table_NFI[[#This Row],[Winter Clothes Adult]],Table_NFI[Winter Clothes Adult])</f>
        <v>0</v>
      </c>
      <c r="AJ347" s="352">
        <f>IF(NFI_Expiration=1,IF($A347&lt;VLOOKUP(S$5,NFI,5,0),1,0)*Table_NFI[[#This Row],[Winter Clothes Children]],Table_NFI[Winter Clothes Children])</f>
        <v>0</v>
      </c>
      <c r="AK347" s="352">
        <f>IF(NFI_Expiration=1,IF($A347&lt;VLOOKUP(T$5,NFI,5,0),1,0)*Table_NFI[[#This Row],[Winter Items Other]],Table_NFI[Winter Items Other])</f>
        <v>0</v>
      </c>
      <c r="AL347" s="352">
        <f>IF(NFI_Expiration=1,IF($A347&lt;VLOOKUP(M$5,NFI,5,0),1,0)*Table_NFI[[#This Row],[Winter Blanket]],Table_NFI[[#This Row],[Winter Blanket]])</f>
        <v>0</v>
      </c>
      <c r="AM347" s="352">
        <f>IF(Table_NFI[[#This Row],[Winter Clothes Adult]]+Table_NFI[[#This Row],[Winter Clothes Children]]+Table_NFI[[#This Row],[Winter Items Other]]+Table_NFI[[#This Row],[Winter Blanket]]&gt;0,1,0)</f>
        <v>0</v>
      </c>
      <c r="AN347" s="392">
        <f>IF(NFI_Expiration=1,IF($A347&lt;VLOOKUP(V$5,NFI,5,0),1,0)*Table_NFI[[#This Row],[Jerry Can]],Table_NFI[Jerry Can])</f>
        <v>0</v>
      </c>
      <c r="AO347" s="540" t="str">
        <f>IFERROR(VLOOKUP(Table_NFI[[#This Row],[Camp Name]],CL,2,0),"")</f>
        <v>MMR001CMP066</v>
      </c>
      <c r="AP347" s="535">
        <f ca="1">IF(Table_NFI[[#This Row],[Pcode]]="","",IF(OFFSET(CampList[Opening Date],MATCH(Table_NFI[[#This Row],[Pcode]],CampList[CP_Pcode],0)-1,0,1,1)&gt;=NFI_Monitor_Date,1,0))</f>
        <v>0</v>
      </c>
      <c r="AQ347" s="540" t="str">
        <f>IFERROR(VLOOKUP(Table_NFI[[#This Row],[Camp Name]],CL,3,0),"")</f>
        <v>Open</v>
      </c>
      <c r="AR347" s="352" t="str">
        <f ca="1">IF(Table_NFI[[#This Row],[Pcode]]="","",OFFSET(CampList[Priority],MATCH(Table_NFI[[#This Row],[Pcode]],CampList[CP_Pcode],0)-1,0,1,1))</f>
        <v>P4</v>
      </c>
      <c r="AS347" s="351">
        <f>IFERROR(Table_NFI[[#This Row],[Kitchen Set]]/VLOOKUP(Table_NFI[[#This Row],[Camp Name]],CL,4,0),"")</f>
        <v>6.6326530612244902E-2</v>
      </c>
      <c r="AT347" s="533" t="s">
        <v>1094</v>
      </c>
      <c r="AU347" s="536"/>
    </row>
    <row r="348" spans="1:47" s="537" customFormat="1" hidden="1" x14ac:dyDescent="0.25">
      <c r="A348" s="355">
        <f t="shared" si="5"/>
        <v>32.1</v>
      </c>
      <c r="B348" s="532">
        <v>41608</v>
      </c>
      <c r="C348" s="533" t="s">
        <v>907</v>
      </c>
      <c r="D348" s="533"/>
      <c r="E348" s="533" t="s">
        <v>380</v>
      </c>
      <c r="F348" s="348" t="s">
        <v>185</v>
      </c>
      <c r="G348" s="348" t="s">
        <v>223</v>
      </c>
      <c r="H348" s="349"/>
      <c r="I348" s="349"/>
      <c r="J348" s="349"/>
      <c r="K348" s="349"/>
      <c r="L348" s="350"/>
      <c r="M348" s="350"/>
      <c r="N348" s="350"/>
      <c r="O348" s="350"/>
      <c r="P348" s="352"/>
      <c r="Q348" s="352">
        <v>246</v>
      </c>
      <c r="R348" s="352"/>
      <c r="S348" s="352"/>
      <c r="T348" s="352"/>
      <c r="U348" s="352"/>
      <c r="V348" s="497"/>
      <c r="W348" s="352"/>
      <c r="X348" s="352"/>
      <c r="Y348" s="352">
        <f>IF(NFI_Expiration=1,IF($A348&lt;VLOOKUP(H$5,NFI,5,0),1,0)*Table_NFI[[#This Row],[Hygiene Kit]],Table_NFI[Hygiene Kit])</f>
        <v>0</v>
      </c>
      <c r="Z348" s="352">
        <f>IF(NFI_Expiration=1,IF($A348&lt;VLOOKUP(I$5,NFI,5,0),1,0)*Table_NFI[[#This Row],[NFI Core Kit]],Table_NFI[NFI Core Kit])</f>
        <v>0</v>
      </c>
      <c r="AA348" s="352">
        <f>IF(NFI_Expiration=1,IF($A348&lt;VLOOKUP(J$5,NFI,5,0),1,0)*Table_NFI[[#This Row],[Sanitary Kit]],Table_NFI[Sanitary Kit])</f>
        <v>0</v>
      </c>
      <c r="AB348" s="352">
        <f>IF(NFI_Expiration=1,IF($A348&lt;VLOOKUP(K$5,NFI,5,0),1,0)*Table_NFI[[#This Row],[Mosquito net]],Table_NFI[Mosquito net])</f>
        <v>0</v>
      </c>
      <c r="AC348" s="352">
        <f>IF(NFI_Expiration=1,IF($A348&lt;VLOOKUP(L$5,NFI,5,0),1,0)*Table_NFI[[#This Row],[Tarpaulin]],Table_NFI[[#This Row],[Tarpaulin]])</f>
        <v>0</v>
      </c>
      <c r="AD348" s="352">
        <f>IF(NFI_Expiration=1,IF($A348&lt;VLOOKUP(M$5,NFI,5,0),1,0)*Table_NFI[[#This Row],[Blanket]],Table_NFI[[#This Row],[Blanket]])</f>
        <v>0</v>
      </c>
      <c r="AE348" s="352">
        <f>IF(NFI_Expiration=1,IF($A348&lt;VLOOKUP(N$5,NFI,5,0),1,0)*Table_NFI[[#This Row],[Kitchen Set]],Table_NFI[Kitchen Set])</f>
        <v>0</v>
      </c>
      <c r="AF348" s="352">
        <f>IF(NFI_Expiration=1,IF($A348&lt;VLOOKUP(O$5,NFI,5,0),1,0)*Table_NFI[[#This Row],[Clothes Kit]],Table_NFI[Clothes Kit])</f>
        <v>0</v>
      </c>
      <c r="AG348" s="352">
        <f>IF(NFI_Expiration=1,IF($A348&lt;VLOOKUP(P$5,NFI,5,0),1,0)*Table_NFI[[#This Row],[Plastic Bucket]],Table_NFI[Plastic Bucket])</f>
        <v>0</v>
      </c>
      <c r="AH348" s="352">
        <f>IF(NFI_Expiration=1,IF($A348&lt;VLOOKUP(Q$5,NFI,5,0),1,0)*Table_NFI[[#This Row],[Plastic Mat]],Table_NFI[Plastic Mat])*IF(Table_NFI[[#This Row],[Distribution Date]]&gt;"2014-04-01",1,2.5)</f>
        <v>0</v>
      </c>
      <c r="AI348" s="352">
        <f>IF(NFI_Expiration=1,IF($A348&lt;VLOOKUP(R$5,NFI,5,0),1,0)*Table_NFI[[#This Row],[Winter Clothes Adult]],Table_NFI[Winter Clothes Adult])</f>
        <v>0</v>
      </c>
      <c r="AJ348" s="352">
        <f>IF(NFI_Expiration=1,IF($A348&lt;VLOOKUP(S$5,NFI,5,0),1,0)*Table_NFI[[#This Row],[Winter Clothes Children]],Table_NFI[Winter Clothes Children])</f>
        <v>0</v>
      </c>
      <c r="AK348" s="352">
        <f>IF(NFI_Expiration=1,IF($A348&lt;VLOOKUP(T$5,NFI,5,0),1,0)*Table_NFI[[#This Row],[Winter Items Other]],Table_NFI[Winter Items Other])</f>
        <v>0</v>
      </c>
      <c r="AL348" s="352">
        <f>IF(NFI_Expiration=1,IF($A348&lt;VLOOKUP(M$5,NFI,5,0),1,0)*Table_NFI[[#This Row],[Winter Blanket]],Table_NFI[[#This Row],[Winter Blanket]])</f>
        <v>0</v>
      </c>
      <c r="AM348" s="352">
        <f>IF(Table_NFI[[#This Row],[Winter Clothes Adult]]+Table_NFI[[#This Row],[Winter Clothes Children]]+Table_NFI[[#This Row],[Winter Items Other]]+Table_NFI[[#This Row],[Winter Blanket]]&gt;0,1,0)</f>
        <v>0</v>
      </c>
      <c r="AN348" s="392">
        <f>IF(NFI_Expiration=1,IF($A348&lt;VLOOKUP(V$5,NFI,5,0),1,0)*Table_NFI[[#This Row],[Jerry Can]],Table_NFI[Jerry Can])</f>
        <v>0</v>
      </c>
      <c r="AO348" s="540" t="str">
        <f>IFERROR(VLOOKUP(Table_NFI[[#This Row],[Camp Name]],CL,2,0),"")</f>
        <v>MMR001CMP069</v>
      </c>
      <c r="AP348" s="535">
        <f ca="1">IF(Table_NFI[[#This Row],[Pcode]]="","",IF(OFFSET(CampList[Opening Date],MATCH(Table_NFI[[#This Row],[Pcode]],CampList[CP_Pcode],0)-1,0,1,1)&gt;=NFI_Monitor_Date,1,0))</f>
        <v>0</v>
      </c>
      <c r="AQ348" s="540" t="str">
        <f>IFERROR(VLOOKUP(Table_NFI[[#This Row],[Camp Name]],CL,3,0),"")</f>
        <v>Open</v>
      </c>
      <c r="AR348" s="352" t="str">
        <f ca="1">IF(Table_NFI[[#This Row],[Pcode]]="","",OFFSET(CampList[Priority],MATCH(Table_NFI[[#This Row],[Pcode]],CampList[CP_Pcode],0)-1,0,1,1))</f>
        <v>P3</v>
      </c>
      <c r="AS348" s="351">
        <f>IFERROR(Table_NFI[[#This Row],[Kitchen Set]]/VLOOKUP(Table_NFI[[#This Row],[Camp Name]],CL,4,0),"")</f>
        <v>0</v>
      </c>
      <c r="AT348" s="533" t="s">
        <v>1094</v>
      </c>
      <c r="AU348" s="536"/>
    </row>
    <row r="349" spans="1:47" s="537" customFormat="1" ht="14.45" hidden="1" customHeight="1" x14ac:dyDescent="0.25">
      <c r="A349" s="355">
        <f t="shared" si="5"/>
        <v>32.533333333333331</v>
      </c>
      <c r="B349" s="532">
        <v>41595</v>
      </c>
      <c r="C349" s="533" t="s">
        <v>454</v>
      </c>
      <c r="D349" s="533"/>
      <c r="E349" s="533" t="s">
        <v>380</v>
      </c>
      <c r="F349" s="533" t="s">
        <v>185</v>
      </c>
      <c r="G349" s="533" t="s">
        <v>223</v>
      </c>
      <c r="H349" s="349"/>
      <c r="I349" s="349"/>
      <c r="J349" s="349"/>
      <c r="K349" s="349"/>
      <c r="L349" s="350"/>
      <c r="M349" s="350">
        <v>141</v>
      </c>
      <c r="N349" s="350"/>
      <c r="O349" s="350"/>
      <c r="P349" s="352"/>
      <c r="Q349" s="352"/>
      <c r="R349" s="352"/>
      <c r="S349" s="352"/>
      <c r="T349" s="352"/>
      <c r="U349" s="352"/>
      <c r="V349" s="497"/>
      <c r="W349" s="352"/>
      <c r="X349" s="352"/>
      <c r="Y349" s="352">
        <f>IF(NFI_Expiration=1,IF($A349&lt;VLOOKUP(H$5,NFI,5,0),1,0)*Table_NFI[[#This Row],[Hygiene Kit]],Table_NFI[Hygiene Kit])</f>
        <v>0</v>
      </c>
      <c r="Z349" s="352">
        <f>IF(NFI_Expiration=1,IF($A349&lt;VLOOKUP(I$5,NFI,5,0),1,0)*Table_NFI[[#This Row],[NFI Core Kit]],Table_NFI[NFI Core Kit])</f>
        <v>0</v>
      </c>
      <c r="AA349" s="352">
        <f>IF(NFI_Expiration=1,IF($A349&lt;VLOOKUP(J$5,NFI,5,0),1,0)*Table_NFI[[#This Row],[Sanitary Kit]],Table_NFI[Sanitary Kit])</f>
        <v>0</v>
      </c>
      <c r="AB349" s="352">
        <f>IF(NFI_Expiration=1,IF($A349&lt;VLOOKUP(K$5,NFI,5,0),1,0)*Table_NFI[[#This Row],[Mosquito net]],Table_NFI[Mosquito net])</f>
        <v>0</v>
      </c>
      <c r="AC349" s="352">
        <f>IF(NFI_Expiration=1,IF($A349&lt;VLOOKUP(L$5,NFI,5,0),1,0)*Table_NFI[[#This Row],[Tarpaulin]],Table_NFI[[#This Row],[Tarpaulin]])</f>
        <v>0</v>
      </c>
      <c r="AD349" s="352">
        <f>IF(NFI_Expiration=1,IF($A349&lt;VLOOKUP(M$5,NFI,5,0),1,0)*Table_NFI[[#This Row],[Blanket]],Table_NFI[[#This Row],[Blanket]])</f>
        <v>0</v>
      </c>
      <c r="AE349" s="352">
        <f>IF(NFI_Expiration=1,IF($A349&lt;VLOOKUP(N$5,NFI,5,0),1,0)*Table_NFI[[#This Row],[Kitchen Set]],Table_NFI[Kitchen Set])</f>
        <v>0</v>
      </c>
      <c r="AF349" s="352">
        <f>IF(NFI_Expiration=1,IF($A349&lt;VLOOKUP(O$5,NFI,5,0),1,0)*Table_NFI[[#This Row],[Clothes Kit]],Table_NFI[Clothes Kit])</f>
        <v>0</v>
      </c>
      <c r="AG349" s="352">
        <f>IF(NFI_Expiration=1,IF($A349&lt;VLOOKUP(P$5,NFI,5,0),1,0)*Table_NFI[[#This Row],[Plastic Bucket]],Table_NFI[Plastic Bucket])</f>
        <v>0</v>
      </c>
      <c r="AH349" s="352">
        <f>IF(NFI_Expiration=1,IF($A349&lt;VLOOKUP(Q$5,NFI,5,0),1,0)*Table_NFI[[#This Row],[Plastic Mat]],Table_NFI[Plastic Mat])*IF(Table_NFI[[#This Row],[Distribution Date]]&gt;"2014-04-01",1,2.5)</f>
        <v>0</v>
      </c>
      <c r="AI349" s="352">
        <f>IF(NFI_Expiration=1,IF($A349&lt;VLOOKUP(R$5,NFI,5,0),1,0)*Table_NFI[[#This Row],[Winter Clothes Adult]],Table_NFI[Winter Clothes Adult])</f>
        <v>0</v>
      </c>
      <c r="AJ349" s="352">
        <f>IF(NFI_Expiration=1,IF($A349&lt;VLOOKUP(S$5,NFI,5,0),1,0)*Table_NFI[[#This Row],[Winter Clothes Children]],Table_NFI[Winter Clothes Children])</f>
        <v>0</v>
      </c>
      <c r="AK349" s="352">
        <f>IF(NFI_Expiration=1,IF($A349&lt;VLOOKUP(T$5,NFI,5,0),1,0)*Table_NFI[[#This Row],[Winter Items Other]],Table_NFI[Winter Items Other])</f>
        <v>0</v>
      </c>
      <c r="AL349" s="352">
        <f>IF(NFI_Expiration=1,IF($A349&lt;VLOOKUP(M$5,NFI,5,0),1,0)*Table_NFI[[#This Row],[Winter Blanket]],Table_NFI[[#This Row],[Winter Blanket]])</f>
        <v>0</v>
      </c>
      <c r="AM349" s="352">
        <f>IF(Table_NFI[[#This Row],[Winter Clothes Adult]]+Table_NFI[[#This Row],[Winter Clothes Children]]+Table_NFI[[#This Row],[Winter Items Other]]+Table_NFI[[#This Row],[Winter Blanket]]&gt;0,1,0)</f>
        <v>0</v>
      </c>
      <c r="AN349" s="392">
        <f>IF(NFI_Expiration=1,IF($A349&lt;VLOOKUP(V$5,NFI,5,0),1,0)*Table_NFI[[#This Row],[Jerry Can]],Table_NFI[Jerry Can])</f>
        <v>0</v>
      </c>
      <c r="AO349" s="540" t="str">
        <f>IFERROR(VLOOKUP(Table_NFI[[#This Row],[Camp Name]],CL,2,0),"")</f>
        <v>MMR001CMP069</v>
      </c>
      <c r="AP349" s="535">
        <f ca="1">IF(Table_NFI[[#This Row],[Pcode]]="","",IF(OFFSET(CampList[Opening Date],MATCH(Table_NFI[[#This Row],[Pcode]],CampList[CP_Pcode],0)-1,0,1,1)&gt;=NFI_Monitor_Date,1,0))</f>
        <v>0</v>
      </c>
      <c r="AQ349" s="540" t="str">
        <f>IFERROR(VLOOKUP(Table_NFI[[#This Row],[Camp Name]],CL,3,0),"")</f>
        <v>Open</v>
      </c>
      <c r="AR349" s="352" t="str">
        <f ca="1">IF(Table_NFI[[#This Row],[Pcode]]="","",OFFSET(CampList[Priority],MATCH(Table_NFI[[#This Row],[Pcode]],CampList[CP_Pcode],0)-1,0,1,1))</f>
        <v>P3</v>
      </c>
      <c r="AS349" s="351">
        <f>IFERROR(Table_NFI[[#This Row],[Kitchen Set]]/VLOOKUP(Table_NFI[[#This Row],[Camp Name]],CL,4,0),"")</f>
        <v>0</v>
      </c>
      <c r="AT349" s="533" t="s">
        <v>1094</v>
      </c>
      <c r="AU349" s="536"/>
    </row>
    <row r="350" spans="1:47" s="537" customFormat="1" ht="14.45" customHeight="1" x14ac:dyDescent="0.25">
      <c r="A350" s="355">
        <f t="shared" si="5"/>
        <v>27.366666666666667</v>
      </c>
      <c r="B350" s="532">
        <v>41750</v>
      </c>
      <c r="C350" s="533" t="s">
        <v>453</v>
      </c>
      <c r="D350" s="533" t="s">
        <v>453</v>
      </c>
      <c r="E350" s="533" t="s">
        <v>380</v>
      </c>
      <c r="F350" s="533" t="s">
        <v>185</v>
      </c>
      <c r="G350" s="533" t="s">
        <v>209</v>
      </c>
      <c r="H350" s="349"/>
      <c r="I350" s="349"/>
      <c r="J350" s="349">
        <v>15</v>
      </c>
      <c r="K350" s="349">
        <v>16</v>
      </c>
      <c r="L350" s="350">
        <v>50</v>
      </c>
      <c r="M350" s="350">
        <v>16</v>
      </c>
      <c r="N350" s="350">
        <v>7</v>
      </c>
      <c r="O350" s="350">
        <v>7</v>
      </c>
      <c r="P350" s="352">
        <v>7</v>
      </c>
      <c r="Q350" s="352">
        <v>13</v>
      </c>
      <c r="R350" s="352"/>
      <c r="S350" s="352"/>
      <c r="T350" s="352"/>
      <c r="U350" s="352"/>
      <c r="V350" s="497"/>
      <c r="W350" s="352"/>
      <c r="X350" s="352"/>
      <c r="Y350" s="352">
        <f>IF(NFI_Expiration=1,IF($A350&lt;VLOOKUP(H$5,NFI,5,0),1,0)*Table_NFI[[#This Row],[Hygiene Kit]],Table_NFI[Hygiene Kit])</f>
        <v>0</v>
      </c>
      <c r="Z350" s="352">
        <f>IF(NFI_Expiration=1,IF($A350&lt;VLOOKUP(I$5,NFI,5,0),1,0)*Table_NFI[[#This Row],[NFI Core Kit]],Table_NFI[NFI Core Kit])</f>
        <v>0</v>
      </c>
      <c r="AA350" s="352">
        <f>IF(NFI_Expiration=1,IF($A350&lt;VLOOKUP(J$5,NFI,5,0),1,0)*Table_NFI[[#This Row],[Sanitary Kit]],Table_NFI[Sanitary Kit])</f>
        <v>0</v>
      </c>
      <c r="AB350" s="352">
        <f>IF(NFI_Expiration=1,IF($A350&lt;VLOOKUP(K$5,NFI,5,0),1,0)*Table_NFI[[#This Row],[Mosquito net]],Table_NFI[Mosquito net])</f>
        <v>0</v>
      </c>
      <c r="AC350" s="352">
        <f>IF(NFI_Expiration=1,IF($A350&lt;VLOOKUP(L$5,NFI,5,0),1,0)*Table_NFI[[#This Row],[Tarpaulin]],Table_NFI[[#This Row],[Tarpaulin]])</f>
        <v>0</v>
      </c>
      <c r="AD350" s="352">
        <f>IF(NFI_Expiration=1,IF($A350&lt;VLOOKUP(M$5,NFI,5,0),1,0)*Table_NFI[[#This Row],[Blanket]],Table_NFI[[#This Row],[Blanket]])</f>
        <v>0</v>
      </c>
      <c r="AE350" s="352">
        <f>IF(NFI_Expiration=1,IF($A350&lt;VLOOKUP(N$5,NFI,5,0),1,0)*Table_NFI[[#This Row],[Kitchen Set]],Table_NFI[Kitchen Set])</f>
        <v>0</v>
      </c>
      <c r="AF350" s="352">
        <f>IF(NFI_Expiration=1,IF($A350&lt;VLOOKUP(O$5,NFI,5,0),1,0)*Table_NFI[[#This Row],[Clothes Kit]],Table_NFI[Clothes Kit])</f>
        <v>0</v>
      </c>
      <c r="AG350" s="352">
        <f>IF(NFI_Expiration=1,IF($A350&lt;VLOOKUP(P$5,NFI,5,0),1,0)*Table_NFI[[#This Row],[Plastic Bucket]],Table_NFI[Plastic Bucket])</f>
        <v>0</v>
      </c>
      <c r="AH350" s="352">
        <f>IF(NFI_Expiration=1,IF($A350&lt;VLOOKUP(Q$5,NFI,5,0),1,0)*Table_NFI[[#This Row],[Plastic Mat]],Table_NFI[Plastic Mat])*IF(Table_NFI[[#This Row],[Distribution Date]]&gt;"2014-04-01",1,2.5)</f>
        <v>0</v>
      </c>
      <c r="AI350" s="352">
        <f>IF(NFI_Expiration=1,IF($A350&lt;VLOOKUP(R$5,NFI,5,0),1,0)*Table_NFI[[#This Row],[Winter Clothes Adult]],Table_NFI[Winter Clothes Adult])</f>
        <v>0</v>
      </c>
      <c r="AJ350" s="352">
        <f>IF(NFI_Expiration=1,IF($A350&lt;VLOOKUP(S$5,NFI,5,0),1,0)*Table_NFI[[#This Row],[Winter Clothes Children]],Table_NFI[Winter Clothes Children])</f>
        <v>0</v>
      </c>
      <c r="AK350" s="352">
        <f>IF(NFI_Expiration=1,IF($A350&lt;VLOOKUP(T$5,NFI,5,0),1,0)*Table_NFI[[#This Row],[Winter Items Other]],Table_NFI[Winter Items Other])</f>
        <v>0</v>
      </c>
      <c r="AL350" s="352">
        <f>IF(NFI_Expiration=1,IF($A350&lt;VLOOKUP(M$5,NFI,5,0),1,0)*Table_NFI[[#This Row],[Winter Blanket]],Table_NFI[[#This Row],[Winter Blanket]])</f>
        <v>0</v>
      </c>
      <c r="AM350" s="352">
        <f>IF(Table_NFI[[#This Row],[Winter Clothes Adult]]+Table_NFI[[#This Row],[Winter Clothes Children]]+Table_NFI[[#This Row],[Winter Items Other]]+Table_NFI[[#This Row],[Winter Blanket]]&gt;0,1,0)</f>
        <v>0</v>
      </c>
      <c r="AN350" s="392">
        <f>IF(NFI_Expiration=1,IF($A350&lt;VLOOKUP(V$5,NFI,5,0),1,0)*Table_NFI[[#This Row],[Jerry Can]],Table_NFI[Jerry Can])</f>
        <v>0</v>
      </c>
      <c r="AO350" s="540" t="str">
        <f>IFERROR(VLOOKUP(Table_NFI[[#This Row],[Camp Name]],CL,2,0),"")</f>
        <v>MMR001CMP056</v>
      </c>
      <c r="AP350" s="535">
        <f ca="1">IF(Table_NFI[[#This Row],[Pcode]]="","",IF(OFFSET(CampList[Opening Date],MATCH(Table_NFI[[#This Row],[Pcode]],CampList[CP_Pcode],0)-1,0,1,1)&gt;=NFI_Monitor_Date,1,0))</f>
        <v>0</v>
      </c>
      <c r="AQ350" s="540" t="str">
        <f>IFERROR(VLOOKUP(Table_NFI[[#This Row],[Camp Name]],CL,3,0),"")</f>
        <v>Open</v>
      </c>
      <c r="AR350" s="352" t="str">
        <f ca="1">IF(Table_NFI[[#This Row],[Pcode]]="","",OFFSET(CampList[Priority],MATCH(Table_NFI[[#This Row],[Pcode]],CampList[CP_Pcode],0)-1,0,1,1))</f>
        <v>P4</v>
      </c>
      <c r="AS350" s="351">
        <f>IFERROR(Table_NFI[[#This Row],[Kitchen Set]]/VLOOKUP(Table_NFI[[#This Row],[Camp Name]],CL,4,0),"")</f>
        <v>3.0973451327433628E-2</v>
      </c>
      <c r="AT350" s="533" t="s">
        <v>1094</v>
      </c>
      <c r="AU350" s="536"/>
    </row>
    <row r="351" spans="1:47" s="537" customFormat="1" hidden="1" x14ac:dyDescent="0.2">
      <c r="A351" s="355">
        <f t="shared" si="5"/>
        <v>19.366666666666667</v>
      </c>
      <c r="B351" s="532">
        <v>41990</v>
      </c>
      <c r="C351" s="533" t="s">
        <v>907</v>
      </c>
      <c r="D351" s="534" t="s">
        <v>907</v>
      </c>
      <c r="E351" s="533" t="s">
        <v>380</v>
      </c>
      <c r="F351" s="348" t="s">
        <v>185</v>
      </c>
      <c r="G351" s="348" t="s">
        <v>186</v>
      </c>
      <c r="H351" s="349"/>
      <c r="I351" s="349"/>
      <c r="J351" s="677"/>
      <c r="K351" s="349"/>
      <c r="L351" s="350"/>
      <c r="M351" s="350"/>
      <c r="N351" s="350"/>
      <c r="O351" s="350"/>
      <c r="P351" s="352"/>
      <c r="Q351" s="392"/>
      <c r="R351" s="392"/>
      <c r="S351" s="392"/>
      <c r="T351" s="392"/>
      <c r="U351" s="392"/>
      <c r="V351" s="497"/>
      <c r="W351" s="392"/>
      <c r="X351" s="392"/>
      <c r="Y351" s="352">
        <f>IF(NFI_Expiration=1,IF($A351&lt;VLOOKUP(H$5,NFI,5,0),1,0)*Table_NFI[[#This Row],[Hygiene Kit]],Table_NFI[Hygiene Kit])</f>
        <v>0</v>
      </c>
      <c r="Z351" s="352">
        <f>IF(NFI_Expiration=1,IF($A351&lt;VLOOKUP(I$5,NFI,5,0),1,0)*Table_NFI[[#This Row],[NFI Core Kit]],Table_NFI[NFI Core Kit])</f>
        <v>0</v>
      </c>
      <c r="AA351" s="352">
        <f>IF(NFI_Expiration=1,IF($A351&lt;VLOOKUP(J$5,NFI,5,0),1,0)*Table_NFI[[#This Row],[Sanitary Kit]],Table_NFI[Sanitary Kit])</f>
        <v>0</v>
      </c>
      <c r="AB351" s="352">
        <f>IF(NFI_Expiration=1,IF($A351&lt;VLOOKUP(K$5,NFI,5,0),1,0)*Table_NFI[[#This Row],[Mosquito net]],Table_NFI[Mosquito net])</f>
        <v>0</v>
      </c>
      <c r="AC351" s="352">
        <f>IF(NFI_Expiration=1,IF($A351&lt;VLOOKUP(L$5,NFI,5,0),1,0)*Table_NFI[[#This Row],[Tarpaulin]],Table_NFI[[#This Row],[Tarpaulin]])</f>
        <v>0</v>
      </c>
      <c r="AD351" s="352">
        <f>IF(NFI_Expiration=1,IF($A351&lt;VLOOKUP(M$5,NFI,5,0),1,0)*Table_NFI[[#This Row],[Blanket]],Table_NFI[[#This Row],[Blanket]])</f>
        <v>0</v>
      </c>
      <c r="AE351" s="352">
        <f>IF(NFI_Expiration=1,IF($A351&lt;VLOOKUP(N$5,NFI,5,0),1,0)*Table_NFI[[#This Row],[Kitchen Set]],Table_NFI[Kitchen Set])</f>
        <v>0</v>
      </c>
      <c r="AF351" s="352">
        <f>IF(NFI_Expiration=1,IF($A351&lt;VLOOKUP(O$5,NFI,5,0),1,0)*Table_NFI[[#This Row],[Clothes Kit]],Table_NFI[Clothes Kit])</f>
        <v>0</v>
      </c>
      <c r="AG351" s="352">
        <f>IF(NFI_Expiration=1,IF($A351&lt;VLOOKUP(P$5,NFI,5,0),1,0)*Table_NFI[[#This Row],[Plastic Bucket]],Table_NFI[Plastic Bucket])</f>
        <v>0</v>
      </c>
      <c r="AH351" s="352">
        <f>IF(NFI_Expiration=1,IF($A351&lt;VLOOKUP(Q$5,NFI,5,0),1,0)*Table_NFI[[#This Row],[Plastic Mat]],Table_NFI[Plastic Mat])*IF(Table_NFI[[#This Row],[Distribution Date]]&gt;"2014-04-01",1,2.5)</f>
        <v>0</v>
      </c>
      <c r="AI351" s="352">
        <f>IF(NFI_Expiration=1,IF($A351&lt;VLOOKUP(R$5,NFI,5,0),1,0)*Table_NFI[[#This Row],[Winter Clothes Adult]],Table_NFI[Winter Clothes Adult])</f>
        <v>0</v>
      </c>
      <c r="AJ351" s="352">
        <f>IF(NFI_Expiration=1,IF($A351&lt;VLOOKUP(S$5,NFI,5,0),1,0)*Table_NFI[[#This Row],[Winter Clothes Children]],Table_NFI[Winter Clothes Children])</f>
        <v>0</v>
      </c>
      <c r="AK351" s="352">
        <f>IF(NFI_Expiration=1,IF($A351&lt;VLOOKUP(T$5,NFI,5,0),1,0)*Table_NFI[[#This Row],[Winter Items Other]],Table_NFI[Winter Items Other])</f>
        <v>0</v>
      </c>
      <c r="AL351" s="352">
        <f>IF(NFI_Expiration=1,IF($A351&lt;VLOOKUP(M$5,NFI,5,0),1,0)*Table_NFI[[#This Row],[Winter Blanket]],Table_NFI[[#This Row],[Winter Blanket]])</f>
        <v>0</v>
      </c>
      <c r="AM351" s="352">
        <f>IF(Table_NFI[[#This Row],[Winter Clothes Adult]]+Table_NFI[[#This Row],[Winter Clothes Children]]+Table_NFI[[#This Row],[Winter Items Other]]+Table_NFI[[#This Row],[Winter Blanket]]&gt;0,1,0)</f>
        <v>0</v>
      </c>
      <c r="AN351" s="392">
        <f>IF(NFI_Expiration=1,IF($A351&lt;VLOOKUP(V$5,NFI,5,0),1,0)*Table_NFI[[#This Row],[Jerry Can]],Table_NFI[Jerry Can])</f>
        <v>0</v>
      </c>
      <c r="AO351" s="540" t="str">
        <f>IFERROR(VLOOKUP(Table_NFI[[#This Row],[Camp Name]],CL,2,0),"")</f>
        <v>MMR001CMP071</v>
      </c>
      <c r="AP351" s="535">
        <f ca="1">IF(Table_NFI[[#This Row],[Pcode]]="","",IF(OFFSET(CampList[Opening Date],MATCH(Table_NFI[[#This Row],[Pcode]],CampList[CP_Pcode],0)-1,0,1,1)&gt;=NFI_Monitor_Date,1,0))</f>
        <v>0</v>
      </c>
      <c r="AQ351" s="540" t="str">
        <f>IFERROR(VLOOKUP(Table_NFI[[#This Row],[Camp Name]],CL,3,0),"")</f>
        <v>Open</v>
      </c>
      <c r="AR351" s="352" t="str">
        <f ca="1">IF(Table_NFI[[#This Row],[Pcode]]="","",OFFSET(CampList[Priority],MATCH(Table_NFI[[#This Row],[Pcode]],CampList[CP_Pcode],0)-1,0,1,1))</f>
        <v>P3</v>
      </c>
      <c r="AS351" s="351">
        <f>IFERROR(Table_NFI[[#This Row],[Kitchen Set]]/VLOOKUP(Table_NFI[[#This Row],[Camp Name]],CL,4,0),"")</f>
        <v>0</v>
      </c>
      <c r="AT351" s="533"/>
      <c r="AU351" s="536"/>
    </row>
    <row r="352" spans="1:47" s="537" customFormat="1" hidden="1" x14ac:dyDescent="0.25">
      <c r="A352" s="355">
        <f t="shared" si="5"/>
        <v>12.866666666666667</v>
      </c>
      <c r="B352" s="532">
        <v>42185</v>
      </c>
      <c r="C352" s="533" t="s">
        <v>907</v>
      </c>
      <c r="D352" s="533" t="s">
        <v>907</v>
      </c>
      <c r="E352" s="533" t="s">
        <v>380</v>
      </c>
      <c r="F352" s="348" t="s">
        <v>185</v>
      </c>
      <c r="G352" s="348" t="s">
        <v>1566</v>
      </c>
      <c r="H352" s="349"/>
      <c r="I352" s="349"/>
      <c r="J352" s="350"/>
      <c r="K352" s="349"/>
      <c r="L352" s="350"/>
      <c r="M352" s="350"/>
      <c r="N352" s="350"/>
      <c r="O352" s="350"/>
      <c r="P352" s="352"/>
      <c r="Q352" s="392"/>
      <c r="R352" s="392"/>
      <c r="S352" s="392"/>
      <c r="T352" s="392"/>
      <c r="U352" s="392"/>
      <c r="V352" s="392">
        <v>2</v>
      </c>
      <c r="W352" s="392"/>
      <c r="X352" s="392"/>
      <c r="Y352" s="352">
        <f>IF(NFI_Expiration=1,IF($A352&lt;VLOOKUP(H$5,NFI,5,0),1,0)*Table_NFI[[#This Row],[Hygiene Kit]],Table_NFI[Hygiene Kit])</f>
        <v>0</v>
      </c>
      <c r="Z352" s="352">
        <f>IF(NFI_Expiration=1,IF($A352&lt;VLOOKUP(I$5,NFI,5,0),1,0)*Table_NFI[[#This Row],[NFI Core Kit]],Table_NFI[NFI Core Kit])</f>
        <v>0</v>
      </c>
      <c r="AA352" s="352">
        <f>IF(NFI_Expiration=1,IF($A352&lt;VLOOKUP(J$5,NFI,5,0),1,0)*Table_NFI[[#This Row],[Sanitary Kit]],Table_NFI[Sanitary Kit])</f>
        <v>0</v>
      </c>
      <c r="AB352" s="352">
        <f>IF(NFI_Expiration=1,IF($A352&lt;VLOOKUP(K$5,NFI,5,0),1,0)*Table_NFI[[#This Row],[Mosquito net]],Table_NFI[Mosquito net])</f>
        <v>0</v>
      </c>
      <c r="AC352" s="352">
        <f>IF(NFI_Expiration=1,IF($A352&lt;VLOOKUP(L$5,NFI,5,0),1,0)*Table_NFI[[#This Row],[Tarpaulin]],Table_NFI[[#This Row],[Tarpaulin]])</f>
        <v>0</v>
      </c>
      <c r="AD352" s="352">
        <f>IF(NFI_Expiration=1,IF($A352&lt;VLOOKUP(M$5,NFI,5,0),1,0)*Table_NFI[[#This Row],[Blanket]],Table_NFI[[#This Row],[Blanket]])</f>
        <v>0</v>
      </c>
      <c r="AE352" s="352">
        <f>IF(NFI_Expiration=1,IF($A352&lt;VLOOKUP(N$5,NFI,5,0),1,0)*Table_NFI[[#This Row],[Kitchen Set]],Table_NFI[Kitchen Set])</f>
        <v>0</v>
      </c>
      <c r="AF352" s="352">
        <f>IF(NFI_Expiration=1,IF($A352&lt;VLOOKUP(O$5,NFI,5,0),1,0)*Table_NFI[[#This Row],[Clothes Kit]],Table_NFI[Clothes Kit])</f>
        <v>0</v>
      </c>
      <c r="AG352" s="352">
        <f>IF(NFI_Expiration=1,IF($A352&lt;VLOOKUP(P$5,NFI,5,0),1,0)*Table_NFI[[#This Row],[Plastic Bucket]],Table_NFI[Plastic Bucket])</f>
        <v>0</v>
      </c>
      <c r="AH352" s="352">
        <f>IF(NFI_Expiration=1,IF($A352&lt;VLOOKUP(Q$5,NFI,5,0),1,0)*Table_NFI[[#This Row],[Plastic Mat]],Table_NFI[Plastic Mat])*IF(Table_NFI[[#This Row],[Distribution Date]]&gt;"2014-04-01",1,2.5)</f>
        <v>0</v>
      </c>
      <c r="AI352" s="352">
        <f>IF(NFI_Expiration=1,IF($A352&lt;VLOOKUP(R$5,NFI,5,0),1,0)*Table_NFI[[#This Row],[Winter Clothes Adult]],Table_NFI[Winter Clothes Adult])</f>
        <v>0</v>
      </c>
      <c r="AJ352" s="352">
        <f>IF(NFI_Expiration=1,IF($A352&lt;VLOOKUP(S$5,NFI,5,0),1,0)*Table_NFI[[#This Row],[Winter Clothes Children]],Table_NFI[Winter Clothes Children])</f>
        <v>0</v>
      </c>
      <c r="AK352" s="352">
        <f>IF(NFI_Expiration=1,IF($A352&lt;VLOOKUP(T$5,NFI,5,0),1,0)*Table_NFI[[#This Row],[Winter Items Other]],Table_NFI[Winter Items Other])</f>
        <v>0</v>
      </c>
      <c r="AL352" s="352">
        <f>IF(NFI_Expiration=1,IF($A352&lt;VLOOKUP(M$5,NFI,5,0),1,0)*Table_NFI[[#This Row],[Winter Blanket]],Table_NFI[[#This Row],[Winter Blanket]])</f>
        <v>0</v>
      </c>
      <c r="AM352" s="352">
        <f>IF(Table_NFI[[#This Row],[Winter Clothes Adult]]+Table_NFI[[#This Row],[Winter Clothes Children]]+Table_NFI[[#This Row],[Winter Items Other]]+Table_NFI[[#This Row],[Winter Blanket]]&gt;0,1,0)</f>
        <v>0</v>
      </c>
      <c r="AN352" s="392">
        <f>IF(NFI_Expiration=1,IF($A352&lt;VLOOKUP(V$5,NFI,5,0),1,0)*Table_NFI[[#This Row],[Jerry Can]],Table_NFI[Jerry Can])</f>
        <v>0</v>
      </c>
      <c r="AO352" s="540" t="str">
        <f>IFERROR(VLOOKUP(Table_NFI[[#This Row],[Camp Name]],CL,2,0),"")</f>
        <v/>
      </c>
      <c r="AP352" s="535" t="str">
        <f ca="1">IF(Table_NFI[[#This Row],[Pcode]]="","",IF(OFFSET(CampList[Opening Date],MATCH(Table_NFI[[#This Row],[Pcode]],CampList[CP_Pcode],0)-1,0,1,1)&gt;=NFI_Monitor_Date,1,0))</f>
        <v/>
      </c>
      <c r="AQ352" s="540" t="str">
        <f>IFERROR(VLOOKUP(Table_NFI[[#This Row],[Camp Name]],CL,3,0),"")</f>
        <v/>
      </c>
      <c r="AR352" s="352" t="str">
        <f ca="1">IF(Table_NFI[[#This Row],[Pcode]]="","",OFFSET(CampList[Priority],MATCH(Table_NFI[[#This Row],[Pcode]],CampList[CP_Pcode],0)-1,0,1,1))</f>
        <v/>
      </c>
      <c r="AS352" s="351" t="str">
        <f>IFERROR(Table_NFI[[#This Row],[Kitchen Set]]/VLOOKUP(Table_NFI[[#This Row],[Camp Name]],CL,4,0),"")</f>
        <v/>
      </c>
      <c r="AT352" s="533"/>
      <c r="AU352" s="536"/>
    </row>
    <row r="353" spans="1:47" s="537" customFormat="1" hidden="1" x14ac:dyDescent="0.25">
      <c r="A353" s="355">
        <f t="shared" si="5"/>
        <v>7.6333333333333337</v>
      </c>
      <c r="B353" s="532">
        <v>42342</v>
      </c>
      <c r="C353" s="533" t="s">
        <v>907</v>
      </c>
      <c r="D353" s="533" t="s">
        <v>907</v>
      </c>
      <c r="E353" s="533" t="s">
        <v>380</v>
      </c>
      <c r="F353" s="348" t="s">
        <v>185</v>
      </c>
      <c r="G353" s="348" t="s">
        <v>1566</v>
      </c>
      <c r="H353" s="349"/>
      <c r="I353" s="349"/>
      <c r="J353" s="350"/>
      <c r="K353" s="349"/>
      <c r="L353" s="350"/>
      <c r="M353" s="350"/>
      <c r="N353" s="350"/>
      <c r="O353" s="350"/>
      <c r="P353" s="352"/>
      <c r="Q353" s="392"/>
      <c r="R353" s="392"/>
      <c r="S353" s="392"/>
      <c r="T353" s="392"/>
      <c r="U353" s="392"/>
      <c r="V353" s="392">
        <v>1</v>
      </c>
      <c r="W353" s="392"/>
      <c r="X353" s="392"/>
      <c r="Y353" s="352">
        <f>IF(NFI_Expiration=1,IF($A353&lt;VLOOKUP(H$5,NFI,5,0),1,0)*Table_NFI[[#This Row],[Hygiene Kit]],Table_NFI[Hygiene Kit])</f>
        <v>0</v>
      </c>
      <c r="Z353" s="352">
        <f>IF(NFI_Expiration=1,IF($A353&lt;VLOOKUP(I$5,NFI,5,0),1,0)*Table_NFI[[#This Row],[NFI Core Kit]],Table_NFI[NFI Core Kit])</f>
        <v>0</v>
      </c>
      <c r="AA353" s="352">
        <f>IF(NFI_Expiration=1,IF($A353&lt;VLOOKUP(J$5,NFI,5,0),1,0)*Table_NFI[[#This Row],[Sanitary Kit]],Table_NFI[Sanitary Kit])</f>
        <v>0</v>
      </c>
      <c r="AB353" s="352">
        <f>IF(NFI_Expiration=1,IF($A353&lt;VLOOKUP(K$5,NFI,5,0),1,0)*Table_NFI[[#This Row],[Mosquito net]],Table_NFI[Mosquito net])</f>
        <v>0</v>
      </c>
      <c r="AC353" s="352">
        <f>IF(NFI_Expiration=1,IF($A353&lt;VLOOKUP(L$5,NFI,5,0),1,0)*Table_NFI[[#This Row],[Tarpaulin]],Table_NFI[[#This Row],[Tarpaulin]])</f>
        <v>0</v>
      </c>
      <c r="AD353" s="352">
        <f>IF(NFI_Expiration=1,IF($A353&lt;VLOOKUP(M$5,NFI,5,0),1,0)*Table_NFI[[#This Row],[Blanket]],Table_NFI[[#This Row],[Blanket]])</f>
        <v>0</v>
      </c>
      <c r="AE353" s="352">
        <f>IF(NFI_Expiration=1,IF($A353&lt;VLOOKUP(N$5,NFI,5,0),1,0)*Table_NFI[[#This Row],[Kitchen Set]],Table_NFI[Kitchen Set])</f>
        <v>0</v>
      </c>
      <c r="AF353" s="352">
        <f>IF(NFI_Expiration=1,IF($A353&lt;VLOOKUP(O$5,NFI,5,0),1,0)*Table_NFI[[#This Row],[Clothes Kit]],Table_NFI[Clothes Kit])</f>
        <v>0</v>
      </c>
      <c r="AG353" s="352">
        <f>IF(NFI_Expiration=1,IF($A353&lt;VLOOKUP(P$5,NFI,5,0),1,0)*Table_NFI[[#This Row],[Plastic Bucket]],Table_NFI[Plastic Bucket])</f>
        <v>0</v>
      </c>
      <c r="AH353" s="352">
        <f>IF(NFI_Expiration=1,IF($A353&lt;VLOOKUP(Q$5,NFI,5,0),1,0)*Table_NFI[[#This Row],[Plastic Mat]],Table_NFI[Plastic Mat])*IF(Table_NFI[[#This Row],[Distribution Date]]&gt;"2014-04-01",1,2.5)</f>
        <v>0</v>
      </c>
      <c r="AI353" s="352">
        <f>IF(NFI_Expiration=1,IF($A353&lt;VLOOKUP(R$5,NFI,5,0),1,0)*Table_NFI[[#This Row],[Winter Clothes Adult]],Table_NFI[Winter Clothes Adult])</f>
        <v>0</v>
      </c>
      <c r="AJ353" s="352">
        <f>IF(NFI_Expiration=1,IF($A353&lt;VLOOKUP(S$5,NFI,5,0),1,0)*Table_NFI[[#This Row],[Winter Clothes Children]],Table_NFI[Winter Clothes Children])</f>
        <v>0</v>
      </c>
      <c r="AK353" s="352">
        <f>IF(NFI_Expiration=1,IF($A353&lt;VLOOKUP(T$5,NFI,5,0),1,0)*Table_NFI[[#This Row],[Winter Items Other]],Table_NFI[Winter Items Other])</f>
        <v>0</v>
      </c>
      <c r="AL353" s="352">
        <f>IF(NFI_Expiration=1,IF($A353&lt;VLOOKUP(M$5,NFI,5,0),1,0)*Table_NFI[[#This Row],[Winter Blanket]],Table_NFI[[#This Row],[Winter Blanket]])</f>
        <v>0</v>
      </c>
      <c r="AM353" s="352">
        <f>IF(Table_NFI[[#This Row],[Winter Clothes Adult]]+Table_NFI[[#This Row],[Winter Clothes Children]]+Table_NFI[[#This Row],[Winter Items Other]]+Table_NFI[[#This Row],[Winter Blanket]]&gt;0,1,0)</f>
        <v>0</v>
      </c>
      <c r="AN353" s="392">
        <f>IF(NFI_Expiration=1,IF($A353&lt;VLOOKUP(V$5,NFI,5,0),1,0)*Table_NFI[[#This Row],[Jerry Can]],Table_NFI[Jerry Can])</f>
        <v>1</v>
      </c>
      <c r="AO353" s="540" t="str">
        <f>IFERROR(VLOOKUP(Table_NFI[[#This Row],[Camp Name]],CL,2,0),"")</f>
        <v/>
      </c>
      <c r="AP353" s="535" t="str">
        <f ca="1">IF(Table_NFI[[#This Row],[Pcode]]="","",IF(OFFSET(CampList[Opening Date],MATCH(Table_NFI[[#This Row],[Pcode]],CampList[CP_Pcode],0)-1,0,1,1)&gt;=NFI_Monitor_Date,1,0))</f>
        <v/>
      </c>
      <c r="AQ353" s="540" t="str">
        <f>IFERROR(VLOOKUP(Table_NFI[[#This Row],[Camp Name]],CL,3,0),"")</f>
        <v/>
      </c>
      <c r="AR353" s="352" t="str">
        <f ca="1">IF(Table_NFI[[#This Row],[Pcode]]="","",OFFSET(CampList[Priority],MATCH(Table_NFI[[#This Row],[Pcode]],CampList[CP_Pcode],0)-1,0,1,1))</f>
        <v/>
      </c>
      <c r="AS353" s="351" t="str">
        <f>IFERROR(Table_NFI[[#This Row],[Kitchen Set]]/VLOOKUP(Table_NFI[[#This Row],[Camp Name]],CL,4,0),"")</f>
        <v/>
      </c>
      <c r="AT353" s="533"/>
      <c r="AU353" s="536"/>
    </row>
    <row r="354" spans="1:47" s="537" customFormat="1" hidden="1" x14ac:dyDescent="0.25">
      <c r="A354" s="355">
        <f t="shared" si="5"/>
        <v>7.7333333333333334</v>
      </c>
      <c r="B354" s="532">
        <v>42339</v>
      </c>
      <c r="C354" s="533" t="s">
        <v>907</v>
      </c>
      <c r="D354" s="533" t="s">
        <v>907</v>
      </c>
      <c r="E354" s="533" t="s">
        <v>380</v>
      </c>
      <c r="F354" s="348" t="s">
        <v>185</v>
      </c>
      <c r="G354" s="348" t="s">
        <v>1567</v>
      </c>
      <c r="H354" s="349"/>
      <c r="I354" s="349"/>
      <c r="J354" s="350"/>
      <c r="K354" s="349"/>
      <c r="L354" s="350"/>
      <c r="M354" s="350"/>
      <c r="N354" s="350"/>
      <c r="O354" s="350"/>
      <c r="P354" s="352"/>
      <c r="Q354" s="392"/>
      <c r="R354" s="392"/>
      <c r="S354" s="392"/>
      <c r="T354" s="392"/>
      <c r="U354" s="392"/>
      <c r="V354" s="392">
        <v>44</v>
      </c>
      <c r="W354" s="392"/>
      <c r="X354" s="392"/>
      <c r="Y354" s="352">
        <f>IF(NFI_Expiration=1,IF($A354&lt;VLOOKUP(H$5,NFI,5,0),1,0)*Table_NFI[[#This Row],[Hygiene Kit]],Table_NFI[Hygiene Kit])</f>
        <v>0</v>
      </c>
      <c r="Z354" s="352">
        <f>IF(NFI_Expiration=1,IF($A354&lt;VLOOKUP(I$5,NFI,5,0),1,0)*Table_NFI[[#This Row],[NFI Core Kit]],Table_NFI[NFI Core Kit])</f>
        <v>0</v>
      </c>
      <c r="AA354" s="352">
        <f>IF(NFI_Expiration=1,IF($A354&lt;VLOOKUP(J$5,NFI,5,0),1,0)*Table_NFI[[#This Row],[Sanitary Kit]],Table_NFI[Sanitary Kit])</f>
        <v>0</v>
      </c>
      <c r="AB354" s="352">
        <f>IF(NFI_Expiration=1,IF($A354&lt;VLOOKUP(K$5,NFI,5,0),1,0)*Table_NFI[[#This Row],[Mosquito net]],Table_NFI[Mosquito net])</f>
        <v>0</v>
      </c>
      <c r="AC354" s="352">
        <f>IF(NFI_Expiration=1,IF($A354&lt;VLOOKUP(L$5,NFI,5,0),1,0)*Table_NFI[[#This Row],[Tarpaulin]],Table_NFI[[#This Row],[Tarpaulin]])</f>
        <v>0</v>
      </c>
      <c r="AD354" s="352">
        <f>IF(NFI_Expiration=1,IF($A354&lt;VLOOKUP(M$5,NFI,5,0),1,0)*Table_NFI[[#This Row],[Blanket]],Table_NFI[[#This Row],[Blanket]])</f>
        <v>0</v>
      </c>
      <c r="AE354" s="352">
        <f>IF(NFI_Expiration=1,IF($A354&lt;VLOOKUP(N$5,NFI,5,0),1,0)*Table_NFI[[#This Row],[Kitchen Set]],Table_NFI[Kitchen Set])</f>
        <v>0</v>
      </c>
      <c r="AF354" s="352">
        <f>IF(NFI_Expiration=1,IF($A354&lt;VLOOKUP(O$5,NFI,5,0),1,0)*Table_NFI[[#This Row],[Clothes Kit]],Table_NFI[Clothes Kit])</f>
        <v>0</v>
      </c>
      <c r="AG354" s="352">
        <f>IF(NFI_Expiration=1,IF($A354&lt;VLOOKUP(P$5,NFI,5,0),1,0)*Table_NFI[[#This Row],[Plastic Bucket]],Table_NFI[Plastic Bucket])</f>
        <v>0</v>
      </c>
      <c r="AH354" s="352">
        <f>IF(NFI_Expiration=1,IF($A354&lt;VLOOKUP(Q$5,NFI,5,0),1,0)*Table_NFI[[#This Row],[Plastic Mat]],Table_NFI[Plastic Mat])*IF(Table_NFI[[#This Row],[Distribution Date]]&gt;"2014-04-01",1,2.5)</f>
        <v>0</v>
      </c>
      <c r="AI354" s="352">
        <f>IF(NFI_Expiration=1,IF($A354&lt;VLOOKUP(R$5,NFI,5,0),1,0)*Table_NFI[[#This Row],[Winter Clothes Adult]],Table_NFI[Winter Clothes Adult])</f>
        <v>0</v>
      </c>
      <c r="AJ354" s="352">
        <f>IF(NFI_Expiration=1,IF($A354&lt;VLOOKUP(S$5,NFI,5,0),1,0)*Table_NFI[[#This Row],[Winter Clothes Children]],Table_NFI[Winter Clothes Children])</f>
        <v>0</v>
      </c>
      <c r="AK354" s="352">
        <f>IF(NFI_Expiration=1,IF($A354&lt;VLOOKUP(T$5,NFI,5,0),1,0)*Table_NFI[[#This Row],[Winter Items Other]],Table_NFI[Winter Items Other])</f>
        <v>0</v>
      </c>
      <c r="AL354" s="352">
        <f>IF(NFI_Expiration=1,IF($A354&lt;VLOOKUP(M$5,NFI,5,0),1,0)*Table_NFI[[#This Row],[Winter Blanket]],Table_NFI[[#This Row],[Winter Blanket]])</f>
        <v>0</v>
      </c>
      <c r="AM354" s="352">
        <f>IF(Table_NFI[[#This Row],[Winter Clothes Adult]]+Table_NFI[[#This Row],[Winter Clothes Children]]+Table_NFI[[#This Row],[Winter Items Other]]+Table_NFI[[#This Row],[Winter Blanket]]&gt;0,1,0)</f>
        <v>0</v>
      </c>
      <c r="AN354" s="392">
        <f>IF(NFI_Expiration=1,IF($A354&lt;VLOOKUP(V$5,NFI,5,0),1,0)*Table_NFI[[#This Row],[Jerry Can]],Table_NFI[Jerry Can])</f>
        <v>44</v>
      </c>
      <c r="AO354" s="540" t="str">
        <f>IFERROR(VLOOKUP(Table_NFI[[#This Row],[Camp Name]],CL,2,0),"")</f>
        <v/>
      </c>
      <c r="AP354" s="535" t="str">
        <f ca="1">IF(Table_NFI[[#This Row],[Pcode]]="","",IF(OFFSET(CampList[Opening Date],MATCH(Table_NFI[[#This Row],[Pcode]],CampList[CP_Pcode],0)-1,0,1,1)&gt;=NFI_Monitor_Date,1,0))</f>
        <v/>
      </c>
      <c r="AQ354" s="540" t="str">
        <f>IFERROR(VLOOKUP(Table_NFI[[#This Row],[Camp Name]],CL,3,0),"")</f>
        <v/>
      </c>
      <c r="AR354" s="352" t="str">
        <f ca="1">IF(Table_NFI[[#This Row],[Pcode]]="","",OFFSET(CampList[Priority],MATCH(Table_NFI[[#This Row],[Pcode]],CampList[CP_Pcode],0)-1,0,1,1))</f>
        <v/>
      </c>
      <c r="AS354" s="351" t="str">
        <f>IFERROR(Table_NFI[[#This Row],[Kitchen Set]]/VLOOKUP(Table_NFI[[#This Row],[Camp Name]],CL,4,0),"")</f>
        <v/>
      </c>
      <c r="AT354" s="533"/>
      <c r="AU354" s="536"/>
    </row>
    <row r="355" spans="1:47" s="537" customFormat="1" hidden="1" x14ac:dyDescent="0.2">
      <c r="A355" s="355">
        <f t="shared" si="5"/>
        <v>13.866666666666667</v>
      </c>
      <c r="B355" s="532">
        <v>42155</v>
      </c>
      <c r="C355" s="533" t="s">
        <v>907</v>
      </c>
      <c r="D355" s="534" t="s">
        <v>907</v>
      </c>
      <c r="E355" s="533" t="s">
        <v>380</v>
      </c>
      <c r="F355" s="348" t="s">
        <v>185</v>
      </c>
      <c r="G355" s="348" t="s">
        <v>186</v>
      </c>
      <c r="H355" s="349"/>
      <c r="I355" s="349"/>
      <c r="J355" s="350"/>
      <c r="K355" s="349"/>
      <c r="L355" s="350"/>
      <c r="M355" s="350"/>
      <c r="N355" s="350"/>
      <c r="O355" s="350"/>
      <c r="P355" s="352"/>
      <c r="Q355" s="392"/>
      <c r="R355" s="392"/>
      <c r="S355" s="392"/>
      <c r="T355" s="392"/>
      <c r="U355" s="392"/>
      <c r="V355" s="822">
        <v>2</v>
      </c>
      <c r="W355" s="392"/>
      <c r="X355" s="392"/>
      <c r="Y355" s="352">
        <f>IF(NFI_Expiration=1,IF($A355&lt;VLOOKUP(H$5,NFI,5,0),1,0)*Table_NFI[[#This Row],[Hygiene Kit]],Table_NFI[Hygiene Kit])</f>
        <v>0</v>
      </c>
      <c r="Z355" s="352">
        <f>IF(NFI_Expiration=1,IF($A355&lt;VLOOKUP(I$5,NFI,5,0),1,0)*Table_NFI[[#This Row],[NFI Core Kit]],Table_NFI[NFI Core Kit])</f>
        <v>0</v>
      </c>
      <c r="AA355" s="352">
        <f>IF(NFI_Expiration=1,IF($A355&lt;VLOOKUP(J$5,NFI,5,0),1,0)*Table_NFI[[#This Row],[Sanitary Kit]],Table_NFI[Sanitary Kit])</f>
        <v>0</v>
      </c>
      <c r="AB355" s="352">
        <f>IF(NFI_Expiration=1,IF($A355&lt;VLOOKUP(K$5,NFI,5,0),1,0)*Table_NFI[[#This Row],[Mosquito net]],Table_NFI[Mosquito net])</f>
        <v>0</v>
      </c>
      <c r="AC355" s="352">
        <f>IF(NFI_Expiration=1,IF($A355&lt;VLOOKUP(L$5,NFI,5,0),1,0)*Table_NFI[[#This Row],[Tarpaulin]],Table_NFI[[#This Row],[Tarpaulin]])</f>
        <v>0</v>
      </c>
      <c r="AD355" s="352">
        <f>IF(NFI_Expiration=1,IF($A355&lt;VLOOKUP(M$5,NFI,5,0),1,0)*Table_NFI[[#This Row],[Blanket]],Table_NFI[[#This Row],[Blanket]])</f>
        <v>0</v>
      </c>
      <c r="AE355" s="352">
        <f>IF(NFI_Expiration=1,IF($A355&lt;VLOOKUP(N$5,NFI,5,0),1,0)*Table_NFI[[#This Row],[Kitchen Set]],Table_NFI[Kitchen Set])</f>
        <v>0</v>
      </c>
      <c r="AF355" s="352">
        <f>IF(NFI_Expiration=1,IF($A355&lt;VLOOKUP(O$5,NFI,5,0),1,0)*Table_NFI[[#This Row],[Clothes Kit]],Table_NFI[Clothes Kit])</f>
        <v>0</v>
      </c>
      <c r="AG355" s="352">
        <f>IF(NFI_Expiration=1,IF($A355&lt;VLOOKUP(P$5,NFI,5,0),1,0)*Table_NFI[[#This Row],[Plastic Bucket]],Table_NFI[Plastic Bucket])</f>
        <v>0</v>
      </c>
      <c r="AH355" s="352">
        <f>IF(NFI_Expiration=1,IF($A355&lt;VLOOKUP(Q$5,NFI,5,0),1,0)*Table_NFI[[#This Row],[Plastic Mat]],Table_NFI[Plastic Mat])*IF(Table_NFI[[#This Row],[Distribution Date]]&gt;"2014-04-01",1,2.5)</f>
        <v>0</v>
      </c>
      <c r="AI355" s="352">
        <f>IF(NFI_Expiration=1,IF($A355&lt;VLOOKUP(R$5,NFI,5,0),1,0)*Table_NFI[[#This Row],[Winter Clothes Adult]],Table_NFI[Winter Clothes Adult])</f>
        <v>0</v>
      </c>
      <c r="AJ355" s="352">
        <f>IF(NFI_Expiration=1,IF($A355&lt;VLOOKUP(S$5,NFI,5,0),1,0)*Table_NFI[[#This Row],[Winter Clothes Children]],Table_NFI[Winter Clothes Children])</f>
        <v>0</v>
      </c>
      <c r="AK355" s="352">
        <f>IF(NFI_Expiration=1,IF($A355&lt;VLOOKUP(T$5,NFI,5,0),1,0)*Table_NFI[[#This Row],[Winter Items Other]],Table_NFI[Winter Items Other])</f>
        <v>0</v>
      </c>
      <c r="AL355" s="352">
        <f>IF(NFI_Expiration=1,IF($A355&lt;VLOOKUP(M$5,NFI,5,0),1,0)*Table_NFI[[#This Row],[Winter Blanket]],Table_NFI[[#This Row],[Winter Blanket]])</f>
        <v>0</v>
      </c>
      <c r="AM355" s="352">
        <f>IF(Table_NFI[[#This Row],[Winter Clothes Adult]]+Table_NFI[[#This Row],[Winter Clothes Children]]+Table_NFI[[#This Row],[Winter Items Other]]+Table_NFI[[#This Row],[Winter Blanket]]&gt;0,1,0)</f>
        <v>0</v>
      </c>
      <c r="AN355" s="392">
        <f>IF(NFI_Expiration=1,IF($A355&lt;VLOOKUP(V$5,NFI,5,0),1,0)*Table_NFI[[#This Row],[Jerry Can]],Table_NFI[Jerry Can])</f>
        <v>0</v>
      </c>
      <c r="AO355" s="540" t="str">
        <f>IFERROR(VLOOKUP(Table_NFI[[#This Row],[Camp Name]],CL,2,0),"")</f>
        <v>MMR001CMP071</v>
      </c>
      <c r="AP355" s="535">
        <f ca="1">IF(Table_NFI[[#This Row],[Pcode]]="","",IF(OFFSET(CampList[Opening Date],MATCH(Table_NFI[[#This Row],[Pcode]],CampList[CP_Pcode],0)-1,0,1,1)&gt;=NFI_Monitor_Date,1,0))</f>
        <v>0</v>
      </c>
      <c r="AQ355" s="540" t="str">
        <f>IFERROR(VLOOKUP(Table_NFI[[#This Row],[Camp Name]],CL,3,0),"")</f>
        <v>Open</v>
      </c>
      <c r="AR355" s="352" t="str">
        <f ca="1">IF(Table_NFI[[#This Row],[Pcode]]="","",OFFSET(CampList[Priority],MATCH(Table_NFI[[#This Row],[Pcode]],CampList[CP_Pcode],0)-1,0,1,1))</f>
        <v>P3</v>
      </c>
      <c r="AS355" s="351">
        <f>IFERROR(Table_NFI[[#This Row],[Kitchen Set]]/VLOOKUP(Table_NFI[[#This Row],[Camp Name]],CL,4,0),"")</f>
        <v>0</v>
      </c>
      <c r="AT355" s="533"/>
      <c r="AU355" s="536"/>
    </row>
    <row r="356" spans="1:47" s="537" customFormat="1" hidden="1" x14ac:dyDescent="0.2">
      <c r="A356" s="355">
        <f t="shared" si="5"/>
        <v>5.7666666666666666</v>
      </c>
      <c r="B356" s="532">
        <v>42398</v>
      </c>
      <c r="C356" s="533" t="s">
        <v>907</v>
      </c>
      <c r="D356" s="534" t="s">
        <v>907</v>
      </c>
      <c r="E356" s="533" t="s">
        <v>380</v>
      </c>
      <c r="F356" s="348" t="s">
        <v>185</v>
      </c>
      <c r="G356" s="348" t="s">
        <v>186</v>
      </c>
      <c r="H356" s="349"/>
      <c r="I356" s="349"/>
      <c r="J356" s="350"/>
      <c r="K356" s="349"/>
      <c r="L356" s="350"/>
      <c r="M356" s="350"/>
      <c r="N356" s="350"/>
      <c r="O356" s="350"/>
      <c r="P356" s="352"/>
      <c r="Q356" s="392"/>
      <c r="R356" s="392"/>
      <c r="S356" s="392"/>
      <c r="T356" s="392"/>
      <c r="U356" s="392"/>
      <c r="V356" s="822">
        <v>2</v>
      </c>
      <c r="W356" s="392"/>
      <c r="X356" s="392"/>
      <c r="Y356" s="352">
        <f>IF(NFI_Expiration=1,IF($A356&lt;VLOOKUP(H$5,NFI,5,0),1,0)*Table_NFI[[#This Row],[Hygiene Kit]],Table_NFI[Hygiene Kit])</f>
        <v>0</v>
      </c>
      <c r="Z356" s="352">
        <f>IF(NFI_Expiration=1,IF($A356&lt;VLOOKUP(I$5,NFI,5,0),1,0)*Table_NFI[[#This Row],[NFI Core Kit]],Table_NFI[NFI Core Kit])</f>
        <v>0</v>
      </c>
      <c r="AA356" s="352">
        <f>IF(NFI_Expiration=1,IF($A356&lt;VLOOKUP(J$5,NFI,5,0),1,0)*Table_NFI[[#This Row],[Sanitary Kit]],Table_NFI[Sanitary Kit])</f>
        <v>0</v>
      </c>
      <c r="AB356" s="352">
        <f>IF(NFI_Expiration=1,IF($A356&lt;VLOOKUP(K$5,NFI,5,0),1,0)*Table_NFI[[#This Row],[Mosquito net]],Table_NFI[Mosquito net])</f>
        <v>0</v>
      </c>
      <c r="AC356" s="352">
        <f>IF(NFI_Expiration=1,IF($A356&lt;VLOOKUP(L$5,NFI,5,0),1,0)*Table_NFI[[#This Row],[Tarpaulin]],Table_NFI[[#This Row],[Tarpaulin]])</f>
        <v>0</v>
      </c>
      <c r="AD356" s="352">
        <f>IF(NFI_Expiration=1,IF($A356&lt;VLOOKUP(M$5,NFI,5,0),1,0)*Table_NFI[[#This Row],[Blanket]],Table_NFI[[#This Row],[Blanket]])</f>
        <v>0</v>
      </c>
      <c r="AE356" s="352">
        <f>IF(NFI_Expiration=1,IF($A356&lt;VLOOKUP(N$5,NFI,5,0),1,0)*Table_NFI[[#This Row],[Kitchen Set]],Table_NFI[Kitchen Set])</f>
        <v>0</v>
      </c>
      <c r="AF356" s="352">
        <f>IF(NFI_Expiration=1,IF($A356&lt;VLOOKUP(O$5,NFI,5,0),1,0)*Table_NFI[[#This Row],[Clothes Kit]],Table_NFI[Clothes Kit])</f>
        <v>0</v>
      </c>
      <c r="AG356" s="352">
        <f>IF(NFI_Expiration=1,IF($A356&lt;VLOOKUP(P$5,NFI,5,0),1,0)*Table_NFI[[#This Row],[Plastic Bucket]],Table_NFI[Plastic Bucket])</f>
        <v>0</v>
      </c>
      <c r="AH356" s="352">
        <f>IF(NFI_Expiration=1,IF($A356&lt;VLOOKUP(Q$5,NFI,5,0),1,0)*Table_NFI[[#This Row],[Plastic Mat]],Table_NFI[Plastic Mat])*IF(Table_NFI[[#This Row],[Distribution Date]]&gt;"2014-04-01",1,2.5)</f>
        <v>0</v>
      </c>
      <c r="AI356" s="352">
        <f>IF(NFI_Expiration=1,IF($A356&lt;VLOOKUP(R$5,NFI,5,0),1,0)*Table_NFI[[#This Row],[Winter Clothes Adult]],Table_NFI[Winter Clothes Adult])</f>
        <v>0</v>
      </c>
      <c r="AJ356" s="352">
        <f>IF(NFI_Expiration=1,IF($A356&lt;VLOOKUP(S$5,NFI,5,0),1,0)*Table_NFI[[#This Row],[Winter Clothes Children]],Table_NFI[Winter Clothes Children])</f>
        <v>0</v>
      </c>
      <c r="AK356" s="352">
        <f>IF(NFI_Expiration=1,IF($A356&lt;VLOOKUP(T$5,NFI,5,0),1,0)*Table_NFI[[#This Row],[Winter Items Other]],Table_NFI[Winter Items Other])</f>
        <v>0</v>
      </c>
      <c r="AL356" s="352">
        <f>IF(NFI_Expiration=1,IF($A356&lt;VLOOKUP(M$5,NFI,5,0),1,0)*Table_NFI[[#This Row],[Winter Blanket]],Table_NFI[[#This Row],[Winter Blanket]])</f>
        <v>0</v>
      </c>
      <c r="AM356" s="352">
        <f>IF(Table_NFI[[#This Row],[Winter Clothes Adult]]+Table_NFI[[#This Row],[Winter Clothes Children]]+Table_NFI[[#This Row],[Winter Items Other]]+Table_NFI[[#This Row],[Winter Blanket]]&gt;0,1,0)</f>
        <v>0</v>
      </c>
      <c r="AN356" s="392">
        <f>IF(NFI_Expiration=1,IF($A356&lt;VLOOKUP(V$5,NFI,5,0),1,0)*Table_NFI[[#This Row],[Jerry Can]],Table_NFI[Jerry Can])</f>
        <v>2</v>
      </c>
      <c r="AO356" s="540" t="str">
        <f>IFERROR(VLOOKUP(Table_NFI[[#This Row],[Camp Name]],CL,2,0),"")</f>
        <v>MMR001CMP071</v>
      </c>
      <c r="AP356" s="535">
        <f ca="1">IF(Table_NFI[[#This Row],[Pcode]]="","",IF(OFFSET(CampList[Opening Date],MATCH(Table_NFI[[#This Row],[Pcode]],CampList[CP_Pcode],0)-1,0,1,1)&gt;=NFI_Monitor_Date,1,0))</f>
        <v>0</v>
      </c>
      <c r="AQ356" s="540" t="str">
        <f>IFERROR(VLOOKUP(Table_NFI[[#This Row],[Camp Name]],CL,3,0),"")</f>
        <v>Open</v>
      </c>
      <c r="AR356" s="352" t="str">
        <f ca="1">IF(Table_NFI[[#This Row],[Pcode]]="","",OFFSET(CampList[Priority],MATCH(Table_NFI[[#This Row],[Pcode]],CampList[CP_Pcode],0)-1,0,1,1))</f>
        <v>P3</v>
      </c>
      <c r="AS356" s="351">
        <f>IFERROR(Table_NFI[[#This Row],[Kitchen Set]]/VLOOKUP(Table_NFI[[#This Row],[Camp Name]],CL,4,0),"")</f>
        <v>0</v>
      </c>
      <c r="AT356" s="533"/>
      <c r="AU356" s="536"/>
    </row>
    <row r="357" spans="1:47" s="537" customFormat="1" hidden="1" x14ac:dyDescent="0.2">
      <c r="A357" s="355">
        <f t="shared" si="5"/>
        <v>13.766666666666667</v>
      </c>
      <c r="B357" s="532">
        <v>42158</v>
      </c>
      <c r="C357" s="533" t="s">
        <v>907</v>
      </c>
      <c r="D357" s="534" t="s">
        <v>907</v>
      </c>
      <c r="E357" s="533" t="s">
        <v>380</v>
      </c>
      <c r="F357" s="348" t="s">
        <v>185</v>
      </c>
      <c r="G357" s="348" t="s">
        <v>186</v>
      </c>
      <c r="H357" s="349"/>
      <c r="I357" s="349"/>
      <c r="J357" s="677"/>
      <c r="K357" s="349"/>
      <c r="L357" s="350"/>
      <c r="M357" s="350"/>
      <c r="N357" s="350"/>
      <c r="O357" s="350"/>
      <c r="P357" s="352"/>
      <c r="Q357" s="392"/>
      <c r="R357" s="392"/>
      <c r="S357" s="392"/>
      <c r="T357" s="392"/>
      <c r="U357" s="392"/>
      <c r="V357" s="497"/>
      <c r="W357" s="392"/>
      <c r="X357" s="392"/>
      <c r="Y357" s="352">
        <f>IF(NFI_Expiration=1,IF($A357&lt;VLOOKUP(H$5,NFI,5,0),1,0)*Table_NFI[[#This Row],[Hygiene Kit]],Table_NFI[Hygiene Kit])</f>
        <v>0</v>
      </c>
      <c r="Z357" s="352">
        <f>IF(NFI_Expiration=1,IF($A357&lt;VLOOKUP(I$5,NFI,5,0),1,0)*Table_NFI[[#This Row],[NFI Core Kit]],Table_NFI[NFI Core Kit])</f>
        <v>0</v>
      </c>
      <c r="AA357" s="352">
        <f>IF(NFI_Expiration=1,IF($A357&lt;VLOOKUP(J$5,NFI,5,0),1,0)*Table_NFI[[#This Row],[Sanitary Kit]],Table_NFI[Sanitary Kit])</f>
        <v>0</v>
      </c>
      <c r="AB357" s="352">
        <f>IF(NFI_Expiration=1,IF($A357&lt;VLOOKUP(K$5,NFI,5,0),1,0)*Table_NFI[[#This Row],[Mosquito net]],Table_NFI[Mosquito net])</f>
        <v>0</v>
      </c>
      <c r="AC357" s="352">
        <f>IF(NFI_Expiration=1,IF($A357&lt;VLOOKUP(L$5,NFI,5,0),1,0)*Table_NFI[[#This Row],[Tarpaulin]],Table_NFI[[#This Row],[Tarpaulin]])</f>
        <v>0</v>
      </c>
      <c r="AD357" s="352">
        <f>IF(NFI_Expiration=1,IF($A357&lt;VLOOKUP(M$5,NFI,5,0),1,0)*Table_NFI[[#This Row],[Blanket]],Table_NFI[[#This Row],[Blanket]])</f>
        <v>0</v>
      </c>
      <c r="AE357" s="352">
        <f>IF(NFI_Expiration=1,IF($A357&lt;VLOOKUP(N$5,NFI,5,0),1,0)*Table_NFI[[#This Row],[Kitchen Set]],Table_NFI[Kitchen Set])</f>
        <v>0</v>
      </c>
      <c r="AF357" s="352">
        <f>IF(NFI_Expiration=1,IF($A357&lt;VLOOKUP(O$5,NFI,5,0),1,0)*Table_NFI[[#This Row],[Clothes Kit]],Table_NFI[Clothes Kit])</f>
        <v>0</v>
      </c>
      <c r="AG357" s="352">
        <f>IF(NFI_Expiration=1,IF($A357&lt;VLOOKUP(P$5,NFI,5,0),1,0)*Table_NFI[[#This Row],[Plastic Bucket]],Table_NFI[Plastic Bucket])</f>
        <v>0</v>
      </c>
      <c r="AH357" s="352">
        <f>IF(NFI_Expiration=1,IF($A357&lt;VLOOKUP(Q$5,NFI,5,0),1,0)*Table_NFI[[#This Row],[Plastic Mat]],Table_NFI[Plastic Mat])*IF(Table_NFI[[#This Row],[Distribution Date]]&gt;"2014-04-01",1,2.5)</f>
        <v>0</v>
      </c>
      <c r="AI357" s="352">
        <f>IF(NFI_Expiration=1,IF($A357&lt;VLOOKUP(R$5,NFI,5,0),1,0)*Table_NFI[[#This Row],[Winter Clothes Adult]],Table_NFI[Winter Clothes Adult])</f>
        <v>0</v>
      </c>
      <c r="AJ357" s="352">
        <f>IF(NFI_Expiration=1,IF($A357&lt;VLOOKUP(S$5,NFI,5,0),1,0)*Table_NFI[[#This Row],[Winter Clothes Children]],Table_NFI[Winter Clothes Children])</f>
        <v>0</v>
      </c>
      <c r="AK357" s="352">
        <f>IF(NFI_Expiration=1,IF($A357&lt;VLOOKUP(T$5,NFI,5,0),1,0)*Table_NFI[[#This Row],[Winter Items Other]],Table_NFI[Winter Items Other])</f>
        <v>0</v>
      </c>
      <c r="AL357" s="352">
        <f>IF(NFI_Expiration=1,IF($A357&lt;VLOOKUP(M$5,NFI,5,0),1,0)*Table_NFI[[#This Row],[Winter Blanket]],Table_NFI[[#This Row],[Winter Blanket]])</f>
        <v>0</v>
      </c>
      <c r="AM357" s="352">
        <f>IF(Table_NFI[[#This Row],[Winter Clothes Adult]]+Table_NFI[[#This Row],[Winter Clothes Children]]+Table_NFI[[#This Row],[Winter Items Other]]+Table_NFI[[#This Row],[Winter Blanket]]&gt;0,1,0)</f>
        <v>0</v>
      </c>
      <c r="AN357" s="392">
        <f>IF(NFI_Expiration=1,IF($A357&lt;VLOOKUP(V$5,NFI,5,0),1,0)*Table_NFI[[#This Row],[Jerry Can]],Table_NFI[Jerry Can])</f>
        <v>0</v>
      </c>
      <c r="AO357" s="540" t="str">
        <f>IFERROR(VLOOKUP(Table_NFI[[#This Row],[Camp Name]],CL,2,0),"")</f>
        <v>MMR001CMP071</v>
      </c>
      <c r="AP357" s="535">
        <f ca="1">IF(Table_NFI[[#This Row],[Pcode]]="","",IF(OFFSET(CampList[Opening Date],MATCH(Table_NFI[[#This Row],[Pcode]],CampList[CP_Pcode],0)-1,0,1,1)&gt;=NFI_Monitor_Date,1,0))</f>
        <v>0</v>
      </c>
      <c r="AQ357" s="540" t="str">
        <f>IFERROR(VLOOKUP(Table_NFI[[#This Row],[Camp Name]],CL,3,0),"")</f>
        <v>Open</v>
      </c>
      <c r="AR357" s="352" t="str">
        <f ca="1">IF(Table_NFI[[#This Row],[Pcode]]="","",OFFSET(CampList[Priority],MATCH(Table_NFI[[#This Row],[Pcode]],CampList[CP_Pcode],0)-1,0,1,1))</f>
        <v>P3</v>
      </c>
      <c r="AS357" s="351">
        <f>IFERROR(Table_NFI[[#This Row],[Kitchen Set]]/VLOOKUP(Table_NFI[[#This Row],[Camp Name]],CL,4,0),"")</f>
        <v>0</v>
      </c>
      <c r="AT357" s="533"/>
      <c r="AU357" s="536"/>
    </row>
    <row r="358" spans="1:47" s="537" customFormat="1" hidden="1" x14ac:dyDescent="0.2">
      <c r="A358" s="355">
        <f t="shared" si="5"/>
        <v>5.5666666666666664</v>
      </c>
      <c r="B358" s="532">
        <v>42404</v>
      </c>
      <c r="C358" s="533" t="s">
        <v>907</v>
      </c>
      <c r="D358" s="534" t="s">
        <v>907</v>
      </c>
      <c r="E358" s="533" t="s">
        <v>380</v>
      </c>
      <c r="F358" s="348" t="s">
        <v>185</v>
      </c>
      <c r="G358" s="348" t="s">
        <v>186</v>
      </c>
      <c r="H358" s="349"/>
      <c r="I358" s="349"/>
      <c r="J358" s="677"/>
      <c r="K358" s="349"/>
      <c r="L358" s="350"/>
      <c r="M358" s="350"/>
      <c r="N358" s="350"/>
      <c r="O358" s="350"/>
      <c r="P358" s="352"/>
      <c r="Q358" s="392"/>
      <c r="R358" s="392"/>
      <c r="S358" s="392"/>
      <c r="T358" s="392"/>
      <c r="U358" s="392"/>
      <c r="V358" s="497"/>
      <c r="W358" s="392"/>
      <c r="X358" s="392"/>
      <c r="Y358" s="352">
        <f>IF(NFI_Expiration=1,IF($A358&lt;VLOOKUP(H$5,NFI,5,0),1,0)*Table_NFI[[#This Row],[Hygiene Kit]],Table_NFI[Hygiene Kit])</f>
        <v>0</v>
      </c>
      <c r="Z358" s="352">
        <f>IF(NFI_Expiration=1,IF($A358&lt;VLOOKUP(I$5,NFI,5,0),1,0)*Table_NFI[[#This Row],[NFI Core Kit]],Table_NFI[NFI Core Kit])</f>
        <v>0</v>
      </c>
      <c r="AA358" s="352">
        <f>IF(NFI_Expiration=1,IF($A358&lt;VLOOKUP(J$5,NFI,5,0),1,0)*Table_NFI[[#This Row],[Sanitary Kit]],Table_NFI[Sanitary Kit])</f>
        <v>0</v>
      </c>
      <c r="AB358" s="352">
        <f>IF(NFI_Expiration=1,IF($A358&lt;VLOOKUP(K$5,NFI,5,0),1,0)*Table_NFI[[#This Row],[Mosquito net]],Table_NFI[Mosquito net])</f>
        <v>0</v>
      </c>
      <c r="AC358" s="352">
        <f>IF(NFI_Expiration=1,IF($A358&lt;VLOOKUP(L$5,NFI,5,0),1,0)*Table_NFI[[#This Row],[Tarpaulin]],Table_NFI[[#This Row],[Tarpaulin]])</f>
        <v>0</v>
      </c>
      <c r="AD358" s="352">
        <f>IF(NFI_Expiration=1,IF($A358&lt;VLOOKUP(M$5,NFI,5,0),1,0)*Table_NFI[[#This Row],[Blanket]],Table_NFI[[#This Row],[Blanket]])</f>
        <v>0</v>
      </c>
      <c r="AE358" s="352">
        <f>IF(NFI_Expiration=1,IF($A358&lt;VLOOKUP(N$5,NFI,5,0),1,0)*Table_NFI[[#This Row],[Kitchen Set]],Table_NFI[Kitchen Set])</f>
        <v>0</v>
      </c>
      <c r="AF358" s="352">
        <f>IF(NFI_Expiration=1,IF($A358&lt;VLOOKUP(O$5,NFI,5,0),1,0)*Table_NFI[[#This Row],[Clothes Kit]],Table_NFI[Clothes Kit])</f>
        <v>0</v>
      </c>
      <c r="AG358" s="352">
        <f>IF(NFI_Expiration=1,IF($A358&lt;VLOOKUP(P$5,NFI,5,0),1,0)*Table_NFI[[#This Row],[Plastic Bucket]],Table_NFI[Plastic Bucket])</f>
        <v>0</v>
      </c>
      <c r="AH358" s="352">
        <f>IF(NFI_Expiration=1,IF($A358&lt;VLOOKUP(Q$5,NFI,5,0),1,0)*Table_NFI[[#This Row],[Plastic Mat]],Table_NFI[Plastic Mat])*IF(Table_NFI[[#This Row],[Distribution Date]]&gt;"2014-04-01",1,2.5)</f>
        <v>0</v>
      </c>
      <c r="AI358" s="352">
        <f>IF(NFI_Expiration=1,IF($A358&lt;VLOOKUP(R$5,NFI,5,0),1,0)*Table_NFI[[#This Row],[Winter Clothes Adult]],Table_NFI[Winter Clothes Adult])</f>
        <v>0</v>
      </c>
      <c r="AJ358" s="352">
        <f>IF(NFI_Expiration=1,IF($A358&lt;VLOOKUP(S$5,NFI,5,0),1,0)*Table_NFI[[#This Row],[Winter Clothes Children]],Table_NFI[Winter Clothes Children])</f>
        <v>0</v>
      </c>
      <c r="AK358" s="352">
        <f>IF(NFI_Expiration=1,IF($A358&lt;VLOOKUP(T$5,NFI,5,0),1,0)*Table_NFI[[#This Row],[Winter Items Other]],Table_NFI[Winter Items Other])</f>
        <v>0</v>
      </c>
      <c r="AL358" s="352">
        <f>IF(NFI_Expiration=1,IF($A358&lt;VLOOKUP(M$5,NFI,5,0),1,0)*Table_NFI[[#This Row],[Winter Blanket]],Table_NFI[[#This Row],[Winter Blanket]])</f>
        <v>0</v>
      </c>
      <c r="AM358" s="352">
        <f>IF(Table_NFI[[#This Row],[Winter Clothes Adult]]+Table_NFI[[#This Row],[Winter Clothes Children]]+Table_NFI[[#This Row],[Winter Items Other]]+Table_NFI[[#This Row],[Winter Blanket]]&gt;0,1,0)</f>
        <v>0</v>
      </c>
      <c r="AN358" s="392">
        <f>IF(NFI_Expiration=1,IF($A358&lt;VLOOKUP(V$5,NFI,5,0),1,0)*Table_NFI[[#This Row],[Jerry Can]],Table_NFI[Jerry Can])</f>
        <v>0</v>
      </c>
      <c r="AO358" s="540" t="str">
        <f>IFERROR(VLOOKUP(Table_NFI[[#This Row],[Camp Name]],CL,2,0),"")</f>
        <v>MMR001CMP071</v>
      </c>
      <c r="AP358" s="535">
        <f ca="1">IF(Table_NFI[[#This Row],[Pcode]]="","",IF(OFFSET(CampList[Opening Date],MATCH(Table_NFI[[#This Row],[Pcode]],CampList[CP_Pcode],0)-1,0,1,1)&gt;=NFI_Monitor_Date,1,0))</f>
        <v>0</v>
      </c>
      <c r="AQ358" s="540" t="str">
        <f>IFERROR(VLOOKUP(Table_NFI[[#This Row],[Camp Name]],CL,3,0),"")</f>
        <v>Open</v>
      </c>
      <c r="AR358" s="352" t="str">
        <f ca="1">IF(Table_NFI[[#This Row],[Pcode]]="","",OFFSET(CampList[Priority],MATCH(Table_NFI[[#This Row],[Pcode]],CampList[CP_Pcode],0)-1,0,1,1))</f>
        <v>P3</v>
      </c>
      <c r="AS358" s="351">
        <f>IFERROR(Table_NFI[[#This Row],[Kitchen Set]]/VLOOKUP(Table_NFI[[#This Row],[Camp Name]],CL,4,0),"")</f>
        <v>0</v>
      </c>
      <c r="AT358" s="533"/>
      <c r="AU358" s="536"/>
    </row>
    <row r="359" spans="1:47" s="537" customFormat="1" hidden="1" x14ac:dyDescent="0.25">
      <c r="A359" s="355">
        <f t="shared" si="5"/>
        <v>16.533333333333335</v>
      </c>
      <c r="B359" s="532">
        <v>42075</v>
      </c>
      <c r="C359" s="533" t="s">
        <v>907</v>
      </c>
      <c r="D359" s="534" t="s">
        <v>907</v>
      </c>
      <c r="E359" s="533" t="s">
        <v>380</v>
      </c>
      <c r="F359" s="348" t="s">
        <v>185</v>
      </c>
      <c r="G359" s="348" t="s">
        <v>186</v>
      </c>
      <c r="H359" s="349"/>
      <c r="I359" s="349"/>
      <c r="J359" s="350"/>
      <c r="K359" s="349"/>
      <c r="L359" s="350"/>
      <c r="M359" s="350"/>
      <c r="N359" s="350"/>
      <c r="O359" s="350"/>
      <c r="P359" s="352"/>
      <c r="Q359" s="392"/>
      <c r="R359" s="392"/>
      <c r="S359" s="392"/>
      <c r="T359" s="392"/>
      <c r="U359" s="392"/>
      <c r="V359" s="497"/>
      <c r="W359" s="392"/>
      <c r="X359" s="392"/>
      <c r="Y359" s="352">
        <f>IF(NFI_Expiration=1,IF($A359&lt;VLOOKUP(H$5,NFI,5,0),1,0)*Table_NFI[[#This Row],[Hygiene Kit]],Table_NFI[Hygiene Kit])</f>
        <v>0</v>
      </c>
      <c r="Z359" s="352">
        <f>IF(NFI_Expiration=1,IF($A359&lt;VLOOKUP(I$5,NFI,5,0),1,0)*Table_NFI[[#This Row],[NFI Core Kit]],Table_NFI[NFI Core Kit])</f>
        <v>0</v>
      </c>
      <c r="AA359" s="352">
        <f>IF(NFI_Expiration=1,IF($A359&lt;VLOOKUP(J$5,NFI,5,0),1,0)*Table_NFI[[#This Row],[Sanitary Kit]],Table_NFI[Sanitary Kit])</f>
        <v>0</v>
      </c>
      <c r="AB359" s="352">
        <f>IF(NFI_Expiration=1,IF($A359&lt;VLOOKUP(K$5,NFI,5,0),1,0)*Table_NFI[[#This Row],[Mosquito net]],Table_NFI[Mosquito net])</f>
        <v>0</v>
      </c>
      <c r="AC359" s="352">
        <f>IF(NFI_Expiration=1,IF($A359&lt;VLOOKUP(L$5,NFI,5,0),1,0)*Table_NFI[[#This Row],[Tarpaulin]],Table_NFI[[#This Row],[Tarpaulin]])</f>
        <v>0</v>
      </c>
      <c r="AD359" s="352">
        <f>IF(NFI_Expiration=1,IF($A359&lt;VLOOKUP(M$5,NFI,5,0),1,0)*Table_NFI[[#This Row],[Blanket]],Table_NFI[[#This Row],[Blanket]])</f>
        <v>0</v>
      </c>
      <c r="AE359" s="352">
        <f>IF(NFI_Expiration=1,IF($A359&lt;VLOOKUP(N$5,NFI,5,0),1,0)*Table_NFI[[#This Row],[Kitchen Set]],Table_NFI[Kitchen Set])</f>
        <v>0</v>
      </c>
      <c r="AF359" s="352">
        <f>IF(NFI_Expiration=1,IF($A359&lt;VLOOKUP(O$5,NFI,5,0),1,0)*Table_NFI[[#This Row],[Clothes Kit]],Table_NFI[Clothes Kit])</f>
        <v>0</v>
      </c>
      <c r="AG359" s="352">
        <f>IF(NFI_Expiration=1,IF($A359&lt;VLOOKUP(P$5,NFI,5,0),1,0)*Table_NFI[[#This Row],[Plastic Bucket]],Table_NFI[Plastic Bucket])</f>
        <v>0</v>
      </c>
      <c r="AH359" s="352">
        <f>IF(NFI_Expiration=1,IF($A359&lt;VLOOKUP(Q$5,NFI,5,0),1,0)*Table_NFI[[#This Row],[Plastic Mat]],Table_NFI[Plastic Mat])*IF(Table_NFI[[#This Row],[Distribution Date]]&gt;"2014-04-01",1,2.5)</f>
        <v>0</v>
      </c>
      <c r="AI359" s="352">
        <f>IF(NFI_Expiration=1,IF($A359&lt;VLOOKUP(R$5,NFI,5,0),1,0)*Table_NFI[[#This Row],[Winter Clothes Adult]],Table_NFI[Winter Clothes Adult])</f>
        <v>0</v>
      </c>
      <c r="AJ359" s="352">
        <f>IF(NFI_Expiration=1,IF($A359&lt;VLOOKUP(S$5,NFI,5,0),1,0)*Table_NFI[[#This Row],[Winter Clothes Children]],Table_NFI[Winter Clothes Children])</f>
        <v>0</v>
      </c>
      <c r="AK359" s="352">
        <f>IF(NFI_Expiration=1,IF($A359&lt;VLOOKUP(T$5,NFI,5,0),1,0)*Table_NFI[[#This Row],[Winter Items Other]],Table_NFI[Winter Items Other])</f>
        <v>0</v>
      </c>
      <c r="AL359" s="352">
        <f>IF(NFI_Expiration=1,IF($A359&lt;VLOOKUP(M$5,NFI,5,0),1,0)*Table_NFI[[#This Row],[Winter Blanket]],Table_NFI[[#This Row],[Winter Blanket]])</f>
        <v>0</v>
      </c>
      <c r="AM359" s="352">
        <f>IF(Table_NFI[[#This Row],[Winter Clothes Adult]]+Table_NFI[[#This Row],[Winter Clothes Children]]+Table_NFI[[#This Row],[Winter Items Other]]+Table_NFI[[#This Row],[Winter Blanket]]&gt;0,1,0)</f>
        <v>0</v>
      </c>
      <c r="AN359" s="392">
        <f>IF(NFI_Expiration=1,IF($A359&lt;VLOOKUP(V$5,NFI,5,0),1,0)*Table_NFI[[#This Row],[Jerry Can]],Table_NFI[Jerry Can])</f>
        <v>0</v>
      </c>
      <c r="AO359" s="540" t="str">
        <f>IFERROR(VLOOKUP(Table_NFI[[#This Row],[Camp Name]],CL,2,0),"")</f>
        <v>MMR001CMP071</v>
      </c>
      <c r="AP359" s="535">
        <f ca="1">IF(Table_NFI[[#This Row],[Pcode]]="","",IF(OFFSET(CampList[Opening Date],MATCH(Table_NFI[[#This Row],[Pcode]],CampList[CP_Pcode],0)-1,0,1,1)&gt;=NFI_Monitor_Date,1,0))</f>
        <v>0</v>
      </c>
      <c r="AQ359" s="540" t="str">
        <f>IFERROR(VLOOKUP(Table_NFI[[#This Row],[Camp Name]],CL,3,0),"")</f>
        <v>Open</v>
      </c>
      <c r="AR359" s="352" t="str">
        <f ca="1">IF(Table_NFI[[#This Row],[Pcode]]="","",OFFSET(CampList[Priority],MATCH(Table_NFI[[#This Row],[Pcode]],CampList[CP_Pcode],0)-1,0,1,1))</f>
        <v>P3</v>
      </c>
      <c r="AS359" s="351">
        <f>IFERROR(Table_NFI[[#This Row],[Kitchen Set]]/VLOOKUP(Table_NFI[[#This Row],[Camp Name]],CL,4,0),"")</f>
        <v>0</v>
      </c>
      <c r="AT359" s="533"/>
      <c r="AU359" s="536"/>
    </row>
    <row r="360" spans="1:47" s="537" customFormat="1" hidden="1" x14ac:dyDescent="0.25">
      <c r="A360" s="355">
        <f t="shared" si="5"/>
        <v>7.2666666666666666</v>
      </c>
      <c r="B360" s="532">
        <v>42353</v>
      </c>
      <c r="C360" s="533" t="s">
        <v>907</v>
      </c>
      <c r="D360" s="534" t="s">
        <v>907</v>
      </c>
      <c r="E360" s="533" t="s">
        <v>380</v>
      </c>
      <c r="F360" s="348" t="s">
        <v>185</v>
      </c>
      <c r="G360" s="348" t="s">
        <v>186</v>
      </c>
      <c r="H360" s="349"/>
      <c r="I360" s="349"/>
      <c r="J360" s="350"/>
      <c r="K360" s="349"/>
      <c r="L360" s="350"/>
      <c r="M360" s="350"/>
      <c r="N360" s="350"/>
      <c r="O360" s="350"/>
      <c r="P360" s="352"/>
      <c r="Q360" s="392"/>
      <c r="R360" s="392"/>
      <c r="S360" s="392"/>
      <c r="T360" s="392"/>
      <c r="U360" s="392"/>
      <c r="V360" s="497"/>
      <c r="W360" s="392"/>
      <c r="X360" s="392"/>
      <c r="Y360" s="352">
        <f>IF(NFI_Expiration=1,IF($A360&lt;VLOOKUP(H$5,NFI,5,0),1,0)*Table_NFI[[#This Row],[Hygiene Kit]],Table_NFI[Hygiene Kit])</f>
        <v>0</v>
      </c>
      <c r="Z360" s="352">
        <f>IF(NFI_Expiration=1,IF($A360&lt;VLOOKUP(I$5,NFI,5,0),1,0)*Table_NFI[[#This Row],[NFI Core Kit]],Table_NFI[NFI Core Kit])</f>
        <v>0</v>
      </c>
      <c r="AA360" s="352">
        <f>IF(NFI_Expiration=1,IF($A360&lt;VLOOKUP(J$5,NFI,5,0),1,0)*Table_NFI[[#This Row],[Sanitary Kit]],Table_NFI[Sanitary Kit])</f>
        <v>0</v>
      </c>
      <c r="AB360" s="352">
        <f>IF(NFI_Expiration=1,IF($A360&lt;VLOOKUP(K$5,NFI,5,0),1,0)*Table_NFI[[#This Row],[Mosquito net]],Table_NFI[Mosquito net])</f>
        <v>0</v>
      </c>
      <c r="AC360" s="352">
        <f>IF(NFI_Expiration=1,IF($A360&lt;VLOOKUP(L$5,NFI,5,0),1,0)*Table_NFI[[#This Row],[Tarpaulin]],Table_NFI[[#This Row],[Tarpaulin]])</f>
        <v>0</v>
      </c>
      <c r="AD360" s="352">
        <f>IF(NFI_Expiration=1,IF($A360&lt;VLOOKUP(M$5,NFI,5,0),1,0)*Table_NFI[[#This Row],[Blanket]],Table_NFI[[#This Row],[Blanket]])</f>
        <v>0</v>
      </c>
      <c r="AE360" s="352">
        <f>IF(NFI_Expiration=1,IF($A360&lt;VLOOKUP(N$5,NFI,5,0),1,0)*Table_NFI[[#This Row],[Kitchen Set]],Table_NFI[Kitchen Set])</f>
        <v>0</v>
      </c>
      <c r="AF360" s="352">
        <f>IF(NFI_Expiration=1,IF($A360&lt;VLOOKUP(O$5,NFI,5,0),1,0)*Table_NFI[[#This Row],[Clothes Kit]],Table_NFI[Clothes Kit])</f>
        <v>0</v>
      </c>
      <c r="AG360" s="352">
        <f>IF(NFI_Expiration=1,IF($A360&lt;VLOOKUP(P$5,NFI,5,0),1,0)*Table_NFI[[#This Row],[Plastic Bucket]],Table_NFI[Plastic Bucket])</f>
        <v>0</v>
      </c>
      <c r="AH360" s="352">
        <f>IF(NFI_Expiration=1,IF($A360&lt;VLOOKUP(Q$5,NFI,5,0),1,0)*Table_NFI[[#This Row],[Plastic Mat]],Table_NFI[Plastic Mat])*IF(Table_NFI[[#This Row],[Distribution Date]]&gt;"2014-04-01",1,2.5)</f>
        <v>0</v>
      </c>
      <c r="AI360" s="352">
        <f>IF(NFI_Expiration=1,IF($A360&lt;VLOOKUP(R$5,NFI,5,0),1,0)*Table_NFI[[#This Row],[Winter Clothes Adult]],Table_NFI[Winter Clothes Adult])</f>
        <v>0</v>
      </c>
      <c r="AJ360" s="352">
        <f>IF(NFI_Expiration=1,IF($A360&lt;VLOOKUP(S$5,NFI,5,0),1,0)*Table_NFI[[#This Row],[Winter Clothes Children]],Table_NFI[Winter Clothes Children])</f>
        <v>0</v>
      </c>
      <c r="AK360" s="352">
        <f>IF(NFI_Expiration=1,IF($A360&lt;VLOOKUP(T$5,NFI,5,0),1,0)*Table_NFI[[#This Row],[Winter Items Other]],Table_NFI[Winter Items Other])</f>
        <v>0</v>
      </c>
      <c r="AL360" s="352">
        <f>IF(NFI_Expiration=1,IF($A360&lt;VLOOKUP(M$5,NFI,5,0),1,0)*Table_NFI[[#This Row],[Winter Blanket]],Table_NFI[[#This Row],[Winter Blanket]])</f>
        <v>0</v>
      </c>
      <c r="AM360" s="352">
        <f>IF(Table_NFI[[#This Row],[Winter Clothes Adult]]+Table_NFI[[#This Row],[Winter Clothes Children]]+Table_NFI[[#This Row],[Winter Items Other]]+Table_NFI[[#This Row],[Winter Blanket]]&gt;0,1,0)</f>
        <v>0</v>
      </c>
      <c r="AN360" s="392">
        <f>IF(NFI_Expiration=1,IF($A360&lt;VLOOKUP(V$5,NFI,5,0),1,0)*Table_NFI[[#This Row],[Jerry Can]],Table_NFI[Jerry Can])</f>
        <v>0</v>
      </c>
      <c r="AO360" s="540" t="str">
        <f>IFERROR(VLOOKUP(Table_NFI[[#This Row],[Camp Name]],CL,2,0),"")</f>
        <v>MMR001CMP071</v>
      </c>
      <c r="AP360" s="535">
        <f ca="1">IF(Table_NFI[[#This Row],[Pcode]]="","",IF(OFFSET(CampList[Opening Date],MATCH(Table_NFI[[#This Row],[Pcode]],CampList[CP_Pcode],0)-1,0,1,1)&gt;=NFI_Monitor_Date,1,0))</f>
        <v>0</v>
      </c>
      <c r="AQ360" s="540" t="str">
        <f>IFERROR(VLOOKUP(Table_NFI[[#This Row],[Camp Name]],CL,3,0),"")</f>
        <v>Open</v>
      </c>
      <c r="AR360" s="352" t="str">
        <f ca="1">IF(Table_NFI[[#This Row],[Pcode]]="","",OFFSET(CampList[Priority],MATCH(Table_NFI[[#This Row],[Pcode]],CampList[CP_Pcode],0)-1,0,1,1))</f>
        <v>P3</v>
      </c>
      <c r="AS360" s="351">
        <f>IFERROR(Table_NFI[[#This Row],[Kitchen Set]]/VLOOKUP(Table_NFI[[#This Row],[Camp Name]],CL,4,0),"")</f>
        <v>0</v>
      </c>
      <c r="AT360" s="533"/>
      <c r="AU360" s="536"/>
    </row>
    <row r="361" spans="1:47" s="537" customFormat="1" hidden="1" x14ac:dyDescent="0.25">
      <c r="A361" s="355">
        <f t="shared" si="5"/>
        <v>2.7</v>
      </c>
      <c r="B361" s="532">
        <v>42490</v>
      </c>
      <c r="C361" s="533" t="s">
        <v>907</v>
      </c>
      <c r="D361" s="534" t="s">
        <v>907</v>
      </c>
      <c r="E361" s="533" t="s">
        <v>380</v>
      </c>
      <c r="F361" s="348" t="s">
        <v>185</v>
      </c>
      <c r="G361" s="348" t="s">
        <v>186</v>
      </c>
      <c r="H361" s="349"/>
      <c r="I361" s="349"/>
      <c r="J361" s="350"/>
      <c r="K361" s="349"/>
      <c r="L361" s="350"/>
      <c r="M361" s="350"/>
      <c r="N361" s="350"/>
      <c r="O361" s="350"/>
      <c r="P361" s="352"/>
      <c r="Q361" s="392"/>
      <c r="R361" s="392"/>
      <c r="S361" s="392"/>
      <c r="T361" s="392"/>
      <c r="U361" s="392"/>
      <c r="V361" s="497"/>
      <c r="W361" s="392"/>
      <c r="X361" s="392"/>
      <c r="Y361" s="352">
        <f>IF(NFI_Expiration=1,IF($A361&lt;VLOOKUP(H$5,NFI,5,0),1,0)*Table_NFI[[#This Row],[Hygiene Kit]],Table_NFI[Hygiene Kit])</f>
        <v>0</v>
      </c>
      <c r="Z361" s="352">
        <f>IF(NFI_Expiration=1,IF($A361&lt;VLOOKUP(I$5,NFI,5,0),1,0)*Table_NFI[[#This Row],[NFI Core Kit]],Table_NFI[NFI Core Kit])</f>
        <v>0</v>
      </c>
      <c r="AA361" s="352">
        <f>IF(NFI_Expiration=1,IF($A361&lt;VLOOKUP(J$5,NFI,5,0),1,0)*Table_NFI[[#This Row],[Sanitary Kit]],Table_NFI[Sanitary Kit])</f>
        <v>0</v>
      </c>
      <c r="AB361" s="352">
        <f>IF(NFI_Expiration=1,IF($A361&lt;VLOOKUP(K$5,NFI,5,0),1,0)*Table_NFI[[#This Row],[Mosquito net]],Table_NFI[Mosquito net])</f>
        <v>0</v>
      </c>
      <c r="AC361" s="352">
        <f>IF(NFI_Expiration=1,IF($A361&lt;VLOOKUP(L$5,NFI,5,0),1,0)*Table_NFI[[#This Row],[Tarpaulin]],Table_NFI[[#This Row],[Tarpaulin]])</f>
        <v>0</v>
      </c>
      <c r="AD361" s="352">
        <f>IF(NFI_Expiration=1,IF($A361&lt;VLOOKUP(M$5,NFI,5,0),1,0)*Table_NFI[[#This Row],[Blanket]],Table_NFI[[#This Row],[Blanket]])</f>
        <v>0</v>
      </c>
      <c r="AE361" s="352">
        <f>IF(NFI_Expiration=1,IF($A361&lt;VLOOKUP(N$5,NFI,5,0),1,0)*Table_NFI[[#This Row],[Kitchen Set]],Table_NFI[Kitchen Set])</f>
        <v>0</v>
      </c>
      <c r="AF361" s="352">
        <f>IF(NFI_Expiration=1,IF($A361&lt;VLOOKUP(O$5,NFI,5,0),1,0)*Table_NFI[[#This Row],[Clothes Kit]],Table_NFI[Clothes Kit])</f>
        <v>0</v>
      </c>
      <c r="AG361" s="352">
        <f>IF(NFI_Expiration=1,IF($A361&lt;VLOOKUP(P$5,NFI,5,0),1,0)*Table_NFI[[#This Row],[Plastic Bucket]],Table_NFI[Plastic Bucket])</f>
        <v>0</v>
      </c>
      <c r="AH361" s="352">
        <f>IF(NFI_Expiration=1,IF($A361&lt;VLOOKUP(Q$5,NFI,5,0),1,0)*Table_NFI[[#This Row],[Plastic Mat]],Table_NFI[Plastic Mat])*IF(Table_NFI[[#This Row],[Distribution Date]]&gt;"2014-04-01",1,2.5)</f>
        <v>0</v>
      </c>
      <c r="AI361" s="352">
        <f>IF(NFI_Expiration=1,IF($A361&lt;VLOOKUP(R$5,NFI,5,0),1,0)*Table_NFI[[#This Row],[Winter Clothes Adult]],Table_NFI[Winter Clothes Adult])</f>
        <v>0</v>
      </c>
      <c r="AJ361" s="352">
        <f>IF(NFI_Expiration=1,IF($A361&lt;VLOOKUP(S$5,NFI,5,0),1,0)*Table_NFI[[#This Row],[Winter Clothes Children]],Table_NFI[Winter Clothes Children])</f>
        <v>0</v>
      </c>
      <c r="AK361" s="352">
        <f>IF(NFI_Expiration=1,IF($A361&lt;VLOOKUP(T$5,NFI,5,0),1,0)*Table_NFI[[#This Row],[Winter Items Other]],Table_NFI[Winter Items Other])</f>
        <v>0</v>
      </c>
      <c r="AL361" s="352">
        <f>IF(NFI_Expiration=1,IF($A361&lt;VLOOKUP(M$5,NFI,5,0),1,0)*Table_NFI[[#This Row],[Winter Blanket]],Table_NFI[[#This Row],[Winter Blanket]])</f>
        <v>0</v>
      </c>
      <c r="AM361" s="352">
        <f>IF(Table_NFI[[#This Row],[Winter Clothes Adult]]+Table_NFI[[#This Row],[Winter Clothes Children]]+Table_NFI[[#This Row],[Winter Items Other]]+Table_NFI[[#This Row],[Winter Blanket]]&gt;0,1,0)</f>
        <v>0</v>
      </c>
      <c r="AN361" s="392">
        <f>IF(NFI_Expiration=1,IF($A361&lt;VLOOKUP(V$5,NFI,5,0),1,0)*Table_NFI[[#This Row],[Jerry Can]],Table_NFI[Jerry Can])</f>
        <v>0</v>
      </c>
      <c r="AO361" s="540" t="str">
        <f>IFERROR(VLOOKUP(Table_NFI[[#This Row],[Camp Name]],CL,2,0),"")</f>
        <v>MMR001CMP071</v>
      </c>
      <c r="AP361" s="535">
        <f ca="1">IF(Table_NFI[[#This Row],[Pcode]]="","",IF(OFFSET(CampList[Opening Date],MATCH(Table_NFI[[#This Row],[Pcode]],CampList[CP_Pcode],0)-1,0,1,1)&gt;=NFI_Monitor_Date,1,0))</f>
        <v>0</v>
      </c>
      <c r="AQ361" s="540" t="str">
        <f>IFERROR(VLOOKUP(Table_NFI[[#This Row],[Camp Name]],CL,3,0),"")</f>
        <v>Open</v>
      </c>
      <c r="AR361" s="352" t="str">
        <f ca="1">IF(Table_NFI[[#This Row],[Pcode]]="","",OFFSET(CampList[Priority],MATCH(Table_NFI[[#This Row],[Pcode]],CampList[CP_Pcode],0)-1,0,1,1))</f>
        <v>P3</v>
      </c>
      <c r="AS361" s="351">
        <f>IFERROR(Table_NFI[[#This Row],[Kitchen Set]]/VLOOKUP(Table_NFI[[#This Row],[Camp Name]],CL,4,0),"")</f>
        <v>0</v>
      </c>
      <c r="AT361" s="533"/>
      <c r="AU361" s="536"/>
    </row>
    <row r="362" spans="1:47" s="537" customFormat="1" hidden="1" x14ac:dyDescent="0.25">
      <c r="A362" s="355">
        <f t="shared" si="5"/>
        <v>19.366666666666667</v>
      </c>
      <c r="B362" s="532">
        <v>41990</v>
      </c>
      <c r="C362" s="533" t="s">
        <v>907</v>
      </c>
      <c r="D362" s="533" t="s">
        <v>907</v>
      </c>
      <c r="E362" s="533" t="s">
        <v>380</v>
      </c>
      <c r="F362" s="533" t="s">
        <v>185</v>
      </c>
      <c r="G362" s="348" t="s">
        <v>223</v>
      </c>
      <c r="H362" s="349"/>
      <c r="I362" s="349"/>
      <c r="J362" s="350">
        <v>124</v>
      </c>
      <c r="K362" s="349"/>
      <c r="L362" s="350"/>
      <c r="M362" s="350"/>
      <c r="N362" s="350"/>
      <c r="O362" s="350"/>
      <c r="P362" s="352"/>
      <c r="Q362" s="392"/>
      <c r="R362" s="392"/>
      <c r="S362" s="392"/>
      <c r="T362" s="392"/>
      <c r="U362" s="392"/>
      <c r="V362" s="497"/>
      <c r="W362" s="392"/>
      <c r="X362" s="392"/>
      <c r="Y362" s="352">
        <f>IF(NFI_Expiration=1,IF($A362&lt;VLOOKUP(H$5,NFI,5,0),1,0)*Table_NFI[[#This Row],[Hygiene Kit]],Table_NFI[Hygiene Kit])</f>
        <v>0</v>
      </c>
      <c r="Z362" s="352">
        <f>IF(NFI_Expiration=1,IF($A362&lt;VLOOKUP(I$5,NFI,5,0),1,0)*Table_NFI[[#This Row],[NFI Core Kit]],Table_NFI[NFI Core Kit])</f>
        <v>0</v>
      </c>
      <c r="AA362" s="352">
        <f>IF(NFI_Expiration=1,IF($A362&lt;VLOOKUP(J$5,NFI,5,0),1,0)*Table_NFI[[#This Row],[Sanitary Kit]],Table_NFI[Sanitary Kit])</f>
        <v>0</v>
      </c>
      <c r="AB362" s="352">
        <f>IF(NFI_Expiration=1,IF($A362&lt;VLOOKUP(K$5,NFI,5,0),1,0)*Table_NFI[[#This Row],[Mosquito net]],Table_NFI[Mosquito net])</f>
        <v>0</v>
      </c>
      <c r="AC362" s="352">
        <f>IF(NFI_Expiration=1,IF($A362&lt;VLOOKUP(L$5,NFI,5,0),1,0)*Table_NFI[[#This Row],[Tarpaulin]],Table_NFI[[#This Row],[Tarpaulin]])</f>
        <v>0</v>
      </c>
      <c r="AD362" s="352">
        <f>IF(NFI_Expiration=1,IF($A362&lt;VLOOKUP(M$5,NFI,5,0),1,0)*Table_NFI[[#This Row],[Blanket]],Table_NFI[[#This Row],[Blanket]])</f>
        <v>0</v>
      </c>
      <c r="AE362" s="352">
        <f>IF(NFI_Expiration=1,IF($A362&lt;VLOOKUP(N$5,NFI,5,0),1,0)*Table_NFI[[#This Row],[Kitchen Set]],Table_NFI[Kitchen Set])</f>
        <v>0</v>
      </c>
      <c r="AF362" s="352">
        <f>IF(NFI_Expiration=1,IF($A362&lt;VLOOKUP(O$5,NFI,5,0),1,0)*Table_NFI[[#This Row],[Clothes Kit]],Table_NFI[Clothes Kit])</f>
        <v>0</v>
      </c>
      <c r="AG362" s="352">
        <f>IF(NFI_Expiration=1,IF($A362&lt;VLOOKUP(P$5,NFI,5,0),1,0)*Table_NFI[[#This Row],[Plastic Bucket]],Table_NFI[Plastic Bucket])</f>
        <v>0</v>
      </c>
      <c r="AH362" s="352">
        <f>IF(NFI_Expiration=1,IF($A362&lt;VLOOKUP(Q$5,NFI,5,0),1,0)*Table_NFI[[#This Row],[Plastic Mat]],Table_NFI[Plastic Mat])*IF(Table_NFI[[#This Row],[Distribution Date]]&gt;"2014-04-01",1,2.5)</f>
        <v>0</v>
      </c>
      <c r="AI362" s="352">
        <f>IF(NFI_Expiration=1,IF($A362&lt;VLOOKUP(R$5,NFI,5,0),1,0)*Table_NFI[[#This Row],[Winter Clothes Adult]],Table_NFI[Winter Clothes Adult])</f>
        <v>0</v>
      </c>
      <c r="AJ362" s="352">
        <f>IF(NFI_Expiration=1,IF($A362&lt;VLOOKUP(S$5,NFI,5,0),1,0)*Table_NFI[[#This Row],[Winter Clothes Children]],Table_NFI[Winter Clothes Children])</f>
        <v>0</v>
      </c>
      <c r="AK362" s="352">
        <f>IF(NFI_Expiration=1,IF($A362&lt;VLOOKUP(T$5,NFI,5,0),1,0)*Table_NFI[[#This Row],[Winter Items Other]],Table_NFI[Winter Items Other])</f>
        <v>0</v>
      </c>
      <c r="AL362" s="352">
        <f>IF(NFI_Expiration=1,IF($A362&lt;VLOOKUP(M$5,NFI,5,0),1,0)*Table_NFI[[#This Row],[Winter Blanket]],Table_NFI[[#This Row],[Winter Blanket]])</f>
        <v>0</v>
      </c>
      <c r="AM362" s="352">
        <f>IF(Table_NFI[[#This Row],[Winter Clothes Adult]]+Table_NFI[[#This Row],[Winter Clothes Children]]+Table_NFI[[#This Row],[Winter Items Other]]+Table_NFI[[#This Row],[Winter Blanket]]&gt;0,1,0)</f>
        <v>0</v>
      </c>
      <c r="AN362" s="392">
        <f>IF(NFI_Expiration=1,IF($A362&lt;VLOOKUP(V$5,NFI,5,0),1,0)*Table_NFI[[#This Row],[Jerry Can]],Table_NFI[Jerry Can])</f>
        <v>0</v>
      </c>
      <c r="AO362" s="540" t="str">
        <f>IFERROR(VLOOKUP(Table_NFI[[#This Row],[Camp Name]],CL,2,0),"")</f>
        <v>MMR001CMP069</v>
      </c>
      <c r="AP362" s="535">
        <f ca="1">IF(Table_NFI[[#This Row],[Pcode]]="","",IF(OFFSET(CampList[Opening Date],MATCH(Table_NFI[[#This Row],[Pcode]],CampList[CP_Pcode],0)-1,0,1,1)&gt;=NFI_Monitor_Date,1,0))</f>
        <v>0</v>
      </c>
      <c r="AQ362" s="540" t="str">
        <f>IFERROR(VLOOKUP(Table_NFI[[#This Row],[Camp Name]],CL,3,0),"")</f>
        <v>Open</v>
      </c>
      <c r="AR362" s="352" t="str">
        <f ca="1">IF(Table_NFI[[#This Row],[Pcode]]="","",OFFSET(CampList[Priority],MATCH(Table_NFI[[#This Row],[Pcode]],CampList[CP_Pcode],0)-1,0,1,1))</f>
        <v>P3</v>
      </c>
      <c r="AS362" s="351">
        <f>IFERROR(Table_NFI[[#This Row],[Kitchen Set]]/VLOOKUP(Table_NFI[[#This Row],[Camp Name]],CL,4,0),"")</f>
        <v>0</v>
      </c>
      <c r="AT362" s="533"/>
      <c r="AU362" s="536"/>
    </row>
    <row r="363" spans="1:47" s="537" customFormat="1" hidden="1" x14ac:dyDescent="0.25">
      <c r="A363" s="355">
        <f t="shared" si="5"/>
        <v>13.766666666666667</v>
      </c>
      <c r="B363" s="532">
        <v>42158</v>
      </c>
      <c r="C363" s="533" t="s">
        <v>907</v>
      </c>
      <c r="D363" s="533" t="s">
        <v>907</v>
      </c>
      <c r="E363" s="533" t="s">
        <v>380</v>
      </c>
      <c r="F363" s="533" t="s">
        <v>185</v>
      </c>
      <c r="G363" s="348" t="s">
        <v>223</v>
      </c>
      <c r="H363" s="349"/>
      <c r="I363" s="349"/>
      <c r="J363" s="350">
        <v>115</v>
      </c>
      <c r="K363" s="349"/>
      <c r="L363" s="350"/>
      <c r="M363" s="350"/>
      <c r="N363" s="350"/>
      <c r="O363" s="350"/>
      <c r="P363" s="352"/>
      <c r="Q363" s="392"/>
      <c r="R363" s="392"/>
      <c r="S363" s="392"/>
      <c r="T363" s="392"/>
      <c r="U363" s="392"/>
      <c r="V363" s="497"/>
      <c r="W363" s="392"/>
      <c r="X363" s="392"/>
      <c r="Y363" s="352">
        <f>IF(NFI_Expiration=1,IF($A363&lt;VLOOKUP(H$5,NFI,5,0),1,0)*Table_NFI[[#This Row],[Hygiene Kit]],Table_NFI[Hygiene Kit])</f>
        <v>0</v>
      </c>
      <c r="Z363" s="352">
        <f>IF(NFI_Expiration=1,IF($A363&lt;VLOOKUP(I$5,NFI,5,0),1,0)*Table_NFI[[#This Row],[NFI Core Kit]],Table_NFI[NFI Core Kit])</f>
        <v>0</v>
      </c>
      <c r="AA363" s="352">
        <f>IF(NFI_Expiration=1,IF($A363&lt;VLOOKUP(J$5,NFI,5,0),1,0)*Table_NFI[[#This Row],[Sanitary Kit]],Table_NFI[Sanitary Kit])</f>
        <v>0</v>
      </c>
      <c r="AB363" s="352">
        <f>IF(NFI_Expiration=1,IF($A363&lt;VLOOKUP(K$5,NFI,5,0),1,0)*Table_NFI[[#This Row],[Mosquito net]],Table_NFI[Mosquito net])</f>
        <v>0</v>
      </c>
      <c r="AC363" s="352">
        <f>IF(NFI_Expiration=1,IF($A363&lt;VLOOKUP(L$5,NFI,5,0),1,0)*Table_NFI[[#This Row],[Tarpaulin]],Table_NFI[[#This Row],[Tarpaulin]])</f>
        <v>0</v>
      </c>
      <c r="AD363" s="352">
        <f>IF(NFI_Expiration=1,IF($A363&lt;VLOOKUP(M$5,NFI,5,0),1,0)*Table_NFI[[#This Row],[Blanket]],Table_NFI[[#This Row],[Blanket]])</f>
        <v>0</v>
      </c>
      <c r="AE363" s="352">
        <f>IF(NFI_Expiration=1,IF($A363&lt;VLOOKUP(N$5,NFI,5,0),1,0)*Table_NFI[[#This Row],[Kitchen Set]],Table_NFI[Kitchen Set])</f>
        <v>0</v>
      </c>
      <c r="AF363" s="352">
        <f>IF(NFI_Expiration=1,IF($A363&lt;VLOOKUP(O$5,NFI,5,0),1,0)*Table_NFI[[#This Row],[Clothes Kit]],Table_NFI[Clothes Kit])</f>
        <v>0</v>
      </c>
      <c r="AG363" s="352">
        <f>IF(NFI_Expiration=1,IF($A363&lt;VLOOKUP(P$5,NFI,5,0),1,0)*Table_NFI[[#This Row],[Plastic Bucket]],Table_NFI[Plastic Bucket])</f>
        <v>0</v>
      </c>
      <c r="AH363" s="352">
        <f>IF(NFI_Expiration=1,IF($A363&lt;VLOOKUP(Q$5,NFI,5,0),1,0)*Table_NFI[[#This Row],[Plastic Mat]],Table_NFI[Plastic Mat])*IF(Table_NFI[[#This Row],[Distribution Date]]&gt;"2014-04-01",1,2.5)</f>
        <v>0</v>
      </c>
      <c r="AI363" s="352">
        <f>IF(NFI_Expiration=1,IF($A363&lt;VLOOKUP(R$5,NFI,5,0),1,0)*Table_NFI[[#This Row],[Winter Clothes Adult]],Table_NFI[Winter Clothes Adult])</f>
        <v>0</v>
      </c>
      <c r="AJ363" s="352">
        <f>IF(NFI_Expiration=1,IF($A363&lt;VLOOKUP(S$5,NFI,5,0),1,0)*Table_NFI[[#This Row],[Winter Clothes Children]],Table_NFI[Winter Clothes Children])</f>
        <v>0</v>
      </c>
      <c r="AK363" s="352">
        <f>IF(NFI_Expiration=1,IF($A363&lt;VLOOKUP(T$5,NFI,5,0),1,0)*Table_NFI[[#This Row],[Winter Items Other]],Table_NFI[Winter Items Other])</f>
        <v>0</v>
      </c>
      <c r="AL363" s="352">
        <f>IF(NFI_Expiration=1,IF($A363&lt;VLOOKUP(M$5,NFI,5,0),1,0)*Table_NFI[[#This Row],[Winter Blanket]],Table_NFI[[#This Row],[Winter Blanket]])</f>
        <v>0</v>
      </c>
      <c r="AM363" s="352">
        <f>IF(Table_NFI[[#This Row],[Winter Clothes Adult]]+Table_NFI[[#This Row],[Winter Clothes Children]]+Table_NFI[[#This Row],[Winter Items Other]]+Table_NFI[[#This Row],[Winter Blanket]]&gt;0,1,0)</f>
        <v>0</v>
      </c>
      <c r="AN363" s="392">
        <f>IF(NFI_Expiration=1,IF($A363&lt;VLOOKUP(V$5,NFI,5,0),1,0)*Table_NFI[[#This Row],[Jerry Can]],Table_NFI[Jerry Can])</f>
        <v>0</v>
      </c>
      <c r="AO363" s="540" t="str">
        <f>IFERROR(VLOOKUP(Table_NFI[[#This Row],[Camp Name]],CL,2,0),"")</f>
        <v>MMR001CMP069</v>
      </c>
      <c r="AP363" s="535">
        <f ca="1">IF(Table_NFI[[#This Row],[Pcode]]="","",IF(OFFSET(CampList[Opening Date],MATCH(Table_NFI[[#This Row],[Pcode]],CampList[CP_Pcode],0)-1,0,1,1)&gt;=NFI_Monitor_Date,1,0))</f>
        <v>0</v>
      </c>
      <c r="AQ363" s="540" t="str">
        <f>IFERROR(VLOOKUP(Table_NFI[[#This Row],[Camp Name]],CL,3,0),"")</f>
        <v>Open</v>
      </c>
      <c r="AR363" s="352" t="str">
        <f ca="1">IF(Table_NFI[[#This Row],[Pcode]]="","",OFFSET(CampList[Priority],MATCH(Table_NFI[[#This Row],[Pcode]],CampList[CP_Pcode],0)-1,0,1,1))</f>
        <v>P3</v>
      </c>
      <c r="AS363" s="351">
        <f>IFERROR(Table_NFI[[#This Row],[Kitchen Set]]/VLOOKUP(Table_NFI[[#This Row],[Camp Name]],CL,4,0),"")</f>
        <v>0</v>
      </c>
      <c r="AT363" s="533"/>
      <c r="AU363" s="536"/>
    </row>
    <row r="364" spans="1:47" s="537" customFormat="1" hidden="1" x14ac:dyDescent="0.25">
      <c r="A364" s="355">
        <f t="shared" si="5"/>
        <v>5.5666666666666664</v>
      </c>
      <c r="B364" s="532">
        <v>42404</v>
      </c>
      <c r="C364" s="533" t="s">
        <v>907</v>
      </c>
      <c r="D364" s="533" t="s">
        <v>907</v>
      </c>
      <c r="E364" s="533" t="s">
        <v>380</v>
      </c>
      <c r="F364" s="533" t="s">
        <v>185</v>
      </c>
      <c r="G364" s="348" t="s">
        <v>223</v>
      </c>
      <c r="H364" s="349"/>
      <c r="I364" s="349"/>
      <c r="J364" s="350">
        <v>71</v>
      </c>
      <c r="K364" s="349"/>
      <c r="L364" s="350"/>
      <c r="M364" s="350"/>
      <c r="N364" s="350"/>
      <c r="O364" s="350"/>
      <c r="P364" s="352"/>
      <c r="Q364" s="392"/>
      <c r="R364" s="392"/>
      <c r="S364" s="392"/>
      <c r="T364" s="392"/>
      <c r="U364" s="392"/>
      <c r="V364" s="497"/>
      <c r="W364" s="392"/>
      <c r="X364" s="392"/>
      <c r="Y364" s="352">
        <f>IF(NFI_Expiration=1,IF($A364&lt;VLOOKUP(H$5,NFI,5,0),1,0)*Table_NFI[[#This Row],[Hygiene Kit]],Table_NFI[Hygiene Kit])</f>
        <v>0</v>
      </c>
      <c r="Z364" s="352">
        <f>IF(NFI_Expiration=1,IF($A364&lt;VLOOKUP(I$5,NFI,5,0),1,0)*Table_NFI[[#This Row],[NFI Core Kit]],Table_NFI[NFI Core Kit])</f>
        <v>0</v>
      </c>
      <c r="AA364" s="352">
        <f>IF(NFI_Expiration=1,IF($A364&lt;VLOOKUP(J$5,NFI,5,0),1,0)*Table_NFI[[#This Row],[Sanitary Kit]],Table_NFI[Sanitary Kit])</f>
        <v>71</v>
      </c>
      <c r="AB364" s="352">
        <f>IF(NFI_Expiration=1,IF($A364&lt;VLOOKUP(K$5,NFI,5,0),1,0)*Table_NFI[[#This Row],[Mosquito net]],Table_NFI[Mosquito net])</f>
        <v>0</v>
      </c>
      <c r="AC364" s="352">
        <f>IF(NFI_Expiration=1,IF($A364&lt;VLOOKUP(L$5,NFI,5,0),1,0)*Table_NFI[[#This Row],[Tarpaulin]],Table_NFI[[#This Row],[Tarpaulin]])</f>
        <v>0</v>
      </c>
      <c r="AD364" s="352">
        <f>IF(NFI_Expiration=1,IF($A364&lt;VLOOKUP(M$5,NFI,5,0),1,0)*Table_NFI[[#This Row],[Blanket]],Table_NFI[[#This Row],[Blanket]])</f>
        <v>0</v>
      </c>
      <c r="AE364" s="352">
        <f>IF(NFI_Expiration=1,IF($A364&lt;VLOOKUP(N$5,NFI,5,0),1,0)*Table_NFI[[#This Row],[Kitchen Set]],Table_NFI[Kitchen Set])</f>
        <v>0</v>
      </c>
      <c r="AF364" s="352">
        <f>IF(NFI_Expiration=1,IF($A364&lt;VLOOKUP(O$5,NFI,5,0),1,0)*Table_NFI[[#This Row],[Clothes Kit]],Table_NFI[Clothes Kit])</f>
        <v>0</v>
      </c>
      <c r="AG364" s="352">
        <f>IF(NFI_Expiration=1,IF($A364&lt;VLOOKUP(P$5,NFI,5,0),1,0)*Table_NFI[[#This Row],[Plastic Bucket]],Table_NFI[Plastic Bucket])</f>
        <v>0</v>
      </c>
      <c r="AH364" s="352">
        <f>IF(NFI_Expiration=1,IF($A364&lt;VLOOKUP(Q$5,NFI,5,0),1,0)*Table_NFI[[#This Row],[Plastic Mat]],Table_NFI[Plastic Mat])*IF(Table_NFI[[#This Row],[Distribution Date]]&gt;"2014-04-01",1,2.5)</f>
        <v>0</v>
      </c>
      <c r="AI364" s="352">
        <f>IF(NFI_Expiration=1,IF($A364&lt;VLOOKUP(R$5,NFI,5,0),1,0)*Table_NFI[[#This Row],[Winter Clothes Adult]],Table_NFI[Winter Clothes Adult])</f>
        <v>0</v>
      </c>
      <c r="AJ364" s="352">
        <f>IF(NFI_Expiration=1,IF($A364&lt;VLOOKUP(S$5,NFI,5,0),1,0)*Table_NFI[[#This Row],[Winter Clothes Children]],Table_NFI[Winter Clothes Children])</f>
        <v>0</v>
      </c>
      <c r="AK364" s="352">
        <f>IF(NFI_Expiration=1,IF($A364&lt;VLOOKUP(T$5,NFI,5,0),1,0)*Table_NFI[[#This Row],[Winter Items Other]],Table_NFI[Winter Items Other])</f>
        <v>0</v>
      </c>
      <c r="AL364" s="352">
        <f>IF(NFI_Expiration=1,IF($A364&lt;VLOOKUP(M$5,NFI,5,0),1,0)*Table_NFI[[#This Row],[Winter Blanket]],Table_NFI[[#This Row],[Winter Blanket]])</f>
        <v>0</v>
      </c>
      <c r="AM364" s="352">
        <f>IF(Table_NFI[[#This Row],[Winter Clothes Adult]]+Table_NFI[[#This Row],[Winter Clothes Children]]+Table_NFI[[#This Row],[Winter Items Other]]+Table_NFI[[#This Row],[Winter Blanket]]&gt;0,1,0)</f>
        <v>0</v>
      </c>
      <c r="AN364" s="392">
        <f>IF(NFI_Expiration=1,IF($A364&lt;VLOOKUP(V$5,NFI,5,0),1,0)*Table_NFI[[#This Row],[Jerry Can]],Table_NFI[Jerry Can])</f>
        <v>0</v>
      </c>
      <c r="AO364" s="540" t="str">
        <f>IFERROR(VLOOKUP(Table_NFI[[#This Row],[Camp Name]],CL,2,0),"")</f>
        <v>MMR001CMP069</v>
      </c>
      <c r="AP364" s="535">
        <f ca="1">IF(Table_NFI[[#This Row],[Pcode]]="","",IF(OFFSET(CampList[Opening Date],MATCH(Table_NFI[[#This Row],[Pcode]],CampList[CP_Pcode],0)-1,0,1,1)&gt;=NFI_Monitor_Date,1,0))</f>
        <v>0</v>
      </c>
      <c r="AQ364" s="540" t="str">
        <f>IFERROR(VLOOKUP(Table_NFI[[#This Row],[Camp Name]],CL,3,0),"")</f>
        <v>Open</v>
      </c>
      <c r="AR364" s="352" t="str">
        <f ca="1">IF(Table_NFI[[#This Row],[Pcode]]="","",OFFSET(CampList[Priority],MATCH(Table_NFI[[#This Row],[Pcode]],CampList[CP_Pcode],0)-1,0,1,1))</f>
        <v>P3</v>
      </c>
      <c r="AS364" s="351">
        <f>IFERROR(Table_NFI[[#This Row],[Kitchen Set]]/VLOOKUP(Table_NFI[[#This Row],[Camp Name]],CL,4,0),"")</f>
        <v>0</v>
      </c>
      <c r="AT364" s="533"/>
      <c r="AU364" s="536"/>
    </row>
    <row r="365" spans="1:47" s="537" customFormat="1" hidden="1" x14ac:dyDescent="0.25">
      <c r="A365" s="355">
        <f t="shared" si="5"/>
        <v>53.633333333333333</v>
      </c>
      <c r="B365" s="532">
        <v>40962</v>
      </c>
      <c r="C365" s="533" t="s">
        <v>907</v>
      </c>
      <c r="D365" s="533" t="s">
        <v>907</v>
      </c>
      <c r="E365" s="533" t="s">
        <v>380</v>
      </c>
      <c r="F365" s="533" t="s">
        <v>185</v>
      </c>
      <c r="G365" s="348" t="s">
        <v>223</v>
      </c>
      <c r="H365" s="352">
        <v>227</v>
      </c>
      <c r="I365" s="349"/>
      <c r="J365" s="349"/>
      <c r="K365" s="349"/>
      <c r="L365" s="350"/>
      <c r="M365" s="350"/>
      <c r="N365" s="350"/>
      <c r="O365" s="350"/>
      <c r="P365" s="352"/>
      <c r="Q365" s="392"/>
      <c r="R365" s="392"/>
      <c r="S365" s="392"/>
      <c r="T365" s="392"/>
      <c r="U365" s="392"/>
      <c r="V365" s="497"/>
      <c r="W365" s="392"/>
      <c r="X365" s="392"/>
      <c r="Y365" s="352">
        <f>IF(NFI_Expiration=1,IF($A365&lt;VLOOKUP(H$5,NFI,5,0),1,0)*Table_NFI[[#This Row],[Hygiene Kit]],Table_NFI[Hygiene Kit])</f>
        <v>0</v>
      </c>
      <c r="Z365" s="352">
        <f>IF(NFI_Expiration=1,IF($A365&lt;VLOOKUP(I$5,NFI,5,0),1,0)*Table_NFI[[#This Row],[NFI Core Kit]],Table_NFI[NFI Core Kit])</f>
        <v>0</v>
      </c>
      <c r="AA365" s="352">
        <f>IF(NFI_Expiration=1,IF($A365&lt;VLOOKUP(J$5,NFI,5,0),1,0)*Table_NFI[[#This Row],[Sanitary Kit]],Table_NFI[Sanitary Kit])</f>
        <v>0</v>
      </c>
      <c r="AB365" s="352">
        <f>IF(NFI_Expiration=1,IF($A365&lt;VLOOKUP(K$5,NFI,5,0),1,0)*Table_NFI[[#This Row],[Mosquito net]],Table_NFI[Mosquito net])</f>
        <v>0</v>
      </c>
      <c r="AC365" s="352">
        <f>IF(NFI_Expiration=1,IF($A365&lt;VLOOKUP(L$5,NFI,5,0),1,0)*Table_NFI[[#This Row],[Tarpaulin]],Table_NFI[[#This Row],[Tarpaulin]])</f>
        <v>0</v>
      </c>
      <c r="AD365" s="352">
        <f>IF(NFI_Expiration=1,IF($A365&lt;VLOOKUP(M$5,NFI,5,0),1,0)*Table_NFI[[#This Row],[Blanket]],Table_NFI[[#This Row],[Blanket]])</f>
        <v>0</v>
      </c>
      <c r="AE365" s="352">
        <f>IF(NFI_Expiration=1,IF($A365&lt;VLOOKUP(N$5,NFI,5,0),1,0)*Table_NFI[[#This Row],[Kitchen Set]],Table_NFI[Kitchen Set])</f>
        <v>0</v>
      </c>
      <c r="AF365" s="352">
        <f>IF(NFI_Expiration=1,IF($A365&lt;VLOOKUP(O$5,NFI,5,0),1,0)*Table_NFI[[#This Row],[Clothes Kit]],Table_NFI[Clothes Kit])</f>
        <v>0</v>
      </c>
      <c r="AG365" s="352">
        <f>IF(NFI_Expiration=1,IF($A365&lt;VLOOKUP(P$5,NFI,5,0),1,0)*Table_NFI[[#This Row],[Plastic Bucket]],Table_NFI[Plastic Bucket])</f>
        <v>0</v>
      </c>
      <c r="AH365" s="352">
        <f>IF(NFI_Expiration=1,IF($A365&lt;VLOOKUP(Q$5,NFI,5,0),1,0)*Table_NFI[[#This Row],[Plastic Mat]],Table_NFI[Plastic Mat])*IF(Table_NFI[[#This Row],[Distribution Date]]&gt;"2014-04-01",1,2.5)</f>
        <v>0</v>
      </c>
      <c r="AI365" s="352">
        <f>IF(NFI_Expiration=1,IF($A365&lt;VLOOKUP(R$5,NFI,5,0),1,0)*Table_NFI[[#This Row],[Winter Clothes Adult]],Table_NFI[Winter Clothes Adult])</f>
        <v>0</v>
      </c>
      <c r="AJ365" s="352">
        <f>IF(NFI_Expiration=1,IF($A365&lt;VLOOKUP(S$5,NFI,5,0),1,0)*Table_NFI[[#This Row],[Winter Clothes Children]],Table_NFI[Winter Clothes Children])</f>
        <v>0</v>
      </c>
      <c r="AK365" s="352">
        <f>IF(NFI_Expiration=1,IF($A365&lt;VLOOKUP(T$5,NFI,5,0),1,0)*Table_NFI[[#This Row],[Winter Items Other]],Table_NFI[Winter Items Other])</f>
        <v>0</v>
      </c>
      <c r="AL365" s="352">
        <f>IF(NFI_Expiration=1,IF($A365&lt;VLOOKUP(M$5,NFI,5,0),1,0)*Table_NFI[[#This Row],[Winter Blanket]],Table_NFI[[#This Row],[Winter Blanket]])</f>
        <v>0</v>
      </c>
      <c r="AM365" s="352">
        <f>IF(Table_NFI[[#This Row],[Winter Clothes Adult]]+Table_NFI[[#This Row],[Winter Clothes Children]]+Table_NFI[[#This Row],[Winter Items Other]]+Table_NFI[[#This Row],[Winter Blanket]]&gt;0,1,0)</f>
        <v>0</v>
      </c>
      <c r="AN365" s="392">
        <f>IF(NFI_Expiration=1,IF($A365&lt;VLOOKUP(V$5,NFI,5,0),1,0)*Table_NFI[[#This Row],[Jerry Can]],Table_NFI[Jerry Can])</f>
        <v>0</v>
      </c>
      <c r="AO365" s="540" t="str">
        <f>IFERROR(VLOOKUP(Table_NFI[[#This Row],[Camp Name]],CL,2,0),"")</f>
        <v>MMR001CMP069</v>
      </c>
      <c r="AP365" s="535">
        <f ca="1">IF(Table_NFI[[#This Row],[Pcode]]="","",IF(OFFSET(CampList[Opening Date],MATCH(Table_NFI[[#This Row],[Pcode]],CampList[CP_Pcode],0)-1,0,1,1)&gt;=NFI_Monitor_Date,1,0))</f>
        <v>0</v>
      </c>
      <c r="AQ365" s="540" t="str">
        <f>IFERROR(VLOOKUP(Table_NFI[[#This Row],[Camp Name]],CL,3,0),"")</f>
        <v>Open</v>
      </c>
      <c r="AR365" s="352" t="str">
        <f ca="1">IF(Table_NFI[[#This Row],[Pcode]]="","",OFFSET(CampList[Priority],MATCH(Table_NFI[[#This Row],[Pcode]],CampList[CP_Pcode],0)-1,0,1,1))</f>
        <v>P3</v>
      </c>
      <c r="AS365" s="351">
        <f>IFERROR(Table_NFI[[#This Row],[Kitchen Set]]/VLOOKUP(Table_NFI[[#This Row],[Camp Name]],CL,4,0),"")</f>
        <v>0</v>
      </c>
      <c r="AT365" s="533"/>
      <c r="AU365" s="536"/>
    </row>
    <row r="366" spans="1:47" s="537" customFormat="1" hidden="1" x14ac:dyDescent="0.25">
      <c r="A366" s="355">
        <f t="shared" si="5"/>
        <v>47.833333333333336</v>
      </c>
      <c r="B366" s="532">
        <v>41136</v>
      </c>
      <c r="C366" s="533" t="s">
        <v>907</v>
      </c>
      <c r="D366" s="533" t="s">
        <v>907</v>
      </c>
      <c r="E366" s="533" t="s">
        <v>380</v>
      </c>
      <c r="F366" s="533" t="s">
        <v>185</v>
      </c>
      <c r="G366" s="348" t="s">
        <v>223</v>
      </c>
      <c r="H366" s="352">
        <v>73</v>
      </c>
      <c r="I366" s="349"/>
      <c r="J366" s="349"/>
      <c r="K366" s="349"/>
      <c r="L366" s="350"/>
      <c r="M366" s="350"/>
      <c r="N366" s="350"/>
      <c r="O366" s="350"/>
      <c r="P366" s="352"/>
      <c r="Q366" s="392"/>
      <c r="R366" s="392"/>
      <c r="S366" s="392"/>
      <c r="T366" s="392"/>
      <c r="U366" s="392"/>
      <c r="V366" s="497"/>
      <c r="W366" s="392"/>
      <c r="X366" s="392"/>
      <c r="Y366" s="352">
        <f>IF(NFI_Expiration=1,IF($A366&lt;VLOOKUP(H$5,NFI,5,0),1,0)*Table_NFI[[#This Row],[Hygiene Kit]],Table_NFI[Hygiene Kit])</f>
        <v>0</v>
      </c>
      <c r="Z366" s="352">
        <f>IF(NFI_Expiration=1,IF($A366&lt;VLOOKUP(I$5,NFI,5,0),1,0)*Table_NFI[[#This Row],[NFI Core Kit]],Table_NFI[NFI Core Kit])</f>
        <v>0</v>
      </c>
      <c r="AA366" s="352">
        <f>IF(NFI_Expiration=1,IF($A366&lt;VLOOKUP(J$5,NFI,5,0),1,0)*Table_NFI[[#This Row],[Sanitary Kit]],Table_NFI[Sanitary Kit])</f>
        <v>0</v>
      </c>
      <c r="AB366" s="352">
        <f>IF(NFI_Expiration=1,IF($A366&lt;VLOOKUP(K$5,NFI,5,0),1,0)*Table_NFI[[#This Row],[Mosquito net]],Table_NFI[Mosquito net])</f>
        <v>0</v>
      </c>
      <c r="AC366" s="352">
        <f>IF(NFI_Expiration=1,IF($A366&lt;VLOOKUP(L$5,NFI,5,0),1,0)*Table_NFI[[#This Row],[Tarpaulin]],Table_NFI[[#This Row],[Tarpaulin]])</f>
        <v>0</v>
      </c>
      <c r="AD366" s="352">
        <f>IF(NFI_Expiration=1,IF($A366&lt;VLOOKUP(M$5,NFI,5,0),1,0)*Table_NFI[[#This Row],[Blanket]],Table_NFI[[#This Row],[Blanket]])</f>
        <v>0</v>
      </c>
      <c r="AE366" s="352">
        <f>IF(NFI_Expiration=1,IF($A366&lt;VLOOKUP(N$5,NFI,5,0),1,0)*Table_NFI[[#This Row],[Kitchen Set]],Table_NFI[Kitchen Set])</f>
        <v>0</v>
      </c>
      <c r="AF366" s="352">
        <f>IF(NFI_Expiration=1,IF($A366&lt;VLOOKUP(O$5,NFI,5,0),1,0)*Table_NFI[[#This Row],[Clothes Kit]],Table_NFI[Clothes Kit])</f>
        <v>0</v>
      </c>
      <c r="AG366" s="352">
        <f>IF(NFI_Expiration=1,IF($A366&lt;VLOOKUP(P$5,NFI,5,0),1,0)*Table_NFI[[#This Row],[Plastic Bucket]],Table_NFI[Plastic Bucket])</f>
        <v>0</v>
      </c>
      <c r="AH366" s="352">
        <f>IF(NFI_Expiration=1,IF($A366&lt;VLOOKUP(Q$5,NFI,5,0),1,0)*Table_NFI[[#This Row],[Plastic Mat]],Table_NFI[Plastic Mat])*IF(Table_NFI[[#This Row],[Distribution Date]]&gt;"2014-04-01",1,2.5)</f>
        <v>0</v>
      </c>
      <c r="AI366" s="352">
        <f>IF(NFI_Expiration=1,IF($A366&lt;VLOOKUP(R$5,NFI,5,0),1,0)*Table_NFI[[#This Row],[Winter Clothes Adult]],Table_NFI[Winter Clothes Adult])</f>
        <v>0</v>
      </c>
      <c r="AJ366" s="352">
        <f>IF(NFI_Expiration=1,IF($A366&lt;VLOOKUP(S$5,NFI,5,0),1,0)*Table_NFI[[#This Row],[Winter Clothes Children]],Table_NFI[Winter Clothes Children])</f>
        <v>0</v>
      </c>
      <c r="AK366" s="352">
        <f>IF(NFI_Expiration=1,IF($A366&lt;VLOOKUP(T$5,NFI,5,0),1,0)*Table_NFI[[#This Row],[Winter Items Other]],Table_NFI[Winter Items Other])</f>
        <v>0</v>
      </c>
      <c r="AL366" s="352">
        <f>IF(NFI_Expiration=1,IF($A366&lt;VLOOKUP(M$5,NFI,5,0),1,0)*Table_NFI[[#This Row],[Winter Blanket]],Table_NFI[[#This Row],[Winter Blanket]])</f>
        <v>0</v>
      </c>
      <c r="AM366" s="352">
        <f>IF(Table_NFI[[#This Row],[Winter Clothes Adult]]+Table_NFI[[#This Row],[Winter Clothes Children]]+Table_NFI[[#This Row],[Winter Items Other]]+Table_NFI[[#This Row],[Winter Blanket]]&gt;0,1,0)</f>
        <v>0</v>
      </c>
      <c r="AN366" s="392">
        <f>IF(NFI_Expiration=1,IF($A366&lt;VLOOKUP(V$5,NFI,5,0),1,0)*Table_NFI[[#This Row],[Jerry Can]],Table_NFI[Jerry Can])</f>
        <v>0</v>
      </c>
      <c r="AO366" s="540" t="str">
        <f>IFERROR(VLOOKUP(Table_NFI[[#This Row],[Camp Name]],CL,2,0),"")</f>
        <v>MMR001CMP069</v>
      </c>
      <c r="AP366" s="535">
        <f ca="1">IF(Table_NFI[[#This Row],[Pcode]]="","",IF(OFFSET(CampList[Opening Date],MATCH(Table_NFI[[#This Row],[Pcode]],CampList[CP_Pcode],0)-1,0,1,1)&gt;=NFI_Monitor_Date,1,0))</f>
        <v>0</v>
      </c>
      <c r="AQ366" s="540" t="str">
        <f>IFERROR(VLOOKUP(Table_NFI[[#This Row],[Camp Name]],CL,3,0),"")</f>
        <v>Open</v>
      </c>
      <c r="AR366" s="352" t="str">
        <f ca="1">IF(Table_NFI[[#This Row],[Pcode]]="","",OFFSET(CampList[Priority],MATCH(Table_NFI[[#This Row],[Pcode]],CampList[CP_Pcode],0)-1,0,1,1))</f>
        <v>P3</v>
      </c>
      <c r="AS366" s="351">
        <f>IFERROR(Table_NFI[[#This Row],[Kitchen Set]]/VLOOKUP(Table_NFI[[#This Row],[Camp Name]],CL,4,0),"")</f>
        <v>0</v>
      </c>
      <c r="AT366" s="533"/>
      <c r="AU366" s="536"/>
    </row>
    <row r="367" spans="1:47" s="537" customFormat="1" hidden="1" x14ac:dyDescent="0.25">
      <c r="A367" s="355">
        <f t="shared" si="5"/>
        <v>42.966666666666669</v>
      </c>
      <c r="B367" s="532">
        <v>41282</v>
      </c>
      <c r="C367" s="533" t="s">
        <v>907</v>
      </c>
      <c r="D367" s="533" t="s">
        <v>907</v>
      </c>
      <c r="E367" s="533" t="s">
        <v>380</v>
      </c>
      <c r="F367" s="533" t="s">
        <v>185</v>
      </c>
      <c r="G367" s="348" t="s">
        <v>223</v>
      </c>
      <c r="H367" s="349">
        <v>353</v>
      </c>
      <c r="I367" s="349"/>
      <c r="J367" s="349"/>
      <c r="K367" s="349"/>
      <c r="L367" s="350"/>
      <c r="M367" s="350"/>
      <c r="N367" s="350"/>
      <c r="O367" s="350"/>
      <c r="P367" s="352">
        <v>0</v>
      </c>
      <c r="Q367" s="352">
        <v>0</v>
      </c>
      <c r="R367" s="352"/>
      <c r="S367" s="352"/>
      <c r="T367" s="352"/>
      <c r="U367" s="352"/>
      <c r="V367" s="497"/>
      <c r="W367" s="352"/>
      <c r="X367" s="352"/>
      <c r="Y367" s="352">
        <f>IF(NFI_Expiration=1,IF($A367&lt;VLOOKUP(H$5,NFI,5,0),1,0)*Table_NFI[[#This Row],[Hygiene Kit]],Table_NFI[Hygiene Kit])</f>
        <v>0</v>
      </c>
      <c r="Z367" s="352">
        <f>IF(NFI_Expiration=1,IF($A367&lt;VLOOKUP(I$5,NFI,5,0),1,0)*Table_NFI[[#This Row],[NFI Core Kit]],Table_NFI[NFI Core Kit])</f>
        <v>0</v>
      </c>
      <c r="AA367" s="352">
        <f>IF(NFI_Expiration=1,IF($A367&lt;VLOOKUP(J$5,NFI,5,0),1,0)*Table_NFI[[#This Row],[Sanitary Kit]],Table_NFI[Sanitary Kit])</f>
        <v>0</v>
      </c>
      <c r="AB367" s="352">
        <f>IF(NFI_Expiration=1,IF($A367&lt;VLOOKUP(K$5,NFI,5,0),1,0)*Table_NFI[[#This Row],[Mosquito net]],Table_NFI[Mosquito net])</f>
        <v>0</v>
      </c>
      <c r="AC367" s="352">
        <f>IF(NFI_Expiration=1,IF($A367&lt;VLOOKUP(L$5,NFI,5,0),1,0)*Table_NFI[[#This Row],[Tarpaulin]],Table_NFI[[#This Row],[Tarpaulin]])</f>
        <v>0</v>
      </c>
      <c r="AD367" s="352">
        <f>IF(NFI_Expiration=1,IF($A367&lt;VLOOKUP(M$5,NFI,5,0),1,0)*Table_NFI[[#This Row],[Blanket]],Table_NFI[[#This Row],[Blanket]])</f>
        <v>0</v>
      </c>
      <c r="AE367" s="352">
        <f>IF(NFI_Expiration=1,IF($A367&lt;VLOOKUP(N$5,NFI,5,0),1,0)*Table_NFI[[#This Row],[Kitchen Set]],Table_NFI[Kitchen Set])</f>
        <v>0</v>
      </c>
      <c r="AF367" s="352">
        <f>IF(NFI_Expiration=1,IF($A367&lt;VLOOKUP(O$5,NFI,5,0),1,0)*Table_NFI[[#This Row],[Clothes Kit]],Table_NFI[Clothes Kit])</f>
        <v>0</v>
      </c>
      <c r="AG367" s="352">
        <f>IF(NFI_Expiration=1,IF($A367&lt;VLOOKUP(P$5,NFI,5,0),1,0)*Table_NFI[[#This Row],[Plastic Bucket]],Table_NFI[Plastic Bucket])</f>
        <v>0</v>
      </c>
      <c r="AH367" s="352">
        <f>IF(NFI_Expiration=1,IF($A367&lt;VLOOKUP(Q$5,NFI,5,0),1,0)*Table_NFI[[#This Row],[Plastic Mat]],Table_NFI[Plastic Mat])*IF(Table_NFI[[#This Row],[Distribution Date]]&gt;"2014-04-01",1,2.5)</f>
        <v>0</v>
      </c>
      <c r="AI367" s="352">
        <f>IF(NFI_Expiration=1,IF($A367&lt;VLOOKUP(R$5,NFI,5,0),1,0)*Table_NFI[[#This Row],[Winter Clothes Adult]],Table_NFI[Winter Clothes Adult])</f>
        <v>0</v>
      </c>
      <c r="AJ367" s="352">
        <f>IF(NFI_Expiration=1,IF($A367&lt;VLOOKUP(S$5,NFI,5,0),1,0)*Table_NFI[[#This Row],[Winter Clothes Children]],Table_NFI[Winter Clothes Children])</f>
        <v>0</v>
      </c>
      <c r="AK367" s="352">
        <f>IF(NFI_Expiration=1,IF($A367&lt;VLOOKUP(T$5,NFI,5,0),1,0)*Table_NFI[[#This Row],[Winter Items Other]],Table_NFI[Winter Items Other])</f>
        <v>0</v>
      </c>
      <c r="AL367" s="352">
        <f>IF(NFI_Expiration=1,IF($A367&lt;VLOOKUP(M$5,NFI,5,0),1,0)*Table_NFI[[#This Row],[Winter Blanket]],Table_NFI[[#This Row],[Winter Blanket]])</f>
        <v>0</v>
      </c>
      <c r="AM367" s="352">
        <f>IF(Table_NFI[[#This Row],[Winter Clothes Adult]]+Table_NFI[[#This Row],[Winter Clothes Children]]+Table_NFI[[#This Row],[Winter Items Other]]+Table_NFI[[#This Row],[Winter Blanket]]&gt;0,1,0)</f>
        <v>0</v>
      </c>
      <c r="AN367" s="392">
        <f>IF(NFI_Expiration=1,IF($A367&lt;VLOOKUP(V$5,NFI,5,0),1,0)*Table_NFI[[#This Row],[Jerry Can]],Table_NFI[Jerry Can])</f>
        <v>0</v>
      </c>
      <c r="AO367" s="540" t="str">
        <f>IFERROR(VLOOKUP(Table_NFI[[#This Row],[Camp Name]],CL,2,0),"")</f>
        <v>MMR001CMP069</v>
      </c>
      <c r="AP367" s="535">
        <f ca="1">IF(Table_NFI[[#This Row],[Pcode]]="","",IF(OFFSET(CampList[Opening Date],MATCH(Table_NFI[[#This Row],[Pcode]],CampList[CP_Pcode],0)-1,0,1,1)&gt;=NFI_Monitor_Date,1,0))</f>
        <v>0</v>
      </c>
      <c r="AQ367" s="540" t="str">
        <f>IFERROR(VLOOKUP(Table_NFI[[#This Row],[Camp Name]],CL,3,0),"")</f>
        <v>Open</v>
      </c>
      <c r="AR367" s="352" t="str">
        <f ca="1">IF(Table_NFI[[#This Row],[Pcode]]="","",OFFSET(CampList[Priority],MATCH(Table_NFI[[#This Row],[Pcode]],CampList[CP_Pcode],0)-1,0,1,1))</f>
        <v>P3</v>
      </c>
      <c r="AS367" s="351">
        <f>IFERROR(Table_NFI[[#This Row],[Kitchen Set]]/VLOOKUP(Table_NFI[[#This Row],[Camp Name]],CL,4,0),"")</f>
        <v>0</v>
      </c>
      <c r="AT367" s="533" t="s">
        <v>1094</v>
      </c>
      <c r="AU367" s="536"/>
    </row>
    <row r="368" spans="1:47" s="537" customFormat="1" ht="14.45" customHeight="1" x14ac:dyDescent="0.25">
      <c r="A368" s="355">
        <f t="shared" si="5"/>
        <v>27.366666666666667</v>
      </c>
      <c r="B368" s="532">
        <v>41750</v>
      </c>
      <c r="C368" s="533" t="s">
        <v>453</v>
      </c>
      <c r="D368" s="533"/>
      <c r="E368" s="533" t="s">
        <v>554</v>
      </c>
      <c r="F368" s="533" t="s">
        <v>289</v>
      </c>
      <c r="G368" s="533" t="s">
        <v>1057</v>
      </c>
      <c r="H368" s="349"/>
      <c r="I368" s="349"/>
      <c r="J368" s="349"/>
      <c r="K368" s="349">
        <v>0</v>
      </c>
      <c r="L368" s="350">
        <v>1</v>
      </c>
      <c r="M368" s="350">
        <v>167</v>
      </c>
      <c r="N368" s="350">
        <v>1</v>
      </c>
      <c r="O368" s="350">
        <v>0</v>
      </c>
      <c r="P368" s="352">
        <v>1</v>
      </c>
      <c r="Q368" s="352">
        <v>0</v>
      </c>
      <c r="R368" s="352"/>
      <c r="S368" s="352"/>
      <c r="T368" s="352"/>
      <c r="U368" s="352"/>
      <c r="V368" s="497"/>
      <c r="W368" s="352"/>
      <c r="X368" s="352"/>
      <c r="Y368" s="352">
        <f>IF(NFI_Expiration=1,IF($A368&lt;VLOOKUP(H$5,NFI,5,0),1,0)*Table_NFI[[#This Row],[Hygiene Kit]],Table_NFI[Hygiene Kit])</f>
        <v>0</v>
      </c>
      <c r="Z368" s="352">
        <f>IF(NFI_Expiration=1,IF($A368&lt;VLOOKUP(I$5,NFI,5,0),1,0)*Table_NFI[[#This Row],[NFI Core Kit]],Table_NFI[NFI Core Kit])</f>
        <v>0</v>
      </c>
      <c r="AA368" s="352">
        <f>IF(NFI_Expiration=1,IF($A368&lt;VLOOKUP(J$5,NFI,5,0),1,0)*Table_NFI[[#This Row],[Sanitary Kit]],Table_NFI[Sanitary Kit])</f>
        <v>0</v>
      </c>
      <c r="AB368" s="352">
        <f>IF(NFI_Expiration=1,IF($A368&lt;VLOOKUP(K$5,NFI,5,0),1,0)*Table_NFI[[#This Row],[Mosquito net]],Table_NFI[Mosquito net])</f>
        <v>0</v>
      </c>
      <c r="AC368" s="352">
        <f>IF(NFI_Expiration=1,IF($A368&lt;VLOOKUP(L$5,NFI,5,0),1,0)*Table_NFI[[#This Row],[Tarpaulin]],Table_NFI[[#This Row],[Tarpaulin]])</f>
        <v>0</v>
      </c>
      <c r="AD368" s="352">
        <f>IF(NFI_Expiration=1,IF($A368&lt;VLOOKUP(M$5,NFI,5,0),1,0)*Table_NFI[[#This Row],[Blanket]],Table_NFI[[#This Row],[Blanket]])</f>
        <v>0</v>
      </c>
      <c r="AE368" s="352">
        <f>IF(NFI_Expiration=1,IF($A368&lt;VLOOKUP(N$5,NFI,5,0),1,0)*Table_NFI[[#This Row],[Kitchen Set]],Table_NFI[Kitchen Set])</f>
        <v>0</v>
      </c>
      <c r="AF368" s="352">
        <f>IF(NFI_Expiration=1,IF($A368&lt;VLOOKUP(O$5,NFI,5,0),1,0)*Table_NFI[[#This Row],[Clothes Kit]],Table_NFI[Clothes Kit])</f>
        <v>0</v>
      </c>
      <c r="AG368" s="352">
        <f>IF(NFI_Expiration=1,IF($A368&lt;VLOOKUP(P$5,NFI,5,0),1,0)*Table_NFI[[#This Row],[Plastic Bucket]],Table_NFI[Plastic Bucket])</f>
        <v>0</v>
      </c>
      <c r="AH368" s="352">
        <f>IF(NFI_Expiration=1,IF($A368&lt;VLOOKUP(Q$5,NFI,5,0),1,0)*Table_NFI[[#This Row],[Plastic Mat]],Table_NFI[Plastic Mat])*IF(Table_NFI[[#This Row],[Distribution Date]]&gt;"2014-04-01",1,2.5)</f>
        <v>0</v>
      </c>
      <c r="AI368" s="352">
        <f>IF(NFI_Expiration=1,IF($A368&lt;VLOOKUP(R$5,NFI,5,0),1,0)*Table_NFI[[#This Row],[Winter Clothes Adult]],Table_NFI[Winter Clothes Adult])</f>
        <v>0</v>
      </c>
      <c r="AJ368" s="352">
        <f>IF(NFI_Expiration=1,IF($A368&lt;VLOOKUP(S$5,NFI,5,0),1,0)*Table_NFI[[#This Row],[Winter Clothes Children]],Table_NFI[Winter Clothes Children])</f>
        <v>0</v>
      </c>
      <c r="AK368" s="352">
        <f>IF(NFI_Expiration=1,IF($A368&lt;VLOOKUP(T$5,NFI,5,0),1,0)*Table_NFI[[#This Row],[Winter Items Other]],Table_NFI[Winter Items Other])</f>
        <v>0</v>
      </c>
      <c r="AL368" s="352">
        <f>IF(NFI_Expiration=1,IF($A368&lt;VLOOKUP(M$5,NFI,5,0),1,0)*Table_NFI[[#This Row],[Winter Blanket]],Table_NFI[[#This Row],[Winter Blanket]])</f>
        <v>0</v>
      </c>
      <c r="AM368" s="352">
        <f>IF(Table_NFI[[#This Row],[Winter Clothes Adult]]+Table_NFI[[#This Row],[Winter Clothes Children]]+Table_NFI[[#This Row],[Winter Items Other]]+Table_NFI[[#This Row],[Winter Blanket]]&gt;0,1,0)</f>
        <v>0</v>
      </c>
      <c r="AN368" s="392">
        <f>IF(NFI_Expiration=1,IF($A368&lt;VLOOKUP(V$5,NFI,5,0),1,0)*Table_NFI[[#This Row],[Jerry Can]],Table_NFI[Jerry Can])</f>
        <v>0</v>
      </c>
      <c r="AO368" s="540" t="str">
        <f>IFERROR(VLOOKUP(Table_NFI[[#This Row],[Camp Name]],CL,2,0),"")</f>
        <v>MMR015CMP214</v>
      </c>
      <c r="AP368" s="535">
        <f ca="1">IF(Table_NFI[[#This Row],[Pcode]]="","",IF(OFFSET(CampList[Opening Date],MATCH(Table_NFI[[#This Row],[Pcode]],CampList[CP_Pcode],0)-1,0,1,1)&gt;=NFI_Monitor_Date,1,0))</f>
        <v>1</v>
      </c>
      <c r="AQ368" s="540" t="str">
        <f>IFERROR(VLOOKUP(Table_NFI[[#This Row],[Camp Name]],CL,3,0),"")</f>
        <v>Open</v>
      </c>
      <c r="AR368" s="352" t="str">
        <f ca="1">IF(Table_NFI[[#This Row],[Pcode]]="","",OFFSET(CampList[Priority],MATCH(Table_NFI[[#This Row],[Pcode]],CampList[CP_Pcode],0)-1,0,1,1))</f>
        <v>P4</v>
      </c>
      <c r="AS368" s="351">
        <f>IFERROR(Table_NFI[[#This Row],[Kitchen Set]]/VLOOKUP(Table_NFI[[#This Row],[Camp Name]],CL,4,0),"")</f>
        <v>2.8571428571428571E-2</v>
      </c>
      <c r="AT368" s="533"/>
      <c r="AU368" s="536" t="s">
        <v>1235</v>
      </c>
    </row>
    <row r="369" spans="1:47" s="537" customFormat="1" ht="14.45" customHeight="1" x14ac:dyDescent="0.25">
      <c r="A369" s="355">
        <f t="shared" si="5"/>
        <v>27.366666666666667</v>
      </c>
      <c r="B369" s="532">
        <v>41750</v>
      </c>
      <c r="C369" s="533" t="s">
        <v>453</v>
      </c>
      <c r="D369" s="533"/>
      <c r="E369" s="533" t="s">
        <v>554</v>
      </c>
      <c r="F369" s="533" t="s">
        <v>289</v>
      </c>
      <c r="G369" s="533" t="s">
        <v>1057</v>
      </c>
      <c r="H369" s="349"/>
      <c r="I369" s="349"/>
      <c r="J369" s="349"/>
      <c r="K369" s="349">
        <v>90</v>
      </c>
      <c r="L369" s="350">
        <v>49</v>
      </c>
      <c r="M369" s="350">
        <v>98</v>
      </c>
      <c r="N369" s="350">
        <v>49</v>
      </c>
      <c r="O369" s="350"/>
      <c r="P369" s="352">
        <v>49</v>
      </c>
      <c r="Q369" s="352">
        <v>225</v>
      </c>
      <c r="R369" s="352"/>
      <c r="S369" s="352"/>
      <c r="T369" s="352"/>
      <c r="U369" s="352"/>
      <c r="V369" s="497"/>
      <c r="W369" s="352"/>
      <c r="X369" s="352"/>
      <c r="Y369" s="352">
        <f>IF(NFI_Expiration=1,IF($A369&lt;VLOOKUP(H$5,NFI,5,0),1,0)*Table_NFI[[#This Row],[Hygiene Kit]],Table_NFI[Hygiene Kit])</f>
        <v>0</v>
      </c>
      <c r="Z369" s="352">
        <f>IF(NFI_Expiration=1,IF($A369&lt;VLOOKUP(I$5,NFI,5,0),1,0)*Table_NFI[[#This Row],[NFI Core Kit]],Table_NFI[NFI Core Kit])</f>
        <v>0</v>
      </c>
      <c r="AA369" s="352">
        <f>IF(NFI_Expiration=1,IF($A369&lt;VLOOKUP(J$5,NFI,5,0),1,0)*Table_NFI[[#This Row],[Sanitary Kit]],Table_NFI[Sanitary Kit])</f>
        <v>0</v>
      </c>
      <c r="AB369" s="352">
        <f>IF(NFI_Expiration=1,IF($A369&lt;VLOOKUP(K$5,NFI,5,0),1,0)*Table_NFI[[#This Row],[Mosquito net]],Table_NFI[Mosquito net])</f>
        <v>0</v>
      </c>
      <c r="AC369" s="352">
        <f>IF(NFI_Expiration=1,IF($A369&lt;VLOOKUP(L$5,NFI,5,0),1,0)*Table_NFI[[#This Row],[Tarpaulin]],Table_NFI[[#This Row],[Tarpaulin]])</f>
        <v>0</v>
      </c>
      <c r="AD369" s="352">
        <f>IF(NFI_Expiration=1,IF($A369&lt;VLOOKUP(M$5,NFI,5,0),1,0)*Table_NFI[[#This Row],[Blanket]],Table_NFI[[#This Row],[Blanket]])</f>
        <v>0</v>
      </c>
      <c r="AE369" s="352">
        <f>IF(NFI_Expiration=1,IF($A369&lt;VLOOKUP(N$5,NFI,5,0),1,0)*Table_NFI[[#This Row],[Kitchen Set]],Table_NFI[Kitchen Set])</f>
        <v>0</v>
      </c>
      <c r="AF369" s="352">
        <f>IF(NFI_Expiration=1,IF($A369&lt;VLOOKUP(O$5,NFI,5,0),1,0)*Table_NFI[[#This Row],[Clothes Kit]],Table_NFI[Clothes Kit])</f>
        <v>0</v>
      </c>
      <c r="AG369" s="352">
        <f>IF(NFI_Expiration=1,IF($A369&lt;VLOOKUP(P$5,NFI,5,0),1,0)*Table_NFI[[#This Row],[Plastic Bucket]],Table_NFI[Plastic Bucket])</f>
        <v>0</v>
      </c>
      <c r="AH369" s="352">
        <f>IF(NFI_Expiration=1,IF($A369&lt;VLOOKUP(Q$5,NFI,5,0),1,0)*Table_NFI[[#This Row],[Plastic Mat]],Table_NFI[Plastic Mat])*IF(Table_NFI[[#This Row],[Distribution Date]]&gt;"2014-04-01",1,2.5)</f>
        <v>0</v>
      </c>
      <c r="AI369" s="352">
        <f>IF(NFI_Expiration=1,IF($A369&lt;VLOOKUP(R$5,NFI,5,0),1,0)*Table_NFI[[#This Row],[Winter Clothes Adult]],Table_NFI[Winter Clothes Adult])</f>
        <v>0</v>
      </c>
      <c r="AJ369" s="352">
        <f>IF(NFI_Expiration=1,IF($A369&lt;VLOOKUP(S$5,NFI,5,0),1,0)*Table_NFI[[#This Row],[Winter Clothes Children]],Table_NFI[Winter Clothes Children])</f>
        <v>0</v>
      </c>
      <c r="AK369" s="352">
        <f>IF(NFI_Expiration=1,IF($A369&lt;VLOOKUP(T$5,NFI,5,0),1,0)*Table_NFI[[#This Row],[Winter Items Other]],Table_NFI[Winter Items Other])</f>
        <v>0</v>
      </c>
      <c r="AL369" s="352">
        <f>IF(NFI_Expiration=1,IF($A369&lt;VLOOKUP(M$5,NFI,5,0),1,0)*Table_NFI[[#This Row],[Winter Blanket]],Table_NFI[[#This Row],[Winter Blanket]])</f>
        <v>0</v>
      </c>
      <c r="AM369" s="352">
        <f>IF(Table_NFI[[#This Row],[Winter Clothes Adult]]+Table_NFI[[#This Row],[Winter Clothes Children]]+Table_NFI[[#This Row],[Winter Items Other]]+Table_NFI[[#This Row],[Winter Blanket]]&gt;0,1,0)</f>
        <v>0</v>
      </c>
      <c r="AN369" s="392">
        <f>IF(NFI_Expiration=1,IF($A369&lt;VLOOKUP(V$5,NFI,5,0),1,0)*Table_NFI[[#This Row],[Jerry Can]],Table_NFI[Jerry Can])</f>
        <v>0</v>
      </c>
      <c r="AO369" s="540" t="str">
        <f>IFERROR(VLOOKUP(Table_NFI[[#This Row],[Camp Name]],CL,2,0),"")</f>
        <v>MMR015CMP214</v>
      </c>
      <c r="AP369" s="535">
        <f ca="1">IF(Table_NFI[[#This Row],[Pcode]]="","",IF(OFFSET(CampList[Opening Date],MATCH(Table_NFI[[#This Row],[Pcode]],CampList[CP_Pcode],0)-1,0,1,1)&gt;=NFI_Monitor_Date,1,0))</f>
        <v>1</v>
      </c>
      <c r="AQ369" s="540" t="str">
        <f>IFERROR(VLOOKUP(Table_NFI[[#This Row],[Camp Name]],CL,3,0),"")</f>
        <v>Open</v>
      </c>
      <c r="AR369" s="352" t="str">
        <f ca="1">IF(Table_NFI[[#This Row],[Pcode]]="","",OFFSET(CampList[Priority],MATCH(Table_NFI[[#This Row],[Pcode]],CampList[CP_Pcode],0)-1,0,1,1))</f>
        <v>P4</v>
      </c>
      <c r="AS369" s="351">
        <f>IFERROR(Table_NFI[[#This Row],[Kitchen Set]]/VLOOKUP(Table_NFI[[#This Row],[Camp Name]],CL,4,0),"")</f>
        <v>1.4</v>
      </c>
      <c r="AT369" s="533"/>
      <c r="AU369" s="536"/>
    </row>
    <row r="370" spans="1:47" s="537" customFormat="1" ht="14.45" customHeight="1" x14ac:dyDescent="0.25">
      <c r="A370" s="355">
        <f t="shared" si="5"/>
        <v>27.4</v>
      </c>
      <c r="B370" s="532">
        <v>41749</v>
      </c>
      <c r="C370" s="533" t="s">
        <v>453</v>
      </c>
      <c r="D370" s="533"/>
      <c r="E370" s="533" t="s">
        <v>380</v>
      </c>
      <c r="F370" s="533" t="s">
        <v>151</v>
      </c>
      <c r="G370" s="533" t="s">
        <v>160</v>
      </c>
      <c r="H370" s="349"/>
      <c r="I370" s="349"/>
      <c r="J370" s="349"/>
      <c r="K370" s="349">
        <v>220</v>
      </c>
      <c r="L370" s="350">
        <v>110</v>
      </c>
      <c r="M370" s="350">
        <v>1000</v>
      </c>
      <c r="N370" s="350">
        <v>110</v>
      </c>
      <c r="O370" s="350"/>
      <c r="P370" s="352">
        <v>110</v>
      </c>
      <c r="Q370" s="352">
        <v>550</v>
      </c>
      <c r="R370" s="352"/>
      <c r="S370" s="352"/>
      <c r="T370" s="352"/>
      <c r="U370" s="352"/>
      <c r="V370" s="497"/>
      <c r="W370" s="352"/>
      <c r="X370" s="352"/>
      <c r="Y370" s="352">
        <f>IF(NFI_Expiration=1,IF($A370&lt;VLOOKUP(H$5,NFI,5,0),1,0)*Table_NFI[[#This Row],[Hygiene Kit]],Table_NFI[Hygiene Kit])</f>
        <v>0</v>
      </c>
      <c r="Z370" s="352">
        <f>IF(NFI_Expiration=1,IF($A370&lt;VLOOKUP(I$5,NFI,5,0),1,0)*Table_NFI[[#This Row],[NFI Core Kit]],Table_NFI[NFI Core Kit])</f>
        <v>0</v>
      </c>
      <c r="AA370" s="352">
        <f>IF(NFI_Expiration=1,IF($A370&lt;VLOOKUP(J$5,NFI,5,0),1,0)*Table_NFI[[#This Row],[Sanitary Kit]],Table_NFI[Sanitary Kit])</f>
        <v>0</v>
      </c>
      <c r="AB370" s="352">
        <f>IF(NFI_Expiration=1,IF($A370&lt;VLOOKUP(K$5,NFI,5,0),1,0)*Table_NFI[[#This Row],[Mosquito net]],Table_NFI[Mosquito net])</f>
        <v>0</v>
      </c>
      <c r="AC370" s="352">
        <f>IF(NFI_Expiration=1,IF($A370&lt;VLOOKUP(L$5,NFI,5,0),1,0)*Table_NFI[[#This Row],[Tarpaulin]],Table_NFI[[#This Row],[Tarpaulin]])</f>
        <v>0</v>
      </c>
      <c r="AD370" s="352">
        <f>IF(NFI_Expiration=1,IF($A370&lt;VLOOKUP(M$5,NFI,5,0),1,0)*Table_NFI[[#This Row],[Blanket]],Table_NFI[[#This Row],[Blanket]])</f>
        <v>0</v>
      </c>
      <c r="AE370" s="352">
        <f>IF(NFI_Expiration=1,IF($A370&lt;VLOOKUP(N$5,NFI,5,0),1,0)*Table_NFI[[#This Row],[Kitchen Set]],Table_NFI[Kitchen Set])</f>
        <v>0</v>
      </c>
      <c r="AF370" s="352">
        <f>IF(NFI_Expiration=1,IF($A370&lt;VLOOKUP(O$5,NFI,5,0),1,0)*Table_NFI[[#This Row],[Clothes Kit]],Table_NFI[Clothes Kit])</f>
        <v>0</v>
      </c>
      <c r="AG370" s="352">
        <f>IF(NFI_Expiration=1,IF($A370&lt;VLOOKUP(P$5,NFI,5,0),1,0)*Table_NFI[[#This Row],[Plastic Bucket]],Table_NFI[Plastic Bucket])</f>
        <v>0</v>
      </c>
      <c r="AH370" s="352">
        <f>IF(NFI_Expiration=1,IF($A370&lt;VLOOKUP(Q$5,NFI,5,0),1,0)*Table_NFI[[#This Row],[Plastic Mat]],Table_NFI[Plastic Mat])*IF(Table_NFI[[#This Row],[Distribution Date]]&gt;"2014-04-01",1,2.5)</f>
        <v>0</v>
      </c>
      <c r="AI370" s="352">
        <f>IF(NFI_Expiration=1,IF($A370&lt;VLOOKUP(R$5,NFI,5,0),1,0)*Table_NFI[[#This Row],[Winter Clothes Adult]],Table_NFI[Winter Clothes Adult])</f>
        <v>0</v>
      </c>
      <c r="AJ370" s="352">
        <f>IF(NFI_Expiration=1,IF($A370&lt;VLOOKUP(S$5,NFI,5,0),1,0)*Table_NFI[[#This Row],[Winter Clothes Children]],Table_NFI[Winter Clothes Children])</f>
        <v>0</v>
      </c>
      <c r="AK370" s="352">
        <f>IF(NFI_Expiration=1,IF($A370&lt;VLOOKUP(T$5,NFI,5,0),1,0)*Table_NFI[[#This Row],[Winter Items Other]],Table_NFI[Winter Items Other])</f>
        <v>0</v>
      </c>
      <c r="AL370" s="352">
        <f>IF(NFI_Expiration=1,IF($A370&lt;VLOOKUP(M$5,NFI,5,0),1,0)*Table_NFI[[#This Row],[Winter Blanket]],Table_NFI[[#This Row],[Winter Blanket]])</f>
        <v>0</v>
      </c>
      <c r="AM370" s="352">
        <f>IF(Table_NFI[[#This Row],[Winter Clothes Adult]]+Table_NFI[[#This Row],[Winter Clothes Children]]+Table_NFI[[#This Row],[Winter Items Other]]+Table_NFI[[#This Row],[Winter Blanket]]&gt;0,1,0)</f>
        <v>0</v>
      </c>
      <c r="AN370" s="392">
        <f>IF(NFI_Expiration=1,IF($A370&lt;VLOOKUP(V$5,NFI,5,0),1,0)*Table_NFI[[#This Row],[Jerry Can]],Table_NFI[Jerry Can])</f>
        <v>0</v>
      </c>
      <c r="AO370" s="540" t="str">
        <f>IFERROR(VLOOKUP(Table_NFI[[#This Row],[Camp Name]],CL,2,0),"")</f>
        <v>MMR001CMP133</v>
      </c>
      <c r="AP370" s="535">
        <f ca="1">IF(Table_NFI[[#This Row],[Pcode]]="","",IF(OFFSET(CampList[Opening Date],MATCH(Table_NFI[[#This Row],[Pcode]],CampList[CP_Pcode],0)-1,0,1,1)&gt;=NFI_Monitor_Date,1,0))</f>
        <v>0</v>
      </c>
      <c r="AQ370" s="540" t="str">
        <f>IFERROR(VLOOKUP(Table_NFI[[#This Row],[Camp Name]],CL,3,0),"")</f>
        <v>Open</v>
      </c>
      <c r="AR370" s="352" t="str">
        <f ca="1">IF(Table_NFI[[#This Row],[Pcode]]="","",OFFSET(CampList[Priority],MATCH(Table_NFI[[#This Row],[Pcode]],CampList[CP_Pcode],0)-1,0,1,1))</f>
        <v>P4</v>
      </c>
      <c r="AS370" s="351">
        <f>IFERROR(Table_NFI[[#This Row],[Kitchen Set]]/VLOOKUP(Table_NFI[[#This Row],[Camp Name]],CL,4,0),"")</f>
        <v>1.02803738317757</v>
      </c>
      <c r="AT370" s="533"/>
      <c r="AU370" s="536"/>
    </row>
    <row r="371" spans="1:47" s="537" customFormat="1" ht="14.45" hidden="1" customHeight="1" x14ac:dyDescent="0.25">
      <c r="A371" s="355">
        <f t="shared" si="5"/>
        <v>21.133333333333333</v>
      </c>
      <c r="B371" s="532">
        <v>41937</v>
      </c>
      <c r="C371" s="533" t="s">
        <v>1096</v>
      </c>
      <c r="D371" s="533" t="s">
        <v>902</v>
      </c>
      <c r="E371" s="533" t="s">
        <v>380</v>
      </c>
      <c r="F371" s="533" t="s">
        <v>185</v>
      </c>
      <c r="G371" s="533" t="s">
        <v>190</v>
      </c>
      <c r="H371" s="349"/>
      <c r="I371" s="349"/>
      <c r="J371" s="349"/>
      <c r="K371" s="349"/>
      <c r="L371" s="350"/>
      <c r="M371" s="350"/>
      <c r="N371" s="350"/>
      <c r="O371" s="350"/>
      <c r="P371" s="352"/>
      <c r="Q371" s="352"/>
      <c r="R371" s="352">
        <v>591</v>
      </c>
      <c r="S371" s="352">
        <v>347</v>
      </c>
      <c r="T371" s="352"/>
      <c r="U371" s="352">
        <v>311</v>
      </c>
      <c r="V371" s="497"/>
      <c r="W371" s="352"/>
      <c r="X371" s="352"/>
      <c r="Y371" s="352">
        <f>IF(NFI_Expiration=1,IF($A371&lt;VLOOKUP(H$5,NFI,5,0),1,0)*Table_NFI[[#This Row],[Hygiene Kit]],Table_NFI[Hygiene Kit])</f>
        <v>0</v>
      </c>
      <c r="Z371" s="352">
        <f>IF(NFI_Expiration=1,IF($A371&lt;VLOOKUP(I$5,NFI,5,0),1,0)*Table_NFI[[#This Row],[NFI Core Kit]],Table_NFI[NFI Core Kit])</f>
        <v>0</v>
      </c>
      <c r="AA371" s="352">
        <f>IF(NFI_Expiration=1,IF($A371&lt;VLOOKUP(J$5,NFI,5,0),1,0)*Table_NFI[[#This Row],[Sanitary Kit]],Table_NFI[Sanitary Kit])</f>
        <v>0</v>
      </c>
      <c r="AB371" s="352">
        <f>IF(NFI_Expiration=1,IF($A371&lt;VLOOKUP(K$5,NFI,5,0),1,0)*Table_NFI[[#This Row],[Mosquito net]],Table_NFI[Mosquito net])</f>
        <v>0</v>
      </c>
      <c r="AC371" s="352">
        <f>IF(NFI_Expiration=1,IF($A371&lt;VLOOKUP(L$5,NFI,5,0),1,0)*Table_NFI[[#This Row],[Tarpaulin]],Table_NFI[[#This Row],[Tarpaulin]])</f>
        <v>0</v>
      </c>
      <c r="AD371" s="352">
        <f>IF(NFI_Expiration=1,IF($A371&lt;VLOOKUP(M$5,NFI,5,0),1,0)*Table_NFI[[#This Row],[Blanket]],Table_NFI[[#This Row],[Blanket]])</f>
        <v>0</v>
      </c>
      <c r="AE371" s="352">
        <f>IF(NFI_Expiration=1,IF($A371&lt;VLOOKUP(N$5,NFI,5,0),1,0)*Table_NFI[[#This Row],[Kitchen Set]],Table_NFI[Kitchen Set])</f>
        <v>0</v>
      </c>
      <c r="AF371" s="352">
        <f>IF(NFI_Expiration=1,IF($A371&lt;VLOOKUP(O$5,NFI,5,0),1,0)*Table_NFI[[#This Row],[Clothes Kit]],Table_NFI[Clothes Kit])</f>
        <v>0</v>
      </c>
      <c r="AG371" s="352">
        <f>IF(NFI_Expiration=1,IF($A371&lt;VLOOKUP(P$5,NFI,5,0),1,0)*Table_NFI[[#This Row],[Plastic Bucket]],Table_NFI[Plastic Bucket])</f>
        <v>0</v>
      </c>
      <c r="AH371" s="352">
        <f>IF(NFI_Expiration=1,IF($A371&lt;VLOOKUP(Q$5,NFI,5,0),1,0)*Table_NFI[[#This Row],[Plastic Mat]],Table_NFI[Plastic Mat])*IF(Table_NFI[[#This Row],[Distribution Date]]&gt;"2014-04-01",1,2.5)</f>
        <v>0</v>
      </c>
      <c r="AI371" s="352">
        <f>IF(NFI_Expiration=1,IF($A371&lt;VLOOKUP(R$5,NFI,5,0),1,0)*Table_NFI[[#This Row],[Winter Clothes Adult]],Table_NFI[Winter Clothes Adult])</f>
        <v>0</v>
      </c>
      <c r="AJ371" s="352">
        <f>IF(NFI_Expiration=1,IF($A371&lt;VLOOKUP(S$5,NFI,5,0),1,0)*Table_NFI[[#This Row],[Winter Clothes Children]],Table_NFI[Winter Clothes Children])</f>
        <v>0</v>
      </c>
      <c r="AK371" s="352">
        <f>IF(NFI_Expiration=1,IF($A371&lt;VLOOKUP(T$5,NFI,5,0),1,0)*Table_NFI[[#This Row],[Winter Items Other]],Table_NFI[Winter Items Other])</f>
        <v>0</v>
      </c>
      <c r="AL371" s="352">
        <f>IF(NFI_Expiration=1,IF($A371&lt;VLOOKUP(M$5,NFI,5,0),1,0)*Table_NFI[[#This Row],[Winter Blanket]],Table_NFI[[#This Row],[Winter Blanket]])</f>
        <v>0</v>
      </c>
      <c r="AM371" s="352">
        <f>IF(Table_NFI[[#This Row],[Winter Clothes Adult]]+Table_NFI[[#This Row],[Winter Clothes Children]]+Table_NFI[[#This Row],[Winter Items Other]]+Table_NFI[[#This Row],[Winter Blanket]]&gt;0,1,0)</f>
        <v>1</v>
      </c>
      <c r="AN371" s="392">
        <f>IF(NFI_Expiration=1,IF($A371&lt;VLOOKUP(V$5,NFI,5,0),1,0)*Table_NFI[[#This Row],[Jerry Can]],Table_NFI[Jerry Can])</f>
        <v>0</v>
      </c>
      <c r="AO371" s="540" t="str">
        <f>IFERROR(VLOOKUP(Table_NFI[[#This Row],[Camp Name]],CL,2,0),"")</f>
        <v>MMR001CMP070</v>
      </c>
      <c r="AP371" s="535">
        <f ca="1">IF(Table_NFI[[#This Row],[Pcode]]="","",IF(OFFSET(CampList[Opening Date],MATCH(Table_NFI[[#This Row],[Pcode]],CampList[CP_Pcode],0)-1,0,1,1)&gt;=NFI_Monitor_Date,1,0))</f>
        <v>0</v>
      </c>
      <c r="AQ371" s="540" t="str">
        <f>IFERROR(VLOOKUP(Table_NFI[[#This Row],[Camp Name]],CL,3,0),"")</f>
        <v>Open</v>
      </c>
      <c r="AR371" s="352" t="str">
        <f ca="1">IF(Table_NFI[[#This Row],[Pcode]]="","",OFFSET(CampList[Priority],MATCH(Table_NFI[[#This Row],[Pcode]],CampList[CP_Pcode],0)-1,0,1,1))</f>
        <v>P3</v>
      </c>
      <c r="AS371" s="351">
        <f>IFERROR(Table_NFI[[#This Row],[Kitchen Set]]/VLOOKUP(Table_NFI[[#This Row],[Camp Name]],CL,4,0),"")</f>
        <v>0</v>
      </c>
      <c r="AT371" s="533"/>
      <c r="AU371" s="536"/>
    </row>
    <row r="372" spans="1:47" s="537" customFormat="1" ht="14.45" customHeight="1" x14ac:dyDescent="0.25">
      <c r="A372" s="355">
        <f t="shared" si="5"/>
        <v>27.433333333333334</v>
      </c>
      <c r="B372" s="532">
        <v>41748</v>
      </c>
      <c r="C372" s="533" t="s">
        <v>453</v>
      </c>
      <c r="D372" s="533"/>
      <c r="E372" s="533" t="s">
        <v>380</v>
      </c>
      <c r="F372" s="533" t="s">
        <v>151</v>
      </c>
      <c r="G372" s="533" t="s">
        <v>154</v>
      </c>
      <c r="H372" s="349"/>
      <c r="I372" s="349"/>
      <c r="J372" s="349"/>
      <c r="K372" s="349">
        <v>400</v>
      </c>
      <c r="L372" s="350">
        <v>190</v>
      </c>
      <c r="M372" s="350">
        <v>870</v>
      </c>
      <c r="N372" s="350">
        <v>190</v>
      </c>
      <c r="O372" s="350"/>
      <c r="P372" s="352">
        <v>190</v>
      </c>
      <c r="Q372" s="352">
        <v>1000</v>
      </c>
      <c r="R372" s="352"/>
      <c r="S372" s="352"/>
      <c r="T372" s="352"/>
      <c r="U372" s="352"/>
      <c r="V372" s="497"/>
      <c r="W372" s="352"/>
      <c r="X372" s="352"/>
      <c r="Y372" s="352">
        <f>IF(NFI_Expiration=1,IF($A372&lt;VLOOKUP(H$5,NFI,5,0),1,0)*Table_NFI[[#This Row],[Hygiene Kit]],Table_NFI[Hygiene Kit])</f>
        <v>0</v>
      </c>
      <c r="Z372" s="352">
        <f>IF(NFI_Expiration=1,IF($A372&lt;VLOOKUP(I$5,NFI,5,0),1,0)*Table_NFI[[#This Row],[NFI Core Kit]],Table_NFI[NFI Core Kit])</f>
        <v>0</v>
      </c>
      <c r="AA372" s="352">
        <f>IF(NFI_Expiration=1,IF($A372&lt;VLOOKUP(J$5,NFI,5,0),1,0)*Table_NFI[[#This Row],[Sanitary Kit]],Table_NFI[Sanitary Kit])</f>
        <v>0</v>
      </c>
      <c r="AB372" s="352">
        <f>IF(NFI_Expiration=1,IF($A372&lt;VLOOKUP(K$5,NFI,5,0),1,0)*Table_NFI[[#This Row],[Mosquito net]],Table_NFI[Mosquito net])</f>
        <v>0</v>
      </c>
      <c r="AC372" s="352">
        <f>IF(NFI_Expiration=1,IF($A372&lt;VLOOKUP(L$5,NFI,5,0),1,0)*Table_NFI[[#This Row],[Tarpaulin]],Table_NFI[[#This Row],[Tarpaulin]])</f>
        <v>0</v>
      </c>
      <c r="AD372" s="352">
        <f>IF(NFI_Expiration=1,IF($A372&lt;VLOOKUP(M$5,NFI,5,0),1,0)*Table_NFI[[#This Row],[Blanket]],Table_NFI[[#This Row],[Blanket]])</f>
        <v>0</v>
      </c>
      <c r="AE372" s="352">
        <f>IF(NFI_Expiration=1,IF($A372&lt;VLOOKUP(N$5,NFI,5,0),1,0)*Table_NFI[[#This Row],[Kitchen Set]],Table_NFI[Kitchen Set])</f>
        <v>0</v>
      </c>
      <c r="AF372" s="352">
        <f>IF(NFI_Expiration=1,IF($A372&lt;VLOOKUP(O$5,NFI,5,0),1,0)*Table_NFI[[#This Row],[Clothes Kit]],Table_NFI[Clothes Kit])</f>
        <v>0</v>
      </c>
      <c r="AG372" s="352">
        <f>IF(NFI_Expiration=1,IF($A372&lt;VLOOKUP(P$5,NFI,5,0),1,0)*Table_NFI[[#This Row],[Plastic Bucket]],Table_NFI[Plastic Bucket])</f>
        <v>0</v>
      </c>
      <c r="AH372" s="352">
        <f>IF(NFI_Expiration=1,IF($A372&lt;VLOOKUP(Q$5,NFI,5,0),1,0)*Table_NFI[[#This Row],[Plastic Mat]],Table_NFI[Plastic Mat])*IF(Table_NFI[[#This Row],[Distribution Date]]&gt;"2014-04-01",1,2.5)</f>
        <v>0</v>
      </c>
      <c r="AI372" s="352">
        <f>IF(NFI_Expiration=1,IF($A372&lt;VLOOKUP(R$5,NFI,5,0),1,0)*Table_NFI[[#This Row],[Winter Clothes Adult]],Table_NFI[Winter Clothes Adult])</f>
        <v>0</v>
      </c>
      <c r="AJ372" s="352">
        <f>IF(NFI_Expiration=1,IF($A372&lt;VLOOKUP(S$5,NFI,5,0),1,0)*Table_NFI[[#This Row],[Winter Clothes Children]],Table_NFI[Winter Clothes Children])</f>
        <v>0</v>
      </c>
      <c r="AK372" s="352">
        <f>IF(NFI_Expiration=1,IF($A372&lt;VLOOKUP(T$5,NFI,5,0),1,0)*Table_NFI[[#This Row],[Winter Items Other]],Table_NFI[Winter Items Other])</f>
        <v>0</v>
      </c>
      <c r="AL372" s="352">
        <f>IF(NFI_Expiration=1,IF($A372&lt;VLOOKUP(M$5,NFI,5,0),1,0)*Table_NFI[[#This Row],[Winter Blanket]],Table_NFI[[#This Row],[Winter Blanket]])</f>
        <v>0</v>
      </c>
      <c r="AM372" s="352">
        <f>IF(Table_NFI[[#This Row],[Winter Clothes Adult]]+Table_NFI[[#This Row],[Winter Clothes Children]]+Table_NFI[[#This Row],[Winter Items Other]]+Table_NFI[[#This Row],[Winter Blanket]]&gt;0,1,0)</f>
        <v>0</v>
      </c>
      <c r="AN372" s="392">
        <f>IF(NFI_Expiration=1,IF($A372&lt;VLOOKUP(V$5,NFI,5,0),1,0)*Table_NFI[[#This Row],[Jerry Can]],Table_NFI[Jerry Can])</f>
        <v>0</v>
      </c>
      <c r="AO372" s="540" t="str">
        <f>IFERROR(VLOOKUP(Table_NFI[[#This Row],[Camp Name]],CL,2,0),"")</f>
        <v>MMR001CMP132</v>
      </c>
      <c r="AP372" s="535">
        <f ca="1">IF(Table_NFI[[#This Row],[Pcode]]="","",IF(OFFSET(CampList[Opening Date],MATCH(Table_NFI[[#This Row],[Pcode]],CampList[CP_Pcode],0)-1,0,1,1)&gt;=NFI_Monitor_Date,1,0))</f>
        <v>0</v>
      </c>
      <c r="AQ372" s="540" t="str">
        <f>IFERROR(VLOOKUP(Table_NFI[[#This Row],[Camp Name]],CL,3,0),"")</f>
        <v>Open</v>
      </c>
      <c r="AR372" s="352" t="str">
        <f ca="1">IF(Table_NFI[[#This Row],[Pcode]]="","",OFFSET(CampList[Priority],MATCH(Table_NFI[[#This Row],[Pcode]],CampList[CP_Pcode],0)-1,0,1,1))</f>
        <v>P4</v>
      </c>
      <c r="AS372" s="351">
        <f>IFERROR(Table_NFI[[#This Row],[Kitchen Set]]/VLOOKUP(Table_NFI[[#This Row],[Camp Name]],CL,4,0),"")</f>
        <v>0.41484716157205243</v>
      </c>
      <c r="AT372" s="533"/>
      <c r="AU372" s="536"/>
    </row>
    <row r="373" spans="1:47" s="537" customFormat="1" ht="14.45" customHeight="1" x14ac:dyDescent="0.25">
      <c r="A373" s="355">
        <f t="shared" si="5"/>
        <v>27.5</v>
      </c>
      <c r="B373" s="532">
        <v>41746</v>
      </c>
      <c r="C373" s="533" t="s">
        <v>453</v>
      </c>
      <c r="D373" s="533" t="s">
        <v>453</v>
      </c>
      <c r="E373" s="533" t="s">
        <v>380</v>
      </c>
      <c r="F373" s="533" t="s">
        <v>185</v>
      </c>
      <c r="G373" s="533" t="s">
        <v>209</v>
      </c>
      <c r="H373" s="349"/>
      <c r="I373" s="349"/>
      <c r="J373" s="349"/>
      <c r="K373" s="349">
        <v>8</v>
      </c>
      <c r="L373" s="350">
        <v>4</v>
      </c>
      <c r="M373" s="350">
        <v>12</v>
      </c>
      <c r="N373" s="350">
        <v>4</v>
      </c>
      <c r="O373" s="350">
        <v>4</v>
      </c>
      <c r="P373" s="352">
        <v>4</v>
      </c>
      <c r="Q373" s="352">
        <v>41</v>
      </c>
      <c r="R373" s="352"/>
      <c r="S373" s="352"/>
      <c r="T373" s="352"/>
      <c r="U373" s="352"/>
      <c r="V373" s="497"/>
      <c r="W373" s="352"/>
      <c r="X373" s="352"/>
      <c r="Y373" s="352">
        <f>IF(NFI_Expiration=1,IF($A373&lt;VLOOKUP(H$5,NFI,5,0),1,0)*Table_NFI[[#This Row],[Hygiene Kit]],Table_NFI[Hygiene Kit])</f>
        <v>0</v>
      </c>
      <c r="Z373" s="352">
        <f>IF(NFI_Expiration=1,IF($A373&lt;VLOOKUP(I$5,NFI,5,0),1,0)*Table_NFI[[#This Row],[NFI Core Kit]],Table_NFI[NFI Core Kit])</f>
        <v>0</v>
      </c>
      <c r="AA373" s="352">
        <f>IF(NFI_Expiration=1,IF($A373&lt;VLOOKUP(J$5,NFI,5,0),1,0)*Table_NFI[[#This Row],[Sanitary Kit]],Table_NFI[Sanitary Kit])</f>
        <v>0</v>
      </c>
      <c r="AB373" s="352">
        <f>IF(NFI_Expiration=1,IF($A373&lt;VLOOKUP(K$5,NFI,5,0),1,0)*Table_NFI[[#This Row],[Mosquito net]],Table_NFI[Mosquito net])</f>
        <v>0</v>
      </c>
      <c r="AC373" s="352">
        <f>IF(NFI_Expiration=1,IF($A373&lt;VLOOKUP(L$5,NFI,5,0),1,0)*Table_NFI[[#This Row],[Tarpaulin]],Table_NFI[[#This Row],[Tarpaulin]])</f>
        <v>0</v>
      </c>
      <c r="AD373" s="352">
        <f>IF(NFI_Expiration=1,IF($A373&lt;VLOOKUP(M$5,NFI,5,0),1,0)*Table_NFI[[#This Row],[Blanket]],Table_NFI[[#This Row],[Blanket]])</f>
        <v>0</v>
      </c>
      <c r="AE373" s="352">
        <f>IF(NFI_Expiration=1,IF($A373&lt;VLOOKUP(N$5,NFI,5,0),1,0)*Table_NFI[[#This Row],[Kitchen Set]],Table_NFI[Kitchen Set])</f>
        <v>0</v>
      </c>
      <c r="AF373" s="352">
        <f>IF(NFI_Expiration=1,IF($A373&lt;VLOOKUP(O$5,NFI,5,0),1,0)*Table_NFI[[#This Row],[Clothes Kit]],Table_NFI[Clothes Kit])</f>
        <v>0</v>
      </c>
      <c r="AG373" s="352">
        <f>IF(NFI_Expiration=1,IF($A373&lt;VLOOKUP(P$5,NFI,5,0),1,0)*Table_NFI[[#This Row],[Plastic Bucket]],Table_NFI[Plastic Bucket])</f>
        <v>0</v>
      </c>
      <c r="AH373" s="352">
        <f>IF(NFI_Expiration=1,IF($A373&lt;VLOOKUP(Q$5,NFI,5,0),1,0)*Table_NFI[[#This Row],[Plastic Mat]],Table_NFI[Plastic Mat])*IF(Table_NFI[[#This Row],[Distribution Date]]&gt;"2014-04-01",1,2.5)</f>
        <v>0</v>
      </c>
      <c r="AI373" s="352">
        <f>IF(NFI_Expiration=1,IF($A373&lt;VLOOKUP(R$5,NFI,5,0),1,0)*Table_NFI[[#This Row],[Winter Clothes Adult]],Table_NFI[Winter Clothes Adult])</f>
        <v>0</v>
      </c>
      <c r="AJ373" s="352">
        <f>IF(NFI_Expiration=1,IF($A373&lt;VLOOKUP(S$5,NFI,5,0),1,0)*Table_NFI[[#This Row],[Winter Clothes Children]],Table_NFI[Winter Clothes Children])</f>
        <v>0</v>
      </c>
      <c r="AK373" s="352">
        <f>IF(NFI_Expiration=1,IF($A373&lt;VLOOKUP(T$5,NFI,5,0),1,0)*Table_NFI[[#This Row],[Winter Items Other]],Table_NFI[Winter Items Other])</f>
        <v>0</v>
      </c>
      <c r="AL373" s="352">
        <f>IF(NFI_Expiration=1,IF($A373&lt;VLOOKUP(M$5,NFI,5,0),1,0)*Table_NFI[[#This Row],[Winter Blanket]],Table_NFI[[#This Row],[Winter Blanket]])</f>
        <v>0</v>
      </c>
      <c r="AM373" s="352">
        <f>IF(Table_NFI[[#This Row],[Winter Clothes Adult]]+Table_NFI[[#This Row],[Winter Clothes Children]]+Table_NFI[[#This Row],[Winter Items Other]]+Table_NFI[[#This Row],[Winter Blanket]]&gt;0,1,0)</f>
        <v>0</v>
      </c>
      <c r="AN373" s="392">
        <f>IF(NFI_Expiration=1,IF($A373&lt;VLOOKUP(V$5,NFI,5,0),1,0)*Table_NFI[[#This Row],[Jerry Can]],Table_NFI[Jerry Can])</f>
        <v>0</v>
      </c>
      <c r="AO373" s="540" t="str">
        <f>IFERROR(VLOOKUP(Table_NFI[[#This Row],[Camp Name]],CL,2,0),"")</f>
        <v>MMR001CMP056</v>
      </c>
      <c r="AP373" s="535">
        <f ca="1">IF(Table_NFI[[#This Row],[Pcode]]="","",IF(OFFSET(CampList[Opening Date],MATCH(Table_NFI[[#This Row],[Pcode]],CampList[CP_Pcode],0)-1,0,1,1)&gt;=NFI_Monitor_Date,1,0))</f>
        <v>0</v>
      </c>
      <c r="AQ373" s="540" t="str">
        <f>IFERROR(VLOOKUP(Table_NFI[[#This Row],[Camp Name]],CL,3,0),"")</f>
        <v>Open</v>
      </c>
      <c r="AR373" s="352" t="str">
        <f ca="1">IF(Table_NFI[[#This Row],[Pcode]]="","",OFFSET(CampList[Priority],MATCH(Table_NFI[[#This Row],[Pcode]],CampList[CP_Pcode],0)-1,0,1,1))</f>
        <v>P4</v>
      </c>
      <c r="AS373" s="351">
        <f>IFERROR(Table_NFI[[#This Row],[Kitchen Set]]/VLOOKUP(Table_NFI[[#This Row],[Camp Name]],CL,4,0),"")</f>
        <v>1.7699115044247787E-2</v>
      </c>
      <c r="AT373" s="533" t="s">
        <v>1094</v>
      </c>
      <c r="AU373" s="536"/>
    </row>
    <row r="374" spans="1:47" s="537" customFormat="1" hidden="1" x14ac:dyDescent="0.2">
      <c r="A374" s="355">
        <f t="shared" si="5"/>
        <v>19.366666666666667</v>
      </c>
      <c r="B374" s="532">
        <v>41990</v>
      </c>
      <c r="C374" s="533" t="s">
        <v>907</v>
      </c>
      <c r="D374" s="534" t="s">
        <v>907</v>
      </c>
      <c r="E374" s="533" t="s">
        <v>380</v>
      </c>
      <c r="F374" s="348" t="s">
        <v>185</v>
      </c>
      <c r="G374" s="348" t="s">
        <v>190</v>
      </c>
      <c r="H374" s="349"/>
      <c r="I374" s="349"/>
      <c r="J374" s="677">
        <v>283</v>
      </c>
      <c r="K374" s="349"/>
      <c r="L374" s="350"/>
      <c r="M374" s="350"/>
      <c r="N374" s="350"/>
      <c r="O374" s="350"/>
      <c r="P374" s="352"/>
      <c r="Q374" s="392"/>
      <c r="R374" s="392"/>
      <c r="S374" s="392"/>
      <c r="T374" s="392"/>
      <c r="U374" s="392"/>
      <c r="V374" s="497"/>
      <c r="W374" s="392"/>
      <c r="X374" s="392"/>
      <c r="Y374" s="352">
        <f>IF(NFI_Expiration=1,IF($A374&lt;VLOOKUP(H$5,NFI,5,0),1,0)*Table_NFI[[#This Row],[Hygiene Kit]],Table_NFI[Hygiene Kit])</f>
        <v>0</v>
      </c>
      <c r="Z374" s="352">
        <f>IF(NFI_Expiration=1,IF($A374&lt;VLOOKUP(I$5,NFI,5,0),1,0)*Table_NFI[[#This Row],[NFI Core Kit]],Table_NFI[NFI Core Kit])</f>
        <v>0</v>
      </c>
      <c r="AA374" s="352">
        <f>IF(NFI_Expiration=1,IF($A374&lt;VLOOKUP(J$5,NFI,5,0),1,0)*Table_NFI[[#This Row],[Sanitary Kit]],Table_NFI[Sanitary Kit])</f>
        <v>0</v>
      </c>
      <c r="AB374" s="352">
        <f>IF(NFI_Expiration=1,IF($A374&lt;VLOOKUP(K$5,NFI,5,0),1,0)*Table_NFI[[#This Row],[Mosquito net]],Table_NFI[Mosquito net])</f>
        <v>0</v>
      </c>
      <c r="AC374" s="352">
        <f>IF(NFI_Expiration=1,IF($A374&lt;VLOOKUP(L$5,NFI,5,0),1,0)*Table_NFI[[#This Row],[Tarpaulin]],Table_NFI[[#This Row],[Tarpaulin]])</f>
        <v>0</v>
      </c>
      <c r="AD374" s="352">
        <f>IF(NFI_Expiration=1,IF($A374&lt;VLOOKUP(M$5,NFI,5,0),1,0)*Table_NFI[[#This Row],[Blanket]],Table_NFI[[#This Row],[Blanket]])</f>
        <v>0</v>
      </c>
      <c r="AE374" s="352">
        <f>IF(NFI_Expiration=1,IF($A374&lt;VLOOKUP(N$5,NFI,5,0),1,0)*Table_NFI[[#This Row],[Kitchen Set]],Table_NFI[Kitchen Set])</f>
        <v>0</v>
      </c>
      <c r="AF374" s="352">
        <f>IF(NFI_Expiration=1,IF($A374&lt;VLOOKUP(O$5,NFI,5,0),1,0)*Table_NFI[[#This Row],[Clothes Kit]],Table_NFI[Clothes Kit])</f>
        <v>0</v>
      </c>
      <c r="AG374" s="352">
        <f>IF(NFI_Expiration=1,IF($A374&lt;VLOOKUP(P$5,NFI,5,0),1,0)*Table_NFI[[#This Row],[Plastic Bucket]],Table_NFI[Plastic Bucket])</f>
        <v>0</v>
      </c>
      <c r="AH374" s="352">
        <f>IF(NFI_Expiration=1,IF($A374&lt;VLOOKUP(Q$5,NFI,5,0),1,0)*Table_NFI[[#This Row],[Plastic Mat]],Table_NFI[Plastic Mat])*IF(Table_NFI[[#This Row],[Distribution Date]]&gt;"2014-04-01",1,2.5)</f>
        <v>0</v>
      </c>
      <c r="AI374" s="352">
        <f>IF(NFI_Expiration=1,IF($A374&lt;VLOOKUP(R$5,NFI,5,0),1,0)*Table_NFI[[#This Row],[Winter Clothes Adult]],Table_NFI[Winter Clothes Adult])</f>
        <v>0</v>
      </c>
      <c r="AJ374" s="352">
        <f>IF(NFI_Expiration=1,IF($A374&lt;VLOOKUP(S$5,NFI,5,0),1,0)*Table_NFI[[#This Row],[Winter Clothes Children]],Table_NFI[Winter Clothes Children])</f>
        <v>0</v>
      </c>
      <c r="AK374" s="352">
        <f>IF(NFI_Expiration=1,IF($A374&lt;VLOOKUP(T$5,NFI,5,0),1,0)*Table_NFI[[#This Row],[Winter Items Other]],Table_NFI[Winter Items Other])</f>
        <v>0</v>
      </c>
      <c r="AL374" s="352">
        <f>IF(NFI_Expiration=1,IF($A374&lt;VLOOKUP(M$5,NFI,5,0),1,0)*Table_NFI[[#This Row],[Winter Blanket]],Table_NFI[[#This Row],[Winter Blanket]])</f>
        <v>0</v>
      </c>
      <c r="AM374" s="352">
        <f>IF(Table_NFI[[#This Row],[Winter Clothes Adult]]+Table_NFI[[#This Row],[Winter Clothes Children]]+Table_NFI[[#This Row],[Winter Items Other]]+Table_NFI[[#This Row],[Winter Blanket]]&gt;0,1,0)</f>
        <v>0</v>
      </c>
      <c r="AN374" s="392">
        <f>IF(NFI_Expiration=1,IF($A374&lt;VLOOKUP(V$5,NFI,5,0),1,0)*Table_NFI[[#This Row],[Jerry Can]],Table_NFI[Jerry Can])</f>
        <v>0</v>
      </c>
      <c r="AO374" s="540" t="str">
        <f>IFERROR(VLOOKUP(Table_NFI[[#This Row],[Camp Name]],CL,2,0),"")</f>
        <v>MMR001CMP070</v>
      </c>
      <c r="AP374" s="535">
        <f ca="1">IF(Table_NFI[[#This Row],[Pcode]]="","",IF(OFFSET(CampList[Opening Date],MATCH(Table_NFI[[#This Row],[Pcode]],CampList[CP_Pcode],0)-1,0,1,1)&gt;=NFI_Monitor_Date,1,0))</f>
        <v>0</v>
      </c>
      <c r="AQ374" s="540" t="str">
        <f>IFERROR(VLOOKUP(Table_NFI[[#This Row],[Camp Name]],CL,3,0),"")</f>
        <v>Open</v>
      </c>
      <c r="AR374" s="352" t="str">
        <f ca="1">IF(Table_NFI[[#This Row],[Pcode]]="","",OFFSET(CampList[Priority],MATCH(Table_NFI[[#This Row],[Pcode]],CampList[CP_Pcode],0)-1,0,1,1))</f>
        <v>P3</v>
      </c>
      <c r="AS374" s="351">
        <f>IFERROR(Table_NFI[[#This Row],[Kitchen Set]]/VLOOKUP(Table_NFI[[#This Row],[Camp Name]],CL,4,0),"")</f>
        <v>0</v>
      </c>
      <c r="AT374" s="533"/>
      <c r="AU374" s="536"/>
    </row>
    <row r="375" spans="1:47" s="537" customFormat="1" hidden="1" x14ac:dyDescent="0.2">
      <c r="A375" s="355">
        <f t="shared" si="5"/>
        <v>13.766666666666667</v>
      </c>
      <c r="B375" s="532">
        <v>42158</v>
      </c>
      <c r="C375" s="533" t="s">
        <v>907</v>
      </c>
      <c r="D375" s="534" t="s">
        <v>907</v>
      </c>
      <c r="E375" s="533" t="s">
        <v>380</v>
      </c>
      <c r="F375" s="348" t="s">
        <v>185</v>
      </c>
      <c r="G375" s="348" t="s">
        <v>190</v>
      </c>
      <c r="H375" s="349"/>
      <c r="I375" s="349"/>
      <c r="J375" s="677">
        <v>270</v>
      </c>
      <c r="K375" s="349"/>
      <c r="L375" s="350"/>
      <c r="M375" s="350"/>
      <c r="N375" s="350"/>
      <c r="O375" s="350"/>
      <c r="P375" s="352"/>
      <c r="Q375" s="392"/>
      <c r="R375" s="392"/>
      <c r="S375" s="392"/>
      <c r="T375" s="392"/>
      <c r="U375" s="392"/>
      <c r="V375" s="497"/>
      <c r="W375" s="392"/>
      <c r="X375" s="392"/>
      <c r="Y375" s="352">
        <f>IF(NFI_Expiration=1,IF($A375&lt;VLOOKUP(H$5,NFI,5,0),1,0)*Table_NFI[[#This Row],[Hygiene Kit]],Table_NFI[Hygiene Kit])</f>
        <v>0</v>
      </c>
      <c r="Z375" s="352">
        <f>IF(NFI_Expiration=1,IF($A375&lt;VLOOKUP(I$5,NFI,5,0),1,0)*Table_NFI[[#This Row],[NFI Core Kit]],Table_NFI[NFI Core Kit])</f>
        <v>0</v>
      </c>
      <c r="AA375" s="352">
        <f>IF(NFI_Expiration=1,IF($A375&lt;VLOOKUP(J$5,NFI,5,0),1,0)*Table_NFI[[#This Row],[Sanitary Kit]],Table_NFI[Sanitary Kit])</f>
        <v>0</v>
      </c>
      <c r="AB375" s="352">
        <f>IF(NFI_Expiration=1,IF($A375&lt;VLOOKUP(K$5,NFI,5,0),1,0)*Table_NFI[[#This Row],[Mosquito net]],Table_NFI[Mosquito net])</f>
        <v>0</v>
      </c>
      <c r="AC375" s="352">
        <f>IF(NFI_Expiration=1,IF($A375&lt;VLOOKUP(L$5,NFI,5,0),1,0)*Table_NFI[[#This Row],[Tarpaulin]],Table_NFI[[#This Row],[Tarpaulin]])</f>
        <v>0</v>
      </c>
      <c r="AD375" s="352">
        <f>IF(NFI_Expiration=1,IF($A375&lt;VLOOKUP(M$5,NFI,5,0),1,0)*Table_NFI[[#This Row],[Blanket]],Table_NFI[[#This Row],[Blanket]])</f>
        <v>0</v>
      </c>
      <c r="AE375" s="352">
        <f>IF(NFI_Expiration=1,IF($A375&lt;VLOOKUP(N$5,NFI,5,0),1,0)*Table_NFI[[#This Row],[Kitchen Set]],Table_NFI[Kitchen Set])</f>
        <v>0</v>
      </c>
      <c r="AF375" s="352">
        <f>IF(NFI_Expiration=1,IF($A375&lt;VLOOKUP(O$5,NFI,5,0),1,0)*Table_NFI[[#This Row],[Clothes Kit]],Table_NFI[Clothes Kit])</f>
        <v>0</v>
      </c>
      <c r="AG375" s="352">
        <f>IF(NFI_Expiration=1,IF($A375&lt;VLOOKUP(P$5,NFI,5,0),1,0)*Table_NFI[[#This Row],[Plastic Bucket]],Table_NFI[Plastic Bucket])</f>
        <v>0</v>
      </c>
      <c r="AH375" s="352">
        <f>IF(NFI_Expiration=1,IF($A375&lt;VLOOKUP(Q$5,NFI,5,0),1,0)*Table_NFI[[#This Row],[Plastic Mat]],Table_NFI[Plastic Mat])*IF(Table_NFI[[#This Row],[Distribution Date]]&gt;"2014-04-01",1,2.5)</f>
        <v>0</v>
      </c>
      <c r="AI375" s="352">
        <f>IF(NFI_Expiration=1,IF($A375&lt;VLOOKUP(R$5,NFI,5,0),1,0)*Table_NFI[[#This Row],[Winter Clothes Adult]],Table_NFI[Winter Clothes Adult])</f>
        <v>0</v>
      </c>
      <c r="AJ375" s="352">
        <f>IF(NFI_Expiration=1,IF($A375&lt;VLOOKUP(S$5,NFI,5,0),1,0)*Table_NFI[[#This Row],[Winter Clothes Children]],Table_NFI[Winter Clothes Children])</f>
        <v>0</v>
      </c>
      <c r="AK375" s="352">
        <f>IF(NFI_Expiration=1,IF($A375&lt;VLOOKUP(T$5,NFI,5,0),1,0)*Table_NFI[[#This Row],[Winter Items Other]],Table_NFI[Winter Items Other])</f>
        <v>0</v>
      </c>
      <c r="AL375" s="352">
        <f>IF(NFI_Expiration=1,IF($A375&lt;VLOOKUP(M$5,NFI,5,0),1,0)*Table_NFI[[#This Row],[Winter Blanket]],Table_NFI[[#This Row],[Winter Blanket]])</f>
        <v>0</v>
      </c>
      <c r="AM375" s="352">
        <f>IF(Table_NFI[[#This Row],[Winter Clothes Adult]]+Table_NFI[[#This Row],[Winter Clothes Children]]+Table_NFI[[#This Row],[Winter Items Other]]+Table_NFI[[#This Row],[Winter Blanket]]&gt;0,1,0)</f>
        <v>0</v>
      </c>
      <c r="AN375" s="392">
        <f>IF(NFI_Expiration=1,IF($A375&lt;VLOOKUP(V$5,NFI,5,0),1,0)*Table_NFI[[#This Row],[Jerry Can]],Table_NFI[Jerry Can])</f>
        <v>0</v>
      </c>
      <c r="AO375" s="540" t="str">
        <f>IFERROR(VLOOKUP(Table_NFI[[#This Row],[Camp Name]],CL,2,0),"")</f>
        <v>MMR001CMP070</v>
      </c>
      <c r="AP375" s="535">
        <f ca="1">IF(Table_NFI[[#This Row],[Pcode]]="","",IF(OFFSET(CampList[Opening Date],MATCH(Table_NFI[[#This Row],[Pcode]],CampList[CP_Pcode],0)-1,0,1,1)&gt;=NFI_Monitor_Date,1,0))</f>
        <v>0</v>
      </c>
      <c r="AQ375" s="540" t="str">
        <f>IFERROR(VLOOKUP(Table_NFI[[#This Row],[Camp Name]],CL,3,0),"")</f>
        <v>Open</v>
      </c>
      <c r="AR375" s="352" t="str">
        <f ca="1">IF(Table_NFI[[#This Row],[Pcode]]="","",OFFSET(CampList[Priority],MATCH(Table_NFI[[#This Row],[Pcode]],CampList[CP_Pcode],0)-1,0,1,1))</f>
        <v>P3</v>
      </c>
      <c r="AS375" s="351">
        <f>IFERROR(Table_NFI[[#This Row],[Kitchen Set]]/VLOOKUP(Table_NFI[[#This Row],[Camp Name]],CL,4,0),"")</f>
        <v>0</v>
      </c>
      <c r="AT375" s="533"/>
      <c r="AU375" s="536"/>
    </row>
    <row r="376" spans="1:47" s="537" customFormat="1" hidden="1" x14ac:dyDescent="0.2">
      <c r="A376" s="355">
        <f t="shared" si="5"/>
        <v>13.866666666666667</v>
      </c>
      <c r="B376" s="532">
        <v>42155</v>
      </c>
      <c r="C376" s="533" t="s">
        <v>907</v>
      </c>
      <c r="D376" s="534" t="s">
        <v>907</v>
      </c>
      <c r="E376" s="533" t="s">
        <v>380</v>
      </c>
      <c r="F376" s="348" t="s">
        <v>185</v>
      </c>
      <c r="G376" s="348" t="s">
        <v>190</v>
      </c>
      <c r="H376" s="349"/>
      <c r="I376" s="349"/>
      <c r="J376" s="350"/>
      <c r="K376" s="349"/>
      <c r="L376" s="350"/>
      <c r="M376" s="350"/>
      <c r="N376" s="350"/>
      <c r="O376" s="350"/>
      <c r="P376" s="352"/>
      <c r="Q376" s="392"/>
      <c r="R376" s="392"/>
      <c r="S376" s="392"/>
      <c r="T376" s="392"/>
      <c r="U376" s="392"/>
      <c r="V376" s="822">
        <v>4</v>
      </c>
      <c r="W376" s="392"/>
      <c r="X376" s="392"/>
      <c r="Y376" s="352">
        <f>IF(NFI_Expiration=1,IF($A376&lt;VLOOKUP(H$5,NFI,5,0),1,0)*Table_NFI[[#This Row],[Hygiene Kit]],Table_NFI[Hygiene Kit])</f>
        <v>0</v>
      </c>
      <c r="Z376" s="352">
        <f>IF(NFI_Expiration=1,IF($A376&lt;VLOOKUP(I$5,NFI,5,0),1,0)*Table_NFI[[#This Row],[NFI Core Kit]],Table_NFI[NFI Core Kit])</f>
        <v>0</v>
      </c>
      <c r="AA376" s="352">
        <f>IF(NFI_Expiration=1,IF($A376&lt;VLOOKUP(J$5,NFI,5,0),1,0)*Table_NFI[[#This Row],[Sanitary Kit]],Table_NFI[Sanitary Kit])</f>
        <v>0</v>
      </c>
      <c r="AB376" s="352">
        <f>IF(NFI_Expiration=1,IF($A376&lt;VLOOKUP(K$5,NFI,5,0),1,0)*Table_NFI[[#This Row],[Mosquito net]],Table_NFI[Mosquito net])</f>
        <v>0</v>
      </c>
      <c r="AC376" s="352">
        <f>IF(NFI_Expiration=1,IF($A376&lt;VLOOKUP(L$5,NFI,5,0),1,0)*Table_NFI[[#This Row],[Tarpaulin]],Table_NFI[[#This Row],[Tarpaulin]])</f>
        <v>0</v>
      </c>
      <c r="AD376" s="352">
        <f>IF(NFI_Expiration=1,IF($A376&lt;VLOOKUP(M$5,NFI,5,0),1,0)*Table_NFI[[#This Row],[Blanket]],Table_NFI[[#This Row],[Blanket]])</f>
        <v>0</v>
      </c>
      <c r="AE376" s="352">
        <f>IF(NFI_Expiration=1,IF($A376&lt;VLOOKUP(N$5,NFI,5,0),1,0)*Table_NFI[[#This Row],[Kitchen Set]],Table_NFI[Kitchen Set])</f>
        <v>0</v>
      </c>
      <c r="AF376" s="352">
        <f>IF(NFI_Expiration=1,IF($A376&lt;VLOOKUP(O$5,NFI,5,0),1,0)*Table_NFI[[#This Row],[Clothes Kit]],Table_NFI[Clothes Kit])</f>
        <v>0</v>
      </c>
      <c r="AG376" s="352">
        <f>IF(NFI_Expiration=1,IF($A376&lt;VLOOKUP(P$5,NFI,5,0),1,0)*Table_NFI[[#This Row],[Plastic Bucket]],Table_NFI[Plastic Bucket])</f>
        <v>0</v>
      </c>
      <c r="AH376" s="352">
        <f>IF(NFI_Expiration=1,IF($A376&lt;VLOOKUP(Q$5,NFI,5,0),1,0)*Table_NFI[[#This Row],[Plastic Mat]],Table_NFI[Plastic Mat])*IF(Table_NFI[[#This Row],[Distribution Date]]&gt;"2014-04-01",1,2.5)</f>
        <v>0</v>
      </c>
      <c r="AI376" s="352">
        <f>IF(NFI_Expiration=1,IF($A376&lt;VLOOKUP(R$5,NFI,5,0),1,0)*Table_NFI[[#This Row],[Winter Clothes Adult]],Table_NFI[Winter Clothes Adult])</f>
        <v>0</v>
      </c>
      <c r="AJ376" s="352">
        <f>IF(NFI_Expiration=1,IF($A376&lt;VLOOKUP(S$5,NFI,5,0),1,0)*Table_NFI[[#This Row],[Winter Clothes Children]],Table_NFI[Winter Clothes Children])</f>
        <v>0</v>
      </c>
      <c r="AK376" s="352">
        <f>IF(NFI_Expiration=1,IF($A376&lt;VLOOKUP(T$5,NFI,5,0),1,0)*Table_NFI[[#This Row],[Winter Items Other]],Table_NFI[Winter Items Other])</f>
        <v>0</v>
      </c>
      <c r="AL376" s="352">
        <f>IF(NFI_Expiration=1,IF($A376&lt;VLOOKUP(M$5,NFI,5,0),1,0)*Table_NFI[[#This Row],[Winter Blanket]],Table_NFI[[#This Row],[Winter Blanket]])</f>
        <v>0</v>
      </c>
      <c r="AM376" s="352">
        <f>IF(Table_NFI[[#This Row],[Winter Clothes Adult]]+Table_NFI[[#This Row],[Winter Clothes Children]]+Table_NFI[[#This Row],[Winter Items Other]]+Table_NFI[[#This Row],[Winter Blanket]]&gt;0,1,0)</f>
        <v>0</v>
      </c>
      <c r="AN376" s="392">
        <f>IF(NFI_Expiration=1,IF($A376&lt;VLOOKUP(V$5,NFI,5,0),1,0)*Table_NFI[[#This Row],[Jerry Can]],Table_NFI[Jerry Can])</f>
        <v>0</v>
      </c>
      <c r="AO376" s="540" t="str">
        <f>IFERROR(VLOOKUP(Table_NFI[[#This Row],[Camp Name]],CL,2,0),"")</f>
        <v>MMR001CMP070</v>
      </c>
      <c r="AP376" s="535">
        <f ca="1">IF(Table_NFI[[#This Row],[Pcode]]="","",IF(OFFSET(CampList[Opening Date],MATCH(Table_NFI[[#This Row],[Pcode]],CampList[CP_Pcode],0)-1,0,1,1)&gt;=NFI_Monitor_Date,1,0))</f>
        <v>0</v>
      </c>
      <c r="AQ376" s="540" t="str">
        <f>IFERROR(VLOOKUP(Table_NFI[[#This Row],[Camp Name]],CL,3,0),"")</f>
        <v>Open</v>
      </c>
      <c r="AR376" s="352" t="str">
        <f ca="1">IF(Table_NFI[[#This Row],[Pcode]]="","",OFFSET(CampList[Priority],MATCH(Table_NFI[[#This Row],[Pcode]],CampList[CP_Pcode],0)-1,0,1,1))</f>
        <v>P3</v>
      </c>
      <c r="AS376" s="351">
        <f>IFERROR(Table_NFI[[#This Row],[Kitchen Set]]/VLOOKUP(Table_NFI[[#This Row],[Camp Name]],CL,4,0),"")</f>
        <v>0</v>
      </c>
      <c r="AT376" s="533"/>
      <c r="AU376" s="536"/>
    </row>
    <row r="377" spans="1:47" s="537" customFormat="1" hidden="1" x14ac:dyDescent="0.25">
      <c r="A377" s="355">
        <f t="shared" si="5"/>
        <v>16.533333333333335</v>
      </c>
      <c r="B377" s="532">
        <v>42075</v>
      </c>
      <c r="C377" s="533" t="s">
        <v>907</v>
      </c>
      <c r="D377" s="534" t="s">
        <v>907</v>
      </c>
      <c r="E377" s="533" t="s">
        <v>380</v>
      </c>
      <c r="F377" s="348" t="s">
        <v>185</v>
      </c>
      <c r="G377" s="348" t="s">
        <v>223</v>
      </c>
      <c r="H377" s="349"/>
      <c r="I377" s="349"/>
      <c r="J377" s="350"/>
      <c r="K377" s="349"/>
      <c r="L377" s="350"/>
      <c r="M377" s="350"/>
      <c r="N377" s="350"/>
      <c r="O377" s="350"/>
      <c r="P377" s="352"/>
      <c r="Q377" s="392"/>
      <c r="R377" s="392"/>
      <c r="S377" s="392"/>
      <c r="T377" s="392"/>
      <c r="U377" s="392"/>
      <c r="V377" s="497"/>
      <c r="W377" s="392">
        <v>2</v>
      </c>
      <c r="X377" s="392"/>
      <c r="Y377" s="352">
        <f>IF(NFI_Expiration=1,IF($A377&lt;VLOOKUP(H$5,NFI,5,0),1,0)*Table_NFI[[#This Row],[Hygiene Kit]],Table_NFI[Hygiene Kit])</f>
        <v>0</v>
      </c>
      <c r="Z377" s="352">
        <f>IF(NFI_Expiration=1,IF($A377&lt;VLOOKUP(I$5,NFI,5,0),1,0)*Table_NFI[[#This Row],[NFI Core Kit]],Table_NFI[NFI Core Kit])</f>
        <v>0</v>
      </c>
      <c r="AA377" s="352">
        <f>IF(NFI_Expiration=1,IF($A377&lt;VLOOKUP(J$5,NFI,5,0),1,0)*Table_NFI[[#This Row],[Sanitary Kit]],Table_NFI[Sanitary Kit])</f>
        <v>0</v>
      </c>
      <c r="AB377" s="352">
        <f>IF(NFI_Expiration=1,IF($A377&lt;VLOOKUP(K$5,NFI,5,0),1,0)*Table_NFI[[#This Row],[Mosquito net]],Table_NFI[Mosquito net])</f>
        <v>0</v>
      </c>
      <c r="AC377" s="352">
        <f>IF(NFI_Expiration=1,IF($A377&lt;VLOOKUP(L$5,NFI,5,0),1,0)*Table_NFI[[#This Row],[Tarpaulin]],Table_NFI[[#This Row],[Tarpaulin]])</f>
        <v>0</v>
      </c>
      <c r="AD377" s="352">
        <f>IF(NFI_Expiration=1,IF($A377&lt;VLOOKUP(M$5,NFI,5,0),1,0)*Table_NFI[[#This Row],[Blanket]],Table_NFI[[#This Row],[Blanket]])</f>
        <v>0</v>
      </c>
      <c r="AE377" s="352">
        <f>IF(NFI_Expiration=1,IF($A377&lt;VLOOKUP(N$5,NFI,5,0),1,0)*Table_NFI[[#This Row],[Kitchen Set]],Table_NFI[Kitchen Set])</f>
        <v>0</v>
      </c>
      <c r="AF377" s="352">
        <f>IF(NFI_Expiration=1,IF($A377&lt;VLOOKUP(O$5,NFI,5,0),1,0)*Table_NFI[[#This Row],[Clothes Kit]],Table_NFI[Clothes Kit])</f>
        <v>0</v>
      </c>
      <c r="AG377" s="352">
        <f>IF(NFI_Expiration=1,IF($A377&lt;VLOOKUP(P$5,NFI,5,0),1,0)*Table_NFI[[#This Row],[Plastic Bucket]],Table_NFI[Plastic Bucket])</f>
        <v>0</v>
      </c>
      <c r="AH377" s="352">
        <f>IF(NFI_Expiration=1,IF($A377&lt;VLOOKUP(Q$5,NFI,5,0),1,0)*Table_NFI[[#This Row],[Plastic Mat]],Table_NFI[Plastic Mat])*IF(Table_NFI[[#This Row],[Distribution Date]]&gt;"2014-04-01",1,2.5)</f>
        <v>0</v>
      </c>
      <c r="AI377" s="352">
        <f>IF(NFI_Expiration=1,IF($A377&lt;VLOOKUP(R$5,NFI,5,0),1,0)*Table_NFI[[#This Row],[Winter Clothes Adult]],Table_NFI[Winter Clothes Adult])</f>
        <v>0</v>
      </c>
      <c r="AJ377" s="352">
        <f>IF(NFI_Expiration=1,IF($A377&lt;VLOOKUP(S$5,NFI,5,0),1,0)*Table_NFI[[#This Row],[Winter Clothes Children]],Table_NFI[Winter Clothes Children])</f>
        <v>0</v>
      </c>
      <c r="AK377" s="352">
        <f>IF(NFI_Expiration=1,IF($A377&lt;VLOOKUP(T$5,NFI,5,0),1,0)*Table_NFI[[#This Row],[Winter Items Other]],Table_NFI[Winter Items Other])</f>
        <v>0</v>
      </c>
      <c r="AL377" s="352">
        <f>IF(NFI_Expiration=1,IF($A377&lt;VLOOKUP(M$5,NFI,5,0),1,0)*Table_NFI[[#This Row],[Winter Blanket]],Table_NFI[[#This Row],[Winter Blanket]])</f>
        <v>0</v>
      </c>
      <c r="AM377" s="352">
        <f>IF(Table_NFI[[#This Row],[Winter Clothes Adult]]+Table_NFI[[#This Row],[Winter Clothes Children]]+Table_NFI[[#This Row],[Winter Items Other]]+Table_NFI[[#This Row],[Winter Blanket]]&gt;0,1,0)</f>
        <v>0</v>
      </c>
      <c r="AN377" s="392">
        <f>IF(NFI_Expiration=1,IF($A377&lt;VLOOKUP(V$5,NFI,5,0),1,0)*Table_NFI[[#This Row],[Jerry Can]],Table_NFI[Jerry Can])</f>
        <v>0</v>
      </c>
      <c r="AO377" s="540" t="str">
        <f>IFERROR(VLOOKUP(Table_NFI[[#This Row],[Camp Name]],CL,2,0),"")</f>
        <v>MMR001CMP069</v>
      </c>
      <c r="AP377" s="535">
        <f ca="1">IF(Table_NFI[[#This Row],[Pcode]]="","",IF(OFFSET(CampList[Opening Date],MATCH(Table_NFI[[#This Row],[Pcode]],CampList[CP_Pcode],0)-1,0,1,1)&gt;=NFI_Monitor_Date,1,0))</f>
        <v>0</v>
      </c>
      <c r="AQ377" s="540" t="str">
        <f>IFERROR(VLOOKUP(Table_NFI[[#This Row],[Camp Name]],CL,3,0),"")</f>
        <v>Open</v>
      </c>
      <c r="AR377" s="352" t="str">
        <f ca="1">IF(Table_NFI[[#This Row],[Pcode]]="","",OFFSET(CampList[Priority],MATCH(Table_NFI[[#This Row],[Pcode]],CampList[CP_Pcode],0)-1,0,1,1))</f>
        <v>P3</v>
      </c>
      <c r="AS377" s="351">
        <f>IFERROR(Table_NFI[[#This Row],[Kitchen Set]]/VLOOKUP(Table_NFI[[#This Row],[Camp Name]],CL,4,0),"")</f>
        <v>0</v>
      </c>
      <c r="AT377" s="533"/>
      <c r="AU377" s="536"/>
    </row>
    <row r="378" spans="1:47" s="537" customFormat="1" hidden="1" x14ac:dyDescent="0.25">
      <c r="A378" s="355">
        <f t="shared" si="5"/>
        <v>7.2666666666666666</v>
      </c>
      <c r="B378" s="532">
        <v>42353</v>
      </c>
      <c r="C378" s="533" t="s">
        <v>907</v>
      </c>
      <c r="D378" s="534" t="s">
        <v>907</v>
      </c>
      <c r="E378" s="533" t="s">
        <v>380</v>
      </c>
      <c r="F378" s="348" t="s">
        <v>185</v>
      </c>
      <c r="G378" s="348" t="s">
        <v>223</v>
      </c>
      <c r="H378" s="349"/>
      <c r="I378" s="349"/>
      <c r="J378" s="350"/>
      <c r="K378" s="349"/>
      <c r="L378" s="350"/>
      <c r="M378" s="350"/>
      <c r="N378" s="350"/>
      <c r="O378" s="350"/>
      <c r="P378" s="352"/>
      <c r="Q378" s="392"/>
      <c r="R378" s="392"/>
      <c r="S378" s="392"/>
      <c r="T378" s="392"/>
      <c r="U378" s="392"/>
      <c r="V378" s="497"/>
      <c r="W378" s="392">
        <v>20</v>
      </c>
      <c r="X378" s="392"/>
      <c r="Y378" s="352">
        <f>IF(NFI_Expiration=1,IF($A378&lt;VLOOKUP(H$5,NFI,5,0),1,0)*Table_NFI[[#This Row],[Hygiene Kit]],Table_NFI[Hygiene Kit])</f>
        <v>0</v>
      </c>
      <c r="Z378" s="352">
        <f>IF(NFI_Expiration=1,IF($A378&lt;VLOOKUP(I$5,NFI,5,0),1,0)*Table_NFI[[#This Row],[NFI Core Kit]],Table_NFI[NFI Core Kit])</f>
        <v>0</v>
      </c>
      <c r="AA378" s="352">
        <f>IF(NFI_Expiration=1,IF($A378&lt;VLOOKUP(J$5,NFI,5,0),1,0)*Table_NFI[[#This Row],[Sanitary Kit]],Table_NFI[Sanitary Kit])</f>
        <v>0</v>
      </c>
      <c r="AB378" s="352">
        <f>IF(NFI_Expiration=1,IF($A378&lt;VLOOKUP(K$5,NFI,5,0),1,0)*Table_NFI[[#This Row],[Mosquito net]],Table_NFI[Mosquito net])</f>
        <v>0</v>
      </c>
      <c r="AC378" s="352">
        <f>IF(NFI_Expiration=1,IF($A378&lt;VLOOKUP(L$5,NFI,5,0),1,0)*Table_NFI[[#This Row],[Tarpaulin]],Table_NFI[[#This Row],[Tarpaulin]])</f>
        <v>0</v>
      </c>
      <c r="AD378" s="352">
        <f>IF(NFI_Expiration=1,IF($A378&lt;VLOOKUP(M$5,NFI,5,0),1,0)*Table_NFI[[#This Row],[Blanket]],Table_NFI[[#This Row],[Blanket]])</f>
        <v>0</v>
      </c>
      <c r="AE378" s="352">
        <f>IF(NFI_Expiration=1,IF($A378&lt;VLOOKUP(N$5,NFI,5,0),1,0)*Table_NFI[[#This Row],[Kitchen Set]],Table_NFI[Kitchen Set])</f>
        <v>0</v>
      </c>
      <c r="AF378" s="352">
        <f>IF(NFI_Expiration=1,IF($A378&lt;VLOOKUP(O$5,NFI,5,0),1,0)*Table_NFI[[#This Row],[Clothes Kit]],Table_NFI[Clothes Kit])</f>
        <v>0</v>
      </c>
      <c r="AG378" s="352">
        <f>IF(NFI_Expiration=1,IF($A378&lt;VLOOKUP(P$5,NFI,5,0),1,0)*Table_NFI[[#This Row],[Plastic Bucket]],Table_NFI[Plastic Bucket])</f>
        <v>0</v>
      </c>
      <c r="AH378" s="352">
        <f>IF(NFI_Expiration=1,IF($A378&lt;VLOOKUP(Q$5,NFI,5,0),1,0)*Table_NFI[[#This Row],[Plastic Mat]],Table_NFI[Plastic Mat])*IF(Table_NFI[[#This Row],[Distribution Date]]&gt;"2014-04-01",1,2.5)</f>
        <v>0</v>
      </c>
      <c r="AI378" s="352">
        <f>IF(NFI_Expiration=1,IF($A378&lt;VLOOKUP(R$5,NFI,5,0),1,0)*Table_NFI[[#This Row],[Winter Clothes Adult]],Table_NFI[Winter Clothes Adult])</f>
        <v>0</v>
      </c>
      <c r="AJ378" s="352">
        <f>IF(NFI_Expiration=1,IF($A378&lt;VLOOKUP(S$5,NFI,5,0),1,0)*Table_NFI[[#This Row],[Winter Clothes Children]],Table_NFI[Winter Clothes Children])</f>
        <v>0</v>
      </c>
      <c r="AK378" s="352">
        <f>IF(NFI_Expiration=1,IF($A378&lt;VLOOKUP(T$5,NFI,5,0),1,0)*Table_NFI[[#This Row],[Winter Items Other]],Table_NFI[Winter Items Other])</f>
        <v>0</v>
      </c>
      <c r="AL378" s="352">
        <f>IF(NFI_Expiration=1,IF($A378&lt;VLOOKUP(M$5,NFI,5,0),1,0)*Table_NFI[[#This Row],[Winter Blanket]],Table_NFI[[#This Row],[Winter Blanket]])</f>
        <v>0</v>
      </c>
      <c r="AM378" s="352">
        <f>IF(Table_NFI[[#This Row],[Winter Clothes Adult]]+Table_NFI[[#This Row],[Winter Clothes Children]]+Table_NFI[[#This Row],[Winter Items Other]]+Table_NFI[[#This Row],[Winter Blanket]]&gt;0,1,0)</f>
        <v>0</v>
      </c>
      <c r="AN378" s="392">
        <f>IF(NFI_Expiration=1,IF($A378&lt;VLOOKUP(V$5,NFI,5,0),1,0)*Table_NFI[[#This Row],[Jerry Can]],Table_NFI[Jerry Can])</f>
        <v>0</v>
      </c>
      <c r="AO378" s="540" t="str">
        <f>IFERROR(VLOOKUP(Table_NFI[[#This Row],[Camp Name]],CL,2,0),"")</f>
        <v>MMR001CMP069</v>
      </c>
      <c r="AP378" s="535">
        <f ca="1">IF(Table_NFI[[#This Row],[Pcode]]="","",IF(OFFSET(CampList[Opening Date],MATCH(Table_NFI[[#This Row],[Pcode]],CampList[CP_Pcode],0)-1,0,1,1)&gt;=NFI_Monitor_Date,1,0))</f>
        <v>0</v>
      </c>
      <c r="AQ378" s="540" t="str">
        <f>IFERROR(VLOOKUP(Table_NFI[[#This Row],[Camp Name]],CL,3,0),"")</f>
        <v>Open</v>
      </c>
      <c r="AR378" s="352" t="str">
        <f ca="1">IF(Table_NFI[[#This Row],[Pcode]]="","",OFFSET(CampList[Priority],MATCH(Table_NFI[[#This Row],[Pcode]],CampList[CP_Pcode],0)-1,0,1,1))</f>
        <v>P3</v>
      </c>
      <c r="AS378" s="351">
        <f>IFERROR(Table_NFI[[#This Row],[Kitchen Set]]/VLOOKUP(Table_NFI[[#This Row],[Camp Name]],CL,4,0),"")</f>
        <v>0</v>
      </c>
      <c r="AT378" s="533"/>
      <c r="AU378" s="536"/>
    </row>
    <row r="379" spans="1:47" s="537" customFormat="1" hidden="1" x14ac:dyDescent="0.25">
      <c r="A379" s="355">
        <f t="shared" si="5"/>
        <v>2.7</v>
      </c>
      <c r="B379" s="532">
        <v>42490</v>
      </c>
      <c r="C379" s="533" t="s">
        <v>907</v>
      </c>
      <c r="D379" s="534" t="s">
        <v>907</v>
      </c>
      <c r="E379" s="533" t="s">
        <v>380</v>
      </c>
      <c r="F379" s="348" t="s">
        <v>185</v>
      </c>
      <c r="G379" s="348" t="s">
        <v>223</v>
      </c>
      <c r="H379" s="349"/>
      <c r="I379" s="349"/>
      <c r="J379" s="350"/>
      <c r="K379" s="349"/>
      <c r="L379" s="350"/>
      <c r="M379" s="350"/>
      <c r="N379" s="350"/>
      <c r="O379" s="350"/>
      <c r="P379" s="352"/>
      <c r="Q379" s="392"/>
      <c r="R379" s="392"/>
      <c r="S379" s="392"/>
      <c r="T379" s="392"/>
      <c r="U379" s="392"/>
      <c r="V379" s="497"/>
      <c r="W379" s="392">
        <v>6</v>
      </c>
      <c r="X379" s="392"/>
      <c r="Y379" s="352">
        <f>IF(NFI_Expiration=1,IF($A379&lt;VLOOKUP(H$5,NFI,5,0),1,0)*Table_NFI[[#This Row],[Hygiene Kit]],Table_NFI[Hygiene Kit])</f>
        <v>0</v>
      </c>
      <c r="Z379" s="352">
        <f>IF(NFI_Expiration=1,IF($A379&lt;VLOOKUP(I$5,NFI,5,0),1,0)*Table_NFI[[#This Row],[NFI Core Kit]],Table_NFI[NFI Core Kit])</f>
        <v>0</v>
      </c>
      <c r="AA379" s="352">
        <f>IF(NFI_Expiration=1,IF($A379&lt;VLOOKUP(J$5,NFI,5,0),1,0)*Table_NFI[[#This Row],[Sanitary Kit]],Table_NFI[Sanitary Kit])</f>
        <v>0</v>
      </c>
      <c r="AB379" s="352">
        <f>IF(NFI_Expiration=1,IF($A379&lt;VLOOKUP(K$5,NFI,5,0),1,0)*Table_NFI[[#This Row],[Mosquito net]],Table_NFI[Mosquito net])</f>
        <v>0</v>
      </c>
      <c r="AC379" s="352">
        <f>IF(NFI_Expiration=1,IF($A379&lt;VLOOKUP(L$5,NFI,5,0),1,0)*Table_NFI[[#This Row],[Tarpaulin]],Table_NFI[[#This Row],[Tarpaulin]])</f>
        <v>0</v>
      </c>
      <c r="AD379" s="352">
        <f>IF(NFI_Expiration=1,IF($A379&lt;VLOOKUP(M$5,NFI,5,0),1,0)*Table_NFI[[#This Row],[Blanket]],Table_NFI[[#This Row],[Blanket]])</f>
        <v>0</v>
      </c>
      <c r="AE379" s="352">
        <f>IF(NFI_Expiration=1,IF($A379&lt;VLOOKUP(N$5,NFI,5,0),1,0)*Table_NFI[[#This Row],[Kitchen Set]],Table_NFI[Kitchen Set])</f>
        <v>0</v>
      </c>
      <c r="AF379" s="352">
        <f>IF(NFI_Expiration=1,IF($A379&lt;VLOOKUP(O$5,NFI,5,0),1,0)*Table_NFI[[#This Row],[Clothes Kit]],Table_NFI[Clothes Kit])</f>
        <v>0</v>
      </c>
      <c r="AG379" s="352">
        <f>IF(NFI_Expiration=1,IF($A379&lt;VLOOKUP(P$5,NFI,5,0),1,0)*Table_NFI[[#This Row],[Plastic Bucket]],Table_NFI[Plastic Bucket])</f>
        <v>0</v>
      </c>
      <c r="AH379" s="352">
        <f>IF(NFI_Expiration=1,IF($A379&lt;VLOOKUP(Q$5,NFI,5,0),1,0)*Table_NFI[[#This Row],[Plastic Mat]],Table_NFI[Plastic Mat])*IF(Table_NFI[[#This Row],[Distribution Date]]&gt;"2014-04-01",1,2.5)</f>
        <v>0</v>
      </c>
      <c r="AI379" s="352">
        <f>IF(NFI_Expiration=1,IF($A379&lt;VLOOKUP(R$5,NFI,5,0),1,0)*Table_NFI[[#This Row],[Winter Clothes Adult]],Table_NFI[Winter Clothes Adult])</f>
        <v>0</v>
      </c>
      <c r="AJ379" s="352">
        <f>IF(NFI_Expiration=1,IF($A379&lt;VLOOKUP(S$5,NFI,5,0),1,0)*Table_NFI[[#This Row],[Winter Clothes Children]],Table_NFI[Winter Clothes Children])</f>
        <v>0</v>
      </c>
      <c r="AK379" s="352">
        <f>IF(NFI_Expiration=1,IF($A379&lt;VLOOKUP(T$5,NFI,5,0),1,0)*Table_NFI[[#This Row],[Winter Items Other]],Table_NFI[Winter Items Other])</f>
        <v>0</v>
      </c>
      <c r="AL379" s="352">
        <f>IF(NFI_Expiration=1,IF($A379&lt;VLOOKUP(M$5,NFI,5,0),1,0)*Table_NFI[[#This Row],[Winter Blanket]],Table_NFI[[#This Row],[Winter Blanket]])</f>
        <v>0</v>
      </c>
      <c r="AM379" s="352">
        <f>IF(Table_NFI[[#This Row],[Winter Clothes Adult]]+Table_NFI[[#This Row],[Winter Clothes Children]]+Table_NFI[[#This Row],[Winter Items Other]]+Table_NFI[[#This Row],[Winter Blanket]]&gt;0,1,0)</f>
        <v>0</v>
      </c>
      <c r="AN379" s="392">
        <f>IF(NFI_Expiration=1,IF($A379&lt;VLOOKUP(V$5,NFI,5,0),1,0)*Table_NFI[[#This Row],[Jerry Can]],Table_NFI[Jerry Can])</f>
        <v>0</v>
      </c>
      <c r="AO379" s="540" t="str">
        <f>IFERROR(VLOOKUP(Table_NFI[[#This Row],[Camp Name]],CL,2,0),"")</f>
        <v>MMR001CMP069</v>
      </c>
      <c r="AP379" s="535">
        <f ca="1">IF(Table_NFI[[#This Row],[Pcode]]="","",IF(OFFSET(CampList[Opening Date],MATCH(Table_NFI[[#This Row],[Pcode]],CampList[CP_Pcode],0)-1,0,1,1)&gt;=NFI_Monitor_Date,1,0))</f>
        <v>0</v>
      </c>
      <c r="AQ379" s="540" t="str">
        <f>IFERROR(VLOOKUP(Table_NFI[[#This Row],[Camp Name]],CL,3,0),"")</f>
        <v>Open</v>
      </c>
      <c r="AR379" s="352" t="str">
        <f ca="1">IF(Table_NFI[[#This Row],[Pcode]]="","",OFFSET(CampList[Priority],MATCH(Table_NFI[[#This Row],[Pcode]],CampList[CP_Pcode],0)-1,0,1,1))</f>
        <v>P3</v>
      </c>
      <c r="AS379" s="351">
        <f>IFERROR(Table_NFI[[#This Row],[Kitchen Set]]/VLOOKUP(Table_NFI[[#This Row],[Camp Name]],CL,4,0),"")</f>
        <v>0</v>
      </c>
      <c r="AT379" s="533"/>
      <c r="AU379" s="536"/>
    </row>
    <row r="380" spans="1:47" s="537" customFormat="1" hidden="1" x14ac:dyDescent="0.25">
      <c r="A380" s="355">
        <f t="shared" si="5"/>
        <v>16.533333333333335</v>
      </c>
      <c r="B380" s="532">
        <v>42075</v>
      </c>
      <c r="C380" s="533" t="s">
        <v>907</v>
      </c>
      <c r="D380" s="534" t="s">
        <v>907</v>
      </c>
      <c r="E380" s="533" t="s">
        <v>380</v>
      </c>
      <c r="F380" s="348" t="s">
        <v>185</v>
      </c>
      <c r="G380" s="348" t="s">
        <v>190</v>
      </c>
      <c r="H380" s="349"/>
      <c r="I380" s="349"/>
      <c r="J380" s="350"/>
      <c r="K380" s="349"/>
      <c r="L380" s="350"/>
      <c r="M380" s="350"/>
      <c r="N380" s="350"/>
      <c r="O380" s="350"/>
      <c r="P380" s="352"/>
      <c r="Q380" s="392"/>
      <c r="R380" s="392"/>
      <c r="S380" s="392"/>
      <c r="T380" s="392"/>
      <c r="U380" s="392"/>
      <c r="V380" s="497"/>
      <c r="W380" s="392">
        <v>5</v>
      </c>
      <c r="X380" s="392"/>
      <c r="Y380" s="352">
        <f>IF(NFI_Expiration=1,IF($A380&lt;VLOOKUP(H$5,NFI,5,0),1,0)*Table_NFI[[#This Row],[Hygiene Kit]],Table_NFI[Hygiene Kit])</f>
        <v>0</v>
      </c>
      <c r="Z380" s="352">
        <f>IF(NFI_Expiration=1,IF($A380&lt;VLOOKUP(I$5,NFI,5,0),1,0)*Table_NFI[[#This Row],[NFI Core Kit]],Table_NFI[NFI Core Kit])</f>
        <v>0</v>
      </c>
      <c r="AA380" s="352">
        <f>IF(NFI_Expiration=1,IF($A380&lt;VLOOKUP(J$5,NFI,5,0),1,0)*Table_NFI[[#This Row],[Sanitary Kit]],Table_NFI[Sanitary Kit])</f>
        <v>0</v>
      </c>
      <c r="AB380" s="352">
        <f>IF(NFI_Expiration=1,IF($A380&lt;VLOOKUP(K$5,NFI,5,0),1,0)*Table_NFI[[#This Row],[Mosquito net]],Table_NFI[Mosquito net])</f>
        <v>0</v>
      </c>
      <c r="AC380" s="352">
        <f>IF(NFI_Expiration=1,IF($A380&lt;VLOOKUP(L$5,NFI,5,0),1,0)*Table_NFI[[#This Row],[Tarpaulin]],Table_NFI[[#This Row],[Tarpaulin]])</f>
        <v>0</v>
      </c>
      <c r="AD380" s="352">
        <f>IF(NFI_Expiration=1,IF($A380&lt;VLOOKUP(M$5,NFI,5,0),1,0)*Table_NFI[[#This Row],[Blanket]],Table_NFI[[#This Row],[Blanket]])</f>
        <v>0</v>
      </c>
      <c r="AE380" s="352">
        <f>IF(NFI_Expiration=1,IF($A380&lt;VLOOKUP(N$5,NFI,5,0),1,0)*Table_NFI[[#This Row],[Kitchen Set]],Table_NFI[Kitchen Set])</f>
        <v>0</v>
      </c>
      <c r="AF380" s="352">
        <f>IF(NFI_Expiration=1,IF($A380&lt;VLOOKUP(O$5,NFI,5,0),1,0)*Table_NFI[[#This Row],[Clothes Kit]],Table_NFI[Clothes Kit])</f>
        <v>0</v>
      </c>
      <c r="AG380" s="352">
        <f>IF(NFI_Expiration=1,IF($A380&lt;VLOOKUP(P$5,NFI,5,0),1,0)*Table_NFI[[#This Row],[Plastic Bucket]],Table_NFI[Plastic Bucket])</f>
        <v>0</v>
      </c>
      <c r="AH380" s="352">
        <f>IF(NFI_Expiration=1,IF($A380&lt;VLOOKUP(Q$5,NFI,5,0),1,0)*Table_NFI[[#This Row],[Plastic Mat]],Table_NFI[Plastic Mat])*IF(Table_NFI[[#This Row],[Distribution Date]]&gt;"2014-04-01",1,2.5)</f>
        <v>0</v>
      </c>
      <c r="AI380" s="352">
        <f>IF(NFI_Expiration=1,IF($A380&lt;VLOOKUP(R$5,NFI,5,0),1,0)*Table_NFI[[#This Row],[Winter Clothes Adult]],Table_NFI[Winter Clothes Adult])</f>
        <v>0</v>
      </c>
      <c r="AJ380" s="352">
        <f>IF(NFI_Expiration=1,IF($A380&lt;VLOOKUP(S$5,NFI,5,0),1,0)*Table_NFI[[#This Row],[Winter Clothes Children]],Table_NFI[Winter Clothes Children])</f>
        <v>0</v>
      </c>
      <c r="AK380" s="352">
        <f>IF(NFI_Expiration=1,IF($A380&lt;VLOOKUP(T$5,NFI,5,0),1,0)*Table_NFI[[#This Row],[Winter Items Other]],Table_NFI[Winter Items Other])</f>
        <v>0</v>
      </c>
      <c r="AL380" s="352">
        <f>IF(NFI_Expiration=1,IF($A380&lt;VLOOKUP(M$5,NFI,5,0),1,0)*Table_NFI[[#This Row],[Winter Blanket]],Table_NFI[[#This Row],[Winter Blanket]])</f>
        <v>0</v>
      </c>
      <c r="AM380" s="352">
        <f>IF(Table_NFI[[#This Row],[Winter Clothes Adult]]+Table_NFI[[#This Row],[Winter Clothes Children]]+Table_NFI[[#This Row],[Winter Items Other]]+Table_NFI[[#This Row],[Winter Blanket]]&gt;0,1,0)</f>
        <v>0</v>
      </c>
      <c r="AN380" s="392">
        <f>IF(NFI_Expiration=1,IF($A380&lt;VLOOKUP(V$5,NFI,5,0),1,0)*Table_NFI[[#This Row],[Jerry Can]],Table_NFI[Jerry Can])</f>
        <v>0</v>
      </c>
      <c r="AO380" s="540" t="str">
        <f>IFERROR(VLOOKUP(Table_NFI[[#This Row],[Camp Name]],CL,2,0),"")</f>
        <v>MMR001CMP070</v>
      </c>
      <c r="AP380" s="535">
        <f ca="1">IF(Table_NFI[[#This Row],[Pcode]]="","",IF(OFFSET(CampList[Opening Date],MATCH(Table_NFI[[#This Row],[Pcode]],CampList[CP_Pcode],0)-1,0,1,1)&gt;=NFI_Monitor_Date,1,0))</f>
        <v>0</v>
      </c>
      <c r="AQ380" s="540" t="str">
        <f>IFERROR(VLOOKUP(Table_NFI[[#This Row],[Camp Name]],CL,3,0),"")</f>
        <v>Open</v>
      </c>
      <c r="AR380" s="352" t="str">
        <f ca="1">IF(Table_NFI[[#This Row],[Pcode]]="","",OFFSET(CampList[Priority],MATCH(Table_NFI[[#This Row],[Pcode]],CampList[CP_Pcode],0)-1,0,1,1))</f>
        <v>P3</v>
      </c>
      <c r="AS380" s="351">
        <f>IFERROR(Table_NFI[[#This Row],[Kitchen Set]]/VLOOKUP(Table_NFI[[#This Row],[Camp Name]],CL,4,0),"")</f>
        <v>0</v>
      </c>
      <c r="AT380" s="533"/>
      <c r="AU380" s="536"/>
    </row>
    <row r="381" spans="1:47" s="537" customFormat="1" hidden="1" x14ac:dyDescent="0.25">
      <c r="A381" s="355">
        <f t="shared" si="5"/>
        <v>7.2666666666666666</v>
      </c>
      <c r="B381" s="532">
        <v>42353</v>
      </c>
      <c r="C381" s="533" t="s">
        <v>907</v>
      </c>
      <c r="D381" s="534" t="s">
        <v>907</v>
      </c>
      <c r="E381" s="533" t="s">
        <v>380</v>
      </c>
      <c r="F381" s="348" t="s">
        <v>185</v>
      </c>
      <c r="G381" s="348" t="s">
        <v>190</v>
      </c>
      <c r="H381" s="349"/>
      <c r="I381" s="349"/>
      <c r="J381" s="350"/>
      <c r="K381" s="349"/>
      <c r="L381" s="350"/>
      <c r="M381" s="350"/>
      <c r="N381" s="350"/>
      <c r="O381" s="350"/>
      <c r="P381" s="352"/>
      <c r="Q381" s="392"/>
      <c r="R381" s="392"/>
      <c r="S381" s="392"/>
      <c r="T381" s="392"/>
      <c r="U381" s="392"/>
      <c r="V381" s="497"/>
      <c r="W381" s="392">
        <v>14</v>
      </c>
      <c r="X381" s="392"/>
      <c r="Y381" s="352">
        <f>IF(NFI_Expiration=1,IF($A381&lt;VLOOKUP(H$5,NFI,5,0),1,0)*Table_NFI[[#This Row],[Hygiene Kit]],Table_NFI[Hygiene Kit])</f>
        <v>0</v>
      </c>
      <c r="Z381" s="352">
        <f>IF(NFI_Expiration=1,IF($A381&lt;VLOOKUP(I$5,NFI,5,0),1,0)*Table_NFI[[#This Row],[NFI Core Kit]],Table_NFI[NFI Core Kit])</f>
        <v>0</v>
      </c>
      <c r="AA381" s="352">
        <f>IF(NFI_Expiration=1,IF($A381&lt;VLOOKUP(J$5,NFI,5,0),1,0)*Table_NFI[[#This Row],[Sanitary Kit]],Table_NFI[Sanitary Kit])</f>
        <v>0</v>
      </c>
      <c r="AB381" s="352">
        <f>IF(NFI_Expiration=1,IF($A381&lt;VLOOKUP(K$5,NFI,5,0),1,0)*Table_NFI[[#This Row],[Mosquito net]],Table_NFI[Mosquito net])</f>
        <v>0</v>
      </c>
      <c r="AC381" s="352">
        <f>IF(NFI_Expiration=1,IF($A381&lt;VLOOKUP(L$5,NFI,5,0),1,0)*Table_NFI[[#This Row],[Tarpaulin]],Table_NFI[[#This Row],[Tarpaulin]])</f>
        <v>0</v>
      </c>
      <c r="AD381" s="352">
        <f>IF(NFI_Expiration=1,IF($A381&lt;VLOOKUP(M$5,NFI,5,0),1,0)*Table_NFI[[#This Row],[Blanket]],Table_NFI[[#This Row],[Blanket]])</f>
        <v>0</v>
      </c>
      <c r="AE381" s="352">
        <f>IF(NFI_Expiration=1,IF($A381&lt;VLOOKUP(N$5,NFI,5,0),1,0)*Table_NFI[[#This Row],[Kitchen Set]],Table_NFI[Kitchen Set])</f>
        <v>0</v>
      </c>
      <c r="AF381" s="352">
        <f>IF(NFI_Expiration=1,IF($A381&lt;VLOOKUP(O$5,NFI,5,0),1,0)*Table_NFI[[#This Row],[Clothes Kit]],Table_NFI[Clothes Kit])</f>
        <v>0</v>
      </c>
      <c r="AG381" s="352">
        <f>IF(NFI_Expiration=1,IF($A381&lt;VLOOKUP(P$5,NFI,5,0),1,0)*Table_NFI[[#This Row],[Plastic Bucket]],Table_NFI[Plastic Bucket])</f>
        <v>0</v>
      </c>
      <c r="AH381" s="352">
        <f>IF(NFI_Expiration=1,IF($A381&lt;VLOOKUP(Q$5,NFI,5,0),1,0)*Table_NFI[[#This Row],[Plastic Mat]],Table_NFI[Plastic Mat])*IF(Table_NFI[[#This Row],[Distribution Date]]&gt;"2014-04-01",1,2.5)</f>
        <v>0</v>
      </c>
      <c r="AI381" s="352">
        <f>IF(NFI_Expiration=1,IF($A381&lt;VLOOKUP(R$5,NFI,5,0),1,0)*Table_NFI[[#This Row],[Winter Clothes Adult]],Table_NFI[Winter Clothes Adult])</f>
        <v>0</v>
      </c>
      <c r="AJ381" s="352">
        <f>IF(NFI_Expiration=1,IF($A381&lt;VLOOKUP(S$5,NFI,5,0),1,0)*Table_NFI[[#This Row],[Winter Clothes Children]],Table_NFI[Winter Clothes Children])</f>
        <v>0</v>
      </c>
      <c r="AK381" s="352">
        <f>IF(NFI_Expiration=1,IF($A381&lt;VLOOKUP(T$5,NFI,5,0),1,0)*Table_NFI[[#This Row],[Winter Items Other]],Table_NFI[Winter Items Other])</f>
        <v>0</v>
      </c>
      <c r="AL381" s="352">
        <f>IF(NFI_Expiration=1,IF($A381&lt;VLOOKUP(M$5,NFI,5,0),1,0)*Table_NFI[[#This Row],[Winter Blanket]],Table_NFI[[#This Row],[Winter Blanket]])</f>
        <v>0</v>
      </c>
      <c r="AM381" s="352">
        <f>IF(Table_NFI[[#This Row],[Winter Clothes Adult]]+Table_NFI[[#This Row],[Winter Clothes Children]]+Table_NFI[[#This Row],[Winter Items Other]]+Table_NFI[[#This Row],[Winter Blanket]]&gt;0,1,0)</f>
        <v>0</v>
      </c>
      <c r="AN381" s="392">
        <f>IF(NFI_Expiration=1,IF($A381&lt;VLOOKUP(V$5,NFI,5,0),1,0)*Table_NFI[[#This Row],[Jerry Can]],Table_NFI[Jerry Can])</f>
        <v>0</v>
      </c>
      <c r="AO381" s="540" t="str">
        <f>IFERROR(VLOOKUP(Table_NFI[[#This Row],[Camp Name]],CL,2,0),"")</f>
        <v>MMR001CMP070</v>
      </c>
      <c r="AP381" s="535">
        <f ca="1">IF(Table_NFI[[#This Row],[Pcode]]="","",IF(OFFSET(CampList[Opening Date],MATCH(Table_NFI[[#This Row],[Pcode]],CampList[CP_Pcode],0)-1,0,1,1)&gt;=NFI_Monitor_Date,1,0))</f>
        <v>0</v>
      </c>
      <c r="AQ381" s="540" t="str">
        <f>IFERROR(VLOOKUP(Table_NFI[[#This Row],[Camp Name]],CL,3,0),"")</f>
        <v>Open</v>
      </c>
      <c r="AR381" s="352" t="str">
        <f ca="1">IF(Table_NFI[[#This Row],[Pcode]]="","",OFFSET(CampList[Priority],MATCH(Table_NFI[[#This Row],[Pcode]],CampList[CP_Pcode],0)-1,0,1,1))</f>
        <v>P3</v>
      </c>
      <c r="AS381" s="351">
        <f>IFERROR(Table_NFI[[#This Row],[Kitchen Set]]/VLOOKUP(Table_NFI[[#This Row],[Camp Name]],CL,4,0),"")</f>
        <v>0</v>
      </c>
      <c r="AT381" s="533"/>
      <c r="AU381" s="536"/>
    </row>
    <row r="382" spans="1:47" s="537" customFormat="1" hidden="1" x14ac:dyDescent="0.25">
      <c r="A382" s="355">
        <f t="shared" si="5"/>
        <v>2.7</v>
      </c>
      <c r="B382" s="532">
        <v>42490</v>
      </c>
      <c r="C382" s="533" t="s">
        <v>907</v>
      </c>
      <c r="D382" s="534" t="s">
        <v>907</v>
      </c>
      <c r="E382" s="533" t="s">
        <v>380</v>
      </c>
      <c r="F382" s="348" t="s">
        <v>185</v>
      </c>
      <c r="G382" s="348" t="s">
        <v>190</v>
      </c>
      <c r="H382" s="349"/>
      <c r="I382" s="349"/>
      <c r="J382" s="350"/>
      <c r="K382" s="349"/>
      <c r="L382" s="350"/>
      <c r="M382" s="350"/>
      <c r="N382" s="350"/>
      <c r="O382" s="350"/>
      <c r="P382" s="352"/>
      <c r="Q382" s="392"/>
      <c r="R382" s="392"/>
      <c r="S382" s="392"/>
      <c r="T382" s="392"/>
      <c r="U382" s="392"/>
      <c r="V382" s="497"/>
      <c r="W382" s="392">
        <v>14</v>
      </c>
      <c r="X382" s="392"/>
      <c r="Y382" s="352">
        <f>IF(NFI_Expiration=1,IF($A382&lt;VLOOKUP(H$5,NFI,5,0),1,0)*Table_NFI[[#This Row],[Hygiene Kit]],Table_NFI[Hygiene Kit])</f>
        <v>0</v>
      </c>
      <c r="Z382" s="352">
        <f>IF(NFI_Expiration=1,IF($A382&lt;VLOOKUP(I$5,NFI,5,0),1,0)*Table_NFI[[#This Row],[NFI Core Kit]],Table_NFI[NFI Core Kit])</f>
        <v>0</v>
      </c>
      <c r="AA382" s="352">
        <f>IF(NFI_Expiration=1,IF($A382&lt;VLOOKUP(J$5,NFI,5,0),1,0)*Table_NFI[[#This Row],[Sanitary Kit]],Table_NFI[Sanitary Kit])</f>
        <v>0</v>
      </c>
      <c r="AB382" s="352">
        <f>IF(NFI_Expiration=1,IF($A382&lt;VLOOKUP(K$5,NFI,5,0),1,0)*Table_NFI[[#This Row],[Mosquito net]],Table_NFI[Mosquito net])</f>
        <v>0</v>
      </c>
      <c r="AC382" s="352">
        <f>IF(NFI_Expiration=1,IF($A382&lt;VLOOKUP(L$5,NFI,5,0),1,0)*Table_NFI[[#This Row],[Tarpaulin]],Table_NFI[[#This Row],[Tarpaulin]])</f>
        <v>0</v>
      </c>
      <c r="AD382" s="352">
        <f>IF(NFI_Expiration=1,IF($A382&lt;VLOOKUP(M$5,NFI,5,0),1,0)*Table_NFI[[#This Row],[Blanket]],Table_NFI[[#This Row],[Blanket]])</f>
        <v>0</v>
      </c>
      <c r="AE382" s="352">
        <f>IF(NFI_Expiration=1,IF($A382&lt;VLOOKUP(N$5,NFI,5,0),1,0)*Table_NFI[[#This Row],[Kitchen Set]],Table_NFI[Kitchen Set])</f>
        <v>0</v>
      </c>
      <c r="AF382" s="352">
        <f>IF(NFI_Expiration=1,IF($A382&lt;VLOOKUP(O$5,NFI,5,0),1,0)*Table_NFI[[#This Row],[Clothes Kit]],Table_NFI[Clothes Kit])</f>
        <v>0</v>
      </c>
      <c r="AG382" s="352">
        <f>IF(NFI_Expiration=1,IF($A382&lt;VLOOKUP(P$5,NFI,5,0),1,0)*Table_NFI[[#This Row],[Plastic Bucket]],Table_NFI[Plastic Bucket])</f>
        <v>0</v>
      </c>
      <c r="AH382" s="352">
        <f>IF(NFI_Expiration=1,IF($A382&lt;VLOOKUP(Q$5,NFI,5,0),1,0)*Table_NFI[[#This Row],[Plastic Mat]],Table_NFI[Plastic Mat])*IF(Table_NFI[[#This Row],[Distribution Date]]&gt;"2014-04-01",1,2.5)</f>
        <v>0</v>
      </c>
      <c r="AI382" s="352">
        <f>IF(NFI_Expiration=1,IF($A382&lt;VLOOKUP(R$5,NFI,5,0),1,0)*Table_NFI[[#This Row],[Winter Clothes Adult]],Table_NFI[Winter Clothes Adult])</f>
        <v>0</v>
      </c>
      <c r="AJ382" s="352">
        <f>IF(NFI_Expiration=1,IF($A382&lt;VLOOKUP(S$5,NFI,5,0),1,0)*Table_NFI[[#This Row],[Winter Clothes Children]],Table_NFI[Winter Clothes Children])</f>
        <v>0</v>
      </c>
      <c r="AK382" s="352">
        <f>IF(NFI_Expiration=1,IF($A382&lt;VLOOKUP(T$5,NFI,5,0),1,0)*Table_NFI[[#This Row],[Winter Items Other]],Table_NFI[Winter Items Other])</f>
        <v>0</v>
      </c>
      <c r="AL382" s="352">
        <f>IF(NFI_Expiration=1,IF($A382&lt;VLOOKUP(M$5,NFI,5,0),1,0)*Table_NFI[[#This Row],[Winter Blanket]],Table_NFI[[#This Row],[Winter Blanket]])</f>
        <v>0</v>
      </c>
      <c r="AM382" s="352">
        <f>IF(Table_NFI[[#This Row],[Winter Clothes Adult]]+Table_NFI[[#This Row],[Winter Clothes Children]]+Table_NFI[[#This Row],[Winter Items Other]]+Table_NFI[[#This Row],[Winter Blanket]]&gt;0,1,0)</f>
        <v>0</v>
      </c>
      <c r="AN382" s="392">
        <f>IF(NFI_Expiration=1,IF($A382&lt;VLOOKUP(V$5,NFI,5,0),1,0)*Table_NFI[[#This Row],[Jerry Can]],Table_NFI[Jerry Can])</f>
        <v>0</v>
      </c>
      <c r="AO382" s="540" t="str">
        <f>IFERROR(VLOOKUP(Table_NFI[[#This Row],[Camp Name]],CL,2,0),"")</f>
        <v>MMR001CMP070</v>
      </c>
      <c r="AP382" s="535">
        <f ca="1">IF(Table_NFI[[#This Row],[Pcode]]="","",IF(OFFSET(CampList[Opening Date],MATCH(Table_NFI[[#This Row],[Pcode]],CampList[CP_Pcode],0)-1,0,1,1)&gt;=NFI_Monitor_Date,1,0))</f>
        <v>0</v>
      </c>
      <c r="AQ382" s="540" t="str">
        <f>IFERROR(VLOOKUP(Table_NFI[[#This Row],[Camp Name]],CL,3,0),"")</f>
        <v>Open</v>
      </c>
      <c r="AR382" s="352" t="str">
        <f ca="1">IF(Table_NFI[[#This Row],[Pcode]]="","",OFFSET(CampList[Priority],MATCH(Table_NFI[[#This Row],[Pcode]],CampList[CP_Pcode],0)-1,0,1,1))</f>
        <v>P3</v>
      </c>
      <c r="AS382" s="351">
        <f>IFERROR(Table_NFI[[#This Row],[Kitchen Set]]/VLOOKUP(Table_NFI[[#This Row],[Camp Name]],CL,4,0),"")</f>
        <v>0</v>
      </c>
      <c r="AT382" s="533"/>
      <c r="AU382" s="536"/>
    </row>
    <row r="383" spans="1:47" s="537" customFormat="1" hidden="1" x14ac:dyDescent="0.2">
      <c r="A383" s="355">
        <f t="shared" si="5"/>
        <v>5.7666666666666666</v>
      </c>
      <c r="B383" s="532">
        <v>42398</v>
      </c>
      <c r="C383" s="533" t="s">
        <v>907</v>
      </c>
      <c r="D383" s="534" t="s">
        <v>907</v>
      </c>
      <c r="E383" s="533" t="s">
        <v>380</v>
      </c>
      <c r="F383" s="348" t="s">
        <v>185</v>
      </c>
      <c r="G383" s="348" t="s">
        <v>190</v>
      </c>
      <c r="H383" s="349"/>
      <c r="I383" s="349"/>
      <c r="J383" s="350"/>
      <c r="K383" s="349"/>
      <c r="L383" s="350"/>
      <c r="M383" s="350"/>
      <c r="N383" s="350"/>
      <c r="O383" s="350"/>
      <c r="P383" s="352"/>
      <c r="Q383" s="392"/>
      <c r="R383" s="392"/>
      <c r="S383" s="392"/>
      <c r="T383" s="392"/>
      <c r="U383" s="392"/>
      <c r="V383" s="822">
        <v>3</v>
      </c>
      <c r="W383" s="392"/>
      <c r="X383" s="392"/>
      <c r="Y383" s="352">
        <f>IF(NFI_Expiration=1,IF($A383&lt;VLOOKUP(H$5,NFI,5,0),1,0)*Table_NFI[[#This Row],[Hygiene Kit]],Table_NFI[Hygiene Kit])</f>
        <v>0</v>
      </c>
      <c r="Z383" s="352">
        <f>IF(NFI_Expiration=1,IF($A383&lt;VLOOKUP(I$5,NFI,5,0),1,0)*Table_NFI[[#This Row],[NFI Core Kit]],Table_NFI[NFI Core Kit])</f>
        <v>0</v>
      </c>
      <c r="AA383" s="352">
        <f>IF(NFI_Expiration=1,IF($A383&lt;VLOOKUP(J$5,NFI,5,0),1,0)*Table_NFI[[#This Row],[Sanitary Kit]],Table_NFI[Sanitary Kit])</f>
        <v>0</v>
      </c>
      <c r="AB383" s="352">
        <f>IF(NFI_Expiration=1,IF($A383&lt;VLOOKUP(K$5,NFI,5,0),1,0)*Table_NFI[[#This Row],[Mosquito net]],Table_NFI[Mosquito net])</f>
        <v>0</v>
      </c>
      <c r="AC383" s="352">
        <f>IF(NFI_Expiration=1,IF($A383&lt;VLOOKUP(L$5,NFI,5,0),1,0)*Table_NFI[[#This Row],[Tarpaulin]],Table_NFI[[#This Row],[Tarpaulin]])</f>
        <v>0</v>
      </c>
      <c r="AD383" s="352">
        <f>IF(NFI_Expiration=1,IF($A383&lt;VLOOKUP(M$5,NFI,5,0),1,0)*Table_NFI[[#This Row],[Blanket]],Table_NFI[[#This Row],[Blanket]])</f>
        <v>0</v>
      </c>
      <c r="AE383" s="352">
        <f>IF(NFI_Expiration=1,IF($A383&lt;VLOOKUP(N$5,NFI,5,0),1,0)*Table_NFI[[#This Row],[Kitchen Set]],Table_NFI[Kitchen Set])</f>
        <v>0</v>
      </c>
      <c r="AF383" s="352">
        <f>IF(NFI_Expiration=1,IF($A383&lt;VLOOKUP(O$5,NFI,5,0),1,0)*Table_NFI[[#This Row],[Clothes Kit]],Table_NFI[Clothes Kit])</f>
        <v>0</v>
      </c>
      <c r="AG383" s="352">
        <f>IF(NFI_Expiration=1,IF($A383&lt;VLOOKUP(P$5,NFI,5,0),1,0)*Table_NFI[[#This Row],[Plastic Bucket]],Table_NFI[Plastic Bucket])</f>
        <v>0</v>
      </c>
      <c r="AH383" s="352">
        <f>IF(NFI_Expiration=1,IF($A383&lt;VLOOKUP(Q$5,NFI,5,0),1,0)*Table_NFI[[#This Row],[Plastic Mat]],Table_NFI[Plastic Mat])*IF(Table_NFI[[#This Row],[Distribution Date]]&gt;"2014-04-01",1,2.5)</f>
        <v>0</v>
      </c>
      <c r="AI383" s="352">
        <f>IF(NFI_Expiration=1,IF($A383&lt;VLOOKUP(R$5,NFI,5,0),1,0)*Table_NFI[[#This Row],[Winter Clothes Adult]],Table_NFI[Winter Clothes Adult])</f>
        <v>0</v>
      </c>
      <c r="AJ383" s="352">
        <f>IF(NFI_Expiration=1,IF($A383&lt;VLOOKUP(S$5,NFI,5,0),1,0)*Table_NFI[[#This Row],[Winter Clothes Children]],Table_NFI[Winter Clothes Children])</f>
        <v>0</v>
      </c>
      <c r="AK383" s="352">
        <f>IF(NFI_Expiration=1,IF($A383&lt;VLOOKUP(T$5,NFI,5,0),1,0)*Table_NFI[[#This Row],[Winter Items Other]],Table_NFI[Winter Items Other])</f>
        <v>0</v>
      </c>
      <c r="AL383" s="352">
        <f>IF(NFI_Expiration=1,IF($A383&lt;VLOOKUP(M$5,NFI,5,0),1,0)*Table_NFI[[#This Row],[Winter Blanket]],Table_NFI[[#This Row],[Winter Blanket]])</f>
        <v>0</v>
      </c>
      <c r="AM383" s="352">
        <f>IF(Table_NFI[[#This Row],[Winter Clothes Adult]]+Table_NFI[[#This Row],[Winter Clothes Children]]+Table_NFI[[#This Row],[Winter Items Other]]+Table_NFI[[#This Row],[Winter Blanket]]&gt;0,1,0)</f>
        <v>0</v>
      </c>
      <c r="AN383" s="392">
        <f>IF(NFI_Expiration=1,IF($A383&lt;VLOOKUP(V$5,NFI,5,0),1,0)*Table_NFI[[#This Row],[Jerry Can]],Table_NFI[Jerry Can])</f>
        <v>3</v>
      </c>
      <c r="AO383" s="540" t="str">
        <f>IFERROR(VLOOKUP(Table_NFI[[#This Row],[Camp Name]],CL,2,0),"")</f>
        <v>MMR001CMP070</v>
      </c>
      <c r="AP383" s="535">
        <f ca="1">IF(Table_NFI[[#This Row],[Pcode]]="","",IF(OFFSET(CampList[Opening Date],MATCH(Table_NFI[[#This Row],[Pcode]],CampList[CP_Pcode],0)-1,0,1,1)&gt;=NFI_Monitor_Date,1,0))</f>
        <v>0</v>
      </c>
      <c r="AQ383" s="540" t="str">
        <f>IFERROR(VLOOKUP(Table_NFI[[#This Row],[Camp Name]],CL,3,0),"")</f>
        <v>Open</v>
      </c>
      <c r="AR383" s="352" t="str">
        <f ca="1">IF(Table_NFI[[#This Row],[Pcode]]="","",OFFSET(CampList[Priority],MATCH(Table_NFI[[#This Row],[Pcode]],CampList[CP_Pcode],0)-1,0,1,1))</f>
        <v>P3</v>
      </c>
      <c r="AS383" s="351">
        <f>IFERROR(Table_NFI[[#This Row],[Kitchen Set]]/VLOOKUP(Table_NFI[[#This Row],[Camp Name]],CL,4,0),"")</f>
        <v>0</v>
      </c>
      <c r="AT383" s="533"/>
      <c r="AU383" s="536"/>
    </row>
    <row r="384" spans="1:47" s="537" customFormat="1" hidden="1" x14ac:dyDescent="0.2">
      <c r="A384" s="355">
        <f t="shared" si="5"/>
        <v>5.5333333333333332</v>
      </c>
      <c r="B384" s="532">
        <v>42405</v>
      </c>
      <c r="C384" s="533" t="s">
        <v>907</v>
      </c>
      <c r="D384" s="534" t="s">
        <v>907</v>
      </c>
      <c r="E384" s="533" t="s">
        <v>380</v>
      </c>
      <c r="F384" s="348" t="s">
        <v>185</v>
      </c>
      <c r="G384" s="348" t="s">
        <v>190</v>
      </c>
      <c r="H384" s="349"/>
      <c r="I384" s="349"/>
      <c r="J384" s="677">
        <v>258</v>
      </c>
      <c r="K384" s="349"/>
      <c r="L384" s="350"/>
      <c r="M384" s="350"/>
      <c r="N384" s="350"/>
      <c r="O384" s="350"/>
      <c r="P384" s="352"/>
      <c r="Q384" s="392"/>
      <c r="R384" s="392"/>
      <c r="S384" s="392"/>
      <c r="T384" s="392"/>
      <c r="U384" s="392"/>
      <c r="V384" s="497"/>
      <c r="W384" s="392"/>
      <c r="X384" s="392"/>
      <c r="Y384" s="352">
        <f>IF(NFI_Expiration=1,IF($A384&lt;VLOOKUP(H$5,NFI,5,0),1,0)*Table_NFI[[#This Row],[Hygiene Kit]],Table_NFI[Hygiene Kit])</f>
        <v>0</v>
      </c>
      <c r="Z384" s="352">
        <f>IF(NFI_Expiration=1,IF($A384&lt;VLOOKUP(I$5,NFI,5,0),1,0)*Table_NFI[[#This Row],[NFI Core Kit]],Table_NFI[NFI Core Kit])</f>
        <v>0</v>
      </c>
      <c r="AA384" s="352">
        <f>IF(NFI_Expiration=1,IF($A384&lt;VLOOKUP(J$5,NFI,5,0),1,0)*Table_NFI[[#This Row],[Sanitary Kit]],Table_NFI[Sanitary Kit])</f>
        <v>258</v>
      </c>
      <c r="AB384" s="352">
        <f>IF(NFI_Expiration=1,IF($A384&lt;VLOOKUP(K$5,NFI,5,0),1,0)*Table_NFI[[#This Row],[Mosquito net]],Table_NFI[Mosquito net])</f>
        <v>0</v>
      </c>
      <c r="AC384" s="352">
        <f>IF(NFI_Expiration=1,IF($A384&lt;VLOOKUP(L$5,NFI,5,0),1,0)*Table_NFI[[#This Row],[Tarpaulin]],Table_NFI[[#This Row],[Tarpaulin]])</f>
        <v>0</v>
      </c>
      <c r="AD384" s="352">
        <f>IF(NFI_Expiration=1,IF($A384&lt;VLOOKUP(M$5,NFI,5,0),1,0)*Table_NFI[[#This Row],[Blanket]],Table_NFI[[#This Row],[Blanket]])</f>
        <v>0</v>
      </c>
      <c r="AE384" s="352">
        <f>IF(NFI_Expiration=1,IF($A384&lt;VLOOKUP(N$5,NFI,5,0),1,0)*Table_NFI[[#This Row],[Kitchen Set]],Table_NFI[Kitchen Set])</f>
        <v>0</v>
      </c>
      <c r="AF384" s="352">
        <f>IF(NFI_Expiration=1,IF($A384&lt;VLOOKUP(O$5,NFI,5,0),1,0)*Table_NFI[[#This Row],[Clothes Kit]],Table_NFI[Clothes Kit])</f>
        <v>0</v>
      </c>
      <c r="AG384" s="352">
        <f>IF(NFI_Expiration=1,IF($A384&lt;VLOOKUP(P$5,NFI,5,0),1,0)*Table_NFI[[#This Row],[Plastic Bucket]],Table_NFI[Plastic Bucket])</f>
        <v>0</v>
      </c>
      <c r="AH384" s="352">
        <f>IF(NFI_Expiration=1,IF($A384&lt;VLOOKUP(Q$5,NFI,5,0),1,0)*Table_NFI[[#This Row],[Plastic Mat]],Table_NFI[Plastic Mat])*IF(Table_NFI[[#This Row],[Distribution Date]]&gt;"2014-04-01",1,2.5)</f>
        <v>0</v>
      </c>
      <c r="AI384" s="352">
        <f>IF(NFI_Expiration=1,IF($A384&lt;VLOOKUP(R$5,NFI,5,0),1,0)*Table_NFI[[#This Row],[Winter Clothes Adult]],Table_NFI[Winter Clothes Adult])</f>
        <v>0</v>
      </c>
      <c r="AJ384" s="352">
        <f>IF(NFI_Expiration=1,IF($A384&lt;VLOOKUP(S$5,NFI,5,0),1,0)*Table_NFI[[#This Row],[Winter Clothes Children]],Table_NFI[Winter Clothes Children])</f>
        <v>0</v>
      </c>
      <c r="AK384" s="352">
        <f>IF(NFI_Expiration=1,IF($A384&lt;VLOOKUP(T$5,NFI,5,0),1,0)*Table_NFI[[#This Row],[Winter Items Other]],Table_NFI[Winter Items Other])</f>
        <v>0</v>
      </c>
      <c r="AL384" s="352">
        <f>IF(NFI_Expiration=1,IF($A384&lt;VLOOKUP(M$5,NFI,5,0),1,0)*Table_NFI[[#This Row],[Winter Blanket]],Table_NFI[[#This Row],[Winter Blanket]])</f>
        <v>0</v>
      </c>
      <c r="AM384" s="352">
        <f>IF(Table_NFI[[#This Row],[Winter Clothes Adult]]+Table_NFI[[#This Row],[Winter Clothes Children]]+Table_NFI[[#This Row],[Winter Items Other]]+Table_NFI[[#This Row],[Winter Blanket]]&gt;0,1,0)</f>
        <v>0</v>
      </c>
      <c r="AN384" s="392">
        <f>IF(NFI_Expiration=1,IF($A384&lt;VLOOKUP(V$5,NFI,5,0),1,0)*Table_NFI[[#This Row],[Jerry Can]],Table_NFI[Jerry Can])</f>
        <v>0</v>
      </c>
      <c r="AO384" s="540" t="str">
        <f>IFERROR(VLOOKUP(Table_NFI[[#This Row],[Camp Name]],CL,2,0),"")</f>
        <v>MMR001CMP070</v>
      </c>
      <c r="AP384" s="535">
        <f ca="1">IF(Table_NFI[[#This Row],[Pcode]]="","",IF(OFFSET(CampList[Opening Date],MATCH(Table_NFI[[#This Row],[Pcode]],CampList[CP_Pcode],0)-1,0,1,1)&gt;=NFI_Monitor_Date,1,0))</f>
        <v>0</v>
      </c>
      <c r="AQ384" s="540" t="str">
        <f>IFERROR(VLOOKUP(Table_NFI[[#This Row],[Camp Name]],CL,3,0),"")</f>
        <v>Open</v>
      </c>
      <c r="AR384" s="352" t="str">
        <f ca="1">IF(Table_NFI[[#This Row],[Pcode]]="","",OFFSET(CampList[Priority],MATCH(Table_NFI[[#This Row],[Pcode]],CampList[CP_Pcode],0)-1,0,1,1))</f>
        <v>P3</v>
      </c>
      <c r="AS384" s="351">
        <f>IFERROR(Table_NFI[[#This Row],[Kitchen Set]]/VLOOKUP(Table_NFI[[#This Row],[Camp Name]],CL,4,0),"")</f>
        <v>0</v>
      </c>
      <c r="AT384" s="533"/>
      <c r="AU384" s="536"/>
    </row>
    <row r="385" spans="1:47" s="537" customFormat="1" hidden="1" x14ac:dyDescent="0.25">
      <c r="A385" s="355">
        <f t="shared" si="5"/>
        <v>32.1</v>
      </c>
      <c r="B385" s="532">
        <v>41608</v>
      </c>
      <c r="C385" s="533" t="s">
        <v>907</v>
      </c>
      <c r="D385" s="533"/>
      <c r="E385" s="533" t="s">
        <v>380</v>
      </c>
      <c r="F385" s="348" t="s">
        <v>185</v>
      </c>
      <c r="G385" s="348" t="s">
        <v>190</v>
      </c>
      <c r="H385" s="349"/>
      <c r="I385" s="349"/>
      <c r="J385" s="349"/>
      <c r="K385" s="349"/>
      <c r="L385" s="350"/>
      <c r="M385" s="350"/>
      <c r="N385" s="350"/>
      <c r="O385" s="350"/>
      <c r="P385" s="352"/>
      <c r="Q385" s="352">
        <v>369</v>
      </c>
      <c r="R385" s="352"/>
      <c r="S385" s="352"/>
      <c r="T385" s="352"/>
      <c r="U385" s="352"/>
      <c r="V385" s="497"/>
      <c r="W385" s="352"/>
      <c r="X385" s="352"/>
      <c r="Y385" s="352">
        <f>IF(NFI_Expiration=1,IF($A385&lt;VLOOKUP(H$5,NFI,5,0),1,0)*Table_NFI[[#This Row],[Hygiene Kit]],Table_NFI[Hygiene Kit])</f>
        <v>0</v>
      </c>
      <c r="Z385" s="352">
        <f>IF(NFI_Expiration=1,IF($A385&lt;VLOOKUP(I$5,NFI,5,0),1,0)*Table_NFI[[#This Row],[NFI Core Kit]],Table_NFI[NFI Core Kit])</f>
        <v>0</v>
      </c>
      <c r="AA385" s="352">
        <f>IF(NFI_Expiration=1,IF($A385&lt;VLOOKUP(J$5,NFI,5,0),1,0)*Table_NFI[[#This Row],[Sanitary Kit]],Table_NFI[Sanitary Kit])</f>
        <v>0</v>
      </c>
      <c r="AB385" s="352">
        <f>IF(NFI_Expiration=1,IF($A385&lt;VLOOKUP(K$5,NFI,5,0),1,0)*Table_NFI[[#This Row],[Mosquito net]],Table_NFI[Mosquito net])</f>
        <v>0</v>
      </c>
      <c r="AC385" s="352">
        <f>IF(NFI_Expiration=1,IF($A385&lt;VLOOKUP(L$5,NFI,5,0),1,0)*Table_NFI[[#This Row],[Tarpaulin]],Table_NFI[[#This Row],[Tarpaulin]])</f>
        <v>0</v>
      </c>
      <c r="AD385" s="352">
        <f>IF(NFI_Expiration=1,IF($A385&lt;VLOOKUP(M$5,NFI,5,0),1,0)*Table_NFI[[#This Row],[Blanket]],Table_NFI[[#This Row],[Blanket]])</f>
        <v>0</v>
      </c>
      <c r="AE385" s="352">
        <f>IF(NFI_Expiration=1,IF($A385&lt;VLOOKUP(N$5,NFI,5,0),1,0)*Table_NFI[[#This Row],[Kitchen Set]],Table_NFI[Kitchen Set])</f>
        <v>0</v>
      </c>
      <c r="AF385" s="352">
        <f>IF(NFI_Expiration=1,IF($A385&lt;VLOOKUP(O$5,NFI,5,0),1,0)*Table_NFI[[#This Row],[Clothes Kit]],Table_NFI[Clothes Kit])</f>
        <v>0</v>
      </c>
      <c r="AG385" s="352">
        <f>IF(NFI_Expiration=1,IF($A385&lt;VLOOKUP(P$5,NFI,5,0),1,0)*Table_NFI[[#This Row],[Plastic Bucket]],Table_NFI[Plastic Bucket])</f>
        <v>0</v>
      </c>
      <c r="AH385" s="352">
        <f>IF(NFI_Expiration=1,IF($A385&lt;VLOOKUP(Q$5,NFI,5,0),1,0)*Table_NFI[[#This Row],[Plastic Mat]],Table_NFI[Plastic Mat])*IF(Table_NFI[[#This Row],[Distribution Date]]&gt;"2014-04-01",1,2.5)</f>
        <v>0</v>
      </c>
      <c r="AI385" s="352">
        <f>IF(NFI_Expiration=1,IF($A385&lt;VLOOKUP(R$5,NFI,5,0),1,0)*Table_NFI[[#This Row],[Winter Clothes Adult]],Table_NFI[Winter Clothes Adult])</f>
        <v>0</v>
      </c>
      <c r="AJ385" s="352">
        <f>IF(NFI_Expiration=1,IF($A385&lt;VLOOKUP(S$5,NFI,5,0),1,0)*Table_NFI[[#This Row],[Winter Clothes Children]],Table_NFI[Winter Clothes Children])</f>
        <v>0</v>
      </c>
      <c r="AK385" s="352">
        <f>IF(NFI_Expiration=1,IF($A385&lt;VLOOKUP(T$5,NFI,5,0),1,0)*Table_NFI[[#This Row],[Winter Items Other]],Table_NFI[Winter Items Other])</f>
        <v>0</v>
      </c>
      <c r="AL385" s="352">
        <f>IF(NFI_Expiration=1,IF($A385&lt;VLOOKUP(M$5,NFI,5,0),1,0)*Table_NFI[[#This Row],[Winter Blanket]],Table_NFI[[#This Row],[Winter Blanket]])</f>
        <v>0</v>
      </c>
      <c r="AM385" s="352">
        <f>IF(Table_NFI[[#This Row],[Winter Clothes Adult]]+Table_NFI[[#This Row],[Winter Clothes Children]]+Table_NFI[[#This Row],[Winter Items Other]]+Table_NFI[[#This Row],[Winter Blanket]]&gt;0,1,0)</f>
        <v>0</v>
      </c>
      <c r="AN385" s="392">
        <f>IF(NFI_Expiration=1,IF($A385&lt;VLOOKUP(V$5,NFI,5,0),1,0)*Table_NFI[[#This Row],[Jerry Can]],Table_NFI[Jerry Can])</f>
        <v>0</v>
      </c>
      <c r="AO385" s="540" t="str">
        <f>IFERROR(VLOOKUP(Table_NFI[[#This Row],[Camp Name]],CL,2,0),"")</f>
        <v>MMR001CMP070</v>
      </c>
      <c r="AP385" s="535">
        <f ca="1">IF(Table_NFI[[#This Row],[Pcode]]="","",IF(OFFSET(CampList[Opening Date],MATCH(Table_NFI[[#This Row],[Pcode]],CampList[CP_Pcode],0)-1,0,1,1)&gt;=NFI_Monitor_Date,1,0))</f>
        <v>0</v>
      </c>
      <c r="AQ385" s="540" t="str">
        <f>IFERROR(VLOOKUP(Table_NFI[[#This Row],[Camp Name]],CL,3,0),"")</f>
        <v>Open</v>
      </c>
      <c r="AR385" s="352" t="str">
        <f ca="1">IF(Table_NFI[[#This Row],[Pcode]]="","",OFFSET(CampList[Priority],MATCH(Table_NFI[[#This Row],[Pcode]],CampList[CP_Pcode],0)-1,0,1,1))</f>
        <v>P3</v>
      </c>
      <c r="AS385" s="351">
        <f>IFERROR(Table_NFI[[#This Row],[Kitchen Set]]/VLOOKUP(Table_NFI[[#This Row],[Camp Name]],CL,4,0),"")</f>
        <v>0</v>
      </c>
      <c r="AT385" s="533" t="s">
        <v>1094</v>
      </c>
      <c r="AU385" s="536"/>
    </row>
    <row r="386" spans="1:47" s="537" customFormat="1" ht="14.45" hidden="1" customHeight="1" x14ac:dyDescent="0.25">
      <c r="A386" s="355">
        <f t="shared" si="5"/>
        <v>32.5</v>
      </c>
      <c r="B386" s="532">
        <v>41596</v>
      </c>
      <c r="C386" s="533" t="s">
        <v>454</v>
      </c>
      <c r="D386" s="533"/>
      <c r="E386" s="533" t="s">
        <v>380</v>
      </c>
      <c r="F386" s="533" t="s">
        <v>185</v>
      </c>
      <c r="G386" s="533" t="s">
        <v>190</v>
      </c>
      <c r="H386" s="349"/>
      <c r="I386" s="349"/>
      <c r="J386" s="349"/>
      <c r="K386" s="349"/>
      <c r="L386" s="350"/>
      <c r="M386" s="350">
        <v>395</v>
      </c>
      <c r="N386" s="350"/>
      <c r="O386" s="350"/>
      <c r="P386" s="352"/>
      <c r="Q386" s="352"/>
      <c r="R386" s="352"/>
      <c r="S386" s="352"/>
      <c r="T386" s="352"/>
      <c r="U386" s="352"/>
      <c r="V386" s="497"/>
      <c r="W386" s="352"/>
      <c r="X386" s="352"/>
      <c r="Y386" s="352">
        <f>IF(NFI_Expiration=1,IF($A386&lt;VLOOKUP(H$5,NFI,5,0),1,0)*Table_NFI[[#This Row],[Hygiene Kit]],Table_NFI[Hygiene Kit])</f>
        <v>0</v>
      </c>
      <c r="Z386" s="352">
        <f>IF(NFI_Expiration=1,IF($A386&lt;VLOOKUP(I$5,NFI,5,0),1,0)*Table_NFI[[#This Row],[NFI Core Kit]],Table_NFI[NFI Core Kit])</f>
        <v>0</v>
      </c>
      <c r="AA386" s="352">
        <f>IF(NFI_Expiration=1,IF($A386&lt;VLOOKUP(J$5,NFI,5,0),1,0)*Table_NFI[[#This Row],[Sanitary Kit]],Table_NFI[Sanitary Kit])</f>
        <v>0</v>
      </c>
      <c r="AB386" s="352">
        <f>IF(NFI_Expiration=1,IF($A386&lt;VLOOKUP(K$5,NFI,5,0),1,0)*Table_NFI[[#This Row],[Mosquito net]],Table_NFI[Mosquito net])</f>
        <v>0</v>
      </c>
      <c r="AC386" s="352">
        <f>IF(NFI_Expiration=1,IF($A386&lt;VLOOKUP(L$5,NFI,5,0),1,0)*Table_NFI[[#This Row],[Tarpaulin]],Table_NFI[[#This Row],[Tarpaulin]])</f>
        <v>0</v>
      </c>
      <c r="AD386" s="352">
        <f>IF(NFI_Expiration=1,IF($A386&lt;VLOOKUP(M$5,NFI,5,0),1,0)*Table_NFI[[#This Row],[Blanket]],Table_NFI[[#This Row],[Blanket]])</f>
        <v>0</v>
      </c>
      <c r="AE386" s="352">
        <f>IF(NFI_Expiration=1,IF($A386&lt;VLOOKUP(N$5,NFI,5,0),1,0)*Table_NFI[[#This Row],[Kitchen Set]],Table_NFI[Kitchen Set])</f>
        <v>0</v>
      </c>
      <c r="AF386" s="352">
        <f>IF(NFI_Expiration=1,IF($A386&lt;VLOOKUP(O$5,NFI,5,0),1,0)*Table_NFI[[#This Row],[Clothes Kit]],Table_NFI[Clothes Kit])</f>
        <v>0</v>
      </c>
      <c r="AG386" s="352">
        <f>IF(NFI_Expiration=1,IF($A386&lt;VLOOKUP(P$5,NFI,5,0),1,0)*Table_NFI[[#This Row],[Plastic Bucket]],Table_NFI[Plastic Bucket])</f>
        <v>0</v>
      </c>
      <c r="AH386" s="352">
        <f>IF(NFI_Expiration=1,IF($A386&lt;VLOOKUP(Q$5,NFI,5,0),1,0)*Table_NFI[[#This Row],[Plastic Mat]],Table_NFI[Plastic Mat])*IF(Table_NFI[[#This Row],[Distribution Date]]&gt;"2014-04-01",1,2.5)</f>
        <v>0</v>
      </c>
      <c r="AI386" s="352">
        <f>IF(NFI_Expiration=1,IF($A386&lt;VLOOKUP(R$5,NFI,5,0),1,0)*Table_NFI[[#This Row],[Winter Clothes Adult]],Table_NFI[Winter Clothes Adult])</f>
        <v>0</v>
      </c>
      <c r="AJ386" s="352">
        <f>IF(NFI_Expiration=1,IF($A386&lt;VLOOKUP(S$5,NFI,5,0),1,0)*Table_NFI[[#This Row],[Winter Clothes Children]],Table_NFI[Winter Clothes Children])</f>
        <v>0</v>
      </c>
      <c r="AK386" s="352">
        <f>IF(NFI_Expiration=1,IF($A386&lt;VLOOKUP(T$5,NFI,5,0),1,0)*Table_NFI[[#This Row],[Winter Items Other]],Table_NFI[Winter Items Other])</f>
        <v>0</v>
      </c>
      <c r="AL386" s="352">
        <f>IF(NFI_Expiration=1,IF($A386&lt;VLOOKUP(M$5,NFI,5,0),1,0)*Table_NFI[[#This Row],[Winter Blanket]],Table_NFI[[#This Row],[Winter Blanket]])</f>
        <v>0</v>
      </c>
      <c r="AM386" s="352">
        <f>IF(Table_NFI[[#This Row],[Winter Clothes Adult]]+Table_NFI[[#This Row],[Winter Clothes Children]]+Table_NFI[[#This Row],[Winter Items Other]]+Table_NFI[[#This Row],[Winter Blanket]]&gt;0,1,0)</f>
        <v>0</v>
      </c>
      <c r="AN386" s="392">
        <f>IF(NFI_Expiration=1,IF($A386&lt;VLOOKUP(V$5,NFI,5,0),1,0)*Table_NFI[[#This Row],[Jerry Can]],Table_NFI[Jerry Can])</f>
        <v>0</v>
      </c>
      <c r="AO386" s="540" t="str">
        <f>IFERROR(VLOOKUP(Table_NFI[[#This Row],[Camp Name]],CL,2,0),"")</f>
        <v>MMR001CMP070</v>
      </c>
      <c r="AP386" s="535">
        <f ca="1">IF(Table_NFI[[#This Row],[Pcode]]="","",IF(OFFSET(CampList[Opening Date],MATCH(Table_NFI[[#This Row],[Pcode]],CampList[CP_Pcode],0)-1,0,1,1)&gt;=NFI_Monitor_Date,1,0))</f>
        <v>0</v>
      </c>
      <c r="AQ386" s="540" t="str">
        <f>IFERROR(VLOOKUP(Table_NFI[[#This Row],[Camp Name]],CL,3,0),"")</f>
        <v>Open</v>
      </c>
      <c r="AR386" s="352" t="str">
        <f ca="1">IF(Table_NFI[[#This Row],[Pcode]]="","",OFFSET(CampList[Priority],MATCH(Table_NFI[[#This Row],[Pcode]],CampList[CP_Pcode],0)-1,0,1,1))</f>
        <v>P3</v>
      </c>
      <c r="AS386" s="351">
        <f>IFERROR(Table_NFI[[#This Row],[Kitchen Set]]/VLOOKUP(Table_NFI[[#This Row],[Camp Name]],CL,4,0),"")</f>
        <v>0</v>
      </c>
      <c r="AT386" s="533" t="s">
        <v>1094</v>
      </c>
      <c r="AU386" s="536"/>
    </row>
    <row r="387" spans="1:47" s="537" customFormat="1" ht="14.45" customHeight="1" x14ac:dyDescent="0.25">
      <c r="A387" s="355">
        <f t="shared" si="5"/>
        <v>27.6</v>
      </c>
      <c r="B387" s="532">
        <v>41743</v>
      </c>
      <c r="C387" s="533" t="s">
        <v>453</v>
      </c>
      <c r="D387" s="533" t="s">
        <v>453</v>
      </c>
      <c r="E387" s="533" t="s">
        <v>380</v>
      </c>
      <c r="F387" s="533" t="s">
        <v>185</v>
      </c>
      <c r="G387" s="533" t="s">
        <v>209</v>
      </c>
      <c r="H387" s="349"/>
      <c r="I387" s="349"/>
      <c r="J387" s="349"/>
      <c r="K387" s="349">
        <v>10</v>
      </c>
      <c r="L387" s="350">
        <v>5</v>
      </c>
      <c r="M387" s="350">
        <v>15</v>
      </c>
      <c r="N387" s="350">
        <v>5</v>
      </c>
      <c r="O387" s="350">
        <v>5</v>
      </c>
      <c r="P387" s="352">
        <v>5</v>
      </c>
      <c r="Q387" s="352"/>
      <c r="R387" s="352"/>
      <c r="S387" s="352"/>
      <c r="T387" s="352"/>
      <c r="U387" s="352"/>
      <c r="V387" s="497"/>
      <c r="W387" s="352"/>
      <c r="X387" s="352"/>
      <c r="Y387" s="352">
        <f>IF(NFI_Expiration=1,IF($A387&lt;VLOOKUP(H$5,NFI,5,0),1,0)*Table_NFI[[#This Row],[Hygiene Kit]],Table_NFI[Hygiene Kit])</f>
        <v>0</v>
      </c>
      <c r="Z387" s="352">
        <f>IF(NFI_Expiration=1,IF($A387&lt;VLOOKUP(I$5,NFI,5,0),1,0)*Table_NFI[[#This Row],[NFI Core Kit]],Table_NFI[NFI Core Kit])</f>
        <v>0</v>
      </c>
      <c r="AA387" s="352">
        <f>IF(NFI_Expiration=1,IF($A387&lt;VLOOKUP(J$5,NFI,5,0),1,0)*Table_NFI[[#This Row],[Sanitary Kit]],Table_NFI[Sanitary Kit])</f>
        <v>0</v>
      </c>
      <c r="AB387" s="352">
        <f>IF(NFI_Expiration=1,IF($A387&lt;VLOOKUP(K$5,NFI,5,0),1,0)*Table_NFI[[#This Row],[Mosquito net]],Table_NFI[Mosquito net])</f>
        <v>0</v>
      </c>
      <c r="AC387" s="352">
        <f>IF(NFI_Expiration=1,IF($A387&lt;VLOOKUP(L$5,NFI,5,0),1,0)*Table_NFI[[#This Row],[Tarpaulin]],Table_NFI[[#This Row],[Tarpaulin]])</f>
        <v>0</v>
      </c>
      <c r="AD387" s="352">
        <f>IF(NFI_Expiration=1,IF($A387&lt;VLOOKUP(M$5,NFI,5,0),1,0)*Table_NFI[[#This Row],[Blanket]],Table_NFI[[#This Row],[Blanket]])</f>
        <v>0</v>
      </c>
      <c r="AE387" s="352">
        <f>IF(NFI_Expiration=1,IF($A387&lt;VLOOKUP(N$5,NFI,5,0),1,0)*Table_NFI[[#This Row],[Kitchen Set]],Table_NFI[Kitchen Set])</f>
        <v>0</v>
      </c>
      <c r="AF387" s="352">
        <f>IF(NFI_Expiration=1,IF($A387&lt;VLOOKUP(O$5,NFI,5,0),1,0)*Table_NFI[[#This Row],[Clothes Kit]],Table_NFI[Clothes Kit])</f>
        <v>0</v>
      </c>
      <c r="AG387" s="352">
        <f>IF(NFI_Expiration=1,IF($A387&lt;VLOOKUP(P$5,NFI,5,0),1,0)*Table_NFI[[#This Row],[Plastic Bucket]],Table_NFI[Plastic Bucket])</f>
        <v>0</v>
      </c>
      <c r="AH387" s="352">
        <f>IF(NFI_Expiration=1,IF($A387&lt;VLOOKUP(Q$5,NFI,5,0),1,0)*Table_NFI[[#This Row],[Plastic Mat]],Table_NFI[Plastic Mat])*IF(Table_NFI[[#This Row],[Distribution Date]]&gt;"2014-04-01",1,2.5)</f>
        <v>0</v>
      </c>
      <c r="AI387" s="352">
        <f>IF(NFI_Expiration=1,IF($A387&lt;VLOOKUP(R$5,NFI,5,0),1,0)*Table_NFI[[#This Row],[Winter Clothes Adult]],Table_NFI[Winter Clothes Adult])</f>
        <v>0</v>
      </c>
      <c r="AJ387" s="352">
        <f>IF(NFI_Expiration=1,IF($A387&lt;VLOOKUP(S$5,NFI,5,0),1,0)*Table_NFI[[#This Row],[Winter Clothes Children]],Table_NFI[Winter Clothes Children])</f>
        <v>0</v>
      </c>
      <c r="AK387" s="352">
        <f>IF(NFI_Expiration=1,IF($A387&lt;VLOOKUP(T$5,NFI,5,0),1,0)*Table_NFI[[#This Row],[Winter Items Other]],Table_NFI[Winter Items Other])</f>
        <v>0</v>
      </c>
      <c r="AL387" s="352">
        <f>IF(NFI_Expiration=1,IF($A387&lt;VLOOKUP(M$5,NFI,5,0),1,0)*Table_NFI[[#This Row],[Winter Blanket]],Table_NFI[[#This Row],[Winter Blanket]])</f>
        <v>0</v>
      </c>
      <c r="AM387" s="352">
        <f>IF(Table_NFI[[#This Row],[Winter Clothes Adult]]+Table_NFI[[#This Row],[Winter Clothes Children]]+Table_NFI[[#This Row],[Winter Items Other]]+Table_NFI[[#This Row],[Winter Blanket]]&gt;0,1,0)</f>
        <v>0</v>
      </c>
      <c r="AN387" s="392">
        <f>IF(NFI_Expiration=1,IF($A387&lt;VLOOKUP(V$5,NFI,5,0),1,0)*Table_NFI[[#This Row],[Jerry Can]],Table_NFI[Jerry Can])</f>
        <v>0</v>
      </c>
      <c r="AO387" s="540" t="str">
        <f>IFERROR(VLOOKUP(Table_NFI[[#This Row],[Camp Name]],CL,2,0),"")</f>
        <v>MMR001CMP056</v>
      </c>
      <c r="AP387" s="535">
        <f ca="1">IF(Table_NFI[[#This Row],[Pcode]]="","",IF(OFFSET(CampList[Opening Date],MATCH(Table_NFI[[#This Row],[Pcode]],CampList[CP_Pcode],0)-1,0,1,1)&gt;=NFI_Monitor_Date,1,0))</f>
        <v>0</v>
      </c>
      <c r="AQ387" s="540" t="str">
        <f>IFERROR(VLOOKUP(Table_NFI[[#This Row],[Camp Name]],CL,3,0),"")</f>
        <v>Open</v>
      </c>
      <c r="AR387" s="352" t="str">
        <f ca="1">IF(Table_NFI[[#This Row],[Pcode]]="","",OFFSET(CampList[Priority],MATCH(Table_NFI[[#This Row],[Pcode]],CampList[CP_Pcode],0)-1,0,1,1))</f>
        <v>P4</v>
      </c>
      <c r="AS387" s="351">
        <f>IFERROR(Table_NFI[[#This Row],[Kitchen Set]]/VLOOKUP(Table_NFI[[#This Row],[Camp Name]],CL,4,0),"")</f>
        <v>2.2123893805309734E-2</v>
      </c>
      <c r="AT387" s="533" t="s">
        <v>1094</v>
      </c>
      <c r="AU387" s="536"/>
    </row>
    <row r="388" spans="1:47" s="537" customFormat="1" ht="14.45" customHeight="1" x14ac:dyDescent="0.25">
      <c r="A388" s="355">
        <f t="shared" si="5"/>
        <v>28</v>
      </c>
      <c r="B388" s="532">
        <v>41731</v>
      </c>
      <c r="C388" s="533" t="s">
        <v>453</v>
      </c>
      <c r="D388" s="533" t="s">
        <v>453</v>
      </c>
      <c r="E388" s="533" t="s">
        <v>380</v>
      </c>
      <c r="F388" s="533" t="s">
        <v>5</v>
      </c>
      <c r="G388" s="533" t="s">
        <v>8</v>
      </c>
      <c r="H388" s="349"/>
      <c r="I388" s="349"/>
      <c r="J388" s="349"/>
      <c r="K388" s="349"/>
      <c r="L388" s="350">
        <v>1</v>
      </c>
      <c r="M388" s="350">
        <v>3</v>
      </c>
      <c r="N388" s="350">
        <v>2</v>
      </c>
      <c r="O388" s="350"/>
      <c r="P388" s="352">
        <v>3</v>
      </c>
      <c r="Q388" s="352"/>
      <c r="R388" s="352"/>
      <c r="S388" s="352"/>
      <c r="T388" s="352"/>
      <c r="U388" s="352"/>
      <c r="V388" s="497"/>
      <c r="W388" s="352"/>
      <c r="X388" s="352"/>
      <c r="Y388" s="352">
        <f>IF(NFI_Expiration=1,IF($A388&lt;VLOOKUP(H$5,NFI,5,0),1,0)*Table_NFI[[#This Row],[Hygiene Kit]],Table_NFI[Hygiene Kit])</f>
        <v>0</v>
      </c>
      <c r="Z388" s="352">
        <f>IF(NFI_Expiration=1,IF($A388&lt;VLOOKUP(I$5,NFI,5,0),1,0)*Table_NFI[[#This Row],[NFI Core Kit]],Table_NFI[NFI Core Kit])</f>
        <v>0</v>
      </c>
      <c r="AA388" s="352">
        <f>IF(NFI_Expiration=1,IF($A388&lt;VLOOKUP(J$5,NFI,5,0),1,0)*Table_NFI[[#This Row],[Sanitary Kit]],Table_NFI[Sanitary Kit])</f>
        <v>0</v>
      </c>
      <c r="AB388" s="352">
        <f>IF(NFI_Expiration=1,IF($A388&lt;VLOOKUP(K$5,NFI,5,0),1,0)*Table_NFI[[#This Row],[Mosquito net]],Table_NFI[Mosquito net])</f>
        <v>0</v>
      </c>
      <c r="AC388" s="352">
        <f>IF(NFI_Expiration=1,IF($A388&lt;VLOOKUP(L$5,NFI,5,0),1,0)*Table_NFI[[#This Row],[Tarpaulin]],Table_NFI[[#This Row],[Tarpaulin]])</f>
        <v>0</v>
      </c>
      <c r="AD388" s="352">
        <f>IF(NFI_Expiration=1,IF($A388&lt;VLOOKUP(M$5,NFI,5,0),1,0)*Table_NFI[[#This Row],[Blanket]],Table_NFI[[#This Row],[Blanket]])</f>
        <v>0</v>
      </c>
      <c r="AE388" s="352">
        <f>IF(NFI_Expiration=1,IF($A388&lt;VLOOKUP(N$5,NFI,5,0),1,0)*Table_NFI[[#This Row],[Kitchen Set]],Table_NFI[Kitchen Set])</f>
        <v>0</v>
      </c>
      <c r="AF388" s="352">
        <f>IF(NFI_Expiration=1,IF($A388&lt;VLOOKUP(O$5,NFI,5,0),1,0)*Table_NFI[[#This Row],[Clothes Kit]],Table_NFI[Clothes Kit])</f>
        <v>0</v>
      </c>
      <c r="AG388" s="352">
        <f>IF(NFI_Expiration=1,IF($A388&lt;VLOOKUP(P$5,NFI,5,0),1,0)*Table_NFI[[#This Row],[Plastic Bucket]],Table_NFI[Plastic Bucket])</f>
        <v>0</v>
      </c>
      <c r="AH388" s="352">
        <f>IF(NFI_Expiration=1,IF($A388&lt;VLOOKUP(Q$5,NFI,5,0),1,0)*Table_NFI[[#This Row],[Plastic Mat]],Table_NFI[Plastic Mat])*IF(Table_NFI[[#This Row],[Distribution Date]]&gt;"2014-04-01",1,2.5)</f>
        <v>0</v>
      </c>
      <c r="AI388" s="352">
        <f>IF(NFI_Expiration=1,IF($A388&lt;VLOOKUP(R$5,NFI,5,0),1,0)*Table_NFI[[#This Row],[Winter Clothes Adult]],Table_NFI[Winter Clothes Adult])</f>
        <v>0</v>
      </c>
      <c r="AJ388" s="352">
        <f>IF(NFI_Expiration=1,IF($A388&lt;VLOOKUP(S$5,NFI,5,0),1,0)*Table_NFI[[#This Row],[Winter Clothes Children]],Table_NFI[Winter Clothes Children])</f>
        <v>0</v>
      </c>
      <c r="AK388" s="352">
        <f>IF(NFI_Expiration=1,IF($A388&lt;VLOOKUP(T$5,NFI,5,0),1,0)*Table_NFI[[#This Row],[Winter Items Other]],Table_NFI[Winter Items Other])</f>
        <v>0</v>
      </c>
      <c r="AL388" s="352">
        <f>IF(NFI_Expiration=1,IF($A388&lt;VLOOKUP(M$5,NFI,5,0),1,0)*Table_NFI[[#This Row],[Winter Blanket]],Table_NFI[[#This Row],[Winter Blanket]])</f>
        <v>0</v>
      </c>
      <c r="AM388" s="352">
        <f>IF(Table_NFI[[#This Row],[Winter Clothes Adult]]+Table_NFI[[#This Row],[Winter Clothes Children]]+Table_NFI[[#This Row],[Winter Items Other]]+Table_NFI[[#This Row],[Winter Blanket]]&gt;0,1,0)</f>
        <v>0</v>
      </c>
      <c r="AN388" s="392">
        <f>IF(NFI_Expiration=1,IF($A388&lt;VLOOKUP(V$5,NFI,5,0),1,0)*Table_NFI[[#This Row],[Jerry Can]],Table_NFI[Jerry Can])</f>
        <v>0</v>
      </c>
      <c r="AO388" s="540" t="str">
        <f>IFERROR(VLOOKUP(Table_NFI[[#This Row],[Camp Name]],CL,2,0),"")</f>
        <v>MMR001CMP051</v>
      </c>
      <c r="AP388" s="535">
        <f ca="1">IF(Table_NFI[[#This Row],[Pcode]]="","",IF(OFFSET(CampList[Opening Date],MATCH(Table_NFI[[#This Row],[Pcode]],CampList[CP_Pcode],0)-1,0,1,1)&gt;=NFI_Monitor_Date,1,0))</f>
        <v>0</v>
      </c>
      <c r="AQ388" s="540" t="str">
        <f>IFERROR(VLOOKUP(Table_NFI[[#This Row],[Camp Name]],CL,3,0),"")</f>
        <v>Open</v>
      </c>
      <c r="AR388" s="352" t="str">
        <f ca="1">IF(Table_NFI[[#This Row],[Pcode]]="","",OFFSET(CampList[Priority],MATCH(Table_NFI[[#This Row],[Pcode]],CampList[CP_Pcode],0)-1,0,1,1))</f>
        <v>P4</v>
      </c>
      <c r="AS388" s="351">
        <f>IFERROR(Table_NFI[[#This Row],[Kitchen Set]]/VLOOKUP(Table_NFI[[#This Row],[Camp Name]],CL,4,0),"")</f>
        <v>0.14285714285714285</v>
      </c>
      <c r="AT388" s="533" t="s">
        <v>1094</v>
      </c>
      <c r="AU388" s="536"/>
    </row>
    <row r="389" spans="1:47" s="537" customFormat="1" hidden="1" x14ac:dyDescent="0.25">
      <c r="A389" s="355">
        <f t="shared" si="5"/>
        <v>41.2</v>
      </c>
      <c r="B389" s="532">
        <v>41335</v>
      </c>
      <c r="C389" s="533" t="s">
        <v>907</v>
      </c>
      <c r="D389" s="534" t="s">
        <v>907</v>
      </c>
      <c r="E389" s="533" t="s">
        <v>380</v>
      </c>
      <c r="F389" s="348" t="s">
        <v>185</v>
      </c>
      <c r="G389" s="348" t="s">
        <v>190</v>
      </c>
      <c r="H389" s="349">
        <v>368</v>
      </c>
      <c r="I389" s="349"/>
      <c r="J389" s="349"/>
      <c r="K389" s="349"/>
      <c r="L389" s="350"/>
      <c r="M389" s="350"/>
      <c r="N389" s="350"/>
      <c r="O389" s="350"/>
      <c r="P389" s="352">
        <v>0</v>
      </c>
      <c r="Q389" s="352">
        <v>0</v>
      </c>
      <c r="R389" s="352"/>
      <c r="S389" s="352"/>
      <c r="T389" s="352"/>
      <c r="U389" s="352"/>
      <c r="V389" s="497"/>
      <c r="W389" s="352"/>
      <c r="X389" s="352"/>
      <c r="Y389" s="352">
        <f>IF(NFI_Expiration=1,IF($A389&lt;VLOOKUP(H$5,NFI,5,0),1,0)*Table_NFI[[#This Row],[Hygiene Kit]],Table_NFI[Hygiene Kit])</f>
        <v>0</v>
      </c>
      <c r="Z389" s="352">
        <f>IF(NFI_Expiration=1,IF($A389&lt;VLOOKUP(I$5,NFI,5,0),1,0)*Table_NFI[[#This Row],[NFI Core Kit]],Table_NFI[NFI Core Kit])</f>
        <v>0</v>
      </c>
      <c r="AA389" s="352">
        <f>IF(NFI_Expiration=1,IF($A389&lt;VLOOKUP(J$5,NFI,5,0),1,0)*Table_NFI[[#This Row],[Sanitary Kit]],Table_NFI[Sanitary Kit])</f>
        <v>0</v>
      </c>
      <c r="AB389" s="352">
        <f>IF(NFI_Expiration=1,IF($A389&lt;VLOOKUP(K$5,NFI,5,0),1,0)*Table_NFI[[#This Row],[Mosquito net]],Table_NFI[Mosquito net])</f>
        <v>0</v>
      </c>
      <c r="AC389" s="352">
        <f>IF(NFI_Expiration=1,IF($A389&lt;VLOOKUP(L$5,NFI,5,0),1,0)*Table_NFI[[#This Row],[Tarpaulin]],Table_NFI[[#This Row],[Tarpaulin]])</f>
        <v>0</v>
      </c>
      <c r="AD389" s="352">
        <f>IF(NFI_Expiration=1,IF($A389&lt;VLOOKUP(M$5,NFI,5,0),1,0)*Table_NFI[[#This Row],[Blanket]],Table_NFI[[#This Row],[Blanket]])</f>
        <v>0</v>
      </c>
      <c r="AE389" s="352">
        <f>IF(NFI_Expiration=1,IF($A389&lt;VLOOKUP(N$5,NFI,5,0),1,0)*Table_NFI[[#This Row],[Kitchen Set]],Table_NFI[Kitchen Set])</f>
        <v>0</v>
      </c>
      <c r="AF389" s="352">
        <f>IF(NFI_Expiration=1,IF($A389&lt;VLOOKUP(O$5,NFI,5,0),1,0)*Table_NFI[[#This Row],[Clothes Kit]],Table_NFI[Clothes Kit])</f>
        <v>0</v>
      </c>
      <c r="AG389" s="352">
        <f>IF(NFI_Expiration=1,IF($A389&lt;VLOOKUP(P$5,NFI,5,0),1,0)*Table_NFI[[#This Row],[Plastic Bucket]],Table_NFI[Plastic Bucket])</f>
        <v>0</v>
      </c>
      <c r="AH389" s="352">
        <f>IF(NFI_Expiration=1,IF($A389&lt;VLOOKUP(Q$5,NFI,5,0),1,0)*Table_NFI[[#This Row],[Plastic Mat]],Table_NFI[Plastic Mat])*IF(Table_NFI[[#This Row],[Distribution Date]]&gt;"2014-04-01",1,2.5)</f>
        <v>0</v>
      </c>
      <c r="AI389" s="352">
        <f>IF(NFI_Expiration=1,IF($A389&lt;VLOOKUP(R$5,NFI,5,0),1,0)*Table_NFI[[#This Row],[Winter Clothes Adult]],Table_NFI[Winter Clothes Adult])</f>
        <v>0</v>
      </c>
      <c r="AJ389" s="352">
        <f>IF(NFI_Expiration=1,IF($A389&lt;VLOOKUP(S$5,NFI,5,0),1,0)*Table_NFI[[#This Row],[Winter Clothes Children]],Table_NFI[Winter Clothes Children])</f>
        <v>0</v>
      </c>
      <c r="AK389" s="352">
        <f>IF(NFI_Expiration=1,IF($A389&lt;VLOOKUP(T$5,NFI,5,0),1,0)*Table_NFI[[#This Row],[Winter Items Other]],Table_NFI[Winter Items Other])</f>
        <v>0</v>
      </c>
      <c r="AL389" s="352">
        <f>IF(NFI_Expiration=1,IF($A389&lt;VLOOKUP(M$5,NFI,5,0),1,0)*Table_NFI[[#This Row],[Winter Blanket]],Table_NFI[[#This Row],[Winter Blanket]])</f>
        <v>0</v>
      </c>
      <c r="AM389" s="352">
        <f>IF(Table_NFI[[#This Row],[Winter Clothes Adult]]+Table_NFI[[#This Row],[Winter Clothes Children]]+Table_NFI[[#This Row],[Winter Items Other]]+Table_NFI[[#This Row],[Winter Blanket]]&gt;0,1,0)</f>
        <v>0</v>
      </c>
      <c r="AN389" s="392">
        <f>IF(NFI_Expiration=1,IF($A389&lt;VLOOKUP(V$5,NFI,5,0),1,0)*Table_NFI[[#This Row],[Jerry Can]],Table_NFI[Jerry Can])</f>
        <v>0</v>
      </c>
      <c r="AO389" s="540" t="str">
        <f>IFERROR(VLOOKUP(Table_NFI[[#This Row],[Camp Name]],CL,2,0),"")</f>
        <v>MMR001CMP070</v>
      </c>
      <c r="AP389" s="535">
        <f ca="1">IF(Table_NFI[[#This Row],[Pcode]]="","",IF(OFFSET(CampList[Opening Date],MATCH(Table_NFI[[#This Row],[Pcode]],CampList[CP_Pcode],0)-1,0,1,1)&gt;=NFI_Monitor_Date,1,0))</f>
        <v>0</v>
      </c>
      <c r="AQ389" s="540" t="str">
        <f>IFERROR(VLOOKUP(Table_NFI[[#This Row],[Camp Name]],CL,3,0),"")</f>
        <v>Open</v>
      </c>
      <c r="AR389" s="352" t="str">
        <f ca="1">IF(Table_NFI[[#This Row],[Pcode]]="","",OFFSET(CampList[Priority],MATCH(Table_NFI[[#This Row],[Pcode]],CampList[CP_Pcode],0)-1,0,1,1))</f>
        <v>P3</v>
      </c>
      <c r="AS389" s="351">
        <f>IFERROR(Table_NFI[[#This Row],[Kitchen Set]]/VLOOKUP(Table_NFI[[#This Row],[Camp Name]],CL,4,0),"")</f>
        <v>0</v>
      </c>
      <c r="AT389" s="533" t="s">
        <v>1094</v>
      </c>
      <c r="AU389" s="536"/>
    </row>
    <row r="390" spans="1:47" s="537" customFormat="1" ht="14.45" customHeight="1" x14ac:dyDescent="0.25">
      <c r="A390" s="355">
        <f t="shared" ref="A390:A453" si="6">IF(ISBLANK(B390),"",(Report_Date-B390)/30)</f>
        <v>30.1</v>
      </c>
      <c r="B390" s="532">
        <v>41668</v>
      </c>
      <c r="C390" s="533" t="s">
        <v>453</v>
      </c>
      <c r="D390" s="534" t="s">
        <v>453</v>
      </c>
      <c r="E390" s="533" t="s">
        <v>380</v>
      </c>
      <c r="F390" s="348" t="s">
        <v>151</v>
      </c>
      <c r="G390" s="348" t="s">
        <v>886</v>
      </c>
      <c r="H390" s="349"/>
      <c r="I390" s="349"/>
      <c r="J390" s="349"/>
      <c r="K390" s="349">
        <v>100</v>
      </c>
      <c r="L390" s="350">
        <v>58</v>
      </c>
      <c r="M390" s="350">
        <v>100</v>
      </c>
      <c r="N390" s="350">
        <v>58</v>
      </c>
      <c r="O390" s="350"/>
      <c r="P390" s="352">
        <v>58</v>
      </c>
      <c r="Q390" s="352">
        <v>290</v>
      </c>
      <c r="R390" s="352"/>
      <c r="S390" s="352"/>
      <c r="T390" s="352"/>
      <c r="U390" s="352"/>
      <c r="V390" s="497"/>
      <c r="W390" s="352"/>
      <c r="X390" s="352"/>
      <c r="Y390" s="352">
        <f>IF(NFI_Expiration=1,IF($A390&lt;VLOOKUP(H$5,NFI,5,0),1,0)*Table_NFI[[#This Row],[Hygiene Kit]],Table_NFI[Hygiene Kit])</f>
        <v>0</v>
      </c>
      <c r="Z390" s="352">
        <f>IF(NFI_Expiration=1,IF($A390&lt;VLOOKUP(I$5,NFI,5,0),1,0)*Table_NFI[[#This Row],[NFI Core Kit]],Table_NFI[NFI Core Kit])</f>
        <v>0</v>
      </c>
      <c r="AA390" s="352">
        <f>IF(NFI_Expiration=1,IF($A390&lt;VLOOKUP(J$5,NFI,5,0),1,0)*Table_NFI[[#This Row],[Sanitary Kit]],Table_NFI[Sanitary Kit])</f>
        <v>0</v>
      </c>
      <c r="AB390" s="352">
        <f>IF(NFI_Expiration=1,IF($A390&lt;VLOOKUP(K$5,NFI,5,0),1,0)*Table_NFI[[#This Row],[Mosquito net]],Table_NFI[Mosquito net])</f>
        <v>0</v>
      </c>
      <c r="AC390" s="352">
        <f>IF(NFI_Expiration=1,IF($A390&lt;VLOOKUP(L$5,NFI,5,0),1,0)*Table_NFI[[#This Row],[Tarpaulin]],Table_NFI[[#This Row],[Tarpaulin]])</f>
        <v>0</v>
      </c>
      <c r="AD390" s="352">
        <f>IF(NFI_Expiration=1,IF($A390&lt;VLOOKUP(M$5,NFI,5,0),1,0)*Table_NFI[[#This Row],[Blanket]],Table_NFI[[#This Row],[Blanket]])</f>
        <v>0</v>
      </c>
      <c r="AE390" s="352">
        <f>IF(NFI_Expiration=1,IF($A390&lt;VLOOKUP(N$5,NFI,5,0),1,0)*Table_NFI[[#This Row],[Kitchen Set]],Table_NFI[Kitchen Set])</f>
        <v>0</v>
      </c>
      <c r="AF390" s="352">
        <f>IF(NFI_Expiration=1,IF($A390&lt;VLOOKUP(O$5,NFI,5,0),1,0)*Table_NFI[[#This Row],[Clothes Kit]],Table_NFI[Clothes Kit])</f>
        <v>0</v>
      </c>
      <c r="AG390" s="352">
        <f>IF(NFI_Expiration=1,IF($A390&lt;VLOOKUP(P$5,NFI,5,0),1,0)*Table_NFI[[#This Row],[Plastic Bucket]],Table_NFI[Plastic Bucket])</f>
        <v>0</v>
      </c>
      <c r="AH390" s="352">
        <f>IF(NFI_Expiration=1,IF($A390&lt;VLOOKUP(Q$5,NFI,5,0),1,0)*Table_NFI[[#This Row],[Plastic Mat]],Table_NFI[Plastic Mat])*IF(Table_NFI[[#This Row],[Distribution Date]]&gt;"2014-04-01",1,2.5)</f>
        <v>0</v>
      </c>
      <c r="AI390" s="352">
        <f>IF(NFI_Expiration=1,IF($A390&lt;VLOOKUP(R$5,NFI,5,0),1,0)*Table_NFI[[#This Row],[Winter Clothes Adult]],Table_NFI[Winter Clothes Adult])</f>
        <v>0</v>
      </c>
      <c r="AJ390" s="352">
        <f>IF(NFI_Expiration=1,IF($A390&lt;VLOOKUP(S$5,NFI,5,0),1,0)*Table_NFI[[#This Row],[Winter Clothes Children]],Table_NFI[Winter Clothes Children])</f>
        <v>0</v>
      </c>
      <c r="AK390" s="352">
        <f>IF(NFI_Expiration=1,IF($A390&lt;VLOOKUP(T$5,NFI,5,0),1,0)*Table_NFI[[#This Row],[Winter Items Other]],Table_NFI[Winter Items Other])</f>
        <v>0</v>
      </c>
      <c r="AL390" s="352">
        <f>IF(NFI_Expiration=1,IF($A390&lt;VLOOKUP(M$5,NFI,5,0),1,0)*Table_NFI[[#This Row],[Winter Blanket]],Table_NFI[[#This Row],[Winter Blanket]])</f>
        <v>0</v>
      </c>
      <c r="AM390" s="352">
        <f>IF(Table_NFI[[#This Row],[Winter Clothes Adult]]+Table_NFI[[#This Row],[Winter Clothes Children]]+Table_NFI[[#This Row],[Winter Items Other]]+Table_NFI[[#This Row],[Winter Blanket]]&gt;0,1,0)</f>
        <v>0</v>
      </c>
      <c r="AN390" s="392">
        <f>IF(NFI_Expiration=1,IF($A390&lt;VLOOKUP(V$5,NFI,5,0),1,0)*Table_NFI[[#This Row],[Jerry Can]],Table_NFI[Jerry Can])</f>
        <v>0</v>
      </c>
      <c r="AO390" s="540" t="str">
        <f>IFERROR(VLOOKUP(Table_NFI[[#This Row],[Camp Name]],CL,2,0),"")</f>
        <v>MMR001CMP218</v>
      </c>
      <c r="AP390" s="535">
        <f ca="1">IF(Table_NFI[[#This Row],[Pcode]]="","",IF(OFFSET(CampList[Opening Date],MATCH(Table_NFI[[#This Row],[Pcode]],CampList[CP_Pcode],0)-1,0,1,1)&gt;=NFI_Monitor_Date,1,0))</f>
        <v>0</v>
      </c>
      <c r="AQ390" s="540" t="str">
        <f>IFERROR(VLOOKUP(Table_NFI[[#This Row],[Camp Name]],CL,3,0),"")</f>
        <v>Open</v>
      </c>
      <c r="AR390" s="352" t="str">
        <f ca="1">IF(Table_NFI[[#This Row],[Pcode]]="","",OFFSET(CampList[Priority],MATCH(Table_NFI[[#This Row],[Pcode]],CampList[CP_Pcode],0)-1,0,1,1))</f>
        <v>P4</v>
      </c>
      <c r="AS390" s="351">
        <f>IFERROR(Table_NFI[[#This Row],[Kitchen Set]]/VLOOKUP(Table_NFI[[#This Row],[Camp Name]],CL,4,0),"")</f>
        <v>0.14871794871794872</v>
      </c>
      <c r="AT390" s="533" t="s">
        <v>1094</v>
      </c>
      <c r="AU390" s="536"/>
    </row>
    <row r="391" spans="1:47" s="537" customFormat="1" ht="14.45" customHeight="1" x14ac:dyDescent="0.25">
      <c r="A391" s="355">
        <f t="shared" si="6"/>
        <v>30.133333333333333</v>
      </c>
      <c r="B391" s="532">
        <v>41667</v>
      </c>
      <c r="C391" s="533" t="s">
        <v>453</v>
      </c>
      <c r="D391" s="538"/>
      <c r="E391" s="533" t="s">
        <v>380</v>
      </c>
      <c r="F391" s="533" t="s">
        <v>151</v>
      </c>
      <c r="G391" s="533" t="s">
        <v>944</v>
      </c>
      <c r="H391" s="350"/>
      <c r="I391" s="350"/>
      <c r="J391" s="350"/>
      <c r="K391" s="350">
        <v>18</v>
      </c>
      <c r="L391" s="350">
        <v>10</v>
      </c>
      <c r="M391" s="350">
        <v>18</v>
      </c>
      <c r="N391" s="350">
        <v>40</v>
      </c>
      <c r="O391" s="350"/>
      <c r="P391" s="352">
        <v>10</v>
      </c>
      <c r="Q391" s="352">
        <v>50</v>
      </c>
      <c r="R391" s="352"/>
      <c r="S391" s="352"/>
      <c r="T391" s="352"/>
      <c r="U391" s="352"/>
      <c r="V391" s="497"/>
      <c r="W391" s="352"/>
      <c r="X391" s="352"/>
      <c r="Y391" s="352">
        <f>IF(NFI_Expiration=1,IF($A391&lt;VLOOKUP(H$5,NFI,5,0),1,0)*Table_NFI[[#This Row],[Hygiene Kit]],Table_NFI[Hygiene Kit])</f>
        <v>0</v>
      </c>
      <c r="Z391" s="352">
        <f>IF(NFI_Expiration=1,IF($A391&lt;VLOOKUP(I$5,NFI,5,0),1,0)*Table_NFI[[#This Row],[NFI Core Kit]],Table_NFI[NFI Core Kit])</f>
        <v>0</v>
      </c>
      <c r="AA391" s="352">
        <f>IF(NFI_Expiration=1,IF($A391&lt;VLOOKUP(J$5,NFI,5,0),1,0)*Table_NFI[[#This Row],[Sanitary Kit]],Table_NFI[Sanitary Kit])</f>
        <v>0</v>
      </c>
      <c r="AB391" s="352">
        <f>IF(NFI_Expiration=1,IF($A391&lt;VLOOKUP(K$5,NFI,5,0),1,0)*Table_NFI[[#This Row],[Mosquito net]],Table_NFI[Mosquito net])</f>
        <v>0</v>
      </c>
      <c r="AC391" s="352">
        <f>IF(NFI_Expiration=1,IF($A391&lt;VLOOKUP(L$5,NFI,5,0),1,0)*Table_NFI[[#This Row],[Tarpaulin]],Table_NFI[[#This Row],[Tarpaulin]])</f>
        <v>0</v>
      </c>
      <c r="AD391" s="352">
        <f>IF(NFI_Expiration=1,IF($A391&lt;VLOOKUP(M$5,NFI,5,0),1,0)*Table_NFI[[#This Row],[Blanket]],Table_NFI[[#This Row],[Blanket]])</f>
        <v>0</v>
      </c>
      <c r="AE391" s="352">
        <f>IF(NFI_Expiration=1,IF($A391&lt;VLOOKUP(N$5,NFI,5,0),1,0)*Table_NFI[[#This Row],[Kitchen Set]],Table_NFI[Kitchen Set])</f>
        <v>0</v>
      </c>
      <c r="AF391" s="352">
        <f>IF(NFI_Expiration=1,IF($A391&lt;VLOOKUP(O$5,NFI,5,0),1,0)*Table_NFI[[#This Row],[Clothes Kit]],Table_NFI[Clothes Kit])</f>
        <v>0</v>
      </c>
      <c r="AG391" s="352">
        <f>IF(NFI_Expiration=1,IF($A391&lt;VLOOKUP(P$5,NFI,5,0),1,0)*Table_NFI[[#This Row],[Plastic Bucket]],Table_NFI[Plastic Bucket])</f>
        <v>0</v>
      </c>
      <c r="AH391" s="352">
        <f>IF(NFI_Expiration=1,IF($A391&lt;VLOOKUP(Q$5,NFI,5,0),1,0)*Table_NFI[[#This Row],[Plastic Mat]],Table_NFI[Plastic Mat])*IF(Table_NFI[[#This Row],[Distribution Date]]&gt;"2014-04-01",1,2.5)</f>
        <v>0</v>
      </c>
      <c r="AI391" s="352">
        <f>IF(NFI_Expiration=1,IF($A391&lt;VLOOKUP(R$5,NFI,5,0),1,0)*Table_NFI[[#This Row],[Winter Clothes Adult]],Table_NFI[Winter Clothes Adult])</f>
        <v>0</v>
      </c>
      <c r="AJ391" s="352">
        <f>IF(NFI_Expiration=1,IF($A391&lt;VLOOKUP(S$5,NFI,5,0),1,0)*Table_NFI[[#This Row],[Winter Clothes Children]],Table_NFI[Winter Clothes Children])</f>
        <v>0</v>
      </c>
      <c r="AK391" s="352">
        <f>IF(NFI_Expiration=1,IF($A391&lt;VLOOKUP(T$5,NFI,5,0),1,0)*Table_NFI[[#This Row],[Winter Items Other]],Table_NFI[Winter Items Other])</f>
        <v>0</v>
      </c>
      <c r="AL391" s="352">
        <f>IF(NFI_Expiration=1,IF($A391&lt;VLOOKUP(M$5,NFI,5,0),1,0)*Table_NFI[[#This Row],[Winter Blanket]],Table_NFI[[#This Row],[Winter Blanket]])</f>
        <v>0</v>
      </c>
      <c r="AM391" s="352">
        <f>IF(Table_NFI[[#This Row],[Winter Clothes Adult]]+Table_NFI[[#This Row],[Winter Clothes Children]]+Table_NFI[[#This Row],[Winter Items Other]]+Table_NFI[[#This Row],[Winter Blanket]]&gt;0,1,0)</f>
        <v>0</v>
      </c>
      <c r="AN391" s="392">
        <f>IF(NFI_Expiration=1,IF($A391&lt;VLOOKUP(V$5,NFI,5,0),1,0)*Table_NFI[[#This Row],[Jerry Can]],Table_NFI[Jerry Can])</f>
        <v>0</v>
      </c>
      <c r="AO391" s="540" t="str">
        <f>IFERROR(VLOOKUP(Table_NFI[[#This Row],[Camp Name]],CL,2,0),"")</f>
        <v>MMR001CMP223</v>
      </c>
      <c r="AP391" s="535">
        <f ca="1">IF(Table_NFI[[#This Row],[Pcode]]="","",IF(OFFSET(CampList[Opening Date],MATCH(Table_NFI[[#This Row],[Pcode]],CampList[CP_Pcode],0)-1,0,1,1)&gt;=NFI_Monitor_Date,1,0))</f>
        <v>0</v>
      </c>
      <c r="AQ391" s="540" t="str">
        <f>IFERROR(VLOOKUP(Table_NFI[[#This Row],[Camp Name]],CL,3,0),"")</f>
        <v>Open</v>
      </c>
      <c r="AR391" s="352" t="str">
        <f ca="1">IF(Table_NFI[[#This Row],[Pcode]]="","",OFFSET(CampList[Priority],MATCH(Table_NFI[[#This Row],[Pcode]],CampList[CP_Pcode],0)-1,0,1,1))</f>
        <v>P4</v>
      </c>
      <c r="AS391" s="351">
        <f>IFERROR(Table_NFI[[#This Row],[Kitchen Set]]/VLOOKUP(Table_NFI[[#This Row],[Camp Name]],CL,4,0),"")</f>
        <v>0.32520325203252032</v>
      </c>
      <c r="AT391" s="538"/>
      <c r="AU391" s="541"/>
    </row>
    <row r="392" spans="1:47" s="537" customFormat="1" ht="14.45" customHeight="1" x14ac:dyDescent="0.25">
      <c r="A392" s="355">
        <f t="shared" si="6"/>
        <v>30.233333333333334</v>
      </c>
      <c r="B392" s="532">
        <v>41664</v>
      </c>
      <c r="C392" s="533" t="s">
        <v>453</v>
      </c>
      <c r="D392" s="534" t="s">
        <v>453</v>
      </c>
      <c r="E392" s="533" t="s">
        <v>380</v>
      </c>
      <c r="F392" s="348" t="s">
        <v>185</v>
      </c>
      <c r="G392" s="348" t="s">
        <v>192</v>
      </c>
      <c r="H392" s="349"/>
      <c r="I392" s="349"/>
      <c r="J392" s="349"/>
      <c r="K392" s="352">
        <v>62</v>
      </c>
      <c r="L392" s="350">
        <v>31</v>
      </c>
      <c r="M392" s="350">
        <v>62</v>
      </c>
      <c r="N392" s="350">
        <v>31</v>
      </c>
      <c r="O392" s="350"/>
      <c r="P392" s="352">
        <v>31</v>
      </c>
      <c r="Q392" s="352">
        <v>155</v>
      </c>
      <c r="R392" s="352"/>
      <c r="S392" s="352"/>
      <c r="T392" s="352"/>
      <c r="U392" s="352"/>
      <c r="V392" s="497"/>
      <c r="W392" s="352"/>
      <c r="X392" s="352"/>
      <c r="Y392" s="352">
        <f>IF(NFI_Expiration=1,IF($A392&lt;VLOOKUP(H$5,NFI,5,0),1,0)*Table_NFI[[#This Row],[Hygiene Kit]],Table_NFI[Hygiene Kit])</f>
        <v>0</v>
      </c>
      <c r="Z392" s="352">
        <f>IF(NFI_Expiration=1,IF($A392&lt;VLOOKUP(I$5,NFI,5,0),1,0)*Table_NFI[[#This Row],[NFI Core Kit]],Table_NFI[NFI Core Kit])</f>
        <v>0</v>
      </c>
      <c r="AA392" s="352">
        <f>IF(NFI_Expiration=1,IF($A392&lt;VLOOKUP(J$5,NFI,5,0),1,0)*Table_NFI[[#This Row],[Sanitary Kit]],Table_NFI[Sanitary Kit])</f>
        <v>0</v>
      </c>
      <c r="AB392" s="352">
        <f>IF(NFI_Expiration=1,IF($A392&lt;VLOOKUP(K$5,NFI,5,0),1,0)*Table_NFI[[#This Row],[Mosquito net]],Table_NFI[Mosquito net])</f>
        <v>0</v>
      </c>
      <c r="AC392" s="352">
        <f>IF(NFI_Expiration=1,IF($A392&lt;VLOOKUP(L$5,NFI,5,0),1,0)*Table_NFI[[#This Row],[Tarpaulin]],Table_NFI[[#This Row],[Tarpaulin]])</f>
        <v>0</v>
      </c>
      <c r="AD392" s="352">
        <f>IF(NFI_Expiration=1,IF($A392&lt;VLOOKUP(M$5,NFI,5,0),1,0)*Table_NFI[[#This Row],[Blanket]],Table_NFI[[#This Row],[Blanket]])</f>
        <v>0</v>
      </c>
      <c r="AE392" s="352">
        <f>IF(NFI_Expiration=1,IF($A392&lt;VLOOKUP(N$5,NFI,5,0),1,0)*Table_NFI[[#This Row],[Kitchen Set]],Table_NFI[Kitchen Set])</f>
        <v>0</v>
      </c>
      <c r="AF392" s="352">
        <f>IF(NFI_Expiration=1,IF($A392&lt;VLOOKUP(O$5,NFI,5,0),1,0)*Table_NFI[[#This Row],[Clothes Kit]],Table_NFI[Clothes Kit])</f>
        <v>0</v>
      </c>
      <c r="AG392" s="352">
        <f>IF(NFI_Expiration=1,IF($A392&lt;VLOOKUP(P$5,NFI,5,0),1,0)*Table_NFI[[#This Row],[Plastic Bucket]],Table_NFI[Plastic Bucket])</f>
        <v>0</v>
      </c>
      <c r="AH392" s="352">
        <f>IF(NFI_Expiration=1,IF($A392&lt;VLOOKUP(Q$5,NFI,5,0),1,0)*Table_NFI[[#This Row],[Plastic Mat]],Table_NFI[Plastic Mat])*IF(Table_NFI[[#This Row],[Distribution Date]]&gt;"2014-04-01",1,2.5)</f>
        <v>0</v>
      </c>
      <c r="AI392" s="352">
        <f>IF(NFI_Expiration=1,IF($A392&lt;VLOOKUP(R$5,NFI,5,0),1,0)*Table_NFI[[#This Row],[Winter Clothes Adult]],Table_NFI[Winter Clothes Adult])</f>
        <v>0</v>
      </c>
      <c r="AJ392" s="352">
        <f>IF(NFI_Expiration=1,IF($A392&lt;VLOOKUP(S$5,NFI,5,0),1,0)*Table_NFI[[#This Row],[Winter Clothes Children]],Table_NFI[Winter Clothes Children])</f>
        <v>0</v>
      </c>
      <c r="AK392" s="352">
        <f>IF(NFI_Expiration=1,IF($A392&lt;VLOOKUP(T$5,NFI,5,0),1,0)*Table_NFI[[#This Row],[Winter Items Other]],Table_NFI[Winter Items Other])</f>
        <v>0</v>
      </c>
      <c r="AL392" s="352">
        <f>IF(NFI_Expiration=1,IF($A392&lt;VLOOKUP(M$5,NFI,5,0),1,0)*Table_NFI[[#This Row],[Winter Blanket]],Table_NFI[[#This Row],[Winter Blanket]])</f>
        <v>0</v>
      </c>
      <c r="AM392" s="352">
        <f>IF(Table_NFI[[#This Row],[Winter Clothes Adult]]+Table_NFI[[#This Row],[Winter Clothes Children]]+Table_NFI[[#This Row],[Winter Items Other]]+Table_NFI[[#This Row],[Winter Blanket]]&gt;0,1,0)</f>
        <v>0</v>
      </c>
      <c r="AN392" s="392">
        <f>IF(NFI_Expiration=1,IF($A392&lt;VLOOKUP(V$5,NFI,5,0),1,0)*Table_NFI[[#This Row],[Jerry Can]],Table_NFI[Jerry Can])</f>
        <v>0</v>
      </c>
      <c r="AO392" s="540" t="str">
        <f>IFERROR(VLOOKUP(Table_NFI[[#This Row],[Camp Name]],CL,2,0),"")</f>
        <v>MMR001CMP123</v>
      </c>
      <c r="AP392" s="535">
        <f ca="1">IF(Table_NFI[[#This Row],[Pcode]]="","",IF(OFFSET(CampList[Opening Date],MATCH(Table_NFI[[#This Row],[Pcode]],CampList[CP_Pcode],0)-1,0,1,1)&gt;=NFI_Monitor_Date,1,0))</f>
        <v>0</v>
      </c>
      <c r="AQ392" s="540" t="str">
        <f>IFERROR(VLOOKUP(Table_NFI[[#This Row],[Camp Name]],CL,3,0),"")</f>
        <v>Open</v>
      </c>
      <c r="AR392" s="352" t="str">
        <f ca="1">IF(Table_NFI[[#This Row],[Pcode]]="","",OFFSET(CampList[Priority],MATCH(Table_NFI[[#This Row],[Pcode]],CampList[CP_Pcode],0)-1,0,1,1))</f>
        <v>P2</v>
      </c>
      <c r="AS392" s="351">
        <f>IFERROR(Table_NFI[[#This Row],[Kitchen Set]]/VLOOKUP(Table_NFI[[#This Row],[Camp Name]],CL,4,0),"")</f>
        <v>0.26724137931034481</v>
      </c>
      <c r="AT392" s="533" t="s">
        <v>1094</v>
      </c>
      <c r="AU392" s="536"/>
    </row>
    <row r="393" spans="1:47" s="537" customFormat="1" ht="14.45" customHeight="1" x14ac:dyDescent="0.25">
      <c r="A393" s="355">
        <f t="shared" si="6"/>
        <v>30.266666666666666</v>
      </c>
      <c r="B393" s="532">
        <v>41663</v>
      </c>
      <c r="C393" s="533" t="s">
        <v>453</v>
      </c>
      <c r="D393" s="534" t="s">
        <v>453</v>
      </c>
      <c r="E393" s="533" t="s">
        <v>380</v>
      </c>
      <c r="F393" s="533" t="s">
        <v>185</v>
      </c>
      <c r="G393" s="348" t="s">
        <v>219</v>
      </c>
      <c r="H393" s="349"/>
      <c r="I393" s="349"/>
      <c r="J393" s="349"/>
      <c r="K393" s="349">
        <v>60</v>
      </c>
      <c r="L393" s="350">
        <v>30</v>
      </c>
      <c r="M393" s="350">
        <v>60</v>
      </c>
      <c r="N393" s="350">
        <v>30</v>
      </c>
      <c r="O393" s="350"/>
      <c r="P393" s="352">
        <v>30</v>
      </c>
      <c r="Q393" s="352">
        <v>150</v>
      </c>
      <c r="R393" s="352"/>
      <c r="S393" s="352"/>
      <c r="T393" s="352"/>
      <c r="U393" s="352"/>
      <c r="V393" s="497"/>
      <c r="W393" s="352"/>
      <c r="X393" s="352"/>
      <c r="Y393" s="352">
        <f>IF(NFI_Expiration=1,IF($A393&lt;VLOOKUP(H$5,NFI,5,0),1,0)*Table_NFI[[#This Row],[Hygiene Kit]],Table_NFI[Hygiene Kit])</f>
        <v>0</v>
      </c>
      <c r="Z393" s="352">
        <f>IF(NFI_Expiration=1,IF($A393&lt;VLOOKUP(I$5,NFI,5,0),1,0)*Table_NFI[[#This Row],[NFI Core Kit]],Table_NFI[NFI Core Kit])</f>
        <v>0</v>
      </c>
      <c r="AA393" s="352">
        <f>IF(NFI_Expiration=1,IF($A393&lt;VLOOKUP(J$5,NFI,5,0),1,0)*Table_NFI[[#This Row],[Sanitary Kit]],Table_NFI[Sanitary Kit])</f>
        <v>0</v>
      </c>
      <c r="AB393" s="352">
        <f>IF(NFI_Expiration=1,IF($A393&lt;VLOOKUP(K$5,NFI,5,0),1,0)*Table_NFI[[#This Row],[Mosquito net]],Table_NFI[Mosquito net])</f>
        <v>0</v>
      </c>
      <c r="AC393" s="352">
        <f>IF(NFI_Expiration=1,IF($A393&lt;VLOOKUP(L$5,NFI,5,0),1,0)*Table_NFI[[#This Row],[Tarpaulin]],Table_NFI[[#This Row],[Tarpaulin]])</f>
        <v>0</v>
      </c>
      <c r="AD393" s="352">
        <f>IF(NFI_Expiration=1,IF($A393&lt;VLOOKUP(M$5,NFI,5,0),1,0)*Table_NFI[[#This Row],[Blanket]],Table_NFI[[#This Row],[Blanket]])</f>
        <v>0</v>
      </c>
      <c r="AE393" s="352">
        <f>IF(NFI_Expiration=1,IF($A393&lt;VLOOKUP(N$5,NFI,5,0),1,0)*Table_NFI[[#This Row],[Kitchen Set]],Table_NFI[Kitchen Set])</f>
        <v>0</v>
      </c>
      <c r="AF393" s="352">
        <f>IF(NFI_Expiration=1,IF($A393&lt;VLOOKUP(O$5,NFI,5,0),1,0)*Table_NFI[[#This Row],[Clothes Kit]],Table_NFI[Clothes Kit])</f>
        <v>0</v>
      </c>
      <c r="AG393" s="352">
        <f>IF(NFI_Expiration=1,IF($A393&lt;VLOOKUP(P$5,NFI,5,0),1,0)*Table_NFI[[#This Row],[Plastic Bucket]],Table_NFI[Plastic Bucket])</f>
        <v>0</v>
      </c>
      <c r="AH393" s="352">
        <f>IF(NFI_Expiration=1,IF($A393&lt;VLOOKUP(Q$5,NFI,5,0),1,0)*Table_NFI[[#This Row],[Plastic Mat]],Table_NFI[Plastic Mat])*IF(Table_NFI[[#This Row],[Distribution Date]]&gt;"2014-04-01",1,2.5)</f>
        <v>0</v>
      </c>
      <c r="AI393" s="352">
        <f>IF(NFI_Expiration=1,IF($A393&lt;VLOOKUP(R$5,NFI,5,0),1,0)*Table_NFI[[#This Row],[Winter Clothes Adult]],Table_NFI[Winter Clothes Adult])</f>
        <v>0</v>
      </c>
      <c r="AJ393" s="352">
        <f>IF(NFI_Expiration=1,IF($A393&lt;VLOOKUP(S$5,NFI,5,0),1,0)*Table_NFI[[#This Row],[Winter Clothes Children]],Table_NFI[Winter Clothes Children])</f>
        <v>0</v>
      </c>
      <c r="AK393" s="352">
        <f>IF(NFI_Expiration=1,IF($A393&lt;VLOOKUP(T$5,NFI,5,0),1,0)*Table_NFI[[#This Row],[Winter Items Other]],Table_NFI[Winter Items Other])</f>
        <v>0</v>
      </c>
      <c r="AL393" s="352">
        <f>IF(NFI_Expiration=1,IF($A393&lt;VLOOKUP(M$5,NFI,5,0),1,0)*Table_NFI[[#This Row],[Winter Blanket]],Table_NFI[[#This Row],[Winter Blanket]])</f>
        <v>0</v>
      </c>
      <c r="AM393" s="352">
        <f>IF(Table_NFI[[#This Row],[Winter Clothes Adult]]+Table_NFI[[#This Row],[Winter Clothes Children]]+Table_NFI[[#This Row],[Winter Items Other]]+Table_NFI[[#This Row],[Winter Blanket]]&gt;0,1,0)</f>
        <v>0</v>
      </c>
      <c r="AN393" s="392">
        <f>IF(NFI_Expiration=1,IF($A393&lt;VLOOKUP(V$5,NFI,5,0),1,0)*Table_NFI[[#This Row],[Jerry Can]],Table_NFI[Jerry Can])</f>
        <v>0</v>
      </c>
      <c r="AO393" s="540" t="str">
        <f>IFERROR(VLOOKUP(Table_NFI[[#This Row],[Camp Name]],CL,2,0),"")</f>
        <v>MMR001CMP126</v>
      </c>
      <c r="AP393" s="535">
        <f ca="1">IF(Table_NFI[[#This Row],[Pcode]]="","",IF(OFFSET(CampList[Opening Date],MATCH(Table_NFI[[#This Row],[Pcode]],CampList[CP_Pcode],0)-1,0,1,1)&gt;=NFI_Monitor_Date,1,0))</f>
        <v>0</v>
      </c>
      <c r="AQ393" s="540" t="str">
        <f>IFERROR(VLOOKUP(Table_NFI[[#This Row],[Camp Name]],CL,3,0),"")</f>
        <v>Open</v>
      </c>
      <c r="AR393" s="352" t="str">
        <f ca="1">IF(Table_NFI[[#This Row],[Pcode]]="","",OFFSET(CampList[Priority],MATCH(Table_NFI[[#This Row],[Pcode]],CampList[CP_Pcode],0)-1,0,1,1))</f>
        <v>P2</v>
      </c>
      <c r="AS393" s="351">
        <f>IFERROR(Table_NFI[[#This Row],[Kitchen Set]]/VLOOKUP(Table_NFI[[#This Row],[Camp Name]],CL,4,0),"")</f>
        <v>4.4313146233382568E-2</v>
      </c>
      <c r="AT393" s="533" t="s">
        <v>1094</v>
      </c>
      <c r="AU393" s="536"/>
    </row>
    <row r="394" spans="1:47" s="537" customFormat="1" ht="14.45" customHeight="1" x14ac:dyDescent="0.25">
      <c r="A394" s="355">
        <f t="shared" si="6"/>
        <v>30.533333333333335</v>
      </c>
      <c r="B394" s="532">
        <v>41655</v>
      </c>
      <c r="C394" s="533" t="s">
        <v>453</v>
      </c>
      <c r="D394" s="534" t="s">
        <v>453</v>
      </c>
      <c r="E394" s="533" t="s">
        <v>380</v>
      </c>
      <c r="F394" s="348" t="s">
        <v>151</v>
      </c>
      <c r="G394" s="348" t="s">
        <v>188</v>
      </c>
      <c r="H394" s="349"/>
      <c r="I394" s="349"/>
      <c r="J394" s="349"/>
      <c r="K394" s="349">
        <v>45</v>
      </c>
      <c r="L394" s="350">
        <v>30</v>
      </c>
      <c r="M394" s="350">
        <v>45</v>
      </c>
      <c r="N394" s="350">
        <v>30</v>
      </c>
      <c r="O394" s="350"/>
      <c r="P394" s="352">
        <v>30</v>
      </c>
      <c r="Q394" s="352">
        <v>150</v>
      </c>
      <c r="R394" s="352"/>
      <c r="S394" s="352"/>
      <c r="T394" s="352"/>
      <c r="U394" s="352"/>
      <c r="V394" s="497"/>
      <c r="W394" s="352"/>
      <c r="X394" s="352"/>
      <c r="Y394" s="352">
        <f>IF(NFI_Expiration=1,IF($A394&lt;VLOOKUP(H$5,NFI,5,0),1,0)*Table_NFI[[#This Row],[Hygiene Kit]],Table_NFI[Hygiene Kit])</f>
        <v>0</v>
      </c>
      <c r="Z394" s="352">
        <f>IF(NFI_Expiration=1,IF($A394&lt;VLOOKUP(I$5,NFI,5,0),1,0)*Table_NFI[[#This Row],[NFI Core Kit]],Table_NFI[NFI Core Kit])</f>
        <v>0</v>
      </c>
      <c r="AA394" s="352">
        <f>IF(NFI_Expiration=1,IF($A394&lt;VLOOKUP(J$5,NFI,5,0),1,0)*Table_NFI[[#This Row],[Sanitary Kit]],Table_NFI[Sanitary Kit])</f>
        <v>0</v>
      </c>
      <c r="AB394" s="352">
        <f>IF(NFI_Expiration=1,IF($A394&lt;VLOOKUP(K$5,NFI,5,0),1,0)*Table_NFI[[#This Row],[Mosquito net]],Table_NFI[Mosquito net])</f>
        <v>0</v>
      </c>
      <c r="AC394" s="352">
        <f>IF(NFI_Expiration=1,IF($A394&lt;VLOOKUP(L$5,NFI,5,0),1,0)*Table_NFI[[#This Row],[Tarpaulin]],Table_NFI[[#This Row],[Tarpaulin]])</f>
        <v>0</v>
      </c>
      <c r="AD394" s="352">
        <f>IF(NFI_Expiration=1,IF($A394&lt;VLOOKUP(M$5,NFI,5,0),1,0)*Table_NFI[[#This Row],[Blanket]],Table_NFI[[#This Row],[Blanket]])</f>
        <v>0</v>
      </c>
      <c r="AE394" s="352">
        <f>IF(NFI_Expiration=1,IF($A394&lt;VLOOKUP(N$5,NFI,5,0),1,0)*Table_NFI[[#This Row],[Kitchen Set]],Table_NFI[Kitchen Set])</f>
        <v>0</v>
      </c>
      <c r="AF394" s="352">
        <f>IF(NFI_Expiration=1,IF($A394&lt;VLOOKUP(O$5,NFI,5,0),1,0)*Table_NFI[[#This Row],[Clothes Kit]],Table_NFI[Clothes Kit])</f>
        <v>0</v>
      </c>
      <c r="AG394" s="352">
        <f>IF(NFI_Expiration=1,IF($A394&lt;VLOOKUP(P$5,NFI,5,0),1,0)*Table_NFI[[#This Row],[Plastic Bucket]],Table_NFI[Plastic Bucket])</f>
        <v>0</v>
      </c>
      <c r="AH394" s="352">
        <f>IF(NFI_Expiration=1,IF($A394&lt;VLOOKUP(Q$5,NFI,5,0),1,0)*Table_NFI[[#This Row],[Plastic Mat]],Table_NFI[Plastic Mat])*IF(Table_NFI[[#This Row],[Distribution Date]]&gt;"2014-04-01",1,2.5)</f>
        <v>0</v>
      </c>
      <c r="AI394" s="352">
        <f>IF(NFI_Expiration=1,IF($A394&lt;VLOOKUP(R$5,NFI,5,0),1,0)*Table_NFI[[#This Row],[Winter Clothes Adult]],Table_NFI[Winter Clothes Adult])</f>
        <v>0</v>
      </c>
      <c r="AJ394" s="352">
        <f>IF(NFI_Expiration=1,IF($A394&lt;VLOOKUP(S$5,NFI,5,0),1,0)*Table_NFI[[#This Row],[Winter Clothes Children]],Table_NFI[Winter Clothes Children])</f>
        <v>0</v>
      </c>
      <c r="AK394" s="352">
        <f>IF(NFI_Expiration=1,IF($A394&lt;VLOOKUP(T$5,NFI,5,0),1,0)*Table_NFI[[#This Row],[Winter Items Other]],Table_NFI[Winter Items Other])</f>
        <v>0</v>
      </c>
      <c r="AL394" s="352">
        <f>IF(NFI_Expiration=1,IF($A394&lt;VLOOKUP(M$5,NFI,5,0),1,0)*Table_NFI[[#This Row],[Winter Blanket]],Table_NFI[[#This Row],[Winter Blanket]])</f>
        <v>0</v>
      </c>
      <c r="AM394" s="352">
        <f>IF(Table_NFI[[#This Row],[Winter Clothes Adult]]+Table_NFI[[#This Row],[Winter Clothes Children]]+Table_NFI[[#This Row],[Winter Items Other]]+Table_NFI[[#This Row],[Winter Blanket]]&gt;0,1,0)</f>
        <v>0</v>
      </c>
      <c r="AN394" s="392">
        <f>IF(NFI_Expiration=1,IF($A394&lt;VLOOKUP(V$5,NFI,5,0),1,0)*Table_NFI[[#This Row],[Jerry Can]],Table_NFI[Jerry Can])</f>
        <v>0</v>
      </c>
      <c r="AO394" s="540" t="str">
        <f>IFERROR(VLOOKUP(Table_NFI[[#This Row],[Camp Name]],CL,2,0),"")</f>
        <v>MMR001CMP129</v>
      </c>
      <c r="AP394" s="535">
        <f ca="1">IF(Table_NFI[[#This Row],[Pcode]]="","",IF(OFFSET(CampList[Opening Date],MATCH(Table_NFI[[#This Row],[Pcode]],CampList[CP_Pcode],0)-1,0,1,1)&gt;=NFI_Monitor_Date,1,0))</f>
        <v>0</v>
      </c>
      <c r="AQ394" s="540" t="str">
        <f>IFERROR(VLOOKUP(Table_NFI[[#This Row],[Camp Name]],CL,3,0),"")</f>
        <v>Open</v>
      </c>
      <c r="AR394" s="352" t="str">
        <f ca="1">IF(Table_NFI[[#This Row],[Pcode]]="","",OFFSET(CampList[Priority],MATCH(Table_NFI[[#This Row],[Pcode]],CampList[CP_Pcode],0)-1,0,1,1))</f>
        <v>P2</v>
      </c>
      <c r="AS394" s="351">
        <f>IFERROR(Table_NFI[[#This Row],[Kitchen Set]]/VLOOKUP(Table_NFI[[#This Row],[Camp Name]],CL,4,0),"")</f>
        <v>0.12244897959183673</v>
      </c>
      <c r="AT394" s="533" t="s">
        <v>1094</v>
      </c>
      <c r="AU394" s="536"/>
    </row>
    <row r="395" spans="1:47" s="537" customFormat="1" ht="14.45" hidden="1" customHeight="1" x14ac:dyDescent="0.25">
      <c r="A395" s="355">
        <f t="shared" si="6"/>
        <v>31.733333333333334</v>
      </c>
      <c r="B395" s="532">
        <v>41619</v>
      </c>
      <c r="C395" s="533" t="s">
        <v>1029</v>
      </c>
      <c r="D395" s="533" t="s">
        <v>1030</v>
      </c>
      <c r="E395" s="533" t="s">
        <v>380</v>
      </c>
      <c r="F395" s="533" t="s">
        <v>151</v>
      </c>
      <c r="G395" s="533" t="s">
        <v>158</v>
      </c>
      <c r="H395" s="349"/>
      <c r="I395" s="349"/>
      <c r="J395" s="349"/>
      <c r="K395" s="349"/>
      <c r="L395" s="350"/>
      <c r="M395" s="350">
        <v>38</v>
      </c>
      <c r="N395" s="350"/>
      <c r="O395" s="350"/>
      <c r="P395" s="352"/>
      <c r="Q395" s="352"/>
      <c r="R395" s="352"/>
      <c r="S395" s="352"/>
      <c r="T395" s="352"/>
      <c r="U395" s="352"/>
      <c r="V395" s="497"/>
      <c r="W395" s="352"/>
      <c r="X395" s="352"/>
      <c r="Y395" s="352">
        <f>IF(NFI_Expiration=1,IF($A395&lt;VLOOKUP(H$5,NFI,5,0),1,0)*Table_NFI[[#This Row],[Hygiene Kit]],Table_NFI[Hygiene Kit])</f>
        <v>0</v>
      </c>
      <c r="Z395" s="352">
        <f>IF(NFI_Expiration=1,IF($A395&lt;VLOOKUP(I$5,NFI,5,0),1,0)*Table_NFI[[#This Row],[NFI Core Kit]],Table_NFI[NFI Core Kit])</f>
        <v>0</v>
      </c>
      <c r="AA395" s="352">
        <f>IF(NFI_Expiration=1,IF($A395&lt;VLOOKUP(J$5,NFI,5,0),1,0)*Table_NFI[[#This Row],[Sanitary Kit]],Table_NFI[Sanitary Kit])</f>
        <v>0</v>
      </c>
      <c r="AB395" s="352">
        <f>IF(NFI_Expiration=1,IF($A395&lt;VLOOKUP(K$5,NFI,5,0),1,0)*Table_NFI[[#This Row],[Mosquito net]],Table_NFI[Mosquito net])</f>
        <v>0</v>
      </c>
      <c r="AC395" s="352">
        <f>IF(NFI_Expiration=1,IF($A395&lt;VLOOKUP(L$5,NFI,5,0),1,0)*Table_NFI[[#This Row],[Tarpaulin]],Table_NFI[[#This Row],[Tarpaulin]])</f>
        <v>0</v>
      </c>
      <c r="AD395" s="352">
        <f>IF(NFI_Expiration=1,IF($A395&lt;VLOOKUP(M$5,NFI,5,0),1,0)*Table_NFI[[#This Row],[Blanket]],Table_NFI[[#This Row],[Blanket]])</f>
        <v>0</v>
      </c>
      <c r="AE395" s="352">
        <f>IF(NFI_Expiration=1,IF($A395&lt;VLOOKUP(N$5,NFI,5,0),1,0)*Table_NFI[[#This Row],[Kitchen Set]],Table_NFI[Kitchen Set])</f>
        <v>0</v>
      </c>
      <c r="AF395" s="352">
        <f>IF(NFI_Expiration=1,IF($A395&lt;VLOOKUP(O$5,NFI,5,0),1,0)*Table_NFI[[#This Row],[Clothes Kit]],Table_NFI[Clothes Kit])</f>
        <v>0</v>
      </c>
      <c r="AG395" s="352">
        <f>IF(NFI_Expiration=1,IF($A395&lt;VLOOKUP(P$5,NFI,5,0),1,0)*Table_NFI[[#This Row],[Plastic Bucket]],Table_NFI[Plastic Bucket])</f>
        <v>0</v>
      </c>
      <c r="AH395" s="352">
        <f>IF(NFI_Expiration=1,IF($A395&lt;VLOOKUP(Q$5,NFI,5,0),1,0)*Table_NFI[[#This Row],[Plastic Mat]],Table_NFI[Plastic Mat])*IF(Table_NFI[[#This Row],[Distribution Date]]&gt;"2014-04-01",1,2.5)</f>
        <v>0</v>
      </c>
      <c r="AI395" s="352">
        <f>IF(NFI_Expiration=1,IF($A395&lt;VLOOKUP(R$5,NFI,5,0),1,0)*Table_NFI[[#This Row],[Winter Clothes Adult]],Table_NFI[Winter Clothes Adult])</f>
        <v>0</v>
      </c>
      <c r="AJ395" s="352">
        <f>IF(NFI_Expiration=1,IF($A395&lt;VLOOKUP(S$5,NFI,5,0),1,0)*Table_NFI[[#This Row],[Winter Clothes Children]],Table_NFI[Winter Clothes Children])</f>
        <v>0</v>
      </c>
      <c r="AK395" s="352">
        <f>IF(NFI_Expiration=1,IF($A395&lt;VLOOKUP(T$5,NFI,5,0),1,0)*Table_NFI[[#This Row],[Winter Items Other]],Table_NFI[Winter Items Other])</f>
        <v>0</v>
      </c>
      <c r="AL395" s="352">
        <f>IF(NFI_Expiration=1,IF($A395&lt;VLOOKUP(M$5,NFI,5,0),1,0)*Table_NFI[[#This Row],[Winter Blanket]],Table_NFI[[#This Row],[Winter Blanket]])</f>
        <v>0</v>
      </c>
      <c r="AM395" s="352">
        <f>IF(Table_NFI[[#This Row],[Winter Clothes Adult]]+Table_NFI[[#This Row],[Winter Clothes Children]]+Table_NFI[[#This Row],[Winter Items Other]]+Table_NFI[[#This Row],[Winter Blanket]]&gt;0,1,0)</f>
        <v>0</v>
      </c>
      <c r="AN395" s="392">
        <f>IF(NFI_Expiration=1,IF($A395&lt;VLOOKUP(V$5,NFI,5,0),1,0)*Table_NFI[[#This Row],[Jerry Can]],Table_NFI[Jerry Can])</f>
        <v>0</v>
      </c>
      <c r="AO395" s="540" t="str">
        <f>IFERROR(VLOOKUP(Table_NFI[[#This Row],[Camp Name]],CL,2,0),"")</f>
        <v>MMR001CMP135</v>
      </c>
      <c r="AP395" s="535">
        <f ca="1">IF(Table_NFI[[#This Row],[Pcode]]="","",IF(OFFSET(CampList[Opening Date],MATCH(Table_NFI[[#This Row],[Pcode]],CampList[CP_Pcode],0)-1,0,1,1)&gt;=NFI_Monitor_Date,1,0))</f>
        <v>0</v>
      </c>
      <c r="AQ395" s="540" t="str">
        <f>IFERROR(VLOOKUP(Table_NFI[[#This Row],[Camp Name]],CL,3,0),"")</f>
        <v>Closed</v>
      </c>
      <c r="AR395" s="352" t="str">
        <f ca="1">IF(Table_NFI[[#This Row],[Pcode]]="","",OFFSET(CampList[Priority],MATCH(Table_NFI[[#This Row],[Pcode]],CampList[CP_Pcode],0)-1,0,1,1))</f>
        <v>P2</v>
      </c>
      <c r="AS395" s="351" t="str">
        <f>IFERROR(Table_NFI[[#This Row],[Kitchen Set]]/VLOOKUP(Table_NFI[[#This Row],[Camp Name]],CL,4,0),"")</f>
        <v/>
      </c>
      <c r="AT395" s="533" t="s">
        <v>1094</v>
      </c>
      <c r="AU395" s="536"/>
    </row>
    <row r="396" spans="1:47" s="537" customFormat="1" hidden="1" x14ac:dyDescent="0.25">
      <c r="A396" s="355">
        <f t="shared" si="6"/>
        <v>32.1</v>
      </c>
      <c r="B396" s="532">
        <v>41608</v>
      </c>
      <c r="C396" s="533" t="s">
        <v>907</v>
      </c>
      <c r="D396" s="533" t="s">
        <v>1004</v>
      </c>
      <c r="E396" s="533" t="s">
        <v>380</v>
      </c>
      <c r="F396" s="348" t="s">
        <v>151</v>
      </c>
      <c r="G396" s="348" t="s">
        <v>158</v>
      </c>
      <c r="H396" s="349"/>
      <c r="I396" s="349"/>
      <c r="J396" s="349"/>
      <c r="K396" s="349"/>
      <c r="L396" s="350"/>
      <c r="M396" s="350"/>
      <c r="N396" s="350"/>
      <c r="O396" s="350"/>
      <c r="P396" s="352"/>
      <c r="Q396" s="352"/>
      <c r="R396" s="352"/>
      <c r="S396" s="352"/>
      <c r="T396" s="352"/>
      <c r="U396" s="352"/>
      <c r="V396" s="497"/>
      <c r="W396" s="352"/>
      <c r="X396" s="352"/>
      <c r="Y396" s="352">
        <f>IF(NFI_Expiration=1,IF($A396&lt;VLOOKUP(H$5,NFI,5,0),1,0)*Table_NFI[[#This Row],[Hygiene Kit]],Table_NFI[Hygiene Kit])</f>
        <v>0</v>
      </c>
      <c r="Z396" s="352">
        <f>IF(NFI_Expiration=1,IF($A396&lt;VLOOKUP(I$5,NFI,5,0),1,0)*Table_NFI[[#This Row],[NFI Core Kit]],Table_NFI[NFI Core Kit])</f>
        <v>0</v>
      </c>
      <c r="AA396" s="352">
        <f>IF(NFI_Expiration=1,IF($A396&lt;VLOOKUP(J$5,NFI,5,0),1,0)*Table_NFI[[#This Row],[Sanitary Kit]],Table_NFI[Sanitary Kit])</f>
        <v>0</v>
      </c>
      <c r="AB396" s="352">
        <f>IF(NFI_Expiration=1,IF($A396&lt;VLOOKUP(K$5,NFI,5,0),1,0)*Table_NFI[[#This Row],[Mosquito net]],Table_NFI[Mosquito net])</f>
        <v>0</v>
      </c>
      <c r="AC396" s="352">
        <f>IF(NFI_Expiration=1,IF($A396&lt;VLOOKUP(L$5,NFI,5,0),1,0)*Table_NFI[[#This Row],[Tarpaulin]],Table_NFI[[#This Row],[Tarpaulin]])</f>
        <v>0</v>
      </c>
      <c r="AD396" s="352">
        <f>IF(NFI_Expiration=1,IF($A396&lt;VLOOKUP(M$5,NFI,5,0),1,0)*Table_NFI[[#This Row],[Blanket]],Table_NFI[[#This Row],[Blanket]])</f>
        <v>0</v>
      </c>
      <c r="AE396" s="352">
        <f>IF(NFI_Expiration=1,IF($A396&lt;VLOOKUP(N$5,NFI,5,0),1,0)*Table_NFI[[#This Row],[Kitchen Set]],Table_NFI[Kitchen Set])</f>
        <v>0</v>
      </c>
      <c r="AF396" s="352">
        <f>IF(NFI_Expiration=1,IF($A396&lt;VLOOKUP(O$5,NFI,5,0),1,0)*Table_NFI[[#This Row],[Clothes Kit]],Table_NFI[Clothes Kit])</f>
        <v>0</v>
      </c>
      <c r="AG396" s="352">
        <f>IF(NFI_Expiration=1,IF($A396&lt;VLOOKUP(P$5,NFI,5,0),1,0)*Table_NFI[[#This Row],[Plastic Bucket]],Table_NFI[Plastic Bucket])</f>
        <v>0</v>
      </c>
      <c r="AH396" s="352">
        <f>IF(NFI_Expiration=1,IF($A396&lt;VLOOKUP(Q$5,NFI,5,0),1,0)*Table_NFI[[#This Row],[Plastic Mat]],Table_NFI[Plastic Mat])*IF(Table_NFI[[#This Row],[Distribution Date]]&gt;"2014-04-01",1,2.5)</f>
        <v>0</v>
      </c>
      <c r="AI396" s="352">
        <f>IF(NFI_Expiration=1,IF($A396&lt;VLOOKUP(R$5,NFI,5,0),1,0)*Table_NFI[[#This Row],[Winter Clothes Adult]],Table_NFI[Winter Clothes Adult])</f>
        <v>0</v>
      </c>
      <c r="AJ396" s="352">
        <f>IF(NFI_Expiration=1,IF($A396&lt;VLOOKUP(S$5,NFI,5,0),1,0)*Table_NFI[[#This Row],[Winter Clothes Children]],Table_NFI[Winter Clothes Children])</f>
        <v>0</v>
      </c>
      <c r="AK396" s="352">
        <f>IF(NFI_Expiration=1,IF($A396&lt;VLOOKUP(T$5,NFI,5,0),1,0)*Table_NFI[[#This Row],[Winter Items Other]],Table_NFI[Winter Items Other])</f>
        <v>0</v>
      </c>
      <c r="AL396" s="352">
        <f>IF(NFI_Expiration=1,IF($A396&lt;VLOOKUP(M$5,NFI,5,0),1,0)*Table_NFI[[#This Row],[Winter Blanket]],Table_NFI[[#This Row],[Winter Blanket]])</f>
        <v>0</v>
      </c>
      <c r="AM396" s="352">
        <f>IF(Table_NFI[[#This Row],[Winter Clothes Adult]]+Table_NFI[[#This Row],[Winter Clothes Children]]+Table_NFI[[#This Row],[Winter Items Other]]+Table_NFI[[#This Row],[Winter Blanket]]&gt;0,1,0)</f>
        <v>0</v>
      </c>
      <c r="AN396" s="392">
        <f>IF(NFI_Expiration=1,IF($A396&lt;VLOOKUP(V$5,NFI,5,0),1,0)*Table_NFI[[#This Row],[Jerry Can]],Table_NFI[Jerry Can])</f>
        <v>0</v>
      </c>
      <c r="AO396" s="540" t="str">
        <f>IFERROR(VLOOKUP(Table_NFI[[#This Row],[Camp Name]],CL,2,0),"")</f>
        <v>MMR001CMP135</v>
      </c>
      <c r="AP396" s="535">
        <f ca="1">IF(Table_NFI[[#This Row],[Pcode]]="","",IF(OFFSET(CampList[Opening Date],MATCH(Table_NFI[[#This Row],[Pcode]],CampList[CP_Pcode],0)-1,0,1,1)&gt;=NFI_Monitor_Date,1,0))</f>
        <v>0</v>
      </c>
      <c r="AQ396" s="540" t="str">
        <f>IFERROR(VLOOKUP(Table_NFI[[#This Row],[Camp Name]],CL,3,0),"")</f>
        <v>Closed</v>
      </c>
      <c r="AR396" s="352" t="str">
        <f ca="1">IF(Table_NFI[[#This Row],[Pcode]]="","",OFFSET(CampList[Priority],MATCH(Table_NFI[[#This Row],[Pcode]],CampList[CP_Pcode],0)-1,0,1,1))</f>
        <v>P2</v>
      </c>
      <c r="AS396" s="351" t="str">
        <f>IFERROR(Table_NFI[[#This Row],[Kitchen Set]]/VLOOKUP(Table_NFI[[#This Row],[Camp Name]],CL,4,0),"")</f>
        <v/>
      </c>
      <c r="AT396" s="533" t="s">
        <v>1094</v>
      </c>
      <c r="AU396" s="536"/>
    </row>
    <row r="397" spans="1:47" s="537" customFormat="1" hidden="1" x14ac:dyDescent="0.25">
      <c r="A397" s="355">
        <f t="shared" si="6"/>
        <v>32.6</v>
      </c>
      <c r="B397" s="532">
        <v>41593</v>
      </c>
      <c r="C397" s="533" t="s">
        <v>907</v>
      </c>
      <c r="D397" s="533" t="s">
        <v>1004</v>
      </c>
      <c r="E397" s="533" t="s">
        <v>380</v>
      </c>
      <c r="F397" s="533" t="s">
        <v>151</v>
      </c>
      <c r="G397" s="533" t="s">
        <v>158</v>
      </c>
      <c r="H397" s="349"/>
      <c r="I397" s="349"/>
      <c r="J397" s="349"/>
      <c r="K397" s="349"/>
      <c r="L397" s="350"/>
      <c r="M397" s="350"/>
      <c r="N397" s="350"/>
      <c r="O397" s="350"/>
      <c r="P397" s="352"/>
      <c r="Q397" s="352"/>
      <c r="R397" s="352">
        <v>54</v>
      </c>
      <c r="S397" s="352">
        <v>106</v>
      </c>
      <c r="T397" s="352">
        <v>320</v>
      </c>
      <c r="U397" s="352">
        <v>160</v>
      </c>
      <c r="V397" s="497"/>
      <c r="W397" s="352"/>
      <c r="X397" s="352"/>
      <c r="Y397" s="352">
        <f>IF(NFI_Expiration=1,IF($A397&lt;VLOOKUP(H$5,NFI,5,0),1,0)*Table_NFI[[#This Row],[Hygiene Kit]],Table_NFI[Hygiene Kit])</f>
        <v>0</v>
      </c>
      <c r="Z397" s="352">
        <f>IF(NFI_Expiration=1,IF($A397&lt;VLOOKUP(I$5,NFI,5,0),1,0)*Table_NFI[[#This Row],[NFI Core Kit]],Table_NFI[NFI Core Kit])</f>
        <v>0</v>
      </c>
      <c r="AA397" s="352">
        <f>IF(NFI_Expiration=1,IF($A397&lt;VLOOKUP(J$5,NFI,5,0),1,0)*Table_NFI[[#This Row],[Sanitary Kit]],Table_NFI[Sanitary Kit])</f>
        <v>0</v>
      </c>
      <c r="AB397" s="352">
        <f>IF(NFI_Expiration=1,IF($A397&lt;VLOOKUP(K$5,NFI,5,0),1,0)*Table_NFI[[#This Row],[Mosquito net]],Table_NFI[Mosquito net])</f>
        <v>0</v>
      </c>
      <c r="AC397" s="352">
        <f>IF(NFI_Expiration=1,IF($A397&lt;VLOOKUP(L$5,NFI,5,0),1,0)*Table_NFI[[#This Row],[Tarpaulin]],Table_NFI[[#This Row],[Tarpaulin]])</f>
        <v>0</v>
      </c>
      <c r="AD397" s="352">
        <f>IF(NFI_Expiration=1,IF($A397&lt;VLOOKUP(M$5,NFI,5,0),1,0)*Table_NFI[[#This Row],[Blanket]],Table_NFI[[#This Row],[Blanket]])</f>
        <v>0</v>
      </c>
      <c r="AE397" s="352">
        <f>IF(NFI_Expiration=1,IF($A397&lt;VLOOKUP(N$5,NFI,5,0),1,0)*Table_NFI[[#This Row],[Kitchen Set]],Table_NFI[Kitchen Set])</f>
        <v>0</v>
      </c>
      <c r="AF397" s="352">
        <f>IF(NFI_Expiration=1,IF($A397&lt;VLOOKUP(O$5,NFI,5,0),1,0)*Table_NFI[[#This Row],[Clothes Kit]],Table_NFI[Clothes Kit])</f>
        <v>0</v>
      </c>
      <c r="AG397" s="352">
        <f>IF(NFI_Expiration=1,IF($A397&lt;VLOOKUP(P$5,NFI,5,0),1,0)*Table_NFI[[#This Row],[Plastic Bucket]],Table_NFI[Plastic Bucket])</f>
        <v>0</v>
      </c>
      <c r="AH397" s="352">
        <f>IF(NFI_Expiration=1,IF($A397&lt;VLOOKUP(Q$5,NFI,5,0),1,0)*Table_NFI[[#This Row],[Plastic Mat]],Table_NFI[Plastic Mat])*IF(Table_NFI[[#This Row],[Distribution Date]]&gt;"2014-04-01",1,2.5)</f>
        <v>0</v>
      </c>
      <c r="AI397" s="352">
        <f>IF(NFI_Expiration=1,IF($A397&lt;VLOOKUP(R$5,NFI,5,0),1,0)*Table_NFI[[#This Row],[Winter Clothes Adult]],Table_NFI[Winter Clothes Adult])</f>
        <v>0</v>
      </c>
      <c r="AJ397" s="352">
        <f>IF(NFI_Expiration=1,IF($A397&lt;VLOOKUP(S$5,NFI,5,0),1,0)*Table_NFI[[#This Row],[Winter Clothes Children]],Table_NFI[Winter Clothes Children])</f>
        <v>0</v>
      </c>
      <c r="AK397" s="352">
        <f>IF(NFI_Expiration=1,IF($A397&lt;VLOOKUP(T$5,NFI,5,0),1,0)*Table_NFI[[#This Row],[Winter Items Other]],Table_NFI[Winter Items Other])</f>
        <v>0</v>
      </c>
      <c r="AL397" s="352">
        <f>IF(NFI_Expiration=1,IF($A397&lt;VLOOKUP(M$5,NFI,5,0),1,0)*Table_NFI[[#This Row],[Winter Blanket]],Table_NFI[[#This Row],[Winter Blanket]])</f>
        <v>0</v>
      </c>
      <c r="AM397" s="352">
        <f>IF(Table_NFI[[#This Row],[Winter Clothes Adult]]+Table_NFI[[#This Row],[Winter Clothes Children]]+Table_NFI[[#This Row],[Winter Items Other]]+Table_NFI[[#This Row],[Winter Blanket]]&gt;0,1,0)</f>
        <v>1</v>
      </c>
      <c r="AN397" s="392">
        <f>IF(NFI_Expiration=1,IF($A397&lt;VLOOKUP(V$5,NFI,5,0),1,0)*Table_NFI[[#This Row],[Jerry Can]],Table_NFI[Jerry Can])</f>
        <v>0</v>
      </c>
      <c r="AO397" s="540" t="str">
        <f>IFERROR(VLOOKUP(Table_NFI[[#This Row],[Camp Name]],CL,2,0),"")</f>
        <v>MMR001CMP135</v>
      </c>
      <c r="AP397" s="535">
        <f ca="1">IF(Table_NFI[[#This Row],[Pcode]]="","",IF(OFFSET(CampList[Opening Date],MATCH(Table_NFI[[#This Row],[Pcode]],CampList[CP_Pcode],0)-1,0,1,1)&gt;=NFI_Monitor_Date,1,0))</f>
        <v>0</v>
      </c>
      <c r="AQ397" s="540" t="str">
        <f>IFERROR(VLOOKUP(Table_NFI[[#This Row],[Camp Name]],CL,3,0),"")</f>
        <v>Closed</v>
      </c>
      <c r="AR397" s="352" t="str">
        <f ca="1">IF(Table_NFI[[#This Row],[Pcode]]="","",OFFSET(CampList[Priority],MATCH(Table_NFI[[#This Row],[Pcode]],CampList[CP_Pcode],0)-1,0,1,1))</f>
        <v>P2</v>
      </c>
      <c r="AS397" s="351" t="str">
        <f>IFERROR(Table_NFI[[#This Row],[Kitchen Set]]/VLOOKUP(Table_NFI[[#This Row],[Camp Name]],CL,4,0),"")</f>
        <v/>
      </c>
      <c r="AT397" s="533"/>
      <c r="AU397" s="536"/>
    </row>
    <row r="398" spans="1:47" s="537" customFormat="1" ht="14.45" customHeight="1" x14ac:dyDescent="0.25">
      <c r="A398" s="355">
        <f t="shared" si="6"/>
        <v>30.6</v>
      </c>
      <c r="B398" s="532">
        <v>41653</v>
      </c>
      <c r="C398" s="533" t="s">
        <v>453</v>
      </c>
      <c r="D398" s="534" t="s">
        <v>453</v>
      </c>
      <c r="E398" s="533" t="s">
        <v>380</v>
      </c>
      <c r="F398" s="348" t="s">
        <v>151</v>
      </c>
      <c r="G398" s="348" t="s">
        <v>198</v>
      </c>
      <c r="H398" s="349"/>
      <c r="I398" s="349"/>
      <c r="J398" s="349"/>
      <c r="K398" s="349">
        <v>140</v>
      </c>
      <c r="L398" s="350">
        <v>70</v>
      </c>
      <c r="M398" s="350">
        <v>140</v>
      </c>
      <c r="N398" s="350">
        <v>70</v>
      </c>
      <c r="O398" s="350"/>
      <c r="P398" s="352">
        <v>70</v>
      </c>
      <c r="Q398" s="352">
        <v>350</v>
      </c>
      <c r="R398" s="352"/>
      <c r="S398" s="352"/>
      <c r="T398" s="352"/>
      <c r="U398" s="352"/>
      <c r="V398" s="497"/>
      <c r="W398" s="352"/>
      <c r="X398" s="352"/>
      <c r="Y398" s="352">
        <f>IF(NFI_Expiration=1,IF($A398&lt;VLOOKUP(H$5,NFI,5,0),1,0)*Table_NFI[[#This Row],[Hygiene Kit]],Table_NFI[Hygiene Kit])</f>
        <v>0</v>
      </c>
      <c r="Z398" s="352">
        <f>IF(NFI_Expiration=1,IF($A398&lt;VLOOKUP(I$5,NFI,5,0),1,0)*Table_NFI[[#This Row],[NFI Core Kit]],Table_NFI[NFI Core Kit])</f>
        <v>0</v>
      </c>
      <c r="AA398" s="352">
        <f>IF(NFI_Expiration=1,IF($A398&lt;VLOOKUP(J$5,NFI,5,0),1,0)*Table_NFI[[#This Row],[Sanitary Kit]],Table_NFI[Sanitary Kit])</f>
        <v>0</v>
      </c>
      <c r="AB398" s="352">
        <f>IF(NFI_Expiration=1,IF($A398&lt;VLOOKUP(K$5,NFI,5,0),1,0)*Table_NFI[[#This Row],[Mosquito net]],Table_NFI[Mosquito net])</f>
        <v>0</v>
      </c>
      <c r="AC398" s="352">
        <f>IF(NFI_Expiration=1,IF($A398&lt;VLOOKUP(L$5,NFI,5,0),1,0)*Table_NFI[[#This Row],[Tarpaulin]],Table_NFI[[#This Row],[Tarpaulin]])</f>
        <v>0</v>
      </c>
      <c r="AD398" s="352">
        <f>IF(NFI_Expiration=1,IF($A398&lt;VLOOKUP(M$5,NFI,5,0),1,0)*Table_NFI[[#This Row],[Blanket]],Table_NFI[[#This Row],[Blanket]])</f>
        <v>0</v>
      </c>
      <c r="AE398" s="352">
        <f>IF(NFI_Expiration=1,IF($A398&lt;VLOOKUP(N$5,NFI,5,0),1,0)*Table_NFI[[#This Row],[Kitchen Set]],Table_NFI[Kitchen Set])</f>
        <v>0</v>
      </c>
      <c r="AF398" s="352">
        <f>IF(NFI_Expiration=1,IF($A398&lt;VLOOKUP(O$5,NFI,5,0),1,0)*Table_NFI[[#This Row],[Clothes Kit]],Table_NFI[Clothes Kit])</f>
        <v>0</v>
      </c>
      <c r="AG398" s="352">
        <f>IF(NFI_Expiration=1,IF($A398&lt;VLOOKUP(P$5,NFI,5,0),1,0)*Table_NFI[[#This Row],[Plastic Bucket]],Table_NFI[Plastic Bucket])</f>
        <v>0</v>
      </c>
      <c r="AH398" s="352">
        <f>IF(NFI_Expiration=1,IF($A398&lt;VLOOKUP(Q$5,NFI,5,0),1,0)*Table_NFI[[#This Row],[Plastic Mat]],Table_NFI[Plastic Mat])*IF(Table_NFI[[#This Row],[Distribution Date]]&gt;"2014-04-01",1,2.5)</f>
        <v>0</v>
      </c>
      <c r="AI398" s="352">
        <f>IF(NFI_Expiration=1,IF($A398&lt;VLOOKUP(R$5,NFI,5,0),1,0)*Table_NFI[[#This Row],[Winter Clothes Adult]],Table_NFI[Winter Clothes Adult])</f>
        <v>0</v>
      </c>
      <c r="AJ398" s="352">
        <f>IF(NFI_Expiration=1,IF($A398&lt;VLOOKUP(S$5,NFI,5,0),1,0)*Table_NFI[[#This Row],[Winter Clothes Children]],Table_NFI[Winter Clothes Children])</f>
        <v>0</v>
      </c>
      <c r="AK398" s="352">
        <f>IF(NFI_Expiration=1,IF($A398&lt;VLOOKUP(T$5,NFI,5,0),1,0)*Table_NFI[[#This Row],[Winter Items Other]],Table_NFI[Winter Items Other])</f>
        <v>0</v>
      </c>
      <c r="AL398" s="352">
        <f>IF(NFI_Expiration=1,IF($A398&lt;VLOOKUP(M$5,NFI,5,0),1,0)*Table_NFI[[#This Row],[Winter Blanket]],Table_NFI[[#This Row],[Winter Blanket]])</f>
        <v>0</v>
      </c>
      <c r="AM398" s="352">
        <f>IF(Table_NFI[[#This Row],[Winter Clothes Adult]]+Table_NFI[[#This Row],[Winter Clothes Children]]+Table_NFI[[#This Row],[Winter Items Other]]+Table_NFI[[#This Row],[Winter Blanket]]&gt;0,1,0)</f>
        <v>0</v>
      </c>
      <c r="AN398" s="392">
        <f>IF(NFI_Expiration=1,IF($A398&lt;VLOOKUP(V$5,NFI,5,0),1,0)*Table_NFI[[#This Row],[Jerry Can]],Table_NFI[Jerry Can])</f>
        <v>0</v>
      </c>
      <c r="AO398" s="540" t="str">
        <f>IFERROR(VLOOKUP(Table_NFI[[#This Row],[Camp Name]],CL,2,0),"")</f>
        <v>MMR001CMP128</v>
      </c>
      <c r="AP398" s="535">
        <f ca="1">IF(Table_NFI[[#This Row],[Pcode]]="","",IF(OFFSET(CampList[Opening Date],MATCH(Table_NFI[[#This Row],[Pcode]],CampList[CP_Pcode],0)-1,0,1,1)&gt;=NFI_Monitor_Date,1,0))</f>
        <v>0</v>
      </c>
      <c r="AQ398" s="540" t="str">
        <f>IFERROR(VLOOKUP(Table_NFI[[#This Row],[Camp Name]],CL,3,0),"")</f>
        <v>Open</v>
      </c>
      <c r="AR398" s="352" t="str">
        <f ca="1">IF(Table_NFI[[#This Row],[Pcode]]="","",OFFSET(CampList[Priority],MATCH(Table_NFI[[#This Row],[Pcode]],CampList[CP_Pcode],0)-1,0,1,1))</f>
        <v>P2</v>
      </c>
      <c r="AS398" s="351">
        <f>IFERROR(Table_NFI[[#This Row],[Kitchen Set]]/VLOOKUP(Table_NFI[[#This Row],[Camp Name]],CL,4,0),"")</f>
        <v>0.12844036697247707</v>
      </c>
      <c r="AT398" s="533" t="s">
        <v>1094</v>
      </c>
      <c r="AU398" s="536"/>
    </row>
    <row r="399" spans="1:47" s="537" customFormat="1" ht="14.45" customHeight="1" x14ac:dyDescent="0.25">
      <c r="A399" s="355">
        <f t="shared" si="6"/>
        <v>30.7</v>
      </c>
      <c r="B399" s="532">
        <v>41650</v>
      </c>
      <c r="C399" s="538" t="s">
        <v>453</v>
      </c>
      <c r="D399" s="538"/>
      <c r="E399" s="538" t="s">
        <v>380</v>
      </c>
      <c r="F399" s="538" t="s">
        <v>5</v>
      </c>
      <c r="G399" s="538" t="s">
        <v>366</v>
      </c>
      <c r="H399" s="350"/>
      <c r="I399" s="350"/>
      <c r="J399" s="350"/>
      <c r="K399" s="350"/>
      <c r="L399" s="350">
        <v>10</v>
      </c>
      <c r="M399" s="350"/>
      <c r="N399" s="350"/>
      <c r="O399" s="350"/>
      <c r="P399" s="352"/>
      <c r="Q399" s="352"/>
      <c r="R399" s="352"/>
      <c r="S399" s="352"/>
      <c r="T399" s="352"/>
      <c r="U399" s="352"/>
      <c r="V399" s="497"/>
      <c r="W399" s="352"/>
      <c r="X399" s="352"/>
      <c r="Y399" s="352">
        <f>IF(NFI_Expiration=1,IF($A399&lt;VLOOKUP(H$5,NFI,5,0),1,0)*Table_NFI[[#This Row],[Hygiene Kit]],Table_NFI[Hygiene Kit])</f>
        <v>0</v>
      </c>
      <c r="Z399" s="352">
        <f>IF(NFI_Expiration=1,IF($A399&lt;VLOOKUP(I$5,NFI,5,0),1,0)*Table_NFI[[#This Row],[NFI Core Kit]],Table_NFI[NFI Core Kit])</f>
        <v>0</v>
      </c>
      <c r="AA399" s="352">
        <f>IF(NFI_Expiration=1,IF($A399&lt;VLOOKUP(J$5,NFI,5,0),1,0)*Table_NFI[[#This Row],[Sanitary Kit]],Table_NFI[Sanitary Kit])</f>
        <v>0</v>
      </c>
      <c r="AB399" s="352">
        <f>IF(NFI_Expiration=1,IF($A399&lt;VLOOKUP(K$5,NFI,5,0),1,0)*Table_NFI[[#This Row],[Mosquito net]],Table_NFI[Mosquito net])</f>
        <v>0</v>
      </c>
      <c r="AC399" s="352">
        <f>IF(NFI_Expiration=1,IF($A399&lt;VLOOKUP(L$5,NFI,5,0),1,0)*Table_NFI[[#This Row],[Tarpaulin]],Table_NFI[[#This Row],[Tarpaulin]])</f>
        <v>0</v>
      </c>
      <c r="AD399" s="352">
        <f>IF(NFI_Expiration=1,IF($A399&lt;VLOOKUP(M$5,NFI,5,0),1,0)*Table_NFI[[#This Row],[Blanket]],Table_NFI[[#This Row],[Blanket]])</f>
        <v>0</v>
      </c>
      <c r="AE399" s="352">
        <f>IF(NFI_Expiration=1,IF($A399&lt;VLOOKUP(N$5,NFI,5,0),1,0)*Table_NFI[[#This Row],[Kitchen Set]],Table_NFI[Kitchen Set])</f>
        <v>0</v>
      </c>
      <c r="AF399" s="352">
        <f>IF(NFI_Expiration=1,IF($A399&lt;VLOOKUP(O$5,NFI,5,0),1,0)*Table_NFI[[#This Row],[Clothes Kit]],Table_NFI[Clothes Kit])</f>
        <v>0</v>
      </c>
      <c r="AG399" s="352">
        <f>IF(NFI_Expiration=1,IF($A399&lt;VLOOKUP(P$5,NFI,5,0),1,0)*Table_NFI[[#This Row],[Plastic Bucket]],Table_NFI[Plastic Bucket])</f>
        <v>0</v>
      </c>
      <c r="AH399" s="352">
        <f>IF(NFI_Expiration=1,IF($A399&lt;VLOOKUP(Q$5,NFI,5,0),1,0)*Table_NFI[[#This Row],[Plastic Mat]],Table_NFI[Plastic Mat])*IF(Table_NFI[[#This Row],[Distribution Date]]&gt;"2014-04-01",1,2.5)</f>
        <v>0</v>
      </c>
      <c r="AI399" s="352">
        <f>IF(NFI_Expiration=1,IF($A399&lt;VLOOKUP(R$5,NFI,5,0),1,0)*Table_NFI[[#This Row],[Winter Clothes Adult]],Table_NFI[Winter Clothes Adult])</f>
        <v>0</v>
      </c>
      <c r="AJ399" s="352">
        <f>IF(NFI_Expiration=1,IF($A399&lt;VLOOKUP(S$5,NFI,5,0),1,0)*Table_NFI[[#This Row],[Winter Clothes Children]],Table_NFI[Winter Clothes Children])</f>
        <v>0</v>
      </c>
      <c r="AK399" s="352">
        <f>IF(NFI_Expiration=1,IF($A399&lt;VLOOKUP(T$5,NFI,5,0),1,0)*Table_NFI[[#This Row],[Winter Items Other]],Table_NFI[Winter Items Other])</f>
        <v>0</v>
      </c>
      <c r="AL399" s="352">
        <f>IF(NFI_Expiration=1,IF($A399&lt;VLOOKUP(M$5,NFI,5,0),1,0)*Table_NFI[[#This Row],[Winter Blanket]],Table_NFI[[#This Row],[Winter Blanket]])</f>
        <v>0</v>
      </c>
      <c r="AM399" s="352">
        <f>IF(Table_NFI[[#This Row],[Winter Clothes Adult]]+Table_NFI[[#This Row],[Winter Clothes Children]]+Table_NFI[[#This Row],[Winter Items Other]]+Table_NFI[[#This Row],[Winter Blanket]]&gt;0,1,0)</f>
        <v>0</v>
      </c>
      <c r="AN399" s="392">
        <f>IF(NFI_Expiration=1,IF($A399&lt;VLOOKUP(V$5,NFI,5,0),1,0)*Table_NFI[[#This Row],[Jerry Can]],Table_NFI[Jerry Can])</f>
        <v>0</v>
      </c>
      <c r="AO399" s="540" t="str">
        <f>IFERROR(VLOOKUP(Table_NFI[[#This Row],[Camp Name]],CL,2,0),"")</f>
        <v>MMR001CMP193</v>
      </c>
      <c r="AP399" s="535">
        <f ca="1">IF(Table_NFI[[#This Row],[Pcode]]="","",IF(OFFSET(CampList[Opening Date],MATCH(Table_NFI[[#This Row],[Pcode]],CampList[CP_Pcode],0)-1,0,1,1)&gt;=NFI_Monitor_Date,1,0))</f>
        <v>0</v>
      </c>
      <c r="AQ399" s="540" t="str">
        <f>IFERROR(VLOOKUP(Table_NFI[[#This Row],[Camp Name]],CL,3,0),"")</f>
        <v>Open</v>
      </c>
      <c r="AR399" s="352" t="str">
        <f ca="1">IF(Table_NFI[[#This Row],[Pcode]]="","",OFFSET(CampList[Priority],MATCH(Table_NFI[[#This Row],[Pcode]],CampList[CP_Pcode],0)-1,0,1,1))</f>
        <v>P4</v>
      </c>
      <c r="AS399" s="351">
        <f>IFERROR(Table_NFI[[#This Row],[Kitchen Set]]/VLOOKUP(Table_NFI[[#This Row],[Camp Name]],CL,4,0),"")</f>
        <v>0</v>
      </c>
      <c r="AT399" s="538"/>
      <c r="AU399" s="541"/>
    </row>
    <row r="400" spans="1:47" s="537" customFormat="1" ht="14.45" hidden="1" customHeight="1" x14ac:dyDescent="0.25">
      <c r="A400" s="355">
        <f t="shared" si="6"/>
        <v>20.933333333333334</v>
      </c>
      <c r="B400" s="532">
        <v>41943</v>
      </c>
      <c r="C400" s="533" t="s">
        <v>1096</v>
      </c>
      <c r="D400" s="533" t="s">
        <v>902</v>
      </c>
      <c r="E400" s="533" t="s">
        <v>380</v>
      </c>
      <c r="F400" s="533" t="s">
        <v>894</v>
      </c>
      <c r="G400" s="533" t="s">
        <v>896</v>
      </c>
      <c r="H400" s="349"/>
      <c r="I400" s="349"/>
      <c r="J400" s="349"/>
      <c r="K400" s="349"/>
      <c r="L400" s="350"/>
      <c r="M400" s="350"/>
      <c r="N400" s="350"/>
      <c r="O400" s="350"/>
      <c r="P400" s="352"/>
      <c r="Q400" s="352"/>
      <c r="R400" s="352">
        <v>20</v>
      </c>
      <c r="S400" s="352">
        <v>8</v>
      </c>
      <c r="T400" s="352"/>
      <c r="U400" s="352"/>
      <c r="V400" s="497"/>
      <c r="W400" s="352"/>
      <c r="X400" s="352"/>
      <c r="Y400" s="352">
        <f>IF(NFI_Expiration=1,IF($A400&lt;VLOOKUP(H$5,NFI,5,0),1,0)*Table_NFI[[#This Row],[Hygiene Kit]],Table_NFI[Hygiene Kit])</f>
        <v>0</v>
      </c>
      <c r="Z400" s="352">
        <f>IF(NFI_Expiration=1,IF($A400&lt;VLOOKUP(I$5,NFI,5,0),1,0)*Table_NFI[[#This Row],[NFI Core Kit]],Table_NFI[NFI Core Kit])</f>
        <v>0</v>
      </c>
      <c r="AA400" s="352">
        <f>IF(NFI_Expiration=1,IF($A400&lt;VLOOKUP(J$5,NFI,5,0),1,0)*Table_NFI[[#This Row],[Sanitary Kit]],Table_NFI[Sanitary Kit])</f>
        <v>0</v>
      </c>
      <c r="AB400" s="352">
        <f>IF(NFI_Expiration=1,IF($A400&lt;VLOOKUP(K$5,NFI,5,0),1,0)*Table_NFI[[#This Row],[Mosquito net]],Table_NFI[Mosquito net])</f>
        <v>0</v>
      </c>
      <c r="AC400" s="352">
        <f>IF(NFI_Expiration=1,IF($A400&lt;VLOOKUP(L$5,NFI,5,0),1,0)*Table_NFI[[#This Row],[Tarpaulin]],Table_NFI[[#This Row],[Tarpaulin]])</f>
        <v>0</v>
      </c>
      <c r="AD400" s="352">
        <f>IF(NFI_Expiration=1,IF($A400&lt;VLOOKUP(M$5,NFI,5,0),1,0)*Table_NFI[[#This Row],[Blanket]],Table_NFI[[#This Row],[Blanket]])</f>
        <v>0</v>
      </c>
      <c r="AE400" s="352">
        <f>IF(NFI_Expiration=1,IF($A400&lt;VLOOKUP(N$5,NFI,5,0),1,0)*Table_NFI[[#This Row],[Kitchen Set]],Table_NFI[Kitchen Set])</f>
        <v>0</v>
      </c>
      <c r="AF400" s="352">
        <f>IF(NFI_Expiration=1,IF($A400&lt;VLOOKUP(O$5,NFI,5,0),1,0)*Table_NFI[[#This Row],[Clothes Kit]],Table_NFI[Clothes Kit])</f>
        <v>0</v>
      </c>
      <c r="AG400" s="352">
        <f>IF(NFI_Expiration=1,IF($A400&lt;VLOOKUP(P$5,NFI,5,0),1,0)*Table_NFI[[#This Row],[Plastic Bucket]],Table_NFI[Plastic Bucket])</f>
        <v>0</v>
      </c>
      <c r="AH400" s="352">
        <f>IF(NFI_Expiration=1,IF($A400&lt;VLOOKUP(Q$5,NFI,5,0),1,0)*Table_NFI[[#This Row],[Plastic Mat]],Table_NFI[Plastic Mat])*IF(Table_NFI[[#This Row],[Distribution Date]]&gt;"2014-04-01",1,2.5)</f>
        <v>0</v>
      </c>
      <c r="AI400" s="352">
        <f>IF(NFI_Expiration=1,IF($A400&lt;VLOOKUP(R$5,NFI,5,0),1,0)*Table_NFI[[#This Row],[Winter Clothes Adult]],Table_NFI[Winter Clothes Adult])</f>
        <v>0</v>
      </c>
      <c r="AJ400" s="352">
        <f>IF(NFI_Expiration=1,IF($A400&lt;VLOOKUP(S$5,NFI,5,0),1,0)*Table_NFI[[#This Row],[Winter Clothes Children]],Table_NFI[Winter Clothes Children])</f>
        <v>0</v>
      </c>
      <c r="AK400" s="352">
        <f>IF(NFI_Expiration=1,IF($A400&lt;VLOOKUP(T$5,NFI,5,0),1,0)*Table_NFI[[#This Row],[Winter Items Other]],Table_NFI[Winter Items Other])</f>
        <v>0</v>
      </c>
      <c r="AL400" s="352">
        <f>IF(NFI_Expiration=1,IF($A400&lt;VLOOKUP(M$5,NFI,5,0),1,0)*Table_NFI[[#This Row],[Winter Blanket]],Table_NFI[[#This Row],[Winter Blanket]])</f>
        <v>0</v>
      </c>
      <c r="AM400" s="352">
        <f>IF(Table_NFI[[#This Row],[Winter Clothes Adult]]+Table_NFI[[#This Row],[Winter Clothes Children]]+Table_NFI[[#This Row],[Winter Items Other]]+Table_NFI[[#This Row],[Winter Blanket]]&gt;0,1,0)</f>
        <v>1</v>
      </c>
      <c r="AN400" s="392">
        <f>IF(NFI_Expiration=1,IF($A400&lt;VLOOKUP(V$5,NFI,5,0),1,0)*Table_NFI[[#This Row],[Jerry Can]],Table_NFI[Jerry Can])</f>
        <v>0</v>
      </c>
      <c r="AO400" s="540" t="str">
        <f>IFERROR(VLOOKUP(Table_NFI[[#This Row],[Camp Name]],CL,2,0),"")</f>
        <v>MMR001CMP221</v>
      </c>
      <c r="AP400" s="535">
        <f ca="1">IF(Table_NFI[[#This Row],[Pcode]]="","",IF(OFFSET(CampList[Opening Date],MATCH(Table_NFI[[#This Row],[Pcode]],CampList[CP_Pcode],0)-1,0,1,1)&gt;=NFI_Monitor_Date,1,0))</f>
        <v>0</v>
      </c>
      <c r="AQ400" s="540" t="str">
        <f>IFERROR(VLOOKUP(Table_NFI[[#This Row],[Camp Name]],CL,3,0),"")</f>
        <v>Closed</v>
      </c>
      <c r="AR400" s="352" t="str">
        <f ca="1">IF(Table_NFI[[#This Row],[Pcode]]="","",OFFSET(CampList[Priority],MATCH(Table_NFI[[#This Row],[Pcode]],CampList[CP_Pcode],0)-1,0,1,1))</f>
        <v>P3</v>
      </c>
      <c r="AS400" s="351" t="str">
        <f>IFERROR(Table_NFI[[#This Row],[Kitchen Set]]/VLOOKUP(Table_NFI[[#This Row],[Camp Name]],CL,4,0),"")</f>
        <v/>
      </c>
      <c r="AT400" s="533"/>
      <c r="AU400" s="536"/>
    </row>
    <row r="401" spans="1:47" s="537" customFormat="1" ht="14.45" hidden="1" customHeight="1" x14ac:dyDescent="0.25">
      <c r="A401" s="355">
        <f t="shared" si="6"/>
        <v>30.4</v>
      </c>
      <c r="B401" s="532">
        <v>41659</v>
      </c>
      <c r="C401" s="533" t="s">
        <v>1096</v>
      </c>
      <c r="D401" s="533" t="s">
        <v>902</v>
      </c>
      <c r="E401" s="533" t="s">
        <v>380</v>
      </c>
      <c r="F401" s="533" t="s">
        <v>894</v>
      </c>
      <c r="G401" s="533" t="s">
        <v>896</v>
      </c>
      <c r="H401" s="349"/>
      <c r="I401" s="349"/>
      <c r="J401" s="349"/>
      <c r="K401" s="349">
        <v>8</v>
      </c>
      <c r="L401" s="350">
        <v>16</v>
      </c>
      <c r="M401" s="350">
        <v>16</v>
      </c>
      <c r="N401" s="350">
        <v>8</v>
      </c>
      <c r="O401" s="350"/>
      <c r="P401" s="352"/>
      <c r="Q401" s="352"/>
      <c r="R401" s="352">
        <v>19</v>
      </c>
      <c r="S401" s="352">
        <v>9</v>
      </c>
      <c r="T401" s="352"/>
      <c r="U401" s="352"/>
      <c r="V401" s="497"/>
      <c r="W401" s="352"/>
      <c r="X401" s="352"/>
      <c r="Y401" s="352">
        <f>IF(NFI_Expiration=1,IF($A401&lt;VLOOKUP(H$5,NFI,5,0),1,0)*Table_NFI[[#This Row],[Hygiene Kit]],Table_NFI[Hygiene Kit])</f>
        <v>0</v>
      </c>
      <c r="Z401" s="352">
        <f>IF(NFI_Expiration=1,IF($A401&lt;VLOOKUP(I$5,NFI,5,0),1,0)*Table_NFI[[#This Row],[NFI Core Kit]],Table_NFI[NFI Core Kit])</f>
        <v>0</v>
      </c>
      <c r="AA401" s="352">
        <f>IF(NFI_Expiration=1,IF($A401&lt;VLOOKUP(J$5,NFI,5,0),1,0)*Table_NFI[[#This Row],[Sanitary Kit]],Table_NFI[Sanitary Kit])</f>
        <v>0</v>
      </c>
      <c r="AB401" s="352">
        <f>IF(NFI_Expiration=1,IF($A401&lt;VLOOKUP(K$5,NFI,5,0),1,0)*Table_NFI[[#This Row],[Mosquito net]],Table_NFI[Mosquito net])</f>
        <v>0</v>
      </c>
      <c r="AC401" s="352">
        <f>IF(NFI_Expiration=1,IF($A401&lt;VLOOKUP(L$5,NFI,5,0),1,0)*Table_NFI[[#This Row],[Tarpaulin]],Table_NFI[[#This Row],[Tarpaulin]])</f>
        <v>0</v>
      </c>
      <c r="AD401" s="352">
        <f>IF(NFI_Expiration=1,IF($A401&lt;VLOOKUP(M$5,NFI,5,0),1,0)*Table_NFI[[#This Row],[Blanket]],Table_NFI[[#This Row],[Blanket]])</f>
        <v>0</v>
      </c>
      <c r="AE401" s="352">
        <f>IF(NFI_Expiration=1,IF($A401&lt;VLOOKUP(N$5,NFI,5,0),1,0)*Table_NFI[[#This Row],[Kitchen Set]],Table_NFI[Kitchen Set])</f>
        <v>0</v>
      </c>
      <c r="AF401" s="352">
        <f>IF(NFI_Expiration=1,IF($A401&lt;VLOOKUP(O$5,NFI,5,0),1,0)*Table_NFI[[#This Row],[Clothes Kit]],Table_NFI[Clothes Kit])</f>
        <v>0</v>
      </c>
      <c r="AG401" s="352">
        <f>IF(NFI_Expiration=1,IF($A401&lt;VLOOKUP(P$5,NFI,5,0),1,0)*Table_NFI[[#This Row],[Plastic Bucket]],Table_NFI[Plastic Bucket])</f>
        <v>0</v>
      </c>
      <c r="AH401" s="352">
        <f>IF(NFI_Expiration=1,IF($A401&lt;VLOOKUP(Q$5,NFI,5,0),1,0)*Table_NFI[[#This Row],[Plastic Mat]],Table_NFI[Plastic Mat])*IF(Table_NFI[[#This Row],[Distribution Date]]&gt;"2014-04-01",1,2.5)</f>
        <v>0</v>
      </c>
      <c r="AI401" s="352">
        <f>IF(NFI_Expiration=1,IF($A401&lt;VLOOKUP(R$5,NFI,5,0),1,0)*Table_NFI[[#This Row],[Winter Clothes Adult]],Table_NFI[Winter Clothes Adult])</f>
        <v>0</v>
      </c>
      <c r="AJ401" s="352">
        <f>IF(NFI_Expiration=1,IF($A401&lt;VLOOKUP(S$5,NFI,5,0),1,0)*Table_NFI[[#This Row],[Winter Clothes Children]],Table_NFI[Winter Clothes Children])</f>
        <v>0</v>
      </c>
      <c r="AK401" s="352">
        <f>IF(NFI_Expiration=1,IF($A401&lt;VLOOKUP(T$5,NFI,5,0),1,0)*Table_NFI[[#This Row],[Winter Items Other]],Table_NFI[Winter Items Other])</f>
        <v>0</v>
      </c>
      <c r="AL401" s="352">
        <f>IF(NFI_Expiration=1,IF($A401&lt;VLOOKUP(M$5,NFI,5,0),1,0)*Table_NFI[[#This Row],[Winter Blanket]],Table_NFI[[#This Row],[Winter Blanket]])</f>
        <v>0</v>
      </c>
      <c r="AM401" s="352">
        <f>IF(Table_NFI[[#This Row],[Winter Clothes Adult]]+Table_NFI[[#This Row],[Winter Clothes Children]]+Table_NFI[[#This Row],[Winter Items Other]]+Table_NFI[[#This Row],[Winter Blanket]]&gt;0,1,0)</f>
        <v>1</v>
      </c>
      <c r="AN401" s="392">
        <f>IF(NFI_Expiration=1,IF($A401&lt;VLOOKUP(V$5,NFI,5,0),1,0)*Table_NFI[[#This Row],[Jerry Can]],Table_NFI[Jerry Can])</f>
        <v>0</v>
      </c>
      <c r="AO401" s="540" t="str">
        <f>IFERROR(VLOOKUP(Table_NFI[[#This Row],[Camp Name]],CL,2,0),"")</f>
        <v>MMR001CMP221</v>
      </c>
      <c r="AP401" s="535">
        <f ca="1">IF(Table_NFI[[#This Row],[Pcode]]="","",IF(OFFSET(CampList[Opening Date],MATCH(Table_NFI[[#This Row],[Pcode]],CampList[CP_Pcode],0)-1,0,1,1)&gt;=NFI_Monitor_Date,1,0))</f>
        <v>0</v>
      </c>
      <c r="AQ401" s="540" t="str">
        <f>IFERROR(VLOOKUP(Table_NFI[[#This Row],[Camp Name]],CL,3,0),"")</f>
        <v>Closed</v>
      </c>
      <c r="AR401" s="352" t="str">
        <f ca="1">IF(Table_NFI[[#This Row],[Pcode]]="","",OFFSET(CampList[Priority],MATCH(Table_NFI[[#This Row],[Pcode]],CampList[CP_Pcode],0)-1,0,1,1))</f>
        <v>P3</v>
      </c>
      <c r="AS401" s="351" t="str">
        <f>IFERROR(Table_NFI[[#This Row],[Kitchen Set]]/VLOOKUP(Table_NFI[[#This Row],[Camp Name]],CL,4,0),"")</f>
        <v/>
      </c>
      <c r="AT401" s="533"/>
      <c r="AU401" s="536"/>
    </row>
    <row r="402" spans="1:47" s="537" customFormat="1" ht="14.45" hidden="1" customHeight="1" x14ac:dyDescent="0.25">
      <c r="A402" s="355">
        <f t="shared" si="6"/>
        <v>26.333333333333332</v>
      </c>
      <c r="B402" s="532">
        <v>41781</v>
      </c>
      <c r="C402" s="533" t="s">
        <v>1106</v>
      </c>
      <c r="D402" s="533" t="s">
        <v>902</v>
      </c>
      <c r="E402" s="533" t="s">
        <v>380</v>
      </c>
      <c r="F402" s="348" t="s">
        <v>310</v>
      </c>
      <c r="G402" s="533" t="s">
        <v>320</v>
      </c>
      <c r="H402" s="349"/>
      <c r="I402" s="349"/>
      <c r="J402" s="349"/>
      <c r="K402" s="349"/>
      <c r="L402" s="350"/>
      <c r="M402" s="350"/>
      <c r="N402" s="350"/>
      <c r="O402" s="350"/>
      <c r="P402" s="352"/>
      <c r="Q402" s="352"/>
      <c r="R402" s="352"/>
      <c r="S402" s="352"/>
      <c r="T402" s="352"/>
      <c r="U402" s="352">
        <v>46</v>
      </c>
      <c r="V402" s="497"/>
      <c r="W402" s="352"/>
      <c r="X402" s="352"/>
      <c r="Y402" s="352">
        <f>IF(NFI_Expiration=1,IF($A402&lt;VLOOKUP(H$5,NFI,5,0),1,0)*Table_NFI[[#This Row],[Hygiene Kit]],Table_NFI[Hygiene Kit])</f>
        <v>0</v>
      </c>
      <c r="Z402" s="352">
        <f>IF(NFI_Expiration=1,IF($A402&lt;VLOOKUP(I$5,NFI,5,0),1,0)*Table_NFI[[#This Row],[NFI Core Kit]],Table_NFI[NFI Core Kit])</f>
        <v>0</v>
      </c>
      <c r="AA402" s="352">
        <f>IF(NFI_Expiration=1,IF($A402&lt;VLOOKUP(J$5,NFI,5,0),1,0)*Table_NFI[[#This Row],[Sanitary Kit]],Table_NFI[Sanitary Kit])</f>
        <v>0</v>
      </c>
      <c r="AB402" s="352">
        <f>IF(NFI_Expiration=1,IF($A402&lt;VLOOKUP(K$5,NFI,5,0),1,0)*Table_NFI[[#This Row],[Mosquito net]],Table_NFI[Mosquito net])</f>
        <v>0</v>
      </c>
      <c r="AC402" s="352">
        <f>IF(NFI_Expiration=1,IF($A402&lt;VLOOKUP(L$5,NFI,5,0),1,0)*Table_NFI[[#This Row],[Tarpaulin]],Table_NFI[[#This Row],[Tarpaulin]])</f>
        <v>0</v>
      </c>
      <c r="AD402" s="352">
        <f>IF(NFI_Expiration=1,IF($A402&lt;VLOOKUP(M$5,NFI,5,0),1,0)*Table_NFI[[#This Row],[Blanket]],Table_NFI[[#This Row],[Blanket]])</f>
        <v>0</v>
      </c>
      <c r="AE402" s="352">
        <f>IF(NFI_Expiration=1,IF($A402&lt;VLOOKUP(N$5,NFI,5,0),1,0)*Table_NFI[[#This Row],[Kitchen Set]],Table_NFI[Kitchen Set])</f>
        <v>0</v>
      </c>
      <c r="AF402" s="352">
        <f>IF(NFI_Expiration=1,IF($A402&lt;VLOOKUP(O$5,NFI,5,0),1,0)*Table_NFI[[#This Row],[Clothes Kit]],Table_NFI[Clothes Kit])</f>
        <v>0</v>
      </c>
      <c r="AG402" s="352">
        <f>IF(NFI_Expiration=1,IF($A402&lt;VLOOKUP(P$5,NFI,5,0),1,0)*Table_NFI[[#This Row],[Plastic Bucket]],Table_NFI[Plastic Bucket])</f>
        <v>0</v>
      </c>
      <c r="AH402" s="352">
        <f>IF(NFI_Expiration=1,IF($A402&lt;VLOOKUP(Q$5,NFI,5,0),1,0)*Table_NFI[[#This Row],[Plastic Mat]],Table_NFI[Plastic Mat])*IF(Table_NFI[[#This Row],[Distribution Date]]&gt;"2014-04-01",1,2.5)</f>
        <v>0</v>
      </c>
      <c r="AI402" s="352">
        <f>IF(NFI_Expiration=1,IF($A402&lt;VLOOKUP(R$5,NFI,5,0),1,0)*Table_NFI[[#This Row],[Winter Clothes Adult]],Table_NFI[Winter Clothes Adult])</f>
        <v>0</v>
      </c>
      <c r="AJ402" s="352">
        <f>IF(NFI_Expiration=1,IF($A402&lt;VLOOKUP(S$5,NFI,5,0),1,0)*Table_NFI[[#This Row],[Winter Clothes Children]],Table_NFI[Winter Clothes Children])</f>
        <v>0</v>
      </c>
      <c r="AK402" s="352">
        <f>IF(NFI_Expiration=1,IF($A402&lt;VLOOKUP(T$5,NFI,5,0),1,0)*Table_NFI[[#This Row],[Winter Items Other]],Table_NFI[Winter Items Other])</f>
        <v>0</v>
      </c>
      <c r="AL402" s="352">
        <f>IF(NFI_Expiration=1,IF($A402&lt;VLOOKUP(M$5,NFI,5,0),1,0)*Table_NFI[[#This Row],[Winter Blanket]],Table_NFI[[#This Row],[Winter Blanket]])</f>
        <v>0</v>
      </c>
      <c r="AM402" s="352">
        <f>IF(Table_NFI[[#This Row],[Winter Clothes Adult]]+Table_NFI[[#This Row],[Winter Clothes Children]]+Table_NFI[[#This Row],[Winter Items Other]]+Table_NFI[[#This Row],[Winter Blanket]]&gt;0,1,0)</f>
        <v>1</v>
      </c>
      <c r="AN402" s="392">
        <f>IF(NFI_Expiration=1,IF($A402&lt;VLOOKUP(V$5,NFI,5,0),1,0)*Table_NFI[[#This Row],[Jerry Can]],Table_NFI[Jerry Can])</f>
        <v>0</v>
      </c>
      <c r="AO402" s="540" t="str">
        <f>IFERROR(VLOOKUP(Table_NFI[[#This Row],[Camp Name]],CL,2,0),"")</f>
        <v>MMR001CMP027</v>
      </c>
      <c r="AP402" s="535">
        <f ca="1">IF(Table_NFI[[#This Row],[Pcode]]="","",IF(OFFSET(CampList[Opening Date],MATCH(Table_NFI[[#This Row],[Pcode]],CampList[CP_Pcode],0)-1,0,1,1)&gt;=NFI_Monitor_Date,1,0))</f>
        <v>0</v>
      </c>
      <c r="AQ402" s="540" t="str">
        <f>IFERROR(VLOOKUP(Table_NFI[[#This Row],[Camp Name]],CL,3,0),"")</f>
        <v>Open</v>
      </c>
      <c r="AR402" s="352" t="str">
        <f ca="1">IF(Table_NFI[[#This Row],[Pcode]]="","",OFFSET(CampList[Priority],MATCH(Table_NFI[[#This Row],[Pcode]],CampList[CP_Pcode],0)-1,0,1,1))</f>
        <v>P4</v>
      </c>
      <c r="AS402" s="351">
        <f>IFERROR(Table_NFI[[#This Row],[Kitchen Set]]/VLOOKUP(Table_NFI[[#This Row],[Camp Name]],CL,4,0),"")</f>
        <v>0</v>
      </c>
      <c r="AT402" s="533"/>
      <c r="AU402" s="536"/>
    </row>
    <row r="403" spans="1:47" s="537" customFormat="1" hidden="1" x14ac:dyDescent="0.25">
      <c r="A403" s="355">
        <f t="shared" si="6"/>
        <v>31.5</v>
      </c>
      <c r="B403" s="532">
        <v>41626</v>
      </c>
      <c r="C403" s="533" t="s">
        <v>907</v>
      </c>
      <c r="D403" s="533" t="s">
        <v>461</v>
      </c>
      <c r="E403" s="533" t="s">
        <v>380</v>
      </c>
      <c r="F403" s="348" t="s">
        <v>310</v>
      </c>
      <c r="G403" s="533" t="s">
        <v>320</v>
      </c>
      <c r="H403" s="349"/>
      <c r="I403" s="349"/>
      <c r="J403" s="349"/>
      <c r="K403" s="349"/>
      <c r="L403" s="350"/>
      <c r="M403" s="350"/>
      <c r="N403" s="350"/>
      <c r="O403" s="350"/>
      <c r="P403" s="352"/>
      <c r="Q403" s="352"/>
      <c r="R403" s="352">
        <v>23</v>
      </c>
      <c r="S403" s="352">
        <v>45</v>
      </c>
      <c r="T403" s="352">
        <v>136</v>
      </c>
      <c r="U403" s="352">
        <v>68</v>
      </c>
      <c r="V403" s="497"/>
      <c r="W403" s="352"/>
      <c r="X403" s="352"/>
      <c r="Y403" s="352">
        <f>IF(NFI_Expiration=1,IF($A403&lt;VLOOKUP(H$5,NFI,5,0),1,0)*Table_NFI[[#This Row],[Hygiene Kit]],Table_NFI[Hygiene Kit])</f>
        <v>0</v>
      </c>
      <c r="Z403" s="352">
        <f>IF(NFI_Expiration=1,IF($A403&lt;VLOOKUP(I$5,NFI,5,0),1,0)*Table_NFI[[#This Row],[NFI Core Kit]],Table_NFI[NFI Core Kit])</f>
        <v>0</v>
      </c>
      <c r="AA403" s="352">
        <f>IF(NFI_Expiration=1,IF($A403&lt;VLOOKUP(J$5,NFI,5,0),1,0)*Table_NFI[[#This Row],[Sanitary Kit]],Table_NFI[Sanitary Kit])</f>
        <v>0</v>
      </c>
      <c r="AB403" s="352">
        <f>IF(NFI_Expiration=1,IF($A403&lt;VLOOKUP(K$5,NFI,5,0),1,0)*Table_NFI[[#This Row],[Mosquito net]],Table_NFI[Mosquito net])</f>
        <v>0</v>
      </c>
      <c r="AC403" s="352">
        <f>IF(NFI_Expiration=1,IF($A403&lt;VLOOKUP(L$5,NFI,5,0),1,0)*Table_NFI[[#This Row],[Tarpaulin]],Table_NFI[[#This Row],[Tarpaulin]])</f>
        <v>0</v>
      </c>
      <c r="AD403" s="352">
        <f>IF(NFI_Expiration=1,IF($A403&lt;VLOOKUP(M$5,NFI,5,0),1,0)*Table_NFI[[#This Row],[Blanket]],Table_NFI[[#This Row],[Blanket]])</f>
        <v>0</v>
      </c>
      <c r="AE403" s="352">
        <f>IF(NFI_Expiration=1,IF($A403&lt;VLOOKUP(N$5,NFI,5,0),1,0)*Table_NFI[[#This Row],[Kitchen Set]],Table_NFI[Kitchen Set])</f>
        <v>0</v>
      </c>
      <c r="AF403" s="352">
        <f>IF(NFI_Expiration=1,IF($A403&lt;VLOOKUP(O$5,NFI,5,0),1,0)*Table_NFI[[#This Row],[Clothes Kit]],Table_NFI[Clothes Kit])</f>
        <v>0</v>
      </c>
      <c r="AG403" s="352">
        <f>IF(NFI_Expiration=1,IF($A403&lt;VLOOKUP(P$5,NFI,5,0),1,0)*Table_NFI[[#This Row],[Plastic Bucket]],Table_NFI[Plastic Bucket])</f>
        <v>0</v>
      </c>
      <c r="AH403" s="352">
        <f>IF(NFI_Expiration=1,IF($A403&lt;VLOOKUP(Q$5,NFI,5,0),1,0)*Table_NFI[[#This Row],[Plastic Mat]],Table_NFI[Plastic Mat])*IF(Table_NFI[[#This Row],[Distribution Date]]&gt;"2014-04-01",1,2.5)</f>
        <v>0</v>
      </c>
      <c r="AI403" s="352">
        <f>IF(NFI_Expiration=1,IF($A403&lt;VLOOKUP(R$5,NFI,5,0),1,0)*Table_NFI[[#This Row],[Winter Clothes Adult]],Table_NFI[Winter Clothes Adult])</f>
        <v>0</v>
      </c>
      <c r="AJ403" s="352">
        <f>IF(NFI_Expiration=1,IF($A403&lt;VLOOKUP(S$5,NFI,5,0),1,0)*Table_NFI[[#This Row],[Winter Clothes Children]],Table_NFI[Winter Clothes Children])</f>
        <v>0</v>
      </c>
      <c r="AK403" s="352">
        <f>IF(NFI_Expiration=1,IF($A403&lt;VLOOKUP(T$5,NFI,5,0),1,0)*Table_NFI[[#This Row],[Winter Items Other]],Table_NFI[Winter Items Other])</f>
        <v>0</v>
      </c>
      <c r="AL403" s="352">
        <f>IF(NFI_Expiration=1,IF($A403&lt;VLOOKUP(M$5,NFI,5,0),1,0)*Table_NFI[[#This Row],[Winter Blanket]],Table_NFI[[#This Row],[Winter Blanket]])</f>
        <v>0</v>
      </c>
      <c r="AM403" s="352">
        <f>IF(Table_NFI[[#This Row],[Winter Clothes Adult]]+Table_NFI[[#This Row],[Winter Clothes Children]]+Table_NFI[[#This Row],[Winter Items Other]]+Table_NFI[[#This Row],[Winter Blanket]]&gt;0,1,0)</f>
        <v>1</v>
      </c>
      <c r="AN403" s="392">
        <f>IF(NFI_Expiration=1,IF($A403&lt;VLOOKUP(V$5,NFI,5,0),1,0)*Table_NFI[[#This Row],[Jerry Can]],Table_NFI[Jerry Can])</f>
        <v>0</v>
      </c>
      <c r="AO403" s="540" t="str">
        <f>IFERROR(VLOOKUP(Table_NFI[[#This Row],[Camp Name]],CL,2,0),"")</f>
        <v>MMR001CMP027</v>
      </c>
      <c r="AP403" s="535">
        <f ca="1">IF(Table_NFI[[#This Row],[Pcode]]="","",IF(OFFSET(CampList[Opening Date],MATCH(Table_NFI[[#This Row],[Pcode]],CampList[CP_Pcode],0)-1,0,1,1)&gt;=NFI_Monitor_Date,1,0))</f>
        <v>0</v>
      </c>
      <c r="AQ403" s="540" t="str">
        <f>IFERROR(VLOOKUP(Table_NFI[[#This Row],[Camp Name]],CL,3,0),"")</f>
        <v>Open</v>
      </c>
      <c r="AR403" s="352" t="str">
        <f ca="1">IF(Table_NFI[[#This Row],[Pcode]]="","",OFFSET(CampList[Priority],MATCH(Table_NFI[[#This Row],[Pcode]],CampList[CP_Pcode],0)-1,0,1,1))</f>
        <v>P4</v>
      </c>
      <c r="AS403" s="351">
        <f>IFERROR(Table_NFI[[#This Row],[Kitchen Set]]/VLOOKUP(Table_NFI[[#This Row],[Camp Name]],CL,4,0),"")</f>
        <v>0</v>
      </c>
      <c r="AT403" s="533"/>
      <c r="AU403" s="536"/>
    </row>
    <row r="404" spans="1:47" s="537" customFormat="1" hidden="1" x14ac:dyDescent="0.25">
      <c r="A404" s="355">
        <f t="shared" si="6"/>
        <v>32.1</v>
      </c>
      <c r="B404" s="532">
        <v>41608</v>
      </c>
      <c r="C404" s="533" t="s">
        <v>907</v>
      </c>
      <c r="D404" s="533" t="s">
        <v>461</v>
      </c>
      <c r="E404" s="533" t="s">
        <v>380</v>
      </c>
      <c r="F404" s="348" t="s">
        <v>310</v>
      </c>
      <c r="G404" s="348" t="s">
        <v>320</v>
      </c>
      <c r="H404" s="349"/>
      <c r="I404" s="349"/>
      <c r="J404" s="349"/>
      <c r="K404" s="349"/>
      <c r="L404" s="350"/>
      <c r="M404" s="350"/>
      <c r="N404" s="350"/>
      <c r="O404" s="350"/>
      <c r="P404" s="352"/>
      <c r="Q404" s="352"/>
      <c r="R404" s="352"/>
      <c r="S404" s="352"/>
      <c r="T404" s="352"/>
      <c r="U404" s="352"/>
      <c r="V404" s="497"/>
      <c r="W404" s="352"/>
      <c r="X404" s="352"/>
      <c r="Y404" s="352">
        <f>IF(NFI_Expiration=1,IF($A404&lt;VLOOKUP(H$5,NFI,5,0),1,0)*Table_NFI[[#This Row],[Hygiene Kit]],Table_NFI[Hygiene Kit])</f>
        <v>0</v>
      </c>
      <c r="Z404" s="352">
        <f>IF(NFI_Expiration=1,IF($A404&lt;VLOOKUP(I$5,NFI,5,0),1,0)*Table_NFI[[#This Row],[NFI Core Kit]],Table_NFI[NFI Core Kit])</f>
        <v>0</v>
      </c>
      <c r="AA404" s="352">
        <f>IF(NFI_Expiration=1,IF($A404&lt;VLOOKUP(J$5,NFI,5,0),1,0)*Table_NFI[[#This Row],[Sanitary Kit]],Table_NFI[Sanitary Kit])</f>
        <v>0</v>
      </c>
      <c r="AB404" s="352">
        <f>IF(NFI_Expiration=1,IF($A404&lt;VLOOKUP(K$5,NFI,5,0),1,0)*Table_NFI[[#This Row],[Mosquito net]],Table_NFI[Mosquito net])</f>
        <v>0</v>
      </c>
      <c r="AC404" s="352">
        <f>IF(NFI_Expiration=1,IF($A404&lt;VLOOKUP(L$5,NFI,5,0),1,0)*Table_NFI[[#This Row],[Tarpaulin]],Table_NFI[[#This Row],[Tarpaulin]])</f>
        <v>0</v>
      </c>
      <c r="AD404" s="352">
        <f>IF(NFI_Expiration=1,IF($A404&lt;VLOOKUP(M$5,NFI,5,0),1,0)*Table_NFI[[#This Row],[Blanket]],Table_NFI[[#This Row],[Blanket]])</f>
        <v>0</v>
      </c>
      <c r="AE404" s="352">
        <f>IF(NFI_Expiration=1,IF($A404&lt;VLOOKUP(N$5,NFI,5,0),1,0)*Table_NFI[[#This Row],[Kitchen Set]],Table_NFI[Kitchen Set])</f>
        <v>0</v>
      </c>
      <c r="AF404" s="352">
        <f>IF(NFI_Expiration=1,IF($A404&lt;VLOOKUP(O$5,NFI,5,0),1,0)*Table_NFI[[#This Row],[Clothes Kit]],Table_NFI[Clothes Kit])</f>
        <v>0</v>
      </c>
      <c r="AG404" s="352">
        <f>IF(NFI_Expiration=1,IF($A404&lt;VLOOKUP(P$5,NFI,5,0),1,0)*Table_NFI[[#This Row],[Plastic Bucket]],Table_NFI[Plastic Bucket])</f>
        <v>0</v>
      </c>
      <c r="AH404" s="352">
        <f>IF(NFI_Expiration=1,IF($A404&lt;VLOOKUP(Q$5,NFI,5,0),1,0)*Table_NFI[[#This Row],[Plastic Mat]],Table_NFI[Plastic Mat])*IF(Table_NFI[[#This Row],[Distribution Date]]&gt;"2014-04-01",1,2.5)</f>
        <v>0</v>
      </c>
      <c r="AI404" s="352">
        <f>IF(NFI_Expiration=1,IF($A404&lt;VLOOKUP(R$5,NFI,5,0),1,0)*Table_NFI[[#This Row],[Winter Clothes Adult]],Table_NFI[Winter Clothes Adult])</f>
        <v>0</v>
      </c>
      <c r="AJ404" s="352">
        <f>IF(NFI_Expiration=1,IF($A404&lt;VLOOKUP(S$5,NFI,5,0),1,0)*Table_NFI[[#This Row],[Winter Clothes Children]],Table_NFI[Winter Clothes Children])</f>
        <v>0</v>
      </c>
      <c r="AK404" s="352">
        <f>IF(NFI_Expiration=1,IF($A404&lt;VLOOKUP(T$5,NFI,5,0),1,0)*Table_NFI[[#This Row],[Winter Items Other]],Table_NFI[Winter Items Other])</f>
        <v>0</v>
      </c>
      <c r="AL404" s="352">
        <f>IF(NFI_Expiration=1,IF($A404&lt;VLOOKUP(M$5,NFI,5,0),1,0)*Table_NFI[[#This Row],[Winter Blanket]],Table_NFI[[#This Row],[Winter Blanket]])</f>
        <v>0</v>
      </c>
      <c r="AM404" s="352">
        <f>IF(Table_NFI[[#This Row],[Winter Clothes Adult]]+Table_NFI[[#This Row],[Winter Clothes Children]]+Table_NFI[[#This Row],[Winter Items Other]]+Table_NFI[[#This Row],[Winter Blanket]]&gt;0,1,0)</f>
        <v>0</v>
      </c>
      <c r="AN404" s="392">
        <f>IF(NFI_Expiration=1,IF($A404&lt;VLOOKUP(V$5,NFI,5,0),1,0)*Table_NFI[[#This Row],[Jerry Can]],Table_NFI[Jerry Can])</f>
        <v>0</v>
      </c>
      <c r="AO404" s="540" t="str">
        <f>IFERROR(VLOOKUP(Table_NFI[[#This Row],[Camp Name]],CL,2,0),"")</f>
        <v>MMR001CMP027</v>
      </c>
      <c r="AP404" s="535">
        <f ca="1">IF(Table_NFI[[#This Row],[Pcode]]="","",IF(OFFSET(CampList[Opening Date],MATCH(Table_NFI[[#This Row],[Pcode]],CampList[CP_Pcode],0)-1,0,1,1)&gt;=NFI_Monitor_Date,1,0))</f>
        <v>0</v>
      </c>
      <c r="AQ404" s="540" t="str">
        <f>IFERROR(VLOOKUP(Table_NFI[[#This Row],[Camp Name]],CL,3,0),"")</f>
        <v>Open</v>
      </c>
      <c r="AR404" s="352" t="str">
        <f ca="1">IF(Table_NFI[[#This Row],[Pcode]]="","",OFFSET(CampList[Priority],MATCH(Table_NFI[[#This Row],[Pcode]],CampList[CP_Pcode],0)-1,0,1,1))</f>
        <v>P4</v>
      </c>
      <c r="AS404" s="351">
        <f>IFERROR(Table_NFI[[#This Row],[Kitchen Set]]/VLOOKUP(Table_NFI[[#This Row],[Camp Name]],CL,4,0),"")</f>
        <v>0</v>
      </c>
      <c r="AT404" s="533" t="s">
        <v>1094</v>
      </c>
      <c r="AU404" s="536"/>
    </row>
    <row r="405" spans="1:47" s="537" customFormat="1" ht="14.45" customHeight="1" x14ac:dyDescent="0.25">
      <c r="A405" s="355">
        <f t="shared" si="6"/>
        <v>30.833333333333332</v>
      </c>
      <c r="B405" s="532">
        <v>41646</v>
      </c>
      <c r="C405" s="533" t="s">
        <v>453</v>
      </c>
      <c r="D405" s="534" t="s">
        <v>453</v>
      </c>
      <c r="E405" s="533" t="s">
        <v>380</v>
      </c>
      <c r="F405" s="348" t="s">
        <v>5</v>
      </c>
      <c r="G405" s="348" t="s">
        <v>22</v>
      </c>
      <c r="H405" s="349"/>
      <c r="I405" s="349"/>
      <c r="J405" s="349"/>
      <c r="K405" s="349">
        <v>44</v>
      </c>
      <c r="L405" s="350">
        <v>30</v>
      </c>
      <c r="M405" s="350">
        <v>44</v>
      </c>
      <c r="N405" s="350">
        <v>20</v>
      </c>
      <c r="O405" s="350">
        <v>20</v>
      </c>
      <c r="P405" s="352"/>
      <c r="Q405" s="352"/>
      <c r="R405" s="352"/>
      <c r="S405" s="352"/>
      <c r="T405" s="352"/>
      <c r="U405" s="352"/>
      <c r="V405" s="497"/>
      <c r="W405" s="352"/>
      <c r="X405" s="352"/>
      <c r="Y405" s="352">
        <f>IF(NFI_Expiration=1,IF($A405&lt;VLOOKUP(H$5,NFI,5,0),1,0)*Table_NFI[[#This Row],[Hygiene Kit]],Table_NFI[Hygiene Kit])</f>
        <v>0</v>
      </c>
      <c r="Z405" s="352">
        <f>IF(NFI_Expiration=1,IF($A405&lt;VLOOKUP(I$5,NFI,5,0),1,0)*Table_NFI[[#This Row],[NFI Core Kit]],Table_NFI[NFI Core Kit])</f>
        <v>0</v>
      </c>
      <c r="AA405" s="352">
        <f>IF(NFI_Expiration=1,IF($A405&lt;VLOOKUP(J$5,NFI,5,0),1,0)*Table_NFI[[#This Row],[Sanitary Kit]],Table_NFI[Sanitary Kit])</f>
        <v>0</v>
      </c>
      <c r="AB405" s="352">
        <f>IF(NFI_Expiration=1,IF($A405&lt;VLOOKUP(K$5,NFI,5,0),1,0)*Table_NFI[[#This Row],[Mosquito net]],Table_NFI[Mosquito net])</f>
        <v>0</v>
      </c>
      <c r="AC405" s="352">
        <f>IF(NFI_Expiration=1,IF($A405&lt;VLOOKUP(L$5,NFI,5,0),1,0)*Table_NFI[[#This Row],[Tarpaulin]],Table_NFI[[#This Row],[Tarpaulin]])</f>
        <v>0</v>
      </c>
      <c r="AD405" s="352">
        <f>IF(NFI_Expiration=1,IF($A405&lt;VLOOKUP(M$5,NFI,5,0),1,0)*Table_NFI[[#This Row],[Blanket]],Table_NFI[[#This Row],[Blanket]])</f>
        <v>0</v>
      </c>
      <c r="AE405" s="352">
        <f>IF(NFI_Expiration=1,IF($A405&lt;VLOOKUP(N$5,NFI,5,0),1,0)*Table_NFI[[#This Row],[Kitchen Set]],Table_NFI[Kitchen Set])</f>
        <v>0</v>
      </c>
      <c r="AF405" s="352">
        <f>IF(NFI_Expiration=1,IF($A405&lt;VLOOKUP(O$5,NFI,5,0),1,0)*Table_NFI[[#This Row],[Clothes Kit]],Table_NFI[Clothes Kit])</f>
        <v>0</v>
      </c>
      <c r="AG405" s="352">
        <f>IF(NFI_Expiration=1,IF($A405&lt;VLOOKUP(P$5,NFI,5,0),1,0)*Table_NFI[[#This Row],[Plastic Bucket]],Table_NFI[Plastic Bucket])</f>
        <v>0</v>
      </c>
      <c r="AH405" s="352">
        <f>IF(NFI_Expiration=1,IF($A405&lt;VLOOKUP(Q$5,NFI,5,0),1,0)*Table_NFI[[#This Row],[Plastic Mat]],Table_NFI[Plastic Mat])*IF(Table_NFI[[#This Row],[Distribution Date]]&gt;"2014-04-01",1,2.5)</f>
        <v>0</v>
      </c>
      <c r="AI405" s="352">
        <f>IF(NFI_Expiration=1,IF($A405&lt;VLOOKUP(R$5,NFI,5,0),1,0)*Table_NFI[[#This Row],[Winter Clothes Adult]],Table_NFI[Winter Clothes Adult])</f>
        <v>0</v>
      </c>
      <c r="AJ405" s="352">
        <f>IF(NFI_Expiration=1,IF($A405&lt;VLOOKUP(S$5,NFI,5,0),1,0)*Table_NFI[[#This Row],[Winter Clothes Children]],Table_NFI[Winter Clothes Children])</f>
        <v>0</v>
      </c>
      <c r="AK405" s="352">
        <f>IF(NFI_Expiration=1,IF($A405&lt;VLOOKUP(T$5,NFI,5,0),1,0)*Table_NFI[[#This Row],[Winter Items Other]],Table_NFI[Winter Items Other])</f>
        <v>0</v>
      </c>
      <c r="AL405" s="352">
        <f>IF(NFI_Expiration=1,IF($A405&lt;VLOOKUP(M$5,NFI,5,0),1,0)*Table_NFI[[#This Row],[Winter Blanket]],Table_NFI[[#This Row],[Winter Blanket]])</f>
        <v>0</v>
      </c>
      <c r="AM405" s="352">
        <f>IF(Table_NFI[[#This Row],[Winter Clothes Adult]]+Table_NFI[[#This Row],[Winter Clothes Children]]+Table_NFI[[#This Row],[Winter Items Other]]+Table_NFI[[#This Row],[Winter Blanket]]&gt;0,1,0)</f>
        <v>0</v>
      </c>
      <c r="AN405" s="392">
        <f>IF(NFI_Expiration=1,IF($A405&lt;VLOOKUP(V$5,NFI,5,0),1,0)*Table_NFI[[#This Row],[Jerry Can]],Table_NFI[Jerry Can])</f>
        <v>0</v>
      </c>
      <c r="AO405" s="540" t="str">
        <f>IFERROR(VLOOKUP(Table_NFI[[#This Row],[Camp Name]],CL,2,0),"")</f>
        <v>MMR001CMP047</v>
      </c>
      <c r="AP405" s="535">
        <f ca="1">IF(Table_NFI[[#This Row],[Pcode]]="","",IF(OFFSET(CampList[Opening Date],MATCH(Table_NFI[[#This Row],[Pcode]],CampList[CP_Pcode],0)-1,0,1,1)&gt;=NFI_Monitor_Date,1,0))</f>
        <v>0</v>
      </c>
      <c r="AQ405" s="540" t="str">
        <f>IFERROR(VLOOKUP(Table_NFI[[#This Row],[Camp Name]],CL,3,0),"")</f>
        <v>Open</v>
      </c>
      <c r="AR405" s="352" t="str">
        <f ca="1">IF(Table_NFI[[#This Row],[Pcode]]="","",OFFSET(CampList[Priority],MATCH(Table_NFI[[#This Row],[Pcode]],CampList[CP_Pcode],0)-1,0,1,1))</f>
        <v>P4</v>
      </c>
      <c r="AS405" s="351">
        <f>IFERROR(Table_NFI[[#This Row],[Kitchen Set]]/VLOOKUP(Table_NFI[[#This Row],[Camp Name]],CL,4,0),"")</f>
        <v>3.1796502384737677E-2</v>
      </c>
      <c r="AT405" s="533" t="s">
        <v>1094</v>
      </c>
      <c r="AU405" s="536"/>
    </row>
    <row r="406" spans="1:47" s="537" customFormat="1" ht="14.45" hidden="1" customHeight="1" x14ac:dyDescent="0.25">
      <c r="A406" s="355">
        <f t="shared" si="6"/>
        <v>42.2</v>
      </c>
      <c r="B406" s="532">
        <v>41305</v>
      </c>
      <c r="C406" s="533" t="s">
        <v>570</v>
      </c>
      <c r="D406" s="534" t="s">
        <v>570</v>
      </c>
      <c r="E406" s="533" t="s">
        <v>380</v>
      </c>
      <c r="F406" s="348" t="s">
        <v>310</v>
      </c>
      <c r="G406" s="348" t="s">
        <v>320</v>
      </c>
      <c r="H406" s="349"/>
      <c r="I406" s="349"/>
      <c r="J406" s="349"/>
      <c r="K406" s="349"/>
      <c r="L406" s="350"/>
      <c r="M406" s="350">
        <v>42</v>
      </c>
      <c r="N406" s="350"/>
      <c r="O406" s="350"/>
      <c r="P406" s="352">
        <v>0</v>
      </c>
      <c r="Q406" s="352">
        <v>0</v>
      </c>
      <c r="R406" s="352"/>
      <c r="S406" s="352"/>
      <c r="T406" s="352"/>
      <c r="U406" s="352"/>
      <c r="V406" s="497"/>
      <c r="W406" s="352"/>
      <c r="X406" s="352"/>
      <c r="Y406" s="352">
        <f>IF(NFI_Expiration=1,IF($A406&lt;VLOOKUP(H$5,NFI,5,0),1,0)*Table_NFI[[#This Row],[Hygiene Kit]],Table_NFI[Hygiene Kit])</f>
        <v>0</v>
      </c>
      <c r="Z406" s="352">
        <f>IF(NFI_Expiration=1,IF($A406&lt;VLOOKUP(I$5,NFI,5,0),1,0)*Table_NFI[[#This Row],[NFI Core Kit]],Table_NFI[NFI Core Kit])</f>
        <v>0</v>
      </c>
      <c r="AA406" s="352">
        <f>IF(NFI_Expiration=1,IF($A406&lt;VLOOKUP(J$5,NFI,5,0),1,0)*Table_NFI[[#This Row],[Sanitary Kit]],Table_NFI[Sanitary Kit])</f>
        <v>0</v>
      </c>
      <c r="AB406" s="352">
        <f>IF(NFI_Expiration=1,IF($A406&lt;VLOOKUP(K$5,NFI,5,0),1,0)*Table_NFI[[#This Row],[Mosquito net]],Table_NFI[Mosquito net])</f>
        <v>0</v>
      </c>
      <c r="AC406" s="352">
        <f>IF(NFI_Expiration=1,IF($A406&lt;VLOOKUP(L$5,NFI,5,0),1,0)*Table_NFI[[#This Row],[Tarpaulin]],Table_NFI[[#This Row],[Tarpaulin]])</f>
        <v>0</v>
      </c>
      <c r="AD406" s="352">
        <f>IF(NFI_Expiration=1,IF($A406&lt;VLOOKUP(M$5,NFI,5,0),1,0)*Table_NFI[[#This Row],[Blanket]],Table_NFI[[#This Row],[Blanket]])</f>
        <v>0</v>
      </c>
      <c r="AE406" s="352">
        <f>IF(NFI_Expiration=1,IF($A406&lt;VLOOKUP(N$5,NFI,5,0),1,0)*Table_NFI[[#This Row],[Kitchen Set]],Table_NFI[Kitchen Set])</f>
        <v>0</v>
      </c>
      <c r="AF406" s="352">
        <f>IF(NFI_Expiration=1,IF($A406&lt;VLOOKUP(O$5,NFI,5,0),1,0)*Table_NFI[[#This Row],[Clothes Kit]],Table_NFI[Clothes Kit])</f>
        <v>0</v>
      </c>
      <c r="AG406" s="352">
        <f>IF(NFI_Expiration=1,IF($A406&lt;VLOOKUP(P$5,NFI,5,0),1,0)*Table_NFI[[#This Row],[Plastic Bucket]],Table_NFI[Plastic Bucket])</f>
        <v>0</v>
      </c>
      <c r="AH406" s="352">
        <f>IF(NFI_Expiration=1,IF($A406&lt;VLOOKUP(Q$5,NFI,5,0),1,0)*Table_NFI[[#This Row],[Plastic Mat]],Table_NFI[Plastic Mat])*IF(Table_NFI[[#This Row],[Distribution Date]]&gt;"2014-04-01",1,2.5)</f>
        <v>0</v>
      </c>
      <c r="AI406" s="352">
        <f>IF(NFI_Expiration=1,IF($A406&lt;VLOOKUP(R$5,NFI,5,0),1,0)*Table_NFI[[#This Row],[Winter Clothes Adult]],Table_NFI[Winter Clothes Adult])</f>
        <v>0</v>
      </c>
      <c r="AJ406" s="352">
        <f>IF(NFI_Expiration=1,IF($A406&lt;VLOOKUP(S$5,NFI,5,0),1,0)*Table_NFI[[#This Row],[Winter Clothes Children]],Table_NFI[Winter Clothes Children])</f>
        <v>0</v>
      </c>
      <c r="AK406" s="352">
        <f>IF(NFI_Expiration=1,IF($A406&lt;VLOOKUP(T$5,NFI,5,0),1,0)*Table_NFI[[#This Row],[Winter Items Other]],Table_NFI[Winter Items Other])</f>
        <v>0</v>
      </c>
      <c r="AL406" s="352">
        <f>IF(NFI_Expiration=1,IF($A406&lt;VLOOKUP(M$5,NFI,5,0),1,0)*Table_NFI[[#This Row],[Winter Blanket]],Table_NFI[[#This Row],[Winter Blanket]])</f>
        <v>0</v>
      </c>
      <c r="AM406" s="352">
        <f>IF(Table_NFI[[#This Row],[Winter Clothes Adult]]+Table_NFI[[#This Row],[Winter Clothes Children]]+Table_NFI[[#This Row],[Winter Items Other]]+Table_NFI[[#This Row],[Winter Blanket]]&gt;0,1,0)</f>
        <v>0</v>
      </c>
      <c r="AN406" s="392">
        <f>IF(NFI_Expiration=1,IF($A406&lt;VLOOKUP(V$5,NFI,5,0),1,0)*Table_NFI[[#This Row],[Jerry Can]],Table_NFI[Jerry Can])</f>
        <v>0</v>
      </c>
      <c r="AO406" s="540" t="str">
        <f>IFERROR(VLOOKUP(Table_NFI[[#This Row],[Camp Name]],CL,2,0),"")</f>
        <v>MMR001CMP027</v>
      </c>
      <c r="AP406" s="535">
        <f ca="1">IF(Table_NFI[[#This Row],[Pcode]]="","",IF(OFFSET(CampList[Opening Date],MATCH(Table_NFI[[#This Row],[Pcode]],CampList[CP_Pcode],0)-1,0,1,1)&gt;=NFI_Monitor_Date,1,0))</f>
        <v>0</v>
      </c>
      <c r="AQ406" s="540" t="str">
        <f>IFERROR(VLOOKUP(Table_NFI[[#This Row],[Camp Name]],CL,3,0),"")</f>
        <v>Open</v>
      </c>
      <c r="AR406" s="352" t="str">
        <f ca="1">IF(Table_NFI[[#This Row],[Pcode]]="","",OFFSET(CampList[Priority],MATCH(Table_NFI[[#This Row],[Pcode]],CampList[CP_Pcode],0)-1,0,1,1))</f>
        <v>P4</v>
      </c>
      <c r="AS406" s="351">
        <f>IFERROR(Table_NFI[[#This Row],[Kitchen Set]]/VLOOKUP(Table_NFI[[#This Row],[Camp Name]],CL,4,0),"")</f>
        <v>0</v>
      </c>
      <c r="AT406" s="533" t="s">
        <v>1094</v>
      </c>
      <c r="AU406" s="536"/>
    </row>
    <row r="407" spans="1:47" s="537" customFormat="1" ht="14.45" hidden="1" customHeight="1" x14ac:dyDescent="0.25">
      <c r="A407" s="355">
        <f t="shared" si="6"/>
        <v>43.233333333333334</v>
      </c>
      <c r="B407" s="532">
        <v>41274</v>
      </c>
      <c r="C407" s="533" t="s">
        <v>454</v>
      </c>
      <c r="D407" s="533" t="s">
        <v>454</v>
      </c>
      <c r="E407" s="533" t="s">
        <v>380</v>
      </c>
      <c r="F407" s="348" t="s">
        <v>310</v>
      </c>
      <c r="G407" s="348" t="s">
        <v>320</v>
      </c>
      <c r="H407" s="349">
        <v>23</v>
      </c>
      <c r="I407" s="349"/>
      <c r="J407" s="349"/>
      <c r="K407" s="349"/>
      <c r="L407" s="350"/>
      <c r="M407" s="350"/>
      <c r="N407" s="350"/>
      <c r="O407" s="350"/>
      <c r="P407" s="352">
        <v>0</v>
      </c>
      <c r="Q407" s="352">
        <v>0</v>
      </c>
      <c r="R407" s="352"/>
      <c r="S407" s="352"/>
      <c r="T407" s="352"/>
      <c r="U407" s="352"/>
      <c r="V407" s="497"/>
      <c r="W407" s="352"/>
      <c r="X407" s="352"/>
      <c r="Y407" s="352">
        <f>IF(NFI_Expiration=1,IF($A407&lt;VLOOKUP(H$5,NFI,5,0),1,0)*Table_NFI[[#This Row],[Hygiene Kit]],Table_NFI[Hygiene Kit])</f>
        <v>0</v>
      </c>
      <c r="Z407" s="352">
        <f>IF(NFI_Expiration=1,IF($A407&lt;VLOOKUP(I$5,NFI,5,0),1,0)*Table_NFI[[#This Row],[NFI Core Kit]],Table_NFI[NFI Core Kit])</f>
        <v>0</v>
      </c>
      <c r="AA407" s="352">
        <f>IF(NFI_Expiration=1,IF($A407&lt;VLOOKUP(J$5,NFI,5,0),1,0)*Table_NFI[[#This Row],[Sanitary Kit]],Table_NFI[Sanitary Kit])</f>
        <v>0</v>
      </c>
      <c r="AB407" s="352">
        <f>IF(NFI_Expiration=1,IF($A407&lt;VLOOKUP(K$5,NFI,5,0),1,0)*Table_NFI[[#This Row],[Mosquito net]],Table_NFI[Mosquito net])</f>
        <v>0</v>
      </c>
      <c r="AC407" s="352">
        <f>IF(NFI_Expiration=1,IF($A407&lt;VLOOKUP(L$5,NFI,5,0),1,0)*Table_NFI[[#This Row],[Tarpaulin]],Table_NFI[[#This Row],[Tarpaulin]])</f>
        <v>0</v>
      </c>
      <c r="AD407" s="352">
        <f>IF(NFI_Expiration=1,IF($A407&lt;VLOOKUP(M$5,NFI,5,0),1,0)*Table_NFI[[#This Row],[Blanket]],Table_NFI[[#This Row],[Blanket]])</f>
        <v>0</v>
      </c>
      <c r="AE407" s="352">
        <f>IF(NFI_Expiration=1,IF($A407&lt;VLOOKUP(N$5,NFI,5,0),1,0)*Table_NFI[[#This Row],[Kitchen Set]],Table_NFI[Kitchen Set])</f>
        <v>0</v>
      </c>
      <c r="AF407" s="352">
        <f>IF(NFI_Expiration=1,IF($A407&lt;VLOOKUP(O$5,NFI,5,0),1,0)*Table_NFI[[#This Row],[Clothes Kit]],Table_NFI[Clothes Kit])</f>
        <v>0</v>
      </c>
      <c r="AG407" s="352">
        <f>IF(NFI_Expiration=1,IF($A407&lt;VLOOKUP(P$5,NFI,5,0),1,0)*Table_NFI[[#This Row],[Plastic Bucket]],Table_NFI[Plastic Bucket])</f>
        <v>0</v>
      </c>
      <c r="AH407" s="352">
        <f>IF(NFI_Expiration=1,IF($A407&lt;VLOOKUP(Q$5,NFI,5,0),1,0)*Table_NFI[[#This Row],[Plastic Mat]],Table_NFI[Plastic Mat])*IF(Table_NFI[[#This Row],[Distribution Date]]&gt;"2014-04-01",1,2.5)</f>
        <v>0</v>
      </c>
      <c r="AI407" s="352">
        <f>IF(NFI_Expiration=1,IF($A407&lt;VLOOKUP(R$5,NFI,5,0),1,0)*Table_NFI[[#This Row],[Winter Clothes Adult]],Table_NFI[Winter Clothes Adult])</f>
        <v>0</v>
      </c>
      <c r="AJ407" s="352">
        <f>IF(NFI_Expiration=1,IF($A407&lt;VLOOKUP(S$5,NFI,5,0),1,0)*Table_NFI[[#This Row],[Winter Clothes Children]],Table_NFI[Winter Clothes Children])</f>
        <v>0</v>
      </c>
      <c r="AK407" s="352">
        <f>IF(NFI_Expiration=1,IF($A407&lt;VLOOKUP(T$5,NFI,5,0),1,0)*Table_NFI[[#This Row],[Winter Items Other]],Table_NFI[Winter Items Other])</f>
        <v>0</v>
      </c>
      <c r="AL407" s="352">
        <f>IF(NFI_Expiration=1,IF($A407&lt;VLOOKUP(M$5,NFI,5,0),1,0)*Table_NFI[[#This Row],[Winter Blanket]],Table_NFI[[#This Row],[Winter Blanket]])</f>
        <v>0</v>
      </c>
      <c r="AM407" s="352">
        <f>IF(Table_NFI[[#This Row],[Winter Clothes Adult]]+Table_NFI[[#This Row],[Winter Clothes Children]]+Table_NFI[[#This Row],[Winter Items Other]]+Table_NFI[[#This Row],[Winter Blanket]]&gt;0,1,0)</f>
        <v>0</v>
      </c>
      <c r="AN407" s="392">
        <f>IF(NFI_Expiration=1,IF($A407&lt;VLOOKUP(V$5,NFI,5,0),1,0)*Table_NFI[[#This Row],[Jerry Can]],Table_NFI[Jerry Can])</f>
        <v>0</v>
      </c>
      <c r="AO407" s="540" t="str">
        <f>IFERROR(VLOOKUP(Table_NFI[[#This Row],[Camp Name]],CL,2,0),"")</f>
        <v>MMR001CMP027</v>
      </c>
      <c r="AP407" s="535">
        <f ca="1">IF(Table_NFI[[#This Row],[Pcode]]="","",IF(OFFSET(CampList[Opening Date],MATCH(Table_NFI[[#This Row],[Pcode]],CampList[CP_Pcode],0)-1,0,1,1)&gt;=NFI_Monitor_Date,1,0))</f>
        <v>0</v>
      </c>
      <c r="AQ407" s="540" t="str">
        <f>IFERROR(VLOOKUP(Table_NFI[[#This Row],[Camp Name]],CL,3,0),"")</f>
        <v>Open</v>
      </c>
      <c r="AR407" s="352" t="str">
        <f ca="1">IF(Table_NFI[[#This Row],[Pcode]]="","",OFFSET(CampList[Priority],MATCH(Table_NFI[[#This Row],[Pcode]],CampList[CP_Pcode],0)-1,0,1,1))</f>
        <v>P4</v>
      </c>
      <c r="AS407" s="351">
        <f>IFERROR(Table_NFI[[#This Row],[Kitchen Set]]/VLOOKUP(Table_NFI[[#This Row],[Camp Name]],CL,4,0),"")</f>
        <v>0</v>
      </c>
      <c r="AT407" s="533" t="s">
        <v>1094</v>
      </c>
      <c r="AU407" s="536"/>
    </row>
    <row r="408" spans="1:47" s="537" customFormat="1" ht="14.45" customHeight="1" x14ac:dyDescent="0.25">
      <c r="A408" s="355">
        <f t="shared" si="6"/>
        <v>31.333333333333332</v>
      </c>
      <c r="B408" s="532">
        <v>41631</v>
      </c>
      <c r="C408" s="533" t="s">
        <v>453</v>
      </c>
      <c r="D408" s="534" t="s">
        <v>453</v>
      </c>
      <c r="E408" s="533" t="s">
        <v>380</v>
      </c>
      <c r="F408" s="348" t="s">
        <v>5</v>
      </c>
      <c r="G408" s="348" t="s">
        <v>6</v>
      </c>
      <c r="H408" s="349"/>
      <c r="I408" s="349"/>
      <c r="J408" s="349">
        <v>10</v>
      </c>
      <c r="K408" s="349">
        <v>10</v>
      </c>
      <c r="L408" s="350">
        <v>7</v>
      </c>
      <c r="M408" s="350">
        <v>10</v>
      </c>
      <c r="N408" s="350">
        <v>7</v>
      </c>
      <c r="O408" s="350">
        <v>7</v>
      </c>
      <c r="P408" s="352"/>
      <c r="Q408" s="352"/>
      <c r="R408" s="352"/>
      <c r="S408" s="352"/>
      <c r="T408" s="352"/>
      <c r="U408" s="352"/>
      <c r="V408" s="497"/>
      <c r="W408" s="352"/>
      <c r="X408" s="352"/>
      <c r="Y408" s="352">
        <f>IF(NFI_Expiration=1,IF($A408&lt;VLOOKUP(H$5,NFI,5,0),1,0)*Table_NFI[[#This Row],[Hygiene Kit]],Table_NFI[Hygiene Kit])</f>
        <v>0</v>
      </c>
      <c r="Z408" s="352">
        <f>IF(NFI_Expiration=1,IF($A408&lt;VLOOKUP(I$5,NFI,5,0),1,0)*Table_NFI[[#This Row],[NFI Core Kit]],Table_NFI[NFI Core Kit])</f>
        <v>0</v>
      </c>
      <c r="AA408" s="352">
        <f>IF(NFI_Expiration=1,IF($A408&lt;VLOOKUP(J$5,NFI,5,0),1,0)*Table_NFI[[#This Row],[Sanitary Kit]],Table_NFI[Sanitary Kit])</f>
        <v>0</v>
      </c>
      <c r="AB408" s="352">
        <f>IF(NFI_Expiration=1,IF($A408&lt;VLOOKUP(K$5,NFI,5,0),1,0)*Table_NFI[[#This Row],[Mosquito net]],Table_NFI[Mosquito net])</f>
        <v>0</v>
      </c>
      <c r="AC408" s="352">
        <f>IF(NFI_Expiration=1,IF($A408&lt;VLOOKUP(L$5,NFI,5,0),1,0)*Table_NFI[[#This Row],[Tarpaulin]],Table_NFI[[#This Row],[Tarpaulin]])</f>
        <v>0</v>
      </c>
      <c r="AD408" s="352">
        <f>IF(NFI_Expiration=1,IF($A408&lt;VLOOKUP(M$5,NFI,5,0),1,0)*Table_NFI[[#This Row],[Blanket]],Table_NFI[[#This Row],[Blanket]])</f>
        <v>0</v>
      </c>
      <c r="AE408" s="352">
        <f>IF(NFI_Expiration=1,IF($A408&lt;VLOOKUP(N$5,NFI,5,0),1,0)*Table_NFI[[#This Row],[Kitchen Set]],Table_NFI[Kitchen Set])</f>
        <v>0</v>
      </c>
      <c r="AF408" s="352">
        <f>IF(NFI_Expiration=1,IF($A408&lt;VLOOKUP(O$5,NFI,5,0),1,0)*Table_NFI[[#This Row],[Clothes Kit]],Table_NFI[Clothes Kit])</f>
        <v>0</v>
      </c>
      <c r="AG408" s="352">
        <f>IF(NFI_Expiration=1,IF($A408&lt;VLOOKUP(P$5,NFI,5,0),1,0)*Table_NFI[[#This Row],[Plastic Bucket]],Table_NFI[Plastic Bucket])</f>
        <v>0</v>
      </c>
      <c r="AH408" s="352">
        <f>IF(NFI_Expiration=1,IF($A408&lt;VLOOKUP(Q$5,NFI,5,0),1,0)*Table_NFI[[#This Row],[Plastic Mat]],Table_NFI[Plastic Mat])*IF(Table_NFI[[#This Row],[Distribution Date]]&gt;"2014-04-01",1,2.5)</f>
        <v>0</v>
      </c>
      <c r="AI408" s="352">
        <f>IF(NFI_Expiration=1,IF($A408&lt;VLOOKUP(R$5,NFI,5,0),1,0)*Table_NFI[[#This Row],[Winter Clothes Adult]],Table_NFI[Winter Clothes Adult])</f>
        <v>0</v>
      </c>
      <c r="AJ408" s="352">
        <f>IF(NFI_Expiration=1,IF($A408&lt;VLOOKUP(S$5,NFI,5,0),1,0)*Table_NFI[[#This Row],[Winter Clothes Children]],Table_NFI[Winter Clothes Children])</f>
        <v>0</v>
      </c>
      <c r="AK408" s="352">
        <f>IF(NFI_Expiration=1,IF($A408&lt;VLOOKUP(T$5,NFI,5,0),1,0)*Table_NFI[[#This Row],[Winter Items Other]],Table_NFI[Winter Items Other])</f>
        <v>0</v>
      </c>
      <c r="AL408" s="352">
        <f>IF(NFI_Expiration=1,IF($A408&lt;VLOOKUP(M$5,NFI,5,0),1,0)*Table_NFI[[#This Row],[Winter Blanket]],Table_NFI[[#This Row],[Winter Blanket]])</f>
        <v>0</v>
      </c>
      <c r="AM408" s="352">
        <f>IF(Table_NFI[[#This Row],[Winter Clothes Adult]]+Table_NFI[[#This Row],[Winter Clothes Children]]+Table_NFI[[#This Row],[Winter Items Other]]+Table_NFI[[#This Row],[Winter Blanket]]&gt;0,1,0)</f>
        <v>0</v>
      </c>
      <c r="AN408" s="392">
        <f>IF(NFI_Expiration=1,IF($A408&lt;VLOOKUP(V$5,NFI,5,0),1,0)*Table_NFI[[#This Row],[Jerry Can]],Table_NFI[Jerry Can])</f>
        <v>0</v>
      </c>
      <c r="AO408" s="540" t="str">
        <f>IFERROR(VLOOKUP(Table_NFI[[#This Row],[Camp Name]],CL,2,0),"")</f>
        <v>MMR001CMP050</v>
      </c>
      <c r="AP408" s="535">
        <f ca="1">IF(Table_NFI[[#This Row],[Pcode]]="","",IF(OFFSET(CampList[Opening Date],MATCH(Table_NFI[[#This Row],[Pcode]],CampList[CP_Pcode],0)-1,0,1,1)&gt;=NFI_Monitor_Date,1,0))</f>
        <v>0</v>
      </c>
      <c r="AQ408" s="540" t="str">
        <f>IFERROR(VLOOKUP(Table_NFI[[#This Row],[Camp Name]],CL,3,0),"")</f>
        <v>Open</v>
      </c>
      <c r="AR408" s="352" t="str">
        <f ca="1">IF(Table_NFI[[#This Row],[Pcode]]="","",OFFSET(CampList[Priority],MATCH(Table_NFI[[#This Row],[Pcode]],CampList[CP_Pcode],0)-1,0,1,1))</f>
        <v>P4</v>
      </c>
      <c r="AS408" s="351">
        <f>IFERROR(Table_NFI[[#This Row],[Kitchen Set]]/VLOOKUP(Table_NFI[[#This Row],[Camp Name]],CL,4,0),"")</f>
        <v>2.5547445255474453E-2</v>
      </c>
      <c r="AT408" s="533" t="s">
        <v>1094</v>
      </c>
      <c r="AU408" s="536"/>
    </row>
    <row r="409" spans="1:47" s="537" customFormat="1" ht="14.45" hidden="1" customHeight="1" x14ac:dyDescent="0.25">
      <c r="A409" s="355">
        <f t="shared" si="6"/>
        <v>22.933333333333334</v>
      </c>
      <c r="B409" s="532">
        <v>41883</v>
      </c>
      <c r="C409" s="538" t="s">
        <v>1038</v>
      </c>
      <c r="D409" s="538"/>
      <c r="E409" s="538" t="s">
        <v>380</v>
      </c>
      <c r="F409" s="538" t="s">
        <v>310</v>
      </c>
      <c r="G409" s="538" t="s">
        <v>322</v>
      </c>
      <c r="H409" s="350"/>
      <c r="I409" s="350"/>
      <c r="J409" s="350"/>
      <c r="K409" s="350"/>
      <c r="L409" s="350"/>
      <c r="M409" s="350"/>
      <c r="N409" s="350"/>
      <c r="O409" s="350"/>
      <c r="P409" s="352"/>
      <c r="Q409" s="352"/>
      <c r="R409" s="352"/>
      <c r="S409" s="352">
        <v>917</v>
      </c>
      <c r="T409" s="352"/>
      <c r="U409" s="352"/>
      <c r="V409" s="497"/>
      <c r="W409" s="352"/>
      <c r="X409" s="352"/>
      <c r="Y409" s="352">
        <f>IF(NFI_Expiration=1,IF($A409&lt;VLOOKUP(H$5,NFI,5,0),1,0)*Table_NFI[[#This Row],[Hygiene Kit]],Table_NFI[Hygiene Kit])</f>
        <v>0</v>
      </c>
      <c r="Z409" s="352">
        <f>IF(NFI_Expiration=1,IF($A409&lt;VLOOKUP(I$5,NFI,5,0),1,0)*Table_NFI[[#This Row],[NFI Core Kit]],Table_NFI[NFI Core Kit])</f>
        <v>0</v>
      </c>
      <c r="AA409" s="352">
        <f>IF(NFI_Expiration=1,IF($A409&lt;VLOOKUP(J$5,NFI,5,0),1,0)*Table_NFI[[#This Row],[Sanitary Kit]],Table_NFI[Sanitary Kit])</f>
        <v>0</v>
      </c>
      <c r="AB409" s="352">
        <f>IF(NFI_Expiration=1,IF($A409&lt;VLOOKUP(K$5,NFI,5,0),1,0)*Table_NFI[[#This Row],[Mosquito net]],Table_NFI[Mosquito net])</f>
        <v>0</v>
      </c>
      <c r="AC409" s="352">
        <f>IF(NFI_Expiration=1,IF($A409&lt;VLOOKUP(L$5,NFI,5,0),1,0)*Table_NFI[[#This Row],[Tarpaulin]],Table_NFI[[#This Row],[Tarpaulin]])</f>
        <v>0</v>
      </c>
      <c r="AD409" s="352">
        <f>IF(NFI_Expiration=1,IF($A409&lt;VLOOKUP(M$5,NFI,5,0),1,0)*Table_NFI[[#This Row],[Blanket]],Table_NFI[[#This Row],[Blanket]])</f>
        <v>0</v>
      </c>
      <c r="AE409" s="352">
        <f>IF(NFI_Expiration=1,IF($A409&lt;VLOOKUP(N$5,NFI,5,0),1,0)*Table_NFI[[#This Row],[Kitchen Set]],Table_NFI[Kitchen Set])</f>
        <v>0</v>
      </c>
      <c r="AF409" s="352">
        <f>IF(NFI_Expiration=1,IF($A409&lt;VLOOKUP(O$5,NFI,5,0),1,0)*Table_NFI[[#This Row],[Clothes Kit]],Table_NFI[Clothes Kit])</f>
        <v>0</v>
      </c>
      <c r="AG409" s="352">
        <f>IF(NFI_Expiration=1,IF($A409&lt;VLOOKUP(P$5,NFI,5,0),1,0)*Table_NFI[[#This Row],[Plastic Bucket]],Table_NFI[Plastic Bucket])</f>
        <v>0</v>
      </c>
      <c r="AH409" s="352">
        <f>IF(NFI_Expiration=1,IF($A409&lt;VLOOKUP(Q$5,NFI,5,0),1,0)*Table_NFI[[#This Row],[Plastic Mat]],Table_NFI[Plastic Mat])*IF(Table_NFI[[#This Row],[Distribution Date]]&gt;"2014-04-01",1,2.5)</f>
        <v>0</v>
      </c>
      <c r="AI409" s="352">
        <f>IF(NFI_Expiration=1,IF($A409&lt;VLOOKUP(R$5,NFI,5,0),1,0)*Table_NFI[[#This Row],[Winter Clothes Adult]],Table_NFI[Winter Clothes Adult])</f>
        <v>0</v>
      </c>
      <c r="AJ409" s="352">
        <f>IF(NFI_Expiration=1,IF($A409&lt;VLOOKUP(S$5,NFI,5,0),1,0)*Table_NFI[[#This Row],[Winter Clothes Children]],Table_NFI[Winter Clothes Children])</f>
        <v>0</v>
      </c>
      <c r="AK409" s="352">
        <f>IF(NFI_Expiration=1,IF($A409&lt;VLOOKUP(T$5,NFI,5,0),1,0)*Table_NFI[[#This Row],[Winter Items Other]],Table_NFI[Winter Items Other])</f>
        <v>0</v>
      </c>
      <c r="AL409" s="352">
        <f>IF(NFI_Expiration=1,IF($A409&lt;VLOOKUP(M$5,NFI,5,0),1,0)*Table_NFI[[#This Row],[Winter Blanket]],Table_NFI[[#This Row],[Winter Blanket]])</f>
        <v>0</v>
      </c>
      <c r="AM409" s="352">
        <f>IF(Table_NFI[[#This Row],[Winter Clothes Adult]]+Table_NFI[[#This Row],[Winter Clothes Children]]+Table_NFI[[#This Row],[Winter Items Other]]+Table_NFI[[#This Row],[Winter Blanket]]&gt;0,1,0)</f>
        <v>1</v>
      </c>
      <c r="AN409" s="392">
        <f>IF(NFI_Expiration=1,IF($A409&lt;VLOOKUP(V$5,NFI,5,0),1,0)*Table_NFI[[#This Row],[Jerry Can]],Table_NFI[Jerry Can])</f>
        <v>0</v>
      </c>
      <c r="AO409" s="540" t="str">
        <f>IFERROR(VLOOKUP(Table_NFI[[#This Row],[Camp Name]],CL,2,0),"")</f>
        <v>MMR001CMP119</v>
      </c>
      <c r="AP409" s="535">
        <f ca="1">IF(Table_NFI[[#This Row],[Pcode]]="","",IF(OFFSET(CampList[Opening Date],MATCH(Table_NFI[[#This Row],[Pcode]],CampList[CP_Pcode],0)-1,0,1,1)&gt;=NFI_Monitor_Date,1,0))</f>
        <v>0</v>
      </c>
      <c r="AQ409" s="540" t="str">
        <f>IFERROR(VLOOKUP(Table_NFI[[#This Row],[Camp Name]],CL,3,0),"")</f>
        <v>Open</v>
      </c>
      <c r="AR409" s="352" t="str">
        <f ca="1">IF(Table_NFI[[#This Row],[Pcode]]="","",OFFSET(CampList[Priority],MATCH(Table_NFI[[#This Row],[Pcode]],CampList[CP_Pcode],0)-1,0,1,1))</f>
        <v>P2</v>
      </c>
      <c r="AS409" s="351">
        <f>IFERROR(Table_NFI[[#This Row],[Kitchen Set]]/VLOOKUP(Table_NFI[[#This Row],[Camp Name]],CL,4,0),"")</f>
        <v>0</v>
      </c>
      <c r="AT409" s="538"/>
      <c r="AU409" s="541"/>
    </row>
    <row r="410" spans="1:47" s="537" customFormat="1" ht="14.45" hidden="1" customHeight="1" x14ac:dyDescent="0.25">
      <c r="A410" s="355">
        <f t="shared" si="6"/>
        <v>30.4</v>
      </c>
      <c r="B410" s="532">
        <v>41659</v>
      </c>
      <c r="C410" s="533" t="s">
        <v>454</v>
      </c>
      <c r="D410" s="533" t="s">
        <v>507</v>
      </c>
      <c r="E410" s="533" t="s">
        <v>380</v>
      </c>
      <c r="F410" s="533" t="s">
        <v>310</v>
      </c>
      <c r="G410" s="533" t="s">
        <v>322</v>
      </c>
      <c r="H410" s="349"/>
      <c r="I410" s="349"/>
      <c r="J410" s="349"/>
      <c r="K410" s="349"/>
      <c r="L410" s="350"/>
      <c r="M410" s="350"/>
      <c r="N410" s="350"/>
      <c r="O410" s="350"/>
      <c r="P410" s="352"/>
      <c r="Q410" s="352"/>
      <c r="R410" s="352">
        <v>1497</v>
      </c>
      <c r="S410" s="352">
        <v>925</v>
      </c>
      <c r="T410" s="352"/>
      <c r="U410" s="352"/>
      <c r="V410" s="497"/>
      <c r="W410" s="352"/>
      <c r="X410" s="352"/>
      <c r="Y410" s="352">
        <f>IF(NFI_Expiration=1,IF($A410&lt;VLOOKUP(H$5,NFI,5,0),1,0)*Table_NFI[[#This Row],[Hygiene Kit]],Table_NFI[Hygiene Kit])</f>
        <v>0</v>
      </c>
      <c r="Z410" s="352">
        <f>IF(NFI_Expiration=1,IF($A410&lt;VLOOKUP(I$5,NFI,5,0),1,0)*Table_NFI[[#This Row],[NFI Core Kit]],Table_NFI[NFI Core Kit])</f>
        <v>0</v>
      </c>
      <c r="AA410" s="352">
        <f>IF(NFI_Expiration=1,IF($A410&lt;VLOOKUP(J$5,NFI,5,0),1,0)*Table_NFI[[#This Row],[Sanitary Kit]],Table_NFI[Sanitary Kit])</f>
        <v>0</v>
      </c>
      <c r="AB410" s="352">
        <f>IF(NFI_Expiration=1,IF($A410&lt;VLOOKUP(K$5,NFI,5,0),1,0)*Table_NFI[[#This Row],[Mosquito net]],Table_NFI[Mosquito net])</f>
        <v>0</v>
      </c>
      <c r="AC410" s="352">
        <f>IF(NFI_Expiration=1,IF($A410&lt;VLOOKUP(L$5,NFI,5,0),1,0)*Table_NFI[[#This Row],[Tarpaulin]],Table_NFI[[#This Row],[Tarpaulin]])</f>
        <v>0</v>
      </c>
      <c r="AD410" s="352">
        <f>IF(NFI_Expiration=1,IF($A410&lt;VLOOKUP(M$5,NFI,5,0),1,0)*Table_NFI[[#This Row],[Blanket]],Table_NFI[[#This Row],[Blanket]])</f>
        <v>0</v>
      </c>
      <c r="AE410" s="352">
        <f>IF(NFI_Expiration=1,IF($A410&lt;VLOOKUP(N$5,NFI,5,0),1,0)*Table_NFI[[#This Row],[Kitchen Set]],Table_NFI[Kitchen Set])</f>
        <v>0</v>
      </c>
      <c r="AF410" s="352">
        <f>IF(NFI_Expiration=1,IF($A410&lt;VLOOKUP(O$5,NFI,5,0),1,0)*Table_NFI[[#This Row],[Clothes Kit]],Table_NFI[Clothes Kit])</f>
        <v>0</v>
      </c>
      <c r="AG410" s="352">
        <f>IF(NFI_Expiration=1,IF($A410&lt;VLOOKUP(P$5,NFI,5,0),1,0)*Table_NFI[[#This Row],[Plastic Bucket]],Table_NFI[Plastic Bucket])</f>
        <v>0</v>
      </c>
      <c r="AH410" s="352">
        <f>IF(NFI_Expiration=1,IF($A410&lt;VLOOKUP(Q$5,NFI,5,0),1,0)*Table_NFI[[#This Row],[Plastic Mat]],Table_NFI[Plastic Mat])*IF(Table_NFI[[#This Row],[Distribution Date]]&gt;"2014-04-01",1,2.5)</f>
        <v>0</v>
      </c>
      <c r="AI410" s="352">
        <f>IF(NFI_Expiration=1,IF($A410&lt;VLOOKUP(R$5,NFI,5,0),1,0)*Table_NFI[[#This Row],[Winter Clothes Adult]],Table_NFI[Winter Clothes Adult])</f>
        <v>0</v>
      </c>
      <c r="AJ410" s="352">
        <f>IF(NFI_Expiration=1,IF($A410&lt;VLOOKUP(S$5,NFI,5,0),1,0)*Table_NFI[[#This Row],[Winter Clothes Children]],Table_NFI[Winter Clothes Children])</f>
        <v>0</v>
      </c>
      <c r="AK410" s="352">
        <f>IF(NFI_Expiration=1,IF($A410&lt;VLOOKUP(T$5,NFI,5,0),1,0)*Table_NFI[[#This Row],[Winter Items Other]],Table_NFI[Winter Items Other])</f>
        <v>0</v>
      </c>
      <c r="AL410" s="352">
        <f>IF(NFI_Expiration=1,IF($A410&lt;VLOOKUP(M$5,NFI,5,0),1,0)*Table_NFI[[#This Row],[Winter Blanket]],Table_NFI[[#This Row],[Winter Blanket]])</f>
        <v>0</v>
      </c>
      <c r="AM410" s="352">
        <f>IF(Table_NFI[[#This Row],[Winter Clothes Adult]]+Table_NFI[[#This Row],[Winter Clothes Children]]+Table_NFI[[#This Row],[Winter Items Other]]+Table_NFI[[#This Row],[Winter Blanket]]&gt;0,1,0)</f>
        <v>1</v>
      </c>
      <c r="AN410" s="392">
        <f>IF(NFI_Expiration=1,IF($A410&lt;VLOOKUP(V$5,NFI,5,0),1,0)*Table_NFI[[#This Row],[Jerry Can]],Table_NFI[Jerry Can])</f>
        <v>0</v>
      </c>
      <c r="AO410" s="540" t="str">
        <f>IFERROR(VLOOKUP(Table_NFI[[#This Row],[Camp Name]],CL,2,0),"")</f>
        <v>MMR001CMP119</v>
      </c>
      <c r="AP410" s="535">
        <f ca="1">IF(Table_NFI[[#This Row],[Pcode]]="","",IF(OFFSET(CampList[Opening Date],MATCH(Table_NFI[[#This Row],[Pcode]],CampList[CP_Pcode],0)-1,0,1,1)&gt;=NFI_Monitor_Date,1,0))</f>
        <v>0</v>
      </c>
      <c r="AQ410" s="540" t="str">
        <f>IFERROR(VLOOKUP(Table_NFI[[#This Row],[Camp Name]],CL,3,0),"")</f>
        <v>Open</v>
      </c>
      <c r="AR410" s="352" t="str">
        <f ca="1">IF(Table_NFI[[#This Row],[Pcode]]="","",OFFSET(CampList[Priority],MATCH(Table_NFI[[#This Row],[Pcode]],CampList[CP_Pcode],0)-1,0,1,1))</f>
        <v>P2</v>
      </c>
      <c r="AS410" s="351">
        <f>IFERROR(Table_NFI[[#This Row],[Kitchen Set]]/VLOOKUP(Table_NFI[[#This Row],[Camp Name]],CL,4,0),"")</f>
        <v>0</v>
      </c>
      <c r="AT410" s="533" t="s">
        <v>1094</v>
      </c>
      <c r="AU410" s="536"/>
    </row>
    <row r="411" spans="1:47" s="537" customFormat="1" ht="14.45" hidden="1" customHeight="1" x14ac:dyDescent="0.25">
      <c r="A411" s="355">
        <f t="shared" si="6"/>
        <v>30.533333333333335</v>
      </c>
      <c r="B411" s="532">
        <v>41655</v>
      </c>
      <c r="C411" s="533" t="s">
        <v>454</v>
      </c>
      <c r="D411" s="533" t="s">
        <v>507</v>
      </c>
      <c r="E411" s="533" t="s">
        <v>380</v>
      </c>
      <c r="F411" s="533" t="s">
        <v>310</v>
      </c>
      <c r="G411" s="533" t="s">
        <v>322</v>
      </c>
      <c r="H411" s="349"/>
      <c r="I411" s="349"/>
      <c r="J411" s="349"/>
      <c r="K411" s="349"/>
      <c r="L411" s="350"/>
      <c r="M411" s="350"/>
      <c r="N411" s="350"/>
      <c r="O411" s="350">
        <v>600</v>
      </c>
      <c r="P411" s="352"/>
      <c r="Q411" s="352"/>
      <c r="R411" s="352"/>
      <c r="S411" s="352"/>
      <c r="T411" s="352"/>
      <c r="U411" s="352"/>
      <c r="V411" s="497"/>
      <c r="W411" s="352"/>
      <c r="X411" s="352"/>
      <c r="Y411" s="352">
        <f>IF(NFI_Expiration=1,IF($A411&lt;VLOOKUP(H$5,NFI,5,0),1,0)*Table_NFI[[#This Row],[Hygiene Kit]],Table_NFI[Hygiene Kit])</f>
        <v>0</v>
      </c>
      <c r="Z411" s="352">
        <f>IF(NFI_Expiration=1,IF($A411&lt;VLOOKUP(I$5,NFI,5,0),1,0)*Table_NFI[[#This Row],[NFI Core Kit]],Table_NFI[NFI Core Kit])</f>
        <v>0</v>
      </c>
      <c r="AA411" s="352">
        <f>IF(NFI_Expiration=1,IF($A411&lt;VLOOKUP(J$5,NFI,5,0),1,0)*Table_NFI[[#This Row],[Sanitary Kit]],Table_NFI[Sanitary Kit])</f>
        <v>0</v>
      </c>
      <c r="AB411" s="352">
        <f>IF(NFI_Expiration=1,IF($A411&lt;VLOOKUP(K$5,NFI,5,0),1,0)*Table_NFI[[#This Row],[Mosquito net]],Table_NFI[Mosquito net])</f>
        <v>0</v>
      </c>
      <c r="AC411" s="352">
        <f>IF(NFI_Expiration=1,IF($A411&lt;VLOOKUP(L$5,NFI,5,0),1,0)*Table_NFI[[#This Row],[Tarpaulin]],Table_NFI[[#This Row],[Tarpaulin]])</f>
        <v>0</v>
      </c>
      <c r="AD411" s="352">
        <f>IF(NFI_Expiration=1,IF($A411&lt;VLOOKUP(M$5,NFI,5,0),1,0)*Table_NFI[[#This Row],[Blanket]],Table_NFI[[#This Row],[Blanket]])</f>
        <v>0</v>
      </c>
      <c r="AE411" s="352">
        <f>IF(NFI_Expiration=1,IF($A411&lt;VLOOKUP(N$5,NFI,5,0),1,0)*Table_NFI[[#This Row],[Kitchen Set]],Table_NFI[Kitchen Set])</f>
        <v>0</v>
      </c>
      <c r="AF411" s="352">
        <f>IF(NFI_Expiration=1,IF($A411&lt;VLOOKUP(O$5,NFI,5,0),1,0)*Table_NFI[[#This Row],[Clothes Kit]],Table_NFI[Clothes Kit])</f>
        <v>0</v>
      </c>
      <c r="AG411" s="352">
        <f>IF(NFI_Expiration=1,IF($A411&lt;VLOOKUP(P$5,NFI,5,0),1,0)*Table_NFI[[#This Row],[Plastic Bucket]],Table_NFI[Plastic Bucket])</f>
        <v>0</v>
      </c>
      <c r="AH411" s="352">
        <f>IF(NFI_Expiration=1,IF($A411&lt;VLOOKUP(Q$5,NFI,5,0),1,0)*Table_NFI[[#This Row],[Plastic Mat]],Table_NFI[Plastic Mat])*IF(Table_NFI[[#This Row],[Distribution Date]]&gt;"2014-04-01",1,2.5)</f>
        <v>0</v>
      </c>
      <c r="AI411" s="352">
        <f>IF(NFI_Expiration=1,IF($A411&lt;VLOOKUP(R$5,NFI,5,0),1,0)*Table_NFI[[#This Row],[Winter Clothes Adult]],Table_NFI[Winter Clothes Adult])</f>
        <v>0</v>
      </c>
      <c r="AJ411" s="352">
        <f>IF(NFI_Expiration=1,IF($A411&lt;VLOOKUP(S$5,NFI,5,0),1,0)*Table_NFI[[#This Row],[Winter Clothes Children]],Table_NFI[Winter Clothes Children])</f>
        <v>0</v>
      </c>
      <c r="AK411" s="352">
        <f>IF(NFI_Expiration=1,IF($A411&lt;VLOOKUP(T$5,NFI,5,0),1,0)*Table_NFI[[#This Row],[Winter Items Other]],Table_NFI[Winter Items Other])</f>
        <v>0</v>
      </c>
      <c r="AL411" s="352">
        <f>IF(NFI_Expiration=1,IF($A411&lt;VLOOKUP(M$5,NFI,5,0),1,0)*Table_NFI[[#This Row],[Winter Blanket]],Table_NFI[[#This Row],[Winter Blanket]])</f>
        <v>0</v>
      </c>
      <c r="AM411" s="352">
        <f>IF(Table_NFI[[#This Row],[Winter Clothes Adult]]+Table_NFI[[#This Row],[Winter Clothes Children]]+Table_NFI[[#This Row],[Winter Items Other]]+Table_NFI[[#This Row],[Winter Blanket]]&gt;0,1,0)</f>
        <v>0</v>
      </c>
      <c r="AN411" s="392">
        <f>IF(NFI_Expiration=1,IF($A411&lt;VLOOKUP(V$5,NFI,5,0),1,0)*Table_NFI[[#This Row],[Jerry Can]],Table_NFI[Jerry Can])</f>
        <v>0</v>
      </c>
      <c r="AO411" s="540" t="str">
        <f>IFERROR(VLOOKUP(Table_NFI[[#This Row],[Camp Name]],CL,2,0),"")</f>
        <v>MMR001CMP119</v>
      </c>
      <c r="AP411" s="535">
        <f ca="1">IF(Table_NFI[[#This Row],[Pcode]]="","",IF(OFFSET(CampList[Opening Date],MATCH(Table_NFI[[#This Row],[Pcode]],CampList[CP_Pcode],0)-1,0,1,1)&gt;=NFI_Monitor_Date,1,0))</f>
        <v>0</v>
      </c>
      <c r="AQ411" s="540" t="str">
        <f>IFERROR(VLOOKUP(Table_NFI[[#This Row],[Camp Name]],CL,3,0),"")</f>
        <v>Open</v>
      </c>
      <c r="AR411" s="352" t="str">
        <f ca="1">IF(Table_NFI[[#This Row],[Pcode]]="","",OFFSET(CampList[Priority],MATCH(Table_NFI[[#This Row],[Pcode]],CampList[CP_Pcode],0)-1,0,1,1))</f>
        <v>P2</v>
      </c>
      <c r="AS411" s="351">
        <f>IFERROR(Table_NFI[[#This Row],[Kitchen Set]]/VLOOKUP(Table_NFI[[#This Row],[Camp Name]],CL,4,0),"")</f>
        <v>0</v>
      </c>
      <c r="AT411" s="533" t="s">
        <v>1094</v>
      </c>
      <c r="AU411" s="536"/>
    </row>
    <row r="412" spans="1:47" s="537" customFormat="1" hidden="1" x14ac:dyDescent="0.25">
      <c r="A412" s="355">
        <f t="shared" si="6"/>
        <v>32.1</v>
      </c>
      <c r="B412" s="532">
        <v>41608</v>
      </c>
      <c r="C412" s="533" t="s">
        <v>907</v>
      </c>
      <c r="D412" s="533" t="s">
        <v>461</v>
      </c>
      <c r="E412" s="533" t="s">
        <v>380</v>
      </c>
      <c r="F412" s="348" t="s">
        <v>310</v>
      </c>
      <c r="G412" s="348" t="s">
        <v>322</v>
      </c>
      <c r="H412" s="349"/>
      <c r="I412" s="349"/>
      <c r="J412" s="349"/>
      <c r="K412" s="349"/>
      <c r="L412" s="350"/>
      <c r="M412" s="350"/>
      <c r="N412" s="350"/>
      <c r="O412" s="350"/>
      <c r="P412" s="352"/>
      <c r="Q412" s="352"/>
      <c r="R412" s="352"/>
      <c r="S412" s="352"/>
      <c r="T412" s="352"/>
      <c r="U412" s="352"/>
      <c r="V412" s="497"/>
      <c r="W412" s="352"/>
      <c r="X412" s="352"/>
      <c r="Y412" s="352">
        <f>IF(NFI_Expiration=1,IF($A412&lt;VLOOKUP(H$5,NFI,5,0),1,0)*Table_NFI[[#This Row],[Hygiene Kit]],Table_NFI[Hygiene Kit])</f>
        <v>0</v>
      </c>
      <c r="Z412" s="352">
        <f>IF(NFI_Expiration=1,IF($A412&lt;VLOOKUP(I$5,NFI,5,0),1,0)*Table_NFI[[#This Row],[NFI Core Kit]],Table_NFI[NFI Core Kit])</f>
        <v>0</v>
      </c>
      <c r="AA412" s="352">
        <f>IF(NFI_Expiration=1,IF($A412&lt;VLOOKUP(J$5,NFI,5,0),1,0)*Table_NFI[[#This Row],[Sanitary Kit]],Table_NFI[Sanitary Kit])</f>
        <v>0</v>
      </c>
      <c r="AB412" s="352">
        <f>IF(NFI_Expiration=1,IF($A412&lt;VLOOKUP(K$5,NFI,5,0),1,0)*Table_NFI[[#This Row],[Mosquito net]],Table_NFI[Mosquito net])</f>
        <v>0</v>
      </c>
      <c r="AC412" s="352">
        <f>IF(NFI_Expiration=1,IF($A412&lt;VLOOKUP(L$5,NFI,5,0),1,0)*Table_NFI[[#This Row],[Tarpaulin]],Table_NFI[[#This Row],[Tarpaulin]])</f>
        <v>0</v>
      </c>
      <c r="AD412" s="352">
        <f>IF(NFI_Expiration=1,IF($A412&lt;VLOOKUP(M$5,NFI,5,0),1,0)*Table_NFI[[#This Row],[Blanket]],Table_NFI[[#This Row],[Blanket]])</f>
        <v>0</v>
      </c>
      <c r="AE412" s="352">
        <f>IF(NFI_Expiration=1,IF($A412&lt;VLOOKUP(N$5,NFI,5,0),1,0)*Table_NFI[[#This Row],[Kitchen Set]],Table_NFI[Kitchen Set])</f>
        <v>0</v>
      </c>
      <c r="AF412" s="352">
        <f>IF(NFI_Expiration=1,IF($A412&lt;VLOOKUP(O$5,NFI,5,0),1,0)*Table_NFI[[#This Row],[Clothes Kit]],Table_NFI[Clothes Kit])</f>
        <v>0</v>
      </c>
      <c r="AG412" s="352">
        <f>IF(NFI_Expiration=1,IF($A412&lt;VLOOKUP(P$5,NFI,5,0),1,0)*Table_NFI[[#This Row],[Plastic Bucket]],Table_NFI[Plastic Bucket])</f>
        <v>0</v>
      </c>
      <c r="AH412" s="352">
        <f>IF(NFI_Expiration=1,IF($A412&lt;VLOOKUP(Q$5,NFI,5,0),1,0)*Table_NFI[[#This Row],[Plastic Mat]],Table_NFI[Plastic Mat])*IF(Table_NFI[[#This Row],[Distribution Date]]&gt;"2014-04-01",1,2.5)</f>
        <v>0</v>
      </c>
      <c r="AI412" s="352">
        <f>IF(NFI_Expiration=1,IF($A412&lt;VLOOKUP(R$5,NFI,5,0),1,0)*Table_NFI[[#This Row],[Winter Clothes Adult]],Table_NFI[Winter Clothes Adult])</f>
        <v>0</v>
      </c>
      <c r="AJ412" s="352">
        <f>IF(NFI_Expiration=1,IF($A412&lt;VLOOKUP(S$5,NFI,5,0),1,0)*Table_NFI[[#This Row],[Winter Clothes Children]],Table_NFI[Winter Clothes Children])</f>
        <v>0</v>
      </c>
      <c r="AK412" s="352">
        <f>IF(NFI_Expiration=1,IF($A412&lt;VLOOKUP(T$5,NFI,5,0),1,0)*Table_NFI[[#This Row],[Winter Items Other]],Table_NFI[Winter Items Other])</f>
        <v>0</v>
      </c>
      <c r="AL412" s="352">
        <f>IF(NFI_Expiration=1,IF($A412&lt;VLOOKUP(M$5,NFI,5,0),1,0)*Table_NFI[[#This Row],[Winter Blanket]],Table_NFI[[#This Row],[Winter Blanket]])</f>
        <v>0</v>
      </c>
      <c r="AM412" s="352">
        <f>IF(Table_NFI[[#This Row],[Winter Clothes Adult]]+Table_NFI[[#This Row],[Winter Clothes Children]]+Table_NFI[[#This Row],[Winter Items Other]]+Table_NFI[[#This Row],[Winter Blanket]]&gt;0,1,0)</f>
        <v>0</v>
      </c>
      <c r="AN412" s="392">
        <f>IF(NFI_Expiration=1,IF($A412&lt;VLOOKUP(V$5,NFI,5,0),1,0)*Table_NFI[[#This Row],[Jerry Can]],Table_NFI[Jerry Can])</f>
        <v>0</v>
      </c>
      <c r="AO412" s="540" t="str">
        <f>IFERROR(VLOOKUP(Table_NFI[[#This Row],[Camp Name]],CL,2,0),"")</f>
        <v>MMR001CMP119</v>
      </c>
      <c r="AP412" s="535">
        <f ca="1">IF(Table_NFI[[#This Row],[Pcode]]="","",IF(OFFSET(CampList[Opening Date],MATCH(Table_NFI[[#This Row],[Pcode]],CampList[CP_Pcode],0)-1,0,1,1)&gt;=NFI_Monitor_Date,1,0))</f>
        <v>0</v>
      </c>
      <c r="AQ412" s="540" t="str">
        <f>IFERROR(VLOOKUP(Table_NFI[[#This Row],[Camp Name]],CL,3,0),"")</f>
        <v>Open</v>
      </c>
      <c r="AR412" s="352" t="str">
        <f ca="1">IF(Table_NFI[[#This Row],[Pcode]]="","",OFFSET(CampList[Priority],MATCH(Table_NFI[[#This Row],[Pcode]],CampList[CP_Pcode],0)-1,0,1,1))</f>
        <v>P2</v>
      </c>
      <c r="AS412" s="351">
        <f>IFERROR(Table_NFI[[#This Row],[Kitchen Set]]/VLOOKUP(Table_NFI[[#This Row],[Camp Name]],CL,4,0),"")</f>
        <v>0</v>
      </c>
      <c r="AT412" s="533" t="s">
        <v>1094</v>
      </c>
      <c r="AU412" s="536"/>
    </row>
    <row r="413" spans="1:47" s="537" customFormat="1" hidden="1" x14ac:dyDescent="0.25">
      <c r="A413" s="355">
        <f t="shared" si="6"/>
        <v>32.466666666666669</v>
      </c>
      <c r="B413" s="532">
        <v>41597</v>
      </c>
      <c r="C413" s="533" t="s">
        <v>907</v>
      </c>
      <c r="D413" s="533" t="s">
        <v>461</v>
      </c>
      <c r="E413" s="533" t="s">
        <v>380</v>
      </c>
      <c r="F413" s="533" t="s">
        <v>310</v>
      </c>
      <c r="G413" s="533" t="s">
        <v>322</v>
      </c>
      <c r="H413" s="349"/>
      <c r="I413" s="349"/>
      <c r="J413" s="349"/>
      <c r="K413" s="349"/>
      <c r="L413" s="350"/>
      <c r="M413" s="350"/>
      <c r="N413" s="350"/>
      <c r="O413" s="350"/>
      <c r="P413" s="352"/>
      <c r="Q413" s="352"/>
      <c r="R413" s="352">
        <v>613</v>
      </c>
      <c r="S413" s="352">
        <v>1226</v>
      </c>
      <c r="T413" s="352">
        <v>3678</v>
      </c>
      <c r="U413" s="352">
        <v>1839</v>
      </c>
      <c r="V413" s="497"/>
      <c r="W413" s="352"/>
      <c r="X413" s="352"/>
      <c r="Y413" s="352">
        <f>IF(NFI_Expiration=1,IF($A413&lt;VLOOKUP(H$5,NFI,5,0),1,0)*Table_NFI[[#This Row],[Hygiene Kit]],Table_NFI[Hygiene Kit])</f>
        <v>0</v>
      </c>
      <c r="Z413" s="352">
        <f>IF(NFI_Expiration=1,IF($A413&lt;VLOOKUP(I$5,NFI,5,0),1,0)*Table_NFI[[#This Row],[NFI Core Kit]],Table_NFI[NFI Core Kit])</f>
        <v>0</v>
      </c>
      <c r="AA413" s="352">
        <f>IF(NFI_Expiration=1,IF($A413&lt;VLOOKUP(J$5,NFI,5,0),1,0)*Table_NFI[[#This Row],[Sanitary Kit]],Table_NFI[Sanitary Kit])</f>
        <v>0</v>
      </c>
      <c r="AB413" s="352">
        <f>IF(NFI_Expiration=1,IF($A413&lt;VLOOKUP(K$5,NFI,5,0),1,0)*Table_NFI[[#This Row],[Mosquito net]],Table_NFI[Mosquito net])</f>
        <v>0</v>
      </c>
      <c r="AC413" s="352">
        <f>IF(NFI_Expiration=1,IF($A413&lt;VLOOKUP(L$5,NFI,5,0),1,0)*Table_NFI[[#This Row],[Tarpaulin]],Table_NFI[[#This Row],[Tarpaulin]])</f>
        <v>0</v>
      </c>
      <c r="AD413" s="352">
        <f>IF(NFI_Expiration=1,IF($A413&lt;VLOOKUP(M$5,NFI,5,0),1,0)*Table_NFI[[#This Row],[Blanket]],Table_NFI[[#This Row],[Blanket]])</f>
        <v>0</v>
      </c>
      <c r="AE413" s="352">
        <f>IF(NFI_Expiration=1,IF($A413&lt;VLOOKUP(N$5,NFI,5,0),1,0)*Table_NFI[[#This Row],[Kitchen Set]],Table_NFI[Kitchen Set])</f>
        <v>0</v>
      </c>
      <c r="AF413" s="352">
        <f>IF(NFI_Expiration=1,IF($A413&lt;VLOOKUP(O$5,NFI,5,0),1,0)*Table_NFI[[#This Row],[Clothes Kit]],Table_NFI[Clothes Kit])</f>
        <v>0</v>
      </c>
      <c r="AG413" s="352">
        <f>IF(NFI_Expiration=1,IF($A413&lt;VLOOKUP(P$5,NFI,5,0),1,0)*Table_NFI[[#This Row],[Plastic Bucket]],Table_NFI[Plastic Bucket])</f>
        <v>0</v>
      </c>
      <c r="AH413" s="352">
        <f>IF(NFI_Expiration=1,IF($A413&lt;VLOOKUP(Q$5,NFI,5,0),1,0)*Table_NFI[[#This Row],[Plastic Mat]],Table_NFI[Plastic Mat])*IF(Table_NFI[[#This Row],[Distribution Date]]&gt;"2014-04-01",1,2.5)</f>
        <v>0</v>
      </c>
      <c r="AI413" s="352">
        <f>IF(NFI_Expiration=1,IF($A413&lt;VLOOKUP(R$5,NFI,5,0),1,0)*Table_NFI[[#This Row],[Winter Clothes Adult]],Table_NFI[Winter Clothes Adult])</f>
        <v>0</v>
      </c>
      <c r="AJ413" s="352">
        <f>IF(NFI_Expiration=1,IF($A413&lt;VLOOKUP(S$5,NFI,5,0),1,0)*Table_NFI[[#This Row],[Winter Clothes Children]],Table_NFI[Winter Clothes Children])</f>
        <v>0</v>
      </c>
      <c r="AK413" s="352">
        <f>IF(NFI_Expiration=1,IF($A413&lt;VLOOKUP(T$5,NFI,5,0),1,0)*Table_NFI[[#This Row],[Winter Items Other]],Table_NFI[Winter Items Other])</f>
        <v>0</v>
      </c>
      <c r="AL413" s="352">
        <f>IF(NFI_Expiration=1,IF($A413&lt;VLOOKUP(M$5,NFI,5,0),1,0)*Table_NFI[[#This Row],[Winter Blanket]],Table_NFI[[#This Row],[Winter Blanket]])</f>
        <v>0</v>
      </c>
      <c r="AM413" s="352">
        <f>IF(Table_NFI[[#This Row],[Winter Clothes Adult]]+Table_NFI[[#This Row],[Winter Clothes Children]]+Table_NFI[[#This Row],[Winter Items Other]]+Table_NFI[[#This Row],[Winter Blanket]]&gt;0,1,0)</f>
        <v>1</v>
      </c>
      <c r="AN413" s="392">
        <f>IF(NFI_Expiration=1,IF($A413&lt;VLOOKUP(V$5,NFI,5,0),1,0)*Table_NFI[[#This Row],[Jerry Can]],Table_NFI[Jerry Can])</f>
        <v>0</v>
      </c>
      <c r="AO413" s="540" t="str">
        <f>IFERROR(VLOOKUP(Table_NFI[[#This Row],[Camp Name]],CL,2,0),"")</f>
        <v>MMR001CMP119</v>
      </c>
      <c r="AP413" s="535">
        <f ca="1">IF(Table_NFI[[#This Row],[Pcode]]="","",IF(OFFSET(CampList[Opening Date],MATCH(Table_NFI[[#This Row],[Pcode]],CampList[CP_Pcode],0)-1,0,1,1)&gt;=NFI_Monitor_Date,1,0))</f>
        <v>0</v>
      </c>
      <c r="AQ413" s="540" t="str">
        <f>IFERROR(VLOOKUP(Table_NFI[[#This Row],[Camp Name]],CL,3,0),"")</f>
        <v>Open</v>
      </c>
      <c r="AR413" s="352" t="str">
        <f ca="1">IF(Table_NFI[[#This Row],[Pcode]]="","",OFFSET(CampList[Priority],MATCH(Table_NFI[[#This Row],[Pcode]],CampList[CP_Pcode],0)-1,0,1,1))</f>
        <v>P2</v>
      </c>
      <c r="AS413" s="351">
        <f>IFERROR(Table_NFI[[#This Row],[Kitchen Set]]/VLOOKUP(Table_NFI[[#This Row],[Camp Name]],CL,4,0),"")</f>
        <v>0</v>
      </c>
      <c r="AT413" s="533"/>
      <c r="AU413" s="536"/>
    </row>
    <row r="414" spans="1:47" s="537" customFormat="1" ht="14.45" customHeight="1" x14ac:dyDescent="0.25">
      <c r="A414" s="355">
        <f t="shared" si="6"/>
        <v>31.5</v>
      </c>
      <c r="B414" s="532">
        <v>41626</v>
      </c>
      <c r="C414" s="533" t="s">
        <v>453</v>
      </c>
      <c r="D414" s="534" t="s">
        <v>453</v>
      </c>
      <c r="E414" s="533" t="s">
        <v>380</v>
      </c>
      <c r="F414" s="348" t="s">
        <v>5</v>
      </c>
      <c r="G414" s="348" t="s">
        <v>12</v>
      </c>
      <c r="H414" s="349"/>
      <c r="I414" s="349"/>
      <c r="J414" s="349"/>
      <c r="K414" s="349"/>
      <c r="L414" s="350">
        <v>4</v>
      </c>
      <c r="M414" s="350"/>
      <c r="N414" s="350"/>
      <c r="O414" s="350"/>
      <c r="P414" s="352"/>
      <c r="Q414" s="352"/>
      <c r="R414" s="352"/>
      <c r="S414" s="352"/>
      <c r="T414" s="352"/>
      <c r="U414" s="352"/>
      <c r="V414" s="497"/>
      <c r="W414" s="352"/>
      <c r="X414" s="352"/>
      <c r="Y414" s="352">
        <f>IF(NFI_Expiration=1,IF($A414&lt;VLOOKUP(H$5,NFI,5,0),1,0)*Table_NFI[[#This Row],[Hygiene Kit]],Table_NFI[Hygiene Kit])</f>
        <v>0</v>
      </c>
      <c r="Z414" s="352">
        <f>IF(NFI_Expiration=1,IF($A414&lt;VLOOKUP(I$5,NFI,5,0),1,0)*Table_NFI[[#This Row],[NFI Core Kit]],Table_NFI[NFI Core Kit])</f>
        <v>0</v>
      </c>
      <c r="AA414" s="352">
        <f>IF(NFI_Expiration=1,IF($A414&lt;VLOOKUP(J$5,NFI,5,0),1,0)*Table_NFI[[#This Row],[Sanitary Kit]],Table_NFI[Sanitary Kit])</f>
        <v>0</v>
      </c>
      <c r="AB414" s="352">
        <f>IF(NFI_Expiration=1,IF($A414&lt;VLOOKUP(K$5,NFI,5,0),1,0)*Table_NFI[[#This Row],[Mosquito net]],Table_NFI[Mosquito net])</f>
        <v>0</v>
      </c>
      <c r="AC414" s="352">
        <f>IF(NFI_Expiration=1,IF($A414&lt;VLOOKUP(L$5,NFI,5,0),1,0)*Table_NFI[[#This Row],[Tarpaulin]],Table_NFI[[#This Row],[Tarpaulin]])</f>
        <v>0</v>
      </c>
      <c r="AD414" s="352">
        <f>IF(NFI_Expiration=1,IF($A414&lt;VLOOKUP(M$5,NFI,5,0),1,0)*Table_NFI[[#This Row],[Blanket]],Table_NFI[[#This Row],[Blanket]])</f>
        <v>0</v>
      </c>
      <c r="AE414" s="352">
        <f>IF(NFI_Expiration=1,IF($A414&lt;VLOOKUP(N$5,NFI,5,0),1,0)*Table_NFI[[#This Row],[Kitchen Set]],Table_NFI[Kitchen Set])</f>
        <v>0</v>
      </c>
      <c r="AF414" s="352">
        <f>IF(NFI_Expiration=1,IF($A414&lt;VLOOKUP(O$5,NFI,5,0),1,0)*Table_NFI[[#This Row],[Clothes Kit]],Table_NFI[Clothes Kit])</f>
        <v>0</v>
      </c>
      <c r="AG414" s="352">
        <f>IF(NFI_Expiration=1,IF($A414&lt;VLOOKUP(P$5,NFI,5,0),1,0)*Table_NFI[[#This Row],[Plastic Bucket]],Table_NFI[Plastic Bucket])</f>
        <v>0</v>
      </c>
      <c r="AH414" s="352">
        <f>IF(NFI_Expiration=1,IF($A414&lt;VLOOKUP(Q$5,NFI,5,0),1,0)*Table_NFI[[#This Row],[Plastic Mat]],Table_NFI[Plastic Mat])*IF(Table_NFI[[#This Row],[Distribution Date]]&gt;"2014-04-01",1,2.5)</f>
        <v>0</v>
      </c>
      <c r="AI414" s="352">
        <f>IF(NFI_Expiration=1,IF($A414&lt;VLOOKUP(R$5,NFI,5,0),1,0)*Table_NFI[[#This Row],[Winter Clothes Adult]],Table_NFI[Winter Clothes Adult])</f>
        <v>0</v>
      </c>
      <c r="AJ414" s="352">
        <f>IF(NFI_Expiration=1,IF($A414&lt;VLOOKUP(S$5,NFI,5,0),1,0)*Table_NFI[[#This Row],[Winter Clothes Children]],Table_NFI[Winter Clothes Children])</f>
        <v>0</v>
      </c>
      <c r="AK414" s="352">
        <f>IF(NFI_Expiration=1,IF($A414&lt;VLOOKUP(T$5,NFI,5,0),1,0)*Table_NFI[[#This Row],[Winter Items Other]],Table_NFI[Winter Items Other])</f>
        <v>0</v>
      </c>
      <c r="AL414" s="352">
        <f>IF(NFI_Expiration=1,IF($A414&lt;VLOOKUP(M$5,NFI,5,0),1,0)*Table_NFI[[#This Row],[Winter Blanket]],Table_NFI[[#This Row],[Winter Blanket]])</f>
        <v>0</v>
      </c>
      <c r="AM414" s="352">
        <f>IF(Table_NFI[[#This Row],[Winter Clothes Adult]]+Table_NFI[[#This Row],[Winter Clothes Children]]+Table_NFI[[#This Row],[Winter Items Other]]+Table_NFI[[#This Row],[Winter Blanket]]&gt;0,1,0)</f>
        <v>0</v>
      </c>
      <c r="AN414" s="392">
        <f>IF(NFI_Expiration=1,IF($A414&lt;VLOOKUP(V$5,NFI,5,0),1,0)*Table_NFI[[#This Row],[Jerry Can]],Table_NFI[Jerry Can])</f>
        <v>0</v>
      </c>
      <c r="AO414" s="540" t="str">
        <f>IFERROR(VLOOKUP(Table_NFI[[#This Row],[Camp Name]],CL,2,0),"")</f>
        <v>MMR001CMP163</v>
      </c>
      <c r="AP414" s="535">
        <f ca="1">IF(Table_NFI[[#This Row],[Pcode]]="","",IF(OFFSET(CampList[Opening Date],MATCH(Table_NFI[[#This Row],[Pcode]],CampList[CP_Pcode],0)-1,0,1,1)&gt;=NFI_Monitor_Date,1,0))</f>
        <v>0</v>
      </c>
      <c r="AQ414" s="540" t="str">
        <f>IFERROR(VLOOKUP(Table_NFI[[#This Row],[Camp Name]],CL,3,0),"")</f>
        <v>Open</v>
      </c>
      <c r="AR414" s="352" t="str">
        <f ca="1">IF(Table_NFI[[#This Row],[Pcode]]="","",OFFSET(CampList[Priority],MATCH(Table_NFI[[#This Row],[Pcode]],CampList[CP_Pcode],0)-1,0,1,1))</f>
        <v>P4</v>
      </c>
      <c r="AS414" s="351">
        <f>IFERROR(Table_NFI[[#This Row],[Kitchen Set]]/VLOOKUP(Table_NFI[[#This Row],[Camp Name]],CL,4,0),"")</f>
        <v>0</v>
      </c>
      <c r="AT414" s="533" t="s">
        <v>1094</v>
      </c>
      <c r="AU414" s="536"/>
    </row>
    <row r="415" spans="1:47" s="537" customFormat="1" ht="14.45" customHeight="1" x14ac:dyDescent="0.25">
      <c r="A415" s="355">
        <f t="shared" si="6"/>
        <v>31.966666666666665</v>
      </c>
      <c r="B415" s="532">
        <v>41612</v>
      </c>
      <c r="C415" s="533" t="s">
        <v>453</v>
      </c>
      <c r="D415" s="534" t="s">
        <v>453</v>
      </c>
      <c r="E415" s="533" t="s">
        <v>380</v>
      </c>
      <c r="F415" s="348" t="s">
        <v>5</v>
      </c>
      <c r="G415" s="348" t="s">
        <v>513</v>
      </c>
      <c r="H415" s="349"/>
      <c r="I415" s="349"/>
      <c r="J415" s="349"/>
      <c r="K415" s="349"/>
      <c r="L415" s="350"/>
      <c r="M415" s="350">
        <v>10</v>
      </c>
      <c r="N415" s="350">
        <v>5</v>
      </c>
      <c r="O415" s="350">
        <v>5</v>
      </c>
      <c r="P415" s="352"/>
      <c r="Q415" s="352"/>
      <c r="R415" s="352"/>
      <c r="S415" s="352"/>
      <c r="T415" s="352"/>
      <c r="U415" s="352"/>
      <c r="V415" s="497"/>
      <c r="W415" s="352"/>
      <c r="X415" s="352"/>
      <c r="Y415" s="352">
        <f>IF(NFI_Expiration=1,IF($A415&lt;VLOOKUP(H$5,NFI,5,0),1,0)*Table_NFI[[#This Row],[Hygiene Kit]],Table_NFI[Hygiene Kit])</f>
        <v>0</v>
      </c>
      <c r="Z415" s="352">
        <f>IF(NFI_Expiration=1,IF($A415&lt;VLOOKUP(I$5,NFI,5,0),1,0)*Table_NFI[[#This Row],[NFI Core Kit]],Table_NFI[NFI Core Kit])</f>
        <v>0</v>
      </c>
      <c r="AA415" s="352">
        <f>IF(NFI_Expiration=1,IF($A415&lt;VLOOKUP(J$5,NFI,5,0),1,0)*Table_NFI[[#This Row],[Sanitary Kit]],Table_NFI[Sanitary Kit])</f>
        <v>0</v>
      </c>
      <c r="AB415" s="352">
        <f>IF(NFI_Expiration=1,IF($A415&lt;VLOOKUP(K$5,NFI,5,0),1,0)*Table_NFI[[#This Row],[Mosquito net]],Table_NFI[Mosquito net])</f>
        <v>0</v>
      </c>
      <c r="AC415" s="352">
        <f>IF(NFI_Expiration=1,IF($A415&lt;VLOOKUP(L$5,NFI,5,0),1,0)*Table_NFI[[#This Row],[Tarpaulin]],Table_NFI[[#This Row],[Tarpaulin]])</f>
        <v>0</v>
      </c>
      <c r="AD415" s="352">
        <f>IF(NFI_Expiration=1,IF($A415&lt;VLOOKUP(M$5,NFI,5,0),1,0)*Table_NFI[[#This Row],[Blanket]],Table_NFI[[#This Row],[Blanket]])</f>
        <v>0</v>
      </c>
      <c r="AE415" s="352">
        <f>IF(NFI_Expiration=1,IF($A415&lt;VLOOKUP(N$5,NFI,5,0),1,0)*Table_NFI[[#This Row],[Kitchen Set]],Table_NFI[Kitchen Set])</f>
        <v>0</v>
      </c>
      <c r="AF415" s="352">
        <f>IF(NFI_Expiration=1,IF($A415&lt;VLOOKUP(O$5,NFI,5,0),1,0)*Table_NFI[[#This Row],[Clothes Kit]],Table_NFI[Clothes Kit])</f>
        <v>0</v>
      </c>
      <c r="AG415" s="352">
        <f>IF(NFI_Expiration=1,IF($A415&lt;VLOOKUP(P$5,NFI,5,0),1,0)*Table_NFI[[#This Row],[Plastic Bucket]],Table_NFI[Plastic Bucket])</f>
        <v>0</v>
      </c>
      <c r="AH415" s="352">
        <f>IF(NFI_Expiration=1,IF($A415&lt;VLOOKUP(Q$5,NFI,5,0),1,0)*Table_NFI[[#This Row],[Plastic Mat]],Table_NFI[Plastic Mat])*IF(Table_NFI[[#This Row],[Distribution Date]]&gt;"2014-04-01",1,2.5)</f>
        <v>0</v>
      </c>
      <c r="AI415" s="352">
        <f>IF(NFI_Expiration=1,IF($A415&lt;VLOOKUP(R$5,NFI,5,0),1,0)*Table_NFI[[#This Row],[Winter Clothes Adult]],Table_NFI[Winter Clothes Adult])</f>
        <v>0</v>
      </c>
      <c r="AJ415" s="352">
        <f>IF(NFI_Expiration=1,IF($A415&lt;VLOOKUP(S$5,NFI,5,0),1,0)*Table_NFI[[#This Row],[Winter Clothes Children]],Table_NFI[Winter Clothes Children])</f>
        <v>0</v>
      </c>
      <c r="AK415" s="352">
        <f>IF(NFI_Expiration=1,IF($A415&lt;VLOOKUP(T$5,NFI,5,0),1,0)*Table_NFI[[#This Row],[Winter Items Other]],Table_NFI[Winter Items Other])</f>
        <v>0</v>
      </c>
      <c r="AL415" s="352">
        <f>IF(NFI_Expiration=1,IF($A415&lt;VLOOKUP(M$5,NFI,5,0),1,0)*Table_NFI[[#This Row],[Winter Blanket]],Table_NFI[[#This Row],[Winter Blanket]])</f>
        <v>0</v>
      </c>
      <c r="AM415" s="352">
        <f>IF(Table_NFI[[#This Row],[Winter Clothes Adult]]+Table_NFI[[#This Row],[Winter Clothes Children]]+Table_NFI[[#This Row],[Winter Items Other]]+Table_NFI[[#This Row],[Winter Blanket]]&gt;0,1,0)</f>
        <v>0</v>
      </c>
      <c r="AN415" s="392">
        <f>IF(NFI_Expiration=1,IF($A415&lt;VLOOKUP(V$5,NFI,5,0),1,0)*Table_NFI[[#This Row],[Jerry Can]],Table_NFI[Jerry Can])</f>
        <v>0</v>
      </c>
      <c r="AO415" s="540" t="str">
        <f>IFERROR(VLOOKUP(Table_NFI[[#This Row],[Camp Name]],CL,2,0),"")</f>
        <v>MMR001CMP194</v>
      </c>
      <c r="AP415" s="535">
        <f ca="1">IF(Table_NFI[[#This Row],[Pcode]]="","",IF(OFFSET(CampList[Opening Date],MATCH(Table_NFI[[#This Row],[Pcode]],CampList[CP_Pcode],0)-1,0,1,1)&gt;=NFI_Monitor_Date,1,0))</f>
        <v>0</v>
      </c>
      <c r="AQ415" s="540" t="str">
        <f>IFERROR(VLOOKUP(Table_NFI[[#This Row],[Camp Name]],CL,3,0),"")</f>
        <v>Open</v>
      </c>
      <c r="AR415" s="352" t="str">
        <f ca="1">IF(Table_NFI[[#This Row],[Pcode]]="","",OFFSET(CampList[Priority],MATCH(Table_NFI[[#This Row],[Pcode]],CampList[CP_Pcode],0)-1,0,1,1))</f>
        <v>P4</v>
      </c>
      <c r="AS415" s="351">
        <f>IFERROR(Table_NFI[[#This Row],[Kitchen Set]]/VLOOKUP(Table_NFI[[#This Row],[Camp Name]],CL,4,0),"")</f>
        <v>0.41666666666666669</v>
      </c>
      <c r="AT415" s="533" t="s">
        <v>1094</v>
      </c>
      <c r="AU415" s="536"/>
    </row>
    <row r="416" spans="1:47" s="537" customFormat="1" ht="14.45" customHeight="1" x14ac:dyDescent="0.25">
      <c r="A416" s="355">
        <f t="shared" si="6"/>
        <v>31.966666666666665</v>
      </c>
      <c r="B416" s="532">
        <v>41612</v>
      </c>
      <c r="C416" s="533" t="s">
        <v>453</v>
      </c>
      <c r="D416" s="534" t="s">
        <v>453</v>
      </c>
      <c r="E416" s="533" t="s">
        <v>380</v>
      </c>
      <c r="F416" s="348" t="s">
        <v>5</v>
      </c>
      <c r="G416" s="348" t="s">
        <v>22</v>
      </c>
      <c r="H416" s="349"/>
      <c r="I416" s="349"/>
      <c r="J416" s="349"/>
      <c r="K416" s="349"/>
      <c r="L416" s="350"/>
      <c r="M416" s="350">
        <v>120</v>
      </c>
      <c r="N416" s="350"/>
      <c r="O416" s="350"/>
      <c r="P416" s="352"/>
      <c r="Q416" s="352"/>
      <c r="R416" s="352"/>
      <c r="S416" s="352"/>
      <c r="T416" s="352"/>
      <c r="U416" s="352"/>
      <c r="V416" s="497"/>
      <c r="W416" s="352"/>
      <c r="X416" s="352"/>
      <c r="Y416" s="352">
        <f>IF(NFI_Expiration=1,IF($A416&lt;VLOOKUP(H$5,NFI,5,0),1,0)*Table_NFI[[#This Row],[Hygiene Kit]],Table_NFI[Hygiene Kit])</f>
        <v>0</v>
      </c>
      <c r="Z416" s="352">
        <f>IF(NFI_Expiration=1,IF($A416&lt;VLOOKUP(I$5,NFI,5,0),1,0)*Table_NFI[[#This Row],[NFI Core Kit]],Table_NFI[NFI Core Kit])</f>
        <v>0</v>
      </c>
      <c r="AA416" s="352">
        <f>IF(NFI_Expiration=1,IF($A416&lt;VLOOKUP(J$5,NFI,5,0),1,0)*Table_NFI[[#This Row],[Sanitary Kit]],Table_NFI[Sanitary Kit])</f>
        <v>0</v>
      </c>
      <c r="AB416" s="352">
        <f>IF(NFI_Expiration=1,IF($A416&lt;VLOOKUP(K$5,NFI,5,0),1,0)*Table_NFI[[#This Row],[Mosquito net]],Table_NFI[Mosquito net])</f>
        <v>0</v>
      </c>
      <c r="AC416" s="352">
        <f>IF(NFI_Expiration=1,IF($A416&lt;VLOOKUP(L$5,NFI,5,0),1,0)*Table_NFI[[#This Row],[Tarpaulin]],Table_NFI[[#This Row],[Tarpaulin]])</f>
        <v>0</v>
      </c>
      <c r="AD416" s="352">
        <f>IF(NFI_Expiration=1,IF($A416&lt;VLOOKUP(M$5,NFI,5,0),1,0)*Table_NFI[[#This Row],[Blanket]],Table_NFI[[#This Row],[Blanket]])</f>
        <v>0</v>
      </c>
      <c r="AE416" s="352">
        <f>IF(NFI_Expiration=1,IF($A416&lt;VLOOKUP(N$5,NFI,5,0),1,0)*Table_NFI[[#This Row],[Kitchen Set]],Table_NFI[Kitchen Set])</f>
        <v>0</v>
      </c>
      <c r="AF416" s="352">
        <f>IF(NFI_Expiration=1,IF($A416&lt;VLOOKUP(O$5,NFI,5,0),1,0)*Table_NFI[[#This Row],[Clothes Kit]],Table_NFI[Clothes Kit])</f>
        <v>0</v>
      </c>
      <c r="AG416" s="352">
        <f>IF(NFI_Expiration=1,IF($A416&lt;VLOOKUP(P$5,NFI,5,0),1,0)*Table_NFI[[#This Row],[Plastic Bucket]],Table_NFI[Plastic Bucket])</f>
        <v>0</v>
      </c>
      <c r="AH416" s="352">
        <f>IF(NFI_Expiration=1,IF($A416&lt;VLOOKUP(Q$5,NFI,5,0),1,0)*Table_NFI[[#This Row],[Plastic Mat]],Table_NFI[Plastic Mat])*IF(Table_NFI[[#This Row],[Distribution Date]]&gt;"2014-04-01",1,2.5)</f>
        <v>0</v>
      </c>
      <c r="AI416" s="352">
        <f>IF(NFI_Expiration=1,IF($A416&lt;VLOOKUP(R$5,NFI,5,0),1,0)*Table_NFI[[#This Row],[Winter Clothes Adult]],Table_NFI[Winter Clothes Adult])</f>
        <v>0</v>
      </c>
      <c r="AJ416" s="352">
        <f>IF(NFI_Expiration=1,IF($A416&lt;VLOOKUP(S$5,NFI,5,0),1,0)*Table_NFI[[#This Row],[Winter Clothes Children]],Table_NFI[Winter Clothes Children])</f>
        <v>0</v>
      </c>
      <c r="AK416" s="352">
        <f>IF(NFI_Expiration=1,IF($A416&lt;VLOOKUP(T$5,NFI,5,0),1,0)*Table_NFI[[#This Row],[Winter Items Other]],Table_NFI[Winter Items Other])</f>
        <v>0</v>
      </c>
      <c r="AL416" s="352">
        <f>IF(NFI_Expiration=1,IF($A416&lt;VLOOKUP(M$5,NFI,5,0),1,0)*Table_NFI[[#This Row],[Winter Blanket]],Table_NFI[[#This Row],[Winter Blanket]])</f>
        <v>0</v>
      </c>
      <c r="AM416" s="352">
        <f>IF(Table_NFI[[#This Row],[Winter Clothes Adult]]+Table_NFI[[#This Row],[Winter Clothes Children]]+Table_NFI[[#This Row],[Winter Items Other]]+Table_NFI[[#This Row],[Winter Blanket]]&gt;0,1,0)</f>
        <v>0</v>
      </c>
      <c r="AN416" s="392">
        <f>IF(NFI_Expiration=1,IF($A416&lt;VLOOKUP(V$5,NFI,5,0),1,0)*Table_NFI[[#This Row],[Jerry Can]],Table_NFI[Jerry Can])</f>
        <v>0</v>
      </c>
      <c r="AO416" s="540" t="str">
        <f>IFERROR(VLOOKUP(Table_NFI[[#This Row],[Camp Name]],CL,2,0),"")</f>
        <v>MMR001CMP047</v>
      </c>
      <c r="AP416" s="535">
        <f ca="1">IF(Table_NFI[[#This Row],[Pcode]]="","",IF(OFFSET(CampList[Opening Date],MATCH(Table_NFI[[#This Row],[Pcode]],CampList[CP_Pcode],0)-1,0,1,1)&gt;=NFI_Monitor_Date,1,0))</f>
        <v>0</v>
      </c>
      <c r="AQ416" s="540" t="str">
        <f>IFERROR(VLOOKUP(Table_NFI[[#This Row],[Camp Name]],CL,3,0),"")</f>
        <v>Open</v>
      </c>
      <c r="AR416" s="352" t="str">
        <f ca="1">IF(Table_NFI[[#This Row],[Pcode]]="","",OFFSET(CampList[Priority],MATCH(Table_NFI[[#This Row],[Pcode]],CampList[CP_Pcode],0)-1,0,1,1))</f>
        <v>P4</v>
      </c>
      <c r="AS416" s="351">
        <f>IFERROR(Table_NFI[[#This Row],[Kitchen Set]]/VLOOKUP(Table_NFI[[#This Row],[Camp Name]],CL,4,0),"")</f>
        <v>0</v>
      </c>
      <c r="AT416" s="533" t="s">
        <v>1094</v>
      </c>
      <c r="AU416" s="536"/>
    </row>
    <row r="417" spans="1:47" s="537" customFormat="1" ht="14.45" customHeight="1" x14ac:dyDescent="0.25">
      <c r="A417" s="355">
        <f t="shared" si="6"/>
        <v>31.966666666666665</v>
      </c>
      <c r="B417" s="532">
        <v>41612</v>
      </c>
      <c r="C417" s="533" t="s">
        <v>453</v>
      </c>
      <c r="D417" s="534" t="s">
        <v>453</v>
      </c>
      <c r="E417" s="533" t="s">
        <v>380</v>
      </c>
      <c r="F417" s="348" t="s">
        <v>5</v>
      </c>
      <c r="G417" s="348" t="s">
        <v>22</v>
      </c>
      <c r="H417" s="349"/>
      <c r="I417" s="349"/>
      <c r="J417" s="349"/>
      <c r="K417" s="349"/>
      <c r="L417" s="350">
        <v>5</v>
      </c>
      <c r="M417" s="350"/>
      <c r="N417" s="350"/>
      <c r="O417" s="350"/>
      <c r="P417" s="352"/>
      <c r="Q417" s="352"/>
      <c r="R417" s="352"/>
      <c r="S417" s="352"/>
      <c r="T417" s="352"/>
      <c r="U417" s="352"/>
      <c r="V417" s="497"/>
      <c r="W417" s="352"/>
      <c r="X417" s="352"/>
      <c r="Y417" s="352">
        <f>IF(NFI_Expiration=1,IF($A417&lt;VLOOKUP(H$5,NFI,5,0),1,0)*Table_NFI[[#This Row],[Hygiene Kit]],Table_NFI[Hygiene Kit])</f>
        <v>0</v>
      </c>
      <c r="Z417" s="352">
        <f>IF(NFI_Expiration=1,IF($A417&lt;VLOOKUP(I$5,NFI,5,0),1,0)*Table_NFI[[#This Row],[NFI Core Kit]],Table_NFI[NFI Core Kit])</f>
        <v>0</v>
      </c>
      <c r="AA417" s="352">
        <f>IF(NFI_Expiration=1,IF($A417&lt;VLOOKUP(J$5,NFI,5,0),1,0)*Table_NFI[[#This Row],[Sanitary Kit]],Table_NFI[Sanitary Kit])</f>
        <v>0</v>
      </c>
      <c r="AB417" s="352">
        <f>IF(NFI_Expiration=1,IF($A417&lt;VLOOKUP(K$5,NFI,5,0),1,0)*Table_NFI[[#This Row],[Mosquito net]],Table_NFI[Mosquito net])</f>
        <v>0</v>
      </c>
      <c r="AC417" s="352">
        <f>IF(NFI_Expiration=1,IF($A417&lt;VLOOKUP(L$5,NFI,5,0),1,0)*Table_NFI[[#This Row],[Tarpaulin]],Table_NFI[[#This Row],[Tarpaulin]])</f>
        <v>0</v>
      </c>
      <c r="AD417" s="352">
        <f>IF(NFI_Expiration=1,IF($A417&lt;VLOOKUP(M$5,NFI,5,0),1,0)*Table_NFI[[#This Row],[Blanket]],Table_NFI[[#This Row],[Blanket]])</f>
        <v>0</v>
      </c>
      <c r="AE417" s="352">
        <f>IF(NFI_Expiration=1,IF($A417&lt;VLOOKUP(N$5,NFI,5,0),1,0)*Table_NFI[[#This Row],[Kitchen Set]],Table_NFI[Kitchen Set])</f>
        <v>0</v>
      </c>
      <c r="AF417" s="352">
        <f>IF(NFI_Expiration=1,IF($A417&lt;VLOOKUP(O$5,NFI,5,0),1,0)*Table_NFI[[#This Row],[Clothes Kit]],Table_NFI[Clothes Kit])</f>
        <v>0</v>
      </c>
      <c r="AG417" s="352">
        <f>IF(NFI_Expiration=1,IF($A417&lt;VLOOKUP(P$5,NFI,5,0),1,0)*Table_NFI[[#This Row],[Plastic Bucket]],Table_NFI[Plastic Bucket])</f>
        <v>0</v>
      </c>
      <c r="AH417" s="352">
        <f>IF(NFI_Expiration=1,IF($A417&lt;VLOOKUP(Q$5,NFI,5,0),1,0)*Table_NFI[[#This Row],[Plastic Mat]],Table_NFI[Plastic Mat])*IF(Table_NFI[[#This Row],[Distribution Date]]&gt;"2014-04-01",1,2.5)</f>
        <v>0</v>
      </c>
      <c r="AI417" s="352">
        <f>IF(NFI_Expiration=1,IF($A417&lt;VLOOKUP(R$5,NFI,5,0),1,0)*Table_NFI[[#This Row],[Winter Clothes Adult]],Table_NFI[Winter Clothes Adult])</f>
        <v>0</v>
      </c>
      <c r="AJ417" s="352">
        <f>IF(NFI_Expiration=1,IF($A417&lt;VLOOKUP(S$5,NFI,5,0),1,0)*Table_NFI[[#This Row],[Winter Clothes Children]],Table_NFI[Winter Clothes Children])</f>
        <v>0</v>
      </c>
      <c r="AK417" s="352">
        <f>IF(NFI_Expiration=1,IF($A417&lt;VLOOKUP(T$5,NFI,5,0),1,0)*Table_NFI[[#This Row],[Winter Items Other]],Table_NFI[Winter Items Other])</f>
        <v>0</v>
      </c>
      <c r="AL417" s="352">
        <f>IF(NFI_Expiration=1,IF($A417&lt;VLOOKUP(M$5,NFI,5,0),1,0)*Table_NFI[[#This Row],[Winter Blanket]],Table_NFI[[#This Row],[Winter Blanket]])</f>
        <v>0</v>
      </c>
      <c r="AM417" s="352">
        <f>IF(Table_NFI[[#This Row],[Winter Clothes Adult]]+Table_NFI[[#This Row],[Winter Clothes Children]]+Table_NFI[[#This Row],[Winter Items Other]]+Table_NFI[[#This Row],[Winter Blanket]]&gt;0,1,0)</f>
        <v>0</v>
      </c>
      <c r="AN417" s="392">
        <f>IF(NFI_Expiration=1,IF($A417&lt;VLOOKUP(V$5,NFI,5,0),1,0)*Table_NFI[[#This Row],[Jerry Can]],Table_NFI[Jerry Can])</f>
        <v>0</v>
      </c>
      <c r="AO417" s="540" t="str">
        <f>IFERROR(VLOOKUP(Table_NFI[[#This Row],[Camp Name]],CL,2,0),"")</f>
        <v>MMR001CMP047</v>
      </c>
      <c r="AP417" s="535">
        <f ca="1">IF(Table_NFI[[#This Row],[Pcode]]="","",IF(OFFSET(CampList[Opening Date],MATCH(Table_NFI[[#This Row],[Pcode]],CampList[CP_Pcode],0)-1,0,1,1)&gt;=NFI_Monitor_Date,1,0))</f>
        <v>0</v>
      </c>
      <c r="AQ417" s="540" t="str">
        <f>IFERROR(VLOOKUP(Table_NFI[[#This Row],[Camp Name]],CL,3,0),"")</f>
        <v>Open</v>
      </c>
      <c r="AR417" s="352" t="str">
        <f ca="1">IF(Table_NFI[[#This Row],[Pcode]]="","",OFFSET(CampList[Priority],MATCH(Table_NFI[[#This Row],[Pcode]],CampList[CP_Pcode],0)-1,0,1,1))</f>
        <v>P4</v>
      </c>
      <c r="AS417" s="351">
        <f>IFERROR(Table_NFI[[#This Row],[Kitchen Set]]/VLOOKUP(Table_NFI[[#This Row],[Camp Name]],CL,4,0),"")</f>
        <v>0</v>
      </c>
      <c r="AT417" s="533" t="s">
        <v>1094</v>
      </c>
      <c r="AU417" s="536"/>
    </row>
    <row r="418" spans="1:47" s="537" customFormat="1" ht="14.45" customHeight="1" x14ac:dyDescent="0.25">
      <c r="A418" s="355">
        <f t="shared" si="6"/>
        <v>32</v>
      </c>
      <c r="B418" s="532">
        <v>41611</v>
      </c>
      <c r="C418" s="533" t="s">
        <v>453</v>
      </c>
      <c r="D418" s="534" t="s">
        <v>453</v>
      </c>
      <c r="E418" s="533" t="s">
        <v>380</v>
      </c>
      <c r="F418" s="348" t="s">
        <v>185</v>
      </c>
      <c r="G418" s="348" t="s">
        <v>209</v>
      </c>
      <c r="H418" s="349"/>
      <c r="I418" s="349"/>
      <c r="J418" s="349"/>
      <c r="K418" s="349">
        <v>25</v>
      </c>
      <c r="L418" s="350">
        <v>13</v>
      </c>
      <c r="M418" s="350">
        <v>25</v>
      </c>
      <c r="N418" s="350">
        <v>13</v>
      </c>
      <c r="O418" s="350">
        <v>13</v>
      </c>
      <c r="P418" s="352"/>
      <c r="Q418" s="352"/>
      <c r="R418" s="352"/>
      <c r="S418" s="352"/>
      <c r="T418" s="352"/>
      <c r="U418" s="352"/>
      <c r="V418" s="497"/>
      <c r="W418" s="352"/>
      <c r="X418" s="352"/>
      <c r="Y418" s="352">
        <f>IF(NFI_Expiration=1,IF($A418&lt;VLOOKUP(H$5,NFI,5,0),1,0)*Table_NFI[[#This Row],[Hygiene Kit]],Table_NFI[Hygiene Kit])</f>
        <v>0</v>
      </c>
      <c r="Z418" s="352">
        <f>IF(NFI_Expiration=1,IF($A418&lt;VLOOKUP(I$5,NFI,5,0),1,0)*Table_NFI[[#This Row],[NFI Core Kit]],Table_NFI[NFI Core Kit])</f>
        <v>0</v>
      </c>
      <c r="AA418" s="352">
        <f>IF(NFI_Expiration=1,IF($A418&lt;VLOOKUP(J$5,NFI,5,0),1,0)*Table_NFI[[#This Row],[Sanitary Kit]],Table_NFI[Sanitary Kit])</f>
        <v>0</v>
      </c>
      <c r="AB418" s="352">
        <f>IF(NFI_Expiration=1,IF($A418&lt;VLOOKUP(K$5,NFI,5,0),1,0)*Table_NFI[[#This Row],[Mosquito net]],Table_NFI[Mosquito net])</f>
        <v>0</v>
      </c>
      <c r="AC418" s="352">
        <f>IF(NFI_Expiration=1,IF($A418&lt;VLOOKUP(L$5,NFI,5,0),1,0)*Table_NFI[[#This Row],[Tarpaulin]],Table_NFI[[#This Row],[Tarpaulin]])</f>
        <v>0</v>
      </c>
      <c r="AD418" s="352">
        <f>IF(NFI_Expiration=1,IF($A418&lt;VLOOKUP(M$5,NFI,5,0),1,0)*Table_NFI[[#This Row],[Blanket]],Table_NFI[[#This Row],[Blanket]])</f>
        <v>0</v>
      </c>
      <c r="AE418" s="352">
        <f>IF(NFI_Expiration=1,IF($A418&lt;VLOOKUP(N$5,NFI,5,0),1,0)*Table_NFI[[#This Row],[Kitchen Set]],Table_NFI[Kitchen Set])</f>
        <v>0</v>
      </c>
      <c r="AF418" s="352">
        <f>IF(NFI_Expiration=1,IF($A418&lt;VLOOKUP(O$5,NFI,5,0),1,0)*Table_NFI[[#This Row],[Clothes Kit]],Table_NFI[Clothes Kit])</f>
        <v>0</v>
      </c>
      <c r="AG418" s="352">
        <f>IF(NFI_Expiration=1,IF($A418&lt;VLOOKUP(P$5,NFI,5,0),1,0)*Table_NFI[[#This Row],[Plastic Bucket]],Table_NFI[Plastic Bucket])</f>
        <v>0</v>
      </c>
      <c r="AH418" s="352">
        <f>IF(NFI_Expiration=1,IF($A418&lt;VLOOKUP(Q$5,NFI,5,0),1,0)*Table_NFI[[#This Row],[Plastic Mat]],Table_NFI[Plastic Mat])*IF(Table_NFI[[#This Row],[Distribution Date]]&gt;"2014-04-01",1,2.5)</f>
        <v>0</v>
      </c>
      <c r="AI418" s="352">
        <f>IF(NFI_Expiration=1,IF($A418&lt;VLOOKUP(R$5,NFI,5,0),1,0)*Table_NFI[[#This Row],[Winter Clothes Adult]],Table_NFI[Winter Clothes Adult])</f>
        <v>0</v>
      </c>
      <c r="AJ418" s="352">
        <f>IF(NFI_Expiration=1,IF($A418&lt;VLOOKUP(S$5,NFI,5,0),1,0)*Table_NFI[[#This Row],[Winter Clothes Children]],Table_NFI[Winter Clothes Children])</f>
        <v>0</v>
      </c>
      <c r="AK418" s="352">
        <f>IF(NFI_Expiration=1,IF($A418&lt;VLOOKUP(T$5,NFI,5,0),1,0)*Table_NFI[[#This Row],[Winter Items Other]],Table_NFI[Winter Items Other])</f>
        <v>0</v>
      </c>
      <c r="AL418" s="352">
        <f>IF(NFI_Expiration=1,IF($A418&lt;VLOOKUP(M$5,NFI,5,0),1,0)*Table_NFI[[#This Row],[Winter Blanket]],Table_NFI[[#This Row],[Winter Blanket]])</f>
        <v>0</v>
      </c>
      <c r="AM418" s="352">
        <f>IF(Table_NFI[[#This Row],[Winter Clothes Adult]]+Table_NFI[[#This Row],[Winter Clothes Children]]+Table_NFI[[#This Row],[Winter Items Other]]+Table_NFI[[#This Row],[Winter Blanket]]&gt;0,1,0)</f>
        <v>0</v>
      </c>
      <c r="AN418" s="392">
        <f>IF(NFI_Expiration=1,IF($A418&lt;VLOOKUP(V$5,NFI,5,0),1,0)*Table_NFI[[#This Row],[Jerry Can]],Table_NFI[Jerry Can])</f>
        <v>0</v>
      </c>
      <c r="AO418" s="540" t="str">
        <f>IFERROR(VLOOKUP(Table_NFI[[#This Row],[Camp Name]],CL,2,0),"")</f>
        <v>MMR001CMP056</v>
      </c>
      <c r="AP418" s="535">
        <f ca="1">IF(Table_NFI[[#This Row],[Pcode]]="","",IF(OFFSET(CampList[Opening Date],MATCH(Table_NFI[[#This Row],[Pcode]],CampList[CP_Pcode],0)-1,0,1,1)&gt;=NFI_Monitor_Date,1,0))</f>
        <v>0</v>
      </c>
      <c r="AQ418" s="540" t="str">
        <f>IFERROR(VLOOKUP(Table_NFI[[#This Row],[Camp Name]],CL,3,0),"")</f>
        <v>Open</v>
      </c>
      <c r="AR418" s="352" t="str">
        <f ca="1">IF(Table_NFI[[#This Row],[Pcode]]="","",OFFSET(CampList[Priority],MATCH(Table_NFI[[#This Row],[Pcode]],CampList[CP_Pcode],0)-1,0,1,1))</f>
        <v>P4</v>
      </c>
      <c r="AS418" s="351">
        <f>IFERROR(Table_NFI[[#This Row],[Kitchen Set]]/VLOOKUP(Table_NFI[[#This Row],[Camp Name]],CL,4,0),"")</f>
        <v>5.7522123893805309E-2</v>
      </c>
      <c r="AT418" s="533" t="s">
        <v>1094</v>
      </c>
      <c r="AU418" s="536"/>
    </row>
    <row r="419" spans="1:47" s="537" customFormat="1" ht="14.45" customHeight="1" x14ac:dyDescent="0.25">
      <c r="A419" s="355">
        <f t="shared" si="6"/>
        <v>32.06666666666667</v>
      </c>
      <c r="B419" s="532">
        <v>41609</v>
      </c>
      <c r="C419" s="533" t="s">
        <v>453</v>
      </c>
      <c r="D419" s="534" t="s">
        <v>453</v>
      </c>
      <c r="E419" s="533" t="s">
        <v>380</v>
      </c>
      <c r="F419" s="348" t="s">
        <v>5</v>
      </c>
      <c r="G419" s="348" t="s">
        <v>22</v>
      </c>
      <c r="H419" s="349"/>
      <c r="I419" s="349"/>
      <c r="J419" s="349"/>
      <c r="K419" s="349"/>
      <c r="L419" s="350"/>
      <c r="M419" s="350">
        <v>30</v>
      </c>
      <c r="N419" s="350"/>
      <c r="O419" s="350"/>
      <c r="P419" s="352"/>
      <c r="Q419" s="352"/>
      <c r="R419" s="352"/>
      <c r="S419" s="352"/>
      <c r="T419" s="352"/>
      <c r="U419" s="352"/>
      <c r="V419" s="497"/>
      <c r="W419" s="352"/>
      <c r="X419" s="352"/>
      <c r="Y419" s="352">
        <f>IF(NFI_Expiration=1,IF($A419&lt;VLOOKUP(H$5,NFI,5,0),1,0)*Table_NFI[[#This Row],[Hygiene Kit]],Table_NFI[Hygiene Kit])</f>
        <v>0</v>
      </c>
      <c r="Z419" s="352">
        <f>IF(NFI_Expiration=1,IF($A419&lt;VLOOKUP(I$5,NFI,5,0),1,0)*Table_NFI[[#This Row],[NFI Core Kit]],Table_NFI[NFI Core Kit])</f>
        <v>0</v>
      </c>
      <c r="AA419" s="352">
        <f>IF(NFI_Expiration=1,IF($A419&lt;VLOOKUP(J$5,NFI,5,0),1,0)*Table_NFI[[#This Row],[Sanitary Kit]],Table_NFI[Sanitary Kit])</f>
        <v>0</v>
      </c>
      <c r="AB419" s="352">
        <f>IF(NFI_Expiration=1,IF($A419&lt;VLOOKUP(K$5,NFI,5,0),1,0)*Table_NFI[[#This Row],[Mosquito net]],Table_NFI[Mosquito net])</f>
        <v>0</v>
      </c>
      <c r="AC419" s="352">
        <f>IF(NFI_Expiration=1,IF($A419&lt;VLOOKUP(L$5,NFI,5,0),1,0)*Table_NFI[[#This Row],[Tarpaulin]],Table_NFI[[#This Row],[Tarpaulin]])</f>
        <v>0</v>
      </c>
      <c r="AD419" s="352">
        <f>IF(NFI_Expiration=1,IF($A419&lt;VLOOKUP(M$5,NFI,5,0),1,0)*Table_NFI[[#This Row],[Blanket]],Table_NFI[[#This Row],[Blanket]])</f>
        <v>0</v>
      </c>
      <c r="AE419" s="352">
        <f>IF(NFI_Expiration=1,IF($A419&lt;VLOOKUP(N$5,NFI,5,0),1,0)*Table_NFI[[#This Row],[Kitchen Set]],Table_NFI[Kitchen Set])</f>
        <v>0</v>
      </c>
      <c r="AF419" s="352">
        <f>IF(NFI_Expiration=1,IF($A419&lt;VLOOKUP(O$5,NFI,5,0),1,0)*Table_NFI[[#This Row],[Clothes Kit]],Table_NFI[Clothes Kit])</f>
        <v>0</v>
      </c>
      <c r="AG419" s="352">
        <f>IF(NFI_Expiration=1,IF($A419&lt;VLOOKUP(P$5,NFI,5,0),1,0)*Table_NFI[[#This Row],[Plastic Bucket]],Table_NFI[Plastic Bucket])</f>
        <v>0</v>
      </c>
      <c r="AH419" s="352">
        <f>IF(NFI_Expiration=1,IF($A419&lt;VLOOKUP(Q$5,NFI,5,0),1,0)*Table_NFI[[#This Row],[Plastic Mat]],Table_NFI[Plastic Mat])*IF(Table_NFI[[#This Row],[Distribution Date]]&gt;"2014-04-01",1,2.5)</f>
        <v>0</v>
      </c>
      <c r="AI419" s="352">
        <f>IF(NFI_Expiration=1,IF($A419&lt;VLOOKUP(R$5,NFI,5,0),1,0)*Table_NFI[[#This Row],[Winter Clothes Adult]],Table_NFI[Winter Clothes Adult])</f>
        <v>0</v>
      </c>
      <c r="AJ419" s="352">
        <f>IF(NFI_Expiration=1,IF($A419&lt;VLOOKUP(S$5,NFI,5,0),1,0)*Table_NFI[[#This Row],[Winter Clothes Children]],Table_NFI[Winter Clothes Children])</f>
        <v>0</v>
      </c>
      <c r="AK419" s="352">
        <f>IF(NFI_Expiration=1,IF($A419&lt;VLOOKUP(T$5,NFI,5,0),1,0)*Table_NFI[[#This Row],[Winter Items Other]],Table_NFI[Winter Items Other])</f>
        <v>0</v>
      </c>
      <c r="AL419" s="352">
        <f>IF(NFI_Expiration=1,IF($A419&lt;VLOOKUP(M$5,NFI,5,0),1,0)*Table_NFI[[#This Row],[Winter Blanket]],Table_NFI[[#This Row],[Winter Blanket]])</f>
        <v>0</v>
      </c>
      <c r="AM419" s="352">
        <f>IF(Table_NFI[[#This Row],[Winter Clothes Adult]]+Table_NFI[[#This Row],[Winter Clothes Children]]+Table_NFI[[#This Row],[Winter Items Other]]+Table_NFI[[#This Row],[Winter Blanket]]&gt;0,1,0)</f>
        <v>0</v>
      </c>
      <c r="AN419" s="392">
        <f>IF(NFI_Expiration=1,IF($A419&lt;VLOOKUP(V$5,NFI,5,0),1,0)*Table_NFI[[#This Row],[Jerry Can]],Table_NFI[Jerry Can])</f>
        <v>0</v>
      </c>
      <c r="AO419" s="540" t="str">
        <f>IFERROR(VLOOKUP(Table_NFI[[#This Row],[Camp Name]],CL,2,0),"")</f>
        <v>MMR001CMP047</v>
      </c>
      <c r="AP419" s="535">
        <f ca="1">IF(Table_NFI[[#This Row],[Pcode]]="","",IF(OFFSET(CampList[Opening Date],MATCH(Table_NFI[[#This Row],[Pcode]],CampList[CP_Pcode],0)-1,0,1,1)&gt;=NFI_Monitor_Date,1,0))</f>
        <v>0</v>
      </c>
      <c r="AQ419" s="540" t="str">
        <f>IFERROR(VLOOKUP(Table_NFI[[#This Row],[Camp Name]],CL,3,0),"")</f>
        <v>Open</v>
      </c>
      <c r="AR419" s="352" t="str">
        <f ca="1">IF(Table_NFI[[#This Row],[Pcode]]="","",OFFSET(CampList[Priority],MATCH(Table_NFI[[#This Row],[Pcode]],CampList[CP_Pcode],0)-1,0,1,1))</f>
        <v>P4</v>
      </c>
      <c r="AS419" s="351">
        <f>IFERROR(Table_NFI[[#This Row],[Kitchen Set]]/VLOOKUP(Table_NFI[[#This Row],[Camp Name]],CL,4,0),"")</f>
        <v>0</v>
      </c>
      <c r="AT419" s="533" t="s">
        <v>1094</v>
      </c>
      <c r="AU419" s="536"/>
    </row>
    <row r="420" spans="1:47" s="537" customFormat="1" ht="14.45" customHeight="1" x14ac:dyDescent="0.25">
      <c r="A420" s="355">
        <f t="shared" si="6"/>
        <v>32.1</v>
      </c>
      <c r="B420" s="532">
        <v>41608</v>
      </c>
      <c r="C420" s="534" t="s">
        <v>453</v>
      </c>
      <c r="D420" s="534" t="s">
        <v>453</v>
      </c>
      <c r="E420" s="533" t="s">
        <v>380</v>
      </c>
      <c r="F420" s="348" t="s">
        <v>5</v>
      </c>
      <c r="G420" s="348" t="s">
        <v>6</v>
      </c>
      <c r="H420" s="349"/>
      <c r="I420" s="349"/>
      <c r="J420" s="349"/>
      <c r="K420" s="349">
        <v>6</v>
      </c>
      <c r="L420" s="350">
        <v>6</v>
      </c>
      <c r="M420" s="350">
        <v>6</v>
      </c>
      <c r="N420" s="350">
        <v>6</v>
      </c>
      <c r="O420" s="350">
        <v>6</v>
      </c>
      <c r="P420" s="352"/>
      <c r="Q420" s="352"/>
      <c r="R420" s="352"/>
      <c r="S420" s="352"/>
      <c r="T420" s="352"/>
      <c r="U420" s="352"/>
      <c r="V420" s="497"/>
      <c r="W420" s="352"/>
      <c r="X420" s="352"/>
      <c r="Y420" s="352">
        <f>IF(NFI_Expiration=1,IF($A420&lt;VLOOKUP(H$5,NFI,5,0),1,0)*Table_NFI[[#This Row],[Hygiene Kit]],Table_NFI[Hygiene Kit])</f>
        <v>0</v>
      </c>
      <c r="Z420" s="352">
        <f>IF(NFI_Expiration=1,IF($A420&lt;VLOOKUP(I$5,NFI,5,0),1,0)*Table_NFI[[#This Row],[NFI Core Kit]],Table_NFI[NFI Core Kit])</f>
        <v>0</v>
      </c>
      <c r="AA420" s="352">
        <f>IF(NFI_Expiration=1,IF($A420&lt;VLOOKUP(J$5,NFI,5,0),1,0)*Table_NFI[[#This Row],[Sanitary Kit]],Table_NFI[Sanitary Kit])</f>
        <v>0</v>
      </c>
      <c r="AB420" s="352">
        <f>IF(NFI_Expiration=1,IF($A420&lt;VLOOKUP(K$5,NFI,5,0),1,0)*Table_NFI[[#This Row],[Mosquito net]],Table_NFI[Mosquito net])</f>
        <v>0</v>
      </c>
      <c r="AC420" s="352">
        <f>IF(NFI_Expiration=1,IF($A420&lt;VLOOKUP(L$5,NFI,5,0),1,0)*Table_NFI[[#This Row],[Tarpaulin]],Table_NFI[[#This Row],[Tarpaulin]])</f>
        <v>0</v>
      </c>
      <c r="AD420" s="352">
        <f>IF(NFI_Expiration=1,IF($A420&lt;VLOOKUP(M$5,NFI,5,0),1,0)*Table_NFI[[#This Row],[Blanket]],Table_NFI[[#This Row],[Blanket]])</f>
        <v>0</v>
      </c>
      <c r="AE420" s="352">
        <f>IF(NFI_Expiration=1,IF($A420&lt;VLOOKUP(N$5,NFI,5,0),1,0)*Table_NFI[[#This Row],[Kitchen Set]],Table_NFI[Kitchen Set])</f>
        <v>0</v>
      </c>
      <c r="AF420" s="352">
        <f>IF(NFI_Expiration=1,IF($A420&lt;VLOOKUP(O$5,NFI,5,0),1,0)*Table_NFI[[#This Row],[Clothes Kit]],Table_NFI[Clothes Kit])</f>
        <v>0</v>
      </c>
      <c r="AG420" s="352">
        <f>IF(NFI_Expiration=1,IF($A420&lt;VLOOKUP(P$5,NFI,5,0),1,0)*Table_NFI[[#This Row],[Plastic Bucket]],Table_NFI[Plastic Bucket])</f>
        <v>0</v>
      </c>
      <c r="AH420" s="352">
        <f>IF(NFI_Expiration=1,IF($A420&lt;VLOOKUP(Q$5,NFI,5,0),1,0)*Table_NFI[[#This Row],[Plastic Mat]],Table_NFI[Plastic Mat])*IF(Table_NFI[[#This Row],[Distribution Date]]&gt;"2014-04-01",1,2.5)</f>
        <v>0</v>
      </c>
      <c r="AI420" s="352">
        <f>IF(NFI_Expiration=1,IF($A420&lt;VLOOKUP(R$5,NFI,5,0),1,0)*Table_NFI[[#This Row],[Winter Clothes Adult]],Table_NFI[Winter Clothes Adult])</f>
        <v>0</v>
      </c>
      <c r="AJ420" s="352">
        <f>IF(NFI_Expiration=1,IF($A420&lt;VLOOKUP(S$5,NFI,5,0),1,0)*Table_NFI[[#This Row],[Winter Clothes Children]],Table_NFI[Winter Clothes Children])</f>
        <v>0</v>
      </c>
      <c r="AK420" s="352">
        <f>IF(NFI_Expiration=1,IF($A420&lt;VLOOKUP(T$5,NFI,5,0),1,0)*Table_NFI[[#This Row],[Winter Items Other]],Table_NFI[Winter Items Other])</f>
        <v>0</v>
      </c>
      <c r="AL420" s="352">
        <f>IF(NFI_Expiration=1,IF($A420&lt;VLOOKUP(M$5,NFI,5,0),1,0)*Table_NFI[[#This Row],[Winter Blanket]],Table_NFI[[#This Row],[Winter Blanket]])</f>
        <v>0</v>
      </c>
      <c r="AM420" s="352">
        <f>IF(Table_NFI[[#This Row],[Winter Clothes Adult]]+Table_NFI[[#This Row],[Winter Clothes Children]]+Table_NFI[[#This Row],[Winter Items Other]]+Table_NFI[[#This Row],[Winter Blanket]]&gt;0,1,0)</f>
        <v>0</v>
      </c>
      <c r="AN420" s="392">
        <f>IF(NFI_Expiration=1,IF($A420&lt;VLOOKUP(V$5,NFI,5,0),1,0)*Table_NFI[[#This Row],[Jerry Can]],Table_NFI[Jerry Can])</f>
        <v>0</v>
      </c>
      <c r="AO420" s="540" t="str">
        <f>IFERROR(VLOOKUP(Table_NFI[[#This Row],[Camp Name]],CL,2,0),"")</f>
        <v>MMR001CMP050</v>
      </c>
      <c r="AP420" s="535">
        <f ca="1">IF(Table_NFI[[#This Row],[Pcode]]="","",IF(OFFSET(CampList[Opening Date],MATCH(Table_NFI[[#This Row],[Pcode]],CampList[CP_Pcode],0)-1,0,1,1)&gt;=NFI_Monitor_Date,1,0))</f>
        <v>0</v>
      </c>
      <c r="AQ420" s="540" t="str">
        <f>IFERROR(VLOOKUP(Table_NFI[[#This Row],[Camp Name]],CL,3,0),"")</f>
        <v>Open</v>
      </c>
      <c r="AR420" s="352" t="str">
        <f ca="1">IF(Table_NFI[[#This Row],[Pcode]]="","",OFFSET(CampList[Priority],MATCH(Table_NFI[[#This Row],[Pcode]],CampList[CP_Pcode],0)-1,0,1,1))</f>
        <v>P4</v>
      </c>
      <c r="AS420" s="351">
        <f>IFERROR(Table_NFI[[#This Row],[Kitchen Set]]/VLOOKUP(Table_NFI[[#This Row],[Camp Name]],CL,4,0),"")</f>
        <v>2.1897810218978103E-2</v>
      </c>
      <c r="AT420" s="533" t="s">
        <v>1094</v>
      </c>
      <c r="AU420" s="536"/>
    </row>
    <row r="421" spans="1:47" s="537" customFormat="1" ht="14.45" customHeight="1" x14ac:dyDescent="0.25">
      <c r="A421" s="355">
        <f t="shared" si="6"/>
        <v>32.1</v>
      </c>
      <c r="B421" s="532">
        <v>41608</v>
      </c>
      <c r="C421" s="534" t="s">
        <v>453</v>
      </c>
      <c r="D421" s="534" t="s">
        <v>453</v>
      </c>
      <c r="E421" s="533" t="s">
        <v>380</v>
      </c>
      <c r="F421" s="348" t="s">
        <v>151</v>
      </c>
      <c r="G421" s="348" t="s">
        <v>188</v>
      </c>
      <c r="H421" s="349"/>
      <c r="I421" s="349"/>
      <c r="J421" s="349"/>
      <c r="K421" s="349"/>
      <c r="L421" s="350"/>
      <c r="M421" s="350"/>
      <c r="N421" s="350"/>
      <c r="O421" s="350"/>
      <c r="P421" s="352"/>
      <c r="Q421" s="352"/>
      <c r="R421" s="352"/>
      <c r="S421" s="352"/>
      <c r="T421" s="352"/>
      <c r="U421" s="352"/>
      <c r="V421" s="497"/>
      <c r="W421" s="352"/>
      <c r="X421" s="352"/>
      <c r="Y421" s="352">
        <f>IF(NFI_Expiration=1,IF($A421&lt;VLOOKUP(H$5,NFI,5,0),1,0)*Table_NFI[[#This Row],[Hygiene Kit]],Table_NFI[Hygiene Kit])</f>
        <v>0</v>
      </c>
      <c r="Z421" s="352">
        <f>IF(NFI_Expiration=1,IF($A421&lt;VLOOKUP(I$5,NFI,5,0),1,0)*Table_NFI[[#This Row],[NFI Core Kit]],Table_NFI[NFI Core Kit])</f>
        <v>0</v>
      </c>
      <c r="AA421" s="352">
        <f>IF(NFI_Expiration=1,IF($A421&lt;VLOOKUP(J$5,NFI,5,0),1,0)*Table_NFI[[#This Row],[Sanitary Kit]],Table_NFI[Sanitary Kit])</f>
        <v>0</v>
      </c>
      <c r="AB421" s="352">
        <f>IF(NFI_Expiration=1,IF($A421&lt;VLOOKUP(K$5,NFI,5,0),1,0)*Table_NFI[[#This Row],[Mosquito net]],Table_NFI[Mosquito net])</f>
        <v>0</v>
      </c>
      <c r="AC421" s="352">
        <f>IF(NFI_Expiration=1,IF($A421&lt;VLOOKUP(L$5,NFI,5,0),1,0)*Table_NFI[[#This Row],[Tarpaulin]],Table_NFI[[#This Row],[Tarpaulin]])</f>
        <v>0</v>
      </c>
      <c r="AD421" s="352">
        <f>IF(NFI_Expiration=1,IF($A421&lt;VLOOKUP(M$5,NFI,5,0),1,0)*Table_NFI[[#This Row],[Blanket]],Table_NFI[[#This Row],[Blanket]])</f>
        <v>0</v>
      </c>
      <c r="AE421" s="352">
        <f>IF(NFI_Expiration=1,IF($A421&lt;VLOOKUP(N$5,NFI,5,0),1,0)*Table_NFI[[#This Row],[Kitchen Set]],Table_NFI[Kitchen Set])</f>
        <v>0</v>
      </c>
      <c r="AF421" s="352">
        <f>IF(NFI_Expiration=1,IF($A421&lt;VLOOKUP(O$5,NFI,5,0),1,0)*Table_NFI[[#This Row],[Clothes Kit]],Table_NFI[Clothes Kit])</f>
        <v>0</v>
      </c>
      <c r="AG421" s="352">
        <f>IF(NFI_Expiration=1,IF($A421&lt;VLOOKUP(P$5,NFI,5,0),1,0)*Table_NFI[[#This Row],[Plastic Bucket]],Table_NFI[Plastic Bucket])</f>
        <v>0</v>
      </c>
      <c r="AH421" s="352">
        <f>IF(NFI_Expiration=1,IF($A421&lt;VLOOKUP(Q$5,NFI,5,0),1,0)*Table_NFI[[#This Row],[Plastic Mat]],Table_NFI[Plastic Mat])*IF(Table_NFI[[#This Row],[Distribution Date]]&gt;"2014-04-01",1,2.5)</f>
        <v>0</v>
      </c>
      <c r="AI421" s="352">
        <f>IF(NFI_Expiration=1,IF($A421&lt;VLOOKUP(R$5,NFI,5,0),1,0)*Table_NFI[[#This Row],[Winter Clothes Adult]],Table_NFI[Winter Clothes Adult])</f>
        <v>0</v>
      </c>
      <c r="AJ421" s="352">
        <f>IF(NFI_Expiration=1,IF($A421&lt;VLOOKUP(S$5,NFI,5,0),1,0)*Table_NFI[[#This Row],[Winter Clothes Children]],Table_NFI[Winter Clothes Children])</f>
        <v>0</v>
      </c>
      <c r="AK421" s="352">
        <f>IF(NFI_Expiration=1,IF($A421&lt;VLOOKUP(T$5,NFI,5,0),1,0)*Table_NFI[[#This Row],[Winter Items Other]],Table_NFI[Winter Items Other])</f>
        <v>0</v>
      </c>
      <c r="AL421" s="352">
        <f>IF(NFI_Expiration=1,IF($A421&lt;VLOOKUP(M$5,NFI,5,0),1,0)*Table_NFI[[#This Row],[Winter Blanket]],Table_NFI[[#This Row],[Winter Blanket]])</f>
        <v>0</v>
      </c>
      <c r="AM421" s="352">
        <f>IF(Table_NFI[[#This Row],[Winter Clothes Adult]]+Table_NFI[[#This Row],[Winter Clothes Children]]+Table_NFI[[#This Row],[Winter Items Other]]+Table_NFI[[#This Row],[Winter Blanket]]&gt;0,1,0)</f>
        <v>0</v>
      </c>
      <c r="AN421" s="392">
        <f>IF(NFI_Expiration=1,IF($A421&lt;VLOOKUP(V$5,NFI,5,0),1,0)*Table_NFI[[#This Row],[Jerry Can]],Table_NFI[Jerry Can])</f>
        <v>0</v>
      </c>
      <c r="AO421" s="540" t="str">
        <f>IFERROR(VLOOKUP(Table_NFI[[#This Row],[Camp Name]],CL,2,0),"")</f>
        <v>MMR001CMP129</v>
      </c>
      <c r="AP421" s="535">
        <f ca="1">IF(Table_NFI[[#This Row],[Pcode]]="","",IF(OFFSET(CampList[Opening Date],MATCH(Table_NFI[[#This Row],[Pcode]],CampList[CP_Pcode],0)-1,0,1,1)&gt;=NFI_Monitor_Date,1,0))</f>
        <v>0</v>
      </c>
      <c r="AQ421" s="540" t="str">
        <f>IFERROR(VLOOKUP(Table_NFI[[#This Row],[Camp Name]],CL,3,0),"")</f>
        <v>Open</v>
      </c>
      <c r="AR421" s="352" t="str">
        <f ca="1">IF(Table_NFI[[#This Row],[Pcode]]="","",OFFSET(CampList[Priority],MATCH(Table_NFI[[#This Row],[Pcode]],CampList[CP_Pcode],0)-1,0,1,1))</f>
        <v>P2</v>
      </c>
      <c r="AS421" s="351">
        <f>IFERROR(Table_NFI[[#This Row],[Kitchen Set]]/VLOOKUP(Table_NFI[[#This Row],[Camp Name]],CL,4,0),"")</f>
        <v>0</v>
      </c>
      <c r="AT421" s="533" t="s">
        <v>1094</v>
      </c>
      <c r="AU421" s="536"/>
    </row>
    <row r="422" spans="1:47" s="537" customFormat="1" ht="14.45" customHeight="1" x14ac:dyDescent="0.25">
      <c r="A422" s="355">
        <f t="shared" si="6"/>
        <v>32.1</v>
      </c>
      <c r="B422" s="532">
        <v>41608</v>
      </c>
      <c r="C422" s="533" t="s">
        <v>453</v>
      </c>
      <c r="D422" s="534" t="s">
        <v>453</v>
      </c>
      <c r="E422" s="533" t="s">
        <v>380</v>
      </c>
      <c r="F422" s="348" t="s">
        <v>185</v>
      </c>
      <c r="G422" s="348" t="s">
        <v>192</v>
      </c>
      <c r="H422" s="349"/>
      <c r="I422" s="349"/>
      <c r="J422" s="349"/>
      <c r="K422" s="349"/>
      <c r="L422" s="350"/>
      <c r="M422" s="350"/>
      <c r="N422" s="350"/>
      <c r="O422" s="350"/>
      <c r="P422" s="352"/>
      <c r="Q422" s="352"/>
      <c r="R422" s="352"/>
      <c r="S422" s="352"/>
      <c r="T422" s="352"/>
      <c r="U422" s="352"/>
      <c r="V422" s="497"/>
      <c r="W422" s="352"/>
      <c r="X422" s="352"/>
      <c r="Y422" s="352">
        <f>IF(NFI_Expiration=1,IF($A422&lt;VLOOKUP(H$5,NFI,5,0),1,0)*Table_NFI[[#This Row],[Hygiene Kit]],Table_NFI[Hygiene Kit])</f>
        <v>0</v>
      </c>
      <c r="Z422" s="352">
        <f>IF(NFI_Expiration=1,IF($A422&lt;VLOOKUP(I$5,NFI,5,0),1,0)*Table_NFI[[#This Row],[NFI Core Kit]],Table_NFI[NFI Core Kit])</f>
        <v>0</v>
      </c>
      <c r="AA422" s="352">
        <f>IF(NFI_Expiration=1,IF($A422&lt;VLOOKUP(J$5,NFI,5,0),1,0)*Table_NFI[[#This Row],[Sanitary Kit]],Table_NFI[Sanitary Kit])</f>
        <v>0</v>
      </c>
      <c r="AB422" s="352">
        <f>IF(NFI_Expiration=1,IF($A422&lt;VLOOKUP(K$5,NFI,5,0),1,0)*Table_NFI[[#This Row],[Mosquito net]],Table_NFI[Mosquito net])</f>
        <v>0</v>
      </c>
      <c r="AC422" s="352">
        <f>IF(NFI_Expiration=1,IF($A422&lt;VLOOKUP(L$5,NFI,5,0),1,0)*Table_NFI[[#This Row],[Tarpaulin]],Table_NFI[[#This Row],[Tarpaulin]])</f>
        <v>0</v>
      </c>
      <c r="AD422" s="352">
        <f>IF(NFI_Expiration=1,IF($A422&lt;VLOOKUP(M$5,NFI,5,0),1,0)*Table_NFI[[#This Row],[Blanket]],Table_NFI[[#This Row],[Blanket]])</f>
        <v>0</v>
      </c>
      <c r="AE422" s="352">
        <f>IF(NFI_Expiration=1,IF($A422&lt;VLOOKUP(N$5,NFI,5,0),1,0)*Table_NFI[[#This Row],[Kitchen Set]],Table_NFI[Kitchen Set])</f>
        <v>0</v>
      </c>
      <c r="AF422" s="352">
        <f>IF(NFI_Expiration=1,IF($A422&lt;VLOOKUP(O$5,NFI,5,0),1,0)*Table_NFI[[#This Row],[Clothes Kit]],Table_NFI[Clothes Kit])</f>
        <v>0</v>
      </c>
      <c r="AG422" s="352">
        <f>IF(NFI_Expiration=1,IF($A422&lt;VLOOKUP(P$5,NFI,5,0),1,0)*Table_NFI[[#This Row],[Plastic Bucket]],Table_NFI[Plastic Bucket])</f>
        <v>0</v>
      </c>
      <c r="AH422" s="352">
        <f>IF(NFI_Expiration=1,IF($A422&lt;VLOOKUP(Q$5,NFI,5,0),1,0)*Table_NFI[[#This Row],[Plastic Mat]],Table_NFI[Plastic Mat])*IF(Table_NFI[[#This Row],[Distribution Date]]&gt;"2014-04-01",1,2.5)</f>
        <v>0</v>
      </c>
      <c r="AI422" s="352">
        <f>IF(NFI_Expiration=1,IF($A422&lt;VLOOKUP(R$5,NFI,5,0),1,0)*Table_NFI[[#This Row],[Winter Clothes Adult]],Table_NFI[Winter Clothes Adult])</f>
        <v>0</v>
      </c>
      <c r="AJ422" s="352">
        <f>IF(NFI_Expiration=1,IF($A422&lt;VLOOKUP(S$5,NFI,5,0),1,0)*Table_NFI[[#This Row],[Winter Clothes Children]],Table_NFI[Winter Clothes Children])</f>
        <v>0</v>
      </c>
      <c r="AK422" s="352">
        <f>IF(NFI_Expiration=1,IF($A422&lt;VLOOKUP(T$5,NFI,5,0),1,0)*Table_NFI[[#This Row],[Winter Items Other]],Table_NFI[Winter Items Other])</f>
        <v>0</v>
      </c>
      <c r="AL422" s="352">
        <f>IF(NFI_Expiration=1,IF($A422&lt;VLOOKUP(M$5,NFI,5,0),1,0)*Table_NFI[[#This Row],[Winter Blanket]],Table_NFI[[#This Row],[Winter Blanket]])</f>
        <v>0</v>
      </c>
      <c r="AM422" s="352">
        <f>IF(Table_NFI[[#This Row],[Winter Clothes Adult]]+Table_NFI[[#This Row],[Winter Clothes Children]]+Table_NFI[[#This Row],[Winter Items Other]]+Table_NFI[[#This Row],[Winter Blanket]]&gt;0,1,0)</f>
        <v>0</v>
      </c>
      <c r="AN422" s="392">
        <f>IF(NFI_Expiration=1,IF($A422&lt;VLOOKUP(V$5,NFI,5,0),1,0)*Table_NFI[[#This Row],[Jerry Can]],Table_NFI[Jerry Can])</f>
        <v>0</v>
      </c>
      <c r="AO422" s="540" t="str">
        <f>IFERROR(VLOOKUP(Table_NFI[[#This Row],[Camp Name]],CL,2,0),"")</f>
        <v>MMR001CMP123</v>
      </c>
      <c r="AP422" s="535">
        <f ca="1">IF(Table_NFI[[#This Row],[Pcode]]="","",IF(OFFSET(CampList[Opening Date],MATCH(Table_NFI[[#This Row],[Pcode]],CampList[CP_Pcode],0)-1,0,1,1)&gt;=NFI_Monitor_Date,1,0))</f>
        <v>0</v>
      </c>
      <c r="AQ422" s="540" t="str">
        <f>IFERROR(VLOOKUP(Table_NFI[[#This Row],[Camp Name]],CL,3,0),"")</f>
        <v>Open</v>
      </c>
      <c r="AR422" s="352" t="str">
        <f ca="1">IF(Table_NFI[[#This Row],[Pcode]]="","",OFFSET(CampList[Priority],MATCH(Table_NFI[[#This Row],[Pcode]],CampList[CP_Pcode],0)-1,0,1,1))</f>
        <v>P2</v>
      </c>
      <c r="AS422" s="351">
        <f>IFERROR(Table_NFI[[#This Row],[Kitchen Set]]/VLOOKUP(Table_NFI[[#This Row],[Camp Name]],CL,4,0),"")</f>
        <v>0</v>
      </c>
      <c r="AT422" s="533" t="s">
        <v>1094</v>
      </c>
      <c r="AU422" s="536"/>
    </row>
    <row r="423" spans="1:47" s="537" customFormat="1" ht="14.45" customHeight="1" x14ac:dyDescent="0.25">
      <c r="A423" s="355">
        <f t="shared" si="6"/>
        <v>32.1</v>
      </c>
      <c r="B423" s="532">
        <v>41608</v>
      </c>
      <c r="C423" s="533" t="s">
        <v>453</v>
      </c>
      <c r="D423" s="534" t="s">
        <v>453</v>
      </c>
      <c r="E423" s="533" t="s">
        <v>380</v>
      </c>
      <c r="F423" s="348" t="s">
        <v>151</v>
      </c>
      <c r="G423" s="348" t="s">
        <v>198</v>
      </c>
      <c r="H423" s="349"/>
      <c r="I423" s="349"/>
      <c r="J423" s="349"/>
      <c r="K423" s="349"/>
      <c r="L423" s="350"/>
      <c r="M423" s="350"/>
      <c r="N423" s="350"/>
      <c r="O423" s="350"/>
      <c r="P423" s="352"/>
      <c r="Q423" s="352"/>
      <c r="R423" s="352"/>
      <c r="S423" s="352"/>
      <c r="T423" s="352"/>
      <c r="U423" s="352"/>
      <c r="V423" s="497"/>
      <c r="W423" s="352"/>
      <c r="X423" s="352"/>
      <c r="Y423" s="352">
        <f>IF(NFI_Expiration=1,IF($A423&lt;VLOOKUP(H$5,NFI,5,0),1,0)*Table_NFI[[#This Row],[Hygiene Kit]],Table_NFI[Hygiene Kit])</f>
        <v>0</v>
      </c>
      <c r="Z423" s="352">
        <f>IF(NFI_Expiration=1,IF($A423&lt;VLOOKUP(I$5,NFI,5,0),1,0)*Table_NFI[[#This Row],[NFI Core Kit]],Table_NFI[NFI Core Kit])</f>
        <v>0</v>
      </c>
      <c r="AA423" s="352">
        <f>IF(NFI_Expiration=1,IF($A423&lt;VLOOKUP(J$5,NFI,5,0),1,0)*Table_NFI[[#This Row],[Sanitary Kit]],Table_NFI[Sanitary Kit])</f>
        <v>0</v>
      </c>
      <c r="AB423" s="352">
        <f>IF(NFI_Expiration=1,IF($A423&lt;VLOOKUP(K$5,NFI,5,0),1,0)*Table_NFI[[#This Row],[Mosquito net]],Table_NFI[Mosquito net])</f>
        <v>0</v>
      </c>
      <c r="AC423" s="352">
        <f>IF(NFI_Expiration=1,IF($A423&lt;VLOOKUP(L$5,NFI,5,0),1,0)*Table_NFI[[#This Row],[Tarpaulin]],Table_NFI[[#This Row],[Tarpaulin]])</f>
        <v>0</v>
      </c>
      <c r="AD423" s="352">
        <f>IF(NFI_Expiration=1,IF($A423&lt;VLOOKUP(M$5,NFI,5,0),1,0)*Table_NFI[[#This Row],[Blanket]],Table_NFI[[#This Row],[Blanket]])</f>
        <v>0</v>
      </c>
      <c r="AE423" s="352">
        <f>IF(NFI_Expiration=1,IF($A423&lt;VLOOKUP(N$5,NFI,5,0),1,0)*Table_NFI[[#This Row],[Kitchen Set]],Table_NFI[Kitchen Set])</f>
        <v>0</v>
      </c>
      <c r="AF423" s="352">
        <f>IF(NFI_Expiration=1,IF($A423&lt;VLOOKUP(O$5,NFI,5,0),1,0)*Table_NFI[[#This Row],[Clothes Kit]],Table_NFI[Clothes Kit])</f>
        <v>0</v>
      </c>
      <c r="AG423" s="352">
        <f>IF(NFI_Expiration=1,IF($A423&lt;VLOOKUP(P$5,NFI,5,0),1,0)*Table_NFI[[#This Row],[Plastic Bucket]],Table_NFI[Plastic Bucket])</f>
        <v>0</v>
      </c>
      <c r="AH423" s="352">
        <f>IF(NFI_Expiration=1,IF($A423&lt;VLOOKUP(Q$5,NFI,5,0),1,0)*Table_NFI[[#This Row],[Plastic Mat]],Table_NFI[Plastic Mat])*IF(Table_NFI[[#This Row],[Distribution Date]]&gt;"2014-04-01",1,2.5)</f>
        <v>0</v>
      </c>
      <c r="AI423" s="352">
        <f>IF(NFI_Expiration=1,IF($A423&lt;VLOOKUP(R$5,NFI,5,0),1,0)*Table_NFI[[#This Row],[Winter Clothes Adult]],Table_NFI[Winter Clothes Adult])</f>
        <v>0</v>
      </c>
      <c r="AJ423" s="352">
        <f>IF(NFI_Expiration=1,IF($A423&lt;VLOOKUP(S$5,NFI,5,0),1,0)*Table_NFI[[#This Row],[Winter Clothes Children]],Table_NFI[Winter Clothes Children])</f>
        <v>0</v>
      </c>
      <c r="AK423" s="352">
        <f>IF(NFI_Expiration=1,IF($A423&lt;VLOOKUP(T$5,NFI,5,0),1,0)*Table_NFI[[#This Row],[Winter Items Other]],Table_NFI[Winter Items Other])</f>
        <v>0</v>
      </c>
      <c r="AL423" s="352">
        <f>IF(NFI_Expiration=1,IF($A423&lt;VLOOKUP(M$5,NFI,5,0),1,0)*Table_NFI[[#This Row],[Winter Blanket]],Table_NFI[[#This Row],[Winter Blanket]])</f>
        <v>0</v>
      </c>
      <c r="AM423" s="352">
        <f>IF(Table_NFI[[#This Row],[Winter Clothes Adult]]+Table_NFI[[#This Row],[Winter Clothes Children]]+Table_NFI[[#This Row],[Winter Items Other]]+Table_NFI[[#This Row],[Winter Blanket]]&gt;0,1,0)</f>
        <v>0</v>
      </c>
      <c r="AN423" s="392">
        <f>IF(NFI_Expiration=1,IF($A423&lt;VLOOKUP(V$5,NFI,5,0),1,0)*Table_NFI[[#This Row],[Jerry Can]],Table_NFI[Jerry Can])</f>
        <v>0</v>
      </c>
      <c r="AO423" s="540" t="str">
        <f>IFERROR(VLOOKUP(Table_NFI[[#This Row],[Camp Name]],CL,2,0),"")</f>
        <v>MMR001CMP128</v>
      </c>
      <c r="AP423" s="535">
        <f ca="1">IF(Table_NFI[[#This Row],[Pcode]]="","",IF(OFFSET(CampList[Opening Date],MATCH(Table_NFI[[#This Row],[Pcode]],CampList[CP_Pcode],0)-1,0,1,1)&gt;=NFI_Monitor_Date,1,0))</f>
        <v>0</v>
      </c>
      <c r="AQ423" s="540" t="str">
        <f>IFERROR(VLOOKUP(Table_NFI[[#This Row],[Camp Name]],CL,3,0),"")</f>
        <v>Open</v>
      </c>
      <c r="AR423" s="352" t="str">
        <f ca="1">IF(Table_NFI[[#This Row],[Pcode]]="","",OFFSET(CampList[Priority],MATCH(Table_NFI[[#This Row],[Pcode]],CampList[CP_Pcode],0)-1,0,1,1))</f>
        <v>P2</v>
      </c>
      <c r="AS423" s="351">
        <f>IFERROR(Table_NFI[[#This Row],[Kitchen Set]]/VLOOKUP(Table_NFI[[#This Row],[Camp Name]],CL,4,0),"")</f>
        <v>0</v>
      </c>
      <c r="AT423" s="533" t="s">
        <v>1094</v>
      </c>
      <c r="AU423" s="536"/>
    </row>
    <row r="424" spans="1:47" s="537" customFormat="1" ht="14.45" customHeight="1" x14ac:dyDescent="0.25">
      <c r="A424" s="355">
        <f t="shared" si="6"/>
        <v>32.1</v>
      </c>
      <c r="B424" s="532">
        <v>41608</v>
      </c>
      <c r="C424" s="533" t="s">
        <v>453</v>
      </c>
      <c r="D424" s="534" t="s">
        <v>453</v>
      </c>
      <c r="E424" s="533" t="s">
        <v>380</v>
      </c>
      <c r="F424" s="348" t="s">
        <v>185</v>
      </c>
      <c r="G424" s="348" t="s">
        <v>219</v>
      </c>
      <c r="H424" s="349"/>
      <c r="I424" s="349"/>
      <c r="J424" s="349"/>
      <c r="K424" s="349"/>
      <c r="L424" s="350"/>
      <c r="M424" s="350"/>
      <c r="N424" s="350"/>
      <c r="O424" s="350"/>
      <c r="P424" s="352"/>
      <c r="Q424" s="352"/>
      <c r="R424" s="352"/>
      <c r="S424" s="352"/>
      <c r="T424" s="352"/>
      <c r="U424" s="352"/>
      <c r="V424" s="497"/>
      <c r="W424" s="352"/>
      <c r="X424" s="352"/>
      <c r="Y424" s="352">
        <f>IF(NFI_Expiration=1,IF($A424&lt;VLOOKUP(H$5,NFI,5,0),1,0)*Table_NFI[[#This Row],[Hygiene Kit]],Table_NFI[Hygiene Kit])</f>
        <v>0</v>
      </c>
      <c r="Z424" s="352">
        <f>IF(NFI_Expiration=1,IF($A424&lt;VLOOKUP(I$5,NFI,5,0),1,0)*Table_NFI[[#This Row],[NFI Core Kit]],Table_NFI[NFI Core Kit])</f>
        <v>0</v>
      </c>
      <c r="AA424" s="352">
        <f>IF(NFI_Expiration=1,IF($A424&lt;VLOOKUP(J$5,NFI,5,0),1,0)*Table_NFI[[#This Row],[Sanitary Kit]],Table_NFI[Sanitary Kit])</f>
        <v>0</v>
      </c>
      <c r="AB424" s="352">
        <f>IF(NFI_Expiration=1,IF($A424&lt;VLOOKUP(K$5,NFI,5,0),1,0)*Table_NFI[[#This Row],[Mosquito net]],Table_NFI[Mosquito net])</f>
        <v>0</v>
      </c>
      <c r="AC424" s="352">
        <f>IF(NFI_Expiration=1,IF($A424&lt;VLOOKUP(L$5,NFI,5,0),1,0)*Table_NFI[[#This Row],[Tarpaulin]],Table_NFI[[#This Row],[Tarpaulin]])</f>
        <v>0</v>
      </c>
      <c r="AD424" s="352">
        <f>IF(NFI_Expiration=1,IF($A424&lt;VLOOKUP(M$5,NFI,5,0),1,0)*Table_NFI[[#This Row],[Blanket]],Table_NFI[[#This Row],[Blanket]])</f>
        <v>0</v>
      </c>
      <c r="AE424" s="352">
        <f>IF(NFI_Expiration=1,IF($A424&lt;VLOOKUP(N$5,NFI,5,0),1,0)*Table_NFI[[#This Row],[Kitchen Set]],Table_NFI[Kitchen Set])</f>
        <v>0</v>
      </c>
      <c r="AF424" s="352">
        <f>IF(NFI_Expiration=1,IF($A424&lt;VLOOKUP(O$5,NFI,5,0),1,0)*Table_NFI[[#This Row],[Clothes Kit]],Table_NFI[Clothes Kit])</f>
        <v>0</v>
      </c>
      <c r="AG424" s="352">
        <f>IF(NFI_Expiration=1,IF($A424&lt;VLOOKUP(P$5,NFI,5,0),1,0)*Table_NFI[[#This Row],[Plastic Bucket]],Table_NFI[Plastic Bucket])</f>
        <v>0</v>
      </c>
      <c r="AH424" s="352">
        <f>IF(NFI_Expiration=1,IF($A424&lt;VLOOKUP(Q$5,NFI,5,0),1,0)*Table_NFI[[#This Row],[Plastic Mat]],Table_NFI[Plastic Mat])*IF(Table_NFI[[#This Row],[Distribution Date]]&gt;"2014-04-01",1,2.5)</f>
        <v>0</v>
      </c>
      <c r="AI424" s="352">
        <f>IF(NFI_Expiration=1,IF($A424&lt;VLOOKUP(R$5,NFI,5,0),1,0)*Table_NFI[[#This Row],[Winter Clothes Adult]],Table_NFI[Winter Clothes Adult])</f>
        <v>0</v>
      </c>
      <c r="AJ424" s="352">
        <f>IF(NFI_Expiration=1,IF($A424&lt;VLOOKUP(S$5,NFI,5,0),1,0)*Table_NFI[[#This Row],[Winter Clothes Children]],Table_NFI[Winter Clothes Children])</f>
        <v>0</v>
      </c>
      <c r="AK424" s="352">
        <f>IF(NFI_Expiration=1,IF($A424&lt;VLOOKUP(T$5,NFI,5,0),1,0)*Table_NFI[[#This Row],[Winter Items Other]],Table_NFI[Winter Items Other])</f>
        <v>0</v>
      </c>
      <c r="AL424" s="352">
        <f>IF(NFI_Expiration=1,IF($A424&lt;VLOOKUP(M$5,NFI,5,0),1,0)*Table_NFI[[#This Row],[Winter Blanket]],Table_NFI[[#This Row],[Winter Blanket]])</f>
        <v>0</v>
      </c>
      <c r="AM424" s="352">
        <f>IF(Table_NFI[[#This Row],[Winter Clothes Adult]]+Table_NFI[[#This Row],[Winter Clothes Children]]+Table_NFI[[#This Row],[Winter Items Other]]+Table_NFI[[#This Row],[Winter Blanket]]&gt;0,1,0)</f>
        <v>0</v>
      </c>
      <c r="AN424" s="392">
        <f>IF(NFI_Expiration=1,IF($A424&lt;VLOOKUP(V$5,NFI,5,0),1,0)*Table_NFI[[#This Row],[Jerry Can]],Table_NFI[Jerry Can])</f>
        <v>0</v>
      </c>
      <c r="AO424" s="540" t="str">
        <f>IFERROR(VLOOKUP(Table_NFI[[#This Row],[Camp Name]],CL,2,0),"")</f>
        <v>MMR001CMP126</v>
      </c>
      <c r="AP424" s="535">
        <f ca="1">IF(Table_NFI[[#This Row],[Pcode]]="","",IF(OFFSET(CampList[Opening Date],MATCH(Table_NFI[[#This Row],[Pcode]],CampList[CP_Pcode],0)-1,0,1,1)&gt;=NFI_Monitor_Date,1,0))</f>
        <v>0</v>
      </c>
      <c r="AQ424" s="540" t="str">
        <f>IFERROR(VLOOKUP(Table_NFI[[#This Row],[Camp Name]],CL,3,0),"")</f>
        <v>Open</v>
      </c>
      <c r="AR424" s="352" t="str">
        <f ca="1">IF(Table_NFI[[#This Row],[Pcode]]="","",OFFSET(CampList[Priority],MATCH(Table_NFI[[#This Row],[Pcode]],CampList[CP_Pcode],0)-1,0,1,1))</f>
        <v>P2</v>
      </c>
      <c r="AS424" s="351">
        <f>IFERROR(Table_NFI[[#This Row],[Kitchen Set]]/VLOOKUP(Table_NFI[[#This Row],[Camp Name]],CL,4,0),"")</f>
        <v>0</v>
      </c>
      <c r="AT424" s="533" t="s">
        <v>1094</v>
      </c>
      <c r="AU424" s="536"/>
    </row>
    <row r="425" spans="1:47" s="537" customFormat="1" ht="14.45" customHeight="1" x14ac:dyDescent="0.25">
      <c r="A425" s="355">
        <f t="shared" si="6"/>
        <v>32.1</v>
      </c>
      <c r="B425" s="532">
        <v>41608</v>
      </c>
      <c r="C425" s="533" t="s">
        <v>453</v>
      </c>
      <c r="D425" s="534" t="s">
        <v>453</v>
      </c>
      <c r="E425" s="533" t="s">
        <v>380</v>
      </c>
      <c r="F425" s="533" t="s">
        <v>5</v>
      </c>
      <c r="G425" s="348" t="s">
        <v>22</v>
      </c>
      <c r="H425" s="349"/>
      <c r="I425" s="349"/>
      <c r="J425" s="349"/>
      <c r="K425" s="349">
        <v>75</v>
      </c>
      <c r="L425" s="350">
        <v>36</v>
      </c>
      <c r="M425" s="350">
        <v>75</v>
      </c>
      <c r="N425" s="350">
        <v>36</v>
      </c>
      <c r="O425" s="350">
        <v>36</v>
      </c>
      <c r="P425" s="352"/>
      <c r="Q425" s="352"/>
      <c r="R425" s="352"/>
      <c r="S425" s="352"/>
      <c r="T425" s="352"/>
      <c r="U425" s="352"/>
      <c r="V425" s="497"/>
      <c r="W425" s="352"/>
      <c r="X425" s="352"/>
      <c r="Y425" s="352">
        <f>IF(NFI_Expiration=1,IF($A425&lt;VLOOKUP(H$5,NFI,5,0),1,0)*Table_NFI[[#This Row],[Hygiene Kit]],Table_NFI[Hygiene Kit])</f>
        <v>0</v>
      </c>
      <c r="Z425" s="352">
        <f>IF(NFI_Expiration=1,IF($A425&lt;VLOOKUP(I$5,NFI,5,0),1,0)*Table_NFI[[#This Row],[NFI Core Kit]],Table_NFI[NFI Core Kit])</f>
        <v>0</v>
      </c>
      <c r="AA425" s="352">
        <f>IF(NFI_Expiration=1,IF($A425&lt;VLOOKUP(J$5,NFI,5,0),1,0)*Table_NFI[[#This Row],[Sanitary Kit]],Table_NFI[Sanitary Kit])</f>
        <v>0</v>
      </c>
      <c r="AB425" s="352">
        <f>IF(NFI_Expiration=1,IF($A425&lt;VLOOKUP(K$5,NFI,5,0),1,0)*Table_NFI[[#This Row],[Mosquito net]],Table_NFI[Mosquito net])</f>
        <v>0</v>
      </c>
      <c r="AC425" s="352">
        <f>IF(NFI_Expiration=1,IF($A425&lt;VLOOKUP(L$5,NFI,5,0),1,0)*Table_NFI[[#This Row],[Tarpaulin]],Table_NFI[[#This Row],[Tarpaulin]])</f>
        <v>0</v>
      </c>
      <c r="AD425" s="352">
        <f>IF(NFI_Expiration=1,IF($A425&lt;VLOOKUP(M$5,NFI,5,0),1,0)*Table_NFI[[#This Row],[Blanket]],Table_NFI[[#This Row],[Blanket]])</f>
        <v>0</v>
      </c>
      <c r="AE425" s="352">
        <f>IF(NFI_Expiration=1,IF($A425&lt;VLOOKUP(N$5,NFI,5,0),1,0)*Table_NFI[[#This Row],[Kitchen Set]],Table_NFI[Kitchen Set])</f>
        <v>0</v>
      </c>
      <c r="AF425" s="352">
        <f>IF(NFI_Expiration=1,IF($A425&lt;VLOOKUP(O$5,NFI,5,0),1,0)*Table_NFI[[#This Row],[Clothes Kit]],Table_NFI[Clothes Kit])</f>
        <v>0</v>
      </c>
      <c r="AG425" s="352">
        <f>IF(NFI_Expiration=1,IF($A425&lt;VLOOKUP(P$5,NFI,5,0),1,0)*Table_NFI[[#This Row],[Plastic Bucket]],Table_NFI[Plastic Bucket])</f>
        <v>0</v>
      </c>
      <c r="AH425" s="352">
        <f>IF(NFI_Expiration=1,IF($A425&lt;VLOOKUP(Q$5,NFI,5,0),1,0)*Table_NFI[[#This Row],[Plastic Mat]],Table_NFI[Plastic Mat])*IF(Table_NFI[[#This Row],[Distribution Date]]&gt;"2014-04-01",1,2.5)</f>
        <v>0</v>
      </c>
      <c r="AI425" s="352">
        <f>IF(NFI_Expiration=1,IF($A425&lt;VLOOKUP(R$5,NFI,5,0),1,0)*Table_NFI[[#This Row],[Winter Clothes Adult]],Table_NFI[Winter Clothes Adult])</f>
        <v>0</v>
      </c>
      <c r="AJ425" s="352">
        <f>IF(NFI_Expiration=1,IF($A425&lt;VLOOKUP(S$5,NFI,5,0),1,0)*Table_NFI[[#This Row],[Winter Clothes Children]],Table_NFI[Winter Clothes Children])</f>
        <v>0</v>
      </c>
      <c r="AK425" s="352">
        <f>IF(NFI_Expiration=1,IF($A425&lt;VLOOKUP(T$5,NFI,5,0),1,0)*Table_NFI[[#This Row],[Winter Items Other]],Table_NFI[Winter Items Other])</f>
        <v>0</v>
      </c>
      <c r="AL425" s="352">
        <f>IF(NFI_Expiration=1,IF($A425&lt;VLOOKUP(M$5,NFI,5,0),1,0)*Table_NFI[[#This Row],[Winter Blanket]],Table_NFI[[#This Row],[Winter Blanket]])</f>
        <v>0</v>
      </c>
      <c r="AM425" s="352">
        <f>IF(Table_NFI[[#This Row],[Winter Clothes Adult]]+Table_NFI[[#This Row],[Winter Clothes Children]]+Table_NFI[[#This Row],[Winter Items Other]]+Table_NFI[[#This Row],[Winter Blanket]]&gt;0,1,0)</f>
        <v>0</v>
      </c>
      <c r="AN425" s="392">
        <f>IF(NFI_Expiration=1,IF($A425&lt;VLOOKUP(V$5,NFI,5,0),1,0)*Table_NFI[[#This Row],[Jerry Can]],Table_NFI[Jerry Can])</f>
        <v>0</v>
      </c>
      <c r="AO425" s="540" t="str">
        <f>IFERROR(VLOOKUP(Table_NFI[[#This Row],[Camp Name]],CL,2,0),"")</f>
        <v>MMR001CMP047</v>
      </c>
      <c r="AP425" s="535">
        <f ca="1">IF(Table_NFI[[#This Row],[Pcode]]="","",IF(OFFSET(CampList[Opening Date],MATCH(Table_NFI[[#This Row],[Pcode]],CampList[CP_Pcode],0)-1,0,1,1)&gt;=NFI_Monitor_Date,1,0))</f>
        <v>0</v>
      </c>
      <c r="AQ425" s="540" t="str">
        <f>IFERROR(VLOOKUP(Table_NFI[[#This Row],[Camp Name]],CL,3,0),"")</f>
        <v>Open</v>
      </c>
      <c r="AR425" s="352" t="str">
        <f ca="1">IF(Table_NFI[[#This Row],[Pcode]]="","",OFFSET(CampList[Priority],MATCH(Table_NFI[[#This Row],[Pcode]],CampList[CP_Pcode],0)-1,0,1,1))</f>
        <v>P4</v>
      </c>
      <c r="AS425" s="351">
        <f>IFERROR(Table_NFI[[#This Row],[Kitchen Set]]/VLOOKUP(Table_NFI[[#This Row],[Camp Name]],CL,4,0),"")</f>
        <v>5.7233704292527825E-2</v>
      </c>
      <c r="AT425" s="533" t="s">
        <v>1094</v>
      </c>
      <c r="AU425" s="536"/>
    </row>
    <row r="426" spans="1:47" s="537" customFormat="1" ht="14.45" customHeight="1" x14ac:dyDescent="0.25">
      <c r="A426" s="355">
        <f t="shared" si="6"/>
        <v>32.166666666666664</v>
      </c>
      <c r="B426" s="532">
        <v>41606</v>
      </c>
      <c r="C426" s="534" t="s">
        <v>453</v>
      </c>
      <c r="D426" s="534" t="s">
        <v>453</v>
      </c>
      <c r="E426" s="533" t="s">
        <v>380</v>
      </c>
      <c r="F426" s="348" t="s">
        <v>151</v>
      </c>
      <c r="G426" s="348" t="s">
        <v>152</v>
      </c>
      <c r="H426" s="349"/>
      <c r="I426" s="349"/>
      <c r="J426" s="349"/>
      <c r="K426" s="349">
        <v>20</v>
      </c>
      <c r="L426" s="350">
        <v>7</v>
      </c>
      <c r="M426" s="350">
        <v>22</v>
      </c>
      <c r="N426" s="350">
        <v>7</v>
      </c>
      <c r="O426" s="350">
        <v>7</v>
      </c>
      <c r="P426" s="352"/>
      <c r="Q426" s="352"/>
      <c r="R426" s="352"/>
      <c r="S426" s="352"/>
      <c r="T426" s="352"/>
      <c r="U426" s="352"/>
      <c r="V426" s="497"/>
      <c r="W426" s="352"/>
      <c r="X426" s="352"/>
      <c r="Y426" s="352">
        <f>IF(NFI_Expiration=1,IF($A426&lt;VLOOKUP(H$5,NFI,5,0),1,0)*Table_NFI[[#This Row],[Hygiene Kit]],Table_NFI[Hygiene Kit])</f>
        <v>0</v>
      </c>
      <c r="Z426" s="352">
        <f>IF(NFI_Expiration=1,IF($A426&lt;VLOOKUP(I$5,NFI,5,0),1,0)*Table_NFI[[#This Row],[NFI Core Kit]],Table_NFI[NFI Core Kit])</f>
        <v>0</v>
      </c>
      <c r="AA426" s="352">
        <f>IF(NFI_Expiration=1,IF($A426&lt;VLOOKUP(J$5,NFI,5,0),1,0)*Table_NFI[[#This Row],[Sanitary Kit]],Table_NFI[Sanitary Kit])</f>
        <v>0</v>
      </c>
      <c r="AB426" s="352">
        <f>IF(NFI_Expiration=1,IF($A426&lt;VLOOKUP(K$5,NFI,5,0),1,0)*Table_NFI[[#This Row],[Mosquito net]],Table_NFI[Mosquito net])</f>
        <v>0</v>
      </c>
      <c r="AC426" s="352">
        <f>IF(NFI_Expiration=1,IF($A426&lt;VLOOKUP(L$5,NFI,5,0),1,0)*Table_NFI[[#This Row],[Tarpaulin]],Table_NFI[[#This Row],[Tarpaulin]])</f>
        <v>0</v>
      </c>
      <c r="AD426" s="352">
        <f>IF(NFI_Expiration=1,IF($A426&lt;VLOOKUP(M$5,NFI,5,0),1,0)*Table_NFI[[#This Row],[Blanket]],Table_NFI[[#This Row],[Blanket]])</f>
        <v>0</v>
      </c>
      <c r="AE426" s="352">
        <f>IF(NFI_Expiration=1,IF($A426&lt;VLOOKUP(N$5,NFI,5,0),1,0)*Table_NFI[[#This Row],[Kitchen Set]],Table_NFI[Kitchen Set])</f>
        <v>0</v>
      </c>
      <c r="AF426" s="352">
        <f>IF(NFI_Expiration=1,IF($A426&lt;VLOOKUP(O$5,NFI,5,0),1,0)*Table_NFI[[#This Row],[Clothes Kit]],Table_NFI[Clothes Kit])</f>
        <v>0</v>
      </c>
      <c r="AG426" s="352">
        <f>IF(NFI_Expiration=1,IF($A426&lt;VLOOKUP(P$5,NFI,5,0),1,0)*Table_NFI[[#This Row],[Plastic Bucket]],Table_NFI[Plastic Bucket])</f>
        <v>0</v>
      </c>
      <c r="AH426" s="352">
        <f>IF(NFI_Expiration=1,IF($A426&lt;VLOOKUP(Q$5,NFI,5,0),1,0)*Table_NFI[[#This Row],[Plastic Mat]],Table_NFI[Plastic Mat])*IF(Table_NFI[[#This Row],[Distribution Date]]&gt;"2014-04-01",1,2.5)</f>
        <v>0</v>
      </c>
      <c r="AI426" s="352">
        <f>IF(NFI_Expiration=1,IF($A426&lt;VLOOKUP(R$5,NFI,5,0),1,0)*Table_NFI[[#This Row],[Winter Clothes Adult]],Table_NFI[Winter Clothes Adult])</f>
        <v>0</v>
      </c>
      <c r="AJ426" s="352">
        <f>IF(NFI_Expiration=1,IF($A426&lt;VLOOKUP(S$5,NFI,5,0),1,0)*Table_NFI[[#This Row],[Winter Clothes Children]],Table_NFI[Winter Clothes Children])</f>
        <v>0</v>
      </c>
      <c r="AK426" s="352">
        <f>IF(NFI_Expiration=1,IF($A426&lt;VLOOKUP(T$5,NFI,5,0),1,0)*Table_NFI[[#This Row],[Winter Items Other]],Table_NFI[Winter Items Other])</f>
        <v>0</v>
      </c>
      <c r="AL426" s="352">
        <f>IF(NFI_Expiration=1,IF($A426&lt;VLOOKUP(M$5,NFI,5,0),1,0)*Table_NFI[[#This Row],[Winter Blanket]],Table_NFI[[#This Row],[Winter Blanket]])</f>
        <v>0</v>
      </c>
      <c r="AM426" s="352">
        <f>IF(Table_NFI[[#This Row],[Winter Clothes Adult]]+Table_NFI[[#This Row],[Winter Clothes Children]]+Table_NFI[[#This Row],[Winter Items Other]]+Table_NFI[[#This Row],[Winter Blanket]]&gt;0,1,0)</f>
        <v>0</v>
      </c>
      <c r="AN426" s="392">
        <f>IF(NFI_Expiration=1,IF($A426&lt;VLOOKUP(V$5,NFI,5,0),1,0)*Table_NFI[[#This Row],[Jerry Can]],Table_NFI[Jerry Can])</f>
        <v>0</v>
      </c>
      <c r="AO426" s="540" t="str">
        <f>IFERROR(VLOOKUP(Table_NFI[[#This Row],[Camp Name]],CL,2,0),"")</f>
        <v>MMR001CMP066</v>
      </c>
      <c r="AP426" s="535">
        <f ca="1">IF(Table_NFI[[#This Row],[Pcode]]="","",IF(OFFSET(CampList[Opening Date],MATCH(Table_NFI[[#This Row],[Pcode]],CampList[CP_Pcode],0)-1,0,1,1)&gt;=NFI_Monitor_Date,1,0))</f>
        <v>0</v>
      </c>
      <c r="AQ426" s="540" t="str">
        <f>IFERROR(VLOOKUP(Table_NFI[[#This Row],[Camp Name]],CL,3,0),"")</f>
        <v>Open</v>
      </c>
      <c r="AR426" s="352" t="str">
        <f ca="1">IF(Table_NFI[[#This Row],[Pcode]]="","",OFFSET(CampList[Priority],MATCH(Table_NFI[[#This Row],[Pcode]],CampList[CP_Pcode],0)-1,0,1,1))</f>
        <v>P4</v>
      </c>
      <c r="AS426" s="351">
        <f>IFERROR(Table_NFI[[#This Row],[Kitchen Set]]/VLOOKUP(Table_NFI[[#This Row],[Camp Name]],CL,4,0),"")</f>
        <v>3.5714285714285712E-2</v>
      </c>
      <c r="AT426" s="533" t="s">
        <v>1094</v>
      </c>
      <c r="AU426" s="536"/>
    </row>
    <row r="427" spans="1:47" s="537" customFormat="1" ht="14.45" hidden="1" customHeight="1" x14ac:dyDescent="0.25">
      <c r="A427" s="355">
        <f t="shared" si="6"/>
        <v>26.433333333333334</v>
      </c>
      <c r="B427" s="532">
        <v>41778</v>
      </c>
      <c r="C427" s="533" t="s">
        <v>1106</v>
      </c>
      <c r="D427" s="533" t="s">
        <v>902</v>
      </c>
      <c r="E427" s="533" t="s">
        <v>380</v>
      </c>
      <c r="F427" s="533" t="s">
        <v>310</v>
      </c>
      <c r="G427" s="533" t="s">
        <v>328</v>
      </c>
      <c r="H427" s="349"/>
      <c r="I427" s="349"/>
      <c r="J427" s="349"/>
      <c r="K427" s="349"/>
      <c r="L427" s="350"/>
      <c r="M427" s="350"/>
      <c r="N427" s="350"/>
      <c r="O427" s="350"/>
      <c r="P427" s="352"/>
      <c r="Q427" s="352"/>
      <c r="R427" s="352"/>
      <c r="S427" s="352"/>
      <c r="T427" s="352"/>
      <c r="U427" s="352">
        <v>224</v>
      </c>
      <c r="V427" s="497"/>
      <c r="W427" s="352"/>
      <c r="X427" s="352"/>
      <c r="Y427" s="352">
        <f>IF(NFI_Expiration=1,IF($A427&lt;VLOOKUP(H$5,NFI,5,0),1,0)*Table_NFI[[#This Row],[Hygiene Kit]],Table_NFI[Hygiene Kit])</f>
        <v>0</v>
      </c>
      <c r="Z427" s="352">
        <f>IF(NFI_Expiration=1,IF($A427&lt;VLOOKUP(I$5,NFI,5,0),1,0)*Table_NFI[[#This Row],[NFI Core Kit]],Table_NFI[NFI Core Kit])</f>
        <v>0</v>
      </c>
      <c r="AA427" s="352">
        <f>IF(NFI_Expiration=1,IF($A427&lt;VLOOKUP(J$5,NFI,5,0),1,0)*Table_NFI[[#This Row],[Sanitary Kit]],Table_NFI[Sanitary Kit])</f>
        <v>0</v>
      </c>
      <c r="AB427" s="352">
        <f>IF(NFI_Expiration=1,IF($A427&lt;VLOOKUP(K$5,NFI,5,0),1,0)*Table_NFI[[#This Row],[Mosquito net]],Table_NFI[Mosquito net])</f>
        <v>0</v>
      </c>
      <c r="AC427" s="352">
        <f>IF(NFI_Expiration=1,IF($A427&lt;VLOOKUP(L$5,NFI,5,0),1,0)*Table_NFI[[#This Row],[Tarpaulin]],Table_NFI[[#This Row],[Tarpaulin]])</f>
        <v>0</v>
      </c>
      <c r="AD427" s="352">
        <f>IF(NFI_Expiration=1,IF($A427&lt;VLOOKUP(M$5,NFI,5,0),1,0)*Table_NFI[[#This Row],[Blanket]],Table_NFI[[#This Row],[Blanket]])</f>
        <v>0</v>
      </c>
      <c r="AE427" s="352">
        <f>IF(NFI_Expiration=1,IF($A427&lt;VLOOKUP(N$5,NFI,5,0),1,0)*Table_NFI[[#This Row],[Kitchen Set]],Table_NFI[Kitchen Set])</f>
        <v>0</v>
      </c>
      <c r="AF427" s="352">
        <f>IF(NFI_Expiration=1,IF($A427&lt;VLOOKUP(O$5,NFI,5,0),1,0)*Table_NFI[[#This Row],[Clothes Kit]],Table_NFI[Clothes Kit])</f>
        <v>0</v>
      </c>
      <c r="AG427" s="352">
        <f>IF(NFI_Expiration=1,IF($A427&lt;VLOOKUP(P$5,NFI,5,0),1,0)*Table_NFI[[#This Row],[Plastic Bucket]],Table_NFI[Plastic Bucket])</f>
        <v>0</v>
      </c>
      <c r="AH427" s="352">
        <f>IF(NFI_Expiration=1,IF($A427&lt;VLOOKUP(Q$5,NFI,5,0),1,0)*Table_NFI[[#This Row],[Plastic Mat]],Table_NFI[Plastic Mat])*IF(Table_NFI[[#This Row],[Distribution Date]]&gt;"2014-04-01",1,2.5)</f>
        <v>0</v>
      </c>
      <c r="AI427" s="352">
        <f>IF(NFI_Expiration=1,IF($A427&lt;VLOOKUP(R$5,NFI,5,0),1,0)*Table_NFI[[#This Row],[Winter Clothes Adult]],Table_NFI[Winter Clothes Adult])</f>
        <v>0</v>
      </c>
      <c r="AJ427" s="352">
        <f>IF(NFI_Expiration=1,IF($A427&lt;VLOOKUP(S$5,NFI,5,0),1,0)*Table_NFI[[#This Row],[Winter Clothes Children]],Table_NFI[Winter Clothes Children])</f>
        <v>0</v>
      </c>
      <c r="AK427" s="352">
        <f>IF(NFI_Expiration=1,IF($A427&lt;VLOOKUP(T$5,NFI,5,0),1,0)*Table_NFI[[#This Row],[Winter Items Other]],Table_NFI[Winter Items Other])</f>
        <v>0</v>
      </c>
      <c r="AL427" s="352">
        <f>IF(NFI_Expiration=1,IF($A427&lt;VLOOKUP(M$5,NFI,5,0),1,0)*Table_NFI[[#This Row],[Winter Blanket]],Table_NFI[[#This Row],[Winter Blanket]])</f>
        <v>0</v>
      </c>
      <c r="AM427" s="352">
        <f>IF(Table_NFI[[#This Row],[Winter Clothes Adult]]+Table_NFI[[#This Row],[Winter Clothes Children]]+Table_NFI[[#This Row],[Winter Items Other]]+Table_NFI[[#This Row],[Winter Blanket]]&gt;0,1,0)</f>
        <v>1</v>
      </c>
      <c r="AN427" s="392">
        <f>IF(NFI_Expiration=1,IF($A427&lt;VLOOKUP(V$5,NFI,5,0),1,0)*Table_NFI[[#This Row],[Jerry Can]],Table_NFI[Jerry Can])</f>
        <v>0</v>
      </c>
      <c r="AO427" s="540" t="str">
        <f>IFERROR(VLOOKUP(Table_NFI[[#This Row],[Camp Name]],CL,2,0),"")</f>
        <v>MMR001CMP031</v>
      </c>
      <c r="AP427" s="535">
        <f ca="1">IF(Table_NFI[[#This Row],[Pcode]]="","",IF(OFFSET(CampList[Opening Date],MATCH(Table_NFI[[#This Row],[Pcode]],CampList[CP_Pcode],0)-1,0,1,1)&gt;=NFI_Monitor_Date,1,0))</f>
        <v>0</v>
      </c>
      <c r="AQ427" s="540" t="str">
        <f>IFERROR(VLOOKUP(Table_NFI[[#This Row],[Camp Name]],CL,3,0),"")</f>
        <v>Open</v>
      </c>
      <c r="AR427" s="352" t="str">
        <f ca="1">IF(Table_NFI[[#This Row],[Pcode]]="","",OFFSET(CampList[Priority],MATCH(Table_NFI[[#This Row],[Pcode]],CampList[CP_Pcode],0)-1,0,1,1))</f>
        <v>P4</v>
      </c>
      <c r="AS427" s="351">
        <f>IFERROR(Table_NFI[[#This Row],[Kitchen Set]]/VLOOKUP(Table_NFI[[#This Row],[Camp Name]],CL,4,0),"")</f>
        <v>0</v>
      </c>
      <c r="AT427" s="533"/>
      <c r="AU427" s="536"/>
    </row>
    <row r="428" spans="1:47" s="537" customFormat="1" hidden="1" x14ac:dyDescent="0.25">
      <c r="A428" s="355">
        <f t="shared" si="6"/>
        <v>31.433333333333334</v>
      </c>
      <c r="B428" s="532">
        <v>41628</v>
      </c>
      <c r="C428" s="533" t="s">
        <v>907</v>
      </c>
      <c r="D428" s="533" t="s">
        <v>461</v>
      </c>
      <c r="E428" s="533" t="s">
        <v>380</v>
      </c>
      <c r="F428" s="533" t="s">
        <v>310</v>
      </c>
      <c r="G428" s="533" t="s">
        <v>328</v>
      </c>
      <c r="H428" s="349"/>
      <c r="I428" s="349"/>
      <c r="J428" s="349"/>
      <c r="K428" s="349"/>
      <c r="L428" s="350"/>
      <c r="M428" s="350"/>
      <c r="N428" s="350"/>
      <c r="O428" s="350"/>
      <c r="P428" s="352"/>
      <c r="Q428" s="352"/>
      <c r="R428" s="352">
        <v>141</v>
      </c>
      <c r="S428" s="352">
        <v>265</v>
      </c>
      <c r="T428" s="352">
        <v>812</v>
      </c>
      <c r="U428" s="352">
        <v>406</v>
      </c>
      <c r="V428" s="497"/>
      <c r="W428" s="352"/>
      <c r="X428" s="352"/>
      <c r="Y428" s="352">
        <f>IF(NFI_Expiration=1,IF($A428&lt;VLOOKUP(H$5,NFI,5,0),1,0)*Table_NFI[[#This Row],[Hygiene Kit]],Table_NFI[Hygiene Kit])</f>
        <v>0</v>
      </c>
      <c r="Z428" s="352">
        <f>IF(NFI_Expiration=1,IF($A428&lt;VLOOKUP(I$5,NFI,5,0),1,0)*Table_NFI[[#This Row],[NFI Core Kit]],Table_NFI[NFI Core Kit])</f>
        <v>0</v>
      </c>
      <c r="AA428" s="352">
        <f>IF(NFI_Expiration=1,IF($A428&lt;VLOOKUP(J$5,NFI,5,0),1,0)*Table_NFI[[#This Row],[Sanitary Kit]],Table_NFI[Sanitary Kit])</f>
        <v>0</v>
      </c>
      <c r="AB428" s="352">
        <f>IF(NFI_Expiration=1,IF($A428&lt;VLOOKUP(K$5,NFI,5,0),1,0)*Table_NFI[[#This Row],[Mosquito net]],Table_NFI[Mosquito net])</f>
        <v>0</v>
      </c>
      <c r="AC428" s="352">
        <f>IF(NFI_Expiration=1,IF($A428&lt;VLOOKUP(L$5,NFI,5,0),1,0)*Table_NFI[[#This Row],[Tarpaulin]],Table_NFI[[#This Row],[Tarpaulin]])</f>
        <v>0</v>
      </c>
      <c r="AD428" s="352">
        <f>IF(NFI_Expiration=1,IF($A428&lt;VLOOKUP(M$5,NFI,5,0),1,0)*Table_NFI[[#This Row],[Blanket]],Table_NFI[[#This Row],[Blanket]])</f>
        <v>0</v>
      </c>
      <c r="AE428" s="352">
        <f>IF(NFI_Expiration=1,IF($A428&lt;VLOOKUP(N$5,NFI,5,0),1,0)*Table_NFI[[#This Row],[Kitchen Set]],Table_NFI[Kitchen Set])</f>
        <v>0</v>
      </c>
      <c r="AF428" s="352">
        <f>IF(NFI_Expiration=1,IF($A428&lt;VLOOKUP(O$5,NFI,5,0),1,0)*Table_NFI[[#This Row],[Clothes Kit]],Table_NFI[Clothes Kit])</f>
        <v>0</v>
      </c>
      <c r="AG428" s="352">
        <f>IF(NFI_Expiration=1,IF($A428&lt;VLOOKUP(P$5,NFI,5,0),1,0)*Table_NFI[[#This Row],[Plastic Bucket]],Table_NFI[Plastic Bucket])</f>
        <v>0</v>
      </c>
      <c r="AH428" s="352">
        <f>IF(NFI_Expiration=1,IF($A428&lt;VLOOKUP(Q$5,NFI,5,0),1,0)*Table_NFI[[#This Row],[Plastic Mat]],Table_NFI[Plastic Mat])*IF(Table_NFI[[#This Row],[Distribution Date]]&gt;"2014-04-01",1,2.5)</f>
        <v>0</v>
      </c>
      <c r="AI428" s="352">
        <f>IF(NFI_Expiration=1,IF($A428&lt;VLOOKUP(R$5,NFI,5,0),1,0)*Table_NFI[[#This Row],[Winter Clothes Adult]],Table_NFI[Winter Clothes Adult])</f>
        <v>0</v>
      </c>
      <c r="AJ428" s="352">
        <f>IF(NFI_Expiration=1,IF($A428&lt;VLOOKUP(S$5,NFI,5,0),1,0)*Table_NFI[[#This Row],[Winter Clothes Children]],Table_NFI[Winter Clothes Children])</f>
        <v>0</v>
      </c>
      <c r="AK428" s="352">
        <f>IF(NFI_Expiration=1,IF($A428&lt;VLOOKUP(T$5,NFI,5,0),1,0)*Table_NFI[[#This Row],[Winter Items Other]],Table_NFI[Winter Items Other])</f>
        <v>0</v>
      </c>
      <c r="AL428" s="352">
        <f>IF(NFI_Expiration=1,IF($A428&lt;VLOOKUP(M$5,NFI,5,0),1,0)*Table_NFI[[#This Row],[Winter Blanket]],Table_NFI[[#This Row],[Winter Blanket]])</f>
        <v>0</v>
      </c>
      <c r="AM428" s="352">
        <f>IF(Table_NFI[[#This Row],[Winter Clothes Adult]]+Table_NFI[[#This Row],[Winter Clothes Children]]+Table_NFI[[#This Row],[Winter Items Other]]+Table_NFI[[#This Row],[Winter Blanket]]&gt;0,1,0)</f>
        <v>1</v>
      </c>
      <c r="AN428" s="392">
        <f>IF(NFI_Expiration=1,IF($A428&lt;VLOOKUP(V$5,NFI,5,0),1,0)*Table_NFI[[#This Row],[Jerry Can]],Table_NFI[Jerry Can])</f>
        <v>0</v>
      </c>
      <c r="AO428" s="540" t="str">
        <f>IFERROR(VLOOKUP(Table_NFI[[#This Row],[Camp Name]],CL,2,0),"")</f>
        <v>MMR001CMP031</v>
      </c>
      <c r="AP428" s="535">
        <f ca="1">IF(Table_NFI[[#This Row],[Pcode]]="","",IF(OFFSET(CampList[Opening Date],MATCH(Table_NFI[[#This Row],[Pcode]],CampList[CP_Pcode],0)-1,0,1,1)&gt;=NFI_Monitor_Date,1,0))</f>
        <v>0</v>
      </c>
      <c r="AQ428" s="540" t="str">
        <f>IFERROR(VLOOKUP(Table_NFI[[#This Row],[Camp Name]],CL,3,0),"")</f>
        <v>Open</v>
      </c>
      <c r="AR428" s="352" t="str">
        <f ca="1">IF(Table_NFI[[#This Row],[Pcode]]="","",OFFSET(CampList[Priority],MATCH(Table_NFI[[#This Row],[Pcode]],CampList[CP_Pcode],0)-1,0,1,1))</f>
        <v>P4</v>
      </c>
      <c r="AS428" s="351">
        <f>IFERROR(Table_NFI[[#This Row],[Kitchen Set]]/VLOOKUP(Table_NFI[[#This Row],[Camp Name]],CL,4,0),"")</f>
        <v>0</v>
      </c>
      <c r="AT428" s="533"/>
      <c r="AU428" s="536"/>
    </row>
    <row r="429" spans="1:47" s="537" customFormat="1" hidden="1" x14ac:dyDescent="0.25">
      <c r="A429" s="355">
        <f t="shared" si="6"/>
        <v>32.1</v>
      </c>
      <c r="B429" s="532">
        <v>41608</v>
      </c>
      <c r="C429" s="533" t="s">
        <v>907</v>
      </c>
      <c r="D429" s="534" t="s">
        <v>461</v>
      </c>
      <c r="E429" s="533" t="s">
        <v>380</v>
      </c>
      <c r="F429" s="533" t="s">
        <v>310</v>
      </c>
      <c r="G429" s="348" t="s">
        <v>328</v>
      </c>
      <c r="H429" s="349"/>
      <c r="I429" s="349"/>
      <c r="J429" s="349"/>
      <c r="K429" s="349"/>
      <c r="L429" s="350"/>
      <c r="M429" s="350"/>
      <c r="N429" s="350"/>
      <c r="O429" s="350"/>
      <c r="P429" s="352"/>
      <c r="Q429" s="352"/>
      <c r="R429" s="352"/>
      <c r="S429" s="352"/>
      <c r="T429" s="352"/>
      <c r="U429" s="352"/>
      <c r="V429" s="497"/>
      <c r="W429" s="352"/>
      <c r="X429" s="352"/>
      <c r="Y429" s="352">
        <f>IF(NFI_Expiration=1,IF($A429&lt;VLOOKUP(H$5,NFI,5,0),1,0)*Table_NFI[[#This Row],[Hygiene Kit]],Table_NFI[Hygiene Kit])</f>
        <v>0</v>
      </c>
      <c r="Z429" s="352">
        <f>IF(NFI_Expiration=1,IF($A429&lt;VLOOKUP(I$5,NFI,5,0),1,0)*Table_NFI[[#This Row],[NFI Core Kit]],Table_NFI[NFI Core Kit])</f>
        <v>0</v>
      </c>
      <c r="AA429" s="352">
        <f>IF(NFI_Expiration=1,IF($A429&lt;VLOOKUP(J$5,NFI,5,0),1,0)*Table_NFI[[#This Row],[Sanitary Kit]],Table_NFI[Sanitary Kit])</f>
        <v>0</v>
      </c>
      <c r="AB429" s="352">
        <f>IF(NFI_Expiration=1,IF($A429&lt;VLOOKUP(K$5,NFI,5,0),1,0)*Table_NFI[[#This Row],[Mosquito net]],Table_NFI[Mosquito net])</f>
        <v>0</v>
      </c>
      <c r="AC429" s="352">
        <f>IF(NFI_Expiration=1,IF($A429&lt;VLOOKUP(L$5,NFI,5,0),1,0)*Table_NFI[[#This Row],[Tarpaulin]],Table_NFI[[#This Row],[Tarpaulin]])</f>
        <v>0</v>
      </c>
      <c r="AD429" s="352">
        <f>IF(NFI_Expiration=1,IF($A429&lt;VLOOKUP(M$5,NFI,5,0),1,0)*Table_NFI[[#This Row],[Blanket]],Table_NFI[[#This Row],[Blanket]])</f>
        <v>0</v>
      </c>
      <c r="AE429" s="352">
        <f>IF(NFI_Expiration=1,IF($A429&lt;VLOOKUP(N$5,NFI,5,0),1,0)*Table_NFI[[#This Row],[Kitchen Set]],Table_NFI[Kitchen Set])</f>
        <v>0</v>
      </c>
      <c r="AF429" s="352">
        <f>IF(NFI_Expiration=1,IF($A429&lt;VLOOKUP(O$5,NFI,5,0),1,0)*Table_NFI[[#This Row],[Clothes Kit]],Table_NFI[Clothes Kit])</f>
        <v>0</v>
      </c>
      <c r="AG429" s="352">
        <f>IF(NFI_Expiration=1,IF($A429&lt;VLOOKUP(P$5,NFI,5,0),1,0)*Table_NFI[[#This Row],[Plastic Bucket]],Table_NFI[Plastic Bucket])</f>
        <v>0</v>
      </c>
      <c r="AH429" s="352">
        <f>IF(NFI_Expiration=1,IF($A429&lt;VLOOKUP(Q$5,NFI,5,0),1,0)*Table_NFI[[#This Row],[Plastic Mat]],Table_NFI[Plastic Mat])*IF(Table_NFI[[#This Row],[Distribution Date]]&gt;"2014-04-01",1,2.5)</f>
        <v>0</v>
      </c>
      <c r="AI429" s="352">
        <f>IF(NFI_Expiration=1,IF($A429&lt;VLOOKUP(R$5,NFI,5,0),1,0)*Table_NFI[[#This Row],[Winter Clothes Adult]],Table_NFI[Winter Clothes Adult])</f>
        <v>0</v>
      </c>
      <c r="AJ429" s="352">
        <f>IF(NFI_Expiration=1,IF($A429&lt;VLOOKUP(S$5,NFI,5,0),1,0)*Table_NFI[[#This Row],[Winter Clothes Children]],Table_NFI[Winter Clothes Children])</f>
        <v>0</v>
      </c>
      <c r="AK429" s="352">
        <f>IF(NFI_Expiration=1,IF($A429&lt;VLOOKUP(T$5,NFI,5,0),1,0)*Table_NFI[[#This Row],[Winter Items Other]],Table_NFI[Winter Items Other])</f>
        <v>0</v>
      </c>
      <c r="AL429" s="352">
        <f>IF(NFI_Expiration=1,IF($A429&lt;VLOOKUP(M$5,NFI,5,0),1,0)*Table_NFI[[#This Row],[Winter Blanket]],Table_NFI[[#This Row],[Winter Blanket]])</f>
        <v>0</v>
      </c>
      <c r="AM429" s="352">
        <f>IF(Table_NFI[[#This Row],[Winter Clothes Adult]]+Table_NFI[[#This Row],[Winter Clothes Children]]+Table_NFI[[#This Row],[Winter Items Other]]+Table_NFI[[#This Row],[Winter Blanket]]&gt;0,1,0)</f>
        <v>0</v>
      </c>
      <c r="AN429" s="392">
        <f>IF(NFI_Expiration=1,IF($A429&lt;VLOOKUP(V$5,NFI,5,0),1,0)*Table_NFI[[#This Row],[Jerry Can]],Table_NFI[Jerry Can])</f>
        <v>0</v>
      </c>
      <c r="AO429" s="540" t="str">
        <f>IFERROR(VLOOKUP(Table_NFI[[#This Row],[Camp Name]],CL,2,0),"")</f>
        <v>MMR001CMP031</v>
      </c>
      <c r="AP429" s="535">
        <f ca="1">IF(Table_NFI[[#This Row],[Pcode]]="","",IF(OFFSET(CampList[Opening Date],MATCH(Table_NFI[[#This Row],[Pcode]],CampList[CP_Pcode],0)-1,0,1,1)&gt;=NFI_Monitor_Date,1,0))</f>
        <v>0</v>
      </c>
      <c r="AQ429" s="540" t="str">
        <f>IFERROR(VLOOKUP(Table_NFI[[#This Row],[Camp Name]],CL,3,0),"")</f>
        <v>Open</v>
      </c>
      <c r="AR429" s="352" t="str">
        <f ca="1">IF(Table_NFI[[#This Row],[Pcode]]="","",OFFSET(CampList[Priority],MATCH(Table_NFI[[#This Row],[Pcode]],CampList[CP_Pcode],0)-1,0,1,1))</f>
        <v>P4</v>
      </c>
      <c r="AS429" s="351">
        <f>IFERROR(Table_NFI[[#This Row],[Kitchen Set]]/VLOOKUP(Table_NFI[[#This Row],[Camp Name]],CL,4,0),"")</f>
        <v>0</v>
      </c>
      <c r="AT429" s="533" t="s">
        <v>1094</v>
      </c>
      <c r="AU429" s="536"/>
    </row>
    <row r="430" spans="1:47" s="537" customFormat="1" ht="14.45" customHeight="1" x14ac:dyDescent="0.25">
      <c r="A430" s="355">
        <f t="shared" si="6"/>
        <v>32.233333333333334</v>
      </c>
      <c r="B430" s="532">
        <v>41604</v>
      </c>
      <c r="C430" s="534" t="s">
        <v>453</v>
      </c>
      <c r="D430" s="534" t="s">
        <v>453</v>
      </c>
      <c r="E430" s="533" t="s">
        <v>380</v>
      </c>
      <c r="F430" s="533" t="s">
        <v>5</v>
      </c>
      <c r="G430" s="348" t="s">
        <v>513</v>
      </c>
      <c r="H430" s="349"/>
      <c r="I430" s="349"/>
      <c r="J430" s="349"/>
      <c r="K430" s="349">
        <v>11</v>
      </c>
      <c r="L430" s="350">
        <v>5</v>
      </c>
      <c r="M430" s="350">
        <v>11</v>
      </c>
      <c r="N430" s="350">
        <v>5</v>
      </c>
      <c r="O430" s="350">
        <v>5</v>
      </c>
      <c r="P430" s="352"/>
      <c r="Q430" s="352"/>
      <c r="R430" s="352"/>
      <c r="S430" s="352"/>
      <c r="T430" s="352"/>
      <c r="U430" s="352"/>
      <c r="V430" s="497"/>
      <c r="W430" s="352"/>
      <c r="X430" s="352"/>
      <c r="Y430" s="352">
        <f>IF(NFI_Expiration=1,IF($A430&lt;VLOOKUP(H$5,NFI,5,0),1,0)*Table_NFI[[#This Row],[Hygiene Kit]],Table_NFI[Hygiene Kit])</f>
        <v>0</v>
      </c>
      <c r="Z430" s="352">
        <f>IF(NFI_Expiration=1,IF($A430&lt;VLOOKUP(I$5,NFI,5,0),1,0)*Table_NFI[[#This Row],[NFI Core Kit]],Table_NFI[NFI Core Kit])</f>
        <v>0</v>
      </c>
      <c r="AA430" s="352">
        <f>IF(NFI_Expiration=1,IF($A430&lt;VLOOKUP(J$5,NFI,5,0),1,0)*Table_NFI[[#This Row],[Sanitary Kit]],Table_NFI[Sanitary Kit])</f>
        <v>0</v>
      </c>
      <c r="AB430" s="352">
        <f>IF(NFI_Expiration=1,IF($A430&lt;VLOOKUP(K$5,NFI,5,0),1,0)*Table_NFI[[#This Row],[Mosquito net]],Table_NFI[Mosquito net])</f>
        <v>0</v>
      </c>
      <c r="AC430" s="352">
        <f>IF(NFI_Expiration=1,IF($A430&lt;VLOOKUP(L$5,NFI,5,0),1,0)*Table_NFI[[#This Row],[Tarpaulin]],Table_NFI[[#This Row],[Tarpaulin]])</f>
        <v>0</v>
      </c>
      <c r="AD430" s="352">
        <f>IF(NFI_Expiration=1,IF($A430&lt;VLOOKUP(M$5,NFI,5,0),1,0)*Table_NFI[[#This Row],[Blanket]],Table_NFI[[#This Row],[Blanket]])</f>
        <v>0</v>
      </c>
      <c r="AE430" s="352">
        <f>IF(NFI_Expiration=1,IF($A430&lt;VLOOKUP(N$5,NFI,5,0),1,0)*Table_NFI[[#This Row],[Kitchen Set]],Table_NFI[Kitchen Set])</f>
        <v>0</v>
      </c>
      <c r="AF430" s="352">
        <f>IF(NFI_Expiration=1,IF($A430&lt;VLOOKUP(O$5,NFI,5,0),1,0)*Table_NFI[[#This Row],[Clothes Kit]],Table_NFI[Clothes Kit])</f>
        <v>0</v>
      </c>
      <c r="AG430" s="352">
        <f>IF(NFI_Expiration=1,IF($A430&lt;VLOOKUP(P$5,NFI,5,0),1,0)*Table_NFI[[#This Row],[Plastic Bucket]],Table_NFI[Plastic Bucket])</f>
        <v>0</v>
      </c>
      <c r="AH430" s="352">
        <f>IF(NFI_Expiration=1,IF($A430&lt;VLOOKUP(Q$5,NFI,5,0),1,0)*Table_NFI[[#This Row],[Plastic Mat]],Table_NFI[Plastic Mat])*IF(Table_NFI[[#This Row],[Distribution Date]]&gt;"2014-04-01",1,2.5)</f>
        <v>0</v>
      </c>
      <c r="AI430" s="352">
        <f>IF(NFI_Expiration=1,IF($A430&lt;VLOOKUP(R$5,NFI,5,0),1,0)*Table_NFI[[#This Row],[Winter Clothes Adult]],Table_NFI[Winter Clothes Adult])</f>
        <v>0</v>
      </c>
      <c r="AJ430" s="352">
        <f>IF(NFI_Expiration=1,IF($A430&lt;VLOOKUP(S$5,NFI,5,0),1,0)*Table_NFI[[#This Row],[Winter Clothes Children]],Table_NFI[Winter Clothes Children])</f>
        <v>0</v>
      </c>
      <c r="AK430" s="352">
        <f>IF(NFI_Expiration=1,IF($A430&lt;VLOOKUP(T$5,NFI,5,0),1,0)*Table_NFI[[#This Row],[Winter Items Other]],Table_NFI[Winter Items Other])</f>
        <v>0</v>
      </c>
      <c r="AL430" s="352">
        <f>IF(NFI_Expiration=1,IF($A430&lt;VLOOKUP(M$5,NFI,5,0),1,0)*Table_NFI[[#This Row],[Winter Blanket]],Table_NFI[[#This Row],[Winter Blanket]])</f>
        <v>0</v>
      </c>
      <c r="AM430" s="352">
        <f>IF(Table_NFI[[#This Row],[Winter Clothes Adult]]+Table_NFI[[#This Row],[Winter Clothes Children]]+Table_NFI[[#This Row],[Winter Items Other]]+Table_NFI[[#This Row],[Winter Blanket]]&gt;0,1,0)</f>
        <v>0</v>
      </c>
      <c r="AN430" s="392">
        <f>IF(NFI_Expiration=1,IF($A430&lt;VLOOKUP(V$5,NFI,5,0),1,0)*Table_NFI[[#This Row],[Jerry Can]],Table_NFI[Jerry Can])</f>
        <v>0</v>
      </c>
      <c r="AO430" s="540" t="str">
        <f>IFERROR(VLOOKUP(Table_NFI[[#This Row],[Camp Name]],CL,2,0),"")</f>
        <v>MMR001CMP194</v>
      </c>
      <c r="AP430" s="535">
        <f ca="1">IF(Table_NFI[[#This Row],[Pcode]]="","",IF(OFFSET(CampList[Opening Date],MATCH(Table_NFI[[#This Row],[Pcode]],CampList[CP_Pcode],0)-1,0,1,1)&gt;=NFI_Monitor_Date,1,0))</f>
        <v>0</v>
      </c>
      <c r="AQ430" s="540" t="str">
        <f>IFERROR(VLOOKUP(Table_NFI[[#This Row],[Camp Name]],CL,3,0),"")</f>
        <v>Open</v>
      </c>
      <c r="AR430" s="352" t="str">
        <f ca="1">IF(Table_NFI[[#This Row],[Pcode]]="","",OFFSET(CampList[Priority],MATCH(Table_NFI[[#This Row],[Pcode]],CampList[CP_Pcode],0)-1,0,1,1))</f>
        <v>P4</v>
      </c>
      <c r="AS430" s="351">
        <f>IFERROR(Table_NFI[[#This Row],[Kitchen Set]]/VLOOKUP(Table_NFI[[#This Row],[Camp Name]],CL,4,0),"")</f>
        <v>0.41666666666666669</v>
      </c>
      <c r="AT430" s="533" t="s">
        <v>1094</v>
      </c>
      <c r="AU430" s="536"/>
    </row>
    <row r="431" spans="1:47" s="537" customFormat="1" ht="14.45" customHeight="1" x14ac:dyDescent="0.25">
      <c r="A431" s="355">
        <f t="shared" si="6"/>
        <v>32.233333333333334</v>
      </c>
      <c r="B431" s="532">
        <v>41604</v>
      </c>
      <c r="C431" s="534" t="s">
        <v>453</v>
      </c>
      <c r="D431" s="534" t="s">
        <v>453</v>
      </c>
      <c r="E431" s="533" t="s">
        <v>380</v>
      </c>
      <c r="F431" s="533" t="s">
        <v>5</v>
      </c>
      <c r="G431" s="348" t="s">
        <v>12</v>
      </c>
      <c r="H431" s="349"/>
      <c r="I431" s="349"/>
      <c r="J431" s="349"/>
      <c r="K431" s="349">
        <v>25</v>
      </c>
      <c r="L431" s="350">
        <v>13</v>
      </c>
      <c r="M431" s="350">
        <v>25</v>
      </c>
      <c r="N431" s="350">
        <v>13</v>
      </c>
      <c r="O431" s="350">
        <v>13</v>
      </c>
      <c r="P431" s="352"/>
      <c r="Q431" s="352"/>
      <c r="R431" s="352"/>
      <c r="S431" s="352"/>
      <c r="T431" s="352"/>
      <c r="U431" s="352"/>
      <c r="V431" s="497"/>
      <c r="W431" s="352"/>
      <c r="X431" s="352"/>
      <c r="Y431" s="352">
        <f>IF(NFI_Expiration=1,IF($A431&lt;VLOOKUP(H$5,NFI,5,0),1,0)*Table_NFI[[#This Row],[Hygiene Kit]],Table_NFI[Hygiene Kit])</f>
        <v>0</v>
      </c>
      <c r="Z431" s="352">
        <f>IF(NFI_Expiration=1,IF($A431&lt;VLOOKUP(I$5,NFI,5,0),1,0)*Table_NFI[[#This Row],[NFI Core Kit]],Table_NFI[NFI Core Kit])</f>
        <v>0</v>
      </c>
      <c r="AA431" s="352">
        <f>IF(NFI_Expiration=1,IF($A431&lt;VLOOKUP(J$5,NFI,5,0),1,0)*Table_NFI[[#This Row],[Sanitary Kit]],Table_NFI[Sanitary Kit])</f>
        <v>0</v>
      </c>
      <c r="AB431" s="352">
        <f>IF(NFI_Expiration=1,IF($A431&lt;VLOOKUP(K$5,NFI,5,0),1,0)*Table_NFI[[#This Row],[Mosquito net]],Table_NFI[Mosquito net])</f>
        <v>0</v>
      </c>
      <c r="AC431" s="352">
        <f>IF(NFI_Expiration=1,IF($A431&lt;VLOOKUP(L$5,NFI,5,0),1,0)*Table_NFI[[#This Row],[Tarpaulin]],Table_NFI[[#This Row],[Tarpaulin]])</f>
        <v>0</v>
      </c>
      <c r="AD431" s="352">
        <f>IF(NFI_Expiration=1,IF($A431&lt;VLOOKUP(M$5,NFI,5,0),1,0)*Table_NFI[[#This Row],[Blanket]],Table_NFI[[#This Row],[Blanket]])</f>
        <v>0</v>
      </c>
      <c r="AE431" s="352">
        <f>IF(NFI_Expiration=1,IF($A431&lt;VLOOKUP(N$5,NFI,5,0),1,0)*Table_NFI[[#This Row],[Kitchen Set]],Table_NFI[Kitchen Set])</f>
        <v>0</v>
      </c>
      <c r="AF431" s="352">
        <f>IF(NFI_Expiration=1,IF($A431&lt;VLOOKUP(O$5,NFI,5,0),1,0)*Table_NFI[[#This Row],[Clothes Kit]],Table_NFI[Clothes Kit])</f>
        <v>0</v>
      </c>
      <c r="AG431" s="352">
        <f>IF(NFI_Expiration=1,IF($A431&lt;VLOOKUP(P$5,NFI,5,0),1,0)*Table_NFI[[#This Row],[Plastic Bucket]],Table_NFI[Plastic Bucket])</f>
        <v>0</v>
      </c>
      <c r="AH431" s="352">
        <f>IF(NFI_Expiration=1,IF($A431&lt;VLOOKUP(Q$5,NFI,5,0),1,0)*Table_NFI[[#This Row],[Plastic Mat]],Table_NFI[Plastic Mat])*IF(Table_NFI[[#This Row],[Distribution Date]]&gt;"2014-04-01",1,2.5)</f>
        <v>0</v>
      </c>
      <c r="AI431" s="352">
        <f>IF(NFI_Expiration=1,IF($A431&lt;VLOOKUP(R$5,NFI,5,0),1,0)*Table_NFI[[#This Row],[Winter Clothes Adult]],Table_NFI[Winter Clothes Adult])</f>
        <v>0</v>
      </c>
      <c r="AJ431" s="352">
        <f>IF(NFI_Expiration=1,IF($A431&lt;VLOOKUP(S$5,NFI,5,0),1,0)*Table_NFI[[#This Row],[Winter Clothes Children]],Table_NFI[Winter Clothes Children])</f>
        <v>0</v>
      </c>
      <c r="AK431" s="352">
        <f>IF(NFI_Expiration=1,IF($A431&lt;VLOOKUP(T$5,NFI,5,0),1,0)*Table_NFI[[#This Row],[Winter Items Other]],Table_NFI[Winter Items Other])</f>
        <v>0</v>
      </c>
      <c r="AL431" s="352">
        <f>IF(NFI_Expiration=1,IF($A431&lt;VLOOKUP(M$5,NFI,5,0),1,0)*Table_NFI[[#This Row],[Winter Blanket]],Table_NFI[[#This Row],[Winter Blanket]])</f>
        <v>0</v>
      </c>
      <c r="AM431" s="352">
        <f>IF(Table_NFI[[#This Row],[Winter Clothes Adult]]+Table_NFI[[#This Row],[Winter Clothes Children]]+Table_NFI[[#This Row],[Winter Items Other]]+Table_NFI[[#This Row],[Winter Blanket]]&gt;0,1,0)</f>
        <v>0</v>
      </c>
      <c r="AN431" s="392">
        <f>IF(NFI_Expiration=1,IF($A431&lt;VLOOKUP(V$5,NFI,5,0),1,0)*Table_NFI[[#This Row],[Jerry Can]],Table_NFI[Jerry Can])</f>
        <v>0</v>
      </c>
      <c r="AO431" s="540" t="str">
        <f>IFERROR(VLOOKUP(Table_NFI[[#This Row],[Camp Name]],CL,2,0),"")</f>
        <v>MMR001CMP163</v>
      </c>
      <c r="AP431" s="535">
        <f ca="1">IF(Table_NFI[[#This Row],[Pcode]]="","",IF(OFFSET(CampList[Opening Date],MATCH(Table_NFI[[#This Row],[Pcode]],CampList[CP_Pcode],0)-1,0,1,1)&gt;=NFI_Monitor_Date,1,0))</f>
        <v>0</v>
      </c>
      <c r="AQ431" s="540" t="str">
        <f>IFERROR(VLOOKUP(Table_NFI[[#This Row],[Camp Name]],CL,3,0),"")</f>
        <v>Open</v>
      </c>
      <c r="AR431" s="352" t="str">
        <f ca="1">IF(Table_NFI[[#This Row],[Pcode]]="","",OFFSET(CampList[Priority],MATCH(Table_NFI[[#This Row],[Pcode]],CampList[CP_Pcode],0)-1,0,1,1))</f>
        <v>P4</v>
      </c>
      <c r="AS431" s="351">
        <f>IFERROR(Table_NFI[[#This Row],[Kitchen Set]]/VLOOKUP(Table_NFI[[#This Row],[Camp Name]],CL,4,0),"")</f>
        <v>6.1611374407582936E-2</v>
      </c>
      <c r="AT431" s="533" t="s">
        <v>1094</v>
      </c>
      <c r="AU431" s="536"/>
    </row>
    <row r="432" spans="1:47" s="537" customFormat="1" ht="14.45" customHeight="1" x14ac:dyDescent="0.25">
      <c r="A432" s="355">
        <f t="shared" si="6"/>
        <v>32.233333333333334</v>
      </c>
      <c r="B432" s="532">
        <v>41604</v>
      </c>
      <c r="C432" s="534" t="s">
        <v>453</v>
      </c>
      <c r="D432" s="534" t="s">
        <v>453</v>
      </c>
      <c r="E432" s="533" t="s">
        <v>380</v>
      </c>
      <c r="F432" s="533" t="s">
        <v>5</v>
      </c>
      <c r="G432" s="348" t="s">
        <v>18</v>
      </c>
      <c r="H432" s="349"/>
      <c r="I432" s="349"/>
      <c r="J432" s="349"/>
      <c r="K432" s="349">
        <v>31</v>
      </c>
      <c r="L432" s="350">
        <v>13</v>
      </c>
      <c r="M432" s="350">
        <v>31</v>
      </c>
      <c r="N432" s="350">
        <v>13</v>
      </c>
      <c r="O432" s="350">
        <v>13</v>
      </c>
      <c r="P432" s="352"/>
      <c r="Q432" s="352"/>
      <c r="R432" s="352"/>
      <c r="S432" s="352"/>
      <c r="T432" s="352"/>
      <c r="U432" s="352"/>
      <c r="V432" s="497"/>
      <c r="W432" s="352"/>
      <c r="X432" s="352"/>
      <c r="Y432" s="352">
        <f>IF(NFI_Expiration=1,IF($A432&lt;VLOOKUP(H$5,NFI,5,0),1,0)*Table_NFI[[#This Row],[Hygiene Kit]],Table_NFI[Hygiene Kit])</f>
        <v>0</v>
      </c>
      <c r="Z432" s="352">
        <f>IF(NFI_Expiration=1,IF($A432&lt;VLOOKUP(I$5,NFI,5,0),1,0)*Table_NFI[[#This Row],[NFI Core Kit]],Table_NFI[NFI Core Kit])</f>
        <v>0</v>
      </c>
      <c r="AA432" s="352">
        <f>IF(NFI_Expiration=1,IF($A432&lt;VLOOKUP(J$5,NFI,5,0),1,0)*Table_NFI[[#This Row],[Sanitary Kit]],Table_NFI[Sanitary Kit])</f>
        <v>0</v>
      </c>
      <c r="AB432" s="352">
        <f>IF(NFI_Expiration=1,IF($A432&lt;VLOOKUP(K$5,NFI,5,0),1,0)*Table_NFI[[#This Row],[Mosquito net]],Table_NFI[Mosquito net])</f>
        <v>0</v>
      </c>
      <c r="AC432" s="352">
        <f>IF(NFI_Expiration=1,IF($A432&lt;VLOOKUP(L$5,NFI,5,0),1,0)*Table_NFI[[#This Row],[Tarpaulin]],Table_NFI[[#This Row],[Tarpaulin]])</f>
        <v>0</v>
      </c>
      <c r="AD432" s="352">
        <f>IF(NFI_Expiration=1,IF($A432&lt;VLOOKUP(M$5,NFI,5,0),1,0)*Table_NFI[[#This Row],[Blanket]],Table_NFI[[#This Row],[Blanket]])</f>
        <v>0</v>
      </c>
      <c r="AE432" s="352">
        <f>IF(NFI_Expiration=1,IF($A432&lt;VLOOKUP(N$5,NFI,5,0),1,0)*Table_NFI[[#This Row],[Kitchen Set]],Table_NFI[Kitchen Set])</f>
        <v>0</v>
      </c>
      <c r="AF432" s="352">
        <f>IF(NFI_Expiration=1,IF($A432&lt;VLOOKUP(O$5,NFI,5,0),1,0)*Table_NFI[[#This Row],[Clothes Kit]],Table_NFI[Clothes Kit])</f>
        <v>0</v>
      </c>
      <c r="AG432" s="352">
        <f>IF(NFI_Expiration=1,IF($A432&lt;VLOOKUP(P$5,NFI,5,0),1,0)*Table_NFI[[#This Row],[Plastic Bucket]],Table_NFI[Plastic Bucket])</f>
        <v>0</v>
      </c>
      <c r="AH432" s="352">
        <f>IF(NFI_Expiration=1,IF($A432&lt;VLOOKUP(Q$5,NFI,5,0),1,0)*Table_NFI[[#This Row],[Plastic Mat]],Table_NFI[Plastic Mat])*IF(Table_NFI[[#This Row],[Distribution Date]]&gt;"2014-04-01",1,2.5)</f>
        <v>0</v>
      </c>
      <c r="AI432" s="352">
        <f>IF(NFI_Expiration=1,IF($A432&lt;VLOOKUP(R$5,NFI,5,0),1,0)*Table_NFI[[#This Row],[Winter Clothes Adult]],Table_NFI[Winter Clothes Adult])</f>
        <v>0</v>
      </c>
      <c r="AJ432" s="352">
        <f>IF(NFI_Expiration=1,IF($A432&lt;VLOOKUP(S$5,NFI,5,0),1,0)*Table_NFI[[#This Row],[Winter Clothes Children]],Table_NFI[Winter Clothes Children])</f>
        <v>0</v>
      </c>
      <c r="AK432" s="352">
        <f>IF(NFI_Expiration=1,IF($A432&lt;VLOOKUP(T$5,NFI,5,0),1,0)*Table_NFI[[#This Row],[Winter Items Other]],Table_NFI[Winter Items Other])</f>
        <v>0</v>
      </c>
      <c r="AL432" s="352">
        <f>IF(NFI_Expiration=1,IF($A432&lt;VLOOKUP(M$5,NFI,5,0),1,0)*Table_NFI[[#This Row],[Winter Blanket]],Table_NFI[[#This Row],[Winter Blanket]])</f>
        <v>0</v>
      </c>
      <c r="AM432" s="352">
        <f>IF(Table_NFI[[#This Row],[Winter Clothes Adult]]+Table_NFI[[#This Row],[Winter Clothes Children]]+Table_NFI[[#This Row],[Winter Items Other]]+Table_NFI[[#This Row],[Winter Blanket]]&gt;0,1,0)</f>
        <v>0</v>
      </c>
      <c r="AN432" s="392">
        <f>IF(NFI_Expiration=1,IF($A432&lt;VLOOKUP(V$5,NFI,5,0),1,0)*Table_NFI[[#This Row],[Jerry Can]],Table_NFI[Jerry Can])</f>
        <v>0</v>
      </c>
      <c r="AO432" s="540" t="str">
        <f>IFERROR(VLOOKUP(Table_NFI[[#This Row],[Camp Name]],CL,2,0),"")</f>
        <v>MMR001CMP049</v>
      </c>
      <c r="AP432" s="535">
        <f ca="1">IF(Table_NFI[[#This Row],[Pcode]]="","",IF(OFFSET(CampList[Opening Date],MATCH(Table_NFI[[#This Row],[Pcode]],CampList[CP_Pcode],0)-1,0,1,1)&gt;=NFI_Monitor_Date,1,0))</f>
        <v>0</v>
      </c>
      <c r="AQ432" s="540" t="str">
        <f>IFERROR(VLOOKUP(Table_NFI[[#This Row],[Camp Name]],CL,3,0),"")</f>
        <v>Open</v>
      </c>
      <c r="AR432" s="352" t="str">
        <f ca="1">IF(Table_NFI[[#This Row],[Pcode]]="","",OFFSET(CampList[Priority],MATCH(Table_NFI[[#This Row],[Pcode]],CampList[CP_Pcode],0)-1,0,1,1))</f>
        <v>P4</v>
      </c>
      <c r="AS432" s="351">
        <f>IFERROR(Table_NFI[[#This Row],[Kitchen Set]]/VLOOKUP(Table_NFI[[#This Row],[Camp Name]],CL,4,0),"")</f>
        <v>0.11206896551724138</v>
      </c>
      <c r="AT432" s="533" t="s">
        <v>1094</v>
      </c>
      <c r="AU432" s="536"/>
    </row>
    <row r="433" spans="1:47" s="537" customFormat="1" ht="14.45" customHeight="1" x14ac:dyDescent="0.25">
      <c r="A433" s="355">
        <f t="shared" si="6"/>
        <v>32.233333333333334</v>
      </c>
      <c r="B433" s="532">
        <v>41604</v>
      </c>
      <c r="C433" s="534" t="s">
        <v>453</v>
      </c>
      <c r="D433" s="534" t="s">
        <v>453</v>
      </c>
      <c r="E433" s="533" t="s">
        <v>380</v>
      </c>
      <c r="F433" s="348" t="s">
        <v>5</v>
      </c>
      <c r="G433" s="348" t="s">
        <v>8</v>
      </c>
      <c r="H433" s="349"/>
      <c r="I433" s="349"/>
      <c r="J433" s="349"/>
      <c r="K433" s="349">
        <v>22</v>
      </c>
      <c r="L433" s="350">
        <v>11</v>
      </c>
      <c r="M433" s="350">
        <v>22</v>
      </c>
      <c r="N433" s="350">
        <v>11</v>
      </c>
      <c r="O433" s="350">
        <v>11</v>
      </c>
      <c r="P433" s="352"/>
      <c r="Q433" s="352"/>
      <c r="R433" s="352"/>
      <c r="S433" s="352"/>
      <c r="T433" s="352"/>
      <c r="U433" s="352"/>
      <c r="V433" s="497"/>
      <c r="W433" s="352"/>
      <c r="X433" s="352"/>
      <c r="Y433" s="352">
        <f>IF(NFI_Expiration=1,IF($A433&lt;VLOOKUP(H$5,NFI,5,0),1,0)*Table_NFI[[#This Row],[Hygiene Kit]],Table_NFI[Hygiene Kit])</f>
        <v>0</v>
      </c>
      <c r="Z433" s="352">
        <f>IF(NFI_Expiration=1,IF($A433&lt;VLOOKUP(I$5,NFI,5,0),1,0)*Table_NFI[[#This Row],[NFI Core Kit]],Table_NFI[NFI Core Kit])</f>
        <v>0</v>
      </c>
      <c r="AA433" s="352">
        <f>IF(NFI_Expiration=1,IF($A433&lt;VLOOKUP(J$5,NFI,5,0),1,0)*Table_NFI[[#This Row],[Sanitary Kit]],Table_NFI[Sanitary Kit])</f>
        <v>0</v>
      </c>
      <c r="AB433" s="352">
        <f>IF(NFI_Expiration=1,IF($A433&lt;VLOOKUP(K$5,NFI,5,0),1,0)*Table_NFI[[#This Row],[Mosquito net]],Table_NFI[Mosquito net])</f>
        <v>0</v>
      </c>
      <c r="AC433" s="352">
        <f>IF(NFI_Expiration=1,IF($A433&lt;VLOOKUP(L$5,NFI,5,0),1,0)*Table_NFI[[#This Row],[Tarpaulin]],Table_NFI[[#This Row],[Tarpaulin]])</f>
        <v>0</v>
      </c>
      <c r="AD433" s="352">
        <f>IF(NFI_Expiration=1,IF($A433&lt;VLOOKUP(M$5,NFI,5,0),1,0)*Table_NFI[[#This Row],[Blanket]],Table_NFI[[#This Row],[Blanket]])</f>
        <v>0</v>
      </c>
      <c r="AE433" s="352">
        <f>IF(NFI_Expiration=1,IF($A433&lt;VLOOKUP(N$5,NFI,5,0),1,0)*Table_NFI[[#This Row],[Kitchen Set]],Table_NFI[Kitchen Set])</f>
        <v>0</v>
      </c>
      <c r="AF433" s="352">
        <f>IF(NFI_Expiration=1,IF($A433&lt;VLOOKUP(O$5,NFI,5,0),1,0)*Table_NFI[[#This Row],[Clothes Kit]],Table_NFI[Clothes Kit])</f>
        <v>0</v>
      </c>
      <c r="AG433" s="352">
        <f>IF(NFI_Expiration=1,IF($A433&lt;VLOOKUP(P$5,NFI,5,0),1,0)*Table_NFI[[#This Row],[Plastic Bucket]],Table_NFI[Plastic Bucket])</f>
        <v>0</v>
      </c>
      <c r="AH433" s="352">
        <f>IF(NFI_Expiration=1,IF($A433&lt;VLOOKUP(Q$5,NFI,5,0),1,0)*Table_NFI[[#This Row],[Plastic Mat]],Table_NFI[Plastic Mat])*IF(Table_NFI[[#This Row],[Distribution Date]]&gt;"2014-04-01",1,2.5)</f>
        <v>0</v>
      </c>
      <c r="AI433" s="352">
        <f>IF(NFI_Expiration=1,IF($A433&lt;VLOOKUP(R$5,NFI,5,0),1,0)*Table_NFI[[#This Row],[Winter Clothes Adult]],Table_NFI[Winter Clothes Adult])</f>
        <v>0</v>
      </c>
      <c r="AJ433" s="352">
        <f>IF(NFI_Expiration=1,IF($A433&lt;VLOOKUP(S$5,NFI,5,0),1,0)*Table_NFI[[#This Row],[Winter Clothes Children]],Table_NFI[Winter Clothes Children])</f>
        <v>0</v>
      </c>
      <c r="AK433" s="352">
        <f>IF(NFI_Expiration=1,IF($A433&lt;VLOOKUP(T$5,NFI,5,0),1,0)*Table_NFI[[#This Row],[Winter Items Other]],Table_NFI[Winter Items Other])</f>
        <v>0</v>
      </c>
      <c r="AL433" s="352">
        <f>IF(NFI_Expiration=1,IF($A433&lt;VLOOKUP(M$5,NFI,5,0),1,0)*Table_NFI[[#This Row],[Winter Blanket]],Table_NFI[[#This Row],[Winter Blanket]])</f>
        <v>0</v>
      </c>
      <c r="AM433" s="352">
        <f>IF(Table_NFI[[#This Row],[Winter Clothes Adult]]+Table_NFI[[#This Row],[Winter Clothes Children]]+Table_NFI[[#This Row],[Winter Items Other]]+Table_NFI[[#This Row],[Winter Blanket]]&gt;0,1,0)</f>
        <v>0</v>
      </c>
      <c r="AN433" s="392">
        <f>IF(NFI_Expiration=1,IF($A433&lt;VLOOKUP(V$5,NFI,5,0),1,0)*Table_NFI[[#This Row],[Jerry Can]],Table_NFI[Jerry Can])</f>
        <v>0</v>
      </c>
      <c r="AO433" s="540" t="str">
        <f>IFERROR(VLOOKUP(Table_NFI[[#This Row],[Camp Name]],CL,2,0),"")</f>
        <v>MMR001CMP051</v>
      </c>
      <c r="AP433" s="535">
        <f ca="1">IF(Table_NFI[[#This Row],[Pcode]]="","",IF(OFFSET(CampList[Opening Date],MATCH(Table_NFI[[#This Row],[Pcode]],CampList[CP_Pcode],0)-1,0,1,1)&gt;=NFI_Monitor_Date,1,0))</f>
        <v>0</v>
      </c>
      <c r="AQ433" s="540" t="str">
        <f>IFERROR(VLOOKUP(Table_NFI[[#This Row],[Camp Name]],CL,3,0),"")</f>
        <v>Open</v>
      </c>
      <c r="AR433" s="352" t="str">
        <f ca="1">IF(Table_NFI[[#This Row],[Pcode]]="","",OFFSET(CampList[Priority],MATCH(Table_NFI[[#This Row],[Pcode]],CampList[CP_Pcode],0)-1,0,1,1))</f>
        <v>P4</v>
      </c>
      <c r="AS433" s="351">
        <f>IFERROR(Table_NFI[[#This Row],[Kitchen Set]]/VLOOKUP(Table_NFI[[#This Row],[Camp Name]],CL,4,0),"")</f>
        <v>0.7857142857142857</v>
      </c>
      <c r="AT433" s="533" t="s">
        <v>1094</v>
      </c>
      <c r="AU433" s="536"/>
    </row>
    <row r="434" spans="1:47" s="537" customFormat="1" ht="14.45" customHeight="1" x14ac:dyDescent="0.25">
      <c r="A434" s="355">
        <f t="shared" si="6"/>
        <v>32.4</v>
      </c>
      <c r="B434" s="532">
        <v>41599</v>
      </c>
      <c r="C434" s="534" t="s">
        <v>453</v>
      </c>
      <c r="D434" s="534" t="s">
        <v>453</v>
      </c>
      <c r="E434" s="533" t="s">
        <v>380</v>
      </c>
      <c r="F434" s="348" t="s">
        <v>5</v>
      </c>
      <c r="G434" s="348" t="s">
        <v>513</v>
      </c>
      <c r="H434" s="349"/>
      <c r="I434" s="349"/>
      <c r="J434" s="349"/>
      <c r="K434" s="349">
        <v>34</v>
      </c>
      <c r="L434" s="350">
        <v>18</v>
      </c>
      <c r="M434" s="350">
        <v>34</v>
      </c>
      <c r="N434" s="350">
        <v>18</v>
      </c>
      <c r="O434" s="350">
        <v>18</v>
      </c>
      <c r="P434" s="352"/>
      <c r="Q434" s="352"/>
      <c r="R434" s="352"/>
      <c r="S434" s="352"/>
      <c r="T434" s="352"/>
      <c r="U434" s="352"/>
      <c r="V434" s="497"/>
      <c r="W434" s="352"/>
      <c r="X434" s="352"/>
      <c r="Y434" s="352">
        <f>IF(NFI_Expiration=1,IF($A434&lt;VLOOKUP(H$5,NFI,5,0),1,0)*Table_NFI[[#This Row],[Hygiene Kit]],Table_NFI[Hygiene Kit])</f>
        <v>0</v>
      </c>
      <c r="Z434" s="352">
        <f>IF(NFI_Expiration=1,IF($A434&lt;VLOOKUP(I$5,NFI,5,0),1,0)*Table_NFI[[#This Row],[NFI Core Kit]],Table_NFI[NFI Core Kit])</f>
        <v>0</v>
      </c>
      <c r="AA434" s="352">
        <f>IF(NFI_Expiration=1,IF($A434&lt;VLOOKUP(J$5,NFI,5,0),1,0)*Table_NFI[[#This Row],[Sanitary Kit]],Table_NFI[Sanitary Kit])</f>
        <v>0</v>
      </c>
      <c r="AB434" s="352">
        <f>IF(NFI_Expiration=1,IF($A434&lt;VLOOKUP(K$5,NFI,5,0),1,0)*Table_NFI[[#This Row],[Mosquito net]],Table_NFI[Mosquito net])</f>
        <v>0</v>
      </c>
      <c r="AC434" s="352">
        <f>IF(NFI_Expiration=1,IF($A434&lt;VLOOKUP(L$5,NFI,5,0),1,0)*Table_NFI[[#This Row],[Tarpaulin]],Table_NFI[[#This Row],[Tarpaulin]])</f>
        <v>0</v>
      </c>
      <c r="AD434" s="352">
        <f>IF(NFI_Expiration=1,IF($A434&lt;VLOOKUP(M$5,NFI,5,0),1,0)*Table_NFI[[#This Row],[Blanket]],Table_NFI[[#This Row],[Blanket]])</f>
        <v>0</v>
      </c>
      <c r="AE434" s="352">
        <f>IF(NFI_Expiration=1,IF($A434&lt;VLOOKUP(N$5,NFI,5,0),1,0)*Table_NFI[[#This Row],[Kitchen Set]],Table_NFI[Kitchen Set])</f>
        <v>0</v>
      </c>
      <c r="AF434" s="352">
        <f>IF(NFI_Expiration=1,IF($A434&lt;VLOOKUP(O$5,NFI,5,0),1,0)*Table_NFI[[#This Row],[Clothes Kit]],Table_NFI[Clothes Kit])</f>
        <v>0</v>
      </c>
      <c r="AG434" s="352">
        <f>IF(NFI_Expiration=1,IF($A434&lt;VLOOKUP(P$5,NFI,5,0),1,0)*Table_NFI[[#This Row],[Plastic Bucket]],Table_NFI[Plastic Bucket])</f>
        <v>0</v>
      </c>
      <c r="AH434" s="352">
        <f>IF(NFI_Expiration=1,IF($A434&lt;VLOOKUP(Q$5,NFI,5,0),1,0)*Table_NFI[[#This Row],[Plastic Mat]],Table_NFI[Plastic Mat])*IF(Table_NFI[[#This Row],[Distribution Date]]&gt;"2014-04-01",1,2.5)</f>
        <v>0</v>
      </c>
      <c r="AI434" s="352">
        <f>IF(NFI_Expiration=1,IF($A434&lt;VLOOKUP(R$5,NFI,5,0),1,0)*Table_NFI[[#This Row],[Winter Clothes Adult]],Table_NFI[Winter Clothes Adult])</f>
        <v>0</v>
      </c>
      <c r="AJ434" s="352">
        <f>IF(NFI_Expiration=1,IF($A434&lt;VLOOKUP(S$5,NFI,5,0),1,0)*Table_NFI[[#This Row],[Winter Clothes Children]],Table_NFI[Winter Clothes Children])</f>
        <v>0</v>
      </c>
      <c r="AK434" s="352">
        <f>IF(NFI_Expiration=1,IF($A434&lt;VLOOKUP(T$5,NFI,5,0),1,0)*Table_NFI[[#This Row],[Winter Items Other]],Table_NFI[Winter Items Other])</f>
        <v>0</v>
      </c>
      <c r="AL434" s="352">
        <f>IF(NFI_Expiration=1,IF($A434&lt;VLOOKUP(M$5,NFI,5,0),1,0)*Table_NFI[[#This Row],[Winter Blanket]],Table_NFI[[#This Row],[Winter Blanket]])</f>
        <v>0</v>
      </c>
      <c r="AM434" s="352">
        <f>IF(Table_NFI[[#This Row],[Winter Clothes Adult]]+Table_NFI[[#This Row],[Winter Clothes Children]]+Table_NFI[[#This Row],[Winter Items Other]]+Table_NFI[[#This Row],[Winter Blanket]]&gt;0,1,0)</f>
        <v>0</v>
      </c>
      <c r="AN434" s="392">
        <f>IF(NFI_Expiration=1,IF($A434&lt;VLOOKUP(V$5,NFI,5,0),1,0)*Table_NFI[[#This Row],[Jerry Can]],Table_NFI[Jerry Can])</f>
        <v>0</v>
      </c>
      <c r="AO434" s="540" t="str">
        <f>IFERROR(VLOOKUP(Table_NFI[[#This Row],[Camp Name]],CL,2,0),"")</f>
        <v>MMR001CMP194</v>
      </c>
      <c r="AP434" s="535">
        <f ca="1">IF(Table_NFI[[#This Row],[Pcode]]="","",IF(OFFSET(CampList[Opening Date],MATCH(Table_NFI[[#This Row],[Pcode]],CampList[CP_Pcode],0)-1,0,1,1)&gt;=NFI_Monitor_Date,1,0))</f>
        <v>0</v>
      </c>
      <c r="AQ434" s="540" t="str">
        <f>IFERROR(VLOOKUP(Table_NFI[[#This Row],[Camp Name]],CL,3,0),"")</f>
        <v>Open</v>
      </c>
      <c r="AR434" s="352" t="str">
        <f ca="1">IF(Table_NFI[[#This Row],[Pcode]]="","",OFFSET(CampList[Priority],MATCH(Table_NFI[[#This Row],[Pcode]],CampList[CP_Pcode],0)-1,0,1,1))</f>
        <v>P4</v>
      </c>
      <c r="AS434" s="351">
        <f>IFERROR(Table_NFI[[#This Row],[Kitchen Set]]/VLOOKUP(Table_NFI[[#This Row],[Camp Name]],CL,4,0),"")</f>
        <v>1.5</v>
      </c>
      <c r="AT434" s="533" t="s">
        <v>1094</v>
      </c>
      <c r="AU434" s="536"/>
    </row>
    <row r="435" spans="1:47" s="537" customFormat="1" ht="14.45" hidden="1" customHeight="1" x14ac:dyDescent="0.25">
      <c r="A435" s="355">
        <f t="shared" si="6"/>
        <v>42.2</v>
      </c>
      <c r="B435" s="532">
        <v>41305</v>
      </c>
      <c r="C435" s="533" t="s">
        <v>570</v>
      </c>
      <c r="D435" s="534" t="s">
        <v>570</v>
      </c>
      <c r="E435" s="533" t="s">
        <v>380</v>
      </c>
      <c r="F435" s="348" t="s">
        <v>310</v>
      </c>
      <c r="G435" s="348" t="s">
        <v>328</v>
      </c>
      <c r="H435" s="349"/>
      <c r="I435" s="349"/>
      <c r="J435" s="349"/>
      <c r="K435" s="349"/>
      <c r="L435" s="350"/>
      <c r="M435" s="350">
        <v>128</v>
      </c>
      <c r="N435" s="350"/>
      <c r="O435" s="350"/>
      <c r="P435" s="352">
        <v>0</v>
      </c>
      <c r="Q435" s="352">
        <v>0</v>
      </c>
      <c r="R435" s="352"/>
      <c r="S435" s="352"/>
      <c r="T435" s="352"/>
      <c r="U435" s="352"/>
      <c r="V435" s="497"/>
      <c r="W435" s="352"/>
      <c r="X435" s="352"/>
      <c r="Y435" s="352">
        <f>IF(NFI_Expiration=1,IF($A435&lt;VLOOKUP(H$5,NFI,5,0),1,0)*Table_NFI[[#This Row],[Hygiene Kit]],Table_NFI[Hygiene Kit])</f>
        <v>0</v>
      </c>
      <c r="Z435" s="352">
        <f>IF(NFI_Expiration=1,IF($A435&lt;VLOOKUP(I$5,NFI,5,0),1,0)*Table_NFI[[#This Row],[NFI Core Kit]],Table_NFI[NFI Core Kit])</f>
        <v>0</v>
      </c>
      <c r="AA435" s="352">
        <f>IF(NFI_Expiration=1,IF($A435&lt;VLOOKUP(J$5,NFI,5,0),1,0)*Table_NFI[[#This Row],[Sanitary Kit]],Table_NFI[Sanitary Kit])</f>
        <v>0</v>
      </c>
      <c r="AB435" s="352">
        <f>IF(NFI_Expiration=1,IF($A435&lt;VLOOKUP(K$5,NFI,5,0),1,0)*Table_NFI[[#This Row],[Mosquito net]],Table_NFI[Mosquito net])</f>
        <v>0</v>
      </c>
      <c r="AC435" s="352">
        <f>IF(NFI_Expiration=1,IF($A435&lt;VLOOKUP(L$5,NFI,5,0),1,0)*Table_NFI[[#This Row],[Tarpaulin]],Table_NFI[[#This Row],[Tarpaulin]])</f>
        <v>0</v>
      </c>
      <c r="AD435" s="352">
        <f>IF(NFI_Expiration=1,IF($A435&lt;VLOOKUP(M$5,NFI,5,0),1,0)*Table_NFI[[#This Row],[Blanket]],Table_NFI[[#This Row],[Blanket]])</f>
        <v>0</v>
      </c>
      <c r="AE435" s="352">
        <f>IF(NFI_Expiration=1,IF($A435&lt;VLOOKUP(N$5,NFI,5,0),1,0)*Table_NFI[[#This Row],[Kitchen Set]],Table_NFI[Kitchen Set])</f>
        <v>0</v>
      </c>
      <c r="AF435" s="352">
        <f>IF(NFI_Expiration=1,IF($A435&lt;VLOOKUP(O$5,NFI,5,0),1,0)*Table_NFI[[#This Row],[Clothes Kit]],Table_NFI[Clothes Kit])</f>
        <v>0</v>
      </c>
      <c r="AG435" s="352">
        <f>IF(NFI_Expiration=1,IF($A435&lt;VLOOKUP(P$5,NFI,5,0),1,0)*Table_NFI[[#This Row],[Plastic Bucket]],Table_NFI[Plastic Bucket])</f>
        <v>0</v>
      </c>
      <c r="AH435" s="352">
        <f>IF(NFI_Expiration=1,IF($A435&lt;VLOOKUP(Q$5,NFI,5,0),1,0)*Table_NFI[[#This Row],[Plastic Mat]],Table_NFI[Plastic Mat])*IF(Table_NFI[[#This Row],[Distribution Date]]&gt;"2014-04-01",1,2.5)</f>
        <v>0</v>
      </c>
      <c r="AI435" s="352">
        <f>IF(NFI_Expiration=1,IF($A435&lt;VLOOKUP(R$5,NFI,5,0),1,0)*Table_NFI[[#This Row],[Winter Clothes Adult]],Table_NFI[Winter Clothes Adult])</f>
        <v>0</v>
      </c>
      <c r="AJ435" s="352">
        <f>IF(NFI_Expiration=1,IF($A435&lt;VLOOKUP(S$5,NFI,5,0),1,0)*Table_NFI[[#This Row],[Winter Clothes Children]],Table_NFI[Winter Clothes Children])</f>
        <v>0</v>
      </c>
      <c r="AK435" s="352">
        <f>IF(NFI_Expiration=1,IF($A435&lt;VLOOKUP(T$5,NFI,5,0),1,0)*Table_NFI[[#This Row],[Winter Items Other]],Table_NFI[Winter Items Other])</f>
        <v>0</v>
      </c>
      <c r="AL435" s="352">
        <f>IF(NFI_Expiration=1,IF($A435&lt;VLOOKUP(M$5,NFI,5,0),1,0)*Table_NFI[[#This Row],[Winter Blanket]],Table_NFI[[#This Row],[Winter Blanket]])</f>
        <v>0</v>
      </c>
      <c r="AM435" s="352">
        <f>IF(Table_NFI[[#This Row],[Winter Clothes Adult]]+Table_NFI[[#This Row],[Winter Clothes Children]]+Table_NFI[[#This Row],[Winter Items Other]]+Table_NFI[[#This Row],[Winter Blanket]]&gt;0,1,0)</f>
        <v>0</v>
      </c>
      <c r="AN435" s="392">
        <f>IF(NFI_Expiration=1,IF($A435&lt;VLOOKUP(V$5,NFI,5,0),1,0)*Table_NFI[[#This Row],[Jerry Can]],Table_NFI[Jerry Can])</f>
        <v>0</v>
      </c>
      <c r="AO435" s="540" t="str">
        <f>IFERROR(VLOOKUP(Table_NFI[[#This Row],[Camp Name]],CL,2,0),"")</f>
        <v>MMR001CMP031</v>
      </c>
      <c r="AP435" s="535">
        <f ca="1">IF(Table_NFI[[#This Row],[Pcode]]="","",IF(OFFSET(CampList[Opening Date],MATCH(Table_NFI[[#This Row],[Pcode]],CampList[CP_Pcode],0)-1,0,1,1)&gt;=NFI_Monitor_Date,1,0))</f>
        <v>0</v>
      </c>
      <c r="AQ435" s="540" t="str">
        <f>IFERROR(VLOOKUP(Table_NFI[[#This Row],[Camp Name]],CL,3,0),"")</f>
        <v>Open</v>
      </c>
      <c r="AR435" s="352" t="str">
        <f ca="1">IF(Table_NFI[[#This Row],[Pcode]]="","",OFFSET(CampList[Priority],MATCH(Table_NFI[[#This Row],[Pcode]],CampList[CP_Pcode],0)-1,0,1,1))</f>
        <v>P4</v>
      </c>
      <c r="AS435" s="351">
        <f>IFERROR(Table_NFI[[#This Row],[Kitchen Set]]/VLOOKUP(Table_NFI[[#This Row],[Camp Name]],CL,4,0),"")</f>
        <v>0</v>
      </c>
      <c r="AT435" s="533" t="s">
        <v>1094</v>
      </c>
      <c r="AU435" s="536"/>
    </row>
    <row r="436" spans="1:47" s="537" customFormat="1" ht="14.45" hidden="1" customHeight="1" x14ac:dyDescent="0.25">
      <c r="A436" s="355">
        <f t="shared" si="6"/>
        <v>43.233333333333334</v>
      </c>
      <c r="B436" s="532">
        <v>41274</v>
      </c>
      <c r="C436" s="533" t="s">
        <v>454</v>
      </c>
      <c r="D436" s="534" t="s">
        <v>454</v>
      </c>
      <c r="E436" s="533" t="s">
        <v>380</v>
      </c>
      <c r="F436" s="348" t="s">
        <v>310</v>
      </c>
      <c r="G436" s="348" t="s">
        <v>328</v>
      </c>
      <c r="H436" s="349">
        <v>79</v>
      </c>
      <c r="I436" s="349"/>
      <c r="J436" s="349"/>
      <c r="K436" s="349"/>
      <c r="L436" s="350"/>
      <c r="M436" s="350"/>
      <c r="N436" s="350"/>
      <c r="O436" s="350"/>
      <c r="P436" s="352">
        <v>0</v>
      </c>
      <c r="Q436" s="352">
        <v>0</v>
      </c>
      <c r="R436" s="352"/>
      <c r="S436" s="352"/>
      <c r="T436" s="352"/>
      <c r="U436" s="352"/>
      <c r="V436" s="497"/>
      <c r="W436" s="352"/>
      <c r="X436" s="352"/>
      <c r="Y436" s="352">
        <f>IF(NFI_Expiration=1,IF($A436&lt;VLOOKUP(H$5,NFI,5,0),1,0)*Table_NFI[[#This Row],[Hygiene Kit]],Table_NFI[Hygiene Kit])</f>
        <v>0</v>
      </c>
      <c r="Z436" s="352">
        <f>IF(NFI_Expiration=1,IF($A436&lt;VLOOKUP(I$5,NFI,5,0),1,0)*Table_NFI[[#This Row],[NFI Core Kit]],Table_NFI[NFI Core Kit])</f>
        <v>0</v>
      </c>
      <c r="AA436" s="352">
        <f>IF(NFI_Expiration=1,IF($A436&lt;VLOOKUP(J$5,NFI,5,0),1,0)*Table_NFI[[#This Row],[Sanitary Kit]],Table_NFI[Sanitary Kit])</f>
        <v>0</v>
      </c>
      <c r="AB436" s="352">
        <f>IF(NFI_Expiration=1,IF($A436&lt;VLOOKUP(K$5,NFI,5,0),1,0)*Table_NFI[[#This Row],[Mosquito net]],Table_NFI[Mosquito net])</f>
        <v>0</v>
      </c>
      <c r="AC436" s="352">
        <f>IF(NFI_Expiration=1,IF($A436&lt;VLOOKUP(L$5,NFI,5,0),1,0)*Table_NFI[[#This Row],[Tarpaulin]],Table_NFI[[#This Row],[Tarpaulin]])</f>
        <v>0</v>
      </c>
      <c r="AD436" s="352">
        <f>IF(NFI_Expiration=1,IF($A436&lt;VLOOKUP(M$5,NFI,5,0),1,0)*Table_NFI[[#This Row],[Blanket]],Table_NFI[[#This Row],[Blanket]])</f>
        <v>0</v>
      </c>
      <c r="AE436" s="352">
        <f>IF(NFI_Expiration=1,IF($A436&lt;VLOOKUP(N$5,NFI,5,0),1,0)*Table_NFI[[#This Row],[Kitchen Set]],Table_NFI[Kitchen Set])</f>
        <v>0</v>
      </c>
      <c r="AF436" s="352">
        <f>IF(NFI_Expiration=1,IF($A436&lt;VLOOKUP(O$5,NFI,5,0),1,0)*Table_NFI[[#This Row],[Clothes Kit]],Table_NFI[Clothes Kit])</f>
        <v>0</v>
      </c>
      <c r="AG436" s="352">
        <f>IF(NFI_Expiration=1,IF($A436&lt;VLOOKUP(P$5,NFI,5,0),1,0)*Table_NFI[[#This Row],[Plastic Bucket]],Table_NFI[Plastic Bucket])</f>
        <v>0</v>
      </c>
      <c r="AH436" s="352">
        <f>IF(NFI_Expiration=1,IF($A436&lt;VLOOKUP(Q$5,NFI,5,0),1,0)*Table_NFI[[#This Row],[Plastic Mat]],Table_NFI[Plastic Mat])*IF(Table_NFI[[#This Row],[Distribution Date]]&gt;"2014-04-01",1,2.5)</f>
        <v>0</v>
      </c>
      <c r="AI436" s="352">
        <f>IF(NFI_Expiration=1,IF($A436&lt;VLOOKUP(R$5,NFI,5,0),1,0)*Table_NFI[[#This Row],[Winter Clothes Adult]],Table_NFI[Winter Clothes Adult])</f>
        <v>0</v>
      </c>
      <c r="AJ436" s="352">
        <f>IF(NFI_Expiration=1,IF($A436&lt;VLOOKUP(S$5,NFI,5,0),1,0)*Table_NFI[[#This Row],[Winter Clothes Children]],Table_NFI[Winter Clothes Children])</f>
        <v>0</v>
      </c>
      <c r="AK436" s="352">
        <f>IF(NFI_Expiration=1,IF($A436&lt;VLOOKUP(T$5,NFI,5,0),1,0)*Table_NFI[[#This Row],[Winter Items Other]],Table_NFI[Winter Items Other])</f>
        <v>0</v>
      </c>
      <c r="AL436" s="352">
        <f>IF(NFI_Expiration=1,IF($A436&lt;VLOOKUP(M$5,NFI,5,0),1,0)*Table_NFI[[#This Row],[Winter Blanket]],Table_NFI[[#This Row],[Winter Blanket]])</f>
        <v>0</v>
      </c>
      <c r="AM436" s="352">
        <f>IF(Table_NFI[[#This Row],[Winter Clothes Adult]]+Table_NFI[[#This Row],[Winter Clothes Children]]+Table_NFI[[#This Row],[Winter Items Other]]+Table_NFI[[#This Row],[Winter Blanket]]&gt;0,1,0)</f>
        <v>0</v>
      </c>
      <c r="AN436" s="392">
        <f>IF(NFI_Expiration=1,IF($A436&lt;VLOOKUP(V$5,NFI,5,0),1,0)*Table_NFI[[#This Row],[Jerry Can]],Table_NFI[Jerry Can])</f>
        <v>0</v>
      </c>
      <c r="AO436" s="540" t="str">
        <f>IFERROR(VLOOKUP(Table_NFI[[#This Row],[Camp Name]],CL,2,0),"")</f>
        <v>MMR001CMP031</v>
      </c>
      <c r="AP436" s="535">
        <f ca="1">IF(Table_NFI[[#This Row],[Pcode]]="","",IF(OFFSET(CampList[Opening Date],MATCH(Table_NFI[[#This Row],[Pcode]],CampList[CP_Pcode],0)-1,0,1,1)&gt;=NFI_Monitor_Date,1,0))</f>
        <v>0</v>
      </c>
      <c r="AQ436" s="540" t="str">
        <f>IFERROR(VLOOKUP(Table_NFI[[#This Row],[Camp Name]],CL,3,0),"")</f>
        <v>Open</v>
      </c>
      <c r="AR436" s="352" t="str">
        <f ca="1">IF(Table_NFI[[#This Row],[Pcode]]="","",OFFSET(CampList[Priority],MATCH(Table_NFI[[#This Row],[Pcode]],CampList[CP_Pcode],0)-1,0,1,1))</f>
        <v>P4</v>
      </c>
      <c r="AS436" s="351">
        <f>IFERROR(Table_NFI[[#This Row],[Kitchen Set]]/VLOOKUP(Table_NFI[[#This Row],[Camp Name]],CL,4,0),"")</f>
        <v>0</v>
      </c>
      <c r="AT436" s="533" t="s">
        <v>1094</v>
      </c>
      <c r="AU436" s="536"/>
    </row>
    <row r="437" spans="1:47" s="537" customFormat="1" ht="14.45" customHeight="1" x14ac:dyDescent="0.25">
      <c r="A437" s="355">
        <f t="shared" si="6"/>
        <v>32.4</v>
      </c>
      <c r="B437" s="532">
        <v>41599</v>
      </c>
      <c r="C437" s="534" t="s">
        <v>453</v>
      </c>
      <c r="D437" s="534" t="s">
        <v>574</v>
      </c>
      <c r="E437" s="533" t="s">
        <v>380</v>
      </c>
      <c r="F437" s="533" t="s">
        <v>151</v>
      </c>
      <c r="G437" s="348" t="s">
        <v>877</v>
      </c>
      <c r="H437" s="349"/>
      <c r="I437" s="349"/>
      <c r="J437" s="349"/>
      <c r="K437" s="349">
        <v>400</v>
      </c>
      <c r="L437" s="350">
        <v>210</v>
      </c>
      <c r="M437" s="350">
        <v>400</v>
      </c>
      <c r="N437" s="350">
        <v>210</v>
      </c>
      <c r="O437" s="350"/>
      <c r="P437" s="352"/>
      <c r="Q437" s="352">
        <v>210</v>
      </c>
      <c r="R437" s="352"/>
      <c r="S437" s="352"/>
      <c r="T437" s="352"/>
      <c r="U437" s="352"/>
      <c r="V437" s="497"/>
      <c r="W437" s="352"/>
      <c r="X437" s="352"/>
      <c r="Y437" s="352">
        <f>IF(NFI_Expiration=1,IF($A437&lt;VLOOKUP(H$5,NFI,5,0),1,0)*Table_NFI[[#This Row],[Hygiene Kit]],Table_NFI[Hygiene Kit])</f>
        <v>0</v>
      </c>
      <c r="Z437" s="352">
        <f>IF(NFI_Expiration=1,IF($A437&lt;VLOOKUP(I$5,NFI,5,0),1,0)*Table_NFI[[#This Row],[NFI Core Kit]],Table_NFI[NFI Core Kit])</f>
        <v>0</v>
      </c>
      <c r="AA437" s="352">
        <f>IF(NFI_Expiration=1,IF($A437&lt;VLOOKUP(J$5,NFI,5,0),1,0)*Table_NFI[[#This Row],[Sanitary Kit]],Table_NFI[Sanitary Kit])</f>
        <v>0</v>
      </c>
      <c r="AB437" s="352">
        <f>IF(NFI_Expiration=1,IF($A437&lt;VLOOKUP(K$5,NFI,5,0),1,0)*Table_NFI[[#This Row],[Mosquito net]],Table_NFI[Mosquito net])</f>
        <v>0</v>
      </c>
      <c r="AC437" s="352">
        <f>IF(NFI_Expiration=1,IF($A437&lt;VLOOKUP(L$5,NFI,5,0),1,0)*Table_NFI[[#This Row],[Tarpaulin]],Table_NFI[[#This Row],[Tarpaulin]])</f>
        <v>0</v>
      </c>
      <c r="AD437" s="352">
        <f>IF(NFI_Expiration=1,IF($A437&lt;VLOOKUP(M$5,NFI,5,0),1,0)*Table_NFI[[#This Row],[Blanket]],Table_NFI[[#This Row],[Blanket]])</f>
        <v>0</v>
      </c>
      <c r="AE437" s="352">
        <f>IF(NFI_Expiration=1,IF($A437&lt;VLOOKUP(N$5,NFI,5,0),1,0)*Table_NFI[[#This Row],[Kitchen Set]],Table_NFI[Kitchen Set])</f>
        <v>0</v>
      </c>
      <c r="AF437" s="352">
        <f>IF(NFI_Expiration=1,IF($A437&lt;VLOOKUP(O$5,NFI,5,0),1,0)*Table_NFI[[#This Row],[Clothes Kit]],Table_NFI[Clothes Kit])</f>
        <v>0</v>
      </c>
      <c r="AG437" s="352">
        <f>IF(NFI_Expiration=1,IF($A437&lt;VLOOKUP(P$5,NFI,5,0),1,0)*Table_NFI[[#This Row],[Plastic Bucket]],Table_NFI[Plastic Bucket])</f>
        <v>0</v>
      </c>
      <c r="AH437" s="352">
        <f>IF(NFI_Expiration=1,IF($A437&lt;VLOOKUP(Q$5,NFI,5,0),1,0)*Table_NFI[[#This Row],[Plastic Mat]],Table_NFI[Plastic Mat])*IF(Table_NFI[[#This Row],[Distribution Date]]&gt;"2014-04-01",1,2.5)</f>
        <v>0</v>
      </c>
      <c r="AI437" s="352">
        <f>IF(NFI_Expiration=1,IF($A437&lt;VLOOKUP(R$5,NFI,5,0),1,0)*Table_NFI[[#This Row],[Winter Clothes Adult]],Table_NFI[Winter Clothes Adult])</f>
        <v>0</v>
      </c>
      <c r="AJ437" s="352">
        <f>IF(NFI_Expiration=1,IF($A437&lt;VLOOKUP(S$5,NFI,5,0),1,0)*Table_NFI[[#This Row],[Winter Clothes Children]],Table_NFI[Winter Clothes Children])</f>
        <v>0</v>
      </c>
      <c r="AK437" s="352">
        <f>IF(NFI_Expiration=1,IF($A437&lt;VLOOKUP(T$5,NFI,5,0),1,0)*Table_NFI[[#This Row],[Winter Items Other]],Table_NFI[Winter Items Other])</f>
        <v>0</v>
      </c>
      <c r="AL437" s="352">
        <f>IF(NFI_Expiration=1,IF($A437&lt;VLOOKUP(M$5,NFI,5,0),1,0)*Table_NFI[[#This Row],[Winter Blanket]],Table_NFI[[#This Row],[Winter Blanket]])</f>
        <v>0</v>
      </c>
      <c r="AM437" s="352">
        <f>IF(Table_NFI[[#This Row],[Winter Clothes Adult]]+Table_NFI[[#This Row],[Winter Clothes Children]]+Table_NFI[[#This Row],[Winter Items Other]]+Table_NFI[[#This Row],[Winter Blanket]]&gt;0,1,0)</f>
        <v>0</v>
      </c>
      <c r="AN437" s="392">
        <f>IF(NFI_Expiration=1,IF($A437&lt;VLOOKUP(V$5,NFI,5,0),1,0)*Table_NFI[[#This Row],[Jerry Can]],Table_NFI[Jerry Can])</f>
        <v>0</v>
      </c>
      <c r="AO437" s="540" t="str">
        <f>IFERROR(VLOOKUP(Table_NFI[[#This Row],[Camp Name]],CL,2,0),"")</f>
        <v>MMR001CMP212</v>
      </c>
      <c r="AP437" s="535">
        <f ca="1">IF(Table_NFI[[#This Row],[Pcode]]="","",IF(OFFSET(CampList[Opening Date],MATCH(Table_NFI[[#This Row],[Pcode]],CampList[CP_Pcode],0)-1,0,1,1)&gt;=NFI_Monitor_Date,1,0))</f>
        <v>0</v>
      </c>
      <c r="AQ437" s="540" t="str">
        <f>IFERROR(VLOOKUP(Table_NFI[[#This Row],[Camp Name]],CL,3,0),"")</f>
        <v>Closed</v>
      </c>
      <c r="AR437" s="352" t="str">
        <f ca="1">IF(Table_NFI[[#This Row],[Pcode]]="","",OFFSET(CampList[Priority],MATCH(Table_NFI[[#This Row],[Pcode]],CampList[CP_Pcode],0)-1,0,1,1))</f>
        <v/>
      </c>
      <c r="AS437" s="351" t="str">
        <f>IFERROR(Table_NFI[[#This Row],[Kitchen Set]]/VLOOKUP(Table_NFI[[#This Row],[Camp Name]],CL,4,0),"")</f>
        <v/>
      </c>
      <c r="AT437" s="533" t="s">
        <v>1094</v>
      </c>
      <c r="AU437" s="536"/>
    </row>
    <row r="438" spans="1:47" s="537" customFormat="1" ht="14.45" customHeight="1" x14ac:dyDescent="0.25">
      <c r="A438" s="355">
        <f t="shared" si="6"/>
        <v>32.4</v>
      </c>
      <c r="B438" s="532">
        <v>41599</v>
      </c>
      <c r="C438" s="534" t="s">
        <v>453</v>
      </c>
      <c r="D438" s="534" t="s">
        <v>453</v>
      </c>
      <c r="E438" s="533" t="s">
        <v>380</v>
      </c>
      <c r="F438" s="348" t="s">
        <v>5</v>
      </c>
      <c r="G438" s="348" t="s">
        <v>366</v>
      </c>
      <c r="H438" s="349"/>
      <c r="I438" s="349"/>
      <c r="J438" s="349"/>
      <c r="K438" s="349">
        <v>15</v>
      </c>
      <c r="L438" s="350">
        <v>9</v>
      </c>
      <c r="M438" s="350">
        <v>15</v>
      </c>
      <c r="N438" s="350">
        <v>9</v>
      </c>
      <c r="O438" s="350">
        <v>9</v>
      </c>
      <c r="P438" s="352"/>
      <c r="Q438" s="352"/>
      <c r="R438" s="352"/>
      <c r="S438" s="352"/>
      <c r="T438" s="352"/>
      <c r="U438" s="352"/>
      <c r="V438" s="497"/>
      <c r="W438" s="352"/>
      <c r="X438" s="352"/>
      <c r="Y438" s="352">
        <f>IF(NFI_Expiration=1,IF($A438&lt;VLOOKUP(H$5,NFI,5,0),1,0)*Table_NFI[[#This Row],[Hygiene Kit]],Table_NFI[Hygiene Kit])</f>
        <v>0</v>
      </c>
      <c r="Z438" s="352">
        <f>IF(NFI_Expiration=1,IF($A438&lt;VLOOKUP(I$5,NFI,5,0),1,0)*Table_NFI[[#This Row],[NFI Core Kit]],Table_NFI[NFI Core Kit])</f>
        <v>0</v>
      </c>
      <c r="AA438" s="352">
        <f>IF(NFI_Expiration=1,IF($A438&lt;VLOOKUP(J$5,NFI,5,0),1,0)*Table_NFI[[#This Row],[Sanitary Kit]],Table_NFI[Sanitary Kit])</f>
        <v>0</v>
      </c>
      <c r="AB438" s="352">
        <f>IF(NFI_Expiration=1,IF($A438&lt;VLOOKUP(K$5,NFI,5,0),1,0)*Table_NFI[[#This Row],[Mosquito net]],Table_NFI[Mosquito net])</f>
        <v>0</v>
      </c>
      <c r="AC438" s="352">
        <f>IF(NFI_Expiration=1,IF($A438&lt;VLOOKUP(L$5,NFI,5,0),1,0)*Table_NFI[[#This Row],[Tarpaulin]],Table_NFI[[#This Row],[Tarpaulin]])</f>
        <v>0</v>
      </c>
      <c r="AD438" s="352">
        <f>IF(NFI_Expiration=1,IF($A438&lt;VLOOKUP(M$5,NFI,5,0),1,0)*Table_NFI[[#This Row],[Blanket]],Table_NFI[[#This Row],[Blanket]])</f>
        <v>0</v>
      </c>
      <c r="AE438" s="352">
        <f>IF(NFI_Expiration=1,IF($A438&lt;VLOOKUP(N$5,NFI,5,0),1,0)*Table_NFI[[#This Row],[Kitchen Set]],Table_NFI[Kitchen Set])</f>
        <v>0</v>
      </c>
      <c r="AF438" s="352">
        <f>IF(NFI_Expiration=1,IF($A438&lt;VLOOKUP(O$5,NFI,5,0),1,0)*Table_NFI[[#This Row],[Clothes Kit]],Table_NFI[Clothes Kit])</f>
        <v>0</v>
      </c>
      <c r="AG438" s="352">
        <f>IF(NFI_Expiration=1,IF($A438&lt;VLOOKUP(P$5,NFI,5,0),1,0)*Table_NFI[[#This Row],[Plastic Bucket]],Table_NFI[Plastic Bucket])</f>
        <v>0</v>
      </c>
      <c r="AH438" s="352">
        <f>IF(NFI_Expiration=1,IF($A438&lt;VLOOKUP(Q$5,NFI,5,0),1,0)*Table_NFI[[#This Row],[Plastic Mat]],Table_NFI[Plastic Mat])*IF(Table_NFI[[#This Row],[Distribution Date]]&gt;"2014-04-01",1,2.5)</f>
        <v>0</v>
      </c>
      <c r="AI438" s="352">
        <f>IF(NFI_Expiration=1,IF($A438&lt;VLOOKUP(R$5,NFI,5,0),1,0)*Table_NFI[[#This Row],[Winter Clothes Adult]],Table_NFI[Winter Clothes Adult])</f>
        <v>0</v>
      </c>
      <c r="AJ438" s="352">
        <f>IF(NFI_Expiration=1,IF($A438&lt;VLOOKUP(S$5,NFI,5,0),1,0)*Table_NFI[[#This Row],[Winter Clothes Children]],Table_NFI[Winter Clothes Children])</f>
        <v>0</v>
      </c>
      <c r="AK438" s="352">
        <f>IF(NFI_Expiration=1,IF($A438&lt;VLOOKUP(T$5,NFI,5,0),1,0)*Table_NFI[[#This Row],[Winter Items Other]],Table_NFI[Winter Items Other])</f>
        <v>0</v>
      </c>
      <c r="AL438" s="352">
        <f>IF(NFI_Expiration=1,IF($A438&lt;VLOOKUP(M$5,NFI,5,0),1,0)*Table_NFI[[#This Row],[Winter Blanket]],Table_NFI[[#This Row],[Winter Blanket]])</f>
        <v>0</v>
      </c>
      <c r="AM438" s="352">
        <f>IF(Table_NFI[[#This Row],[Winter Clothes Adult]]+Table_NFI[[#This Row],[Winter Clothes Children]]+Table_NFI[[#This Row],[Winter Items Other]]+Table_NFI[[#This Row],[Winter Blanket]]&gt;0,1,0)</f>
        <v>0</v>
      </c>
      <c r="AN438" s="392">
        <f>IF(NFI_Expiration=1,IF($A438&lt;VLOOKUP(V$5,NFI,5,0),1,0)*Table_NFI[[#This Row],[Jerry Can]],Table_NFI[Jerry Can])</f>
        <v>0</v>
      </c>
      <c r="AO438" s="540" t="str">
        <f>IFERROR(VLOOKUP(Table_NFI[[#This Row],[Camp Name]],CL,2,0),"")</f>
        <v>MMR001CMP193</v>
      </c>
      <c r="AP438" s="535">
        <f ca="1">IF(Table_NFI[[#This Row],[Pcode]]="","",IF(OFFSET(CampList[Opening Date],MATCH(Table_NFI[[#This Row],[Pcode]],CampList[CP_Pcode],0)-1,0,1,1)&gt;=NFI_Monitor_Date,1,0))</f>
        <v>0</v>
      </c>
      <c r="AQ438" s="540" t="str">
        <f>IFERROR(VLOOKUP(Table_NFI[[#This Row],[Camp Name]],CL,3,0),"")</f>
        <v>Open</v>
      </c>
      <c r="AR438" s="352" t="str">
        <f ca="1">IF(Table_NFI[[#This Row],[Pcode]]="","",OFFSET(CampList[Priority],MATCH(Table_NFI[[#This Row],[Pcode]],CampList[CP_Pcode],0)-1,0,1,1))</f>
        <v>P4</v>
      </c>
      <c r="AS438" s="351">
        <f>IFERROR(Table_NFI[[#This Row],[Kitchen Set]]/VLOOKUP(Table_NFI[[#This Row],[Camp Name]],CL,4,0),"")</f>
        <v>0.06</v>
      </c>
      <c r="AT438" s="533" t="s">
        <v>1094</v>
      </c>
      <c r="AU438" s="536"/>
    </row>
    <row r="439" spans="1:47" s="537" customFormat="1" ht="14.45" customHeight="1" x14ac:dyDescent="0.25">
      <c r="A439" s="355">
        <f t="shared" si="6"/>
        <v>32.466666666666669</v>
      </c>
      <c r="B439" s="532">
        <v>41597</v>
      </c>
      <c r="C439" s="534" t="s">
        <v>453</v>
      </c>
      <c r="D439" s="534" t="s">
        <v>453</v>
      </c>
      <c r="E439" s="533" t="s">
        <v>380</v>
      </c>
      <c r="F439" s="533" t="s">
        <v>5</v>
      </c>
      <c r="G439" s="348" t="s">
        <v>12</v>
      </c>
      <c r="H439" s="349"/>
      <c r="I439" s="349"/>
      <c r="J439" s="349"/>
      <c r="K439" s="349">
        <v>57</v>
      </c>
      <c r="L439" s="350">
        <v>33</v>
      </c>
      <c r="M439" s="350">
        <v>57</v>
      </c>
      <c r="N439" s="350">
        <v>33</v>
      </c>
      <c r="O439" s="350">
        <v>33</v>
      </c>
      <c r="P439" s="352"/>
      <c r="Q439" s="352"/>
      <c r="R439" s="352"/>
      <c r="S439" s="352"/>
      <c r="T439" s="352"/>
      <c r="U439" s="352"/>
      <c r="V439" s="497"/>
      <c r="W439" s="352"/>
      <c r="X439" s="352"/>
      <c r="Y439" s="352">
        <f>IF(NFI_Expiration=1,IF($A439&lt;VLOOKUP(H$5,NFI,5,0),1,0)*Table_NFI[[#This Row],[Hygiene Kit]],Table_NFI[Hygiene Kit])</f>
        <v>0</v>
      </c>
      <c r="Z439" s="352">
        <f>IF(NFI_Expiration=1,IF($A439&lt;VLOOKUP(I$5,NFI,5,0),1,0)*Table_NFI[[#This Row],[NFI Core Kit]],Table_NFI[NFI Core Kit])</f>
        <v>0</v>
      </c>
      <c r="AA439" s="352">
        <f>IF(NFI_Expiration=1,IF($A439&lt;VLOOKUP(J$5,NFI,5,0),1,0)*Table_NFI[[#This Row],[Sanitary Kit]],Table_NFI[Sanitary Kit])</f>
        <v>0</v>
      </c>
      <c r="AB439" s="352">
        <f>IF(NFI_Expiration=1,IF($A439&lt;VLOOKUP(K$5,NFI,5,0),1,0)*Table_NFI[[#This Row],[Mosquito net]],Table_NFI[Mosquito net])</f>
        <v>0</v>
      </c>
      <c r="AC439" s="352">
        <f>IF(NFI_Expiration=1,IF($A439&lt;VLOOKUP(L$5,NFI,5,0),1,0)*Table_NFI[[#This Row],[Tarpaulin]],Table_NFI[[#This Row],[Tarpaulin]])</f>
        <v>0</v>
      </c>
      <c r="AD439" s="352">
        <f>IF(NFI_Expiration=1,IF($A439&lt;VLOOKUP(M$5,NFI,5,0),1,0)*Table_NFI[[#This Row],[Blanket]],Table_NFI[[#This Row],[Blanket]])</f>
        <v>0</v>
      </c>
      <c r="AE439" s="352">
        <f>IF(NFI_Expiration=1,IF($A439&lt;VLOOKUP(N$5,NFI,5,0),1,0)*Table_NFI[[#This Row],[Kitchen Set]],Table_NFI[Kitchen Set])</f>
        <v>0</v>
      </c>
      <c r="AF439" s="352">
        <f>IF(NFI_Expiration=1,IF($A439&lt;VLOOKUP(O$5,NFI,5,0),1,0)*Table_NFI[[#This Row],[Clothes Kit]],Table_NFI[Clothes Kit])</f>
        <v>0</v>
      </c>
      <c r="AG439" s="352">
        <f>IF(NFI_Expiration=1,IF($A439&lt;VLOOKUP(P$5,NFI,5,0),1,0)*Table_NFI[[#This Row],[Plastic Bucket]],Table_NFI[Plastic Bucket])</f>
        <v>0</v>
      </c>
      <c r="AH439" s="352">
        <f>IF(NFI_Expiration=1,IF($A439&lt;VLOOKUP(Q$5,NFI,5,0),1,0)*Table_NFI[[#This Row],[Plastic Mat]],Table_NFI[Plastic Mat])*IF(Table_NFI[[#This Row],[Distribution Date]]&gt;"2014-04-01",1,2.5)</f>
        <v>0</v>
      </c>
      <c r="AI439" s="352">
        <f>IF(NFI_Expiration=1,IF($A439&lt;VLOOKUP(R$5,NFI,5,0),1,0)*Table_NFI[[#This Row],[Winter Clothes Adult]],Table_NFI[Winter Clothes Adult])</f>
        <v>0</v>
      </c>
      <c r="AJ439" s="352">
        <f>IF(NFI_Expiration=1,IF($A439&lt;VLOOKUP(S$5,NFI,5,0),1,0)*Table_NFI[[#This Row],[Winter Clothes Children]],Table_NFI[Winter Clothes Children])</f>
        <v>0</v>
      </c>
      <c r="AK439" s="352">
        <f>IF(NFI_Expiration=1,IF($A439&lt;VLOOKUP(T$5,NFI,5,0),1,0)*Table_NFI[[#This Row],[Winter Items Other]],Table_NFI[Winter Items Other])</f>
        <v>0</v>
      </c>
      <c r="AL439" s="352">
        <f>IF(NFI_Expiration=1,IF($A439&lt;VLOOKUP(M$5,NFI,5,0),1,0)*Table_NFI[[#This Row],[Winter Blanket]],Table_NFI[[#This Row],[Winter Blanket]])</f>
        <v>0</v>
      </c>
      <c r="AM439" s="352">
        <f>IF(Table_NFI[[#This Row],[Winter Clothes Adult]]+Table_NFI[[#This Row],[Winter Clothes Children]]+Table_NFI[[#This Row],[Winter Items Other]]+Table_NFI[[#This Row],[Winter Blanket]]&gt;0,1,0)</f>
        <v>0</v>
      </c>
      <c r="AN439" s="392">
        <f>IF(NFI_Expiration=1,IF($A439&lt;VLOOKUP(V$5,NFI,5,0),1,0)*Table_NFI[[#This Row],[Jerry Can]],Table_NFI[Jerry Can])</f>
        <v>0</v>
      </c>
      <c r="AO439" s="540" t="str">
        <f>IFERROR(VLOOKUP(Table_NFI[[#This Row],[Camp Name]],CL,2,0),"")</f>
        <v>MMR001CMP163</v>
      </c>
      <c r="AP439" s="535">
        <f ca="1">IF(Table_NFI[[#This Row],[Pcode]]="","",IF(OFFSET(CampList[Opening Date],MATCH(Table_NFI[[#This Row],[Pcode]],CampList[CP_Pcode],0)-1,0,1,1)&gt;=NFI_Monitor_Date,1,0))</f>
        <v>0</v>
      </c>
      <c r="AQ439" s="540" t="str">
        <f>IFERROR(VLOOKUP(Table_NFI[[#This Row],[Camp Name]],CL,3,0),"")</f>
        <v>Open</v>
      </c>
      <c r="AR439" s="352" t="str">
        <f ca="1">IF(Table_NFI[[#This Row],[Pcode]]="","",OFFSET(CampList[Priority],MATCH(Table_NFI[[#This Row],[Pcode]],CampList[CP_Pcode],0)-1,0,1,1))</f>
        <v>P4</v>
      </c>
      <c r="AS439" s="351">
        <f>IFERROR(Table_NFI[[#This Row],[Kitchen Set]]/VLOOKUP(Table_NFI[[#This Row],[Camp Name]],CL,4,0),"")</f>
        <v>0.15639810426540285</v>
      </c>
      <c r="AT439" s="533" t="s">
        <v>1094</v>
      </c>
      <c r="AU439" s="536"/>
    </row>
    <row r="440" spans="1:47" s="537" customFormat="1" ht="14.45" customHeight="1" x14ac:dyDescent="0.25">
      <c r="A440" s="355">
        <f t="shared" si="6"/>
        <v>32.466666666666669</v>
      </c>
      <c r="B440" s="532">
        <v>41597</v>
      </c>
      <c r="C440" s="534" t="s">
        <v>453</v>
      </c>
      <c r="D440" s="534" t="s">
        <v>453</v>
      </c>
      <c r="E440" s="533" t="s">
        <v>380</v>
      </c>
      <c r="F440" s="533" t="s">
        <v>5</v>
      </c>
      <c r="G440" s="348" t="s">
        <v>22</v>
      </c>
      <c r="H440" s="349"/>
      <c r="I440" s="349"/>
      <c r="J440" s="349">
        <v>40</v>
      </c>
      <c r="K440" s="349">
        <v>38</v>
      </c>
      <c r="L440" s="350">
        <v>20</v>
      </c>
      <c r="M440" s="350">
        <v>38</v>
      </c>
      <c r="N440" s="350">
        <v>20</v>
      </c>
      <c r="O440" s="350">
        <v>20</v>
      </c>
      <c r="P440" s="352"/>
      <c r="Q440" s="352"/>
      <c r="R440" s="352"/>
      <c r="S440" s="352"/>
      <c r="T440" s="352"/>
      <c r="U440" s="352"/>
      <c r="V440" s="497"/>
      <c r="W440" s="352"/>
      <c r="X440" s="352"/>
      <c r="Y440" s="352">
        <f>IF(NFI_Expiration=1,IF($A440&lt;VLOOKUP(H$5,NFI,5,0),1,0)*Table_NFI[[#This Row],[Hygiene Kit]],Table_NFI[Hygiene Kit])</f>
        <v>0</v>
      </c>
      <c r="Z440" s="352">
        <f>IF(NFI_Expiration=1,IF($A440&lt;VLOOKUP(I$5,NFI,5,0),1,0)*Table_NFI[[#This Row],[NFI Core Kit]],Table_NFI[NFI Core Kit])</f>
        <v>0</v>
      </c>
      <c r="AA440" s="352">
        <f>IF(NFI_Expiration=1,IF($A440&lt;VLOOKUP(J$5,NFI,5,0),1,0)*Table_NFI[[#This Row],[Sanitary Kit]],Table_NFI[Sanitary Kit])</f>
        <v>0</v>
      </c>
      <c r="AB440" s="352">
        <f>IF(NFI_Expiration=1,IF($A440&lt;VLOOKUP(K$5,NFI,5,0),1,0)*Table_NFI[[#This Row],[Mosquito net]],Table_NFI[Mosquito net])</f>
        <v>0</v>
      </c>
      <c r="AC440" s="352">
        <f>IF(NFI_Expiration=1,IF($A440&lt;VLOOKUP(L$5,NFI,5,0),1,0)*Table_NFI[[#This Row],[Tarpaulin]],Table_NFI[[#This Row],[Tarpaulin]])</f>
        <v>0</v>
      </c>
      <c r="AD440" s="352">
        <f>IF(NFI_Expiration=1,IF($A440&lt;VLOOKUP(M$5,NFI,5,0),1,0)*Table_NFI[[#This Row],[Blanket]],Table_NFI[[#This Row],[Blanket]])</f>
        <v>0</v>
      </c>
      <c r="AE440" s="352">
        <f>IF(NFI_Expiration=1,IF($A440&lt;VLOOKUP(N$5,NFI,5,0),1,0)*Table_NFI[[#This Row],[Kitchen Set]],Table_NFI[Kitchen Set])</f>
        <v>0</v>
      </c>
      <c r="AF440" s="352">
        <f>IF(NFI_Expiration=1,IF($A440&lt;VLOOKUP(O$5,NFI,5,0),1,0)*Table_NFI[[#This Row],[Clothes Kit]],Table_NFI[Clothes Kit])</f>
        <v>0</v>
      </c>
      <c r="AG440" s="352">
        <f>IF(NFI_Expiration=1,IF($A440&lt;VLOOKUP(P$5,NFI,5,0),1,0)*Table_NFI[[#This Row],[Plastic Bucket]],Table_NFI[Plastic Bucket])</f>
        <v>0</v>
      </c>
      <c r="AH440" s="352">
        <f>IF(NFI_Expiration=1,IF($A440&lt;VLOOKUP(Q$5,NFI,5,0),1,0)*Table_NFI[[#This Row],[Plastic Mat]],Table_NFI[Plastic Mat])*IF(Table_NFI[[#This Row],[Distribution Date]]&gt;"2014-04-01",1,2.5)</f>
        <v>0</v>
      </c>
      <c r="AI440" s="352">
        <f>IF(NFI_Expiration=1,IF($A440&lt;VLOOKUP(R$5,NFI,5,0),1,0)*Table_NFI[[#This Row],[Winter Clothes Adult]],Table_NFI[Winter Clothes Adult])</f>
        <v>0</v>
      </c>
      <c r="AJ440" s="352">
        <f>IF(NFI_Expiration=1,IF($A440&lt;VLOOKUP(S$5,NFI,5,0),1,0)*Table_NFI[[#This Row],[Winter Clothes Children]],Table_NFI[Winter Clothes Children])</f>
        <v>0</v>
      </c>
      <c r="AK440" s="352">
        <f>IF(NFI_Expiration=1,IF($A440&lt;VLOOKUP(T$5,NFI,5,0),1,0)*Table_NFI[[#This Row],[Winter Items Other]],Table_NFI[Winter Items Other])</f>
        <v>0</v>
      </c>
      <c r="AL440" s="352">
        <f>IF(NFI_Expiration=1,IF($A440&lt;VLOOKUP(M$5,NFI,5,0),1,0)*Table_NFI[[#This Row],[Winter Blanket]],Table_NFI[[#This Row],[Winter Blanket]])</f>
        <v>0</v>
      </c>
      <c r="AM440" s="352">
        <f>IF(Table_NFI[[#This Row],[Winter Clothes Adult]]+Table_NFI[[#This Row],[Winter Clothes Children]]+Table_NFI[[#This Row],[Winter Items Other]]+Table_NFI[[#This Row],[Winter Blanket]]&gt;0,1,0)</f>
        <v>0</v>
      </c>
      <c r="AN440" s="392">
        <f>IF(NFI_Expiration=1,IF($A440&lt;VLOOKUP(V$5,NFI,5,0),1,0)*Table_NFI[[#This Row],[Jerry Can]],Table_NFI[Jerry Can])</f>
        <v>0</v>
      </c>
      <c r="AO440" s="540" t="str">
        <f>IFERROR(VLOOKUP(Table_NFI[[#This Row],[Camp Name]],CL,2,0),"")</f>
        <v>MMR001CMP047</v>
      </c>
      <c r="AP440" s="535">
        <f ca="1">IF(Table_NFI[[#This Row],[Pcode]]="","",IF(OFFSET(CampList[Opening Date],MATCH(Table_NFI[[#This Row],[Pcode]],CampList[CP_Pcode],0)-1,0,1,1)&gt;=NFI_Monitor_Date,1,0))</f>
        <v>0</v>
      </c>
      <c r="AQ440" s="540" t="str">
        <f>IFERROR(VLOOKUP(Table_NFI[[#This Row],[Camp Name]],CL,3,0),"")</f>
        <v>Open</v>
      </c>
      <c r="AR440" s="352" t="str">
        <f ca="1">IF(Table_NFI[[#This Row],[Pcode]]="","",OFFSET(CampList[Priority],MATCH(Table_NFI[[#This Row],[Pcode]],CampList[CP_Pcode],0)-1,0,1,1))</f>
        <v>P4</v>
      </c>
      <c r="AS440" s="351">
        <f>IFERROR(Table_NFI[[#This Row],[Kitchen Set]]/VLOOKUP(Table_NFI[[#This Row],[Camp Name]],CL,4,0),"")</f>
        <v>3.1796502384737677E-2</v>
      </c>
      <c r="AT440" s="533" t="s">
        <v>1094</v>
      </c>
      <c r="AU440" s="536"/>
    </row>
    <row r="441" spans="1:47" s="537" customFormat="1" ht="14.45" hidden="1" customHeight="1" x14ac:dyDescent="0.25">
      <c r="A441" s="355">
        <f t="shared" si="6"/>
        <v>26.533333333333335</v>
      </c>
      <c r="B441" s="532">
        <v>41775</v>
      </c>
      <c r="C441" s="533" t="s">
        <v>1106</v>
      </c>
      <c r="D441" s="533" t="s">
        <v>902</v>
      </c>
      <c r="E441" s="533" t="s">
        <v>380</v>
      </c>
      <c r="F441" s="533" t="s">
        <v>310</v>
      </c>
      <c r="G441" s="533" t="s">
        <v>330</v>
      </c>
      <c r="H441" s="349"/>
      <c r="I441" s="349"/>
      <c r="J441" s="349"/>
      <c r="K441" s="349"/>
      <c r="L441" s="350"/>
      <c r="M441" s="350"/>
      <c r="N441" s="350"/>
      <c r="O441" s="350"/>
      <c r="P441" s="352"/>
      <c r="Q441" s="352"/>
      <c r="R441" s="352"/>
      <c r="S441" s="352"/>
      <c r="T441" s="352"/>
      <c r="U441" s="352">
        <v>470</v>
      </c>
      <c r="V441" s="497"/>
      <c r="W441" s="352"/>
      <c r="X441" s="352"/>
      <c r="Y441" s="352">
        <f>IF(NFI_Expiration=1,IF($A441&lt;VLOOKUP(H$5,NFI,5,0),1,0)*Table_NFI[[#This Row],[Hygiene Kit]],Table_NFI[Hygiene Kit])</f>
        <v>0</v>
      </c>
      <c r="Z441" s="352">
        <f>IF(NFI_Expiration=1,IF($A441&lt;VLOOKUP(I$5,NFI,5,0),1,0)*Table_NFI[[#This Row],[NFI Core Kit]],Table_NFI[NFI Core Kit])</f>
        <v>0</v>
      </c>
      <c r="AA441" s="352">
        <f>IF(NFI_Expiration=1,IF($A441&lt;VLOOKUP(J$5,NFI,5,0),1,0)*Table_NFI[[#This Row],[Sanitary Kit]],Table_NFI[Sanitary Kit])</f>
        <v>0</v>
      </c>
      <c r="AB441" s="352">
        <f>IF(NFI_Expiration=1,IF($A441&lt;VLOOKUP(K$5,NFI,5,0),1,0)*Table_NFI[[#This Row],[Mosquito net]],Table_NFI[Mosquito net])</f>
        <v>0</v>
      </c>
      <c r="AC441" s="352">
        <f>IF(NFI_Expiration=1,IF($A441&lt;VLOOKUP(L$5,NFI,5,0),1,0)*Table_NFI[[#This Row],[Tarpaulin]],Table_NFI[[#This Row],[Tarpaulin]])</f>
        <v>0</v>
      </c>
      <c r="AD441" s="352">
        <f>IF(NFI_Expiration=1,IF($A441&lt;VLOOKUP(M$5,NFI,5,0),1,0)*Table_NFI[[#This Row],[Blanket]],Table_NFI[[#This Row],[Blanket]])</f>
        <v>0</v>
      </c>
      <c r="AE441" s="352">
        <f>IF(NFI_Expiration=1,IF($A441&lt;VLOOKUP(N$5,NFI,5,0),1,0)*Table_NFI[[#This Row],[Kitchen Set]],Table_NFI[Kitchen Set])</f>
        <v>0</v>
      </c>
      <c r="AF441" s="352">
        <f>IF(NFI_Expiration=1,IF($A441&lt;VLOOKUP(O$5,NFI,5,0),1,0)*Table_NFI[[#This Row],[Clothes Kit]],Table_NFI[Clothes Kit])</f>
        <v>0</v>
      </c>
      <c r="AG441" s="352">
        <f>IF(NFI_Expiration=1,IF($A441&lt;VLOOKUP(P$5,NFI,5,0),1,0)*Table_NFI[[#This Row],[Plastic Bucket]],Table_NFI[Plastic Bucket])</f>
        <v>0</v>
      </c>
      <c r="AH441" s="352">
        <f>IF(NFI_Expiration=1,IF($A441&lt;VLOOKUP(Q$5,NFI,5,0),1,0)*Table_NFI[[#This Row],[Plastic Mat]],Table_NFI[Plastic Mat])*IF(Table_NFI[[#This Row],[Distribution Date]]&gt;"2014-04-01",1,2.5)</f>
        <v>0</v>
      </c>
      <c r="AI441" s="352">
        <f>IF(NFI_Expiration=1,IF($A441&lt;VLOOKUP(R$5,NFI,5,0),1,0)*Table_NFI[[#This Row],[Winter Clothes Adult]],Table_NFI[Winter Clothes Adult])</f>
        <v>0</v>
      </c>
      <c r="AJ441" s="352">
        <f>IF(NFI_Expiration=1,IF($A441&lt;VLOOKUP(S$5,NFI,5,0),1,0)*Table_NFI[[#This Row],[Winter Clothes Children]],Table_NFI[Winter Clothes Children])</f>
        <v>0</v>
      </c>
      <c r="AK441" s="352">
        <f>IF(NFI_Expiration=1,IF($A441&lt;VLOOKUP(T$5,NFI,5,0),1,0)*Table_NFI[[#This Row],[Winter Items Other]],Table_NFI[Winter Items Other])</f>
        <v>0</v>
      </c>
      <c r="AL441" s="352">
        <f>IF(NFI_Expiration=1,IF($A441&lt;VLOOKUP(M$5,NFI,5,0),1,0)*Table_NFI[[#This Row],[Winter Blanket]],Table_NFI[[#This Row],[Winter Blanket]])</f>
        <v>0</v>
      </c>
      <c r="AM441" s="352">
        <f>IF(Table_NFI[[#This Row],[Winter Clothes Adult]]+Table_NFI[[#This Row],[Winter Clothes Children]]+Table_NFI[[#This Row],[Winter Items Other]]+Table_NFI[[#This Row],[Winter Blanket]]&gt;0,1,0)</f>
        <v>1</v>
      </c>
      <c r="AN441" s="392">
        <f>IF(NFI_Expiration=1,IF($A441&lt;VLOOKUP(V$5,NFI,5,0),1,0)*Table_NFI[[#This Row],[Jerry Can]],Table_NFI[Jerry Can])</f>
        <v>0</v>
      </c>
      <c r="AO441" s="540" t="str">
        <f>IFERROR(VLOOKUP(Table_NFI[[#This Row],[Camp Name]],CL,2,0),"")</f>
        <v>MMR001CMP029</v>
      </c>
      <c r="AP441" s="535">
        <f ca="1">IF(Table_NFI[[#This Row],[Pcode]]="","",IF(OFFSET(CampList[Opening Date],MATCH(Table_NFI[[#This Row],[Pcode]],CampList[CP_Pcode],0)-1,0,1,1)&gt;=NFI_Monitor_Date,1,0))</f>
        <v>0</v>
      </c>
      <c r="AQ441" s="540" t="str">
        <f>IFERROR(VLOOKUP(Table_NFI[[#This Row],[Camp Name]],CL,3,0),"")</f>
        <v>Open</v>
      </c>
      <c r="AR441" s="352" t="str">
        <f ca="1">IF(Table_NFI[[#This Row],[Pcode]]="","",OFFSET(CampList[Priority],MATCH(Table_NFI[[#This Row],[Pcode]],CampList[CP_Pcode],0)-1,0,1,1))</f>
        <v>P4</v>
      </c>
      <c r="AS441" s="351">
        <f>IFERROR(Table_NFI[[#This Row],[Kitchen Set]]/VLOOKUP(Table_NFI[[#This Row],[Camp Name]],CL,4,0),"")</f>
        <v>0</v>
      </c>
      <c r="AT441" s="533"/>
      <c r="AU441" s="536"/>
    </row>
    <row r="442" spans="1:47" s="537" customFormat="1" ht="13.9" customHeight="1" x14ac:dyDescent="0.25">
      <c r="A442" s="355">
        <f t="shared" si="6"/>
        <v>32.466666666666669</v>
      </c>
      <c r="B442" s="532">
        <v>41597</v>
      </c>
      <c r="C442" s="534" t="s">
        <v>453</v>
      </c>
      <c r="D442" s="534" t="s">
        <v>453</v>
      </c>
      <c r="E442" s="533" t="s">
        <v>380</v>
      </c>
      <c r="F442" s="533" t="s">
        <v>5</v>
      </c>
      <c r="G442" s="348" t="s">
        <v>870</v>
      </c>
      <c r="H442" s="349"/>
      <c r="I442" s="349"/>
      <c r="J442" s="349"/>
      <c r="K442" s="349">
        <v>13</v>
      </c>
      <c r="L442" s="350">
        <v>9</v>
      </c>
      <c r="M442" s="350">
        <v>13</v>
      </c>
      <c r="N442" s="350">
        <v>9</v>
      </c>
      <c r="O442" s="350">
        <v>9</v>
      </c>
      <c r="P442" s="352"/>
      <c r="Q442" s="352"/>
      <c r="R442" s="352"/>
      <c r="S442" s="352"/>
      <c r="T442" s="352"/>
      <c r="U442" s="352"/>
      <c r="V442" s="497"/>
      <c r="W442" s="352"/>
      <c r="X442" s="352"/>
      <c r="Y442" s="352">
        <f>IF(NFI_Expiration=1,IF($A442&lt;VLOOKUP(H$5,NFI,5,0),1,0)*Table_NFI[[#This Row],[Hygiene Kit]],Table_NFI[Hygiene Kit])</f>
        <v>0</v>
      </c>
      <c r="Z442" s="352">
        <f>IF(NFI_Expiration=1,IF($A442&lt;VLOOKUP(I$5,NFI,5,0),1,0)*Table_NFI[[#This Row],[NFI Core Kit]],Table_NFI[NFI Core Kit])</f>
        <v>0</v>
      </c>
      <c r="AA442" s="352">
        <f>IF(NFI_Expiration=1,IF($A442&lt;VLOOKUP(J$5,NFI,5,0),1,0)*Table_NFI[[#This Row],[Sanitary Kit]],Table_NFI[Sanitary Kit])</f>
        <v>0</v>
      </c>
      <c r="AB442" s="352">
        <f>IF(NFI_Expiration=1,IF($A442&lt;VLOOKUP(K$5,NFI,5,0),1,0)*Table_NFI[[#This Row],[Mosquito net]],Table_NFI[Mosquito net])</f>
        <v>0</v>
      </c>
      <c r="AC442" s="352">
        <f>IF(NFI_Expiration=1,IF($A442&lt;VLOOKUP(L$5,NFI,5,0),1,0)*Table_NFI[[#This Row],[Tarpaulin]],Table_NFI[[#This Row],[Tarpaulin]])</f>
        <v>0</v>
      </c>
      <c r="AD442" s="352">
        <f>IF(NFI_Expiration=1,IF($A442&lt;VLOOKUP(M$5,NFI,5,0),1,0)*Table_NFI[[#This Row],[Blanket]],Table_NFI[[#This Row],[Blanket]])</f>
        <v>0</v>
      </c>
      <c r="AE442" s="352">
        <f>IF(NFI_Expiration=1,IF($A442&lt;VLOOKUP(N$5,NFI,5,0),1,0)*Table_NFI[[#This Row],[Kitchen Set]],Table_NFI[Kitchen Set])</f>
        <v>0</v>
      </c>
      <c r="AF442" s="352">
        <f>IF(NFI_Expiration=1,IF($A442&lt;VLOOKUP(O$5,NFI,5,0),1,0)*Table_NFI[[#This Row],[Clothes Kit]],Table_NFI[Clothes Kit])</f>
        <v>0</v>
      </c>
      <c r="AG442" s="352">
        <f>IF(NFI_Expiration=1,IF($A442&lt;VLOOKUP(P$5,NFI,5,0),1,0)*Table_NFI[[#This Row],[Plastic Bucket]],Table_NFI[Plastic Bucket])</f>
        <v>0</v>
      </c>
      <c r="AH442" s="352">
        <f>IF(NFI_Expiration=1,IF($A442&lt;VLOOKUP(Q$5,NFI,5,0),1,0)*Table_NFI[[#This Row],[Plastic Mat]],Table_NFI[Plastic Mat])*IF(Table_NFI[[#This Row],[Distribution Date]]&gt;"2014-04-01",1,2.5)</f>
        <v>0</v>
      </c>
      <c r="AI442" s="352">
        <f>IF(NFI_Expiration=1,IF($A442&lt;VLOOKUP(R$5,NFI,5,0),1,0)*Table_NFI[[#This Row],[Winter Clothes Adult]],Table_NFI[Winter Clothes Adult])</f>
        <v>0</v>
      </c>
      <c r="AJ442" s="352">
        <f>IF(NFI_Expiration=1,IF($A442&lt;VLOOKUP(S$5,NFI,5,0),1,0)*Table_NFI[[#This Row],[Winter Clothes Children]],Table_NFI[Winter Clothes Children])</f>
        <v>0</v>
      </c>
      <c r="AK442" s="352">
        <f>IF(NFI_Expiration=1,IF($A442&lt;VLOOKUP(T$5,NFI,5,0),1,0)*Table_NFI[[#This Row],[Winter Items Other]],Table_NFI[Winter Items Other])</f>
        <v>0</v>
      </c>
      <c r="AL442" s="352">
        <f>IF(NFI_Expiration=1,IF($A442&lt;VLOOKUP(M$5,NFI,5,0),1,0)*Table_NFI[[#This Row],[Winter Blanket]],Table_NFI[[#This Row],[Winter Blanket]])</f>
        <v>0</v>
      </c>
      <c r="AM442" s="352">
        <f>IF(Table_NFI[[#This Row],[Winter Clothes Adult]]+Table_NFI[[#This Row],[Winter Clothes Children]]+Table_NFI[[#This Row],[Winter Items Other]]+Table_NFI[[#This Row],[Winter Blanket]]&gt;0,1,0)</f>
        <v>0</v>
      </c>
      <c r="AN442" s="392">
        <f>IF(NFI_Expiration=1,IF($A442&lt;VLOOKUP(V$5,NFI,5,0),1,0)*Table_NFI[[#This Row],[Jerry Can]],Table_NFI[Jerry Can])</f>
        <v>0</v>
      </c>
      <c r="AO442" s="540" t="str">
        <f>IFERROR(VLOOKUP(Table_NFI[[#This Row],[Camp Name]],CL,2,0),"")</f>
        <v>MMR001CMP211</v>
      </c>
      <c r="AP442" s="535">
        <f ca="1">IF(Table_NFI[[#This Row],[Pcode]]="","",IF(OFFSET(CampList[Opening Date],MATCH(Table_NFI[[#This Row],[Pcode]],CampList[CP_Pcode],0)-1,0,1,1)&gt;=NFI_Monitor_Date,1,0))</f>
        <v>0</v>
      </c>
      <c r="AQ442" s="540" t="str">
        <f>IFERROR(VLOOKUP(Table_NFI[[#This Row],[Camp Name]],CL,3,0),"")</f>
        <v>Closed</v>
      </c>
      <c r="AR442" s="352" t="str">
        <f ca="1">IF(Table_NFI[[#This Row],[Pcode]]="","",OFFSET(CampList[Priority],MATCH(Table_NFI[[#This Row],[Pcode]],CampList[CP_Pcode],0)-1,0,1,1))</f>
        <v/>
      </c>
      <c r="AS442" s="351" t="str">
        <f>IFERROR(Table_NFI[[#This Row],[Kitchen Set]]/VLOOKUP(Table_NFI[[#This Row],[Camp Name]],CL,4,0),"")</f>
        <v/>
      </c>
      <c r="AT442" s="533" t="s">
        <v>1094</v>
      </c>
      <c r="AU442" s="536"/>
    </row>
    <row r="443" spans="1:47" s="537" customFormat="1" ht="14.45" hidden="1" customHeight="1" x14ac:dyDescent="0.25">
      <c r="A443" s="355">
        <f t="shared" si="6"/>
        <v>38.966666666666669</v>
      </c>
      <c r="B443" s="532">
        <v>41402</v>
      </c>
      <c r="C443" s="533" t="s">
        <v>903</v>
      </c>
      <c r="D443" s="534" t="s">
        <v>507</v>
      </c>
      <c r="E443" s="533" t="s">
        <v>380</v>
      </c>
      <c r="F443" s="348" t="s">
        <v>310</v>
      </c>
      <c r="G443" s="348" t="s">
        <v>330</v>
      </c>
      <c r="H443" s="349">
        <v>1062</v>
      </c>
      <c r="I443" s="349"/>
      <c r="J443" s="349"/>
      <c r="K443" s="349"/>
      <c r="L443" s="350"/>
      <c r="M443" s="350"/>
      <c r="N443" s="350"/>
      <c r="O443" s="350"/>
      <c r="P443" s="352"/>
      <c r="Q443" s="352"/>
      <c r="R443" s="352"/>
      <c r="S443" s="352"/>
      <c r="T443" s="352"/>
      <c r="U443" s="352"/>
      <c r="V443" s="497"/>
      <c r="W443" s="352"/>
      <c r="X443" s="352"/>
      <c r="Y443" s="352">
        <f>IF(NFI_Expiration=1,IF($A443&lt;VLOOKUP(H$5,NFI,5,0),1,0)*Table_NFI[[#This Row],[Hygiene Kit]],Table_NFI[Hygiene Kit])</f>
        <v>0</v>
      </c>
      <c r="Z443" s="352">
        <f>IF(NFI_Expiration=1,IF($A443&lt;VLOOKUP(I$5,NFI,5,0),1,0)*Table_NFI[[#This Row],[NFI Core Kit]],Table_NFI[NFI Core Kit])</f>
        <v>0</v>
      </c>
      <c r="AA443" s="352">
        <f>IF(NFI_Expiration=1,IF($A443&lt;VLOOKUP(J$5,NFI,5,0),1,0)*Table_NFI[[#This Row],[Sanitary Kit]],Table_NFI[Sanitary Kit])</f>
        <v>0</v>
      </c>
      <c r="AB443" s="352">
        <f>IF(NFI_Expiration=1,IF($A443&lt;VLOOKUP(K$5,NFI,5,0),1,0)*Table_NFI[[#This Row],[Mosquito net]],Table_NFI[Mosquito net])</f>
        <v>0</v>
      </c>
      <c r="AC443" s="352">
        <f>IF(NFI_Expiration=1,IF($A443&lt;VLOOKUP(L$5,NFI,5,0),1,0)*Table_NFI[[#This Row],[Tarpaulin]],Table_NFI[[#This Row],[Tarpaulin]])</f>
        <v>0</v>
      </c>
      <c r="AD443" s="352">
        <f>IF(NFI_Expiration=1,IF($A443&lt;VLOOKUP(M$5,NFI,5,0),1,0)*Table_NFI[[#This Row],[Blanket]],Table_NFI[[#This Row],[Blanket]])</f>
        <v>0</v>
      </c>
      <c r="AE443" s="352">
        <f>IF(NFI_Expiration=1,IF($A443&lt;VLOOKUP(N$5,NFI,5,0),1,0)*Table_NFI[[#This Row],[Kitchen Set]],Table_NFI[Kitchen Set])</f>
        <v>0</v>
      </c>
      <c r="AF443" s="352">
        <f>IF(NFI_Expiration=1,IF($A443&lt;VLOOKUP(O$5,NFI,5,0),1,0)*Table_NFI[[#This Row],[Clothes Kit]],Table_NFI[Clothes Kit])</f>
        <v>0</v>
      </c>
      <c r="AG443" s="352">
        <f>IF(NFI_Expiration=1,IF($A443&lt;VLOOKUP(P$5,NFI,5,0),1,0)*Table_NFI[[#This Row],[Plastic Bucket]],Table_NFI[Plastic Bucket])</f>
        <v>0</v>
      </c>
      <c r="AH443" s="352">
        <f>IF(NFI_Expiration=1,IF($A443&lt;VLOOKUP(Q$5,NFI,5,0),1,0)*Table_NFI[[#This Row],[Plastic Mat]],Table_NFI[Plastic Mat])*IF(Table_NFI[[#This Row],[Distribution Date]]&gt;"2014-04-01",1,2.5)</f>
        <v>0</v>
      </c>
      <c r="AI443" s="352">
        <f>IF(NFI_Expiration=1,IF($A443&lt;VLOOKUP(R$5,NFI,5,0),1,0)*Table_NFI[[#This Row],[Winter Clothes Adult]],Table_NFI[Winter Clothes Adult])</f>
        <v>0</v>
      </c>
      <c r="AJ443" s="352">
        <f>IF(NFI_Expiration=1,IF($A443&lt;VLOOKUP(S$5,NFI,5,0),1,0)*Table_NFI[[#This Row],[Winter Clothes Children]],Table_NFI[Winter Clothes Children])</f>
        <v>0</v>
      </c>
      <c r="AK443" s="352">
        <f>IF(NFI_Expiration=1,IF($A443&lt;VLOOKUP(T$5,NFI,5,0),1,0)*Table_NFI[[#This Row],[Winter Items Other]],Table_NFI[Winter Items Other])</f>
        <v>0</v>
      </c>
      <c r="AL443" s="352">
        <f>IF(NFI_Expiration=1,IF($A443&lt;VLOOKUP(M$5,NFI,5,0),1,0)*Table_NFI[[#This Row],[Winter Blanket]],Table_NFI[[#This Row],[Winter Blanket]])</f>
        <v>0</v>
      </c>
      <c r="AM443" s="352">
        <f>IF(Table_NFI[[#This Row],[Winter Clothes Adult]]+Table_NFI[[#This Row],[Winter Clothes Children]]+Table_NFI[[#This Row],[Winter Items Other]]+Table_NFI[[#This Row],[Winter Blanket]]&gt;0,1,0)</f>
        <v>0</v>
      </c>
      <c r="AN443" s="392">
        <f>IF(NFI_Expiration=1,IF($A443&lt;VLOOKUP(V$5,NFI,5,0),1,0)*Table_NFI[[#This Row],[Jerry Can]],Table_NFI[Jerry Can])</f>
        <v>0</v>
      </c>
      <c r="AO443" s="540" t="str">
        <f>IFERROR(VLOOKUP(Table_NFI[[#This Row],[Camp Name]],CL,2,0),"")</f>
        <v>MMR001CMP029</v>
      </c>
      <c r="AP443" s="535">
        <f ca="1">IF(Table_NFI[[#This Row],[Pcode]]="","",IF(OFFSET(CampList[Opening Date],MATCH(Table_NFI[[#This Row],[Pcode]],CampList[CP_Pcode],0)-1,0,1,1)&gt;=NFI_Monitor_Date,1,0))</f>
        <v>0</v>
      </c>
      <c r="AQ443" s="540" t="str">
        <f>IFERROR(VLOOKUP(Table_NFI[[#This Row],[Camp Name]],CL,3,0),"")</f>
        <v>Open</v>
      </c>
      <c r="AR443" s="352" t="str">
        <f ca="1">IF(Table_NFI[[#This Row],[Pcode]]="","",OFFSET(CampList[Priority],MATCH(Table_NFI[[#This Row],[Pcode]],CampList[CP_Pcode],0)-1,0,1,1))</f>
        <v>P4</v>
      </c>
      <c r="AS443" s="351">
        <f>IFERROR(Table_NFI[[#This Row],[Kitchen Set]]/VLOOKUP(Table_NFI[[#This Row],[Camp Name]],CL,4,0),"")</f>
        <v>0</v>
      </c>
      <c r="AT443" s="533" t="s">
        <v>1094</v>
      </c>
      <c r="AU443" s="536"/>
    </row>
    <row r="444" spans="1:47" s="537" customFormat="1" ht="14.45" hidden="1" customHeight="1" x14ac:dyDescent="0.25">
      <c r="A444" s="355">
        <f t="shared" si="6"/>
        <v>42.033333333333331</v>
      </c>
      <c r="B444" s="532">
        <v>41310</v>
      </c>
      <c r="C444" s="533" t="s">
        <v>902</v>
      </c>
      <c r="D444" s="533" t="s">
        <v>902</v>
      </c>
      <c r="E444" s="533" t="s">
        <v>380</v>
      </c>
      <c r="F444" s="533" t="s">
        <v>310</v>
      </c>
      <c r="G444" s="348" t="s">
        <v>330</v>
      </c>
      <c r="H444" s="349">
        <v>46</v>
      </c>
      <c r="I444" s="349"/>
      <c r="J444" s="349"/>
      <c r="K444" s="349"/>
      <c r="L444" s="350"/>
      <c r="M444" s="350"/>
      <c r="N444" s="350"/>
      <c r="O444" s="350"/>
      <c r="P444" s="352">
        <v>0</v>
      </c>
      <c r="Q444" s="352">
        <v>0</v>
      </c>
      <c r="R444" s="352"/>
      <c r="S444" s="352"/>
      <c r="T444" s="352"/>
      <c r="U444" s="352"/>
      <c r="V444" s="497"/>
      <c r="W444" s="352"/>
      <c r="X444" s="352"/>
      <c r="Y444" s="352">
        <f>IF(NFI_Expiration=1,IF($A444&lt;VLOOKUP(H$5,NFI,5,0),1,0)*Table_NFI[[#This Row],[Hygiene Kit]],Table_NFI[Hygiene Kit])</f>
        <v>0</v>
      </c>
      <c r="Z444" s="352">
        <f>IF(NFI_Expiration=1,IF($A444&lt;VLOOKUP(I$5,NFI,5,0),1,0)*Table_NFI[[#This Row],[NFI Core Kit]],Table_NFI[NFI Core Kit])</f>
        <v>0</v>
      </c>
      <c r="AA444" s="352">
        <f>IF(NFI_Expiration=1,IF($A444&lt;VLOOKUP(J$5,NFI,5,0),1,0)*Table_NFI[[#This Row],[Sanitary Kit]],Table_NFI[Sanitary Kit])</f>
        <v>0</v>
      </c>
      <c r="AB444" s="352">
        <f>IF(NFI_Expiration=1,IF($A444&lt;VLOOKUP(K$5,NFI,5,0),1,0)*Table_NFI[[#This Row],[Mosquito net]],Table_NFI[Mosquito net])</f>
        <v>0</v>
      </c>
      <c r="AC444" s="352">
        <f>IF(NFI_Expiration=1,IF($A444&lt;VLOOKUP(L$5,NFI,5,0),1,0)*Table_NFI[[#This Row],[Tarpaulin]],Table_NFI[[#This Row],[Tarpaulin]])</f>
        <v>0</v>
      </c>
      <c r="AD444" s="352">
        <f>IF(NFI_Expiration=1,IF($A444&lt;VLOOKUP(M$5,NFI,5,0),1,0)*Table_NFI[[#This Row],[Blanket]],Table_NFI[[#This Row],[Blanket]])</f>
        <v>0</v>
      </c>
      <c r="AE444" s="352">
        <f>IF(NFI_Expiration=1,IF($A444&lt;VLOOKUP(N$5,NFI,5,0),1,0)*Table_NFI[[#This Row],[Kitchen Set]],Table_NFI[Kitchen Set])</f>
        <v>0</v>
      </c>
      <c r="AF444" s="352">
        <f>IF(NFI_Expiration=1,IF($A444&lt;VLOOKUP(O$5,NFI,5,0),1,0)*Table_NFI[[#This Row],[Clothes Kit]],Table_NFI[Clothes Kit])</f>
        <v>0</v>
      </c>
      <c r="AG444" s="352">
        <f>IF(NFI_Expiration=1,IF($A444&lt;VLOOKUP(P$5,NFI,5,0),1,0)*Table_NFI[[#This Row],[Plastic Bucket]],Table_NFI[Plastic Bucket])</f>
        <v>0</v>
      </c>
      <c r="AH444" s="352">
        <f>IF(NFI_Expiration=1,IF($A444&lt;VLOOKUP(Q$5,NFI,5,0),1,0)*Table_NFI[[#This Row],[Plastic Mat]],Table_NFI[Plastic Mat])*IF(Table_NFI[[#This Row],[Distribution Date]]&gt;"2014-04-01",1,2.5)</f>
        <v>0</v>
      </c>
      <c r="AI444" s="352">
        <f>IF(NFI_Expiration=1,IF($A444&lt;VLOOKUP(R$5,NFI,5,0),1,0)*Table_NFI[[#This Row],[Winter Clothes Adult]],Table_NFI[Winter Clothes Adult])</f>
        <v>0</v>
      </c>
      <c r="AJ444" s="352">
        <f>IF(NFI_Expiration=1,IF($A444&lt;VLOOKUP(S$5,NFI,5,0),1,0)*Table_NFI[[#This Row],[Winter Clothes Children]],Table_NFI[Winter Clothes Children])</f>
        <v>0</v>
      </c>
      <c r="AK444" s="352">
        <f>IF(NFI_Expiration=1,IF($A444&lt;VLOOKUP(T$5,NFI,5,0),1,0)*Table_NFI[[#This Row],[Winter Items Other]],Table_NFI[Winter Items Other])</f>
        <v>0</v>
      </c>
      <c r="AL444" s="352">
        <f>IF(NFI_Expiration=1,IF($A444&lt;VLOOKUP(M$5,NFI,5,0),1,0)*Table_NFI[[#This Row],[Winter Blanket]],Table_NFI[[#This Row],[Winter Blanket]])</f>
        <v>0</v>
      </c>
      <c r="AM444" s="352">
        <f>IF(Table_NFI[[#This Row],[Winter Clothes Adult]]+Table_NFI[[#This Row],[Winter Clothes Children]]+Table_NFI[[#This Row],[Winter Items Other]]+Table_NFI[[#This Row],[Winter Blanket]]&gt;0,1,0)</f>
        <v>0</v>
      </c>
      <c r="AN444" s="392">
        <f>IF(NFI_Expiration=1,IF($A444&lt;VLOOKUP(V$5,NFI,5,0),1,0)*Table_NFI[[#This Row],[Jerry Can]],Table_NFI[Jerry Can])</f>
        <v>0</v>
      </c>
      <c r="AO444" s="540" t="str">
        <f>IFERROR(VLOOKUP(Table_NFI[[#This Row],[Camp Name]],CL,2,0),"")</f>
        <v>MMR001CMP029</v>
      </c>
      <c r="AP444" s="535">
        <f ca="1">IF(Table_NFI[[#This Row],[Pcode]]="","",IF(OFFSET(CampList[Opening Date],MATCH(Table_NFI[[#This Row],[Pcode]],CampList[CP_Pcode],0)-1,0,1,1)&gt;=NFI_Monitor_Date,1,0))</f>
        <v>0</v>
      </c>
      <c r="AQ444" s="540" t="str">
        <f>IFERROR(VLOOKUP(Table_NFI[[#This Row],[Camp Name]],CL,3,0),"")</f>
        <v>Open</v>
      </c>
      <c r="AR444" s="352" t="str">
        <f ca="1">IF(Table_NFI[[#This Row],[Pcode]]="","",OFFSET(CampList[Priority],MATCH(Table_NFI[[#This Row],[Pcode]],CampList[CP_Pcode],0)-1,0,1,1))</f>
        <v>P4</v>
      </c>
      <c r="AS444" s="351">
        <f>IFERROR(Table_NFI[[#This Row],[Kitchen Set]]/VLOOKUP(Table_NFI[[#This Row],[Camp Name]],CL,4,0),"")</f>
        <v>0</v>
      </c>
      <c r="AT444" s="533" t="s">
        <v>1094</v>
      </c>
      <c r="AU444" s="536"/>
    </row>
    <row r="445" spans="1:47" s="537" customFormat="1" ht="14.45" hidden="1" customHeight="1" x14ac:dyDescent="0.25">
      <c r="A445" s="355">
        <f t="shared" si="6"/>
        <v>42.2</v>
      </c>
      <c r="B445" s="532">
        <v>41305</v>
      </c>
      <c r="C445" s="533" t="s">
        <v>570</v>
      </c>
      <c r="D445" s="534" t="s">
        <v>570</v>
      </c>
      <c r="E445" s="533" t="s">
        <v>380</v>
      </c>
      <c r="F445" s="348" t="s">
        <v>310</v>
      </c>
      <c r="G445" s="348" t="s">
        <v>330</v>
      </c>
      <c r="H445" s="349"/>
      <c r="I445" s="349"/>
      <c r="J445" s="349"/>
      <c r="K445" s="349"/>
      <c r="L445" s="350"/>
      <c r="M445" s="350">
        <v>442</v>
      </c>
      <c r="N445" s="350"/>
      <c r="O445" s="350"/>
      <c r="P445" s="352">
        <v>0</v>
      </c>
      <c r="Q445" s="352">
        <v>0</v>
      </c>
      <c r="R445" s="352"/>
      <c r="S445" s="352"/>
      <c r="T445" s="352"/>
      <c r="U445" s="352"/>
      <c r="V445" s="497"/>
      <c r="W445" s="352"/>
      <c r="X445" s="352"/>
      <c r="Y445" s="352">
        <f>IF(NFI_Expiration=1,IF($A445&lt;VLOOKUP(H$5,NFI,5,0),1,0)*Table_NFI[[#This Row],[Hygiene Kit]],Table_NFI[Hygiene Kit])</f>
        <v>0</v>
      </c>
      <c r="Z445" s="352">
        <f>IF(NFI_Expiration=1,IF($A445&lt;VLOOKUP(I$5,NFI,5,0),1,0)*Table_NFI[[#This Row],[NFI Core Kit]],Table_NFI[NFI Core Kit])</f>
        <v>0</v>
      </c>
      <c r="AA445" s="352">
        <f>IF(NFI_Expiration=1,IF($A445&lt;VLOOKUP(J$5,NFI,5,0),1,0)*Table_NFI[[#This Row],[Sanitary Kit]],Table_NFI[Sanitary Kit])</f>
        <v>0</v>
      </c>
      <c r="AB445" s="352">
        <f>IF(NFI_Expiration=1,IF($A445&lt;VLOOKUP(K$5,NFI,5,0),1,0)*Table_NFI[[#This Row],[Mosquito net]],Table_NFI[Mosquito net])</f>
        <v>0</v>
      </c>
      <c r="AC445" s="352">
        <f>IF(NFI_Expiration=1,IF($A445&lt;VLOOKUP(L$5,NFI,5,0),1,0)*Table_NFI[[#This Row],[Tarpaulin]],Table_NFI[[#This Row],[Tarpaulin]])</f>
        <v>0</v>
      </c>
      <c r="AD445" s="352">
        <f>IF(NFI_Expiration=1,IF($A445&lt;VLOOKUP(M$5,NFI,5,0),1,0)*Table_NFI[[#This Row],[Blanket]],Table_NFI[[#This Row],[Blanket]])</f>
        <v>0</v>
      </c>
      <c r="AE445" s="352">
        <f>IF(NFI_Expiration=1,IF($A445&lt;VLOOKUP(N$5,NFI,5,0),1,0)*Table_NFI[[#This Row],[Kitchen Set]],Table_NFI[Kitchen Set])</f>
        <v>0</v>
      </c>
      <c r="AF445" s="352">
        <f>IF(NFI_Expiration=1,IF($A445&lt;VLOOKUP(O$5,NFI,5,0),1,0)*Table_NFI[[#This Row],[Clothes Kit]],Table_NFI[Clothes Kit])</f>
        <v>0</v>
      </c>
      <c r="AG445" s="352">
        <f>IF(NFI_Expiration=1,IF($A445&lt;VLOOKUP(P$5,NFI,5,0),1,0)*Table_NFI[[#This Row],[Plastic Bucket]],Table_NFI[Plastic Bucket])</f>
        <v>0</v>
      </c>
      <c r="AH445" s="352">
        <f>IF(NFI_Expiration=1,IF($A445&lt;VLOOKUP(Q$5,NFI,5,0),1,0)*Table_NFI[[#This Row],[Plastic Mat]],Table_NFI[Plastic Mat])*IF(Table_NFI[[#This Row],[Distribution Date]]&gt;"2014-04-01",1,2.5)</f>
        <v>0</v>
      </c>
      <c r="AI445" s="352">
        <f>IF(NFI_Expiration=1,IF($A445&lt;VLOOKUP(R$5,NFI,5,0),1,0)*Table_NFI[[#This Row],[Winter Clothes Adult]],Table_NFI[Winter Clothes Adult])</f>
        <v>0</v>
      </c>
      <c r="AJ445" s="352">
        <f>IF(NFI_Expiration=1,IF($A445&lt;VLOOKUP(S$5,NFI,5,0),1,0)*Table_NFI[[#This Row],[Winter Clothes Children]],Table_NFI[Winter Clothes Children])</f>
        <v>0</v>
      </c>
      <c r="AK445" s="352">
        <f>IF(NFI_Expiration=1,IF($A445&lt;VLOOKUP(T$5,NFI,5,0),1,0)*Table_NFI[[#This Row],[Winter Items Other]],Table_NFI[Winter Items Other])</f>
        <v>0</v>
      </c>
      <c r="AL445" s="352">
        <f>IF(NFI_Expiration=1,IF($A445&lt;VLOOKUP(M$5,NFI,5,0),1,0)*Table_NFI[[#This Row],[Winter Blanket]],Table_NFI[[#This Row],[Winter Blanket]])</f>
        <v>0</v>
      </c>
      <c r="AM445" s="352">
        <f>IF(Table_NFI[[#This Row],[Winter Clothes Adult]]+Table_NFI[[#This Row],[Winter Clothes Children]]+Table_NFI[[#This Row],[Winter Items Other]]+Table_NFI[[#This Row],[Winter Blanket]]&gt;0,1,0)</f>
        <v>0</v>
      </c>
      <c r="AN445" s="392">
        <f>IF(NFI_Expiration=1,IF($A445&lt;VLOOKUP(V$5,NFI,5,0),1,0)*Table_NFI[[#This Row],[Jerry Can]],Table_NFI[Jerry Can])</f>
        <v>0</v>
      </c>
      <c r="AO445" s="540" t="str">
        <f>IFERROR(VLOOKUP(Table_NFI[[#This Row],[Camp Name]],CL,2,0),"")</f>
        <v>MMR001CMP029</v>
      </c>
      <c r="AP445" s="535">
        <f ca="1">IF(Table_NFI[[#This Row],[Pcode]]="","",IF(OFFSET(CampList[Opening Date],MATCH(Table_NFI[[#This Row],[Pcode]],CampList[CP_Pcode],0)-1,0,1,1)&gt;=NFI_Monitor_Date,1,0))</f>
        <v>0</v>
      </c>
      <c r="AQ445" s="540" t="str">
        <f>IFERROR(VLOOKUP(Table_NFI[[#This Row],[Camp Name]],CL,3,0),"")</f>
        <v>Open</v>
      </c>
      <c r="AR445" s="352" t="str">
        <f ca="1">IF(Table_NFI[[#This Row],[Pcode]]="","",OFFSET(CampList[Priority],MATCH(Table_NFI[[#This Row],[Pcode]],CampList[CP_Pcode],0)-1,0,1,1))</f>
        <v>P4</v>
      </c>
      <c r="AS445" s="351">
        <f>IFERROR(Table_NFI[[#This Row],[Kitchen Set]]/VLOOKUP(Table_NFI[[#This Row],[Camp Name]],CL,4,0),"")</f>
        <v>0</v>
      </c>
      <c r="AT445" s="533" t="s">
        <v>1094</v>
      </c>
      <c r="AU445" s="536"/>
    </row>
    <row r="446" spans="1:47" s="537" customFormat="1" ht="14.45" customHeight="1" x14ac:dyDescent="0.25">
      <c r="A446" s="355">
        <f t="shared" si="6"/>
        <v>32.533333333333331</v>
      </c>
      <c r="B446" s="532">
        <v>41595</v>
      </c>
      <c r="C446" s="534" t="s">
        <v>453</v>
      </c>
      <c r="D446" s="534" t="s">
        <v>574</v>
      </c>
      <c r="E446" s="533" t="s">
        <v>380</v>
      </c>
      <c r="F446" s="348" t="s">
        <v>151</v>
      </c>
      <c r="G446" s="348" t="s">
        <v>154</v>
      </c>
      <c r="H446" s="349"/>
      <c r="I446" s="349"/>
      <c r="J446" s="349"/>
      <c r="K446" s="349">
        <v>700</v>
      </c>
      <c r="L446" s="350">
        <v>350</v>
      </c>
      <c r="M446" s="350">
        <v>700</v>
      </c>
      <c r="N446" s="350">
        <v>350</v>
      </c>
      <c r="O446" s="350">
        <v>350</v>
      </c>
      <c r="P446" s="352"/>
      <c r="Q446" s="352"/>
      <c r="R446" s="352"/>
      <c r="S446" s="352"/>
      <c r="T446" s="352"/>
      <c r="U446" s="352"/>
      <c r="V446" s="497"/>
      <c r="W446" s="352"/>
      <c r="X446" s="352"/>
      <c r="Y446" s="352">
        <f>IF(NFI_Expiration=1,IF($A446&lt;VLOOKUP(H$5,NFI,5,0),1,0)*Table_NFI[[#This Row],[Hygiene Kit]],Table_NFI[Hygiene Kit])</f>
        <v>0</v>
      </c>
      <c r="Z446" s="352">
        <f>IF(NFI_Expiration=1,IF($A446&lt;VLOOKUP(I$5,NFI,5,0),1,0)*Table_NFI[[#This Row],[NFI Core Kit]],Table_NFI[NFI Core Kit])</f>
        <v>0</v>
      </c>
      <c r="AA446" s="352">
        <f>IF(NFI_Expiration=1,IF($A446&lt;VLOOKUP(J$5,NFI,5,0),1,0)*Table_NFI[[#This Row],[Sanitary Kit]],Table_NFI[Sanitary Kit])</f>
        <v>0</v>
      </c>
      <c r="AB446" s="352">
        <f>IF(NFI_Expiration=1,IF($A446&lt;VLOOKUP(K$5,NFI,5,0),1,0)*Table_NFI[[#This Row],[Mosquito net]],Table_NFI[Mosquito net])</f>
        <v>0</v>
      </c>
      <c r="AC446" s="352">
        <f>IF(NFI_Expiration=1,IF($A446&lt;VLOOKUP(L$5,NFI,5,0),1,0)*Table_NFI[[#This Row],[Tarpaulin]],Table_NFI[[#This Row],[Tarpaulin]])</f>
        <v>0</v>
      </c>
      <c r="AD446" s="352">
        <f>IF(NFI_Expiration=1,IF($A446&lt;VLOOKUP(M$5,NFI,5,0),1,0)*Table_NFI[[#This Row],[Blanket]],Table_NFI[[#This Row],[Blanket]])</f>
        <v>0</v>
      </c>
      <c r="AE446" s="352">
        <f>IF(NFI_Expiration=1,IF($A446&lt;VLOOKUP(N$5,NFI,5,0),1,0)*Table_NFI[[#This Row],[Kitchen Set]],Table_NFI[Kitchen Set])</f>
        <v>0</v>
      </c>
      <c r="AF446" s="352">
        <f>IF(NFI_Expiration=1,IF($A446&lt;VLOOKUP(O$5,NFI,5,0),1,0)*Table_NFI[[#This Row],[Clothes Kit]],Table_NFI[Clothes Kit])</f>
        <v>0</v>
      </c>
      <c r="AG446" s="352">
        <f>IF(NFI_Expiration=1,IF($A446&lt;VLOOKUP(P$5,NFI,5,0),1,0)*Table_NFI[[#This Row],[Plastic Bucket]],Table_NFI[Plastic Bucket])</f>
        <v>0</v>
      </c>
      <c r="AH446" s="352">
        <f>IF(NFI_Expiration=1,IF($A446&lt;VLOOKUP(Q$5,NFI,5,0),1,0)*Table_NFI[[#This Row],[Plastic Mat]],Table_NFI[Plastic Mat])*IF(Table_NFI[[#This Row],[Distribution Date]]&gt;"2014-04-01",1,2.5)</f>
        <v>0</v>
      </c>
      <c r="AI446" s="352">
        <f>IF(NFI_Expiration=1,IF($A446&lt;VLOOKUP(R$5,NFI,5,0),1,0)*Table_NFI[[#This Row],[Winter Clothes Adult]],Table_NFI[Winter Clothes Adult])</f>
        <v>0</v>
      </c>
      <c r="AJ446" s="352">
        <f>IF(NFI_Expiration=1,IF($A446&lt;VLOOKUP(S$5,NFI,5,0),1,0)*Table_NFI[[#This Row],[Winter Clothes Children]],Table_NFI[Winter Clothes Children])</f>
        <v>0</v>
      </c>
      <c r="AK446" s="352">
        <f>IF(NFI_Expiration=1,IF($A446&lt;VLOOKUP(T$5,NFI,5,0),1,0)*Table_NFI[[#This Row],[Winter Items Other]],Table_NFI[Winter Items Other])</f>
        <v>0</v>
      </c>
      <c r="AL446" s="352">
        <f>IF(NFI_Expiration=1,IF($A446&lt;VLOOKUP(M$5,NFI,5,0),1,0)*Table_NFI[[#This Row],[Winter Blanket]],Table_NFI[[#This Row],[Winter Blanket]])</f>
        <v>0</v>
      </c>
      <c r="AM446" s="352">
        <f>IF(Table_NFI[[#This Row],[Winter Clothes Adult]]+Table_NFI[[#This Row],[Winter Clothes Children]]+Table_NFI[[#This Row],[Winter Items Other]]+Table_NFI[[#This Row],[Winter Blanket]]&gt;0,1,0)</f>
        <v>0</v>
      </c>
      <c r="AN446" s="392">
        <f>IF(NFI_Expiration=1,IF($A446&lt;VLOOKUP(V$5,NFI,5,0),1,0)*Table_NFI[[#This Row],[Jerry Can]],Table_NFI[Jerry Can])</f>
        <v>0</v>
      </c>
      <c r="AO446" s="540" t="str">
        <f>IFERROR(VLOOKUP(Table_NFI[[#This Row],[Camp Name]],CL,2,0),"")</f>
        <v>MMR001CMP132</v>
      </c>
      <c r="AP446" s="535">
        <f ca="1">IF(Table_NFI[[#This Row],[Pcode]]="","",IF(OFFSET(CampList[Opening Date],MATCH(Table_NFI[[#This Row],[Pcode]],CampList[CP_Pcode],0)-1,0,1,1)&gt;=NFI_Monitor_Date,1,0))</f>
        <v>0</v>
      </c>
      <c r="AQ446" s="540" t="str">
        <f>IFERROR(VLOOKUP(Table_NFI[[#This Row],[Camp Name]],CL,3,0),"")</f>
        <v>Open</v>
      </c>
      <c r="AR446" s="352" t="str">
        <f ca="1">IF(Table_NFI[[#This Row],[Pcode]]="","",OFFSET(CampList[Priority],MATCH(Table_NFI[[#This Row],[Pcode]],CampList[CP_Pcode],0)-1,0,1,1))</f>
        <v>P4</v>
      </c>
      <c r="AS446" s="351">
        <f>IFERROR(Table_NFI[[#This Row],[Kitchen Set]]/VLOOKUP(Table_NFI[[#This Row],[Camp Name]],CL,4,0),"")</f>
        <v>0.76419213973799127</v>
      </c>
      <c r="AT446" s="533" t="s">
        <v>1094</v>
      </c>
      <c r="AU446" s="536"/>
    </row>
    <row r="447" spans="1:47" s="537" customFormat="1" ht="14.45" customHeight="1" x14ac:dyDescent="0.25">
      <c r="A447" s="355">
        <f t="shared" si="6"/>
        <v>32.56666666666667</v>
      </c>
      <c r="B447" s="532">
        <v>41594</v>
      </c>
      <c r="C447" s="533" t="s">
        <v>453</v>
      </c>
      <c r="D447" s="533" t="s">
        <v>574</v>
      </c>
      <c r="E447" s="533" t="s">
        <v>380</v>
      </c>
      <c r="F447" s="348" t="s">
        <v>5</v>
      </c>
      <c r="G447" s="348" t="s">
        <v>366</v>
      </c>
      <c r="H447" s="349"/>
      <c r="I447" s="349"/>
      <c r="J447" s="349"/>
      <c r="K447" s="349"/>
      <c r="L447" s="350">
        <v>11</v>
      </c>
      <c r="M447" s="350"/>
      <c r="N447" s="350"/>
      <c r="O447" s="350"/>
      <c r="P447" s="352"/>
      <c r="Q447" s="352"/>
      <c r="R447" s="352"/>
      <c r="S447" s="352"/>
      <c r="T447" s="352"/>
      <c r="U447" s="352"/>
      <c r="V447" s="497"/>
      <c r="W447" s="352"/>
      <c r="X447" s="352"/>
      <c r="Y447" s="352">
        <f>IF(NFI_Expiration=1,IF($A447&lt;VLOOKUP(H$5,NFI,5,0),1,0)*Table_NFI[[#This Row],[Hygiene Kit]],Table_NFI[Hygiene Kit])</f>
        <v>0</v>
      </c>
      <c r="Z447" s="352">
        <f>IF(NFI_Expiration=1,IF($A447&lt;VLOOKUP(I$5,NFI,5,0),1,0)*Table_NFI[[#This Row],[NFI Core Kit]],Table_NFI[NFI Core Kit])</f>
        <v>0</v>
      </c>
      <c r="AA447" s="352">
        <f>IF(NFI_Expiration=1,IF($A447&lt;VLOOKUP(J$5,NFI,5,0),1,0)*Table_NFI[[#This Row],[Sanitary Kit]],Table_NFI[Sanitary Kit])</f>
        <v>0</v>
      </c>
      <c r="AB447" s="352">
        <f>IF(NFI_Expiration=1,IF($A447&lt;VLOOKUP(K$5,NFI,5,0),1,0)*Table_NFI[[#This Row],[Mosquito net]],Table_NFI[Mosquito net])</f>
        <v>0</v>
      </c>
      <c r="AC447" s="352">
        <f>IF(NFI_Expiration=1,IF($A447&lt;VLOOKUP(L$5,NFI,5,0),1,0)*Table_NFI[[#This Row],[Tarpaulin]],Table_NFI[[#This Row],[Tarpaulin]])</f>
        <v>0</v>
      </c>
      <c r="AD447" s="352">
        <f>IF(NFI_Expiration=1,IF($A447&lt;VLOOKUP(M$5,NFI,5,0),1,0)*Table_NFI[[#This Row],[Blanket]],Table_NFI[[#This Row],[Blanket]])</f>
        <v>0</v>
      </c>
      <c r="AE447" s="352">
        <f>IF(NFI_Expiration=1,IF($A447&lt;VLOOKUP(N$5,NFI,5,0),1,0)*Table_NFI[[#This Row],[Kitchen Set]],Table_NFI[Kitchen Set])</f>
        <v>0</v>
      </c>
      <c r="AF447" s="352">
        <f>IF(NFI_Expiration=1,IF($A447&lt;VLOOKUP(O$5,NFI,5,0),1,0)*Table_NFI[[#This Row],[Clothes Kit]],Table_NFI[Clothes Kit])</f>
        <v>0</v>
      </c>
      <c r="AG447" s="352">
        <f>IF(NFI_Expiration=1,IF($A447&lt;VLOOKUP(P$5,NFI,5,0),1,0)*Table_NFI[[#This Row],[Plastic Bucket]],Table_NFI[Plastic Bucket])</f>
        <v>0</v>
      </c>
      <c r="AH447" s="352">
        <f>IF(NFI_Expiration=1,IF($A447&lt;VLOOKUP(Q$5,NFI,5,0),1,0)*Table_NFI[[#This Row],[Plastic Mat]],Table_NFI[Plastic Mat])*IF(Table_NFI[[#This Row],[Distribution Date]]&gt;"2014-04-01",1,2.5)</f>
        <v>0</v>
      </c>
      <c r="AI447" s="352">
        <f>IF(NFI_Expiration=1,IF($A447&lt;VLOOKUP(R$5,NFI,5,0),1,0)*Table_NFI[[#This Row],[Winter Clothes Adult]],Table_NFI[Winter Clothes Adult])</f>
        <v>0</v>
      </c>
      <c r="AJ447" s="352">
        <f>IF(NFI_Expiration=1,IF($A447&lt;VLOOKUP(S$5,NFI,5,0),1,0)*Table_NFI[[#This Row],[Winter Clothes Children]],Table_NFI[Winter Clothes Children])</f>
        <v>0</v>
      </c>
      <c r="AK447" s="352">
        <f>IF(NFI_Expiration=1,IF($A447&lt;VLOOKUP(T$5,NFI,5,0),1,0)*Table_NFI[[#This Row],[Winter Items Other]],Table_NFI[Winter Items Other])</f>
        <v>0</v>
      </c>
      <c r="AL447" s="352">
        <f>IF(NFI_Expiration=1,IF($A447&lt;VLOOKUP(M$5,NFI,5,0),1,0)*Table_NFI[[#This Row],[Winter Blanket]],Table_NFI[[#This Row],[Winter Blanket]])</f>
        <v>0</v>
      </c>
      <c r="AM447" s="352">
        <f>IF(Table_NFI[[#This Row],[Winter Clothes Adult]]+Table_NFI[[#This Row],[Winter Clothes Children]]+Table_NFI[[#This Row],[Winter Items Other]]+Table_NFI[[#This Row],[Winter Blanket]]&gt;0,1,0)</f>
        <v>0</v>
      </c>
      <c r="AN447" s="392">
        <f>IF(NFI_Expiration=1,IF($A447&lt;VLOOKUP(V$5,NFI,5,0),1,0)*Table_NFI[[#This Row],[Jerry Can]],Table_NFI[Jerry Can])</f>
        <v>0</v>
      </c>
      <c r="AO447" s="540" t="str">
        <f>IFERROR(VLOOKUP(Table_NFI[[#This Row],[Camp Name]],CL,2,0),"")</f>
        <v>MMR001CMP193</v>
      </c>
      <c r="AP447" s="535">
        <f ca="1">IF(Table_NFI[[#This Row],[Pcode]]="","",IF(OFFSET(CampList[Opening Date],MATCH(Table_NFI[[#This Row],[Pcode]],CampList[CP_Pcode],0)-1,0,1,1)&gt;=NFI_Monitor_Date,1,0))</f>
        <v>0</v>
      </c>
      <c r="AQ447" s="540" t="str">
        <f>IFERROR(VLOOKUP(Table_NFI[[#This Row],[Camp Name]],CL,3,0),"")</f>
        <v>Open</v>
      </c>
      <c r="AR447" s="352" t="str">
        <f ca="1">IF(Table_NFI[[#This Row],[Pcode]]="","",OFFSET(CampList[Priority],MATCH(Table_NFI[[#This Row],[Pcode]],CampList[CP_Pcode],0)-1,0,1,1))</f>
        <v>P4</v>
      </c>
      <c r="AS447" s="351">
        <f>IFERROR(Table_NFI[[#This Row],[Kitchen Set]]/VLOOKUP(Table_NFI[[#This Row],[Camp Name]],CL,4,0),"")</f>
        <v>0</v>
      </c>
      <c r="AT447" s="533" t="s">
        <v>1094</v>
      </c>
      <c r="AU447" s="536"/>
    </row>
    <row r="448" spans="1:47" s="537" customFormat="1" ht="14.45" customHeight="1" x14ac:dyDescent="0.25">
      <c r="A448" s="355">
        <f t="shared" si="6"/>
        <v>32.56666666666667</v>
      </c>
      <c r="B448" s="532">
        <v>41594</v>
      </c>
      <c r="C448" s="533" t="s">
        <v>453</v>
      </c>
      <c r="D448" s="533" t="s">
        <v>453</v>
      </c>
      <c r="E448" s="533" t="s">
        <v>380</v>
      </c>
      <c r="F448" s="348" t="s">
        <v>5</v>
      </c>
      <c r="G448" s="348" t="s">
        <v>22</v>
      </c>
      <c r="H448" s="349"/>
      <c r="I448" s="349"/>
      <c r="J448" s="349"/>
      <c r="K448" s="349"/>
      <c r="L448" s="350">
        <v>10</v>
      </c>
      <c r="M448" s="350"/>
      <c r="N448" s="350"/>
      <c r="O448" s="350"/>
      <c r="P448" s="352"/>
      <c r="Q448" s="352"/>
      <c r="R448" s="352"/>
      <c r="S448" s="352"/>
      <c r="T448" s="352"/>
      <c r="U448" s="352"/>
      <c r="V448" s="497"/>
      <c r="W448" s="352"/>
      <c r="X448" s="352"/>
      <c r="Y448" s="352">
        <f>IF(NFI_Expiration=1,IF($A448&lt;VLOOKUP(H$5,NFI,5,0),1,0)*Table_NFI[[#This Row],[Hygiene Kit]],Table_NFI[Hygiene Kit])</f>
        <v>0</v>
      </c>
      <c r="Z448" s="352">
        <f>IF(NFI_Expiration=1,IF($A448&lt;VLOOKUP(I$5,NFI,5,0),1,0)*Table_NFI[[#This Row],[NFI Core Kit]],Table_NFI[NFI Core Kit])</f>
        <v>0</v>
      </c>
      <c r="AA448" s="352">
        <f>IF(NFI_Expiration=1,IF($A448&lt;VLOOKUP(J$5,NFI,5,0),1,0)*Table_NFI[[#This Row],[Sanitary Kit]],Table_NFI[Sanitary Kit])</f>
        <v>0</v>
      </c>
      <c r="AB448" s="352">
        <f>IF(NFI_Expiration=1,IF($A448&lt;VLOOKUP(K$5,NFI,5,0),1,0)*Table_NFI[[#This Row],[Mosquito net]],Table_NFI[Mosquito net])</f>
        <v>0</v>
      </c>
      <c r="AC448" s="352">
        <f>IF(NFI_Expiration=1,IF($A448&lt;VLOOKUP(L$5,NFI,5,0),1,0)*Table_NFI[[#This Row],[Tarpaulin]],Table_NFI[[#This Row],[Tarpaulin]])</f>
        <v>0</v>
      </c>
      <c r="AD448" s="352">
        <f>IF(NFI_Expiration=1,IF($A448&lt;VLOOKUP(M$5,NFI,5,0),1,0)*Table_NFI[[#This Row],[Blanket]],Table_NFI[[#This Row],[Blanket]])</f>
        <v>0</v>
      </c>
      <c r="AE448" s="352">
        <f>IF(NFI_Expiration=1,IF($A448&lt;VLOOKUP(N$5,NFI,5,0),1,0)*Table_NFI[[#This Row],[Kitchen Set]],Table_NFI[Kitchen Set])</f>
        <v>0</v>
      </c>
      <c r="AF448" s="352">
        <f>IF(NFI_Expiration=1,IF($A448&lt;VLOOKUP(O$5,NFI,5,0),1,0)*Table_NFI[[#This Row],[Clothes Kit]],Table_NFI[Clothes Kit])</f>
        <v>0</v>
      </c>
      <c r="AG448" s="352">
        <f>IF(NFI_Expiration=1,IF($A448&lt;VLOOKUP(P$5,NFI,5,0),1,0)*Table_NFI[[#This Row],[Plastic Bucket]],Table_NFI[Plastic Bucket])</f>
        <v>0</v>
      </c>
      <c r="AH448" s="352">
        <f>IF(NFI_Expiration=1,IF($A448&lt;VLOOKUP(Q$5,NFI,5,0),1,0)*Table_NFI[[#This Row],[Plastic Mat]],Table_NFI[Plastic Mat])*IF(Table_NFI[[#This Row],[Distribution Date]]&gt;"2014-04-01",1,2.5)</f>
        <v>0</v>
      </c>
      <c r="AI448" s="352">
        <f>IF(NFI_Expiration=1,IF($A448&lt;VLOOKUP(R$5,NFI,5,0),1,0)*Table_NFI[[#This Row],[Winter Clothes Adult]],Table_NFI[Winter Clothes Adult])</f>
        <v>0</v>
      </c>
      <c r="AJ448" s="352">
        <f>IF(NFI_Expiration=1,IF($A448&lt;VLOOKUP(S$5,NFI,5,0),1,0)*Table_NFI[[#This Row],[Winter Clothes Children]],Table_NFI[Winter Clothes Children])</f>
        <v>0</v>
      </c>
      <c r="AK448" s="352">
        <f>IF(NFI_Expiration=1,IF($A448&lt;VLOOKUP(T$5,NFI,5,0),1,0)*Table_NFI[[#This Row],[Winter Items Other]],Table_NFI[Winter Items Other])</f>
        <v>0</v>
      </c>
      <c r="AL448" s="352">
        <f>IF(NFI_Expiration=1,IF($A448&lt;VLOOKUP(M$5,NFI,5,0),1,0)*Table_NFI[[#This Row],[Winter Blanket]],Table_NFI[[#This Row],[Winter Blanket]])</f>
        <v>0</v>
      </c>
      <c r="AM448" s="352">
        <f>IF(Table_NFI[[#This Row],[Winter Clothes Adult]]+Table_NFI[[#This Row],[Winter Clothes Children]]+Table_NFI[[#This Row],[Winter Items Other]]+Table_NFI[[#This Row],[Winter Blanket]]&gt;0,1,0)</f>
        <v>0</v>
      </c>
      <c r="AN448" s="392">
        <f>IF(NFI_Expiration=1,IF($A448&lt;VLOOKUP(V$5,NFI,5,0),1,0)*Table_NFI[[#This Row],[Jerry Can]],Table_NFI[Jerry Can])</f>
        <v>0</v>
      </c>
      <c r="AO448" s="540" t="str">
        <f>IFERROR(VLOOKUP(Table_NFI[[#This Row],[Camp Name]],CL,2,0),"")</f>
        <v>MMR001CMP047</v>
      </c>
      <c r="AP448" s="535">
        <f ca="1">IF(Table_NFI[[#This Row],[Pcode]]="","",IF(OFFSET(CampList[Opening Date],MATCH(Table_NFI[[#This Row],[Pcode]],CampList[CP_Pcode],0)-1,0,1,1)&gt;=NFI_Monitor_Date,1,0))</f>
        <v>0</v>
      </c>
      <c r="AQ448" s="540" t="str">
        <f>IFERROR(VLOOKUP(Table_NFI[[#This Row],[Camp Name]],CL,3,0),"")</f>
        <v>Open</v>
      </c>
      <c r="AR448" s="352" t="str">
        <f ca="1">IF(Table_NFI[[#This Row],[Pcode]]="","",OFFSET(CampList[Priority],MATCH(Table_NFI[[#This Row],[Pcode]],CampList[CP_Pcode],0)-1,0,1,1))</f>
        <v>P4</v>
      </c>
      <c r="AS448" s="351">
        <f>IFERROR(Table_NFI[[#This Row],[Kitchen Set]]/VLOOKUP(Table_NFI[[#This Row],[Camp Name]],CL,4,0),"")</f>
        <v>0</v>
      </c>
      <c r="AT448" s="533" t="s">
        <v>1094</v>
      </c>
      <c r="AU448" s="536"/>
    </row>
    <row r="449" spans="1:47" s="537" customFormat="1" ht="14.45" customHeight="1" x14ac:dyDescent="0.25">
      <c r="A449" s="355">
        <f t="shared" si="6"/>
        <v>32.6</v>
      </c>
      <c r="B449" s="532">
        <v>41593</v>
      </c>
      <c r="C449" s="533" t="s">
        <v>453</v>
      </c>
      <c r="D449" s="533" t="s">
        <v>574</v>
      </c>
      <c r="E449" s="533" t="s">
        <v>380</v>
      </c>
      <c r="F449" s="348" t="s">
        <v>5</v>
      </c>
      <c r="G449" s="348"/>
      <c r="H449" s="349"/>
      <c r="I449" s="349"/>
      <c r="J449" s="349"/>
      <c r="K449" s="349"/>
      <c r="L449" s="350">
        <v>12</v>
      </c>
      <c r="M449" s="350"/>
      <c r="N449" s="350"/>
      <c r="O449" s="350"/>
      <c r="P449" s="352"/>
      <c r="Q449" s="352"/>
      <c r="R449" s="352"/>
      <c r="S449" s="352"/>
      <c r="T449" s="352"/>
      <c r="U449" s="352"/>
      <c r="V449" s="497"/>
      <c r="W449" s="352"/>
      <c r="X449" s="352"/>
      <c r="Y449" s="352">
        <f>IF(NFI_Expiration=1,IF($A449&lt;VLOOKUP(H$5,NFI,5,0),1,0)*Table_NFI[[#This Row],[Hygiene Kit]],Table_NFI[Hygiene Kit])</f>
        <v>0</v>
      </c>
      <c r="Z449" s="352">
        <f>IF(NFI_Expiration=1,IF($A449&lt;VLOOKUP(I$5,NFI,5,0),1,0)*Table_NFI[[#This Row],[NFI Core Kit]],Table_NFI[NFI Core Kit])</f>
        <v>0</v>
      </c>
      <c r="AA449" s="352">
        <f>IF(NFI_Expiration=1,IF($A449&lt;VLOOKUP(J$5,NFI,5,0),1,0)*Table_NFI[[#This Row],[Sanitary Kit]],Table_NFI[Sanitary Kit])</f>
        <v>0</v>
      </c>
      <c r="AB449" s="352">
        <f>IF(NFI_Expiration=1,IF($A449&lt;VLOOKUP(K$5,NFI,5,0),1,0)*Table_NFI[[#This Row],[Mosquito net]],Table_NFI[Mosquito net])</f>
        <v>0</v>
      </c>
      <c r="AC449" s="352">
        <f>IF(NFI_Expiration=1,IF($A449&lt;VLOOKUP(L$5,NFI,5,0),1,0)*Table_NFI[[#This Row],[Tarpaulin]],Table_NFI[[#This Row],[Tarpaulin]])</f>
        <v>0</v>
      </c>
      <c r="AD449" s="352">
        <f>IF(NFI_Expiration=1,IF($A449&lt;VLOOKUP(M$5,NFI,5,0),1,0)*Table_NFI[[#This Row],[Blanket]],Table_NFI[[#This Row],[Blanket]])</f>
        <v>0</v>
      </c>
      <c r="AE449" s="352">
        <f>IF(NFI_Expiration=1,IF($A449&lt;VLOOKUP(N$5,NFI,5,0),1,0)*Table_NFI[[#This Row],[Kitchen Set]],Table_NFI[Kitchen Set])</f>
        <v>0</v>
      </c>
      <c r="AF449" s="352">
        <f>IF(NFI_Expiration=1,IF($A449&lt;VLOOKUP(O$5,NFI,5,0),1,0)*Table_NFI[[#This Row],[Clothes Kit]],Table_NFI[Clothes Kit])</f>
        <v>0</v>
      </c>
      <c r="AG449" s="352">
        <f>IF(NFI_Expiration=1,IF($A449&lt;VLOOKUP(P$5,NFI,5,0),1,0)*Table_NFI[[#This Row],[Plastic Bucket]],Table_NFI[Plastic Bucket])</f>
        <v>0</v>
      </c>
      <c r="AH449" s="352">
        <f>IF(NFI_Expiration=1,IF($A449&lt;VLOOKUP(Q$5,NFI,5,0),1,0)*Table_NFI[[#This Row],[Plastic Mat]],Table_NFI[Plastic Mat])*IF(Table_NFI[[#This Row],[Distribution Date]]&gt;"2014-04-01",1,2.5)</f>
        <v>0</v>
      </c>
      <c r="AI449" s="352">
        <f>IF(NFI_Expiration=1,IF($A449&lt;VLOOKUP(R$5,NFI,5,0),1,0)*Table_NFI[[#This Row],[Winter Clothes Adult]],Table_NFI[Winter Clothes Adult])</f>
        <v>0</v>
      </c>
      <c r="AJ449" s="352">
        <f>IF(NFI_Expiration=1,IF($A449&lt;VLOOKUP(S$5,NFI,5,0),1,0)*Table_NFI[[#This Row],[Winter Clothes Children]],Table_NFI[Winter Clothes Children])</f>
        <v>0</v>
      </c>
      <c r="AK449" s="352">
        <f>IF(NFI_Expiration=1,IF($A449&lt;VLOOKUP(T$5,NFI,5,0),1,0)*Table_NFI[[#This Row],[Winter Items Other]],Table_NFI[Winter Items Other])</f>
        <v>0</v>
      </c>
      <c r="AL449" s="352">
        <f>IF(NFI_Expiration=1,IF($A449&lt;VLOOKUP(M$5,NFI,5,0),1,0)*Table_NFI[[#This Row],[Winter Blanket]],Table_NFI[[#This Row],[Winter Blanket]])</f>
        <v>0</v>
      </c>
      <c r="AM449" s="352">
        <f>IF(Table_NFI[[#This Row],[Winter Clothes Adult]]+Table_NFI[[#This Row],[Winter Clothes Children]]+Table_NFI[[#This Row],[Winter Items Other]]+Table_NFI[[#This Row],[Winter Blanket]]&gt;0,1,0)</f>
        <v>0</v>
      </c>
      <c r="AN449" s="392">
        <f>IF(NFI_Expiration=1,IF($A449&lt;VLOOKUP(V$5,NFI,5,0),1,0)*Table_NFI[[#This Row],[Jerry Can]],Table_NFI[Jerry Can])</f>
        <v>0</v>
      </c>
      <c r="AO449" s="540" t="str">
        <f>IFERROR(VLOOKUP(Table_NFI[[#This Row],[Camp Name]],CL,2,0),"")</f>
        <v/>
      </c>
      <c r="AP449" s="535" t="str">
        <f ca="1">IF(Table_NFI[[#This Row],[Pcode]]="","",IF(OFFSET(CampList[Opening Date],MATCH(Table_NFI[[#This Row],[Pcode]],CampList[CP_Pcode],0)-1,0,1,1)&gt;=NFI_Monitor_Date,1,0))</f>
        <v/>
      </c>
      <c r="AQ449" s="540" t="str">
        <f>IFERROR(VLOOKUP(Table_NFI[[#This Row],[Camp Name]],CL,3,0),"")</f>
        <v/>
      </c>
      <c r="AR449" s="352" t="str">
        <f ca="1">IF(Table_NFI[[#This Row],[Pcode]]="","",OFFSET(CampList[Priority],MATCH(Table_NFI[[#This Row],[Pcode]],CampList[CP_Pcode],0)-1,0,1,1))</f>
        <v/>
      </c>
      <c r="AS449" s="351" t="str">
        <f>IFERROR(Table_NFI[[#This Row],[Kitchen Set]]/VLOOKUP(Table_NFI[[#This Row],[Camp Name]],CL,4,0),"")</f>
        <v/>
      </c>
      <c r="AT449" s="533" t="s">
        <v>1094</v>
      </c>
      <c r="AU449" s="536"/>
    </row>
    <row r="450" spans="1:47" s="537" customFormat="1" ht="14.45" hidden="1" customHeight="1" x14ac:dyDescent="0.25">
      <c r="A450" s="355">
        <f t="shared" si="6"/>
        <v>26.4</v>
      </c>
      <c r="B450" s="532">
        <v>41779</v>
      </c>
      <c r="C450" s="533" t="s">
        <v>1106</v>
      </c>
      <c r="D450" s="533" t="s">
        <v>902</v>
      </c>
      <c r="E450" s="533" t="s">
        <v>380</v>
      </c>
      <c r="F450" s="533" t="s">
        <v>310</v>
      </c>
      <c r="G450" s="533" t="s">
        <v>324</v>
      </c>
      <c r="H450" s="349"/>
      <c r="I450" s="349"/>
      <c r="J450" s="349"/>
      <c r="K450" s="349"/>
      <c r="L450" s="350"/>
      <c r="M450" s="350"/>
      <c r="N450" s="350"/>
      <c r="O450" s="350"/>
      <c r="P450" s="352"/>
      <c r="Q450" s="352"/>
      <c r="R450" s="352"/>
      <c r="S450" s="352"/>
      <c r="T450" s="352"/>
      <c r="U450" s="352">
        <v>824</v>
      </c>
      <c r="V450" s="497"/>
      <c r="W450" s="352"/>
      <c r="X450" s="352"/>
      <c r="Y450" s="352">
        <f>IF(NFI_Expiration=1,IF($A450&lt;VLOOKUP(H$5,NFI,5,0),1,0)*Table_NFI[[#This Row],[Hygiene Kit]],Table_NFI[Hygiene Kit])</f>
        <v>0</v>
      </c>
      <c r="Z450" s="352">
        <f>IF(NFI_Expiration=1,IF($A450&lt;VLOOKUP(I$5,NFI,5,0),1,0)*Table_NFI[[#This Row],[NFI Core Kit]],Table_NFI[NFI Core Kit])</f>
        <v>0</v>
      </c>
      <c r="AA450" s="352">
        <f>IF(NFI_Expiration=1,IF($A450&lt;VLOOKUP(J$5,NFI,5,0),1,0)*Table_NFI[[#This Row],[Sanitary Kit]],Table_NFI[Sanitary Kit])</f>
        <v>0</v>
      </c>
      <c r="AB450" s="352">
        <f>IF(NFI_Expiration=1,IF($A450&lt;VLOOKUP(K$5,NFI,5,0),1,0)*Table_NFI[[#This Row],[Mosquito net]],Table_NFI[Mosquito net])</f>
        <v>0</v>
      </c>
      <c r="AC450" s="352">
        <f>IF(NFI_Expiration=1,IF($A450&lt;VLOOKUP(L$5,NFI,5,0),1,0)*Table_NFI[[#This Row],[Tarpaulin]],Table_NFI[[#This Row],[Tarpaulin]])</f>
        <v>0</v>
      </c>
      <c r="AD450" s="352">
        <f>IF(NFI_Expiration=1,IF($A450&lt;VLOOKUP(M$5,NFI,5,0),1,0)*Table_NFI[[#This Row],[Blanket]],Table_NFI[[#This Row],[Blanket]])</f>
        <v>0</v>
      </c>
      <c r="AE450" s="352">
        <f>IF(NFI_Expiration=1,IF($A450&lt;VLOOKUP(N$5,NFI,5,0),1,0)*Table_NFI[[#This Row],[Kitchen Set]],Table_NFI[Kitchen Set])</f>
        <v>0</v>
      </c>
      <c r="AF450" s="352">
        <f>IF(NFI_Expiration=1,IF($A450&lt;VLOOKUP(O$5,NFI,5,0),1,0)*Table_NFI[[#This Row],[Clothes Kit]],Table_NFI[Clothes Kit])</f>
        <v>0</v>
      </c>
      <c r="AG450" s="352">
        <f>IF(NFI_Expiration=1,IF($A450&lt;VLOOKUP(P$5,NFI,5,0),1,0)*Table_NFI[[#This Row],[Plastic Bucket]],Table_NFI[Plastic Bucket])</f>
        <v>0</v>
      </c>
      <c r="AH450" s="352">
        <f>IF(NFI_Expiration=1,IF($A450&lt;VLOOKUP(Q$5,NFI,5,0),1,0)*Table_NFI[[#This Row],[Plastic Mat]],Table_NFI[Plastic Mat])*IF(Table_NFI[[#This Row],[Distribution Date]]&gt;"2014-04-01",1,2.5)</f>
        <v>0</v>
      </c>
      <c r="AI450" s="352">
        <f>IF(NFI_Expiration=1,IF($A450&lt;VLOOKUP(R$5,NFI,5,0),1,0)*Table_NFI[[#This Row],[Winter Clothes Adult]],Table_NFI[Winter Clothes Adult])</f>
        <v>0</v>
      </c>
      <c r="AJ450" s="352">
        <f>IF(NFI_Expiration=1,IF($A450&lt;VLOOKUP(S$5,NFI,5,0),1,0)*Table_NFI[[#This Row],[Winter Clothes Children]],Table_NFI[Winter Clothes Children])</f>
        <v>0</v>
      </c>
      <c r="AK450" s="352">
        <f>IF(NFI_Expiration=1,IF($A450&lt;VLOOKUP(T$5,NFI,5,0),1,0)*Table_NFI[[#This Row],[Winter Items Other]],Table_NFI[Winter Items Other])</f>
        <v>0</v>
      </c>
      <c r="AL450" s="352">
        <f>IF(NFI_Expiration=1,IF($A450&lt;VLOOKUP(M$5,NFI,5,0),1,0)*Table_NFI[[#This Row],[Winter Blanket]],Table_NFI[[#This Row],[Winter Blanket]])</f>
        <v>0</v>
      </c>
      <c r="AM450" s="352">
        <f>IF(Table_NFI[[#This Row],[Winter Clothes Adult]]+Table_NFI[[#This Row],[Winter Clothes Children]]+Table_NFI[[#This Row],[Winter Items Other]]+Table_NFI[[#This Row],[Winter Blanket]]&gt;0,1,0)</f>
        <v>1</v>
      </c>
      <c r="AN450" s="392">
        <f>IF(NFI_Expiration=1,IF($A450&lt;VLOOKUP(V$5,NFI,5,0),1,0)*Table_NFI[[#This Row],[Jerry Can]],Table_NFI[Jerry Can])</f>
        <v>0</v>
      </c>
      <c r="AO450" s="540" t="str">
        <f>IFERROR(VLOOKUP(Table_NFI[[#This Row],[Camp Name]],CL,2,0),"")</f>
        <v>MMR001CMP040</v>
      </c>
      <c r="AP450" s="535">
        <f ca="1">IF(Table_NFI[[#This Row],[Pcode]]="","",IF(OFFSET(CampList[Opening Date],MATCH(Table_NFI[[#This Row],[Pcode]],CampList[CP_Pcode],0)-1,0,1,1)&gt;=NFI_Monitor_Date,1,0))</f>
        <v>0</v>
      </c>
      <c r="AQ450" s="540" t="str">
        <f>IFERROR(VLOOKUP(Table_NFI[[#This Row],[Camp Name]],CL,3,0),"")</f>
        <v>Open</v>
      </c>
      <c r="AR450" s="352" t="str">
        <f ca="1">IF(Table_NFI[[#This Row],[Pcode]]="","",OFFSET(CampList[Priority],MATCH(Table_NFI[[#This Row],[Pcode]],CampList[CP_Pcode],0)-1,0,1,1))</f>
        <v>P4</v>
      </c>
      <c r="AS450" s="351">
        <f>IFERROR(Table_NFI[[#This Row],[Kitchen Set]]/VLOOKUP(Table_NFI[[#This Row],[Camp Name]],CL,4,0),"")</f>
        <v>0</v>
      </c>
      <c r="AT450" s="533"/>
      <c r="AU450" s="536"/>
    </row>
    <row r="451" spans="1:47" s="537" customFormat="1" hidden="1" x14ac:dyDescent="0.25">
      <c r="A451" s="355">
        <f t="shared" si="6"/>
        <v>31.466666666666665</v>
      </c>
      <c r="B451" s="532">
        <v>41627</v>
      </c>
      <c r="C451" s="533" t="s">
        <v>907</v>
      </c>
      <c r="D451" s="533" t="s">
        <v>461</v>
      </c>
      <c r="E451" s="533" t="s">
        <v>380</v>
      </c>
      <c r="F451" s="533" t="s">
        <v>310</v>
      </c>
      <c r="G451" s="533" t="s">
        <v>324</v>
      </c>
      <c r="H451" s="349"/>
      <c r="I451" s="349"/>
      <c r="J451" s="349"/>
      <c r="K451" s="349"/>
      <c r="L451" s="350"/>
      <c r="M451" s="350"/>
      <c r="N451" s="350"/>
      <c r="O451" s="350"/>
      <c r="P451" s="352"/>
      <c r="Q451" s="352"/>
      <c r="R451" s="352">
        <v>414</v>
      </c>
      <c r="S451" s="352">
        <v>764</v>
      </c>
      <c r="T451" s="352">
        <v>2356</v>
      </c>
      <c r="U451" s="352">
        <v>1178</v>
      </c>
      <c r="V451" s="497"/>
      <c r="W451" s="352"/>
      <c r="X451" s="352"/>
      <c r="Y451" s="352">
        <f>IF(NFI_Expiration=1,IF($A451&lt;VLOOKUP(H$5,NFI,5,0),1,0)*Table_NFI[[#This Row],[Hygiene Kit]],Table_NFI[Hygiene Kit])</f>
        <v>0</v>
      </c>
      <c r="Z451" s="352">
        <f>IF(NFI_Expiration=1,IF($A451&lt;VLOOKUP(I$5,NFI,5,0),1,0)*Table_NFI[[#This Row],[NFI Core Kit]],Table_NFI[NFI Core Kit])</f>
        <v>0</v>
      </c>
      <c r="AA451" s="352">
        <f>IF(NFI_Expiration=1,IF($A451&lt;VLOOKUP(J$5,NFI,5,0),1,0)*Table_NFI[[#This Row],[Sanitary Kit]],Table_NFI[Sanitary Kit])</f>
        <v>0</v>
      </c>
      <c r="AB451" s="352">
        <f>IF(NFI_Expiration=1,IF($A451&lt;VLOOKUP(K$5,NFI,5,0),1,0)*Table_NFI[[#This Row],[Mosquito net]],Table_NFI[Mosquito net])</f>
        <v>0</v>
      </c>
      <c r="AC451" s="352">
        <f>IF(NFI_Expiration=1,IF($A451&lt;VLOOKUP(L$5,NFI,5,0),1,0)*Table_NFI[[#This Row],[Tarpaulin]],Table_NFI[[#This Row],[Tarpaulin]])</f>
        <v>0</v>
      </c>
      <c r="AD451" s="352">
        <f>IF(NFI_Expiration=1,IF($A451&lt;VLOOKUP(M$5,NFI,5,0),1,0)*Table_NFI[[#This Row],[Blanket]],Table_NFI[[#This Row],[Blanket]])</f>
        <v>0</v>
      </c>
      <c r="AE451" s="352">
        <f>IF(NFI_Expiration=1,IF($A451&lt;VLOOKUP(N$5,NFI,5,0),1,0)*Table_NFI[[#This Row],[Kitchen Set]],Table_NFI[Kitchen Set])</f>
        <v>0</v>
      </c>
      <c r="AF451" s="352">
        <f>IF(NFI_Expiration=1,IF($A451&lt;VLOOKUP(O$5,NFI,5,0),1,0)*Table_NFI[[#This Row],[Clothes Kit]],Table_NFI[Clothes Kit])</f>
        <v>0</v>
      </c>
      <c r="AG451" s="352">
        <f>IF(NFI_Expiration=1,IF($A451&lt;VLOOKUP(P$5,NFI,5,0),1,0)*Table_NFI[[#This Row],[Plastic Bucket]],Table_NFI[Plastic Bucket])</f>
        <v>0</v>
      </c>
      <c r="AH451" s="352">
        <f>IF(NFI_Expiration=1,IF($A451&lt;VLOOKUP(Q$5,NFI,5,0),1,0)*Table_NFI[[#This Row],[Plastic Mat]],Table_NFI[Plastic Mat])*IF(Table_NFI[[#This Row],[Distribution Date]]&gt;"2014-04-01",1,2.5)</f>
        <v>0</v>
      </c>
      <c r="AI451" s="352">
        <f>IF(NFI_Expiration=1,IF($A451&lt;VLOOKUP(R$5,NFI,5,0),1,0)*Table_NFI[[#This Row],[Winter Clothes Adult]],Table_NFI[Winter Clothes Adult])</f>
        <v>0</v>
      </c>
      <c r="AJ451" s="352">
        <f>IF(NFI_Expiration=1,IF($A451&lt;VLOOKUP(S$5,NFI,5,0),1,0)*Table_NFI[[#This Row],[Winter Clothes Children]],Table_NFI[Winter Clothes Children])</f>
        <v>0</v>
      </c>
      <c r="AK451" s="352">
        <f>IF(NFI_Expiration=1,IF($A451&lt;VLOOKUP(T$5,NFI,5,0),1,0)*Table_NFI[[#This Row],[Winter Items Other]],Table_NFI[Winter Items Other])</f>
        <v>0</v>
      </c>
      <c r="AL451" s="352">
        <f>IF(NFI_Expiration=1,IF($A451&lt;VLOOKUP(M$5,NFI,5,0),1,0)*Table_NFI[[#This Row],[Winter Blanket]],Table_NFI[[#This Row],[Winter Blanket]])</f>
        <v>0</v>
      </c>
      <c r="AM451" s="352">
        <f>IF(Table_NFI[[#This Row],[Winter Clothes Adult]]+Table_NFI[[#This Row],[Winter Clothes Children]]+Table_NFI[[#This Row],[Winter Items Other]]+Table_NFI[[#This Row],[Winter Blanket]]&gt;0,1,0)</f>
        <v>1</v>
      </c>
      <c r="AN451" s="392">
        <f>IF(NFI_Expiration=1,IF($A451&lt;VLOOKUP(V$5,NFI,5,0),1,0)*Table_NFI[[#This Row],[Jerry Can]],Table_NFI[Jerry Can])</f>
        <v>0</v>
      </c>
      <c r="AO451" s="540" t="str">
        <f>IFERROR(VLOOKUP(Table_NFI[[#This Row],[Camp Name]],CL,2,0),"")</f>
        <v>MMR001CMP040</v>
      </c>
      <c r="AP451" s="535">
        <f ca="1">IF(Table_NFI[[#This Row],[Pcode]]="","",IF(OFFSET(CampList[Opening Date],MATCH(Table_NFI[[#This Row],[Pcode]],CampList[CP_Pcode],0)-1,0,1,1)&gt;=NFI_Monitor_Date,1,0))</f>
        <v>0</v>
      </c>
      <c r="AQ451" s="540" t="str">
        <f>IFERROR(VLOOKUP(Table_NFI[[#This Row],[Camp Name]],CL,3,0),"")</f>
        <v>Open</v>
      </c>
      <c r="AR451" s="352" t="str">
        <f ca="1">IF(Table_NFI[[#This Row],[Pcode]]="","",OFFSET(CampList[Priority],MATCH(Table_NFI[[#This Row],[Pcode]],CampList[CP_Pcode],0)-1,0,1,1))</f>
        <v>P4</v>
      </c>
      <c r="AS451" s="351">
        <f>IFERROR(Table_NFI[[#This Row],[Kitchen Set]]/VLOOKUP(Table_NFI[[#This Row],[Camp Name]],CL,4,0),"")</f>
        <v>0</v>
      </c>
      <c r="AT451" s="533"/>
      <c r="AU451" s="536"/>
    </row>
    <row r="452" spans="1:47" s="537" customFormat="1" hidden="1" x14ac:dyDescent="0.25">
      <c r="A452" s="355">
        <f t="shared" si="6"/>
        <v>32.1</v>
      </c>
      <c r="B452" s="532">
        <v>41608</v>
      </c>
      <c r="C452" s="533" t="s">
        <v>907</v>
      </c>
      <c r="D452" s="534" t="s">
        <v>461</v>
      </c>
      <c r="E452" s="533" t="s">
        <v>380</v>
      </c>
      <c r="F452" s="348" t="s">
        <v>310</v>
      </c>
      <c r="G452" s="348" t="s">
        <v>324</v>
      </c>
      <c r="H452" s="349"/>
      <c r="I452" s="349"/>
      <c r="J452" s="349"/>
      <c r="K452" s="349"/>
      <c r="L452" s="350"/>
      <c r="M452" s="350"/>
      <c r="N452" s="350"/>
      <c r="O452" s="350"/>
      <c r="P452" s="352"/>
      <c r="Q452" s="352"/>
      <c r="R452" s="352"/>
      <c r="S452" s="352"/>
      <c r="T452" s="352"/>
      <c r="U452" s="352"/>
      <c r="V452" s="497"/>
      <c r="W452" s="352"/>
      <c r="X452" s="352"/>
      <c r="Y452" s="352">
        <f>IF(NFI_Expiration=1,IF($A452&lt;VLOOKUP(H$5,NFI,5,0),1,0)*Table_NFI[[#This Row],[Hygiene Kit]],Table_NFI[Hygiene Kit])</f>
        <v>0</v>
      </c>
      <c r="Z452" s="352">
        <f>IF(NFI_Expiration=1,IF($A452&lt;VLOOKUP(I$5,NFI,5,0),1,0)*Table_NFI[[#This Row],[NFI Core Kit]],Table_NFI[NFI Core Kit])</f>
        <v>0</v>
      </c>
      <c r="AA452" s="352">
        <f>IF(NFI_Expiration=1,IF($A452&lt;VLOOKUP(J$5,NFI,5,0),1,0)*Table_NFI[[#This Row],[Sanitary Kit]],Table_NFI[Sanitary Kit])</f>
        <v>0</v>
      </c>
      <c r="AB452" s="352">
        <f>IF(NFI_Expiration=1,IF($A452&lt;VLOOKUP(K$5,NFI,5,0),1,0)*Table_NFI[[#This Row],[Mosquito net]],Table_NFI[Mosquito net])</f>
        <v>0</v>
      </c>
      <c r="AC452" s="352">
        <f>IF(NFI_Expiration=1,IF($A452&lt;VLOOKUP(L$5,NFI,5,0),1,0)*Table_NFI[[#This Row],[Tarpaulin]],Table_NFI[[#This Row],[Tarpaulin]])</f>
        <v>0</v>
      </c>
      <c r="AD452" s="352">
        <f>IF(NFI_Expiration=1,IF($A452&lt;VLOOKUP(M$5,NFI,5,0),1,0)*Table_NFI[[#This Row],[Blanket]],Table_NFI[[#This Row],[Blanket]])</f>
        <v>0</v>
      </c>
      <c r="AE452" s="352">
        <f>IF(NFI_Expiration=1,IF($A452&lt;VLOOKUP(N$5,NFI,5,0),1,0)*Table_NFI[[#This Row],[Kitchen Set]],Table_NFI[Kitchen Set])</f>
        <v>0</v>
      </c>
      <c r="AF452" s="352">
        <f>IF(NFI_Expiration=1,IF($A452&lt;VLOOKUP(O$5,NFI,5,0),1,0)*Table_NFI[[#This Row],[Clothes Kit]],Table_NFI[Clothes Kit])</f>
        <v>0</v>
      </c>
      <c r="AG452" s="352">
        <f>IF(NFI_Expiration=1,IF($A452&lt;VLOOKUP(P$5,NFI,5,0),1,0)*Table_NFI[[#This Row],[Plastic Bucket]],Table_NFI[Plastic Bucket])</f>
        <v>0</v>
      </c>
      <c r="AH452" s="352">
        <f>IF(NFI_Expiration=1,IF($A452&lt;VLOOKUP(Q$5,NFI,5,0),1,0)*Table_NFI[[#This Row],[Plastic Mat]],Table_NFI[Plastic Mat])*IF(Table_NFI[[#This Row],[Distribution Date]]&gt;"2014-04-01",1,2.5)</f>
        <v>0</v>
      </c>
      <c r="AI452" s="352">
        <f>IF(NFI_Expiration=1,IF($A452&lt;VLOOKUP(R$5,NFI,5,0),1,0)*Table_NFI[[#This Row],[Winter Clothes Adult]],Table_NFI[Winter Clothes Adult])</f>
        <v>0</v>
      </c>
      <c r="AJ452" s="352">
        <f>IF(NFI_Expiration=1,IF($A452&lt;VLOOKUP(S$5,NFI,5,0),1,0)*Table_NFI[[#This Row],[Winter Clothes Children]],Table_NFI[Winter Clothes Children])</f>
        <v>0</v>
      </c>
      <c r="AK452" s="352">
        <f>IF(NFI_Expiration=1,IF($A452&lt;VLOOKUP(T$5,NFI,5,0),1,0)*Table_NFI[[#This Row],[Winter Items Other]],Table_NFI[Winter Items Other])</f>
        <v>0</v>
      </c>
      <c r="AL452" s="352">
        <f>IF(NFI_Expiration=1,IF($A452&lt;VLOOKUP(M$5,NFI,5,0),1,0)*Table_NFI[[#This Row],[Winter Blanket]],Table_NFI[[#This Row],[Winter Blanket]])</f>
        <v>0</v>
      </c>
      <c r="AM452" s="352">
        <f>IF(Table_NFI[[#This Row],[Winter Clothes Adult]]+Table_NFI[[#This Row],[Winter Clothes Children]]+Table_NFI[[#This Row],[Winter Items Other]]+Table_NFI[[#This Row],[Winter Blanket]]&gt;0,1,0)</f>
        <v>0</v>
      </c>
      <c r="AN452" s="392">
        <f>IF(NFI_Expiration=1,IF($A452&lt;VLOOKUP(V$5,NFI,5,0),1,0)*Table_NFI[[#This Row],[Jerry Can]],Table_NFI[Jerry Can])</f>
        <v>0</v>
      </c>
      <c r="AO452" s="540" t="str">
        <f>IFERROR(VLOOKUP(Table_NFI[[#This Row],[Camp Name]],CL,2,0),"")</f>
        <v>MMR001CMP040</v>
      </c>
      <c r="AP452" s="535">
        <f ca="1">IF(Table_NFI[[#This Row],[Pcode]]="","",IF(OFFSET(CampList[Opening Date],MATCH(Table_NFI[[#This Row],[Pcode]],CampList[CP_Pcode],0)-1,0,1,1)&gt;=NFI_Monitor_Date,1,0))</f>
        <v>0</v>
      </c>
      <c r="AQ452" s="540" t="str">
        <f>IFERROR(VLOOKUP(Table_NFI[[#This Row],[Camp Name]],CL,3,0),"")</f>
        <v>Open</v>
      </c>
      <c r="AR452" s="352" t="str">
        <f ca="1">IF(Table_NFI[[#This Row],[Pcode]]="","",OFFSET(CampList[Priority],MATCH(Table_NFI[[#This Row],[Pcode]],CampList[CP_Pcode],0)-1,0,1,1))</f>
        <v>P4</v>
      </c>
      <c r="AS452" s="351">
        <f>IFERROR(Table_NFI[[#This Row],[Kitchen Set]]/VLOOKUP(Table_NFI[[#This Row],[Camp Name]],CL,4,0),"")</f>
        <v>0</v>
      </c>
      <c r="AT452" s="533" t="s">
        <v>1094</v>
      </c>
      <c r="AU452" s="536"/>
    </row>
    <row r="453" spans="1:47" s="537" customFormat="1" ht="14.45" customHeight="1" x14ac:dyDescent="0.25">
      <c r="A453" s="355">
        <f t="shared" si="6"/>
        <v>32.633333333333333</v>
      </c>
      <c r="B453" s="532">
        <v>41592</v>
      </c>
      <c r="C453" s="533" t="s">
        <v>453</v>
      </c>
      <c r="D453" s="533" t="s">
        <v>574</v>
      </c>
      <c r="E453" s="533" t="s">
        <v>380</v>
      </c>
      <c r="F453" s="348" t="s">
        <v>5</v>
      </c>
      <c r="G453" s="348" t="s">
        <v>513</v>
      </c>
      <c r="H453" s="349"/>
      <c r="I453" s="349"/>
      <c r="J453" s="349"/>
      <c r="K453" s="349">
        <v>12</v>
      </c>
      <c r="L453" s="350">
        <v>9</v>
      </c>
      <c r="M453" s="350">
        <v>12</v>
      </c>
      <c r="N453" s="350">
        <v>9</v>
      </c>
      <c r="O453" s="350">
        <v>9</v>
      </c>
      <c r="P453" s="352"/>
      <c r="Q453" s="352"/>
      <c r="R453" s="352"/>
      <c r="S453" s="352"/>
      <c r="T453" s="352"/>
      <c r="U453" s="352"/>
      <c r="V453" s="497"/>
      <c r="W453" s="352"/>
      <c r="X453" s="352"/>
      <c r="Y453" s="352">
        <f>IF(NFI_Expiration=1,IF($A453&lt;VLOOKUP(H$5,NFI,5,0),1,0)*Table_NFI[[#This Row],[Hygiene Kit]],Table_NFI[Hygiene Kit])</f>
        <v>0</v>
      </c>
      <c r="Z453" s="352">
        <f>IF(NFI_Expiration=1,IF($A453&lt;VLOOKUP(I$5,NFI,5,0),1,0)*Table_NFI[[#This Row],[NFI Core Kit]],Table_NFI[NFI Core Kit])</f>
        <v>0</v>
      </c>
      <c r="AA453" s="352">
        <f>IF(NFI_Expiration=1,IF($A453&lt;VLOOKUP(J$5,NFI,5,0),1,0)*Table_NFI[[#This Row],[Sanitary Kit]],Table_NFI[Sanitary Kit])</f>
        <v>0</v>
      </c>
      <c r="AB453" s="352">
        <f>IF(NFI_Expiration=1,IF($A453&lt;VLOOKUP(K$5,NFI,5,0),1,0)*Table_NFI[[#This Row],[Mosquito net]],Table_NFI[Mosquito net])</f>
        <v>0</v>
      </c>
      <c r="AC453" s="352">
        <f>IF(NFI_Expiration=1,IF($A453&lt;VLOOKUP(L$5,NFI,5,0),1,0)*Table_NFI[[#This Row],[Tarpaulin]],Table_NFI[[#This Row],[Tarpaulin]])</f>
        <v>0</v>
      </c>
      <c r="AD453" s="352">
        <f>IF(NFI_Expiration=1,IF($A453&lt;VLOOKUP(M$5,NFI,5,0),1,0)*Table_NFI[[#This Row],[Blanket]],Table_NFI[[#This Row],[Blanket]])</f>
        <v>0</v>
      </c>
      <c r="AE453" s="352">
        <f>IF(NFI_Expiration=1,IF($A453&lt;VLOOKUP(N$5,NFI,5,0),1,0)*Table_NFI[[#This Row],[Kitchen Set]],Table_NFI[Kitchen Set])</f>
        <v>0</v>
      </c>
      <c r="AF453" s="352">
        <f>IF(NFI_Expiration=1,IF($A453&lt;VLOOKUP(O$5,NFI,5,0),1,0)*Table_NFI[[#This Row],[Clothes Kit]],Table_NFI[Clothes Kit])</f>
        <v>0</v>
      </c>
      <c r="AG453" s="352">
        <f>IF(NFI_Expiration=1,IF($A453&lt;VLOOKUP(P$5,NFI,5,0),1,0)*Table_NFI[[#This Row],[Plastic Bucket]],Table_NFI[Plastic Bucket])</f>
        <v>0</v>
      </c>
      <c r="AH453" s="352">
        <f>IF(NFI_Expiration=1,IF($A453&lt;VLOOKUP(Q$5,NFI,5,0),1,0)*Table_NFI[[#This Row],[Plastic Mat]],Table_NFI[Plastic Mat])*IF(Table_NFI[[#This Row],[Distribution Date]]&gt;"2014-04-01",1,2.5)</f>
        <v>0</v>
      </c>
      <c r="AI453" s="352">
        <f>IF(NFI_Expiration=1,IF($A453&lt;VLOOKUP(R$5,NFI,5,0),1,0)*Table_NFI[[#This Row],[Winter Clothes Adult]],Table_NFI[Winter Clothes Adult])</f>
        <v>0</v>
      </c>
      <c r="AJ453" s="352">
        <f>IF(NFI_Expiration=1,IF($A453&lt;VLOOKUP(S$5,NFI,5,0),1,0)*Table_NFI[[#This Row],[Winter Clothes Children]],Table_NFI[Winter Clothes Children])</f>
        <v>0</v>
      </c>
      <c r="AK453" s="352">
        <f>IF(NFI_Expiration=1,IF($A453&lt;VLOOKUP(T$5,NFI,5,0),1,0)*Table_NFI[[#This Row],[Winter Items Other]],Table_NFI[Winter Items Other])</f>
        <v>0</v>
      </c>
      <c r="AL453" s="352">
        <f>IF(NFI_Expiration=1,IF($A453&lt;VLOOKUP(M$5,NFI,5,0),1,0)*Table_NFI[[#This Row],[Winter Blanket]],Table_NFI[[#This Row],[Winter Blanket]])</f>
        <v>0</v>
      </c>
      <c r="AM453" s="352">
        <f>IF(Table_NFI[[#This Row],[Winter Clothes Adult]]+Table_NFI[[#This Row],[Winter Clothes Children]]+Table_NFI[[#This Row],[Winter Items Other]]+Table_NFI[[#This Row],[Winter Blanket]]&gt;0,1,0)</f>
        <v>0</v>
      </c>
      <c r="AN453" s="392">
        <f>IF(NFI_Expiration=1,IF($A453&lt;VLOOKUP(V$5,NFI,5,0),1,0)*Table_NFI[[#This Row],[Jerry Can]],Table_NFI[Jerry Can])</f>
        <v>0</v>
      </c>
      <c r="AO453" s="540" t="str">
        <f>IFERROR(VLOOKUP(Table_NFI[[#This Row],[Camp Name]],CL,2,0),"")</f>
        <v>MMR001CMP194</v>
      </c>
      <c r="AP453" s="535">
        <f ca="1">IF(Table_NFI[[#This Row],[Pcode]]="","",IF(OFFSET(CampList[Opening Date],MATCH(Table_NFI[[#This Row],[Pcode]],CampList[CP_Pcode],0)-1,0,1,1)&gt;=NFI_Monitor_Date,1,0))</f>
        <v>0</v>
      </c>
      <c r="AQ453" s="540" t="str">
        <f>IFERROR(VLOOKUP(Table_NFI[[#This Row],[Camp Name]],CL,3,0),"")</f>
        <v>Open</v>
      </c>
      <c r="AR453" s="352" t="str">
        <f ca="1">IF(Table_NFI[[#This Row],[Pcode]]="","",OFFSET(CampList[Priority],MATCH(Table_NFI[[#This Row],[Pcode]],CampList[CP_Pcode],0)-1,0,1,1))</f>
        <v>P4</v>
      </c>
      <c r="AS453" s="351">
        <f>IFERROR(Table_NFI[[#This Row],[Kitchen Set]]/VLOOKUP(Table_NFI[[#This Row],[Camp Name]],CL,4,0),"")</f>
        <v>0.75</v>
      </c>
      <c r="AT453" s="533" t="s">
        <v>1094</v>
      </c>
      <c r="AU453" s="536"/>
    </row>
    <row r="454" spans="1:47" s="537" customFormat="1" ht="14.45" hidden="1" customHeight="1" x14ac:dyDescent="0.25">
      <c r="A454" s="355">
        <f t="shared" ref="A454:A517" si="7">IF(ISBLANK(B454),"",(Report_Date-B454)/30)</f>
        <v>41.366666666666667</v>
      </c>
      <c r="B454" s="532">
        <v>41330</v>
      </c>
      <c r="C454" s="533" t="s">
        <v>902</v>
      </c>
      <c r="D454" s="534" t="s">
        <v>902</v>
      </c>
      <c r="E454" s="533" t="s">
        <v>380</v>
      </c>
      <c r="F454" s="348" t="s">
        <v>310</v>
      </c>
      <c r="G454" s="348" t="s">
        <v>324</v>
      </c>
      <c r="H454" s="349"/>
      <c r="I454" s="349"/>
      <c r="J454" s="349">
        <v>235</v>
      </c>
      <c r="K454" s="349"/>
      <c r="L454" s="350">
        <v>174</v>
      </c>
      <c r="M454" s="350"/>
      <c r="N454" s="350">
        <v>61</v>
      </c>
      <c r="O454" s="350"/>
      <c r="P454" s="352">
        <v>0</v>
      </c>
      <c r="Q454" s="352">
        <v>0</v>
      </c>
      <c r="R454" s="352"/>
      <c r="S454" s="352"/>
      <c r="T454" s="352"/>
      <c r="U454" s="352"/>
      <c r="V454" s="497"/>
      <c r="W454" s="352"/>
      <c r="X454" s="352"/>
      <c r="Y454" s="352">
        <f>IF(NFI_Expiration=1,IF($A454&lt;VLOOKUP(H$5,NFI,5,0),1,0)*Table_NFI[[#This Row],[Hygiene Kit]],Table_NFI[Hygiene Kit])</f>
        <v>0</v>
      </c>
      <c r="Z454" s="352">
        <f>IF(NFI_Expiration=1,IF($A454&lt;VLOOKUP(I$5,NFI,5,0),1,0)*Table_NFI[[#This Row],[NFI Core Kit]],Table_NFI[NFI Core Kit])</f>
        <v>0</v>
      </c>
      <c r="AA454" s="352">
        <f>IF(NFI_Expiration=1,IF($A454&lt;VLOOKUP(J$5,NFI,5,0),1,0)*Table_NFI[[#This Row],[Sanitary Kit]],Table_NFI[Sanitary Kit])</f>
        <v>0</v>
      </c>
      <c r="AB454" s="352">
        <f>IF(NFI_Expiration=1,IF($A454&lt;VLOOKUP(K$5,NFI,5,0),1,0)*Table_NFI[[#This Row],[Mosquito net]],Table_NFI[Mosquito net])</f>
        <v>0</v>
      </c>
      <c r="AC454" s="352">
        <f>IF(NFI_Expiration=1,IF($A454&lt;VLOOKUP(L$5,NFI,5,0),1,0)*Table_NFI[[#This Row],[Tarpaulin]],Table_NFI[[#This Row],[Tarpaulin]])</f>
        <v>0</v>
      </c>
      <c r="AD454" s="352">
        <f>IF(NFI_Expiration=1,IF($A454&lt;VLOOKUP(M$5,NFI,5,0),1,0)*Table_NFI[[#This Row],[Blanket]],Table_NFI[[#This Row],[Blanket]])</f>
        <v>0</v>
      </c>
      <c r="AE454" s="352">
        <f>IF(NFI_Expiration=1,IF($A454&lt;VLOOKUP(N$5,NFI,5,0),1,0)*Table_NFI[[#This Row],[Kitchen Set]],Table_NFI[Kitchen Set])</f>
        <v>0</v>
      </c>
      <c r="AF454" s="352">
        <f>IF(NFI_Expiration=1,IF($A454&lt;VLOOKUP(O$5,NFI,5,0),1,0)*Table_NFI[[#This Row],[Clothes Kit]],Table_NFI[Clothes Kit])</f>
        <v>0</v>
      </c>
      <c r="AG454" s="352">
        <f>IF(NFI_Expiration=1,IF($A454&lt;VLOOKUP(P$5,NFI,5,0),1,0)*Table_NFI[[#This Row],[Plastic Bucket]],Table_NFI[Plastic Bucket])</f>
        <v>0</v>
      </c>
      <c r="AH454" s="352">
        <f>IF(NFI_Expiration=1,IF($A454&lt;VLOOKUP(Q$5,NFI,5,0),1,0)*Table_NFI[[#This Row],[Plastic Mat]],Table_NFI[Plastic Mat])*IF(Table_NFI[[#This Row],[Distribution Date]]&gt;"2014-04-01",1,2.5)</f>
        <v>0</v>
      </c>
      <c r="AI454" s="352">
        <f>IF(NFI_Expiration=1,IF($A454&lt;VLOOKUP(R$5,NFI,5,0),1,0)*Table_NFI[[#This Row],[Winter Clothes Adult]],Table_NFI[Winter Clothes Adult])</f>
        <v>0</v>
      </c>
      <c r="AJ454" s="352">
        <f>IF(NFI_Expiration=1,IF($A454&lt;VLOOKUP(S$5,NFI,5,0),1,0)*Table_NFI[[#This Row],[Winter Clothes Children]],Table_NFI[Winter Clothes Children])</f>
        <v>0</v>
      </c>
      <c r="AK454" s="352">
        <f>IF(NFI_Expiration=1,IF($A454&lt;VLOOKUP(T$5,NFI,5,0),1,0)*Table_NFI[[#This Row],[Winter Items Other]],Table_NFI[Winter Items Other])</f>
        <v>0</v>
      </c>
      <c r="AL454" s="352">
        <f>IF(NFI_Expiration=1,IF($A454&lt;VLOOKUP(M$5,NFI,5,0),1,0)*Table_NFI[[#This Row],[Winter Blanket]],Table_NFI[[#This Row],[Winter Blanket]])</f>
        <v>0</v>
      </c>
      <c r="AM454" s="352">
        <f>IF(Table_NFI[[#This Row],[Winter Clothes Adult]]+Table_NFI[[#This Row],[Winter Clothes Children]]+Table_NFI[[#This Row],[Winter Items Other]]+Table_NFI[[#This Row],[Winter Blanket]]&gt;0,1,0)</f>
        <v>0</v>
      </c>
      <c r="AN454" s="392">
        <f>IF(NFI_Expiration=1,IF($A454&lt;VLOOKUP(V$5,NFI,5,0),1,0)*Table_NFI[[#This Row],[Jerry Can]],Table_NFI[Jerry Can])</f>
        <v>0</v>
      </c>
      <c r="AO454" s="540" t="str">
        <f>IFERROR(VLOOKUP(Table_NFI[[#This Row],[Camp Name]],CL,2,0),"")</f>
        <v>MMR001CMP040</v>
      </c>
      <c r="AP454" s="535">
        <f ca="1">IF(Table_NFI[[#This Row],[Pcode]]="","",IF(OFFSET(CampList[Opening Date],MATCH(Table_NFI[[#This Row],[Pcode]],CampList[CP_Pcode],0)-1,0,1,1)&gt;=NFI_Monitor_Date,1,0))</f>
        <v>0</v>
      </c>
      <c r="AQ454" s="540" t="str">
        <f>IFERROR(VLOOKUP(Table_NFI[[#This Row],[Camp Name]],CL,3,0),"")</f>
        <v>Open</v>
      </c>
      <c r="AR454" s="352" t="str">
        <f ca="1">IF(Table_NFI[[#This Row],[Pcode]]="","",OFFSET(CampList[Priority],MATCH(Table_NFI[[#This Row],[Pcode]],CampList[CP_Pcode],0)-1,0,1,1))</f>
        <v>P4</v>
      </c>
      <c r="AS454" s="351">
        <f>IFERROR(Table_NFI[[#This Row],[Kitchen Set]]/VLOOKUP(Table_NFI[[#This Row],[Camp Name]],CL,4,0),"")</f>
        <v>0.15404040404040403</v>
      </c>
      <c r="AT454" s="533" t="s">
        <v>1094</v>
      </c>
      <c r="AU454" s="536"/>
    </row>
    <row r="455" spans="1:47" s="537" customFormat="1" ht="14.45" hidden="1" customHeight="1" x14ac:dyDescent="0.25">
      <c r="A455" s="355">
        <f t="shared" si="7"/>
        <v>42.2</v>
      </c>
      <c r="B455" s="532">
        <v>41305</v>
      </c>
      <c r="C455" s="533" t="s">
        <v>570</v>
      </c>
      <c r="D455" s="534" t="s">
        <v>570</v>
      </c>
      <c r="E455" s="533" t="s">
        <v>380</v>
      </c>
      <c r="F455" s="348" t="s">
        <v>310</v>
      </c>
      <c r="G455" s="348" t="s">
        <v>324</v>
      </c>
      <c r="H455" s="349"/>
      <c r="I455" s="349"/>
      <c r="J455" s="349"/>
      <c r="K455" s="349"/>
      <c r="L455" s="350"/>
      <c r="M455" s="350">
        <v>324</v>
      </c>
      <c r="N455" s="350"/>
      <c r="O455" s="350"/>
      <c r="P455" s="352">
        <v>0</v>
      </c>
      <c r="Q455" s="352">
        <v>0</v>
      </c>
      <c r="R455" s="352"/>
      <c r="S455" s="352"/>
      <c r="T455" s="352"/>
      <c r="U455" s="352"/>
      <c r="V455" s="497"/>
      <c r="W455" s="352"/>
      <c r="X455" s="352"/>
      <c r="Y455" s="352">
        <f>IF(NFI_Expiration=1,IF($A455&lt;VLOOKUP(H$5,NFI,5,0),1,0)*Table_NFI[[#This Row],[Hygiene Kit]],Table_NFI[Hygiene Kit])</f>
        <v>0</v>
      </c>
      <c r="Z455" s="352">
        <f>IF(NFI_Expiration=1,IF($A455&lt;VLOOKUP(I$5,NFI,5,0),1,0)*Table_NFI[[#This Row],[NFI Core Kit]],Table_NFI[NFI Core Kit])</f>
        <v>0</v>
      </c>
      <c r="AA455" s="352">
        <f>IF(NFI_Expiration=1,IF($A455&lt;VLOOKUP(J$5,NFI,5,0),1,0)*Table_NFI[[#This Row],[Sanitary Kit]],Table_NFI[Sanitary Kit])</f>
        <v>0</v>
      </c>
      <c r="AB455" s="352">
        <f>IF(NFI_Expiration=1,IF($A455&lt;VLOOKUP(K$5,NFI,5,0),1,0)*Table_NFI[[#This Row],[Mosquito net]],Table_NFI[Mosquito net])</f>
        <v>0</v>
      </c>
      <c r="AC455" s="352">
        <f>IF(NFI_Expiration=1,IF($A455&lt;VLOOKUP(L$5,NFI,5,0),1,0)*Table_NFI[[#This Row],[Tarpaulin]],Table_NFI[[#This Row],[Tarpaulin]])</f>
        <v>0</v>
      </c>
      <c r="AD455" s="352">
        <f>IF(NFI_Expiration=1,IF($A455&lt;VLOOKUP(M$5,NFI,5,0),1,0)*Table_NFI[[#This Row],[Blanket]],Table_NFI[[#This Row],[Blanket]])</f>
        <v>0</v>
      </c>
      <c r="AE455" s="352">
        <f>IF(NFI_Expiration=1,IF($A455&lt;VLOOKUP(N$5,NFI,5,0),1,0)*Table_NFI[[#This Row],[Kitchen Set]],Table_NFI[Kitchen Set])</f>
        <v>0</v>
      </c>
      <c r="AF455" s="352">
        <f>IF(NFI_Expiration=1,IF($A455&lt;VLOOKUP(O$5,NFI,5,0),1,0)*Table_NFI[[#This Row],[Clothes Kit]],Table_NFI[Clothes Kit])</f>
        <v>0</v>
      </c>
      <c r="AG455" s="352">
        <f>IF(NFI_Expiration=1,IF($A455&lt;VLOOKUP(P$5,NFI,5,0),1,0)*Table_NFI[[#This Row],[Plastic Bucket]],Table_NFI[Plastic Bucket])</f>
        <v>0</v>
      </c>
      <c r="AH455" s="352">
        <f>IF(NFI_Expiration=1,IF($A455&lt;VLOOKUP(Q$5,NFI,5,0),1,0)*Table_NFI[[#This Row],[Plastic Mat]],Table_NFI[Plastic Mat])*IF(Table_NFI[[#This Row],[Distribution Date]]&gt;"2014-04-01",1,2.5)</f>
        <v>0</v>
      </c>
      <c r="AI455" s="352">
        <f>IF(NFI_Expiration=1,IF($A455&lt;VLOOKUP(R$5,NFI,5,0),1,0)*Table_NFI[[#This Row],[Winter Clothes Adult]],Table_NFI[Winter Clothes Adult])</f>
        <v>0</v>
      </c>
      <c r="AJ455" s="352">
        <f>IF(NFI_Expiration=1,IF($A455&lt;VLOOKUP(S$5,NFI,5,0),1,0)*Table_NFI[[#This Row],[Winter Clothes Children]],Table_NFI[Winter Clothes Children])</f>
        <v>0</v>
      </c>
      <c r="AK455" s="352">
        <f>IF(NFI_Expiration=1,IF($A455&lt;VLOOKUP(T$5,NFI,5,0),1,0)*Table_NFI[[#This Row],[Winter Items Other]],Table_NFI[Winter Items Other])</f>
        <v>0</v>
      </c>
      <c r="AL455" s="352">
        <f>IF(NFI_Expiration=1,IF($A455&lt;VLOOKUP(M$5,NFI,5,0),1,0)*Table_NFI[[#This Row],[Winter Blanket]],Table_NFI[[#This Row],[Winter Blanket]])</f>
        <v>0</v>
      </c>
      <c r="AM455" s="352">
        <f>IF(Table_NFI[[#This Row],[Winter Clothes Adult]]+Table_NFI[[#This Row],[Winter Clothes Children]]+Table_NFI[[#This Row],[Winter Items Other]]+Table_NFI[[#This Row],[Winter Blanket]]&gt;0,1,0)</f>
        <v>0</v>
      </c>
      <c r="AN455" s="392">
        <f>IF(NFI_Expiration=1,IF($A455&lt;VLOOKUP(V$5,NFI,5,0),1,0)*Table_NFI[[#This Row],[Jerry Can]],Table_NFI[Jerry Can])</f>
        <v>0</v>
      </c>
      <c r="AO455" s="540" t="str">
        <f>IFERROR(VLOOKUP(Table_NFI[[#This Row],[Camp Name]],CL,2,0),"")</f>
        <v>MMR001CMP040</v>
      </c>
      <c r="AP455" s="535">
        <f ca="1">IF(Table_NFI[[#This Row],[Pcode]]="","",IF(OFFSET(CampList[Opening Date],MATCH(Table_NFI[[#This Row],[Pcode]],CampList[CP_Pcode],0)-1,0,1,1)&gt;=NFI_Monitor_Date,1,0))</f>
        <v>0</v>
      </c>
      <c r="AQ455" s="540" t="str">
        <f>IFERROR(VLOOKUP(Table_NFI[[#This Row],[Camp Name]],CL,3,0),"")</f>
        <v>Open</v>
      </c>
      <c r="AR455" s="352" t="str">
        <f ca="1">IF(Table_NFI[[#This Row],[Pcode]]="","",OFFSET(CampList[Priority],MATCH(Table_NFI[[#This Row],[Pcode]],CampList[CP_Pcode],0)-1,0,1,1))</f>
        <v>P4</v>
      </c>
      <c r="AS455" s="351">
        <f>IFERROR(Table_NFI[[#This Row],[Kitchen Set]]/VLOOKUP(Table_NFI[[#This Row],[Camp Name]],CL,4,0),"")</f>
        <v>0</v>
      </c>
      <c r="AT455" s="533" t="s">
        <v>1094</v>
      </c>
      <c r="AU455" s="536"/>
    </row>
    <row r="456" spans="1:47" s="537" customFormat="1" ht="14.45" customHeight="1" x14ac:dyDescent="0.25">
      <c r="A456" s="355">
        <f t="shared" si="7"/>
        <v>32.633333333333333</v>
      </c>
      <c r="B456" s="532">
        <v>41592</v>
      </c>
      <c r="C456" s="533" t="s">
        <v>453</v>
      </c>
      <c r="D456" s="533" t="s">
        <v>453</v>
      </c>
      <c r="E456" s="533" t="s">
        <v>380</v>
      </c>
      <c r="F456" s="348" t="s">
        <v>151</v>
      </c>
      <c r="G456" s="348" t="s">
        <v>152</v>
      </c>
      <c r="H456" s="349"/>
      <c r="I456" s="349"/>
      <c r="J456" s="349">
        <v>18</v>
      </c>
      <c r="K456" s="349">
        <v>31</v>
      </c>
      <c r="L456" s="350">
        <v>18</v>
      </c>
      <c r="M456" s="350">
        <v>31</v>
      </c>
      <c r="N456" s="350">
        <v>18</v>
      </c>
      <c r="O456" s="350">
        <v>18</v>
      </c>
      <c r="P456" s="352"/>
      <c r="Q456" s="352"/>
      <c r="R456" s="352"/>
      <c r="S456" s="352"/>
      <c r="T456" s="352"/>
      <c r="U456" s="352"/>
      <c r="V456" s="497"/>
      <c r="W456" s="352"/>
      <c r="X456" s="352"/>
      <c r="Y456" s="352">
        <f>IF(NFI_Expiration=1,IF($A456&lt;VLOOKUP(H$5,NFI,5,0),1,0)*Table_NFI[[#This Row],[Hygiene Kit]],Table_NFI[Hygiene Kit])</f>
        <v>0</v>
      </c>
      <c r="Z456" s="352">
        <f>IF(NFI_Expiration=1,IF($A456&lt;VLOOKUP(I$5,NFI,5,0),1,0)*Table_NFI[[#This Row],[NFI Core Kit]],Table_NFI[NFI Core Kit])</f>
        <v>0</v>
      </c>
      <c r="AA456" s="352">
        <f>IF(NFI_Expiration=1,IF($A456&lt;VLOOKUP(J$5,NFI,5,0),1,0)*Table_NFI[[#This Row],[Sanitary Kit]],Table_NFI[Sanitary Kit])</f>
        <v>0</v>
      </c>
      <c r="AB456" s="352">
        <f>IF(NFI_Expiration=1,IF($A456&lt;VLOOKUP(K$5,NFI,5,0),1,0)*Table_NFI[[#This Row],[Mosquito net]],Table_NFI[Mosquito net])</f>
        <v>0</v>
      </c>
      <c r="AC456" s="352">
        <f>IF(NFI_Expiration=1,IF($A456&lt;VLOOKUP(L$5,NFI,5,0),1,0)*Table_NFI[[#This Row],[Tarpaulin]],Table_NFI[[#This Row],[Tarpaulin]])</f>
        <v>0</v>
      </c>
      <c r="AD456" s="352">
        <f>IF(NFI_Expiration=1,IF($A456&lt;VLOOKUP(M$5,NFI,5,0),1,0)*Table_NFI[[#This Row],[Blanket]],Table_NFI[[#This Row],[Blanket]])</f>
        <v>0</v>
      </c>
      <c r="AE456" s="352">
        <f>IF(NFI_Expiration=1,IF($A456&lt;VLOOKUP(N$5,NFI,5,0),1,0)*Table_NFI[[#This Row],[Kitchen Set]],Table_NFI[Kitchen Set])</f>
        <v>0</v>
      </c>
      <c r="AF456" s="352">
        <f>IF(NFI_Expiration=1,IF($A456&lt;VLOOKUP(O$5,NFI,5,0),1,0)*Table_NFI[[#This Row],[Clothes Kit]],Table_NFI[Clothes Kit])</f>
        <v>0</v>
      </c>
      <c r="AG456" s="352">
        <f>IF(NFI_Expiration=1,IF($A456&lt;VLOOKUP(P$5,NFI,5,0),1,0)*Table_NFI[[#This Row],[Plastic Bucket]],Table_NFI[Plastic Bucket])</f>
        <v>0</v>
      </c>
      <c r="AH456" s="352">
        <f>IF(NFI_Expiration=1,IF($A456&lt;VLOOKUP(Q$5,NFI,5,0),1,0)*Table_NFI[[#This Row],[Plastic Mat]],Table_NFI[Plastic Mat])*IF(Table_NFI[[#This Row],[Distribution Date]]&gt;"2014-04-01",1,2.5)</f>
        <v>0</v>
      </c>
      <c r="AI456" s="352">
        <f>IF(NFI_Expiration=1,IF($A456&lt;VLOOKUP(R$5,NFI,5,0),1,0)*Table_NFI[[#This Row],[Winter Clothes Adult]],Table_NFI[Winter Clothes Adult])</f>
        <v>0</v>
      </c>
      <c r="AJ456" s="352">
        <f>IF(NFI_Expiration=1,IF($A456&lt;VLOOKUP(S$5,NFI,5,0),1,0)*Table_NFI[[#This Row],[Winter Clothes Children]],Table_NFI[Winter Clothes Children])</f>
        <v>0</v>
      </c>
      <c r="AK456" s="352">
        <f>IF(NFI_Expiration=1,IF($A456&lt;VLOOKUP(T$5,NFI,5,0),1,0)*Table_NFI[[#This Row],[Winter Items Other]],Table_NFI[Winter Items Other])</f>
        <v>0</v>
      </c>
      <c r="AL456" s="352">
        <f>IF(NFI_Expiration=1,IF($A456&lt;VLOOKUP(M$5,NFI,5,0),1,0)*Table_NFI[[#This Row],[Winter Blanket]],Table_NFI[[#This Row],[Winter Blanket]])</f>
        <v>0</v>
      </c>
      <c r="AM456" s="352">
        <f>IF(Table_NFI[[#This Row],[Winter Clothes Adult]]+Table_NFI[[#This Row],[Winter Clothes Children]]+Table_NFI[[#This Row],[Winter Items Other]]+Table_NFI[[#This Row],[Winter Blanket]]&gt;0,1,0)</f>
        <v>0</v>
      </c>
      <c r="AN456" s="392">
        <f>IF(NFI_Expiration=1,IF($A456&lt;VLOOKUP(V$5,NFI,5,0),1,0)*Table_NFI[[#This Row],[Jerry Can]],Table_NFI[Jerry Can])</f>
        <v>0</v>
      </c>
      <c r="AO456" s="540" t="str">
        <f>IFERROR(VLOOKUP(Table_NFI[[#This Row],[Camp Name]],CL,2,0),"")</f>
        <v>MMR001CMP066</v>
      </c>
      <c r="AP456" s="535">
        <f ca="1">IF(Table_NFI[[#This Row],[Pcode]]="","",IF(OFFSET(CampList[Opening Date],MATCH(Table_NFI[[#This Row],[Pcode]],CampList[CP_Pcode],0)-1,0,1,1)&gt;=NFI_Monitor_Date,1,0))</f>
        <v>0</v>
      </c>
      <c r="AQ456" s="540" t="str">
        <f>IFERROR(VLOOKUP(Table_NFI[[#This Row],[Camp Name]],CL,3,0),"")</f>
        <v>Open</v>
      </c>
      <c r="AR456" s="352" t="str">
        <f ca="1">IF(Table_NFI[[#This Row],[Pcode]]="","",OFFSET(CampList[Priority],MATCH(Table_NFI[[#This Row],[Pcode]],CampList[CP_Pcode],0)-1,0,1,1))</f>
        <v>P4</v>
      </c>
      <c r="AS456" s="351">
        <f>IFERROR(Table_NFI[[#This Row],[Kitchen Set]]/VLOOKUP(Table_NFI[[#This Row],[Camp Name]],CL,4,0),"")</f>
        <v>9.1836734693877556E-2</v>
      </c>
      <c r="AT456" s="533" t="s">
        <v>1094</v>
      </c>
      <c r="AU456" s="536"/>
    </row>
    <row r="457" spans="1:47" s="537" customFormat="1" ht="14.45" customHeight="1" x14ac:dyDescent="0.25">
      <c r="A457" s="355">
        <f t="shared" si="7"/>
        <v>32.733333333333334</v>
      </c>
      <c r="B457" s="532">
        <v>41589</v>
      </c>
      <c r="C457" s="533" t="s">
        <v>453</v>
      </c>
      <c r="D457" s="533" t="s">
        <v>574</v>
      </c>
      <c r="E457" s="533" t="s">
        <v>380</v>
      </c>
      <c r="F457" s="348" t="s">
        <v>185</v>
      </c>
      <c r="G457" s="348" t="s">
        <v>215</v>
      </c>
      <c r="H457" s="349"/>
      <c r="I457" s="349"/>
      <c r="J457" s="349">
        <v>36</v>
      </c>
      <c r="K457" s="349">
        <v>200</v>
      </c>
      <c r="L457" s="350">
        <v>100</v>
      </c>
      <c r="M457" s="350"/>
      <c r="N457" s="350">
        <v>100</v>
      </c>
      <c r="O457" s="350">
        <v>100</v>
      </c>
      <c r="P457" s="352"/>
      <c r="Q457" s="352"/>
      <c r="R457" s="352"/>
      <c r="S457" s="352"/>
      <c r="T457" s="352"/>
      <c r="U457" s="352"/>
      <c r="V457" s="497"/>
      <c r="W457" s="352"/>
      <c r="X457" s="352"/>
      <c r="Y457" s="352">
        <f>IF(NFI_Expiration=1,IF($A457&lt;VLOOKUP(H$5,NFI,5,0),1,0)*Table_NFI[[#This Row],[Hygiene Kit]],Table_NFI[Hygiene Kit])</f>
        <v>0</v>
      </c>
      <c r="Z457" s="352">
        <f>IF(NFI_Expiration=1,IF($A457&lt;VLOOKUP(I$5,NFI,5,0),1,0)*Table_NFI[[#This Row],[NFI Core Kit]],Table_NFI[NFI Core Kit])</f>
        <v>0</v>
      </c>
      <c r="AA457" s="352">
        <f>IF(NFI_Expiration=1,IF($A457&lt;VLOOKUP(J$5,NFI,5,0),1,0)*Table_NFI[[#This Row],[Sanitary Kit]],Table_NFI[Sanitary Kit])</f>
        <v>0</v>
      </c>
      <c r="AB457" s="352">
        <f>IF(NFI_Expiration=1,IF($A457&lt;VLOOKUP(K$5,NFI,5,0),1,0)*Table_NFI[[#This Row],[Mosquito net]],Table_NFI[Mosquito net])</f>
        <v>0</v>
      </c>
      <c r="AC457" s="352">
        <f>IF(NFI_Expiration=1,IF($A457&lt;VLOOKUP(L$5,NFI,5,0),1,0)*Table_NFI[[#This Row],[Tarpaulin]],Table_NFI[[#This Row],[Tarpaulin]])</f>
        <v>0</v>
      </c>
      <c r="AD457" s="352">
        <f>IF(NFI_Expiration=1,IF($A457&lt;VLOOKUP(M$5,NFI,5,0),1,0)*Table_NFI[[#This Row],[Blanket]],Table_NFI[[#This Row],[Blanket]])</f>
        <v>0</v>
      </c>
      <c r="AE457" s="352">
        <f>IF(NFI_Expiration=1,IF($A457&lt;VLOOKUP(N$5,NFI,5,0),1,0)*Table_NFI[[#This Row],[Kitchen Set]],Table_NFI[Kitchen Set])</f>
        <v>0</v>
      </c>
      <c r="AF457" s="352">
        <f>IF(NFI_Expiration=1,IF($A457&lt;VLOOKUP(O$5,NFI,5,0),1,0)*Table_NFI[[#This Row],[Clothes Kit]],Table_NFI[Clothes Kit])</f>
        <v>0</v>
      </c>
      <c r="AG457" s="352">
        <f>IF(NFI_Expiration=1,IF($A457&lt;VLOOKUP(P$5,NFI,5,0),1,0)*Table_NFI[[#This Row],[Plastic Bucket]],Table_NFI[Plastic Bucket])</f>
        <v>0</v>
      </c>
      <c r="AH457" s="352">
        <f>IF(NFI_Expiration=1,IF($A457&lt;VLOOKUP(Q$5,NFI,5,0),1,0)*Table_NFI[[#This Row],[Plastic Mat]],Table_NFI[Plastic Mat])*IF(Table_NFI[[#This Row],[Distribution Date]]&gt;"2014-04-01",1,2.5)</f>
        <v>0</v>
      </c>
      <c r="AI457" s="352">
        <f>IF(NFI_Expiration=1,IF($A457&lt;VLOOKUP(R$5,NFI,5,0),1,0)*Table_NFI[[#This Row],[Winter Clothes Adult]],Table_NFI[Winter Clothes Adult])</f>
        <v>0</v>
      </c>
      <c r="AJ457" s="352">
        <f>IF(NFI_Expiration=1,IF($A457&lt;VLOOKUP(S$5,NFI,5,0),1,0)*Table_NFI[[#This Row],[Winter Clothes Children]],Table_NFI[Winter Clothes Children])</f>
        <v>0</v>
      </c>
      <c r="AK457" s="352">
        <f>IF(NFI_Expiration=1,IF($A457&lt;VLOOKUP(T$5,NFI,5,0),1,0)*Table_NFI[[#This Row],[Winter Items Other]],Table_NFI[Winter Items Other])</f>
        <v>0</v>
      </c>
      <c r="AL457" s="352">
        <f>IF(NFI_Expiration=1,IF($A457&lt;VLOOKUP(M$5,NFI,5,0),1,0)*Table_NFI[[#This Row],[Winter Blanket]],Table_NFI[[#This Row],[Winter Blanket]])</f>
        <v>0</v>
      </c>
      <c r="AM457" s="352">
        <f>IF(Table_NFI[[#This Row],[Winter Clothes Adult]]+Table_NFI[[#This Row],[Winter Clothes Children]]+Table_NFI[[#This Row],[Winter Items Other]]+Table_NFI[[#This Row],[Winter Blanket]]&gt;0,1,0)</f>
        <v>0</v>
      </c>
      <c r="AN457" s="392">
        <f>IF(NFI_Expiration=1,IF($A457&lt;VLOOKUP(V$5,NFI,5,0),1,0)*Table_NFI[[#This Row],[Jerry Can]],Table_NFI[Jerry Can])</f>
        <v>0</v>
      </c>
      <c r="AO457" s="540" t="str">
        <f>IFERROR(VLOOKUP(Table_NFI[[#This Row],[Camp Name]],CL,2,0),"")</f>
        <v>MMR001CMP131</v>
      </c>
      <c r="AP457" s="535">
        <f ca="1">IF(Table_NFI[[#This Row],[Pcode]]="","",IF(OFFSET(CampList[Opening Date],MATCH(Table_NFI[[#This Row],[Pcode]],CampList[CP_Pcode],0)-1,0,1,1)&gt;=NFI_Monitor_Date,1,0))</f>
        <v>0</v>
      </c>
      <c r="AQ457" s="540" t="str">
        <f>IFERROR(VLOOKUP(Table_NFI[[#This Row],[Camp Name]],CL,3,0),"")</f>
        <v>Open</v>
      </c>
      <c r="AR457" s="352" t="str">
        <f ca="1">IF(Table_NFI[[#This Row],[Pcode]]="","",OFFSET(CampList[Priority],MATCH(Table_NFI[[#This Row],[Pcode]],CampList[CP_Pcode],0)-1,0,1,1))</f>
        <v>P1</v>
      </c>
      <c r="AS457" s="351">
        <f>IFERROR(Table_NFI[[#This Row],[Kitchen Set]]/VLOOKUP(Table_NFI[[#This Row],[Camp Name]],CL,4,0),"")</f>
        <v>0.26666666666666666</v>
      </c>
      <c r="AT457" s="533" t="s">
        <v>1094</v>
      </c>
      <c r="AU457" s="536"/>
    </row>
    <row r="458" spans="1:47" s="537" customFormat="1" ht="14.45" hidden="1" customHeight="1" x14ac:dyDescent="0.25">
      <c r="A458" s="355">
        <f t="shared" si="7"/>
        <v>26.433333333333334</v>
      </c>
      <c r="B458" s="532">
        <v>41778</v>
      </c>
      <c r="C458" s="533" t="s">
        <v>1106</v>
      </c>
      <c r="D458" s="533" t="s">
        <v>902</v>
      </c>
      <c r="E458" s="533" t="s">
        <v>380</v>
      </c>
      <c r="F458" s="533" t="s">
        <v>310</v>
      </c>
      <c r="G458" s="533" t="s">
        <v>326</v>
      </c>
      <c r="H458" s="349"/>
      <c r="I458" s="349"/>
      <c r="J458" s="349"/>
      <c r="K458" s="349"/>
      <c r="L458" s="350"/>
      <c r="M458" s="350"/>
      <c r="N458" s="350"/>
      <c r="O458" s="350"/>
      <c r="P458" s="352"/>
      <c r="Q458" s="352"/>
      <c r="R458" s="352"/>
      <c r="S458" s="352"/>
      <c r="T458" s="352"/>
      <c r="U458" s="352">
        <v>230</v>
      </c>
      <c r="V458" s="497"/>
      <c r="W458" s="352"/>
      <c r="X458" s="352"/>
      <c r="Y458" s="352">
        <f>IF(NFI_Expiration=1,IF($A458&lt;VLOOKUP(H$5,NFI,5,0),1,0)*Table_NFI[[#This Row],[Hygiene Kit]],Table_NFI[Hygiene Kit])</f>
        <v>0</v>
      </c>
      <c r="Z458" s="352">
        <f>IF(NFI_Expiration=1,IF($A458&lt;VLOOKUP(I$5,NFI,5,0),1,0)*Table_NFI[[#This Row],[NFI Core Kit]],Table_NFI[NFI Core Kit])</f>
        <v>0</v>
      </c>
      <c r="AA458" s="352">
        <f>IF(NFI_Expiration=1,IF($A458&lt;VLOOKUP(J$5,NFI,5,0),1,0)*Table_NFI[[#This Row],[Sanitary Kit]],Table_NFI[Sanitary Kit])</f>
        <v>0</v>
      </c>
      <c r="AB458" s="352">
        <f>IF(NFI_Expiration=1,IF($A458&lt;VLOOKUP(K$5,NFI,5,0),1,0)*Table_NFI[[#This Row],[Mosquito net]],Table_NFI[Mosquito net])</f>
        <v>0</v>
      </c>
      <c r="AC458" s="352">
        <f>IF(NFI_Expiration=1,IF($A458&lt;VLOOKUP(L$5,NFI,5,0),1,0)*Table_NFI[[#This Row],[Tarpaulin]],Table_NFI[[#This Row],[Tarpaulin]])</f>
        <v>0</v>
      </c>
      <c r="AD458" s="352">
        <f>IF(NFI_Expiration=1,IF($A458&lt;VLOOKUP(M$5,NFI,5,0),1,0)*Table_NFI[[#This Row],[Blanket]],Table_NFI[[#This Row],[Blanket]])</f>
        <v>0</v>
      </c>
      <c r="AE458" s="352">
        <f>IF(NFI_Expiration=1,IF($A458&lt;VLOOKUP(N$5,NFI,5,0),1,0)*Table_NFI[[#This Row],[Kitchen Set]],Table_NFI[Kitchen Set])</f>
        <v>0</v>
      </c>
      <c r="AF458" s="352">
        <f>IF(NFI_Expiration=1,IF($A458&lt;VLOOKUP(O$5,NFI,5,0),1,0)*Table_NFI[[#This Row],[Clothes Kit]],Table_NFI[Clothes Kit])</f>
        <v>0</v>
      </c>
      <c r="AG458" s="352">
        <f>IF(NFI_Expiration=1,IF($A458&lt;VLOOKUP(P$5,NFI,5,0),1,0)*Table_NFI[[#This Row],[Plastic Bucket]],Table_NFI[Plastic Bucket])</f>
        <v>0</v>
      </c>
      <c r="AH458" s="352">
        <f>IF(NFI_Expiration=1,IF($A458&lt;VLOOKUP(Q$5,NFI,5,0),1,0)*Table_NFI[[#This Row],[Plastic Mat]],Table_NFI[Plastic Mat])*IF(Table_NFI[[#This Row],[Distribution Date]]&gt;"2014-04-01",1,2.5)</f>
        <v>0</v>
      </c>
      <c r="AI458" s="352">
        <f>IF(NFI_Expiration=1,IF($A458&lt;VLOOKUP(R$5,NFI,5,0),1,0)*Table_NFI[[#This Row],[Winter Clothes Adult]],Table_NFI[Winter Clothes Adult])</f>
        <v>0</v>
      </c>
      <c r="AJ458" s="352">
        <f>IF(NFI_Expiration=1,IF($A458&lt;VLOOKUP(S$5,NFI,5,0),1,0)*Table_NFI[[#This Row],[Winter Clothes Children]],Table_NFI[Winter Clothes Children])</f>
        <v>0</v>
      </c>
      <c r="AK458" s="352">
        <f>IF(NFI_Expiration=1,IF($A458&lt;VLOOKUP(T$5,NFI,5,0),1,0)*Table_NFI[[#This Row],[Winter Items Other]],Table_NFI[Winter Items Other])</f>
        <v>0</v>
      </c>
      <c r="AL458" s="352">
        <f>IF(NFI_Expiration=1,IF($A458&lt;VLOOKUP(M$5,NFI,5,0),1,0)*Table_NFI[[#This Row],[Winter Blanket]],Table_NFI[[#This Row],[Winter Blanket]])</f>
        <v>0</v>
      </c>
      <c r="AM458" s="352">
        <f>IF(Table_NFI[[#This Row],[Winter Clothes Adult]]+Table_NFI[[#This Row],[Winter Clothes Children]]+Table_NFI[[#This Row],[Winter Items Other]]+Table_NFI[[#This Row],[Winter Blanket]]&gt;0,1,0)</f>
        <v>1</v>
      </c>
      <c r="AN458" s="392">
        <f>IF(NFI_Expiration=1,IF($A458&lt;VLOOKUP(V$5,NFI,5,0),1,0)*Table_NFI[[#This Row],[Jerry Can]],Table_NFI[Jerry Can])</f>
        <v>0</v>
      </c>
      <c r="AO458" s="540" t="str">
        <f>IFERROR(VLOOKUP(Table_NFI[[#This Row],[Camp Name]],CL,2,0),"")</f>
        <v>MMR001CMP039</v>
      </c>
      <c r="AP458" s="535">
        <f ca="1">IF(Table_NFI[[#This Row],[Pcode]]="","",IF(OFFSET(CampList[Opening Date],MATCH(Table_NFI[[#This Row],[Pcode]],CampList[CP_Pcode],0)-1,0,1,1)&gt;=NFI_Monitor_Date,1,0))</f>
        <v>0</v>
      </c>
      <c r="AQ458" s="540" t="str">
        <f>IFERROR(VLOOKUP(Table_NFI[[#This Row],[Camp Name]],CL,3,0),"")</f>
        <v>Open</v>
      </c>
      <c r="AR458" s="352" t="str">
        <f ca="1">IF(Table_NFI[[#This Row],[Pcode]]="","",OFFSET(CampList[Priority],MATCH(Table_NFI[[#This Row],[Pcode]],CampList[CP_Pcode],0)-1,0,1,1))</f>
        <v>P4</v>
      </c>
      <c r="AS458" s="351">
        <f>IFERROR(Table_NFI[[#This Row],[Kitchen Set]]/VLOOKUP(Table_NFI[[#This Row],[Camp Name]],CL,4,0),"")</f>
        <v>0</v>
      </c>
      <c r="AT458" s="533"/>
      <c r="AU458" s="536"/>
    </row>
    <row r="459" spans="1:47" s="537" customFormat="1" hidden="1" x14ac:dyDescent="0.25">
      <c r="A459" s="355">
        <f t="shared" si="7"/>
        <v>31.433333333333334</v>
      </c>
      <c r="B459" s="532">
        <v>41628</v>
      </c>
      <c r="C459" s="533" t="s">
        <v>907</v>
      </c>
      <c r="D459" s="533" t="s">
        <v>461</v>
      </c>
      <c r="E459" s="533" t="s">
        <v>380</v>
      </c>
      <c r="F459" s="533" t="s">
        <v>310</v>
      </c>
      <c r="G459" s="533" t="s">
        <v>326</v>
      </c>
      <c r="H459" s="349"/>
      <c r="I459" s="349"/>
      <c r="J459" s="349"/>
      <c r="K459" s="349"/>
      <c r="L459" s="350"/>
      <c r="M459" s="350"/>
      <c r="N459" s="350"/>
      <c r="O459" s="350"/>
      <c r="P459" s="352"/>
      <c r="Q459" s="352"/>
      <c r="R459" s="352">
        <v>47</v>
      </c>
      <c r="S459" s="352">
        <v>85</v>
      </c>
      <c r="T459" s="352">
        <v>264</v>
      </c>
      <c r="U459" s="352">
        <v>132</v>
      </c>
      <c r="V459" s="497"/>
      <c r="W459" s="352"/>
      <c r="X459" s="352"/>
      <c r="Y459" s="352">
        <f>IF(NFI_Expiration=1,IF($A459&lt;VLOOKUP(H$5,NFI,5,0),1,0)*Table_NFI[[#This Row],[Hygiene Kit]],Table_NFI[Hygiene Kit])</f>
        <v>0</v>
      </c>
      <c r="Z459" s="352">
        <f>IF(NFI_Expiration=1,IF($A459&lt;VLOOKUP(I$5,NFI,5,0),1,0)*Table_NFI[[#This Row],[NFI Core Kit]],Table_NFI[NFI Core Kit])</f>
        <v>0</v>
      </c>
      <c r="AA459" s="352">
        <f>IF(NFI_Expiration=1,IF($A459&lt;VLOOKUP(J$5,NFI,5,0),1,0)*Table_NFI[[#This Row],[Sanitary Kit]],Table_NFI[Sanitary Kit])</f>
        <v>0</v>
      </c>
      <c r="AB459" s="352">
        <f>IF(NFI_Expiration=1,IF($A459&lt;VLOOKUP(K$5,NFI,5,0),1,0)*Table_NFI[[#This Row],[Mosquito net]],Table_NFI[Mosquito net])</f>
        <v>0</v>
      </c>
      <c r="AC459" s="352">
        <f>IF(NFI_Expiration=1,IF($A459&lt;VLOOKUP(L$5,NFI,5,0),1,0)*Table_NFI[[#This Row],[Tarpaulin]],Table_NFI[[#This Row],[Tarpaulin]])</f>
        <v>0</v>
      </c>
      <c r="AD459" s="352">
        <f>IF(NFI_Expiration=1,IF($A459&lt;VLOOKUP(M$5,NFI,5,0),1,0)*Table_NFI[[#This Row],[Blanket]],Table_NFI[[#This Row],[Blanket]])</f>
        <v>0</v>
      </c>
      <c r="AE459" s="352">
        <f>IF(NFI_Expiration=1,IF($A459&lt;VLOOKUP(N$5,NFI,5,0),1,0)*Table_NFI[[#This Row],[Kitchen Set]],Table_NFI[Kitchen Set])</f>
        <v>0</v>
      </c>
      <c r="AF459" s="352">
        <f>IF(NFI_Expiration=1,IF($A459&lt;VLOOKUP(O$5,NFI,5,0),1,0)*Table_NFI[[#This Row],[Clothes Kit]],Table_NFI[Clothes Kit])</f>
        <v>0</v>
      </c>
      <c r="AG459" s="352">
        <f>IF(NFI_Expiration=1,IF($A459&lt;VLOOKUP(P$5,NFI,5,0),1,0)*Table_NFI[[#This Row],[Plastic Bucket]],Table_NFI[Plastic Bucket])</f>
        <v>0</v>
      </c>
      <c r="AH459" s="352">
        <f>IF(NFI_Expiration=1,IF($A459&lt;VLOOKUP(Q$5,NFI,5,0),1,0)*Table_NFI[[#This Row],[Plastic Mat]],Table_NFI[Plastic Mat])*IF(Table_NFI[[#This Row],[Distribution Date]]&gt;"2014-04-01",1,2.5)</f>
        <v>0</v>
      </c>
      <c r="AI459" s="352">
        <f>IF(NFI_Expiration=1,IF($A459&lt;VLOOKUP(R$5,NFI,5,0),1,0)*Table_NFI[[#This Row],[Winter Clothes Adult]],Table_NFI[Winter Clothes Adult])</f>
        <v>0</v>
      </c>
      <c r="AJ459" s="352">
        <f>IF(NFI_Expiration=1,IF($A459&lt;VLOOKUP(S$5,NFI,5,0),1,0)*Table_NFI[[#This Row],[Winter Clothes Children]],Table_NFI[Winter Clothes Children])</f>
        <v>0</v>
      </c>
      <c r="AK459" s="352">
        <f>IF(NFI_Expiration=1,IF($A459&lt;VLOOKUP(T$5,NFI,5,0),1,0)*Table_NFI[[#This Row],[Winter Items Other]],Table_NFI[Winter Items Other])</f>
        <v>0</v>
      </c>
      <c r="AL459" s="352">
        <f>IF(NFI_Expiration=1,IF($A459&lt;VLOOKUP(M$5,NFI,5,0),1,0)*Table_NFI[[#This Row],[Winter Blanket]],Table_NFI[[#This Row],[Winter Blanket]])</f>
        <v>0</v>
      </c>
      <c r="AM459" s="352">
        <f>IF(Table_NFI[[#This Row],[Winter Clothes Adult]]+Table_NFI[[#This Row],[Winter Clothes Children]]+Table_NFI[[#This Row],[Winter Items Other]]+Table_NFI[[#This Row],[Winter Blanket]]&gt;0,1,0)</f>
        <v>1</v>
      </c>
      <c r="AN459" s="392">
        <f>IF(NFI_Expiration=1,IF($A459&lt;VLOOKUP(V$5,NFI,5,0),1,0)*Table_NFI[[#This Row],[Jerry Can]],Table_NFI[Jerry Can])</f>
        <v>0</v>
      </c>
      <c r="AO459" s="540" t="str">
        <f>IFERROR(VLOOKUP(Table_NFI[[#This Row],[Camp Name]],CL,2,0),"")</f>
        <v>MMR001CMP039</v>
      </c>
      <c r="AP459" s="535">
        <f ca="1">IF(Table_NFI[[#This Row],[Pcode]]="","",IF(OFFSET(CampList[Opening Date],MATCH(Table_NFI[[#This Row],[Pcode]],CampList[CP_Pcode],0)-1,0,1,1)&gt;=NFI_Monitor_Date,1,0))</f>
        <v>0</v>
      </c>
      <c r="AQ459" s="540" t="str">
        <f>IFERROR(VLOOKUP(Table_NFI[[#This Row],[Camp Name]],CL,3,0),"")</f>
        <v>Open</v>
      </c>
      <c r="AR459" s="352" t="str">
        <f ca="1">IF(Table_NFI[[#This Row],[Pcode]]="","",OFFSET(CampList[Priority],MATCH(Table_NFI[[#This Row],[Pcode]],CampList[CP_Pcode],0)-1,0,1,1))</f>
        <v>P4</v>
      </c>
      <c r="AS459" s="351">
        <f>IFERROR(Table_NFI[[#This Row],[Kitchen Set]]/VLOOKUP(Table_NFI[[#This Row],[Camp Name]],CL,4,0),"")</f>
        <v>0</v>
      </c>
      <c r="AT459" s="533"/>
      <c r="AU459" s="536"/>
    </row>
    <row r="460" spans="1:47" s="537" customFormat="1" hidden="1" x14ac:dyDescent="0.25">
      <c r="A460" s="355">
        <f t="shared" si="7"/>
        <v>32.1</v>
      </c>
      <c r="B460" s="532">
        <v>41608</v>
      </c>
      <c r="C460" s="533" t="s">
        <v>907</v>
      </c>
      <c r="D460" s="534" t="s">
        <v>461</v>
      </c>
      <c r="E460" s="533" t="s">
        <v>380</v>
      </c>
      <c r="F460" s="348" t="s">
        <v>310</v>
      </c>
      <c r="G460" s="348" t="s">
        <v>326</v>
      </c>
      <c r="H460" s="349"/>
      <c r="I460" s="349"/>
      <c r="J460" s="349"/>
      <c r="K460" s="349"/>
      <c r="L460" s="350"/>
      <c r="M460" s="350"/>
      <c r="N460" s="350"/>
      <c r="O460" s="350"/>
      <c r="P460" s="352"/>
      <c r="Q460" s="352"/>
      <c r="R460" s="352"/>
      <c r="S460" s="352"/>
      <c r="T460" s="352"/>
      <c r="U460" s="352"/>
      <c r="V460" s="497"/>
      <c r="W460" s="352"/>
      <c r="X460" s="352"/>
      <c r="Y460" s="352">
        <f>IF(NFI_Expiration=1,IF($A460&lt;VLOOKUP(H$5,NFI,5,0),1,0)*Table_NFI[[#This Row],[Hygiene Kit]],Table_NFI[Hygiene Kit])</f>
        <v>0</v>
      </c>
      <c r="Z460" s="352">
        <f>IF(NFI_Expiration=1,IF($A460&lt;VLOOKUP(I$5,NFI,5,0),1,0)*Table_NFI[[#This Row],[NFI Core Kit]],Table_NFI[NFI Core Kit])</f>
        <v>0</v>
      </c>
      <c r="AA460" s="352">
        <f>IF(NFI_Expiration=1,IF($A460&lt;VLOOKUP(J$5,NFI,5,0),1,0)*Table_NFI[[#This Row],[Sanitary Kit]],Table_NFI[Sanitary Kit])</f>
        <v>0</v>
      </c>
      <c r="AB460" s="352">
        <f>IF(NFI_Expiration=1,IF($A460&lt;VLOOKUP(K$5,NFI,5,0),1,0)*Table_NFI[[#This Row],[Mosquito net]],Table_NFI[Mosquito net])</f>
        <v>0</v>
      </c>
      <c r="AC460" s="352">
        <f>IF(NFI_Expiration=1,IF($A460&lt;VLOOKUP(L$5,NFI,5,0),1,0)*Table_NFI[[#This Row],[Tarpaulin]],Table_NFI[[#This Row],[Tarpaulin]])</f>
        <v>0</v>
      </c>
      <c r="AD460" s="352">
        <f>IF(NFI_Expiration=1,IF($A460&lt;VLOOKUP(M$5,NFI,5,0),1,0)*Table_NFI[[#This Row],[Blanket]],Table_NFI[[#This Row],[Blanket]])</f>
        <v>0</v>
      </c>
      <c r="AE460" s="352">
        <f>IF(NFI_Expiration=1,IF($A460&lt;VLOOKUP(N$5,NFI,5,0),1,0)*Table_NFI[[#This Row],[Kitchen Set]],Table_NFI[Kitchen Set])</f>
        <v>0</v>
      </c>
      <c r="AF460" s="352">
        <f>IF(NFI_Expiration=1,IF($A460&lt;VLOOKUP(O$5,NFI,5,0),1,0)*Table_NFI[[#This Row],[Clothes Kit]],Table_NFI[Clothes Kit])</f>
        <v>0</v>
      </c>
      <c r="AG460" s="352">
        <f>IF(NFI_Expiration=1,IF($A460&lt;VLOOKUP(P$5,NFI,5,0),1,0)*Table_NFI[[#This Row],[Plastic Bucket]],Table_NFI[Plastic Bucket])</f>
        <v>0</v>
      </c>
      <c r="AH460" s="352">
        <f>IF(NFI_Expiration=1,IF($A460&lt;VLOOKUP(Q$5,NFI,5,0),1,0)*Table_NFI[[#This Row],[Plastic Mat]],Table_NFI[Plastic Mat])*IF(Table_NFI[[#This Row],[Distribution Date]]&gt;"2014-04-01",1,2.5)</f>
        <v>0</v>
      </c>
      <c r="AI460" s="352">
        <f>IF(NFI_Expiration=1,IF($A460&lt;VLOOKUP(R$5,NFI,5,0),1,0)*Table_NFI[[#This Row],[Winter Clothes Adult]],Table_NFI[Winter Clothes Adult])</f>
        <v>0</v>
      </c>
      <c r="AJ460" s="352">
        <f>IF(NFI_Expiration=1,IF($A460&lt;VLOOKUP(S$5,NFI,5,0),1,0)*Table_NFI[[#This Row],[Winter Clothes Children]],Table_NFI[Winter Clothes Children])</f>
        <v>0</v>
      </c>
      <c r="AK460" s="352">
        <f>IF(NFI_Expiration=1,IF($A460&lt;VLOOKUP(T$5,NFI,5,0),1,0)*Table_NFI[[#This Row],[Winter Items Other]],Table_NFI[Winter Items Other])</f>
        <v>0</v>
      </c>
      <c r="AL460" s="352">
        <f>IF(NFI_Expiration=1,IF($A460&lt;VLOOKUP(M$5,NFI,5,0),1,0)*Table_NFI[[#This Row],[Winter Blanket]],Table_NFI[[#This Row],[Winter Blanket]])</f>
        <v>0</v>
      </c>
      <c r="AM460" s="352">
        <f>IF(Table_NFI[[#This Row],[Winter Clothes Adult]]+Table_NFI[[#This Row],[Winter Clothes Children]]+Table_NFI[[#This Row],[Winter Items Other]]+Table_NFI[[#This Row],[Winter Blanket]]&gt;0,1,0)</f>
        <v>0</v>
      </c>
      <c r="AN460" s="392">
        <f>IF(NFI_Expiration=1,IF($A460&lt;VLOOKUP(V$5,NFI,5,0),1,0)*Table_NFI[[#This Row],[Jerry Can]],Table_NFI[Jerry Can])</f>
        <v>0</v>
      </c>
      <c r="AO460" s="540" t="str">
        <f>IFERROR(VLOOKUP(Table_NFI[[#This Row],[Camp Name]],CL,2,0),"")</f>
        <v>MMR001CMP039</v>
      </c>
      <c r="AP460" s="535">
        <f ca="1">IF(Table_NFI[[#This Row],[Pcode]]="","",IF(OFFSET(CampList[Opening Date],MATCH(Table_NFI[[#This Row],[Pcode]],CampList[CP_Pcode],0)-1,0,1,1)&gt;=NFI_Monitor_Date,1,0))</f>
        <v>0</v>
      </c>
      <c r="AQ460" s="540" t="str">
        <f>IFERROR(VLOOKUP(Table_NFI[[#This Row],[Camp Name]],CL,3,0),"")</f>
        <v>Open</v>
      </c>
      <c r="AR460" s="352" t="str">
        <f ca="1">IF(Table_NFI[[#This Row],[Pcode]]="","",OFFSET(CampList[Priority],MATCH(Table_NFI[[#This Row],[Pcode]],CampList[CP_Pcode],0)-1,0,1,1))</f>
        <v>P4</v>
      </c>
      <c r="AS460" s="351">
        <f>IFERROR(Table_NFI[[#This Row],[Kitchen Set]]/VLOOKUP(Table_NFI[[#This Row],[Camp Name]],CL,4,0),"")</f>
        <v>0</v>
      </c>
      <c r="AT460" s="533" t="s">
        <v>1094</v>
      </c>
      <c r="AU460" s="536"/>
    </row>
    <row r="461" spans="1:47" s="537" customFormat="1" ht="14.45" hidden="1" customHeight="1" x14ac:dyDescent="0.25">
      <c r="A461" s="355">
        <f t="shared" si="7"/>
        <v>42.2</v>
      </c>
      <c r="B461" s="532">
        <v>41305</v>
      </c>
      <c r="C461" s="533" t="s">
        <v>570</v>
      </c>
      <c r="D461" s="534" t="s">
        <v>570</v>
      </c>
      <c r="E461" s="533" t="s">
        <v>380</v>
      </c>
      <c r="F461" s="348" t="s">
        <v>310</v>
      </c>
      <c r="G461" s="348" t="s">
        <v>326</v>
      </c>
      <c r="H461" s="349"/>
      <c r="I461" s="349"/>
      <c r="J461" s="349"/>
      <c r="K461" s="349"/>
      <c r="L461" s="350"/>
      <c r="M461" s="350">
        <v>94</v>
      </c>
      <c r="N461" s="350"/>
      <c r="O461" s="350"/>
      <c r="P461" s="352">
        <v>0</v>
      </c>
      <c r="Q461" s="352">
        <v>0</v>
      </c>
      <c r="R461" s="352"/>
      <c r="S461" s="352"/>
      <c r="T461" s="352"/>
      <c r="U461" s="352"/>
      <c r="V461" s="497"/>
      <c r="W461" s="352"/>
      <c r="X461" s="352"/>
      <c r="Y461" s="352">
        <f>IF(NFI_Expiration=1,IF($A461&lt;VLOOKUP(H$5,NFI,5,0),1,0)*Table_NFI[[#This Row],[Hygiene Kit]],Table_NFI[Hygiene Kit])</f>
        <v>0</v>
      </c>
      <c r="Z461" s="352">
        <f>IF(NFI_Expiration=1,IF($A461&lt;VLOOKUP(I$5,NFI,5,0),1,0)*Table_NFI[[#This Row],[NFI Core Kit]],Table_NFI[NFI Core Kit])</f>
        <v>0</v>
      </c>
      <c r="AA461" s="352">
        <f>IF(NFI_Expiration=1,IF($A461&lt;VLOOKUP(J$5,NFI,5,0),1,0)*Table_NFI[[#This Row],[Sanitary Kit]],Table_NFI[Sanitary Kit])</f>
        <v>0</v>
      </c>
      <c r="AB461" s="352">
        <f>IF(NFI_Expiration=1,IF($A461&lt;VLOOKUP(K$5,NFI,5,0),1,0)*Table_NFI[[#This Row],[Mosquito net]],Table_NFI[Mosquito net])</f>
        <v>0</v>
      </c>
      <c r="AC461" s="352">
        <f>IF(NFI_Expiration=1,IF($A461&lt;VLOOKUP(L$5,NFI,5,0),1,0)*Table_NFI[[#This Row],[Tarpaulin]],Table_NFI[[#This Row],[Tarpaulin]])</f>
        <v>0</v>
      </c>
      <c r="AD461" s="352">
        <f>IF(NFI_Expiration=1,IF($A461&lt;VLOOKUP(M$5,NFI,5,0),1,0)*Table_NFI[[#This Row],[Blanket]],Table_NFI[[#This Row],[Blanket]])</f>
        <v>0</v>
      </c>
      <c r="AE461" s="352">
        <f>IF(NFI_Expiration=1,IF($A461&lt;VLOOKUP(N$5,NFI,5,0),1,0)*Table_NFI[[#This Row],[Kitchen Set]],Table_NFI[Kitchen Set])</f>
        <v>0</v>
      </c>
      <c r="AF461" s="352">
        <f>IF(NFI_Expiration=1,IF($A461&lt;VLOOKUP(O$5,NFI,5,0),1,0)*Table_NFI[[#This Row],[Clothes Kit]],Table_NFI[Clothes Kit])</f>
        <v>0</v>
      </c>
      <c r="AG461" s="352">
        <f>IF(NFI_Expiration=1,IF($A461&lt;VLOOKUP(P$5,NFI,5,0),1,0)*Table_NFI[[#This Row],[Plastic Bucket]],Table_NFI[Plastic Bucket])</f>
        <v>0</v>
      </c>
      <c r="AH461" s="352">
        <f>IF(NFI_Expiration=1,IF($A461&lt;VLOOKUP(Q$5,NFI,5,0),1,0)*Table_NFI[[#This Row],[Plastic Mat]],Table_NFI[Plastic Mat])*IF(Table_NFI[[#This Row],[Distribution Date]]&gt;"2014-04-01",1,2.5)</f>
        <v>0</v>
      </c>
      <c r="AI461" s="352">
        <f>IF(NFI_Expiration=1,IF($A461&lt;VLOOKUP(R$5,NFI,5,0),1,0)*Table_NFI[[#This Row],[Winter Clothes Adult]],Table_NFI[Winter Clothes Adult])</f>
        <v>0</v>
      </c>
      <c r="AJ461" s="352">
        <f>IF(NFI_Expiration=1,IF($A461&lt;VLOOKUP(S$5,NFI,5,0),1,0)*Table_NFI[[#This Row],[Winter Clothes Children]],Table_NFI[Winter Clothes Children])</f>
        <v>0</v>
      </c>
      <c r="AK461" s="352">
        <f>IF(NFI_Expiration=1,IF($A461&lt;VLOOKUP(T$5,NFI,5,0),1,0)*Table_NFI[[#This Row],[Winter Items Other]],Table_NFI[Winter Items Other])</f>
        <v>0</v>
      </c>
      <c r="AL461" s="352">
        <f>IF(NFI_Expiration=1,IF($A461&lt;VLOOKUP(M$5,NFI,5,0),1,0)*Table_NFI[[#This Row],[Winter Blanket]],Table_NFI[[#This Row],[Winter Blanket]])</f>
        <v>0</v>
      </c>
      <c r="AM461" s="352">
        <f>IF(Table_NFI[[#This Row],[Winter Clothes Adult]]+Table_NFI[[#This Row],[Winter Clothes Children]]+Table_NFI[[#This Row],[Winter Items Other]]+Table_NFI[[#This Row],[Winter Blanket]]&gt;0,1,0)</f>
        <v>0</v>
      </c>
      <c r="AN461" s="392">
        <f>IF(NFI_Expiration=1,IF($A461&lt;VLOOKUP(V$5,NFI,5,0),1,0)*Table_NFI[[#This Row],[Jerry Can]],Table_NFI[Jerry Can])</f>
        <v>0</v>
      </c>
      <c r="AO461" s="540" t="str">
        <f>IFERROR(VLOOKUP(Table_NFI[[#This Row],[Camp Name]],CL,2,0),"")</f>
        <v>MMR001CMP039</v>
      </c>
      <c r="AP461" s="535">
        <f ca="1">IF(Table_NFI[[#This Row],[Pcode]]="","",IF(OFFSET(CampList[Opening Date],MATCH(Table_NFI[[#This Row],[Pcode]],CampList[CP_Pcode],0)-1,0,1,1)&gt;=NFI_Monitor_Date,1,0))</f>
        <v>0</v>
      </c>
      <c r="AQ461" s="540" t="str">
        <f>IFERROR(VLOOKUP(Table_NFI[[#This Row],[Camp Name]],CL,3,0),"")</f>
        <v>Open</v>
      </c>
      <c r="AR461" s="352" t="str">
        <f ca="1">IF(Table_NFI[[#This Row],[Pcode]]="","",OFFSET(CampList[Priority],MATCH(Table_NFI[[#This Row],[Pcode]],CampList[CP_Pcode],0)-1,0,1,1))</f>
        <v>P4</v>
      </c>
      <c r="AS461" s="351">
        <f>IFERROR(Table_NFI[[#This Row],[Kitchen Set]]/VLOOKUP(Table_NFI[[#This Row],[Camp Name]],CL,4,0),"")</f>
        <v>0</v>
      </c>
      <c r="AT461" s="533" t="s">
        <v>1094</v>
      </c>
      <c r="AU461" s="536"/>
    </row>
    <row r="462" spans="1:47" s="537" customFormat="1" ht="14.45" customHeight="1" x14ac:dyDescent="0.25">
      <c r="A462" s="355">
        <f t="shared" si="7"/>
        <v>32.866666666666667</v>
      </c>
      <c r="B462" s="532">
        <v>41585</v>
      </c>
      <c r="C462" s="533" t="s">
        <v>453</v>
      </c>
      <c r="D462" s="533" t="s">
        <v>453</v>
      </c>
      <c r="E462" s="533" t="s">
        <v>380</v>
      </c>
      <c r="F462" s="348" t="s">
        <v>528</v>
      </c>
      <c r="G462" s="348" t="s">
        <v>58</v>
      </c>
      <c r="H462" s="349"/>
      <c r="I462" s="349"/>
      <c r="J462" s="349">
        <v>13</v>
      </c>
      <c r="K462" s="349">
        <v>32</v>
      </c>
      <c r="L462" s="350">
        <v>15</v>
      </c>
      <c r="M462" s="350">
        <v>32</v>
      </c>
      <c r="N462" s="350">
        <v>15</v>
      </c>
      <c r="O462" s="350"/>
      <c r="P462" s="352">
        <v>15</v>
      </c>
      <c r="Q462" s="352">
        <v>32</v>
      </c>
      <c r="R462" s="352"/>
      <c r="S462" s="352"/>
      <c r="T462" s="352"/>
      <c r="U462" s="352"/>
      <c r="V462" s="497"/>
      <c r="W462" s="352"/>
      <c r="X462" s="352"/>
      <c r="Y462" s="352">
        <f>IF(NFI_Expiration=1,IF($A462&lt;VLOOKUP(H$5,NFI,5,0),1,0)*Table_NFI[[#This Row],[Hygiene Kit]],Table_NFI[Hygiene Kit])</f>
        <v>0</v>
      </c>
      <c r="Z462" s="352">
        <f>IF(NFI_Expiration=1,IF($A462&lt;VLOOKUP(I$5,NFI,5,0),1,0)*Table_NFI[[#This Row],[NFI Core Kit]],Table_NFI[NFI Core Kit])</f>
        <v>0</v>
      </c>
      <c r="AA462" s="352">
        <f>IF(NFI_Expiration=1,IF($A462&lt;VLOOKUP(J$5,NFI,5,0),1,0)*Table_NFI[[#This Row],[Sanitary Kit]],Table_NFI[Sanitary Kit])</f>
        <v>0</v>
      </c>
      <c r="AB462" s="352">
        <f>IF(NFI_Expiration=1,IF($A462&lt;VLOOKUP(K$5,NFI,5,0),1,0)*Table_NFI[[#This Row],[Mosquito net]],Table_NFI[Mosquito net])</f>
        <v>0</v>
      </c>
      <c r="AC462" s="352">
        <f>IF(NFI_Expiration=1,IF($A462&lt;VLOOKUP(L$5,NFI,5,0),1,0)*Table_NFI[[#This Row],[Tarpaulin]],Table_NFI[[#This Row],[Tarpaulin]])</f>
        <v>0</v>
      </c>
      <c r="AD462" s="352">
        <f>IF(NFI_Expiration=1,IF($A462&lt;VLOOKUP(M$5,NFI,5,0),1,0)*Table_NFI[[#This Row],[Blanket]],Table_NFI[[#This Row],[Blanket]])</f>
        <v>0</v>
      </c>
      <c r="AE462" s="352">
        <f>IF(NFI_Expiration=1,IF($A462&lt;VLOOKUP(N$5,NFI,5,0),1,0)*Table_NFI[[#This Row],[Kitchen Set]],Table_NFI[Kitchen Set])</f>
        <v>0</v>
      </c>
      <c r="AF462" s="352">
        <f>IF(NFI_Expiration=1,IF($A462&lt;VLOOKUP(O$5,NFI,5,0),1,0)*Table_NFI[[#This Row],[Clothes Kit]],Table_NFI[Clothes Kit])</f>
        <v>0</v>
      </c>
      <c r="AG462" s="352">
        <f>IF(NFI_Expiration=1,IF($A462&lt;VLOOKUP(P$5,NFI,5,0),1,0)*Table_NFI[[#This Row],[Plastic Bucket]],Table_NFI[Plastic Bucket])</f>
        <v>0</v>
      </c>
      <c r="AH462" s="352">
        <f>IF(NFI_Expiration=1,IF($A462&lt;VLOOKUP(Q$5,NFI,5,0),1,0)*Table_NFI[[#This Row],[Plastic Mat]],Table_NFI[Plastic Mat])*IF(Table_NFI[[#This Row],[Distribution Date]]&gt;"2014-04-01",1,2.5)</f>
        <v>0</v>
      </c>
      <c r="AI462" s="352">
        <f>IF(NFI_Expiration=1,IF($A462&lt;VLOOKUP(R$5,NFI,5,0),1,0)*Table_NFI[[#This Row],[Winter Clothes Adult]],Table_NFI[Winter Clothes Adult])</f>
        <v>0</v>
      </c>
      <c r="AJ462" s="352">
        <f>IF(NFI_Expiration=1,IF($A462&lt;VLOOKUP(S$5,NFI,5,0),1,0)*Table_NFI[[#This Row],[Winter Clothes Children]],Table_NFI[Winter Clothes Children])</f>
        <v>0</v>
      </c>
      <c r="AK462" s="352">
        <f>IF(NFI_Expiration=1,IF($A462&lt;VLOOKUP(T$5,NFI,5,0),1,0)*Table_NFI[[#This Row],[Winter Items Other]],Table_NFI[Winter Items Other])</f>
        <v>0</v>
      </c>
      <c r="AL462" s="352">
        <f>IF(NFI_Expiration=1,IF($A462&lt;VLOOKUP(M$5,NFI,5,0),1,0)*Table_NFI[[#This Row],[Winter Blanket]],Table_NFI[[#This Row],[Winter Blanket]])</f>
        <v>0</v>
      </c>
      <c r="AM462" s="352">
        <f>IF(Table_NFI[[#This Row],[Winter Clothes Adult]]+Table_NFI[[#This Row],[Winter Clothes Children]]+Table_NFI[[#This Row],[Winter Items Other]]+Table_NFI[[#This Row],[Winter Blanket]]&gt;0,1,0)</f>
        <v>0</v>
      </c>
      <c r="AN462" s="392">
        <f>IF(NFI_Expiration=1,IF($A462&lt;VLOOKUP(V$5,NFI,5,0),1,0)*Table_NFI[[#This Row],[Jerry Can]],Table_NFI[Jerry Can])</f>
        <v>0</v>
      </c>
      <c r="AO462" s="540" t="str">
        <f>IFERROR(VLOOKUP(Table_NFI[[#This Row],[Camp Name]],CL,2,0),"")</f>
        <v>MMR001CMP188</v>
      </c>
      <c r="AP462" s="535">
        <f ca="1">IF(Table_NFI[[#This Row],[Pcode]]="","",IF(OFFSET(CampList[Opening Date],MATCH(Table_NFI[[#This Row],[Pcode]],CampList[CP_Pcode],0)-1,0,1,1)&gt;=NFI_Monitor_Date,1,0))</f>
        <v>0</v>
      </c>
      <c r="AQ462" s="540" t="str">
        <f>IFERROR(VLOOKUP(Table_NFI[[#This Row],[Camp Name]],CL,3,0),"")</f>
        <v>Closed</v>
      </c>
      <c r="AR462" s="352" t="str">
        <f ca="1">IF(Table_NFI[[#This Row],[Pcode]]="","",OFFSET(CampList[Priority],MATCH(Table_NFI[[#This Row],[Pcode]],CampList[CP_Pcode],0)-1,0,1,1))</f>
        <v>P4</v>
      </c>
      <c r="AS462" s="351" t="str">
        <f>IFERROR(Table_NFI[[#This Row],[Kitchen Set]]/VLOOKUP(Table_NFI[[#This Row],[Camp Name]],CL,4,0),"")</f>
        <v/>
      </c>
      <c r="AT462" s="533" t="s">
        <v>1094</v>
      </c>
      <c r="AU462" s="536"/>
    </row>
    <row r="463" spans="1:47" s="537" customFormat="1" ht="14.45" customHeight="1" x14ac:dyDescent="0.25">
      <c r="A463" s="355">
        <f t="shared" si="7"/>
        <v>32.866666666666667</v>
      </c>
      <c r="B463" s="532">
        <v>41585</v>
      </c>
      <c r="C463" s="533" t="s">
        <v>453</v>
      </c>
      <c r="D463" s="533" t="s">
        <v>453</v>
      </c>
      <c r="E463" s="533" t="s">
        <v>380</v>
      </c>
      <c r="F463" s="348" t="s">
        <v>5</v>
      </c>
      <c r="G463" s="348" t="s">
        <v>366</v>
      </c>
      <c r="H463" s="349"/>
      <c r="I463" s="349"/>
      <c r="J463" s="349">
        <v>58</v>
      </c>
      <c r="K463" s="349">
        <v>46</v>
      </c>
      <c r="L463" s="350">
        <v>29</v>
      </c>
      <c r="M463" s="350">
        <v>46</v>
      </c>
      <c r="N463" s="350">
        <v>29</v>
      </c>
      <c r="O463" s="350">
        <v>29</v>
      </c>
      <c r="P463" s="352"/>
      <c r="Q463" s="352"/>
      <c r="R463" s="352"/>
      <c r="S463" s="352"/>
      <c r="T463" s="352"/>
      <c r="U463" s="352"/>
      <c r="V463" s="497"/>
      <c r="W463" s="352"/>
      <c r="X463" s="352"/>
      <c r="Y463" s="352">
        <f>IF(NFI_Expiration=1,IF($A463&lt;VLOOKUP(H$5,NFI,5,0),1,0)*Table_NFI[[#This Row],[Hygiene Kit]],Table_NFI[Hygiene Kit])</f>
        <v>0</v>
      </c>
      <c r="Z463" s="352">
        <f>IF(NFI_Expiration=1,IF($A463&lt;VLOOKUP(I$5,NFI,5,0),1,0)*Table_NFI[[#This Row],[NFI Core Kit]],Table_NFI[NFI Core Kit])</f>
        <v>0</v>
      </c>
      <c r="AA463" s="352">
        <f>IF(NFI_Expiration=1,IF($A463&lt;VLOOKUP(J$5,NFI,5,0),1,0)*Table_NFI[[#This Row],[Sanitary Kit]],Table_NFI[Sanitary Kit])</f>
        <v>0</v>
      </c>
      <c r="AB463" s="352">
        <f>IF(NFI_Expiration=1,IF($A463&lt;VLOOKUP(K$5,NFI,5,0),1,0)*Table_NFI[[#This Row],[Mosquito net]],Table_NFI[Mosquito net])</f>
        <v>0</v>
      </c>
      <c r="AC463" s="352">
        <f>IF(NFI_Expiration=1,IF($A463&lt;VLOOKUP(L$5,NFI,5,0),1,0)*Table_NFI[[#This Row],[Tarpaulin]],Table_NFI[[#This Row],[Tarpaulin]])</f>
        <v>0</v>
      </c>
      <c r="AD463" s="352">
        <f>IF(NFI_Expiration=1,IF($A463&lt;VLOOKUP(M$5,NFI,5,0),1,0)*Table_NFI[[#This Row],[Blanket]],Table_NFI[[#This Row],[Blanket]])</f>
        <v>0</v>
      </c>
      <c r="AE463" s="352">
        <f>IF(NFI_Expiration=1,IF($A463&lt;VLOOKUP(N$5,NFI,5,0),1,0)*Table_NFI[[#This Row],[Kitchen Set]],Table_NFI[Kitchen Set])</f>
        <v>0</v>
      </c>
      <c r="AF463" s="352">
        <f>IF(NFI_Expiration=1,IF($A463&lt;VLOOKUP(O$5,NFI,5,0),1,0)*Table_NFI[[#This Row],[Clothes Kit]],Table_NFI[Clothes Kit])</f>
        <v>0</v>
      </c>
      <c r="AG463" s="352">
        <f>IF(NFI_Expiration=1,IF($A463&lt;VLOOKUP(P$5,NFI,5,0),1,0)*Table_NFI[[#This Row],[Plastic Bucket]],Table_NFI[Plastic Bucket])</f>
        <v>0</v>
      </c>
      <c r="AH463" s="352">
        <f>IF(NFI_Expiration=1,IF($A463&lt;VLOOKUP(Q$5,NFI,5,0),1,0)*Table_NFI[[#This Row],[Plastic Mat]],Table_NFI[Plastic Mat])*IF(Table_NFI[[#This Row],[Distribution Date]]&gt;"2014-04-01",1,2.5)</f>
        <v>0</v>
      </c>
      <c r="AI463" s="352">
        <f>IF(NFI_Expiration=1,IF($A463&lt;VLOOKUP(R$5,NFI,5,0),1,0)*Table_NFI[[#This Row],[Winter Clothes Adult]],Table_NFI[Winter Clothes Adult])</f>
        <v>0</v>
      </c>
      <c r="AJ463" s="352">
        <f>IF(NFI_Expiration=1,IF($A463&lt;VLOOKUP(S$5,NFI,5,0),1,0)*Table_NFI[[#This Row],[Winter Clothes Children]],Table_NFI[Winter Clothes Children])</f>
        <v>0</v>
      </c>
      <c r="AK463" s="352">
        <f>IF(NFI_Expiration=1,IF($A463&lt;VLOOKUP(T$5,NFI,5,0),1,0)*Table_NFI[[#This Row],[Winter Items Other]],Table_NFI[Winter Items Other])</f>
        <v>0</v>
      </c>
      <c r="AL463" s="352">
        <f>IF(NFI_Expiration=1,IF($A463&lt;VLOOKUP(M$5,NFI,5,0),1,0)*Table_NFI[[#This Row],[Winter Blanket]],Table_NFI[[#This Row],[Winter Blanket]])</f>
        <v>0</v>
      </c>
      <c r="AM463" s="352">
        <f>IF(Table_NFI[[#This Row],[Winter Clothes Adult]]+Table_NFI[[#This Row],[Winter Clothes Children]]+Table_NFI[[#This Row],[Winter Items Other]]+Table_NFI[[#This Row],[Winter Blanket]]&gt;0,1,0)</f>
        <v>0</v>
      </c>
      <c r="AN463" s="392">
        <f>IF(NFI_Expiration=1,IF($A463&lt;VLOOKUP(V$5,NFI,5,0),1,0)*Table_NFI[[#This Row],[Jerry Can]],Table_NFI[Jerry Can])</f>
        <v>0</v>
      </c>
      <c r="AO463" s="540" t="str">
        <f>IFERROR(VLOOKUP(Table_NFI[[#This Row],[Camp Name]],CL,2,0),"")</f>
        <v>MMR001CMP193</v>
      </c>
      <c r="AP463" s="535">
        <f ca="1">IF(Table_NFI[[#This Row],[Pcode]]="","",IF(OFFSET(CampList[Opening Date],MATCH(Table_NFI[[#This Row],[Pcode]],CampList[CP_Pcode],0)-1,0,1,1)&gt;=NFI_Monitor_Date,1,0))</f>
        <v>0</v>
      </c>
      <c r="AQ463" s="540" t="str">
        <f>IFERROR(VLOOKUP(Table_NFI[[#This Row],[Camp Name]],CL,3,0),"")</f>
        <v>Open</v>
      </c>
      <c r="AR463" s="352" t="str">
        <f ca="1">IF(Table_NFI[[#This Row],[Pcode]]="","",OFFSET(CampList[Priority],MATCH(Table_NFI[[#This Row],[Pcode]],CampList[CP_Pcode],0)-1,0,1,1))</f>
        <v>P4</v>
      </c>
      <c r="AS463" s="351">
        <f>IFERROR(Table_NFI[[#This Row],[Kitchen Set]]/VLOOKUP(Table_NFI[[#This Row],[Camp Name]],CL,4,0),"")</f>
        <v>0.19333333333333333</v>
      </c>
      <c r="AT463" s="533" t="s">
        <v>1094</v>
      </c>
      <c r="AU463" s="536"/>
    </row>
    <row r="464" spans="1:47" s="537" customFormat="1" ht="14.45" customHeight="1" x14ac:dyDescent="0.25">
      <c r="A464" s="355">
        <f t="shared" si="7"/>
        <v>32.93333333333333</v>
      </c>
      <c r="B464" s="532">
        <v>41583</v>
      </c>
      <c r="C464" s="533" t="s">
        <v>453</v>
      </c>
      <c r="D464" s="533" t="s">
        <v>453</v>
      </c>
      <c r="E464" s="533" t="s">
        <v>380</v>
      </c>
      <c r="F464" s="348" t="s">
        <v>151</v>
      </c>
      <c r="G464" s="348" t="s">
        <v>152</v>
      </c>
      <c r="H464" s="349"/>
      <c r="I464" s="349"/>
      <c r="J464" s="349">
        <v>60</v>
      </c>
      <c r="K464" s="349">
        <v>54</v>
      </c>
      <c r="L464" s="350">
        <v>30</v>
      </c>
      <c r="M464" s="350">
        <v>54</v>
      </c>
      <c r="N464" s="350">
        <v>30</v>
      </c>
      <c r="O464" s="350">
        <v>30</v>
      </c>
      <c r="P464" s="352"/>
      <c r="Q464" s="352"/>
      <c r="R464" s="352"/>
      <c r="S464" s="352"/>
      <c r="T464" s="352"/>
      <c r="U464" s="352"/>
      <c r="V464" s="497"/>
      <c r="W464" s="352"/>
      <c r="X464" s="352"/>
      <c r="Y464" s="352">
        <f>IF(NFI_Expiration=1,IF($A464&lt;VLOOKUP(H$5,NFI,5,0),1,0)*Table_NFI[[#This Row],[Hygiene Kit]],Table_NFI[Hygiene Kit])</f>
        <v>0</v>
      </c>
      <c r="Z464" s="352">
        <f>IF(NFI_Expiration=1,IF($A464&lt;VLOOKUP(I$5,NFI,5,0),1,0)*Table_NFI[[#This Row],[NFI Core Kit]],Table_NFI[NFI Core Kit])</f>
        <v>0</v>
      </c>
      <c r="AA464" s="352">
        <f>IF(NFI_Expiration=1,IF($A464&lt;VLOOKUP(J$5,NFI,5,0),1,0)*Table_NFI[[#This Row],[Sanitary Kit]],Table_NFI[Sanitary Kit])</f>
        <v>0</v>
      </c>
      <c r="AB464" s="352">
        <f>IF(NFI_Expiration=1,IF($A464&lt;VLOOKUP(K$5,NFI,5,0),1,0)*Table_NFI[[#This Row],[Mosquito net]],Table_NFI[Mosquito net])</f>
        <v>0</v>
      </c>
      <c r="AC464" s="352">
        <f>IF(NFI_Expiration=1,IF($A464&lt;VLOOKUP(L$5,NFI,5,0),1,0)*Table_NFI[[#This Row],[Tarpaulin]],Table_NFI[[#This Row],[Tarpaulin]])</f>
        <v>0</v>
      </c>
      <c r="AD464" s="352">
        <f>IF(NFI_Expiration=1,IF($A464&lt;VLOOKUP(M$5,NFI,5,0),1,0)*Table_NFI[[#This Row],[Blanket]],Table_NFI[[#This Row],[Blanket]])</f>
        <v>0</v>
      </c>
      <c r="AE464" s="352">
        <f>IF(NFI_Expiration=1,IF($A464&lt;VLOOKUP(N$5,NFI,5,0),1,0)*Table_NFI[[#This Row],[Kitchen Set]],Table_NFI[Kitchen Set])</f>
        <v>0</v>
      </c>
      <c r="AF464" s="352">
        <f>IF(NFI_Expiration=1,IF($A464&lt;VLOOKUP(O$5,NFI,5,0),1,0)*Table_NFI[[#This Row],[Clothes Kit]],Table_NFI[Clothes Kit])</f>
        <v>0</v>
      </c>
      <c r="AG464" s="352">
        <f>IF(NFI_Expiration=1,IF($A464&lt;VLOOKUP(P$5,NFI,5,0),1,0)*Table_NFI[[#This Row],[Plastic Bucket]],Table_NFI[Plastic Bucket])</f>
        <v>0</v>
      </c>
      <c r="AH464" s="352">
        <f>IF(NFI_Expiration=1,IF($A464&lt;VLOOKUP(Q$5,NFI,5,0),1,0)*Table_NFI[[#This Row],[Plastic Mat]],Table_NFI[Plastic Mat])*IF(Table_NFI[[#This Row],[Distribution Date]]&gt;"2014-04-01",1,2.5)</f>
        <v>0</v>
      </c>
      <c r="AI464" s="352">
        <f>IF(NFI_Expiration=1,IF($A464&lt;VLOOKUP(R$5,NFI,5,0),1,0)*Table_NFI[[#This Row],[Winter Clothes Adult]],Table_NFI[Winter Clothes Adult])</f>
        <v>0</v>
      </c>
      <c r="AJ464" s="352">
        <f>IF(NFI_Expiration=1,IF($A464&lt;VLOOKUP(S$5,NFI,5,0),1,0)*Table_NFI[[#This Row],[Winter Clothes Children]],Table_NFI[Winter Clothes Children])</f>
        <v>0</v>
      </c>
      <c r="AK464" s="352">
        <f>IF(NFI_Expiration=1,IF($A464&lt;VLOOKUP(T$5,NFI,5,0),1,0)*Table_NFI[[#This Row],[Winter Items Other]],Table_NFI[Winter Items Other])</f>
        <v>0</v>
      </c>
      <c r="AL464" s="352">
        <f>IF(NFI_Expiration=1,IF($A464&lt;VLOOKUP(M$5,NFI,5,0),1,0)*Table_NFI[[#This Row],[Winter Blanket]],Table_NFI[[#This Row],[Winter Blanket]])</f>
        <v>0</v>
      </c>
      <c r="AM464" s="352">
        <f>IF(Table_NFI[[#This Row],[Winter Clothes Adult]]+Table_NFI[[#This Row],[Winter Clothes Children]]+Table_NFI[[#This Row],[Winter Items Other]]+Table_NFI[[#This Row],[Winter Blanket]]&gt;0,1,0)</f>
        <v>0</v>
      </c>
      <c r="AN464" s="392">
        <f>IF(NFI_Expiration=1,IF($A464&lt;VLOOKUP(V$5,NFI,5,0),1,0)*Table_NFI[[#This Row],[Jerry Can]],Table_NFI[Jerry Can])</f>
        <v>0</v>
      </c>
      <c r="AO464" s="540" t="str">
        <f>IFERROR(VLOOKUP(Table_NFI[[#This Row],[Camp Name]],CL,2,0),"")</f>
        <v>MMR001CMP066</v>
      </c>
      <c r="AP464" s="535">
        <f ca="1">IF(Table_NFI[[#This Row],[Pcode]]="","",IF(OFFSET(CampList[Opening Date],MATCH(Table_NFI[[#This Row],[Pcode]],CampList[CP_Pcode],0)-1,0,1,1)&gt;=NFI_Monitor_Date,1,0))</f>
        <v>0</v>
      </c>
      <c r="AQ464" s="540" t="str">
        <f>IFERROR(VLOOKUP(Table_NFI[[#This Row],[Camp Name]],CL,3,0),"")</f>
        <v>Open</v>
      </c>
      <c r="AR464" s="352" t="str">
        <f ca="1">IF(Table_NFI[[#This Row],[Pcode]]="","",OFFSET(CampList[Priority],MATCH(Table_NFI[[#This Row],[Pcode]],CampList[CP_Pcode],0)-1,0,1,1))</f>
        <v>P4</v>
      </c>
      <c r="AS464" s="351">
        <f>IFERROR(Table_NFI[[#This Row],[Kitchen Set]]/VLOOKUP(Table_NFI[[#This Row],[Camp Name]],CL,4,0),"")</f>
        <v>0.15306122448979592</v>
      </c>
      <c r="AT464" s="533" t="s">
        <v>1094</v>
      </c>
      <c r="AU464" s="536"/>
    </row>
    <row r="465" spans="1:47" s="537" customFormat="1" ht="14.45" customHeight="1" x14ac:dyDescent="0.25">
      <c r="A465" s="355">
        <f t="shared" si="7"/>
        <v>33</v>
      </c>
      <c r="B465" s="532">
        <v>41581</v>
      </c>
      <c r="C465" s="533" t="s">
        <v>453</v>
      </c>
      <c r="D465" s="533" t="s">
        <v>574</v>
      </c>
      <c r="E465" s="533" t="s">
        <v>380</v>
      </c>
      <c r="F465" s="348" t="s">
        <v>151</v>
      </c>
      <c r="G465" s="348" t="s">
        <v>188</v>
      </c>
      <c r="H465" s="349"/>
      <c r="I465" s="349"/>
      <c r="J465" s="349">
        <v>130</v>
      </c>
      <c r="K465" s="349">
        <v>130</v>
      </c>
      <c r="L465" s="350">
        <v>65</v>
      </c>
      <c r="M465" s="350">
        <v>65</v>
      </c>
      <c r="N465" s="350">
        <v>65</v>
      </c>
      <c r="O465" s="350">
        <v>65</v>
      </c>
      <c r="P465" s="352"/>
      <c r="Q465" s="352"/>
      <c r="R465" s="352"/>
      <c r="S465" s="352"/>
      <c r="T465" s="352"/>
      <c r="U465" s="352"/>
      <c r="V465" s="497"/>
      <c r="W465" s="352"/>
      <c r="X465" s="352"/>
      <c r="Y465" s="352">
        <f>IF(NFI_Expiration=1,IF($A465&lt;VLOOKUP(H$5,NFI,5,0),1,0)*Table_NFI[[#This Row],[Hygiene Kit]],Table_NFI[Hygiene Kit])</f>
        <v>0</v>
      </c>
      <c r="Z465" s="352">
        <f>IF(NFI_Expiration=1,IF($A465&lt;VLOOKUP(I$5,NFI,5,0),1,0)*Table_NFI[[#This Row],[NFI Core Kit]],Table_NFI[NFI Core Kit])</f>
        <v>0</v>
      </c>
      <c r="AA465" s="352">
        <f>IF(NFI_Expiration=1,IF($A465&lt;VLOOKUP(J$5,NFI,5,0),1,0)*Table_NFI[[#This Row],[Sanitary Kit]],Table_NFI[Sanitary Kit])</f>
        <v>0</v>
      </c>
      <c r="AB465" s="352">
        <f>IF(NFI_Expiration=1,IF($A465&lt;VLOOKUP(K$5,NFI,5,0),1,0)*Table_NFI[[#This Row],[Mosquito net]],Table_NFI[Mosquito net])</f>
        <v>0</v>
      </c>
      <c r="AC465" s="352">
        <f>IF(NFI_Expiration=1,IF($A465&lt;VLOOKUP(L$5,NFI,5,0),1,0)*Table_NFI[[#This Row],[Tarpaulin]],Table_NFI[[#This Row],[Tarpaulin]])</f>
        <v>0</v>
      </c>
      <c r="AD465" s="352">
        <f>IF(NFI_Expiration=1,IF($A465&lt;VLOOKUP(M$5,NFI,5,0),1,0)*Table_NFI[[#This Row],[Blanket]],Table_NFI[[#This Row],[Blanket]])</f>
        <v>0</v>
      </c>
      <c r="AE465" s="352">
        <f>IF(NFI_Expiration=1,IF($A465&lt;VLOOKUP(N$5,NFI,5,0),1,0)*Table_NFI[[#This Row],[Kitchen Set]],Table_NFI[Kitchen Set])</f>
        <v>0</v>
      </c>
      <c r="AF465" s="352">
        <f>IF(NFI_Expiration=1,IF($A465&lt;VLOOKUP(O$5,NFI,5,0),1,0)*Table_NFI[[#This Row],[Clothes Kit]],Table_NFI[Clothes Kit])</f>
        <v>0</v>
      </c>
      <c r="AG465" s="352">
        <f>IF(NFI_Expiration=1,IF($A465&lt;VLOOKUP(P$5,NFI,5,0),1,0)*Table_NFI[[#This Row],[Plastic Bucket]],Table_NFI[Plastic Bucket])</f>
        <v>0</v>
      </c>
      <c r="AH465" s="352">
        <f>IF(NFI_Expiration=1,IF($A465&lt;VLOOKUP(Q$5,NFI,5,0),1,0)*Table_NFI[[#This Row],[Plastic Mat]],Table_NFI[Plastic Mat])*IF(Table_NFI[[#This Row],[Distribution Date]]&gt;"2014-04-01",1,2.5)</f>
        <v>0</v>
      </c>
      <c r="AI465" s="352">
        <f>IF(NFI_Expiration=1,IF($A465&lt;VLOOKUP(R$5,NFI,5,0),1,0)*Table_NFI[[#This Row],[Winter Clothes Adult]],Table_NFI[Winter Clothes Adult])</f>
        <v>0</v>
      </c>
      <c r="AJ465" s="352">
        <f>IF(NFI_Expiration=1,IF($A465&lt;VLOOKUP(S$5,NFI,5,0),1,0)*Table_NFI[[#This Row],[Winter Clothes Children]],Table_NFI[Winter Clothes Children])</f>
        <v>0</v>
      </c>
      <c r="AK465" s="352">
        <f>IF(NFI_Expiration=1,IF($A465&lt;VLOOKUP(T$5,NFI,5,0),1,0)*Table_NFI[[#This Row],[Winter Items Other]],Table_NFI[Winter Items Other])</f>
        <v>0</v>
      </c>
      <c r="AL465" s="352">
        <f>IF(NFI_Expiration=1,IF($A465&lt;VLOOKUP(M$5,NFI,5,0),1,0)*Table_NFI[[#This Row],[Winter Blanket]],Table_NFI[[#This Row],[Winter Blanket]])</f>
        <v>0</v>
      </c>
      <c r="AM465" s="352">
        <f>IF(Table_NFI[[#This Row],[Winter Clothes Adult]]+Table_NFI[[#This Row],[Winter Clothes Children]]+Table_NFI[[#This Row],[Winter Items Other]]+Table_NFI[[#This Row],[Winter Blanket]]&gt;0,1,0)</f>
        <v>0</v>
      </c>
      <c r="AN465" s="392">
        <f>IF(NFI_Expiration=1,IF($A465&lt;VLOOKUP(V$5,NFI,5,0),1,0)*Table_NFI[[#This Row],[Jerry Can]],Table_NFI[Jerry Can])</f>
        <v>0</v>
      </c>
      <c r="AO465" s="540" t="str">
        <f>IFERROR(VLOOKUP(Table_NFI[[#This Row],[Camp Name]],CL,2,0),"")</f>
        <v>MMR001CMP129</v>
      </c>
      <c r="AP465" s="535">
        <f ca="1">IF(Table_NFI[[#This Row],[Pcode]]="","",IF(OFFSET(CampList[Opening Date],MATCH(Table_NFI[[#This Row],[Pcode]],CampList[CP_Pcode],0)-1,0,1,1)&gt;=NFI_Monitor_Date,1,0))</f>
        <v>0</v>
      </c>
      <c r="AQ465" s="540" t="str">
        <f>IFERROR(VLOOKUP(Table_NFI[[#This Row],[Camp Name]],CL,3,0),"")</f>
        <v>Open</v>
      </c>
      <c r="AR465" s="352" t="str">
        <f ca="1">IF(Table_NFI[[#This Row],[Pcode]]="","",OFFSET(CampList[Priority],MATCH(Table_NFI[[#This Row],[Pcode]],CampList[CP_Pcode],0)-1,0,1,1))</f>
        <v>P2</v>
      </c>
      <c r="AS465" s="351">
        <f>IFERROR(Table_NFI[[#This Row],[Kitchen Set]]/VLOOKUP(Table_NFI[[#This Row],[Camp Name]],CL,4,0),"")</f>
        <v>0.26530612244897961</v>
      </c>
      <c r="AT465" s="533" t="s">
        <v>1094</v>
      </c>
      <c r="AU465" s="536"/>
    </row>
    <row r="466" spans="1:47" s="537" customFormat="1" ht="14.45" customHeight="1" x14ac:dyDescent="0.25">
      <c r="A466" s="355">
        <f t="shared" si="7"/>
        <v>33</v>
      </c>
      <c r="B466" s="532">
        <v>41581</v>
      </c>
      <c r="C466" s="533" t="s">
        <v>453</v>
      </c>
      <c r="D466" s="533" t="s">
        <v>574</v>
      </c>
      <c r="E466" s="533" t="s">
        <v>380</v>
      </c>
      <c r="F466" s="348" t="s">
        <v>151</v>
      </c>
      <c r="G466" s="348" t="s">
        <v>198</v>
      </c>
      <c r="H466" s="349"/>
      <c r="I466" s="349"/>
      <c r="J466" s="349">
        <v>592</v>
      </c>
      <c r="K466" s="349">
        <v>592</v>
      </c>
      <c r="L466" s="350">
        <v>296</v>
      </c>
      <c r="M466" s="350">
        <v>296</v>
      </c>
      <c r="N466" s="350">
        <v>296</v>
      </c>
      <c r="O466" s="350">
        <v>296</v>
      </c>
      <c r="P466" s="352"/>
      <c r="Q466" s="352"/>
      <c r="R466" s="352"/>
      <c r="S466" s="352"/>
      <c r="T466" s="352"/>
      <c r="U466" s="352"/>
      <c r="V466" s="497"/>
      <c r="W466" s="352"/>
      <c r="X466" s="352"/>
      <c r="Y466" s="352">
        <f>IF(NFI_Expiration=1,IF($A466&lt;VLOOKUP(H$5,NFI,5,0),1,0)*Table_NFI[[#This Row],[Hygiene Kit]],Table_NFI[Hygiene Kit])</f>
        <v>0</v>
      </c>
      <c r="Z466" s="352">
        <f>IF(NFI_Expiration=1,IF($A466&lt;VLOOKUP(I$5,NFI,5,0),1,0)*Table_NFI[[#This Row],[NFI Core Kit]],Table_NFI[NFI Core Kit])</f>
        <v>0</v>
      </c>
      <c r="AA466" s="352">
        <f>IF(NFI_Expiration=1,IF($A466&lt;VLOOKUP(J$5,NFI,5,0),1,0)*Table_NFI[[#This Row],[Sanitary Kit]],Table_NFI[Sanitary Kit])</f>
        <v>0</v>
      </c>
      <c r="AB466" s="352">
        <f>IF(NFI_Expiration=1,IF($A466&lt;VLOOKUP(K$5,NFI,5,0),1,0)*Table_NFI[[#This Row],[Mosquito net]],Table_NFI[Mosquito net])</f>
        <v>0</v>
      </c>
      <c r="AC466" s="352">
        <f>IF(NFI_Expiration=1,IF($A466&lt;VLOOKUP(L$5,NFI,5,0),1,0)*Table_NFI[[#This Row],[Tarpaulin]],Table_NFI[[#This Row],[Tarpaulin]])</f>
        <v>0</v>
      </c>
      <c r="AD466" s="352">
        <f>IF(NFI_Expiration=1,IF($A466&lt;VLOOKUP(M$5,NFI,5,0),1,0)*Table_NFI[[#This Row],[Blanket]],Table_NFI[[#This Row],[Blanket]])</f>
        <v>0</v>
      </c>
      <c r="AE466" s="352">
        <f>IF(NFI_Expiration=1,IF($A466&lt;VLOOKUP(N$5,NFI,5,0),1,0)*Table_NFI[[#This Row],[Kitchen Set]],Table_NFI[Kitchen Set])</f>
        <v>0</v>
      </c>
      <c r="AF466" s="352">
        <f>IF(NFI_Expiration=1,IF($A466&lt;VLOOKUP(O$5,NFI,5,0),1,0)*Table_NFI[[#This Row],[Clothes Kit]],Table_NFI[Clothes Kit])</f>
        <v>0</v>
      </c>
      <c r="AG466" s="352">
        <f>IF(NFI_Expiration=1,IF($A466&lt;VLOOKUP(P$5,NFI,5,0),1,0)*Table_NFI[[#This Row],[Plastic Bucket]],Table_NFI[Plastic Bucket])</f>
        <v>0</v>
      </c>
      <c r="AH466" s="352">
        <f>IF(NFI_Expiration=1,IF($A466&lt;VLOOKUP(Q$5,NFI,5,0),1,0)*Table_NFI[[#This Row],[Plastic Mat]],Table_NFI[Plastic Mat])*IF(Table_NFI[[#This Row],[Distribution Date]]&gt;"2014-04-01",1,2.5)</f>
        <v>0</v>
      </c>
      <c r="AI466" s="352">
        <f>IF(NFI_Expiration=1,IF($A466&lt;VLOOKUP(R$5,NFI,5,0),1,0)*Table_NFI[[#This Row],[Winter Clothes Adult]],Table_NFI[Winter Clothes Adult])</f>
        <v>0</v>
      </c>
      <c r="AJ466" s="352">
        <f>IF(NFI_Expiration=1,IF($A466&lt;VLOOKUP(S$5,NFI,5,0),1,0)*Table_NFI[[#This Row],[Winter Clothes Children]],Table_NFI[Winter Clothes Children])</f>
        <v>0</v>
      </c>
      <c r="AK466" s="352">
        <f>IF(NFI_Expiration=1,IF($A466&lt;VLOOKUP(T$5,NFI,5,0),1,0)*Table_NFI[[#This Row],[Winter Items Other]],Table_NFI[Winter Items Other])</f>
        <v>0</v>
      </c>
      <c r="AL466" s="352">
        <f>IF(NFI_Expiration=1,IF($A466&lt;VLOOKUP(M$5,NFI,5,0),1,0)*Table_NFI[[#This Row],[Winter Blanket]],Table_NFI[[#This Row],[Winter Blanket]])</f>
        <v>0</v>
      </c>
      <c r="AM466" s="352">
        <f>IF(Table_NFI[[#This Row],[Winter Clothes Adult]]+Table_NFI[[#This Row],[Winter Clothes Children]]+Table_NFI[[#This Row],[Winter Items Other]]+Table_NFI[[#This Row],[Winter Blanket]]&gt;0,1,0)</f>
        <v>0</v>
      </c>
      <c r="AN466" s="392">
        <f>IF(NFI_Expiration=1,IF($A466&lt;VLOOKUP(V$5,NFI,5,0),1,0)*Table_NFI[[#This Row],[Jerry Can]],Table_NFI[Jerry Can])</f>
        <v>0</v>
      </c>
      <c r="AO466" s="540" t="str">
        <f>IFERROR(VLOOKUP(Table_NFI[[#This Row],[Camp Name]],CL,2,0),"")</f>
        <v>MMR001CMP128</v>
      </c>
      <c r="AP466" s="535">
        <f ca="1">IF(Table_NFI[[#This Row],[Pcode]]="","",IF(OFFSET(CampList[Opening Date],MATCH(Table_NFI[[#This Row],[Pcode]],CampList[CP_Pcode],0)-1,0,1,1)&gt;=NFI_Monitor_Date,1,0))</f>
        <v>0</v>
      </c>
      <c r="AQ466" s="540" t="str">
        <f>IFERROR(VLOOKUP(Table_NFI[[#This Row],[Camp Name]],CL,3,0),"")</f>
        <v>Open</v>
      </c>
      <c r="AR466" s="352" t="str">
        <f ca="1">IF(Table_NFI[[#This Row],[Pcode]]="","",OFFSET(CampList[Priority],MATCH(Table_NFI[[#This Row],[Pcode]],CampList[CP_Pcode],0)-1,0,1,1))</f>
        <v>P2</v>
      </c>
      <c r="AS466" s="351">
        <f>IFERROR(Table_NFI[[#This Row],[Kitchen Set]]/VLOOKUP(Table_NFI[[#This Row],[Camp Name]],CL,4,0),"")</f>
        <v>0.5431192660550459</v>
      </c>
      <c r="AT466" s="533" t="s">
        <v>1094</v>
      </c>
      <c r="AU466" s="536"/>
    </row>
    <row r="467" spans="1:47" s="537" customFormat="1" hidden="1" x14ac:dyDescent="0.25">
      <c r="A467" s="355">
        <f t="shared" si="7"/>
        <v>1.6666666666666667</v>
      </c>
      <c r="B467" s="532">
        <v>42521</v>
      </c>
      <c r="C467" s="533" t="s">
        <v>907</v>
      </c>
      <c r="D467" s="533" t="s">
        <v>907</v>
      </c>
      <c r="E467" s="533" t="s">
        <v>380</v>
      </c>
      <c r="F467" s="533" t="s">
        <v>151</v>
      </c>
      <c r="G467" s="533" t="s">
        <v>886</v>
      </c>
      <c r="H467" s="352">
        <v>25</v>
      </c>
      <c r="I467" s="352">
        <v>25</v>
      </c>
      <c r="J467" s="349"/>
      <c r="K467" s="349"/>
      <c r="L467" s="350">
        <v>25</v>
      </c>
      <c r="M467" s="350"/>
      <c r="N467" s="350"/>
      <c r="O467" s="350"/>
      <c r="P467" s="352"/>
      <c r="Q467" s="392"/>
      <c r="R467" s="392"/>
      <c r="S467" s="392"/>
      <c r="T467" s="392"/>
      <c r="U467" s="392"/>
      <c r="V467" s="497"/>
      <c r="W467" s="392"/>
      <c r="X467" s="392"/>
      <c r="Y467" s="352">
        <f>IF(NFI_Expiration=1,IF($A467&lt;VLOOKUP(H$5,NFI,5,0),1,0)*Table_NFI[[#This Row],[Hygiene Kit]],Table_NFI[Hygiene Kit])</f>
        <v>25</v>
      </c>
      <c r="Z467" s="352">
        <f>IF(NFI_Expiration=1,IF($A467&lt;VLOOKUP(I$5,NFI,5,0),1,0)*Table_NFI[[#This Row],[NFI Core Kit]],Table_NFI[NFI Core Kit])</f>
        <v>25</v>
      </c>
      <c r="AA467" s="352">
        <f>IF(NFI_Expiration=1,IF($A467&lt;VLOOKUP(J$5,NFI,5,0),1,0)*Table_NFI[[#This Row],[Sanitary Kit]],Table_NFI[Sanitary Kit])</f>
        <v>0</v>
      </c>
      <c r="AB467" s="352">
        <f>IF(NFI_Expiration=1,IF($A467&lt;VLOOKUP(K$5,NFI,5,0),1,0)*Table_NFI[[#This Row],[Mosquito net]],Table_NFI[Mosquito net])</f>
        <v>0</v>
      </c>
      <c r="AC467" s="352">
        <f>IF(NFI_Expiration=1,IF($A467&lt;VLOOKUP(L$5,NFI,5,0),1,0)*Table_NFI[[#This Row],[Tarpaulin]],Table_NFI[[#This Row],[Tarpaulin]])</f>
        <v>25</v>
      </c>
      <c r="AD467" s="352">
        <f>IF(NFI_Expiration=1,IF($A467&lt;VLOOKUP(M$5,NFI,5,0),1,0)*Table_NFI[[#This Row],[Blanket]],Table_NFI[[#This Row],[Blanket]])</f>
        <v>0</v>
      </c>
      <c r="AE467" s="352">
        <f>IF(NFI_Expiration=1,IF($A467&lt;VLOOKUP(N$5,NFI,5,0),1,0)*Table_NFI[[#This Row],[Kitchen Set]],Table_NFI[Kitchen Set])</f>
        <v>0</v>
      </c>
      <c r="AF467" s="352">
        <f>IF(NFI_Expiration=1,IF($A467&lt;VLOOKUP(O$5,NFI,5,0),1,0)*Table_NFI[[#This Row],[Clothes Kit]],Table_NFI[Clothes Kit])</f>
        <v>0</v>
      </c>
      <c r="AG467" s="352">
        <f>IF(NFI_Expiration=1,IF($A467&lt;VLOOKUP(P$5,NFI,5,0),1,0)*Table_NFI[[#This Row],[Plastic Bucket]],Table_NFI[Plastic Bucket])</f>
        <v>0</v>
      </c>
      <c r="AH467" s="352">
        <f>IF(NFI_Expiration=1,IF($A467&lt;VLOOKUP(Q$5,NFI,5,0),1,0)*Table_NFI[[#This Row],[Plastic Mat]],Table_NFI[Plastic Mat])*IF(Table_NFI[[#This Row],[Distribution Date]]&gt;"2014-04-01",1,2.5)</f>
        <v>0</v>
      </c>
      <c r="AI467" s="352">
        <f>IF(NFI_Expiration=1,IF($A467&lt;VLOOKUP(R$5,NFI,5,0),1,0)*Table_NFI[[#This Row],[Winter Clothes Adult]],Table_NFI[Winter Clothes Adult])</f>
        <v>0</v>
      </c>
      <c r="AJ467" s="352">
        <f>IF(NFI_Expiration=1,IF($A467&lt;VLOOKUP(S$5,NFI,5,0),1,0)*Table_NFI[[#This Row],[Winter Clothes Children]],Table_NFI[Winter Clothes Children])</f>
        <v>0</v>
      </c>
      <c r="AK467" s="352">
        <f>IF(NFI_Expiration=1,IF($A467&lt;VLOOKUP(T$5,NFI,5,0),1,0)*Table_NFI[[#This Row],[Winter Items Other]],Table_NFI[Winter Items Other])</f>
        <v>0</v>
      </c>
      <c r="AL467" s="352">
        <f>IF(NFI_Expiration=1,IF($A467&lt;VLOOKUP(M$5,NFI,5,0),1,0)*Table_NFI[[#This Row],[Winter Blanket]],Table_NFI[[#This Row],[Winter Blanket]])</f>
        <v>0</v>
      </c>
      <c r="AM467" s="352">
        <f>IF(Table_NFI[[#This Row],[Winter Clothes Adult]]+Table_NFI[[#This Row],[Winter Clothes Children]]+Table_NFI[[#This Row],[Winter Items Other]]+Table_NFI[[#This Row],[Winter Blanket]]&gt;0,1,0)</f>
        <v>0</v>
      </c>
      <c r="AN467" s="392">
        <f>IF(NFI_Expiration=1,IF($A467&lt;VLOOKUP(V$5,NFI,5,0),1,0)*Table_NFI[[#This Row],[Jerry Can]],Table_NFI[Jerry Can])</f>
        <v>0</v>
      </c>
      <c r="AO467" s="540" t="str">
        <f>IFERROR(VLOOKUP(Table_NFI[[#This Row],[Camp Name]],CL,2,0),"")</f>
        <v>MMR001CMP218</v>
      </c>
      <c r="AP467" s="535">
        <f ca="1">IF(Table_NFI[[#This Row],[Pcode]]="","",IF(OFFSET(CampList[Opening Date],MATCH(Table_NFI[[#This Row],[Pcode]],CampList[CP_Pcode],0)-1,0,1,1)&gt;=NFI_Monitor_Date,1,0))</f>
        <v>0</v>
      </c>
      <c r="AQ467" s="540" t="str">
        <f>IFERROR(VLOOKUP(Table_NFI[[#This Row],[Camp Name]],CL,3,0),"")</f>
        <v>Open</v>
      </c>
      <c r="AR467" s="352" t="str">
        <f ca="1">IF(Table_NFI[[#This Row],[Pcode]]="","",OFFSET(CampList[Priority],MATCH(Table_NFI[[#This Row],[Pcode]],CampList[CP_Pcode],0)-1,0,1,1))</f>
        <v>P4</v>
      </c>
      <c r="AS467" s="351">
        <f>IFERROR(Table_NFI[[#This Row],[Kitchen Set]]/VLOOKUP(Table_NFI[[#This Row],[Camp Name]],CL,4,0),"")</f>
        <v>0</v>
      </c>
      <c r="AT467" s="533"/>
      <c r="AU467" s="536"/>
    </row>
    <row r="468" spans="1:47" s="537" customFormat="1" ht="14.45" customHeight="1" x14ac:dyDescent="0.25">
      <c r="A468" s="355">
        <f t="shared" si="7"/>
        <v>33</v>
      </c>
      <c r="B468" s="532">
        <v>41581</v>
      </c>
      <c r="C468" s="533" t="s">
        <v>453</v>
      </c>
      <c r="D468" s="533" t="s">
        <v>574</v>
      </c>
      <c r="E468" s="533" t="s">
        <v>380</v>
      </c>
      <c r="F468" s="348" t="s">
        <v>185</v>
      </c>
      <c r="G468" s="348" t="s">
        <v>190</v>
      </c>
      <c r="H468" s="349"/>
      <c r="I468" s="349"/>
      <c r="J468" s="349">
        <v>24</v>
      </c>
      <c r="K468" s="349">
        <v>24</v>
      </c>
      <c r="L468" s="350">
        <v>12</v>
      </c>
      <c r="M468" s="350">
        <v>12</v>
      </c>
      <c r="N468" s="350">
        <v>12</v>
      </c>
      <c r="O468" s="350">
        <v>12</v>
      </c>
      <c r="P468" s="352"/>
      <c r="Q468" s="352"/>
      <c r="R468" s="352"/>
      <c r="S468" s="352"/>
      <c r="T468" s="352"/>
      <c r="U468" s="352"/>
      <c r="V468" s="497"/>
      <c r="W468" s="352"/>
      <c r="X468" s="352"/>
      <c r="Y468" s="352">
        <f>IF(NFI_Expiration=1,IF($A468&lt;VLOOKUP(H$5,NFI,5,0),1,0)*Table_NFI[[#This Row],[Hygiene Kit]],Table_NFI[Hygiene Kit])</f>
        <v>0</v>
      </c>
      <c r="Z468" s="352">
        <f>IF(NFI_Expiration=1,IF($A468&lt;VLOOKUP(I$5,NFI,5,0),1,0)*Table_NFI[[#This Row],[NFI Core Kit]],Table_NFI[NFI Core Kit])</f>
        <v>0</v>
      </c>
      <c r="AA468" s="352">
        <f>IF(NFI_Expiration=1,IF($A468&lt;VLOOKUP(J$5,NFI,5,0),1,0)*Table_NFI[[#This Row],[Sanitary Kit]],Table_NFI[Sanitary Kit])</f>
        <v>0</v>
      </c>
      <c r="AB468" s="352">
        <f>IF(NFI_Expiration=1,IF($A468&lt;VLOOKUP(K$5,NFI,5,0),1,0)*Table_NFI[[#This Row],[Mosquito net]],Table_NFI[Mosquito net])</f>
        <v>0</v>
      </c>
      <c r="AC468" s="352">
        <f>IF(NFI_Expiration=1,IF($A468&lt;VLOOKUP(L$5,NFI,5,0),1,0)*Table_NFI[[#This Row],[Tarpaulin]],Table_NFI[[#This Row],[Tarpaulin]])</f>
        <v>0</v>
      </c>
      <c r="AD468" s="352">
        <f>IF(NFI_Expiration=1,IF($A468&lt;VLOOKUP(M$5,NFI,5,0),1,0)*Table_NFI[[#This Row],[Blanket]],Table_NFI[[#This Row],[Blanket]])</f>
        <v>0</v>
      </c>
      <c r="AE468" s="352">
        <f>IF(NFI_Expiration=1,IF($A468&lt;VLOOKUP(N$5,NFI,5,0),1,0)*Table_NFI[[#This Row],[Kitchen Set]],Table_NFI[Kitchen Set])</f>
        <v>0</v>
      </c>
      <c r="AF468" s="352">
        <f>IF(NFI_Expiration=1,IF($A468&lt;VLOOKUP(O$5,NFI,5,0),1,0)*Table_NFI[[#This Row],[Clothes Kit]],Table_NFI[Clothes Kit])</f>
        <v>0</v>
      </c>
      <c r="AG468" s="352">
        <f>IF(NFI_Expiration=1,IF($A468&lt;VLOOKUP(P$5,NFI,5,0),1,0)*Table_NFI[[#This Row],[Plastic Bucket]],Table_NFI[Plastic Bucket])</f>
        <v>0</v>
      </c>
      <c r="AH468" s="352">
        <f>IF(NFI_Expiration=1,IF($A468&lt;VLOOKUP(Q$5,NFI,5,0),1,0)*Table_NFI[[#This Row],[Plastic Mat]],Table_NFI[Plastic Mat])*IF(Table_NFI[[#This Row],[Distribution Date]]&gt;"2014-04-01",1,2.5)</f>
        <v>0</v>
      </c>
      <c r="AI468" s="352">
        <f>IF(NFI_Expiration=1,IF($A468&lt;VLOOKUP(R$5,NFI,5,0),1,0)*Table_NFI[[#This Row],[Winter Clothes Adult]],Table_NFI[Winter Clothes Adult])</f>
        <v>0</v>
      </c>
      <c r="AJ468" s="352">
        <f>IF(NFI_Expiration=1,IF($A468&lt;VLOOKUP(S$5,NFI,5,0),1,0)*Table_NFI[[#This Row],[Winter Clothes Children]],Table_NFI[Winter Clothes Children])</f>
        <v>0</v>
      </c>
      <c r="AK468" s="352">
        <f>IF(NFI_Expiration=1,IF($A468&lt;VLOOKUP(T$5,NFI,5,0),1,0)*Table_NFI[[#This Row],[Winter Items Other]],Table_NFI[Winter Items Other])</f>
        <v>0</v>
      </c>
      <c r="AL468" s="352">
        <f>IF(NFI_Expiration=1,IF($A468&lt;VLOOKUP(M$5,NFI,5,0),1,0)*Table_NFI[[#This Row],[Winter Blanket]],Table_NFI[[#This Row],[Winter Blanket]])</f>
        <v>0</v>
      </c>
      <c r="AM468" s="352">
        <f>IF(Table_NFI[[#This Row],[Winter Clothes Adult]]+Table_NFI[[#This Row],[Winter Clothes Children]]+Table_NFI[[#This Row],[Winter Items Other]]+Table_NFI[[#This Row],[Winter Blanket]]&gt;0,1,0)</f>
        <v>0</v>
      </c>
      <c r="AN468" s="392">
        <f>IF(NFI_Expiration=1,IF($A468&lt;VLOOKUP(V$5,NFI,5,0),1,0)*Table_NFI[[#This Row],[Jerry Can]],Table_NFI[Jerry Can])</f>
        <v>0</v>
      </c>
      <c r="AO468" s="540" t="str">
        <f>IFERROR(VLOOKUP(Table_NFI[[#This Row],[Camp Name]],CL,2,0),"")</f>
        <v>MMR001CMP070</v>
      </c>
      <c r="AP468" s="535">
        <f ca="1">IF(Table_NFI[[#This Row],[Pcode]]="","",IF(OFFSET(CampList[Opening Date],MATCH(Table_NFI[[#This Row],[Pcode]],CampList[CP_Pcode],0)-1,0,1,1)&gt;=NFI_Monitor_Date,1,0))</f>
        <v>0</v>
      </c>
      <c r="AQ468" s="540" t="str">
        <f>IFERROR(VLOOKUP(Table_NFI[[#This Row],[Camp Name]],CL,3,0),"")</f>
        <v>Open</v>
      </c>
      <c r="AR468" s="352" t="str">
        <f ca="1">IF(Table_NFI[[#This Row],[Pcode]]="","",OFFSET(CampList[Priority],MATCH(Table_NFI[[#This Row],[Pcode]],CampList[CP_Pcode],0)-1,0,1,1))</f>
        <v>P3</v>
      </c>
      <c r="AS468" s="351">
        <f>IFERROR(Table_NFI[[#This Row],[Kitchen Set]]/VLOOKUP(Table_NFI[[#This Row],[Camp Name]],CL,4,0),"")</f>
        <v>6.3157894736842107E-2</v>
      </c>
      <c r="AT468" s="533" t="s">
        <v>1094</v>
      </c>
      <c r="AU468" s="536"/>
    </row>
    <row r="469" spans="1:47" s="537" customFormat="1" ht="14.45" customHeight="1" x14ac:dyDescent="0.25">
      <c r="A469" s="355">
        <f t="shared" si="7"/>
        <v>33.06666666666667</v>
      </c>
      <c r="B469" s="532">
        <v>41579</v>
      </c>
      <c r="C469" s="533" t="s">
        <v>453</v>
      </c>
      <c r="D469" s="533" t="s">
        <v>453</v>
      </c>
      <c r="E469" s="533" t="s">
        <v>380</v>
      </c>
      <c r="F469" s="348" t="s">
        <v>5</v>
      </c>
      <c r="G469" s="348" t="s">
        <v>513</v>
      </c>
      <c r="H469" s="349"/>
      <c r="I469" s="349"/>
      <c r="J469" s="349">
        <v>8</v>
      </c>
      <c r="K469" s="349">
        <v>6</v>
      </c>
      <c r="L469" s="350">
        <v>4</v>
      </c>
      <c r="M469" s="350">
        <v>6</v>
      </c>
      <c r="N469" s="350">
        <v>4</v>
      </c>
      <c r="O469" s="350">
        <v>4</v>
      </c>
      <c r="P469" s="352"/>
      <c r="Q469" s="352"/>
      <c r="R469" s="352"/>
      <c r="S469" s="352"/>
      <c r="T469" s="352"/>
      <c r="U469" s="352"/>
      <c r="V469" s="497"/>
      <c r="W469" s="352"/>
      <c r="X469" s="352"/>
      <c r="Y469" s="352">
        <f>IF(NFI_Expiration=1,IF($A469&lt;VLOOKUP(H$5,NFI,5,0),1,0)*Table_NFI[[#This Row],[Hygiene Kit]],Table_NFI[Hygiene Kit])</f>
        <v>0</v>
      </c>
      <c r="Z469" s="352">
        <f>IF(NFI_Expiration=1,IF($A469&lt;VLOOKUP(I$5,NFI,5,0),1,0)*Table_NFI[[#This Row],[NFI Core Kit]],Table_NFI[NFI Core Kit])</f>
        <v>0</v>
      </c>
      <c r="AA469" s="352">
        <f>IF(NFI_Expiration=1,IF($A469&lt;VLOOKUP(J$5,NFI,5,0),1,0)*Table_NFI[[#This Row],[Sanitary Kit]],Table_NFI[Sanitary Kit])</f>
        <v>0</v>
      </c>
      <c r="AB469" s="352">
        <f>IF(NFI_Expiration=1,IF($A469&lt;VLOOKUP(K$5,NFI,5,0),1,0)*Table_NFI[[#This Row],[Mosquito net]],Table_NFI[Mosquito net])</f>
        <v>0</v>
      </c>
      <c r="AC469" s="352">
        <f>IF(NFI_Expiration=1,IF($A469&lt;VLOOKUP(L$5,NFI,5,0),1,0)*Table_NFI[[#This Row],[Tarpaulin]],Table_NFI[[#This Row],[Tarpaulin]])</f>
        <v>0</v>
      </c>
      <c r="AD469" s="352">
        <f>IF(NFI_Expiration=1,IF($A469&lt;VLOOKUP(M$5,NFI,5,0),1,0)*Table_NFI[[#This Row],[Blanket]],Table_NFI[[#This Row],[Blanket]])</f>
        <v>0</v>
      </c>
      <c r="AE469" s="352">
        <f>IF(NFI_Expiration=1,IF($A469&lt;VLOOKUP(N$5,NFI,5,0),1,0)*Table_NFI[[#This Row],[Kitchen Set]],Table_NFI[Kitchen Set])</f>
        <v>0</v>
      </c>
      <c r="AF469" s="352">
        <f>IF(NFI_Expiration=1,IF($A469&lt;VLOOKUP(O$5,NFI,5,0),1,0)*Table_NFI[[#This Row],[Clothes Kit]],Table_NFI[Clothes Kit])</f>
        <v>0</v>
      </c>
      <c r="AG469" s="352">
        <f>IF(NFI_Expiration=1,IF($A469&lt;VLOOKUP(P$5,NFI,5,0),1,0)*Table_NFI[[#This Row],[Plastic Bucket]],Table_NFI[Plastic Bucket])</f>
        <v>0</v>
      </c>
      <c r="AH469" s="352">
        <f>IF(NFI_Expiration=1,IF($A469&lt;VLOOKUP(Q$5,NFI,5,0),1,0)*Table_NFI[[#This Row],[Plastic Mat]],Table_NFI[Plastic Mat])*IF(Table_NFI[[#This Row],[Distribution Date]]&gt;"2014-04-01",1,2.5)</f>
        <v>0</v>
      </c>
      <c r="AI469" s="352">
        <f>IF(NFI_Expiration=1,IF($A469&lt;VLOOKUP(R$5,NFI,5,0),1,0)*Table_NFI[[#This Row],[Winter Clothes Adult]],Table_NFI[Winter Clothes Adult])</f>
        <v>0</v>
      </c>
      <c r="AJ469" s="352">
        <f>IF(NFI_Expiration=1,IF($A469&lt;VLOOKUP(S$5,NFI,5,0),1,0)*Table_NFI[[#This Row],[Winter Clothes Children]],Table_NFI[Winter Clothes Children])</f>
        <v>0</v>
      </c>
      <c r="AK469" s="352">
        <f>IF(NFI_Expiration=1,IF($A469&lt;VLOOKUP(T$5,NFI,5,0),1,0)*Table_NFI[[#This Row],[Winter Items Other]],Table_NFI[Winter Items Other])</f>
        <v>0</v>
      </c>
      <c r="AL469" s="352">
        <f>IF(NFI_Expiration=1,IF($A469&lt;VLOOKUP(M$5,NFI,5,0),1,0)*Table_NFI[[#This Row],[Winter Blanket]],Table_NFI[[#This Row],[Winter Blanket]])</f>
        <v>0</v>
      </c>
      <c r="AM469" s="352">
        <f>IF(Table_NFI[[#This Row],[Winter Clothes Adult]]+Table_NFI[[#This Row],[Winter Clothes Children]]+Table_NFI[[#This Row],[Winter Items Other]]+Table_NFI[[#This Row],[Winter Blanket]]&gt;0,1,0)</f>
        <v>0</v>
      </c>
      <c r="AN469" s="392">
        <f>IF(NFI_Expiration=1,IF($A469&lt;VLOOKUP(V$5,NFI,5,0),1,0)*Table_NFI[[#This Row],[Jerry Can]],Table_NFI[Jerry Can])</f>
        <v>0</v>
      </c>
      <c r="AO469" s="540" t="str">
        <f>IFERROR(VLOOKUP(Table_NFI[[#This Row],[Camp Name]],CL,2,0),"")</f>
        <v>MMR001CMP194</v>
      </c>
      <c r="AP469" s="535">
        <f ca="1">IF(Table_NFI[[#This Row],[Pcode]]="","",IF(OFFSET(CampList[Opening Date],MATCH(Table_NFI[[#This Row],[Pcode]],CampList[CP_Pcode],0)-1,0,1,1)&gt;=NFI_Monitor_Date,1,0))</f>
        <v>0</v>
      </c>
      <c r="AQ469" s="540" t="str">
        <f>IFERROR(VLOOKUP(Table_NFI[[#This Row],[Camp Name]],CL,3,0),"")</f>
        <v>Open</v>
      </c>
      <c r="AR469" s="352" t="str">
        <f ca="1">IF(Table_NFI[[#This Row],[Pcode]]="","",OFFSET(CampList[Priority],MATCH(Table_NFI[[#This Row],[Pcode]],CampList[CP_Pcode],0)-1,0,1,1))</f>
        <v>P4</v>
      </c>
      <c r="AS469" s="351">
        <f>IFERROR(Table_NFI[[#This Row],[Kitchen Set]]/VLOOKUP(Table_NFI[[#This Row],[Camp Name]],CL,4,0),"")</f>
        <v>0.33333333333333331</v>
      </c>
      <c r="AT469" s="533" t="s">
        <v>1094</v>
      </c>
      <c r="AU469" s="536"/>
    </row>
    <row r="470" spans="1:47" s="537" customFormat="1" ht="14.45" customHeight="1" x14ac:dyDescent="0.25">
      <c r="A470" s="355">
        <f t="shared" si="7"/>
        <v>33.06666666666667</v>
      </c>
      <c r="B470" s="532">
        <v>41579</v>
      </c>
      <c r="C470" s="533" t="s">
        <v>453</v>
      </c>
      <c r="D470" s="533" t="s">
        <v>453</v>
      </c>
      <c r="E470" s="533" t="s">
        <v>380</v>
      </c>
      <c r="F470" s="348" t="s">
        <v>5</v>
      </c>
      <c r="G470" s="348" t="s">
        <v>14</v>
      </c>
      <c r="H470" s="349"/>
      <c r="I470" s="349"/>
      <c r="J470" s="349">
        <v>12</v>
      </c>
      <c r="K470" s="349">
        <v>9</v>
      </c>
      <c r="L470" s="350">
        <v>6</v>
      </c>
      <c r="M470" s="350">
        <v>9</v>
      </c>
      <c r="N470" s="350">
        <v>6</v>
      </c>
      <c r="O470" s="350">
        <v>6</v>
      </c>
      <c r="P470" s="352">
        <v>6</v>
      </c>
      <c r="Q470" s="352"/>
      <c r="R470" s="352"/>
      <c r="S470" s="352"/>
      <c r="T470" s="352"/>
      <c r="U470" s="352"/>
      <c r="V470" s="497"/>
      <c r="W470" s="352"/>
      <c r="X470" s="352"/>
      <c r="Y470" s="352">
        <f>IF(NFI_Expiration=1,IF($A470&lt;VLOOKUP(H$5,NFI,5,0),1,0)*Table_NFI[[#This Row],[Hygiene Kit]],Table_NFI[Hygiene Kit])</f>
        <v>0</v>
      </c>
      <c r="Z470" s="352">
        <f>IF(NFI_Expiration=1,IF($A470&lt;VLOOKUP(I$5,NFI,5,0),1,0)*Table_NFI[[#This Row],[NFI Core Kit]],Table_NFI[NFI Core Kit])</f>
        <v>0</v>
      </c>
      <c r="AA470" s="352">
        <f>IF(NFI_Expiration=1,IF($A470&lt;VLOOKUP(J$5,NFI,5,0),1,0)*Table_NFI[[#This Row],[Sanitary Kit]],Table_NFI[Sanitary Kit])</f>
        <v>0</v>
      </c>
      <c r="AB470" s="352">
        <f>IF(NFI_Expiration=1,IF($A470&lt;VLOOKUP(K$5,NFI,5,0),1,0)*Table_NFI[[#This Row],[Mosquito net]],Table_NFI[Mosquito net])</f>
        <v>0</v>
      </c>
      <c r="AC470" s="352">
        <f>IF(NFI_Expiration=1,IF($A470&lt;VLOOKUP(L$5,NFI,5,0),1,0)*Table_NFI[[#This Row],[Tarpaulin]],Table_NFI[[#This Row],[Tarpaulin]])</f>
        <v>0</v>
      </c>
      <c r="AD470" s="352">
        <f>IF(NFI_Expiration=1,IF($A470&lt;VLOOKUP(M$5,NFI,5,0),1,0)*Table_NFI[[#This Row],[Blanket]],Table_NFI[[#This Row],[Blanket]])</f>
        <v>0</v>
      </c>
      <c r="AE470" s="352">
        <f>IF(NFI_Expiration=1,IF($A470&lt;VLOOKUP(N$5,NFI,5,0),1,0)*Table_NFI[[#This Row],[Kitchen Set]],Table_NFI[Kitchen Set])</f>
        <v>0</v>
      </c>
      <c r="AF470" s="352">
        <f>IF(NFI_Expiration=1,IF($A470&lt;VLOOKUP(O$5,NFI,5,0),1,0)*Table_NFI[[#This Row],[Clothes Kit]],Table_NFI[Clothes Kit])</f>
        <v>0</v>
      </c>
      <c r="AG470" s="352">
        <f>IF(NFI_Expiration=1,IF($A470&lt;VLOOKUP(P$5,NFI,5,0),1,0)*Table_NFI[[#This Row],[Plastic Bucket]],Table_NFI[Plastic Bucket])</f>
        <v>0</v>
      </c>
      <c r="AH470" s="352">
        <f>IF(NFI_Expiration=1,IF($A470&lt;VLOOKUP(Q$5,NFI,5,0),1,0)*Table_NFI[[#This Row],[Plastic Mat]],Table_NFI[Plastic Mat])*IF(Table_NFI[[#This Row],[Distribution Date]]&gt;"2014-04-01",1,2.5)</f>
        <v>0</v>
      </c>
      <c r="AI470" s="352">
        <f>IF(NFI_Expiration=1,IF($A470&lt;VLOOKUP(R$5,NFI,5,0),1,0)*Table_NFI[[#This Row],[Winter Clothes Adult]],Table_NFI[Winter Clothes Adult])</f>
        <v>0</v>
      </c>
      <c r="AJ470" s="352">
        <f>IF(NFI_Expiration=1,IF($A470&lt;VLOOKUP(S$5,NFI,5,0),1,0)*Table_NFI[[#This Row],[Winter Clothes Children]],Table_NFI[Winter Clothes Children])</f>
        <v>0</v>
      </c>
      <c r="AK470" s="352">
        <f>IF(NFI_Expiration=1,IF($A470&lt;VLOOKUP(T$5,NFI,5,0),1,0)*Table_NFI[[#This Row],[Winter Items Other]],Table_NFI[Winter Items Other])</f>
        <v>0</v>
      </c>
      <c r="AL470" s="352">
        <f>IF(NFI_Expiration=1,IF($A470&lt;VLOOKUP(M$5,NFI,5,0),1,0)*Table_NFI[[#This Row],[Winter Blanket]],Table_NFI[[#This Row],[Winter Blanket]])</f>
        <v>0</v>
      </c>
      <c r="AM470" s="352">
        <f>IF(Table_NFI[[#This Row],[Winter Clothes Adult]]+Table_NFI[[#This Row],[Winter Clothes Children]]+Table_NFI[[#This Row],[Winter Items Other]]+Table_NFI[[#This Row],[Winter Blanket]]&gt;0,1,0)</f>
        <v>0</v>
      </c>
      <c r="AN470" s="392">
        <f>IF(NFI_Expiration=1,IF($A470&lt;VLOOKUP(V$5,NFI,5,0),1,0)*Table_NFI[[#This Row],[Jerry Can]],Table_NFI[Jerry Can])</f>
        <v>0</v>
      </c>
      <c r="AO470" s="540" t="str">
        <f>IFERROR(VLOOKUP(Table_NFI[[#This Row],[Camp Name]],CL,2,0),"")</f>
        <v>MMR001CMP052</v>
      </c>
      <c r="AP470" s="535">
        <f ca="1">IF(Table_NFI[[#This Row],[Pcode]]="","",IF(OFFSET(CampList[Opening Date],MATCH(Table_NFI[[#This Row],[Pcode]],CampList[CP_Pcode],0)-1,0,1,1)&gt;=NFI_Monitor_Date,1,0))</f>
        <v>0</v>
      </c>
      <c r="AQ470" s="540" t="str">
        <f>IFERROR(VLOOKUP(Table_NFI[[#This Row],[Camp Name]],CL,3,0),"")</f>
        <v>Open</v>
      </c>
      <c r="AR470" s="352" t="str">
        <f ca="1">IF(Table_NFI[[#This Row],[Pcode]]="","",OFFSET(CampList[Priority],MATCH(Table_NFI[[#This Row],[Pcode]],CampList[CP_Pcode],0)-1,0,1,1))</f>
        <v>P4</v>
      </c>
      <c r="AS470" s="351">
        <f>IFERROR(Table_NFI[[#This Row],[Kitchen Set]]/VLOOKUP(Table_NFI[[#This Row],[Camp Name]],CL,4,0),"")</f>
        <v>0.15384615384615385</v>
      </c>
      <c r="AT470" s="533" t="s">
        <v>1094</v>
      </c>
      <c r="AU470" s="536"/>
    </row>
    <row r="471" spans="1:47" s="537" customFormat="1" ht="14.45" customHeight="1" x14ac:dyDescent="0.25">
      <c r="A471" s="355">
        <f t="shared" si="7"/>
        <v>33.06666666666667</v>
      </c>
      <c r="B471" s="532">
        <v>41579</v>
      </c>
      <c r="C471" s="533" t="s">
        <v>453</v>
      </c>
      <c r="D471" s="533" t="s">
        <v>453</v>
      </c>
      <c r="E471" s="533" t="s">
        <v>380</v>
      </c>
      <c r="F471" s="348" t="s">
        <v>5</v>
      </c>
      <c r="G471" s="348" t="s">
        <v>22</v>
      </c>
      <c r="H471" s="349"/>
      <c r="I471" s="349"/>
      <c r="J471" s="349">
        <v>40</v>
      </c>
      <c r="K471" s="349">
        <v>48</v>
      </c>
      <c r="L471" s="350">
        <v>20</v>
      </c>
      <c r="M471" s="350">
        <v>48</v>
      </c>
      <c r="N471" s="350">
        <v>20</v>
      </c>
      <c r="O471" s="350">
        <v>20</v>
      </c>
      <c r="P471" s="352">
        <v>500</v>
      </c>
      <c r="Q471" s="352">
        <v>500</v>
      </c>
      <c r="R471" s="352"/>
      <c r="S471" s="352"/>
      <c r="T471" s="352"/>
      <c r="U471" s="352"/>
      <c r="V471" s="497"/>
      <c r="W471" s="352"/>
      <c r="X471" s="352"/>
      <c r="Y471" s="352">
        <f>IF(NFI_Expiration=1,IF($A471&lt;VLOOKUP(H$5,NFI,5,0),1,0)*Table_NFI[[#This Row],[Hygiene Kit]],Table_NFI[Hygiene Kit])</f>
        <v>0</v>
      </c>
      <c r="Z471" s="352">
        <f>IF(NFI_Expiration=1,IF($A471&lt;VLOOKUP(I$5,NFI,5,0),1,0)*Table_NFI[[#This Row],[NFI Core Kit]],Table_NFI[NFI Core Kit])</f>
        <v>0</v>
      </c>
      <c r="AA471" s="352">
        <f>IF(NFI_Expiration=1,IF($A471&lt;VLOOKUP(J$5,NFI,5,0),1,0)*Table_NFI[[#This Row],[Sanitary Kit]],Table_NFI[Sanitary Kit])</f>
        <v>0</v>
      </c>
      <c r="AB471" s="352">
        <f>IF(NFI_Expiration=1,IF($A471&lt;VLOOKUP(K$5,NFI,5,0),1,0)*Table_NFI[[#This Row],[Mosquito net]],Table_NFI[Mosquito net])</f>
        <v>0</v>
      </c>
      <c r="AC471" s="352">
        <f>IF(NFI_Expiration=1,IF($A471&lt;VLOOKUP(L$5,NFI,5,0),1,0)*Table_NFI[[#This Row],[Tarpaulin]],Table_NFI[[#This Row],[Tarpaulin]])</f>
        <v>0</v>
      </c>
      <c r="AD471" s="352">
        <f>IF(NFI_Expiration=1,IF($A471&lt;VLOOKUP(M$5,NFI,5,0),1,0)*Table_NFI[[#This Row],[Blanket]],Table_NFI[[#This Row],[Blanket]])</f>
        <v>0</v>
      </c>
      <c r="AE471" s="352">
        <f>IF(NFI_Expiration=1,IF($A471&lt;VLOOKUP(N$5,NFI,5,0),1,0)*Table_NFI[[#This Row],[Kitchen Set]],Table_NFI[Kitchen Set])</f>
        <v>0</v>
      </c>
      <c r="AF471" s="352">
        <f>IF(NFI_Expiration=1,IF($A471&lt;VLOOKUP(O$5,NFI,5,0),1,0)*Table_NFI[[#This Row],[Clothes Kit]],Table_NFI[Clothes Kit])</f>
        <v>0</v>
      </c>
      <c r="AG471" s="352">
        <f>IF(NFI_Expiration=1,IF($A471&lt;VLOOKUP(P$5,NFI,5,0),1,0)*Table_NFI[[#This Row],[Plastic Bucket]],Table_NFI[Plastic Bucket])</f>
        <v>0</v>
      </c>
      <c r="AH471" s="352">
        <f>IF(NFI_Expiration=1,IF($A471&lt;VLOOKUP(Q$5,NFI,5,0),1,0)*Table_NFI[[#This Row],[Plastic Mat]],Table_NFI[Plastic Mat])*IF(Table_NFI[[#This Row],[Distribution Date]]&gt;"2014-04-01",1,2.5)</f>
        <v>0</v>
      </c>
      <c r="AI471" s="352">
        <f>IF(NFI_Expiration=1,IF($A471&lt;VLOOKUP(R$5,NFI,5,0),1,0)*Table_NFI[[#This Row],[Winter Clothes Adult]],Table_NFI[Winter Clothes Adult])</f>
        <v>0</v>
      </c>
      <c r="AJ471" s="352">
        <f>IF(NFI_Expiration=1,IF($A471&lt;VLOOKUP(S$5,NFI,5,0),1,0)*Table_NFI[[#This Row],[Winter Clothes Children]],Table_NFI[Winter Clothes Children])</f>
        <v>0</v>
      </c>
      <c r="AK471" s="352">
        <f>IF(NFI_Expiration=1,IF($A471&lt;VLOOKUP(T$5,NFI,5,0),1,0)*Table_NFI[[#This Row],[Winter Items Other]],Table_NFI[Winter Items Other])</f>
        <v>0</v>
      </c>
      <c r="AL471" s="352">
        <f>IF(NFI_Expiration=1,IF($A471&lt;VLOOKUP(M$5,NFI,5,0),1,0)*Table_NFI[[#This Row],[Winter Blanket]],Table_NFI[[#This Row],[Winter Blanket]])</f>
        <v>0</v>
      </c>
      <c r="AM471" s="352">
        <f>IF(Table_NFI[[#This Row],[Winter Clothes Adult]]+Table_NFI[[#This Row],[Winter Clothes Children]]+Table_NFI[[#This Row],[Winter Items Other]]+Table_NFI[[#This Row],[Winter Blanket]]&gt;0,1,0)</f>
        <v>0</v>
      </c>
      <c r="AN471" s="392">
        <f>IF(NFI_Expiration=1,IF($A471&lt;VLOOKUP(V$5,NFI,5,0),1,0)*Table_NFI[[#This Row],[Jerry Can]],Table_NFI[Jerry Can])</f>
        <v>0</v>
      </c>
      <c r="AO471" s="540" t="str">
        <f>IFERROR(VLOOKUP(Table_NFI[[#This Row],[Camp Name]],CL,2,0),"")</f>
        <v>MMR001CMP047</v>
      </c>
      <c r="AP471" s="535">
        <f ca="1">IF(Table_NFI[[#This Row],[Pcode]]="","",IF(OFFSET(CampList[Opening Date],MATCH(Table_NFI[[#This Row],[Pcode]],CampList[CP_Pcode],0)-1,0,1,1)&gt;=NFI_Monitor_Date,1,0))</f>
        <v>0</v>
      </c>
      <c r="AQ471" s="540" t="str">
        <f>IFERROR(VLOOKUP(Table_NFI[[#This Row],[Camp Name]],CL,3,0),"")</f>
        <v>Open</v>
      </c>
      <c r="AR471" s="352" t="str">
        <f ca="1">IF(Table_NFI[[#This Row],[Pcode]]="","",OFFSET(CampList[Priority],MATCH(Table_NFI[[#This Row],[Pcode]],CampList[CP_Pcode],0)-1,0,1,1))</f>
        <v>P4</v>
      </c>
      <c r="AS471" s="351">
        <f>IFERROR(Table_NFI[[#This Row],[Kitchen Set]]/VLOOKUP(Table_NFI[[#This Row],[Camp Name]],CL,4,0),"")</f>
        <v>3.1796502384737677E-2</v>
      </c>
      <c r="AT471" s="533" t="s">
        <v>1094</v>
      </c>
      <c r="AU471" s="536"/>
    </row>
    <row r="472" spans="1:47" s="537" customFormat="1" ht="14.45" hidden="1" customHeight="1" x14ac:dyDescent="0.25">
      <c r="A472" s="355">
        <f t="shared" si="7"/>
        <v>27.833333333333332</v>
      </c>
      <c r="B472" s="532">
        <v>41736</v>
      </c>
      <c r="C472" s="533" t="s">
        <v>1106</v>
      </c>
      <c r="D472" s="533" t="s">
        <v>902</v>
      </c>
      <c r="E472" s="533" t="s">
        <v>380</v>
      </c>
      <c r="F472" s="533" t="s">
        <v>151</v>
      </c>
      <c r="G472" s="533" t="s">
        <v>886</v>
      </c>
      <c r="H472" s="349"/>
      <c r="I472" s="349"/>
      <c r="J472" s="349"/>
      <c r="K472" s="349"/>
      <c r="L472" s="350"/>
      <c r="M472" s="350"/>
      <c r="N472" s="350"/>
      <c r="O472" s="350"/>
      <c r="P472" s="352"/>
      <c r="Q472" s="352"/>
      <c r="R472" s="352"/>
      <c r="S472" s="352"/>
      <c r="T472" s="352"/>
      <c r="U472" s="352">
        <v>478</v>
      </c>
      <c r="V472" s="497"/>
      <c r="W472" s="352"/>
      <c r="X472" s="352"/>
      <c r="Y472" s="352">
        <f>IF(NFI_Expiration=1,IF($A472&lt;VLOOKUP(H$5,NFI,5,0),1,0)*Table_NFI[[#This Row],[Hygiene Kit]],Table_NFI[Hygiene Kit])</f>
        <v>0</v>
      </c>
      <c r="Z472" s="352">
        <f>IF(NFI_Expiration=1,IF($A472&lt;VLOOKUP(I$5,NFI,5,0),1,0)*Table_NFI[[#This Row],[NFI Core Kit]],Table_NFI[NFI Core Kit])</f>
        <v>0</v>
      </c>
      <c r="AA472" s="352">
        <f>IF(NFI_Expiration=1,IF($A472&lt;VLOOKUP(J$5,NFI,5,0),1,0)*Table_NFI[[#This Row],[Sanitary Kit]],Table_NFI[Sanitary Kit])</f>
        <v>0</v>
      </c>
      <c r="AB472" s="352">
        <f>IF(NFI_Expiration=1,IF($A472&lt;VLOOKUP(K$5,NFI,5,0),1,0)*Table_NFI[[#This Row],[Mosquito net]],Table_NFI[Mosquito net])</f>
        <v>0</v>
      </c>
      <c r="AC472" s="352">
        <f>IF(NFI_Expiration=1,IF($A472&lt;VLOOKUP(L$5,NFI,5,0),1,0)*Table_NFI[[#This Row],[Tarpaulin]],Table_NFI[[#This Row],[Tarpaulin]])</f>
        <v>0</v>
      </c>
      <c r="AD472" s="352">
        <f>IF(NFI_Expiration=1,IF($A472&lt;VLOOKUP(M$5,NFI,5,0),1,0)*Table_NFI[[#This Row],[Blanket]],Table_NFI[[#This Row],[Blanket]])</f>
        <v>0</v>
      </c>
      <c r="AE472" s="352">
        <f>IF(NFI_Expiration=1,IF($A472&lt;VLOOKUP(N$5,NFI,5,0),1,0)*Table_NFI[[#This Row],[Kitchen Set]],Table_NFI[Kitchen Set])</f>
        <v>0</v>
      </c>
      <c r="AF472" s="352">
        <f>IF(NFI_Expiration=1,IF($A472&lt;VLOOKUP(O$5,NFI,5,0),1,0)*Table_NFI[[#This Row],[Clothes Kit]],Table_NFI[Clothes Kit])</f>
        <v>0</v>
      </c>
      <c r="AG472" s="352">
        <f>IF(NFI_Expiration=1,IF($A472&lt;VLOOKUP(P$5,NFI,5,0),1,0)*Table_NFI[[#This Row],[Plastic Bucket]],Table_NFI[Plastic Bucket])</f>
        <v>0</v>
      </c>
      <c r="AH472" s="352">
        <f>IF(NFI_Expiration=1,IF($A472&lt;VLOOKUP(Q$5,NFI,5,0),1,0)*Table_NFI[[#This Row],[Plastic Mat]],Table_NFI[Plastic Mat])*IF(Table_NFI[[#This Row],[Distribution Date]]&gt;"2014-04-01",1,2.5)</f>
        <v>0</v>
      </c>
      <c r="AI472" s="352">
        <f>IF(NFI_Expiration=1,IF($A472&lt;VLOOKUP(R$5,NFI,5,0),1,0)*Table_NFI[[#This Row],[Winter Clothes Adult]],Table_NFI[Winter Clothes Adult])</f>
        <v>0</v>
      </c>
      <c r="AJ472" s="352">
        <f>IF(NFI_Expiration=1,IF($A472&lt;VLOOKUP(S$5,NFI,5,0),1,0)*Table_NFI[[#This Row],[Winter Clothes Children]],Table_NFI[Winter Clothes Children])</f>
        <v>0</v>
      </c>
      <c r="AK472" s="352">
        <f>IF(NFI_Expiration=1,IF($A472&lt;VLOOKUP(T$5,NFI,5,0),1,0)*Table_NFI[[#This Row],[Winter Items Other]],Table_NFI[Winter Items Other])</f>
        <v>0</v>
      </c>
      <c r="AL472" s="352">
        <f>IF(NFI_Expiration=1,IF($A472&lt;VLOOKUP(M$5,NFI,5,0),1,0)*Table_NFI[[#This Row],[Winter Blanket]],Table_NFI[[#This Row],[Winter Blanket]])</f>
        <v>0</v>
      </c>
      <c r="AM472" s="352">
        <f>IF(Table_NFI[[#This Row],[Winter Clothes Adult]]+Table_NFI[[#This Row],[Winter Clothes Children]]+Table_NFI[[#This Row],[Winter Items Other]]+Table_NFI[[#This Row],[Winter Blanket]]&gt;0,1,0)</f>
        <v>1</v>
      </c>
      <c r="AN472" s="392">
        <f>IF(NFI_Expiration=1,IF($A472&lt;VLOOKUP(V$5,NFI,5,0),1,0)*Table_NFI[[#This Row],[Jerry Can]],Table_NFI[Jerry Can])</f>
        <v>0</v>
      </c>
      <c r="AO472" s="540" t="str">
        <f>IFERROR(VLOOKUP(Table_NFI[[#This Row],[Camp Name]],CL,2,0),"")</f>
        <v>MMR001CMP218</v>
      </c>
      <c r="AP472" s="535">
        <f ca="1">IF(Table_NFI[[#This Row],[Pcode]]="","",IF(OFFSET(CampList[Opening Date],MATCH(Table_NFI[[#This Row],[Pcode]],CampList[CP_Pcode],0)-1,0,1,1)&gt;=NFI_Monitor_Date,1,0))</f>
        <v>0</v>
      </c>
      <c r="AQ472" s="540" t="str">
        <f>IFERROR(VLOOKUP(Table_NFI[[#This Row],[Camp Name]],CL,3,0),"")</f>
        <v>Open</v>
      </c>
      <c r="AR472" s="352" t="str">
        <f ca="1">IF(Table_NFI[[#This Row],[Pcode]]="","",OFFSET(CampList[Priority],MATCH(Table_NFI[[#This Row],[Pcode]],CampList[CP_Pcode],0)-1,0,1,1))</f>
        <v>P4</v>
      </c>
      <c r="AS472" s="351">
        <f>IFERROR(Table_NFI[[#This Row],[Kitchen Set]]/VLOOKUP(Table_NFI[[#This Row],[Camp Name]],CL,4,0),"")</f>
        <v>0</v>
      </c>
      <c r="AT472" s="533"/>
      <c r="AU472" s="536"/>
    </row>
    <row r="473" spans="1:47" s="537" customFormat="1" ht="14.45" customHeight="1" x14ac:dyDescent="0.25">
      <c r="A473" s="355">
        <f t="shared" si="7"/>
        <v>33.133333333333333</v>
      </c>
      <c r="B473" s="532">
        <v>41577</v>
      </c>
      <c r="C473" s="533" t="s">
        <v>453</v>
      </c>
      <c r="D473" s="533" t="s">
        <v>453</v>
      </c>
      <c r="E473" s="533" t="s">
        <v>380</v>
      </c>
      <c r="F473" s="348" t="s">
        <v>5</v>
      </c>
      <c r="G473" s="348" t="s">
        <v>6</v>
      </c>
      <c r="H473" s="349"/>
      <c r="I473" s="349"/>
      <c r="J473" s="349">
        <v>22</v>
      </c>
      <c r="K473" s="349">
        <v>40</v>
      </c>
      <c r="L473" s="350">
        <v>21</v>
      </c>
      <c r="M473" s="350">
        <v>40</v>
      </c>
      <c r="N473" s="350">
        <v>21</v>
      </c>
      <c r="O473" s="350">
        <v>21</v>
      </c>
      <c r="P473" s="352">
        <v>21</v>
      </c>
      <c r="Q473" s="352">
        <v>21</v>
      </c>
      <c r="R473" s="352"/>
      <c r="S473" s="352"/>
      <c r="T473" s="352"/>
      <c r="U473" s="352"/>
      <c r="V473" s="497"/>
      <c r="W473" s="352"/>
      <c r="X473" s="352"/>
      <c r="Y473" s="352">
        <f>IF(NFI_Expiration=1,IF($A473&lt;VLOOKUP(H$5,NFI,5,0),1,0)*Table_NFI[[#This Row],[Hygiene Kit]],Table_NFI[Hygiene Kit])</f>
        <v>0</v>
      </c>
      <c r="Z473" s="352">
        <f>IF(NFI_Expiration=1,IF($A473&lt;VLOOKUP(I$5,NFI,5,0),1,0)*Table_NFI[[#This Row],[NFI Core Kit]],Table_NFI[NFI Core Kit])</f>
        <v>0</v>
      </c>
      <c r="AA473" s="352">
        <f>IF(NFI_Expiration=1,IF($A473&lt;VLOOKUP(J$5,NFI,5,0),1,0)*Table_NFI[[#This Row],[Sanitary Kit]],Table_NFI[Sanitary Kit])</f>
        <v>0</v>
      </c>
      <c r="AB473" s="352">
        <f>IF(NFI_Expiration=1,IF($A473&lt;VLOOKUP(K$5,NFI,5,0),1,0)*Table_NFI[[#This Row],[Mosquito net]],Table_NFI[Mosquito net])</f>
        <v>0</v>
      </c>
      <c r="AC473" s="352">
        <f>IF(NFI_Expiration=1,IF($A473&lt;VLOOKUP(L$5,NFI,5,0),1,0)*Table_NFI[[#This Row],[Tarpaulin]],Table_NFI[[#This Row],[Tarpaulin]])</f>
        <v>0</v>
      </c>
      <c r="AD473" s="352">
        <f>IF(NFI_Expiration=1,IF($A473&lt;VLOOKUP(M$5,NFI,5,0),1,0)*Table_NFI[[#This Row],[Blanket]],Table_NFI[[#This Row],[Blanket]])</f>
        <v>0</v>
      </c>
      <c r="AE473" s="352">
        <f>IF(NFI_Expiration=1,IF($A473&lt;VLOOKUP(N$5,NFI,5,0),1,0)*Table_NFI[[#This Row],[Kitchen Set]],Table_NFI[Kitchen Set])</f>
        <v>0</v>
      </c>
      <c r="AF473" s="352">
        <f>IF(NFI_Expiration=1,IF($A473&lt;VLOOKUP(O$5,NFI,5,0),1,0)*Table_NFI[[#This Row],[Clothes Kit]],Table_NFI[Clothes Kit])</f>
        <v>0</v>
      </c>
      <c r="AG473" s="352">
        <f>IF(NFI_Expiration=1,IF($A473&lt;VLOOKUP(P$5,NFI,5,0),1,0)*Table_NFI[[#This Row],[Plastic Bucket]],Table_NFI[Plastic Bucket])</f>
        <v>0</v>
      </c>
      <c r="AH473" s="352">
        <f>IF(NFI_Expiration=1,IF($A473&lt;VLOOKUP(Q$5,NFI,5,0),1,0)*Table_NFI[[#This Row],[Plastic Mat]],Table_NFI[Plastic Mat])*IF(Table_NFI[[#This Row],[Distribution Date]]&gt;"2014-04-01",1,2.5)</f>
        <v>0</v>
      </c>
      <c r="AI473" s="352">
        <f>IF(NFI_Expiration=1,IF($A473&lt;VLOOKUP(R$5,NFI,5,0),1,0)*Table_NFI[[#This Row],[Winter Clothes Adult]],Table_NFI[Winter Clothes Adult])</f>
        <v>0</v>
      </c>
      <c r="AJ473" s="352">
        <f>IF(NFI_Expiration=1,IF($A473&lt;VLOOKUP(S$5,NFI,5,0),1,0)*Table_NFI[[#This Row],[Winter Clothes Children]],Table_NFI[Winter Clothes Children])</f>
        <v>0</v>
      </c>
      <c r="AK473" s="352">
        <f>IF(NFI_Expiration=1,IF($A473&lt;VLOOKUP(T$5,NFI,5,0),1,0)*Table_NFI[[#This Row],[Winter Items Other]],Table_NFI[Winter Items Other])</f>
        <v>0</v>
      </c>
      <c r="AL473" s="352">
        <f>IF(NFI_Expiration=1,IF($A473&lt;VLOOKUP(M$5,NFI,5,0),1,0)*Table_NFI[[#This Row],[Winter Blanket]],Table_NFI[[#This Row],[Winter Blanket]])</f>
        <v>0</v>
      </c>
      <c r="AM473" s="352">
        <f>IF(Table_NFI[[#This Row],[Winter Clothes Adult]]+Table_NFI[[#This Row],[Winter Clothes Children]]+Table_NFI[[#This Row],[Winter Items Other]]+Table_NFI[[#This Row],[Winter Blanket]]&gt;0,1,0)</f>
        <v>0</v>
      </c>
      <c r="AN473" s="392">
        <f>IF(NFI_Expiration=1,IF($A473&lt;VLOOKUP(V$5,NFI,5,0),1,0)*Table_NFI[[#This Row],[Jerry Can]],Table_NFI[Jerry Can])</f>
        <v>0</v>
      </c>
      <c r="AO473" s="540" t="str">
        <f>IFERROR(VLOOKUP(Table_NFI[[#This Row],[Camp Name]],CL,2,0),"")</f>
        <v>MMR001CMP050</v>
      </c>
      <c r="AP473" s="535">
        <f ca="1">IF(Table_NFI[[#This Row],[Pcode]]="","",IF(OFFSET(CampList[Opening Date],MATCH(Table_NFI[[#This Row],[Pcode]],CampList[CP_Pcode],0)-1,0,1,1)&gt;=NFI_Monitor_Date,1,0))</f>
        <v>0</v>
      </c>
      <c r="AQ473" s="540" t="str">
        <f>IFERROR(VLOOKUP(Table_NFI[[#This Row],[Camp Name]],CL,3,0),"")</f>
        <v>Open</v>
      </c>
      <c r="AR473" s="352" t="str">
        <f ca="1">IF(Table_NFI[[#This Row],[Pcode]]="","",OFFSET(CampList[Priority],MATCH(Table_NFI[[#This Row],[Pcode]],CampList[CP_Pcode],0)-1,0,1,1))</f>
        <v>P4</v>
      </c>
      <c r="AS473" s="351">
        <f>IFERROR(Table_NFI[[#This Row],[Kitchen Set]]/VLOOKUP(Table_NFI[[#This Row],[Camp Name]],CL,4,0),"")</f>
        <v>7.6642335766423361E-2</v>
      </c>
      <c r="AT473" s="533" t="s">
        <v>1094</v>
      </c>
      <c r="AU473" s="536"/>
    </row>
    <row r="474" spans="1:47" s="537" customFormat="1" ht="14.45" customHeight="1" x14ac:dyDescent="0.25">
      <c r="A474" s="355">
        <f t="shared" si="7"/>
        <v>33.133333333333333</v>
      </c>
      <c r="B474" s="532">
        <v>41577</v>
      </c>
      <c r="C474" s="533" t="s">
        <v>453</v>
      </c>
      <c r="D474" s="533" t="s">
        <v>453</v>
      </c>
      <c r="E474" s="533" t="s">
        <v>380</v>
      </c>
      <c r="F474" s="348" t="s">
        <v>5</v>
      </c>
      <c r="G474" s="348" t="s">
        <v>14</v>
      </c>
      <c r="H474" s="349"/>
      <c r="I474" s="349"/>
      <c r="J474" s="349">
        <v>72</v>
      </c>
      <c r="K474" s="349">
        <v>61</v>
      </c>
      <c r="L474" s="350">
        <v>36</v>
      </c>
      <c r="M474" s="350">
        <v>61</v>
      </c>
      <c r="N474" s="350">
        <v>36</v>
      </c>
      <c r="O474" s="350">
        <v>36</v>
      </c>
      <c r="P474" s="352">
        <v>36</v>
      </c>
      <c r="Q474" s="352">
        <v>36</v>
      </c>
      <c r="R474" s="352"/>
      <c r="S474" s="352"/>
      <c r="T474" s="352"/>
      <c r="U474" s="352"/>
      <c r="V474" s="497"/>
      <c r="W474" s="352"/>
      <c r="X474" s="352"/>
      <c r="Y474" s="352">
        <f>IF(NFI_Expiration=1,IF($A474&lt;VLOOKUP(H$5,NFI,5,0),1,0)*Table_NFI[[#This Row],[Hygiene Kit]],Table_NFI[Hygiene Kit])</f>
        <v>0</v>
      </c>
      <c r="Z474" s="352">
        <f>IF(NFI_Expiration=1,IF($A474&lt;VLOOKUP(I$5,NFI,5,0),1,0)*Table_NFI[[#This Row],[NFI Core Kit]],Table_NFI[NFI Core Kit])</f>
        <v>0</v>
      </c>
      <c r="AA474" s="352">
        <f>IF(NFI_Expiration=1,IF($A474&lt;VLOOKUP(J$5,NFI,5,0),1,0)*Table_NFI[[#This Row],[Sanitary Kit]],Table_NFI[Sanitary Kit])</f>
        <v>0</v>
      </c>
      <c r="AB474" s="352">
        <f>IF(NFI_Expiration=1,IF($A474&lt;VLOOKUP(K$5,NFI,5,0),1,0)*Table_NFI[[#This Row],[Mosquito net]],Table_NFI[Mosquito net])</f>
        <v>0</v>
      </c>
      <c r="AC474" s="352">
        <f>IF(NFI_Expiration=1,IF($A474&lt;VLOOKUP(L$5,NFI,5,0),1,0)*Table_NFI[[#This Row],[Tarpaulin]],Table_NFI[[#This Row],[Tarpaulin]])</f>
        <v>0</v>
      </c>
      <c r="AD474" s="352">
        <f>IF(NFI_Expiration=1,IF($A474&lt;VLOOKUP(M$5,NFI,5,0),1,0)*Table_NFI[[#This Row],[Blanket]],Table_NFI[[#This Row],[Blanket]])</f>
        <v>0</v>
      </c>
      <c r="AE474" s="352">
        <f>IF(NFI_Expiration=1,IF($A474&lt;VLOOKUP(N$5,NFI,5,0),1,0)*Table_NFI[[#This Row],[Kitchen Set]],Table_NFI[Kitchen Set])</f>
        <v>0</v>
      </c>
      <c r="AF474" s="352">
        <f>IF(NFI_Expiration=1,IF($A474&lt;VLOOKUP(O$5,NFI,5,0),1,0)*Table_NFI[[#This Row],[Clothes Kit]],Table_NFI[Clothes Kit])</f>
        <v>0</v>
      </c>
      <c r="AG474" s="352">
        <f>IF(NFI_Expiration=1,IF($A474&lt;VLOOKUP(P$5,NFI,5,0),1,0)*Table_NFI[[#This Row],[Plastic Bucket]],Table_NFI[Plastic Bucket])</f>
        <v>0</v>
      </c>
      <c r="AH474" s="352">
        <f>IF(NFI_Expiration=1,IF($A474&lt;VLOOKUP(Q$5,NFI,5,0),1,0)*Table_NFI[[#This Row],[Plastic Mat]],Table_NFI[Plastic Mat])*IF(Table_NFI[[#This Row],[Distribution Date]]&gt;"2014-04-01",1,2.5)</f>
        <v>0</v>
      </c>
      <c r="AI474" s="352">
        <f>IF(NFI_Expiration=1,IF($A474&lt;VLOOKUP(R$5,NFI,5,0),1,0)*Table_NFI[[#This Row],[Winter Clothes Adult]],Table_NFI[Winter Clothes Adult])</f>
        <v>0</v>
      </c>
      <c r="AJ474" s="352">
        <f>IF(NFI_Expiration=1,IF($A474&lt;VLOOKUP(S$5,NFI,5,0),1,0)*Table_NFI[[#This Row],[Winter Clothes Children]],Table_NFI[Winter Clothes Children])</f>
        <v>0</v>
      </c>
      <c r="AK474" s="352">
        <f>IF(NFI_Expiration=1,IF($A474&lt;VLOOKUP(T$5,NFI,5,0),1,0)*Table_NFI[[#This Row],[Winter Items Other]],Table_NFI[Winter Items Other])</f>
        <v>0</v>
      </c>
      <c r="AL474" s="352">
        <f>IF(NFI_Expiration=1,IF($A474&lt;VLOOKUP(M$5,NFI,5,0),1,0)*Table_NFI[[#This Row],[Winter Blanket]],Table_NFI[[#This Row],[Winter Blanket]])</f>
        <v>0</v>
      </c>
      <c r="AM474" s="352">
        <f>IF(Table_NFI[[#This Row],[Winter Clothes Adult]]+Table_NFI[[#This Row],[Winter Clothes Children]]+Table_NFI[[#This Row],[Winter Items Other]]+Table_NFI[[#This Row],[Winter Blanket]]&gt;0,1,0)</f>
        <v>0</v>
      </c>
      <c r="AN474" s="392">
        <f>IF(NFI_Expiration=1,IF($A474&lt;VLOOKUP(V$5,NFI,5,0),1,0)*Table_NFI[[#This Row],[Jerry Can]],Table_NFI[Jerry Can])</f>
        <v>0</v>
      </c>
      <c r="AO474" s="540" t="str">
        <f>IFERROR(VLOOKUP(Table_NFI[[#This Row],[Camp Name]],CL,2,0),"")</f>
        <v>MMR001CMP052</v>
      </c>
      <c r="AP474" s="535">
        <f ca="1">IF(Table_NFI[[#This Row],[Pcode]]="","",IF(OFFSET(CampList[Opening Date],MATCH(Table_NFI[[#This Row],[Pcode]],CampList[CP_Pcode],0)-1,0,1,1)&gt;=NFI_Monitor_Date,1,0))</f>
        <v>0</v>
      </c>
      <c r="AQ474" s="540" t="str">
        <f>IFERROR(VLOOKUP(Table_NFI[[#This Row],[Camp Name]],CL,3,0),"")</f>
        <v>Open</v>
      </c>
      <c r="AR474" s="352" t="str">
        <f ca="1">IF(Table_NFI[[#This Row],[Pcode]]="","",OFFSET(CampList[Priority],MATCH(Table_NFI[[#This Row],[Pcode]],CampList[CP_Pcode],0)-1,0,1,1))</f>
        <v>P4</v>
      </c>
      <c r="AS474" s="351">
        <f>IFERROR(Table_NFI[[#This Row],[Kitchen Set]]/VLOOKUP(Table_NFI[[#This Row],[Camp Name]],CL,4,0),"")</f>
        <v>0.92307692307692313</v>
      </c>
      <c r="AT474" s="533" t="s">
        <v>1094</v>
      </c>
      <c r="AU474" s="536"/>
    </row>
    <row r="475" spans="1:47" s="537" customFormat="1" ht="14.45" customHeight="1" x14ac:dyDescent="0.25">
      <c r="A475" s="355">
        <f t="shared" si="7"/>
        <v>33.133333333333333</v>
      </c>
      <c r="B475" s="532">
        <v>41577</v>
      </c>
      <c r="C475" s="533" t="s">
        <v>453</v>
      </c>
      <c r="D475" s="533" t="s">
        <v>453</v>
      </c>
      <c r="E475" s="533" t="s">
        <v>380</v>
      </c>
      <c r="F475" s="348" t="s">
        <v>5</v>
      </c>
      <c r="G475" s="348" t="s">
        <v>366</v>
      </c>
      <c r="H475" s="349"/>
      <c r="I475" s="349"/>
      <c r="J475" s="349">
        <v>81</v>
      </c>
      <c r="K475" s="349">
        <v>94</v>
      </c>
      <c r="L475" s="350">
        <v>50</v>
      </c>
      <c r="M475" s="350">
        <v>94</v>
      </c>
      <c r="N475" s="350">
        <v>50</v>
      </c>
      <c r="O475" s="350">
        <v>50</v>
      </c>
      <c r="P475" s="352">
        <v>50</v>
      </c>
      <c r="Q475" s="352">
        <v>50</v>
      </c>
      <c r="R475" s="352"/>
      <c r="S475" s="352"/>
      <c r="T475" s="352"/>
      <c r="U475" s="352"/>
      <c r="V475" s="497"/>
      <c r="W475" s="352"/>
      <c r="X475" s="352"/>
      <c r="Y475" s="352">
        <f>IF(NFI_Expiration=1,IF($A475&lt;VLOOKUP(H$5,NFI,5,0),1,0)*Table_NFI[[#This Row],[Hygiene Kit]],Table_NFI[Hygiene Kit])</f>
        <v>0</v>
      </c>
      <c r="Z475" s="352">
        <f>IF(NFI_Expiration=1,IF($A475&lt;VLOOKUP(I$5,NFI,5,0),1,0)*Table_NFI[[#This Row],[NFI Core Kit]],Table_NFI[NFI Core Kit])</f>
        <v>0</v>
      </c>
      <c r="AA475" s="352">
        <f>IF(NFI_Expiration=1,IF($A475&lt;VLOOKUP(J$5,NFI,5,0),1,0)*Table_NFI[[#This Row],[Sanitary Kit]],Table_NFI[Sanitary Kit])</f>
        <v>0</v>
      </c>
      <c r="AB475" s="352">
        <f>IF(NFI_Expiration=1,IF($A475&lt;VLOOKUP(K$5,NFI,5,0),1,0)*Table_NFI[[#This Row],[Mosquito net]],Table_NFI[Mosquito net])</f>
        <v>0</v>
      </c>
      <c r="AC475" s="352">
        <f>IF(NFI_Expiration=1,IF($A475&lt;VLOOKUP(L$5,NFI,5,0),1,0)*Table_NFI[[#This Row],[Tarpaulin]],Table_NFI[[#This Row],[Tarpaulin]])</f>
        <v>0</v>
      </c>
      <c r="AD475" s="352">
        <f>IF(NFI_Expiration=1,IF($A475&lt;VLOOKUP(M$5,NFI,5,0),1,0)*Table_NFI[[#This Row],[Blanket]],Table_NFI[[#This Row],[Blanket]])</f>
        <v>0</v>
      </c>
      <c r="AE475" s="352">
        <f>IF(NFI_Expiration=1,IF($A475&lt;VLOOKUP(N$5,NFI,5,0),1,0)*Table_NFI[[#This Row],[Kitchen Set]],Table_NFI[Kitchen Set])</f>
        <v>0</v>
      </c>
      <c r="AF475" s="352">
        <f>IF(NFI_Expiration=1,IF($A475&lt;VLOOKUP(O$5,NFI,5,0),1,0)*Table_NFI[[#This Row],[Clothes Kit]],Table_NFI[Clothes Kit])</f>
        <v>0</v>
      </c>
      <c r="AG475" s="352">
        <f>IF(NFI_Expiration=1,IF($A475&lt;VLOOKUP(P$5,NFI,5,0),1,0)*Table_NFI[[#This Row],[Plastic Bucket]],Table_NFI[Plastic Bucket])</f>
        <v>0</v>
      </c>
      <c r="AH475" s="352">
        <f>IF(NFI_Expiration=1,IF($A475&lt;VLOOKUP(Q$5,NFI,5,0),1,0)*Table_NFI[[#This Row],[Plastic Mat]],Table_NFI[Plastic Mat])*IF(Table_NFI[[#This Row],[Distribution Date]]&gt;"2014-04-01",1,2.5)</f>
        <v>0</v>
      </c>
      <c r="AI475" s="352">
        <f>IF(NFI_Expiration=1,IF($A475&lt;VLOOKUP(R$5,NFI,5,0),1,0)*Table_NFI[[#This Row],[Winter Clothes Adult]],Table_NFI[Winter Clothes Adult])</f>
        <v>0</v>
      </c>
      <c r="AJ475" s="352">
        <f>IF(NFI_Expiration=1,IF($A475&lt;VLOOKUP(S$5,NFI,5,0),1,0)*Table_NFI[[#This Row],[Winter Clothes Children]],Table_NFI[Winter Clothes Children])</f>
        <v>0</v>
      </c>
      <c r="AK475" s="352">
        <f>IF(NFI_Expiration=1,IF($A475&lt;VLOOKUP(T$5,NFI,5,0),1,0)*Table_NFI[[#This Row],[Winter Items Other]],Table_NFI[Winter Items Other])</f>
        <v>0</v>
      </c>
      <c r="AL475" s="352">
        <f>IF(NFI_Expiration=1,IF($A475&lt;VLOOKUP(M$5,NFI,5,0),1,0)*Table_NFI[[#This Row],[Winter Blanket]],Table_NFI[[#This Row],[Winter Blanket]])</f>
        <v>0</v>
      </c>
      <c r="AM475" s="352">
        <f>IF(Table_NFI[[#This Row],[Winter Clothes Adult]]+Table_NFI[[#This Row],[Winter Clothes Children]]+Table_NFI[[#This Row],[Winter Items Other]]+Table_NFI[[#This Row],[Winter Blanket]]&gt;0,1,0)</f>
        <v>0</v>
      </c>
      <c r="AN475" s="392">
        <f>IF(NFI_Expiration=1,IF($A475&lt;VLOOKUP(V$5,NFI,5,0),1,0)*Table_NFI[[#This Row],[Jerry Can]],Table_NFI[Jerry Can])</f>
        <v>0</v>
      </c>
      <c r="AO475" s="540" t="str">
        <f>IFERROR(VLOOKUP(Table_NFI[[#This Row],[Camp Name]],CL,2,0),"")</f>
        <v>MMR001CMP193</v>
      </c>
      <c r="AP475" s="535">
        <f ca="1">IF(Table_NFI[[#This Row],[Pcode]]="","",IF(OFFSET(CampList[Opening Date],MATCH(Table_NFI[[#This Row],[Pcode]],CampList[CP_Pcode],0)-1,0,1,1)&gt;=NFI_Monitor_Date,1,0))</f>
        <v>0</v>
      </c>
      <c r="AQ475" s="540" t="str">
        <f>IFERROR(VLOOKUP(Table_NFI[[#This Row],[Camp Name]],CL,3,0),"")</f>
        <v>Open</v>
      </c>
      <c r="AR475" s="352" t="str">
        <f ca="1">IF(Table_NFI[[#This Row],[Pcode]]="","",OFFSET(CampList[Priority],MATCH(Table_NFI[[#This Row],[Pcode]],CampList[CP_Pcode],0)-1,0,1,1))</f>
        <v>P4</v>
      </c>
      <c r="AS475" s="351">
        <f>IFERROR(Table_NFI[[#This Row],[Kitchen Set]]/VLOOKUP(Table_NFI[[#This Row],[Camp Name]],CL,4,0),"")</f>
        <v>0.33333333333333331</v>
      </c>
      <c r="AT475" s="533" t="s">
        <v>1094</v>
      </c>
      <c r="AU475" s="536"/>
    </row>
    <row r="476" spans="1:47" s="537" customFormat="1" ht="14.45" customHeight="1" x14ac:dyDescent="0.25">
      <c r="A476" s="355">
        <f t="shared" si="7"/>
        <v>34.266666666666666</v>
      </c>
      <c r="B476" s="532">
        <v>41543</v>
      </c>
      <c r="C476" s="533" t="s">
        <v>453</v>
      </c>
      <c r="D476" s="533" t="s">
        <v>453</v>
      </c>
      <c r="E476" s="533" t="s">
        <v>380</v>
      </c>
      <c r="F476" s="348" t="s">
        <v>185</v>
      </c>
      <c r="G476" s="348" t="s">
        <v>194</v>
      </c>
      <c r="H476" s="349"/>
      <c r="I476" s="349"/>
      <c r="J476" s="349">
        <v>882</v>
      </c>
      <c r="K476" s="349">
        <v>882</v>
      </c>
      <c r="L476" s="350">
        <v>441</v>
      </c>
      <c r="M476" s="350">
        <v>882</v>
      </c>
      <c r="N476" s="350">
        <v>441</v>
      </c>
      <c r="O476" s="350"/>
      <c r="P476" s="352">
        <v>441</v>
      </c>
      <c r="Q476" s="352">
        <v>882</v>
      </c>
      <c r="R476" s="352"/>
      <c r="S476" s="352"/>
      <c r="T476" s="352"/>
      <c r="U476" s="352"/>
      <c r="V476" s="497"/>
      <c r="W476" s="352"/>
      <c r="X476" s="352"/>
      <c r="Y476" s="352">
        <f>IF(NFI_Expiration=1,IF($A476&lt;VLOOKUP(H$5,NFI,5,0),1,0)*Table_NFI[[#This Row],[Hygiene Kit]],Table_NFI[Hygiene Kit])</f>
        <v>0</v>
      </c>
      <c r="Z476" s="352">
        <f>IF(NFI_Expiration=1,IF($A476&lt;VLOOKUP(I$5,NFI,5,0),1,0)*Table_NFI[[#This Row],[NFI Core Kit]],Table_NFI[NFI Core Kit])</f>
        <v>0</v>
      </c>
      <c r="AA476" s="352">
        <f>IF(NFI_Expiration=1,IF($A476&lt;VLOOKUP(J$5,NFI,5,0),1,0)*Table_NFI[[#This Row],[Sanitary Kit]],Table_NFI[Sanitary Kit])</f>
        <v>0</v>
      </c>
      <c r="AB476" s="352">
        <f>IF(NFI_Expiration=1,IF($A476&lt;VLOOKUP(K$5,NFI,5,0),1,0)*Table_NFI[[#This Row],[Mosquito net]],Table_NFI[Mosquito net])</f>
        <v>0</v>
      </c>
      <c r="AC476" s="352">
        <f>IF(NFI_Expiration=1,IF($A476&lt;VLOOKUP(L$5,NFI,5,0),1,0)*Table_NFI[[#This Row],[Tarpaulin]],Table_NFI[[#This Row],[Tarpaulin]])</f>
        <v>0</v>
      </c>
      <c r="AD476" s="352">
        <f>IF(NFI_Expiration=1,IF($A476&lt;VLOOKUP(M$5,NFI,5,0),1,0)*Table_NFI[[#This Row],[Blanket]],Table_NFI[[#This Row],[Blanket]])</f>
        <v>0</v>
      </c>
      <c r="AE476" s="352">
        <f>IF(NFI_Expiration=1,IF($A476&lt;VLOOKUP(N$5,NFI,5,0),1,0)*Table_NFI[[#This Row],[Kitchen Set]],Table_NFI[Kitchen Set])</f>
        <v>0</v>
      </c>
      <c r="AF476" s="352">
        <f>IF(NFI_Expiration=1,IF($A476&lt;VLOOKUP(O$5,NFI,5,0),1,0)*Table_NFI[[#This Row],[Clothes Kit]],Table_NFI[Clothes Kit])</f>
        <v>0</v>
      </c>
      <c r="AG476" s="352">
        <f>IF(NFI_Expiration=1,IF($A476&lt;VLOOKUP(P$5,NFI,5,0),1,0)*Table_NFI[[#This Row],[Plastic Bucket]],Table_NFI[Plastic Bucket])</f>
        <v>0</v>
      </c>
      <c r="AH476" s="352">
        <f>IF(NFI_Expiration=1,IF($A476&lt;VLOOKUP(Q$5,NFI,5,0),1,0)*Table_NFI[[#This Row],[Plastic Mat]],Table_NFI[Plastic Mat])*IF(Table_NFI[[#This Row],[Distribution Date]]&gt;"2014-04-01",1,2.5)</f>
        <v>0</v>
      </c>
      <c r="AI476" s="352">
        <f>IF(NFI_Expiration=1,IF($A476&lt;VLOOKUP(R$5,NFI,5,0),1,0)*Table_NFI[[#This Row],[Winter Clothes Adult]],Table_NFI[Winter Clothes Adult])</f>
        <v>0</v>
      </c>
      <c r="AJ476" s="352">
        <f>IF(NFI_Expiration=1,IF($A476&lt;VLOOKUP(S$5,NFI,5,0),1,0)*Table_NFI[[#This Row],[Winter Clothes Children]],Table_NFI[Winter Clothes Children])</f>
        <v>0</v>
      </c>
      <c r="AK476" s="352">
        <f>IF(NFI_Expiration=1,IF($A476&lt;VLOOKUP(T$5,NFI,5,0),1,0)*Table_NFI[[#This Row],[Winter Items Other]],Table_NFI[Winter Items Other])</f>
        <v>0</v>
      </c>
      <c r="AL476" s="352">
        <f>IF(NFI_Expiration=1,IF($A476&lt;VLOOKUP(M$5,NFI,5,0),1,0)*Table_NFI[[#This Row],[Winter Blanket]],Table_NFI[[#This Row],[Winter Blanket]])</f>
        <v>0</v>
      </c>
      <c r="AM476" s="352">
        <f>IF(Table_NFI[[#This Row],[Winter Clothes Adult]]+Table_NFI[[#This Row],[Winter Clothes Children]]+Table_NFI[[#This Row],[Winter Items Other]]+Table_NFI[[#This Row],[Winter Blanket]]&gt;0,1,0)</f>
        <v>0</v>
      </c>
      <c r="AN476" s="392">
        <f>IF(NFI_Expiration=1,IF($A476&lt;VLOOKUP(V$5,NFI,5,0),1,0)*Table_NFI[[#This Row],[Jerry Can]],Table_NFI[Jerry Can])</f>
        <v>0</v>
      </c>
      <c r="AO476" s="540" t="str">
        <f>IFERROR(VLOOKUP(Table_NFI[[#This Row],[Camp Name]],CL,2,0),"")</f>
        <v>MMR001CMP122</v>
      </c>
      <c r="AP476" s="535">
        <f ca="1">IF(Table_NFI[[#This Row],[Pcode]]="","",IF(OFFSET(CampList[Opening Date],MATCH(Table_NFI[[#This Row],[Pcode]],CampList[CP_Pcode],0)-1,0,1,1)&gt;=NFI_Monitor_Date,1,0))</f>
        <v>0</v>
      </c>
      <c r="AQ476" s="540" t="str">
        <f>IFERROR(VLOOKUP(Table_NFI[[#This Row],[Camp Name]],CL,3,0),"")</f>
        <v>Open</v>
      </c>
      <c r="AR476" s="352" t="str">
        <f ca="1">IF(Table_NFI[[#This Row],[Pcode]]="","",OFFSET(CampList[Priority],MATCH(Table_NFI[[#This Row],[Pcode]],CampList[CP_Pcode],0)-1,0,1,1))</f>
        <v>P2</v>
      </c>
      <c r="AS476" s="351">
        <f>IFERROR(Table_NFI[[#This Row],[Kitchen Set]]/VLOOKUP(Table_NFI[[#This Row],[Camp Name]],CL,4,0),"")</f>
        <v>0.73013245033112584</v>
      </c>
      <c r="AT476" s="533" t="s">
        <v>1094</v>
      </c>
      <c r="AU476" s="536"/>
    </row>
    <row r="477" spans="1:47" s="537" customFormat="1" ht="14.45" customHeight="1" x14ac:dyDescent="0.25">
      <c r="A477" s="355">
        <f t="shared" si="7"/>
        <v>34.266666666666666</v>
      </c>
      <c r="B477" s="532">
        <v>41543</v>
      </c>
      <c r="C477" s="533" t="s">
        <v>453</v>
      </c>
      <c r="D477" s="533" t="s">
        <v>453</v>
      </c>
      <c r="E477" s="533" t="s">
        <v>380</v>
      </c>
      <c r="F477" s="533" t="s">
        <v>185</v>
      </c>
      <c r="G477" s="348" t="s">
        <v>196</v>
      </c>
      <c r="H477" s="349"/>
      <c r="I477" s="349"/>
      <c r="J477" s="349">
        <v>1628</v>
      </c>
      <c r="K477" s="349">
        <v>3256</v>
      </c>
      <c r="L477" s="350">
        <v>1628</v>
      </c>
      <c r="M477" s="350">
        <v>3256</v>
      </c>
      <c r="N477" s="350">
        <v>1628</v>
      </c>
      <c r="O477" s="350"/>
      <c r="P477" s="352">
        <v>1628</v>
      </c>
      <c r="Q477" s="352">
        <v>3256</v>
      </c>
      <c r="R477" s="352"/>
      <c r="S477" s="352"/>
      <c r="T477" s="352"/>
      <c r="U477" s="352"/>
      <c r="V477" s="497"/>
      <c r="W477" s="352"/>
      <c r="X477" s="352"/>
      <c r="Y477" s="352">
        <f>IF(NFI_Expiration=1,IF($A477&lt;VLOOKUP(H$5,NFI,5,0),1,0)*Table_NFI[[#This Row],[Hygiene Kit]],Table_NFI[Hygiene Kit])</f>
        <v>0</v>
      </c>
      <c r="Z477" s="352">
        <f>IF(NFI_Expiration=1,IF($A477&lt;VLOOKUP(I$5,NFI,5,0),1,0)*Table_NFI[[#This Row],[NFI Core Kit]],Table_NFI[NFI Core Kit])</f>
        <v>0</v>
      </c>
      <c r="AA477" s="352">
        <f>IF(NFI_Expiration=1,IF($A477&lt;VLOOKUP(J$5,NFI,5,0),1,0)*Table_NFI[[#This Row],[Sanitary Kit]],Table_NFI[Sanitary Kit])</f>
        <v>0</v>
      </c>
      <c r="AB477" s="352">
        <f>IF(NFI_Expiration=1,IF($A477&lt;VLOOKUP(K$5,NFI,5,0),1,0)*Table_NFI[[#This Row],[Mosquito net]],Table_NFI[Mosquito net])</f>
        <v>0</v>
      </c>
      <c r="AC477" s="352">
        <f>IF(NFI_Expiration=1,IF($A477&lt;VLOOKUP(L$5,NFI,5,0),1,0)*Table_NFI[[#This Row],[Tarpaulin]],Table_NFI[[#This Row],[Tarpaulin]])</f>
        <v>0</v>
      </c>
      <c r="AD477" s="352">
        <f>IF(NFI_Expiration=1,IF($A477&lt;VLOOKUP(M$5,NFI,5,0),1,0)*Table_NFI[[#This Row],[Blanket]],Table_NFI[[#This Row],[Blanket]])</f>
        <v>0</v>
      </c>
      <c r="AE477" s="352">
        <f>IF(NFI_Expiration=1,IF($A477&lt;VLOOKUP(N$5,NFI,5,0),1,0)*Table_NFI[[#This Row],[Kitchen Set]],Table_NFI[Kitchen Set])</f>
        <v>0</v>
      </c>
      <c r="AF477" s="352">
        <f>IF(NFI_Expiration=1,IF($A477&lt;VLOOKUP(O$5,NFI,5,0),1,0)*Table_NFI[[#This Row],[Clothes Kit]],Table_NFI[Clothes Kit])</f>
        <v>0</v>
      </c>
      <c r="AG477" s="352">
        <f>IF(NFI_Expiration=1,IF($A477&lt;VLOOKUP(P$5,NFI,5,0),1,0)*Table_NFI[[#This Row],[Plastic Bucket]],Table_NFI[Plastic Bucket])</f>
        <v>0</v>
      </c>
      <c r="AH477" s="352">
        <f>IF(NFI_Expiration=1,IF($A477&lt;VLOOKUP(Q$5,NFI,5,0),1,0)*Table_NFI[[#This Row],[Plastic Mat]],Table_NFI[Plastic Mat])*IF(Table_NFI[[#This Row],[Distribution Date]]&gt;"2014-04-01",1,2.5)</f>
        <v>0</v>
      </c>
      <c r="AI477" s="352">
        <f>IF(NFI_Expiration=1,IF($A477&lt;VLOOKUP(R$5,NFI,5,0),1,0)*Table_NFI[[#This Row],[Winter Clothes Adult]],Table_NFI[Winter Clothes Adult])</f>
        <v>0</v>
      </c>
      <c r="AJ477" s="352">
        <f>IF(NFI_Expiration=1,IF($A477&lt;VLOOKUP(S$5,NFI,5,0),1,0)*Table_NFI[[#This Row],[Winter Clothes Children]],Table_NFI[Winter Clothes Children])</f>
        <v>0</v>
      </c>
      <c r="AK477" s="352">
        <f>IF(NFI_Expiration=1,IF($A477&lt;VLOOKUP(T$5,NFI,5,0),1,0)*Table_NFI[[#This Row],[Winter Items Other]],Table_NFI[Winter Items Other])</f>
        <v>0</v>
      </c>
      <c r="AL477" s="352">
        <f>IF(NFI_Expiration=1,IF($A477&lt;VLOOKUP(M$5,NFI,5,0),1,0)*Table_NFI[[#This Row],[Winter Blanket]],Table_NFI[[#This Row],[Winter Blanket]])</f>
        <v>0</v>
      </c>
      <c r="AM477" s="352">
        <f>IF(Table_NFI[[#This Row],[Winter Clothes Adult]]+Table_NFI[[#This Row],[Winter Clothes Children]]+Table_NFI[[#This Row],[Winter Items Other]]+Table_NFI[[#This Row],[Winter Blanket]]&gt;0,1,0)</f>
        <v>0</v>
      </c>
      <c r="AN477" s="392">
        <f>IF(NFI_Expiration=1,IF($A477&lt;VLOOKUP(V$5,NFI,5,0),1,0)*Table_NFI[[#This Row],[Jerry Can]],Table_NFI[Jerry Can])</f>
        <v>0</v>
      </c>
      <c r="AO477" s="540" t="str">
        <f>IFERROR(VLOOKUP(Table_NFI[[#This Row],[Camp Name]],CL,2,0),"")</f>
        <v>MMR001CMP121</v>
      </c>
      <c r="AP477" s="535">
        <f ca="1">IF(Table_NFI[[#This Row],[Pcode]]="","",IF(OFFSET(CampList[Opening Date],MATCH(Table_NFI[[#This Row],[Pcode]],CampList[CP_Pcode],0)-1,0,1,1)&gt;=NFI_Monitor_Date,1,0))</f>
        <v>0</v>
      </c>
      <c r="AQ477" s="540" t="str">
        <f>IFERROR(VLOOKUP(Table_NFI[[#This Row],[Camp Name]],CL,3,0),"")</f>
        <v>Open</v>
      </c>
      <c r="AR477" s="352" t="str">
        <f ca="1">IF(Table_NFI[[#This Row],[Pcode]]="","",OFFSET(CampList[Priority],MATCH(Table_NFI[[#This Row],[Pcode]],CampList[CP_Pcode],0)-1,0,1,1))</f>
        <v>P2</v>
      </c>
      <c r="AS477" s="351">
        <f>IFERROR(Table_NFI[[#This Row],[Kitchen Set]]/VLOOKUP(Table_NFI[[#This Row],[Camp Name]],CL,4,0),"")</f>
        <v>0.98190591073582634</v>
      </c>
      <c r="AT477" s="533" t="s">
        <v>1094</v>
      </c>
      <c r="AU477" s="536"/>
    </row>
    <row r="478" spans="1:47" s="537" customFormat="1" ht="14.45" customHeight="1" x14ac:dyDescent="0.25">
      <c r="A478" s="355">
        <f t="shared" si="7"/>
        <v>34.266666666666666</v>
      </c>
      <c r="B478" s="532">
        <v>41543</v>
      </c>
      <c r="C478" s="533" t="s">
        <v>453</v>
      </c>
      <c r="D478" s="533" t="s">
        <v>453</v>
      </c>
      <c r="E478" s="533" t="s">
        <v>380</v>
      </c>
      <c r="F478" s="348" t="s">
        <v>310</v>
      </c>
      <c r="G478" s="348" t="s">
        <v>1251</v>
      </c>
      <c r="H478" s="349"/>
      <c r="I478" s="349"/>
      <c r="J478" s="349">
        <v>437</v>
      </c>
      <c r="K478" s="349">
        <v>874</v>
      </c>
      <c r="L478" s="350">
        <v>437</v>
      </c>
      <c r="M478" s="350">
        <v>874</v>
      </c>
      <c r="N478" s="350">
        <v>437</v>
      </c>
      <c r="O478" s="350">
        <v>54</v>
      </c>
      <c r="P478" s="352">
        <v>383</v>
      </c>
      <c r="Q478" s="352">
        <v>766</v>
      </c>
      <c r="R478" s="352"/>
      <c r="S478" s="352"/>
      <c r="T478" s="352"/>
      <c r="U478" s="352"/>
      <c r="V478" s="497"/>
      <c r="W478" s="352"/>
      <c r="X478" s="352"/>
      <c r="Y478" s="352">
        <f>IF(NFI_Expiration=1,IF($A478&lt;VLOOKUP(H$5,NFI,5,0),1,0)*Table_NFI[[#This Row],[Hygiene Kit]],Table_NFI[Hygiene Kit])</f>
        <v>0</v>
      </c>
      <c r="Z478" s="352">
        <f>IF(NFI_Expiration=1,IF($A478&lt;VLOOKUP(I$5,NFI,5,0),1,0)*Table_NFI[[#This Row],[NFI Core Kit]],Table_NFI[NFI Core Kit])</f>
        <v>0</v>
      </c>
      <c r="AA478" s="352">
        <f>IF(NFI_Expiration=1,IF($A478&lt;VLOOKUP(J$5,NFI,5,0),1,0)*Table_NFI[[#This Row],[Sanitary Kit]],Table_NFI[Sanitary Kit])</f>
        <v>0</v>
      </c>
      <c r="AB478" s="352">
        <f>IF(NFI_Expiration=1,IF($A478&lt;VLOOKUP(K$5,NFI,5,0),1,0)*Table_NFI[[#This Row],[Mosquito net]],Table_NFI[Mosquito net])</f>
        <v>0</v>
      </c>
      <c r="AC478" s="352">
        <f>IF(NFI_Expiration=1,IF($A478&lt;VLOOKUP(L$5,NFI,5,0),1,0)*Table_NFI[[#This Row],[Tarpaulin]],Table_NFI[[#This Row],[Tarpaulin]])</f>
        <v>0</v>
      </c>
      <c r="AD478" s="352">
        <f>IF(NFI_Expiration=1,IF($A478&lt;VLOOKUP(M$5,NFI,5,0),1,0)*Table_NFI[[#This Row],[Blanket]],Table_NFI[[#This Row],[Blanket]])</f>
        <v>0</v>
      </c>
      <c r="AE478" s="352">
        <f>IF(NFI_Expiration=1,IF($A478&lt;VLOOKUP(N$5,NFI,5,0),1,0)*Table_NFI[[#This Row],[Kitchen Set]],Table_NFI[Kitchen Set])</f>
        <v>0</v>
      </c>
      <c r="AF478" s="352">
        <f>IF(NFI_Expiration=1,IF($A478&lt;VLOOKUP(O$5,NFI,5,0),1,0)*Table_NFI[[#This Row],[Clothes Kit]],Table_NFI[Clothes Kit])</f>
        <v>0</v>
      </c>
      <c r="AG478" s="352">
        <f>IF(NFI_Expiration=1,IF($A478&lt;VLOOKUP(P$5,NFI,5,0),1,0)*Table_NFI[[#This Row],[Plastic Bucket]],Table_NFI[Plastic Bucket])</f>
        <v>0</v>
      </c>
      <c r="AH478" s="352">
        <f>IF(NFI_Expiration=1,IF($A478&lt;VLOOKUP(Q$5,NFI,5,0),1,0)*Table_NFI[[#This Row],[Plastic Mat]],Table_NFI[Plastic Mat])*IF(Table_NFI[[#This Row],[Distribution Date]]&gt;"2014-04-01",1,2.5)</f>
        <v>0</v>
      </c>
      <c r="AI478" s="352">
        <f>IF(NFI_Expiration=1,IF($A478&lt;VLOOKUP(R$5,NFI,5,0),1,0)*Table_NFI[[#This Row],[Winter Clothes Adult]],Table_NFI[Winter Clothes Adult])</f>
        <v>0</v>
      </c>
      <c r="AJ478" s="352">
        <f>IF(NFI_Expiration=1,IF($A478&lt;VLOOKUP(S$5,NFI,5,0),1,0)*Table_NFI[[#This Row],[Winter Clothes Children]],Table_NFI[Winter Clothes Children])</f>
        <v>0</v>
      </c>
      <c r="AK478" s="352">
        <f>IF(NFI_Expiration=1,IF($A478&lt;VLOOKUP(T$5,NFI,5,0),1,0)*Table_NFI[[#This Row],[Winter Items Other]],Table_NFI[Winter Items Other])</f>
        <v>0</v>
      </c>
      <c r="AL478" s="352">
        <f>IF(NFI_Expiration=1,IF($A478&lt;VLOOKUP(M$5,NFI,5,0),1,0)*Table_NFI[[#This Row],[Winter Blanket]],Table_NFI[[#This Row],[Winter Blanket]])</f>
        <v>0</v>
      </c>
      <c r="AM478" s="352">
        <f>IF(Table_NFI[[#This Row],[Winter Clothes Adult]]+Table_NFI[[#This Row],[Winter Clothes Children]]+Table_NFI[[#This Row],[Winter Items Other]]+Table_NFI[[#This Row],[Winter Blanket]]&gt;0,1,0)</f>
        <v>0</v>
      </c>
      <c r="AN478" s="392">
        <f>IF(NFI_Expiration=1,IF($A478&lt;VLOOKUP(V$5,NFI,5,0),1,0)*Table_NFI[[#This Row],[Jerry Can]],Table_NFI[Jerry Can])</f>
        <v>0</v>
      </c>
      <c r="AO478" s="540" t="str">
        <f>IFERROR(VLOOKUP(Table_NFI[[#This Row],[Camp Name]],CL,2,0),"")</f>
        <v>MMR001CMP117</v>
      </c>
      <c r="AP478" s="535">
        <f ca="1">IF(Table_NFI[[#This Row],[Pcode]]="","",IF(OFFSET(CampList[Opening Date],MATCH(Table_NFI[[#This Row],[Pcode]],CampList[CP_Pcode],0)-1,0,1,1)&gt;=NFI_Monitor_Date,1,0))</f>
        <v>0</v>
      </c>
      <c r="AQ478" s="540" t="str">
        <f>IFERROR(VLOOKUP(Table_NFI[[#This Row],[Camp Name]],CL,3,0),"")</f>
        <v>Closed</v>
      </c>
      <c r="AR478" s="352" t="str">
        <f ca="1">IF(Table_NFI[[#This Row],[Pcode]]="","",OFFSET(CampList[Priority],MATCH(Table_NFI[[#This Row],[Pcode]],CampList[CP_Pcode],0)-1,0,1,1))</f>
        <v>P2</v>
      </c>
      <c r="AS478" s="351" t="str">
        <f>IFERROR(Table_NFI[[#This Row],[Kitchen Set]]/VLOOKUP(Table_NFI[[#This Row],[Camp Name]],CL,4,0),"")</f>
        <v/>
      </c>
      <c r="AT478" s="533" t="s">
        <v>1094</v>
      </c>
      <c r="AU478" s="536"/>
    </row>
    <row r="479" spans="1:47" s="537" customFormat="1" ht="14.45" customHeight="1" x14ac:dyDescent="0.25">
      <c r="A479" s="355">
        <f t="shared" si="7"/>
        <v>34.533333333333331</v>
      </c>
      <c r="B479" s="532">
        <v>41535</v>
      </c>
      <c r="C479" s="533" t="s">
        <v>453</v>
      </c>
      <c r="D479" s="533" t="s">
        <v>453</v>
      </c>
      <c r="E479" s="533" t="s">
        <v>380</v>
      </c>
      <c r="F479" s="348" t="s">
        <v>310</v>
      </c>
      <c r="G479" s="348" t="s">
        <v>353</v>
      </c>
      <c r="H479" s="349"/>
      <c r="I479" s="349"/>
      <c r="J479" s="349">
        <v>1520</v>
      </c>
      <c r="K479" s="349">
        <v>1520</v>
      </c>
      <c r="L479" s="350">
        <v>760</v>
      </c>
      <c r="M479" s="350">
        <v>1520</v>
      </c>
      <c r="N479" s="350">
        <v>760</v>
      </c>
      <c r="O479" s="350">
        <v>760</v>
      </c>
      <c r="P479" s="352"/>
      <c r="Q479" s="352"/>
      <c r="R479" s="352"/>
      <c r="S479" s="352"/>
      <c r="T479" s="352"/>
      <c r="U479" s="352"/>
      <c r="V479" s="497"/>
      <c r="W479" s="352"/>
      <c r="X479" s="352"/>
      <c r="Y479" s="352">
        <f>IF(NFI_Expiration=1,IF($A479&lt;VLOOKUP(H$5,NFI,5,0),1,0)*Table_NFI[[#This Row],[Hygiene Kit]],Table_NFI[Hygiene Kit])</f>
        <v>0</v>
      </c>
      <c r="Z479" s="352">
        <f>IF(NFI_Expiration=1,IF($A479&lt;VLOOKUP(I$5,NFI,5,0),1,0)*Table_NFI[[#This Row],[NFI Core Kit]],Table_NFI[NFI Core Kit])</f>
        <v>0</v>
      </c>
      <c r="AA479" s="352">
        <f>IF(NFI_Expiration=1,IF($A479&lt;VLOOKUP(J$5,NFI,5,0),1,0)*Table_NFI[[#This Row],[Sanitary Kit]],Table_NFI[Sanitary Kit])</f>
        <v>0</v>
      </c>
      <c r="AB479" s="352">
        <f>IF(NFI_Expiration=1,IF($A479&lt;VLOOKUP(K$5,NFI,5,0),1,0)*Table_NFI[[#This Row],[Mosquito net]],Table_NFI[Mosquito net])</f>
        <v>0</v>
      </c>
      <c r="AC479" s="352">
        <f>IF(NFI_Expiration=1,IF($A479&lt;VLOOKUP(L$5,NFI,5,0),1,0)*Table_NFI[[#This Row],[Tarpaulin]],Table_NFI[[#This Row],[Tarpaulin]])</f>
        <v>0</v>
      </c>
      <c r="AD479" s="352">
        <f>IF(NFI_Expiration=1,IF($A479&lt;VLOOKUP(M$5,NFI,5,0),1,0)*Table_NFI[[#This Row],[Blanket]],Table_NFI[[#This Row],[Blanket]])</f>
        <v>0</v>
      </c>
      <c r="AE479" s="352">
        <f>IF(NFI_Expiration=1,IF($A479&lt;VLOOKUP(N$5,NFI,5,0),1,0)*Table_NFI[[#This Row],[Kitchen Set]],Table_NFI[Kitchen Set])</f>
        <v>0</v>
      </c>
      <c r="AF479" s="352">
        <f>IF(NFI_Expiration=1,IF($A479&lt;VLOOKUP(O$5,NFI,5,0),1,0)*Table_NFI[[#This Row],[Clothes Kit]],Table_NFI[Clothes Kit])</f>
        <v>0</v>
      </c>
      <c r="AG479" s="352">
        <f>IF(NFI_Expiration=1,IF($A479&lt;VLOOKUP(P$5,NFI,5,0),1,0)*Table_NFI[[#This Row],[Plastic Bucket]],Table_NFI[Plastic Bucket])</f>
        <v>0</v>
      </c>
      <c r="AH479" s="352">
        <f>IF(NFI_Expiration=1,IF($A479&lt;VLOOKUP(Q$5,NFI,5,0),1,0)*Table_NFI[[#This Row],[Plastic Mat]],Table_NFI[Plastic Mat])*IF(Table_NFI[[#This Row],[Distribution Date]]&gt;"2014-04-01",1,2.5)</f>
        <v>0</v>
      </c>
      <c r="AI479" s="352">
        <f>IF(NFI_Expiration=1,IF($A479&lt;VLOOKUP(R$5,NFI,5,0),1,0)*Table_NFI[[#This Row],[Winter Clothes Adult]],Table_NFI[Winter Clothes Adult])</f>
        <v>0</v>
      </c>
      <c r="AJ479" s="352">
        <f>IF(NFI_Expiration=1,IF($A479&lt;VLOOKUP(S$5,NFI,5,0),1,0)*Table_NFI[[#This Row],[Winter Clothes Children]],Table_NFI[Winter Clothes Children])</f>
        <v>0</v>
      </c>
      <c r="AK479" s="352">
        <f>IF(NFI_Expiration=1,IF($A479&lt;VLOOKUP(T$5,NFI,5,0),1,0)*Table_NFI[[#This Row],[Winter Items Other]],Table_NFI[Winter Items Other])</f>
        <v>0</v>
      </c>
      <c r="AL479" s="352">
        <f>IF(NFI_Expiration=1,IF($A479&lt;VLOOKUP(M$5,NFI,5,0),1,0)*Table_NFI[[#This Row],[Winter Blanket]],Table_NFI[[#This Row],[Winter Blanket]])</f>
        <v>0</v>
      </c>
      <c r="AM479" s="352">
        <f>IF(Table_NFI[[#This Row],[Winter Clothes Adult]]+Table_NFI[[#This Row],[Winter Clothes Children]]+Table_NFI[[#This Row],[Winter Items Other]]+Table_NFI[[#This Row],[Winter Blanket]]&gt;0,1,0)</f>
        <v>0</v>
      </c>
      <c r="AN479" s="392">
        <f>IF(NFI_Expiration=1,IF($A479&lt;VLOOKUP(V$5,NFI,5,0),1,0)*Table_NFI[[#This Row],[Jerry Can]],Table_NFI[Jerry Can])</f>
        <v>0</v>
      </c>
      <c r="AO479" s="540" t="str">
        <f>IFERROR(VLOOKUP(Table_NFI[[#This Row],[Camp Name]],CL,2,0),"")</f>
        <v>MMR001CMP116</v>
      </c>
      <c r="AP479" s="535">
        <f ca="1">IF(Table_NFI[[#This Row],[Pcode]]="","",IF(OFFSET(CampList[Opening Date],MATCH(Table_NFI[[#This Row],[Pcode]],CampList[CP_Pcode],0)-1,0,1,1)&gt;=NFI_Monitor_Date,1,0))</f>
        <v>0</v>
      </c>
      <c r="AQ479" s="540" t="str">
        <f>IFERROR(VLOOKUP(Table_NFI[[#This Row],[Camp Name]],CL,3,0),"")</f>
        <v>Open</v>
      </c>
      <c r="AR479" s="352" t="str">
        <f ca="1">IF(Table_NFI[[#This Row],[Pcode]]="","",OFFSET(CampList[Priority],MATCH(Table_NFI[[#This Row],[Pcode]],CampList[CP_Pcode],0)-1,0,1,1))</f>
        <v>P4</v>
      </c>
      <c r="AS479" s="351">
        <f>IFERROR(Table_NFI[[#This Row],[Kitchen Set]]/VLOOKUP(Table_NFI[[#This Row],[Camp Name]],CL,4,0),"")</f>
        <v>0.56088560885608851</v>
      </c>
      <c r="AT479" s="533" t="s">
        <v>1094</v>
      </c>
      <c r="AU479" s="536"/>
    </row>
    <row r="480" spans="1:47" s="537" customFormat="1" ht="14.45" customHeight="1" x14ac:dyDescent="0.25">
      <c r="A480" s="355">
        <f t="shared" si="7"/>
        <v>34.733333333333334</v>
      </c>
      <c r="B480" s="532">
        <v>41529</v>
      </c>
      <c r="C480" s="533" t="s">
        <v>453</v>
      </c>
      <c r="D480" s="533" t="s">
        <v>453</v>
      </c>
      <c r="E480" s="533" t="s">
        <v>380</v>
      </c>
      <c r="F480" s="348" t="s">
        <v>185</v>
      </c>
      <c r="G480" s="348" t="s">
        <v>215</v>
      </c>
      <c r="H480" s="349"/>
      <c r="I480" s="349"/>
      <c r="J480" s="349">
        <v>640</v>
      </c>
      <c r="K480" s="349">
        <v>640</v>
      </c>
      <c r="L480" s="350">
        <v>320</v>
      </c>
      <c r="M480" s="350">
        <v>320</v>
      </c>
      <c r="N480" s="350">
        <v>320</v>
      </c>
      <c r="O480" s="350">
        <v>320</v>
      </c>
      <c r="P480" s="352">
        <v>640</v>
      </c>
      <c r="Q480" s="352">
        <v>320</v>
      </c>
      <c r="R480" s="352"/>
      <c r="S480" s="352"/>
      <c r="T480" s="352"/>
      <c r="U480" s="352"/>
      <c r="V480" s="497"/>
      <c r="W480" s="352"/>
      <c r="X480" s="352"/>
      <c r="Y480" s="352">
        <f>IF(NFI_Expiration=1,IF($A480&lt;VLOOKUP(H$5,NFI,5,0),1,0)*Table_NFI[[#This Row],[Hygiene Kit]],Table_NFI[Hygiene Kit])</f>
        <v>0</v>
      </c>
      <c r="Z480" s="352">
        <f>IF(NFI_Expiration=1,IF($A480&lt;VLOOKUP(I$5,NFI,5,0),1,0)*Table_NFI[[#This Row],[NFI Core Kit]],Table_NFI[NFI Core Kit])</f>
        <v>0</v>
      </c>
      <c r="AA480" s="352">
        <f>IF(NFI_Expiration=1,IF($A480&lt;VLOOKUP(J$5,NFI,5,0),1,0)*Table_NFI[[#This Row],[Sanitary Kit]],Table_NFI[Sanitary Kit])</f>
        <v>0</v>
      </c>
      <c r="AB480" s="352">
        <f>IF(NFI_Expiration=1,IF($A480&lt;VLOOKUP(K$5,NFI,5,0),1,0)*Table_NFI[[#This Row],[Mosquito net]],Table_NFI[Mosquito net])</f>
        <v>0</v>
      </c>
      <c r="AC480" s="352">
        <f>IF(NFI_Expiration=1,IF($A480&lt;VLOOKUP(L$5,NFI,5,0),1,0)*Table_NFI[[#This Row],[Tarpaulin]],Table_NFI[[#This Row],[Tarpaulin]])</f>
        <v>0</v>
      </c>
      <c r="AD480" s="352">
        <f>IF(NFI_Expiration=1,IF($A480&lt;VLOOKUP(M$5,NFI,5,0),1,0)*Table_NFI[[#This Row],[Blanket]],Table_NFI[[#This Row],[Blanket]])</f>
        <v>0</v>
      </c>
      <c r="AE480" s="352">
        <f>IF(NFI_Expiration=1,IF($A480&lt;VLOOKUP(N$5,NFI,5,0),1,0)*Table_NFI[[#This Row],[Kitchen Set]],Table_NFI[Kitchen Set])</f>
        <v>0</v>
      </c>
      <c r="AF480" s="352">
        <f>IF(NFI_Expiration=1,IF($A480&lt;VLOOKUP(O$5,NFI,5,0),1,0)*Table_NFI[[#This Row],[Clothes Kit]],Table_NFI[Clothes Kit])</f>
        <v>0</v>
      </c>
      <c r="AG480" s="352">
        <f>IF(NFI_Expiration=1,IF($A480&lt;VLOOKUP(P$5,NFI,5,0),1,0)*Table_NFI[[#This Row],[Plastic Bucket]],Table_NFI[Plastic Bucket])</f>
        <v>0</v>
      </c>
      <c r="AH480" s="352">
        <f>IF(NFI_Expiration=1,IF($A480&lt;VLOOKUP(Q$5,NFI,5,0),1,0)*Table_NFI[[#This Row],[Plastic Mat]],Table_NFI[Plastic Mat])*IF(Table_NFI[[#This Row],[Distribution Date]]&gt;"2014-04-01",1,2.5)</f>
        <v>0</v>
      </c>
      <c r="AI480" s="352">
        <f>IF(NFI_Expiration=1,IF($A480&lt;VLOOKUP(R$5,NFI,5,0),1,0)*Table_NFI[[#This Row],[Winter Clothes Adult]],Table_NFI[Winter Clothes Adult])</f>
        <v>0</v>
      </c>
      <c r="AJ480" s="352">
        <f>IF(NFI_Expiration=1,IF($A480&lt;VLOOKUP(S$5,NFI,5,0),1,0)*Table_NFI[[#This Row],[Winter Clothes Children]],Table_NFI[Winter Clothes Children])</f>
        <v>0</v>
      </c>
      <c r="AK480" s="352">
        <f>IF(NFI_Expiration=1,IF($A480&lt;VLOOKUP(T$5,NFI,5,0),1,0)*Table_NFI[[#This Row],[Winter Items Other]],Table_NFI[Winter Items Other])</f>
        <v>0</v>
      </c>
      <c r="AL480" s="352">
        <f>IF(NFI_Expiration=1,IF($A480&lt;VLOOKUP(M$5,NFI,5,0),1,0)*Table_NFI[[#This Row],[Winter Blanket]],Table_NFI[[#This Row],[Winter Blanket]])</f>
        <v>0</v>
      </c>
      <c r="AM480" s="352">
        <f>IF(Table_NFI[[#This Row],[Winter Clothes Adult]]+Table_NFI[[#This Row],[Winter Clothes Children]]+Table_NFI[[#This Row],[Winter Items Other]]+Table_NFI[[#This Row],[Winter Blanket]]&gt;0,1,0)</f>
        <v>0</v>
      </c>
      <c r="AN480" s="392">
        <f>IF(NFI_Expiration=1,IF($A480&lt;VLOOKUP(V$5,NFI,5,0),1,0)*Table_NFI[[#This Row],[Jerry Can]],Table_NFI[Jerry Can])</f>
        <v>0</v>
      </c>
      <c r="AO480" s="540" t="str">
        <f>IFERROR(VLOOKUP(Table_NFI[[#This Row],[Camp Name]],CL,2,0),"")</f>
        <v>MMR001CMP131</v>
      </c>
      <c r="AP480" s="535">
        <f ca="1">IF(Table_NFI[[#This Row],[Pcode]]="","",IF(OFFSET(CampList[Opening Date],MATCH(Table_NFI[[#This Row],[Pcode]],CampList[CP_Pcode],0)-1,0,1,1)&gt;=NFI_Monitor_Date,1,0))</f>
        <v>0</v>
      </c>
      <c r="AQ480" s="540" t="str">
        <f>IFERROR(VLOOKUP(Table_NFI[[#This Row],[Camp Name]],CL,3,0),"")</f>
        <v>Open</v>
      </c>
      <c r="AR480" s="352" t="str">
        <f ca="1">IF(Table_NFI[[#This Row],[Pcode]]="","",OFFSET(CampList[Priority],MATCH(Table_NFI[[#This Row],[Pcode]],CampList[CP_Pcode],0)-1,0,1,1))</f>
        <v>P1</v>
      </c>
      <c r="AS480" s="351">
        <f>IFERROR(Table_NFI[[#This Row],[Kitchen Set]]/VLOOKUP(Table_NFI[[#This Row],[Camp Name]],CL,4,0),"")</f>
        <v>0.85333333333333339</v>
      </c>
      <c r="AT480" s="533" t="s">
        <v>1094</v>
      </c>
      <c r="AU480" s="536"/>
    </row>
    <row r="481" spans="1:47" s="537" customFormat="1" ht="14.45" hidden="1" customHeight="1" x14ac:dyDescent="0.25">
      <c r="A481" s="355">
        <f t="shared" si="7"/>
        <v>27.833333333333332</v>
      </c>
      <c r="B481" s="532">
        <v>41736</v>
      </c>
      <c r="C481" s="533" t="s">
        <v>1106</v>
      </c>
      <c r="D481" s="533" t="s">
        <v>902</v>
      </c>
      <c r="E481" s="533" t="s">
        <v>380</v>
      </c>
      <c r="F481" s="533" t="s">
        <v>151</v>
      </c>
      <c r="G481" s="533" t="s">
        <v>944</v>
      </c>
      <c r="H481" s="349"/>
      <c r="I481" s="349"/>
      <c r="J481" s="349"/>
      <c r="K481" s="349"/>
      <c r="L481" s="350"/>
      <c r="M481" s="350"/>
      <c r="N481" s="350"/>
      <c r="O481" s="350"/>
      <c r="P481" s="352"/>
      <c r="Q481" s="352"/>
      <c r="R481" s="352"/>
      <c r="S481" s="352"/>
      <c r="T481" s="352"/>
      <c r="U481" s="352">
        <v>158</v>
      </c>
      <c r="V481" s="497"/>
      <c r="W481" s="352"/>
      <c r="X481" s="352"/>
      <c r="Y481" s="352">
        <f>IF(NFI_Expiration=1,IF($A481&lt;VLOOKUP(H$5,NFI,5,0),1,0)*Table_NFI[[#This Row],[Hygiene Kit]],Table_NFI[Hygiene Kit])</f>
        <v>0</v>
      </c>
      <c r="Z481" s="352">
        <f>IF(NFI_Expiration=1,IF($A481&lt;VLOOKUP(I$5,NFI,5,0),1,0)*Table_NFI[[#This Row],[NFI Core Kit]],Table_NFI[NFI Core Kit])</f>
        <v>0</v>
      </c>
      <c r="AA481" s="352">
        <f>IF(NFI_Expiration=1,IF($A481&lt;VLOOKUP(J$5,NFI,5,0),1,0)*Table_NFI[[#This Row],[Sanitary Kit]],Table_NFI[Sanitary Kit])</f>
        <v>0</v>
      </c>
      <c r="AB481" s="352">
        <f>IF(NFI_Expiration=1,IF($A481&lt;VLOOKUP(K$5,NFI,5,0),1,0)*Table_NFI[[#This Row],[Mosquito net]],Table_NFI[Mosquito net])</f>
        <v>0</v>
      </c>
      <c r="AC481" s="352">
        <f>IF(NFI_Expiration=1,IF($A481&lt;VLOOKUP(L$5,NFI,5,0),1,0)*Table_NFI[[#This Row],[Tarpaulin]],Table_NFI[[#This Row],[Tarpaulin]])</f>
        <v>0</v>
      </c>
      <c r="AD481" s="352">
        <f>IF(NFI_Expiration=1,IF($A481&lt;VLOOKUP(M$5,NFI,5,0),1,0)*Table_NFI[[#This Row],[Blanket]],Table_NFI[[#This Row],[Blanket]])</f>
        <v>0</v>
      </c>
      <c r="AE481" s="352">
        <f>IF(NFI_Expiration=1,IF($A481&lt;VLOOKUP(N$5,NFI,5,0),1,0)*Table_NFI[[#This Row],[Kitchen Set]],Table_NFI[Kitchen Set])</f>
        <v>0</v>
      </c>
      <c r="AF481" s="352">
        <f>IF(NFI_Expiration=1,IF($A481&lt;VLOOKUP(O$5,NFI,5,0),1,0)*Table_NFI[[#This Row],[Clothes Kit]],Table_NFI[Clothes Kit])</f>
        <v>0</v>
      </c>
      <c r="AG481" s="352">
        <f>IF(NFI_Expiration=1,IF($A481&lt;VLOOKUP(P$5,NFI,5,0),1,0)*Table_NFI[[#This Row],[Plastic Bucket]],Table_NFI[Plastic Bucket])</f>
        <v>0</v>
      </c>
      <c r="AH481" s="352">
        <f>IF(NFI_Expiration=1,IF($A481&lt;VLOOKUP(Q$5,NFI,5,0),1,0)*Table_NFI[[#This Row],[Plastic Mat]],Table_NFI[Plastic Mat])*IF(Table_NFI[[#This Row],[Distribution Date]]&gt;"2014-04-01",1,2.5)</f>
        <v>0</v>
      </c>
      <c r="AI481" s="352">
        <f>IF(NFI_Expiration=1,IF($A481&lt;VLOOKUP(R$5,NFI,5,0),1,0)*Table_NFI[[#This Row],[Winter Clothes Adult]],Table_NFI[Winter Clothes Adult])</f>
        <v>0</v>
      </c>
      <c r="AJ481" s="352">
        <f>IF(NFI_Expiration=1,IF($A481&lt;VLOOKUP(S$5,NFI,5,0),1,0)*Table_NFI[[#This Row],[Winter Clothes Children]],Table_NFI[Winter Clothes Children])</f>
        <v>0</v>
      </c>
      <c r="AK481" s="352">
        <f>IF(NFI_Expiration=1,IF($A481&lt;VLOOKUP(T$5,NFI,5,0),1,0)*Table_NFI[[#This Row],[Winter Items Other]],Table_NFI[Winter Items Other])</f>
        <v>0</v>
      </c>
      <c r="AL481" s="352">
        <f>IF(NFI_Expiration=1,IF($A481&lt;VLOOKUP(M$5,NFI,5,0),1,0)*Table_NFI[[#This Row],[Winter Blanket]],Table_NFI[[#This Row],[Winter Blanket]])</f>
        <v>0</v>
      </c>
      <c r="AM481" s="352">
        <f>IF(Table_NFI[[#This Row],[Winter Clothes Adult]]+Table_NFI[[#This Row],[Winter Clothes Children]]+Table_NFI[[#This Row],[Winter Items Other]]+Table_NFI[[#This Row],[Winter Blanket]]&gt;0,1,0)</f>
        <v>1</v>
      </c>
      <c r="AN481" s="392">
        <f>IF(NFI_Expiration=1,IF($A481&lt;VLOOKUP(V$5,NFI,5,0),1,0)*Table_NFI[[#This Row],[Jerry Can]],Table_NFI[Jerry Can])</f>
        <v>0</v>
      </c>
      <c r="AO481" s="540" t="str">
        <f>IFERROR(VLOOKUP(Table_NFI[[#This Row],[Camp Name]],CL,2,0),"")</f>
        <v>MMR001CMP223</v>
      </c>
      <c r="AP481" s="535">
        <f ca="1">IF(Table_NFI[[#This Row],[Pcode]]="","",IF(OFFSET(CampList[Opening Date],MATCH(Table_NFI[[#This Row],[Pcode]],CampList[CP_Pcode],0)-1,0,1,1)&gt;=NFI_Monitor_Date,1,0))</f>
        <v>0</v>
      </c>
      <c r="AQ481" s="540" t="str">
        <f>IFERROR(VLOOKUP(Table_NFI[[#This Row],[Camp Name]],CL,3,0),"")</f>
        <v>Open</v>
      </c>
      <c r="AR481" s="352" t="str">
        <f ca="1">IF(Table_NFI[[#This Row],[Pcode]]="","",OFFSET(CampList[Priority],MATCH(Table_NFI[[#This Row],[Pcode]],CampList[CP_Pcode],0)-1,0,1,1))</f>
        <v>P4</v>
      </c>
      <c r="AS481" s="351">
        <f>IFERROR(Table_NFI[[#This Row],[Kitchen Set]]/VLOOKUP(Table_NFI[[#This Row],[Camp Name]],CL,4,0),"")</f>
        <v>0</v>
      </c>
      <c r="AT481" s="533"/>
      <c r="AU481" s="536"/>
    </row>
    <row r="482" spans="1:47" s="537" customFormat="1" ht="14.45" customHeight="1" x14ac:dyDescent="0.25">
      <c r="A482" s="355">
        <f t="shared" si="7"/>
        <v>35.733333333333334</v>
      </c>
      <c r="B482" s="532">
        <v>41499</v>
      </c>
      <c r="C482" s="533" t="s">
        <v>453</v>
      </c>
      <c r="D482" s="533" t="s">
        <v>507</v>
      </c>
      <c r="E482" s="533" t="s">
        <v>554</v>
      </c>
      <c r="F482" s="533" t="s">
        <v>166</v>
      </c>
      <c r="G482" s="348" t="s">
        <v>12</v>
      </c>
      <c r="H482" s="349"/>
      <c r="I482" s="349"/>
      <c r="J482" s="349">
        <v>49</v>
      </c>
      <c r="K482" s="349">
        <v>90</v>
      </c>
      <c r="L482" s="350">
        <v>30</v>
      </c>
      <c r="M482" s="350">
        <v>90</v>
      </c>
      <c r="N482" s="350">
        <v>30</v>
      </c>
      <c r="O482" s="350">
        <v>30</v>
      </c>
      <c r="P482" s="352">
        <v>30</v>
      </c>
      <c r="Q482" s="352">
        <v>30</v>
      </c>
      <c r="R482" s="352"/>
      <c r="S482" s="352"/>
      <c r="T482" s="352"/>
      <c r="U482" s="352"/>
      <c r="V482" s="497"/>
      <c r="W482" s="352"/>
      <c r="X482" s="352"/>
      <c r="Y482" s="352">
        <f>IF(NFI_Expiration=1,IF($A482&lt;VLOOKUP(H$5,NFI,5,0),1,0)*Table_NFI[[#This Row],[Hygiene Kit]],Table_NFI[Hygiene Kit])</f>
        <v>0</v>
      </c>
      <c r="Z482" s="352">
        <f>IF(NFI_Expiration=1,IF($A482&lt;VLOOKUP(I$5,NFI,5,0),1,0)*Table_NFI[[#This Row],[NFI Core Kit]],Table_NFI[NFI Core Kit])</f>
        <v>0</v>
      </c>
      <c r="AA482" s="352">
        <f>IF(NFI_Expiration=1,IF($A482&lt;VLOOKUP(J$5,NFI,5,0),1,0)*Table_NFI[[#This Row],[Sanitary Kit]],Table_NFI[Sanitary Kit])</f>
        <v>0</v>
      </c>
      <c r="AB482" s="352">
        <f>IF(NFI_Expiration=1,IF($A482&lt;VLOOKUP(K$5,NFI,5,0),1,0)*Table_NFI[[#This Row],[Mosquito net]],Table_NFI[Mosquito net])</f>
        <v>0</v>
      </c>
      <c r="AC482" s="352">
        <f>IF(NFI_Expiration=1,IF($A482&lt;VLOOKUP(L$5,NFI,5,0),1,0)*Table_NFI[[#This Row],[Tarpaulin]],Table_NFI[[#This Row],[Tarpaulin]])</f>
        <v>0</v>
      </c>
      <c r="AD482" s="352">
        <f>IF(NFI_Expiration=1,IF($A482&lt;VLOOKUP(M$5,NFI,5,0),1,0)*Table_NFI[[#This Row],[Blanket]],Table_NFI[[#This Row],[Blanket]])</f>
        <v>0</v>
      </c>
      <c r="AE482" s="352">
        <f>IF(NFI_Expiration=1,IF($A482&lt;VLOOKUP(N$5,NFI,5,0),1,0)*Table_NFI[[#This Row],[Kitchen Set]],Table_NFI[Kitchen Set])</f>
        <v>0</v>
      </c>
      <c r="AF482" s="352">
        <f>IF(NFI_Expiration=1,IF($A482&lt;VLOOKUP(O$5,NFI,5,0),1,0)*Table_NFI[[#This Row],[Clothes Kit]],Table_NFI[Clothes Kit])</f>
        <v>0</v>
      </c>
      <c r="AG482" s="352">
        <f>IF(NFI_Expiration=1,IF($A482&lt;VLOOKUP(P$5,NFI,5,0),1,0)*Table_NFI[[#This Row],[Plastic Bucket]],Table_NFI[Plastic Bucket])</f>
        <v>0</v>
      </c>
      <c r="AH482" s="352">
        <f>IF(NFI_Expiration=1,IF($A482&lt;VLOOKUP(Q$5,NFI,5,0),1,0)*Table_NFI[[#This Row],[Plastic Mat]],Table_NFI[Plastic Mat])*IF(Table_NFI[[#This Row],[Distribution Date]]&gt;"2014-04-01",1,2.5)</f>
        <v>0</v>
      </c>
      <c r="AI482" s="352">
        <f>IF(NFI_Expiration=1,IF($A482&lt;VLOOKUP(R$5,NFI,5,0),1,0)*Table_NFI[[#This Row],[Winter Clothes Adult]],Table_NFI[Winter Clothes Adult])</f>
        <v>0</v>
      </c>
      <c r="AJ482" s="352">
        <f>IF(NFI_Expiration=1,IF($A482&lt;VLOOKUP(S$5,NFI,5,0),1,0)*Table_NFI[[#This Row],[Winter Clothes Children]],Table_NFI[Winter Clothes Children])</f>
        <v>0</v>
      </c>
      <c r="AK482" s="352">
        <f>IF(NFI_Expiration=1,IF($A482&lt;VLOOKUP(T$5,NFI,5,0),1,0)*Table_NFI[[#This Row],[Winter Items Other]],Table_NFI[Winter Items Other])</f>
        <v>0</v>
      </c>
      <c r="AL482" s="352">
        <f>IF(NFI_Expiration=1,IF($A482&lt;VLOOKUP(M$5,NFI,5,0),1,0)*Table_NFI[[#This Row],[Winter Blanket]],Table_NFI[[#This Row],[Winter Blanket]])</f>
        <v>0</v>
      </c>
      <c r="AM482" s="352">
        <f>IF(Table_NFI[[#This Row],[Winter Clothes Adult]]+Table_NFI[[#This Row],[Winter Clothes Children]]+Table_NFI[[#This Row],[Winter Items Other]]+Table_NFI[[#This Row],[Winter Blanket]]&gt;0,1,0)</f>
        <v>0</v>
      </c>
      <c r="AN482" s="392">
        <f>IF(NFI_Expiration=1,IF($A482&lt;VLOOKUP(V$5,NFI,5,0),1,0)*Table_NFI[[#This Row],[Jerry Can]],Table_NFI[Jerry Can])</f>
        <v>0</v>
      </c>
      <c r="AO482" s="540" t="str">
        <f>IFERROR(VLOOKUP(Table_NFI[[#This Row],[Camp Name]],CL,2,0),"")</f>
        <v>MMR001CMP163</v>
      </c>
      <c r="AP482" s="535">
        <f ca="1">IF(Table_NFI[[#This Row],[Pcode]]="","",IF(OFFSET(CampList[Opening Date],MATCH(Table_NFI[[#This Row],[Pcode]],CampList[CP_Pcode],0)-1,0,1,1)&gt;=NFI_Monitor_Date,1,0))</f>
        <v>0</v>
      </c>
      <c r="AQ482" s="540" t="str">
        <f>IFERROR(VLOOKUP(Table_NFI[[#This Row],[Camp Name]],CL,3,0),"")</f>
        <v>Open</v>
      </c>
      <c r="AR482" s="352" t="str">
        <f ca="1">IF(Table_NFI[[#This Row],[Pcode]]="","",OFFSET(CampList[Priority],MATCH(Table_NFI[[#This Row],[Pcode]],CampList[CP_Pcode],0)-1,0,1,1))</f>
        <v>P4</v>
      </c>
      <c r="AS482" s="351">
        <f>IFERROR(Table_NFI[[#This Row],[Kitchen Set]]/VLOOKUP(Table_NFI[[#This Row],[Camp Name]],CL,4,0),"")</f>
        <v>0.14218009478672985</v>
      </c>
      <c r="AT482" s="533" t="s">
        <v>1094</v>
      </c>
      <c r="AU482" s="536"/>
    </row>
    <row r="483" spans="1:47" s="537" customFormat="1" ht="14.45" customHeight="1" x14ac:dyDescent="0.25">
      <c r="A483" s="355">
        <f t="shared" si="7"/>
        <v>35.733333333333334</v>
      </c>
      <c r="B483" s="532">
        <v>41499</v>
      </c>
      <c r="C483" s="533" t="s">
        <v>453</v>
      </c>
      <c r="D483" s="533" t="s">
        <v>461</v>
      </c>
      <c r="E483" s="533" t="s">
        <v>554</v>
      </c>
      <c r="F483" s="533" t="s">
        <v>146</v>
      </c>
      <c r="G483" s="348" t="s">
        <v>372</v>
      </c>
      <c r="H483" s="349"/>
      <c r="I483" s="349"/>
      <c r="J483" s="349">
        <v>70</v>
      </c>
      <c r="K483" s="349">
        <v>120</v>
      </c>
      <c r="L483" s="350">
        <v>48</v>
      </c>
      <c r="M483" s="350">
        <v>120</v>
      </c>
      <c r="N483" s="350">
        <v>48</v>
      </c>
      <c r="O483" s="350">
        <v>48</v>
      </c>
      <c r="P483" s="352">
        <v>48</v>
      </c>
      <c r="Q483" s="352">
        <v>48</v>
      </c>
      <c r="R483" s="352"/>
      <c r="S483" s="352"/>
      <c r="T483" s="352"/>
      <c r="U483" s="352"/>
      <c r="V483" s="497"/>
      <c r="W483" s="352"/>
      <c r="X483" s="352"/>
      <c r="Y483" s="352">
        <f>IF(NFI_Expiration=1,IF($A483&lt;VLOOKUP(H$5,NFI,5,0),1,0)*Table_NFI[[#This Row],[Hygiene Kit]],Table_NFI[Hygiene Kit])</f>
        <v>0</v>
      </c>
      <c r="Z483" s="352">
        <f>IF(NFI_Expiration=1,IF($A483&lt;VLOOKUP(I$5,NFI,5,0),1,0)*Table_NFI[[#This Row],[NFI Core Kit]],Table_NFI[NFI Core Kit])</f>
        <v>0</v>
      </c>
      <c r="AA483" s="352">
        <f>IF(NFI_Expiration=1,IF($A483&lt;VLOOKUP(J$5,NFI,5,0),1,0)*Table_NFI[[#This Row],[Sanitary Kit]],Table_NFI[Sanitary Kit])</f>
        <v>0</v>
      </c>
      <c r="AB483" s="352">
        <f>IF(NFI_Expiration=1,IF($A483&lt;VLOOKUP(K$5,NFI,5,0),1,0)*Table_NFI[[#This Row],[Mosquito net]],Table_NFI[Mosquito net])</f>
        <v>0</v>
      </c>
      <c r="AC483" s="352">
        <f>IF(NFI_Expiration=1,IF($A483&lt;VLOOKUP(L$5,NFI,5,0),1,0)*Table_NFI[[#This Row],[Tarpaulin]],Table_NFI[[#This Row],[Tarpaulin]])</f>
        <v>0</v>
      </c>
      <c r="AD483" s="352">
        <f>IF(NFI_Expiration=1,IF($A483&lt;VLOOKUP(M$5,NFI,5,0),1,0)*Table_NFI[[#This Row],[Blanket]],Table_NFI[[#This Row],[Blanket]])</f>
        <v>0</v>
      </c>
      <c r="AE483" s="352">
        <f>IF(NFI_Expiration=1,IF($A483&lt;VLOOKUP(N$5,NFI,5,0),1,0)*Table_NFI[[#This Row],[Kitchen Set]],Table_NFI[Kitchen Set])</f>
        <v>0</v>
      </c>
      <c r="AF483" s="352">
        <f>IF(NFI_Expiration=1,IF($A483&lt;VLOOKUP(O$5,NFI,5,0),1,0)*Table_NFI[[#This Row],[Clothes Kit]],Table_NFI[Clothes Kit])</f>
        <v>0</v>
      </c>
      <c r="AG483" s="352">
        <f>IF(NFI_Expiration=1,IF($A483&lt;VLOOKUP(P$5,NFI,5,0),1,0)*Table_NFI[[#This Row],[Plastic Bucket]],Table_NFI[Plastic Bucket])</f>
        <v>0</v>
      </c>
      <c r="AH483" s="352">
        <f>IF(NFI_Expiration=1,IF($A483&lt;VLOOKUP(Q$5,NFI,5,0),1,0)*Table_NFI[[#This Row],[Plastic Mat]],Table_NFI[Plastic Mat])*IF(Table_NFI[[#This Row],[Distribution Date]]&gt;"2014-04-01",1,2.5)</f>
        <v>0</v>
      </c>
      <c r="AI483" s="352">
        <f>IF(NFI_Expiration=1,IF($A483&lt;VLOOKUP(R$5,NFI,5,0),1,0)*Table_NFI[[#This Row],[Winter Clothes Adult]],Table_NFI[Winter Clothes Adult])</f>
        <v>0</v>
      </c>
      <c r="AJ483" s="352">
        <f>IF(NFI_Expiration=1,IF($A483&lt;VLOOKUP(S$5,NFI,5,0),1,0)*Table_NFI[[#This Row],[Winter Clothes Children]],Table_NFI[Winter Clothes Children])</f>
        <v>0</v>
      </c>
      <c r="AK483" s="352">
        <f>IF(NFI_Expiration=1,IF($A483&lt;VLOOKUP(T$5,NFI,5,0),1,0)*Table_NFI[[#This Row],[Winter Items Other]],Table_NFI[Winter Items Other])</f>
        <v>0</v>
      </c>
      <c r="AL483" s="352">
        <f>IF(NFI_Expiration=1,IF($A483&lt;VLOOKUP(M$5,NFI,5,0),1,0)*Table_NFI[[#This Row],[Winter Blanket]],Table_NFI[[#This Row],[Winter Blanket]])</f>
        <v>0</v>
      </c>
      <c r="AM483" s="352">
        <f>IF(Table_NFI[[#This Row],[Winter Clothes Adult]]+Table_NFI[[#This Row],[Winter Clothes Children]]+Table_NFI[[#This Row],[Winter Items Other]]+Table_NFI[[#This Row],[Winter Blanket]]&gt;0,1,0)</f>
        <v>0</v>
      </c>
      <c r="AN483" s="392">
        <f>IF(NFI_Expiration=1,IF($A483&lt;VLOOKUP(V$5,NFI,5,0),1,0)*Table_NFI[[#This Row],[Jerry Can]],Table_NFI[Jerry Can])</f>
        <v>0</v>
      </c>
      <c r="AO483" s="540" t="str">
        <f>IFERROR(VLOOKUP(Table_NFI[[#This Row],[Camp Name]],CL,2,0),"")</f>
        <v>MMR015CMP015</v>
      </c>
      <c r="AP483" s="535">
        <f ca="1">IF(Table_NFI[[#This Row],[Pcode]]="","",IF(OFFSET(CampList[Opening Date],MATCH(Table_NFI[[#This Row],[Pcode]],CampList[CP_Pcode],0)-1,0,1,1)&gt;=NFI_Monitor_Date,1,0))</f>
        <v>0</v>
      </c>
      <c r="AQ483" s="540" t="str">
        <f>IFERROR(VLOOKUP(Table_NFI[[#This Row],[Camp Name]],CL,3,0),"")</f>
        <v>Open</v>
      </c>
      <c r="AR483" s="352" t="str">
        <f ca="1">IF(Table_NFI[[#This Row],[Pcode]]="","",OFFSET(CampList[Priority],MATCH(Table_NFI[[#This Row],[Pcode]],CampList[CP_Pcode],0)-1,0,1,1))</f>
        <v>P3</v>
      </c>
      <c r="AS483" s="351">
        <f>IFERROR(Table_NFI[[#This Row],[Kitchen Set]]/VLOOKUP(Table_NFI[[#This Row],[Camp Name]],CL,4,0),"")</f>
        <v>0.54545454545454541</v>
      </c>
      <c r="AT483" s="533" t="s">
        <v>1094</v>
      </c>
      <c r="AU483" s="536"/>
    </row>
    <row r="484" spans="1:47" s="537" customFormat="1" ht="14.45" hidden="1" customHeight="1" x14ac:dyDescent="0.25">
      <c r="A484" s="355">
        <f t="shared" si="7"/>
        <v>26.4</v>
      </c>
      <c r="B484" s="532">
        <v>41779</v>
      </c>
      <c r="C484" s="533" t="s">
        <v>1106</v>
      </c>
      <c r="D484" s="533" t="s">
        <v>902</v>
      </c>
      <c r="E484" s="533" t="s">
        <v>380</v>
      </c>
      <c r="F484" s="533" t="s">
        <v>237</v>
      </c>
      <c r="G484" s="533" t="s">
        <v>259</v>
      </c>
      <c r="H484" s="349"/>
      <c r="I484" s="349"/>
      <c r="J484" s="349"/>
      <c r="K484" s="349"/>
      <c r="L484" s="350"/>
      <c r="M484" s="350"/>
      <c r="N484" s="350"/>
      <c r="O484" s="350"/>
      <c r="P484" s="352"/>
      <c r="Q484" s="352"/>
      <c r="R484" s="352"/>
      <c r="S484" s="352"/>
      <c r="T484" s="352"/>
      <c r="U484" s="352">
        <v>142</v>
      </c>
      <c r="V484" s="497"/>
      <c r="W484" s="352"/>
      <c r="X484" s="352"/>
      <c r="Y484" s="352">
        <f>IF(NFI_Expiration=1,IF($A484&lt;VLOOKUP(H$5,NFI,5,0),1,0)*Table_NFI[[#This Row],[Hygiene Kit]],Table_NFI[Hygiene Kit])</f>
        <v>0</v>
      </c>
      <c r="Z484" s="352">
        <f>IF(NFI_Expiration=1,IF($A484&lt;VLOOKUP(I$5,NFI,5,0),1,0)*Table_NFI[[#This Row],[NFI Core Kit]],Table_NFI[NFI Core Kit])</f>
        <v>0</v>
      </c>
      <c r="AA484" s="352">
        <f>IF(NFI_Expiration=1,IF($A484&lt;VLOOKUP(J$5,NFI,5,0),1,0)*Table_NFI[[#This Row],[Sanitary Kit]],Table_NFI[Sanitary Kit])</f>
        <v>0</v>
      </c>
      <c r="AB484" s="352">
        <f>IF(NFI_Expiration=1,IF($A484&lt;VLOOKUP(K$5,NFI,5,0),1,0)*Table_NFI[[#This Row],[Mosquito net]],Table_NFI[Mosquito net])</f>
        <v>0</v>
      </c>
      <c r="AC484" s="352">
        <f>IF(NFI_Expiration=1,IF($A484&lt;VLOOKUP(L$5,NFI,5,0),1,0)*Table_NFI[[#This Row],[Tarpaulin]],Table_NFI[[#This Row],[Tarpaulin]])</f>
        <v>0</v>
      </c>
      <c r="AD484" s="352">
        <f>IF(NFI_Expiration=1,IF($A484&lt;VLOOKUP(M$5,NFI,5,0),1,0)*Table_NFI[[#This Row],[Blanket]],Table_NFI[[#This Row],[Blanket]])</f>
        <v>0</v>
      </c>
      <c r="AE484" s="352">
        <f>IF(NFI_Expiration=1,IF($A484&lt;VLOOKUP(N$5,NFI,5,0),1,0)*Table_NFI[[#This Row],[Kitchen Set]],Table_NFI[Kitchen Set])</f>
        <v>0</v>
      </c>
      <c r="AF484" s="352">
        <f>IF(NFI_Expiration=1,IF($A484&lt;VLOOKUP(O$5,NFI,5,0),1,0)*Table_NFI[[#This Row],[Clothes Kit]],Table_NFI[Clothes Kit])</f>
        <v>0</v>
      </c>
      <c r="AG484" s="352">
        <f>IF(NFI_Expiration=1,IF($A484&lt;VLOOKUP(P$5,NFI,5,0),1,0)*Table_NFI[[#This Row],[Plastic Bucket]],Table_NFI[Plastic Bucket])</f>
        <v>0</v>
      </c>
      <c r="AH484" s="352">
        <f>IF(NFI_Expiration=1,IF($A484&lt;VLOOKUP(Q$5,NFI,5,0),1,0)*Table_NFI[[#This Row],[Plastic Mat]],Table_NFI[Plastic Mat])*IF(Table_NFI[[#This Row],[Distribution Date]]&gt;"2014-04-01",1,2.5)</f>
        <v>0</v>
      </c>
      <c r="AI484" s="352">
        <f>IF(NFI_Expiration=1,IF($A484&lt;VLOOKUP(R$5,NFI,5,0),1,0)*Table_NFI[[#This Row],[Winter Clothes Adult]],Table_NFI[Winter Clothes Adult])</f>
        <v>0</v>
      </c>
      <c r="AJ484" s="352">
        <f>IF(NFI_Expiration=1,IF($A484&lt;VLOOKUP(S$5,NFI,5,0),1,0)*Table_NFI[[#This Row],[Winter Clothes Children]],Table_NFI[Winter Clothes Children])</f>
        <v>0</v>
      </c>
      <c r="AK484" s="352">
        <f>IF(NFI_Expiration=1,IF($A484&lt;VLOOKUP(T$5,NFI,5,0),1,0)*Table_NFI[[#This Row],[Winter Items Other]],Table_NFI[Winter Items Other])</f>
        <v>0</v>
      </c>
      <c r="AL484" s="352">
        <f>IF(NFI_Expiration=1,IF($A484&lt;VLOOKUP(M$5,NFI,5,0),1,0)*Table_NFI[[#This Row],[Winter Blanket]],Table_NFI[[#This Row],[Winter Blanket]])</f>
        <v>0</v>
      </c>
      <c r="AM484" s="352">
        <f>IF(Table_NFI[[#This Row],[Winter Clothes Adult]]+Table_NFI[[#This Row],[Winter Clothes Children]]+Table_NFI[[#This Row],[Winter Items Other]]+Table_NFI[[#This Row],[Winter Blanket]]&gt;0,1,0)</f>
        <v>1</v>
      </c>
      <c r="AN484" s="392">
        <f>IF(NFI_Expiration=1,IF($A484&lt;VLOOKUP(V$5,NFI,5,0),1,0)*Table_NFI[[#This Row],[Jerry Can]],Table_NFI[Jerry Can])</f>
        <v>0</v>
      </c>
      <c r="AO484" s="540" t="str">
        <f>IFERROR(VLOOKUP(Table_NFI[[#This Row],[Camp Name]],CL,2,0),"")</f>
        <v>MMR001CMP016</v>
      </c>
      <c r="AP484" s="535">
        <f ca="1">IF(Table_NFI[[#This Row],[Pcode]]="","",IF(OFFSET(CampList[Opening Date],MATCH(Table_NFI[[#This Row],[Pcode]],CampList[CP_Pcode],0)-1,0,1,1)&gt;=NFI_Monitor_Date,1,0))</f>
        <v>0</v>
      </c>
      <c r="AQ484" s="540" t="str">
        <f>IFERROR(VLOOKUP(Table_NFI[[#This Row],[Camp Name]],CL,3,0),"")</f>
        <v>Open</v>
      </c>
      <c r="AR484" s="352" t="str">
        <f ca="1">IF(Table_NFI[[#This Row],[Pcode]]="","",OFFSET(CampList[Priority],MATCH(Table_NFI[[#This Row],[Pcode]],CampList[CP_Pcode],0)-1,0,1,1))</f>
        <v>P4</v>
      </c>
      <c r="AS484" s="351">
        <f>IFERROR(Table_NFI[[#This Row],[Kitchen Set]]/VLOOKUP(Table_NFI[[#This Row],[Camp Name]],CL,4,0),"")</f>
        <v>0</v>
      </c>
      <c r="AT484" s="533"/>
      <c r="AU484" s="536"/>
    </row>
    <row r="485" spans="1:47" s="537" customFormat="1" ht="14.45" customHeight="1" x14ac:dyDescent="0.25">
      <c r="A485" s="355">
        <f t="shared" si="7"/>
        <v>35.733333333333334</v>
      </c>
      <c r="B485" s="532">
        <v>41499</v>
      </c>
      <c r="C485" s="533" t="s">
        <v>453</v>
      </c>
      <c r="D485" s="534" t="s">
        <v>507</v>
      </c>
      <c r="E485" s="533" t="s">
        <v>554</v>
      </c>
      <c r="F485" s="348" t="s">
        <v>146</v>
      </c>
      <c r="G485" s="348" t="s">
        <v>370</v>
      </c>
      <c r="H485" s="349"/>
      <c r="I485" s="349"/>
      <c r="J485" s="349">
        <v>47</v>
      </c>
      <c r="K485" s="349">
        <v>103</v>
      </c>
      <c r="L485" s="350">
        <v>41</v>
      </c>
      <c r="M485" s="350">
        <v>103</v>
      </c>
      <c r="N485" s="350">
        <v>41</v>
      </c>
      <c r="O485" s="350">
        <v>41</v>
      </c>
      <c r="P485" s="352">
        <v>41</v>
      </c>
      <c r="Q485" s="352">
        <v>41</v>
      </c>
      <c r="R485" s="352"/>
      <c r="S485" s="352"/>
      <c r="T485" s="352"/>
      <c r="U485" s="352"/>
      <c r="V485" s="497"/>
      <c r="W485" s="352"/>
      <c r="X485" s="352"/>
      <c r="Y485" s="352">
        <f>IF(NFI_Expiration=1,IF($A485&lt;VLOOKUP(H$5,NFI,5,0),1,0)*Table_NFI[[#This Row],[Hygiene Kit]],Table_NFI[Hygiene Kit])</f>
        <v>0</v>
      </c>
      <c r="Z485" s="352">
        <f>IF(NFI_Expiration=1,IF($A485&lt;VLOOKUP(I$5,NFI,5,0),1,0)*Table_NFI[[#This Row],[NFI Core Kit]],Table_NFI[NFI Core Kit])</f>
        <v>0</v>
      </c>
      <c r="AA485" s="352">
        <f>IF(NFI_Expiration=1,IF($A485&lt;VLOOKUP(J$5,NFI,5,0),1,0)*Table_NFI[[#This Row],[Sanitary Kit]],Table_NFI[Sanitary Kit])</f>
        <v>0</v>
      </c>
      <c r="AB485" s="352">
        <f>IF(NFI_Expiration=1,IF($A485&lt;VLOOKUP(K$5,NFI,5,0),1,0)*Table_NFI[[#This Row],[Mosquito net]],Table_NFI[Mosquito net])</f>
        <v>0</v>
      </c>
      <c r="AC485" s="352">
        <f>IF(NFI_Expiration=1,IF($A485&lt;VLOOKUP(L$5,NFI,5,0),1,0)*Table_NFI[[#This Row],[Tarpaulin]],Table_NFI[[#This Row],[Tarpaulin]])</f>
        <v>0</v>
      </c>
      <c r="AD485" s="352">
        <f>IF(NFI_Expiration=1,IF($A485&lt;VLOOKUP(M$5,NFI,5,0),1,0)*Table_NFI[[#This Row],[Blanket]],Table_NFI[[#This Row],[Blanket]])</f>
        <v>0</v>
      </c>
      <c r="AE485" s="352">
        <f>IF(NFI_Expiration=1,IF($A485&lt;VLOOKUP(N$5,NFI,5,0),1,0)*Table_NFI[[#This Row],[Kitchen Set]],Table_NFI[Kitchen Set])</f>
        <v>0</v>
      </c>
      <c r="AF485" s="352">
        <f>IF(NFI_Expiration=1,IF($A485&lt;VLOOKUP(O$5,NFI,5,0),1,0)*Table_NFI[[#This Row],[Clothes Kit]],Table_NFI[Clothes Kit])</f>
        <v>0</v>
      </c>
      <c r="AG485" s="352">
        <f>IF(NFI_Expiration=1,IF($A485&lt;VLOOKUP(P$5,NFI,5,0),1,0)*Table_NFI[[#This Row],[Plastic Bucket]],Table_NFI[Plastic Bucket])</f>
        <v>0</v>
      </c>
      <c r="AH485" s="352">
        <f>IF(NFI_Expiration=1,IF($A485&lt;VLOOKUP(Q$5,NFI,5,0),1,0)*Table_NFI[[#This Row],[Plastic Mat]],Table_NFI[Plastic Mat])*IF(Table_NFI[[#This Row],[Distribution Date]]&gt;"2014-04-01",1,2.5)</f>
        <v>0</v>
      </c>
      <c r="AI485" s="352">
        <f>IF(NFI_Expiration=1,IF($A485&lt;VLOOKUP(R$5,NFI,5,0),1,0)*Table_NFI[[#This Row],[Winter Clothes Adult]],Table_NFI[Winter Clothes Adult])</f>
        <v>0</v>
      </c>
      <c r="AJ485" s="352">
        <f>IF(NFI_Expiration=1,IF($A485&lt;VLOOKUP(S$5,NFI,5,0),1,0)*Table_NFI[[#This Row],[Winter Clothes Children]],Table_NFI[Winter Clothes Children])</f>
        <v>0</v>
      </c>
      <c r="AK485" s="352">
        <f>IF(NFI_Expiration=1,IF($A485&lt;VLOOKUP(T$5,NFI,5,0),1,0)*Table_NFI[[#This Row],[Winter Items Other]],Table_NFI[Winter Items Other])</f>
        <v>0</v>
      </c>
      <c r="AL485" s="352">
        <f>IF(NFI_Expiration=1,IF($A485&lt;VLOOKUP(M$5,NFI,5,0),1,0)*Table_NFI[[#This Row],[Winter Blanket]],Table_NFI[[#This Row],[Winter Blanket]])</f>
        <v>0</v>
      </c>
      <c r="AM485" s="352">
        <f>IF(Table_NFI[[#This Row],[Winter Clothes Adult]]+Table_NFI[[#This Row],[Winter Clothes Children]]+Table_NFI[[#This Row],[Winter Items Other]]+Table_NFI[[#This Row],[Winter Blanket]]&gt;0,1,0)</f>
        <v>0</v>
      </c>
      <c r="AN485" s="392">
        <f>IF(NFI_Expiration=1,IF($A485&lt;VLOOKUP(V$5,NFI,5,0),1,0)*Table_NFI[[#This Row],[Jerry Can]],Table_NFI[Jerry Can])</f>
        <v>0</v>
      </c>
      <c r="AO485" s="540" t="str">
        <f>IFERROR(VLOOKUP(Table_NFI[[#This Row],[Camp Name]],CL,2,0),"")</f>
        <v>MMR015CMP017</v>
      </c>
      <c r="AP485" s="535">
        <f ca="1">IF(Table_NFI[[#This Row],[Pcode]]="","",IF(OFFSET(CampList[Opening Date],MATCH(Table_NFI[[#This Row],[Pcode]],CampList[CP_Pcode],0)-1,0,1,1)&gt;=NFI_Monitor_Date,1,0))</f>
        <v>0</v>
      </c>
      <c r="AQ485" s="540" t="str">
        <f>IFERROR(VLOOKUP(Table_NFI[[#This Row],[Camp Name]],CL,3,0),"")</f>
        <v>Open</v>
      </c>
      <c r="AR485" s="352" t="str">
        <f ca="1">IF(Table_NFI[[#This Row],[Pcode]]="","",OFFSET(CampList[Priority],MATCH(Table_NFI[[#This Row],[Pcode]],CampList[CP_Pcode],0)-1,0,1,1))</f>
        <v>P3</v>
      </c>
      <c r="AS485" s="351">
        <f>IFERROR(Table_NFI[[#This Row],[Kitchen Set]]/VLOOKUP(Table_NFI[[#This Row],[Camp Name]],CL,4,0),"")</f>
        <v>1.3666666666666667</v>
      </c>
      <c r="AT485" s="533" t="s">
        <v>1094</v>
      </c>
      <c r="AU485" s="536"/>
    </row>
    <row r="486" spans="1:47" s="537" customFormat="1" ht="14.45" customHeight="1" x14ac:dyDescent="0.25">
      <c r="A486" s="355">
        <f t="shared" si="7"/>
        <v>35.733333333333334</v>
      </c>
      <c r="B486" s="532">
        <v>41499</v>
      </c>
      <c r="C486" s="533" t="s">
        <v>453</v>
      </c>
      <c r="D486" s="534" t="s">
        <v>461</v>
      </c>
      <c r="E486" s="533" t="s">
        <v>554</v>
      </c>
      <c r="F486" s="348" t="s">
        <v>166</v>
      </c>
      <c r="G486" s="348" t="s">
        <v>167</v>
      </c>
      <c r="H486" s="349"/>
      <c r="I486" s="349"/>
      <c r="J486" s="349">
        <v>36</v>
      </c>
      <c r="K486" s="349">
        <v>84</v>
      </c>
      <c r="L486" s="350">
        <v>42</v>
      </c>
      <c r="M486" s="350">
        <v>84</v>
      </c>
      <c r="N486" s="350">
        <v>42</v>
      </c>
      <c r="O486" s="350">
        <v>42</v>
      </c>
      <c r="P486" s="352">
        <v>42</v>
      </c>
      <c r="Q486" s="352">
        <v>42</v>
      </c>
      <c r="R486" s="352"/>
      <c r="S486" s="352"/>
      <c r="T486" s="352"/>
      <c r="U486" s="352"/>
      <c r="V486" s="497"/>
      <c r="W486" s="352"/>
      <c r="X486" s="352"/>
      <c r="Y486" s="352">
        <f>IF(NFI_Expiration=1,IF($A486&lt;VLOOKUP(H$5,NFI,5,0),1,0)*Table_NFI[[#This Row],[Hygiene Kit]],Table_NFI[Hygiene Kit])</f>
        <v>0</v>
      </c>
      <c r="Z486" s="352">
        <f>IF(NFI_Expiration=1,IF($A486&lt;VLOOKUP(I$5,NFI,5,0),1,0)*Table_NFI[[#This Row],[NFI Core Kit]],Table_NFI[NFI Core Kit])</f>
        <v>0</v>
      </c>
      <c r="AA486" s="352">
        <f>IF(NFI_Expiration=1,IF($A486&lt;VLOOKUP(J$5,NFI,5,0),1,0)*Table_NFI[[#This Row],[Sanitary Kit]],Table_NFI[Sanitary Kit])</f>
        <v>0</v>
      </c>
      <c r="AB486" s="352">
        <f>IF(NFI_Expiration=1,IF($A486&lt;VLOOKUP(K$5,NFI,5,0),1,0)*Table_NFI[[#This Row],[Mosquito net]],Table_NFI[Mosquito net])</f>
        <v>0</v>
      </c>
      <c r="AC486" s="352">
        <f>IF(NFI_Expiration=1,IF($A486&lt;VLOOKUP(L$5,NFI,5,0),1,0)*Table_NFI[[#This Row],[Tarpaulin]],Table_NFI[[#This Row],[Tarpaulin]])</f>
        <v>0</v>
      </c>
      <c r="AD486" s="352">
        <f>IF(NFI_Expiration=1,IF($A486&lt;VLOOKUP(M$5,NFI,5,0),1,0)*Table_NFI[[#This Row],[Blanket]],Table_NFI[[#This Row],[Blanket]])</f>
        <v>0</v>
      </c>
      <c r="AE486" s="352">
        <f>IF(NFI_Expiration=1,IF($A486&lt;VLOOKUP(N$5,NFI,5,0),1,0)*Table_NFI[[#This Row],[Kitchen Set]],Table_NFI[Kitchen Set])</f>
        <v>0</v>
      </c>
      <c r="AF486" s="352">
        <f>IF(NFI_Expiration=1,IF($A486&lt;VLOOKUP(O$5,NFI,5,0),1,0)*Table_NFI[[#This Row],[Clothes Kit]],Table_NFI[Clothes Kit])</f>
        <v>0</v>
      </c>
      <c r="AG486" s="352">
        <f>IF(NFI_Expiration=1,IF($A486&lt;VLOOKUP(P$5,NFI,5,0),1,0)*Table_NFI[[#This Row],[Plastic Bucket]],Table_NFI[Plastic Bucket])</f>
        <v>0</v>
      </c>
      <c r="AH486" s="352">
        <f>IF(NFI_Expiration=1,IF($A486&lt;VLOOKUP(Q$5,NFI,5,0),1,0)*Table_NFI[[#This Row],[Plastic Mat]],Table_NFI[Plastic Mat])*IF(Table_NFI[[#This Row],[Distribution Date]]&gt;"2014-04-01",1,2.5)</f>
        <v>0</v>
      </c>
      <c r="AI486" s="352">
        <f>IF(NFI_Expiration=1,IF($A486&lt;VLOOKUP(R$5,NFI,5,0),1,0)*Table_NFI[[#This Row],[Winter Clothes Adult]],Table_NFI[Winter Clothes Adult])</f>
        <v>0</v>
      </c>
      <c r="AJ486" s="352">
        <f>IF(NFI_Expiration=1,IF($A486&lt;VLOOKUP(S$5,NFI,5,0),1,0)*Table_NFI[[#This Row],[Winter Clothes Children]],Table_NFI[Winter Clothes Children])</f>
        <v>0</v>
      </c>
      <c r="AK486" s="352">
        <f>IF(NFI_Expiration=1,IF($A486&lt;VLOOKUP(T$5,NFI,5,0),1,0)*Table_NFI[[#This Row],[Winter Items Other]],Table_NFI[Winter Items Other])</f>
        <v>0</v>
      </c>
      <c r="AL486" s="352">
        <f>IF(NFI_Expiration=1,IF($A486&lt;VLOOKUP(M$5,NFI,5,0),1,0)*Table_NFI[[#This Row],[Winter Blanket]],Table_NFI[[#This Row],[Winter Blanket]])</f>
        <v>0</v>
      </c>
      <c r="AM486" s="352">
        <f>IF(Table_NFI[[#This Row],[Winter Clothes Adult]]+Table_NFI[[#This Row],[Winter Clothes Children]]+Table_NFI[[#This Row],[Winter Items Other]]+Table_NFI[[#This Row],[Winter Blanket]]&gt;0,1,0)</f>
        <v>0</v>
      </c>
      <c r="AN486" s="392">
        <f>IF(NFI_Expiration=1,IF($A486&lt;VLOOKUP(V$5,NFI,5,0),1,0)*Table_NFI[[#This Row],[Jerry Can]],Table_NFI[Jerry Can])</f>
        <v>0</v>
      </c>
      <c r="AO486" s="540" t="str">
        <f>IFERROR(VLOOKUP(Table_NFI[[#This Row],[Camp Name]],CL,2,0),"")</f>
        <v>MMR015CMP009</v>
      </c>
      <c r="AP486" s="535">
        <f ca="1">IF(Table_NFI[[#This Row],[Pcode]]="","",IF(OFFSET(CampList[Opening Date],MATCH(Table_NFI[[#This Row],[Pcode]],CampList[CP_Pcode],0)-1,0,1,1)&gt;=NFI_Monitor_Date,1,0))</f>
        <v>0</v>
      </c>
      <c r="AQ486" s="540" t="str">
        <f>IFERROR(VLOOKUP(Table_NFI[[#This Row],[Camp Name]],CL,3,0),"")</f>
        <v>Open</v>
      </c>
      <c r="AR486" s="352" t="str">
        <f ca="1">IF(Table_NFI[[#This Row],[Pcode]]="","",OFFSET(CampList[Priority],MATCH(Table_NFI[[#This Row],[Pcode]],CampList[CP_Pcode],0)-1,0,1,1))</f>
        <v>P2</v>
      </c>
      <c r="AS486" s="351">
        <f>IFERROR(Table_NFI[[#This Row],[Kitchen Set]]/VLOOKUP(Table_NFI[[#This Row],[Camp Name]],CL,4,0),"")</f>
        <v>1.1351351351351351</v>
      </c>
      <c r="AT486" s="533" t="s">
        <v>1094</v>
      </c>
      <c r="AU486" s="536"/>
    </row>
    <row r="487" spans="1:47" s="537" customFormat="1" ht="14.45" customHeight="1" x14ac:dyDescent="0.25">
      <c r="A487" s="355">
        <f t="shared" si="7"/>
        <v>35.733333333333334</v>
      </c>
      <c r="B487" s="532">
        <v>41499</v>
      </c>
      <c r="C487" s="533" t="s">
        <v>453</v>
      </c>
      <c r="D487" s="534" t="s">
        <v>461</v>
      </c>
      <c r="E487" s="533" t="s">
        <v>554</v>
      </c>
      <c r="F487" s="348" t="s">
        <v>146</v>
      </c>
      <c r="G487" s="348" t="s">
        <v>368</v>
      </c>
      <c r="H487" s="349"/>
      <c r="I487" s="349"/>
      <c r="J487" s="349">
        <v>113</v>
      </c>
      <c r="K487" s="349">
        <v>160</v>
      </c>
      <c r="L487" s="350">
        <v>32</v>
      </c>
      <c r="M487" s="350">
        <v>160</v>
      </c>
      <c r="N487" s="350">
        <v>32</v>
      </c>
      <c r="O487" s="350">
        <v>32</v>
      </c>
      <c r="P487" s="352">
        <v>32</v>
      </c>
      <c r="Q487" s="352">
        <v>32</v>
      </c>
      <c r="R487" s="352"/>
      <c r="S487" s="352"/>
      <c r="T487" s="352"/>
      <c r="U487" s="352"/>
      <c r="V487" s="497"/>
      <c r="W487" s="352"/>
      <c r="X487" s="352"/>
      <c r="Y487" s="352">
        <f>IF(NFI_Expiration=1,IF($A487&lt;VLOOKUP(H$5,NFI,5,0),1,0)*Table_NFI[[#This Row],[Hygiene Kit]],Table_NFI[Hygiene Kit])</f>
        <v>0</v>
      </c>
      <c r="Z487" s="352">
        <f>IF(NFI_Expiration=1,IF($A487&lt;VLOOKUP(I$5,NFI,5,0),1,0)*Table_NFI[[#This Row],[NFI Core Kit]],Table_NFI[NFI Core Kit])</f>
        <v>0</v>
      </c>
      <c r="AA487" s="352">
        <f>IF(NFI_Expiration=1,IF($A487&lt;VLOOKUP(J$5,NFI,5,0),1,0)*Table_NFI[[#This Row],[Sanitary Kit]],Table_NFI[Sanitary Kit])</f>
        <v>0</v>
      </c>
      <c r="AB487" s="352">
        <f>IF(NFI_Expiration=1,IF($A487&lt;VLOOKUP(K$5,NFI,5,0),1,0)*Table_NFI[[#This Row],[Mosquito net]],Table_NFI[Mosquito net])</f>
        <v>0</v>
      </c>
      <c r="AC487" s="352">
        <f>IF(NFI_Expiration=1,IF($A487&lt;VLOOKUP(L$5,NFI,5,0),1,0)*Table_NFI[[#This Row],[Tarpaulin]],Table_NFI[[#This Row],[Tarpaulin]])</f>
        <v>0</v>
      </c>
      <c r="AD487" s="352">
        <f>IF(NFI_Expiration=1,IF($A487&lt;VLOOKUP(M$5,NFI,5,0),1,0)*Table_NFI[[#This Row],[Blanket]],Table_NFI[[#This Row],[Blanket]])</f>
        <v>0</v>
      </c>
      <c r="AE487" s="352">
        <f>IF(NFI_Expiration=1,IF($A487&lt;VLOOKUP(N$5,NFI,5,0),1,0)*Table_NFI[[#This Row],[Kitchen Set]],Table_NFI[Kitchen Set])</f>
        <v>0</v>
      </c>
      <c r="AF487" s="352">
        <f>IF(NFI_Expiration=1,IF($A487&lt;VLOOKUP(O$5,NFI,5,0),1,0)*Table_NFI[[#This Row],[Clothes Kit]],Table_NFI[Clothes Kit])</f>
        <v>0</v>
      </c>
      <c r="AG487" s="352">
        <f>IF(NFI_Expiration=1,IF($A487&lt;VLOOKUP(P$5,NFI,5,0),1,0)*Table_NFI[[#This Row],[Plastic Bucket]],Table_NFI[Plastic Bucket])</f>
        <v>0</v>
      </c>
      <c r="AH487" s="352">
        <f>IF(NFI_Expiration=1,IF($A487&lt;VLOOKUP(Q$5,NFI,5,0),1,0)*Table_NFI[[#This Row],[Plastic Mat]],Table_NFI[Plastic Mat])*IF(Table_NFI[[#This Row],[Distribution Date]]&gt;"2014-04-01",1,2.5)</f>
        <v>0</v>
      </c>
      <c r="AI487" s="352">
        <f>IF(NFI_Expiration=1,IF($A487&lt;VLOOKUP(R$5,NFI,5,0),1,0)*Table_NFI[[#This Row],[Winter Clothes Adult]],Table_NFI[Winter Clothes Adult])</f>
        <v>0</v>
      </c>
      <c r="AJ487" s="352">
        <f>IF(NFI_Expiration=1,IF($A487&lt;VLOOKUP(S$5,NFI,5,0),1,0)*Table_NFI[[#This Row],[Winter Clothes Children]],Table_NFI[Winter Clothes Children])</f>
        <v>0</v>
      </c>
      <c r="AK487" s="352">
        <f>IF(NFI_Expiration=1,IF($A487&lt;VLOOKUP(T$5,NFI,5,0),1,0)*Table_NFI[[#This Row],[Winter Items Other]],Table_NFI[Winter Items Other])</f>
        <v>0</v>
      </c>
      <c r="AL487" s="352">
        <f>IF(NFI_Expiration=1,IF($A487&lt;VLOOKUP(M$5,NFI,5,0),1,0)*Table_NFI[[#This Row],[Winter Blanket]],Table_NFI[[#This Row],[Winter Blanket]])</f>
        <v>0</v>
      </c>
      <c r="AM487" s="352">
        <f>IF(Table_NFI[[#This Row],[Winter Clothes Adult]]+Table_NFI[[#This Row],[Winter Clothes Children]]+Table_NFI[[#This Row],[Winter Items Other]]+Table_NFI[[#This Row],[Winter Blanket]]&gt;0,1,0)</f>
        <v>0</v>
      </c>
      <c r="AN487" s="392">
        <f>IF(NFI_Expiration=1,IF($A487&lt;VLOOKUP(V$5,NFI,5,0),1,0)*Table_NFI[[#This Row],[Jerry Can]],Table_NFI[Jerry Can])</f>
        <v>0</v>
      </c>
      <c r="AO487" s="540" t="str">
        <f>IFERROR(VLOOKUP(Table_NFI[[#This Row],[Camp Name]],CL,2,0),"")</f>
        <v>MMR015CMP018</v>
      </c>
      <c r="AP487" s="535">
        <f ca="1">IF(Table_NFI[[#This Row],[Pcode]]="","",IF(OFFSET(CampList[Opening Date],MATCH(Table_NFI[[#This Row],[Pcode]],CampList[CP_Pcode],0)-1,0,1,1)&gt;=NFI_Monitor_Date,1,0))</f>
        <v>0</v>
      </c>
      <c r="AQ487" s="540" t="str">
        <f>IFERROR(VLOOKUP(Table_NFI[[#This Row],[Camp Name]],CL,3,0),"")</f>
        <v>Open</v>
      </c>
      <c r="AR487" s="352" t="str">
        <f ca="1">IF(Table_NFI[[#This Row],[Pcode]]="","",OFFSET(CampList[Priority],MATCH(Table_NFI[[#This Row],[Pcode]],CampList[CP_Pcode],0)-1,0,1,1))</f>
        <v>P3</v>
      </c>
      <c r="AS487" s="351">
        <f>IFERROR(Table_NFI[[#This Row],[Kitchen Set]]/VLOOKUP(Table_NFI[[#This Row],[Camp Name]],CL,4,0),"")</f>
        <v>0.46376811594202899</v>
      </c>
      <c r="AT487" s="533" t="s">
        <v>1094</v>
      </c>
      <c r="AU487" s="536"/>
    </row>
    <row r="488" spans="1:47" s="537" customFormat="1" ht="14.45" customHeight="1" x14ac:dyDescent="0.25">
      <c r="A488" s="355">
        <f t="shared" si="7"/>
        <v>35.733333333333334</v>
      </c>
      <c r="B488" s="532">
        <v>41499</v>
      </c>
      <c r="C488" s="533" t="s">
        <v>453</v>
      </c>
      <c r="D488" s="534" t="s">
        <v>507</v>
      </c>
      <c r="E488" s="533" t="s">
        <v>554</v>
      </c>
      <c r="F488" s="348" t="s">
        <v>146</v>
      </c>
      <c r="G488" s="348" t="s">
        <v>371</v>
      </c>
      <c r="H488" s="349"/>
      <c r="I488" s="349"/>
      <c r="J488" s="349">
        <v>30</v>
      </c>
      <c r="K488" s="349">
        <v>56</v>
      </c>
      <c r="L488" s="350">
        <v>23</v>
      </c>
      <c r="M488" s="350">
        <v>56</v>
      </c>
      <c r="N488" s="350">
        <v>23</v>
      </c>
      <c r="O488" s="350">
        <v>23</v>
      </c>
      <c r="P488" s="352">
        <v>23</v>
      </c>
      <c r="Q488" s="352">
        <v>23</v>
      </c>
      <c r="R488" s="352"/>
      <c r="S488" s="352"/>
      <c r="T488" s="352"/>
      <c r="U488" s="352"/>
      <c r="V488" s="497"/>
      <c r="W488" s="352"/>
      <c r="X488" s="352"/>
      <c r="Y488" s="352">
        <f>IF(NFI_Expiration=1,IF($A488&lt;VLOOKUP(H$5,NFI,5,0),1,0)*Table_NFI[[#This Row],[Hygiene Kit]],Table_NFI[Hygiene Kit])</f>
        <v>0</v>
      </c>
      <c r="Z488" s="352">
        <f>IF(NFI_Expiration=1,IF($A488&lt;VLOOKUP(I$5,NFI,5,0),1,0)*Table_NFI[[#This Row],[NFI Core Kit]],Table_NFI[NFI Core Kit])</f>
        <v>0</v>
      </c>
      <c r="AA488" s="352">
        <f>IF(NFI_Expiration=1,IF($A488&lt;VLOOKUP(J$5,NFI,5,0),1,0)*Table_NFI[[#This Row],[Sanitary Kit]],Table_NFI[Sanitary Kit])</f>
        <v>0</v>
      </c>
      <c r="AB488" s="352">
        <f>IF(NFI_Expiration=1,IF($A488&lt;VLOOKUP(K$5,NFI,5,0),1,0)*Table_NFI[[#This Row],[Mosquito net]],Table_NFI[Mosquito net])</f>
        <v>0</v>
      </c>
      <c r="AC488" s="352">
        <f>IF(NFI_Expiration=1,IF($A488&lt;VLOOKUP(L$5,NFI,5,0),1,0)*Table_NFI[[#This Row],[Tarpaulin]],Table_NFI[[#This Row],[Tarpaulin]])</f>
        <v>0</v>
      </c>
      <c r="AD488" s="352">
        <f>IF(NFI_Expiration=1,IF($A488&lt;VLOOKUP(M$5,NFI,5,0),1,0)*Table_NFI[[#This Row],[Blanket]],Table_NFI[[#This Row],[Blanket]])</f>
        <v>0</v>
      </c>
      <c r="AE488" s="352">
        <f>IF(NFI_Expiration=1,IF($A488&lt;VLOOKUP(N$5,NFI,5,0),1,0)*Table_NFI[[#This Row],[Kitchen Set]],Table_NFI[Kitchen Set])</f>
        <v>0</v>
      </c>
      <c r="AF488" s="352">
        <f>IF(NFI_Expiration=1,IF($A488&lt;VLOOKUP(O$5,NFI,5,0),1,0)*Table_NFI[[#This Row],[Clothes Kit]],Table_NFI[Clothes Kit])</f>
        <v>0</v>
      </c>
      <c r="AG488" s="352">
        <f>IF(NFI_Expiration=1,IF($A488&lt;VLOOKUP(P$5,NFI,5,0),1,0)*Table_NFI[[#This Row],[Plastic Bucket]],Table_NFI[Plastic Bucket])</f>
        <v>0</v>
      </c>
      <c r="AH488" s="352">
        <f>IF(NFI_Expiration=1,IF($A488&lt;VLOOKUP(Q$5,NFI,5,0),1,0)*Table_NFI[[#This Row],[Plastic Mat]],Table_NFI[Plastic Mat])*IF(Table_NFI[[#This Row],[Distribution Date]]&gt;"2014-04-01",1,2.5)</f>
        <v>0</v>
      </c>
      <c r="AI488" s="352">
        <f>IF(NFI_Expiration=1,IF($A488&lt;VLOOKUP(R$5,NFI,5,0),1,0)*Table_NFI[[#This Row],[Winter Clothes Adult]],Table_NFI[Winter Clothes Adult])</f>
        <v>0</v>
      </c>
      <c r="AJ488" s="352">
        <f>IF(NFI_Expiration=1,IF($A488&lt;VLOOKUP(S$5,NFI,5,0),1,0)*Table_NFI[[#This Row],[Winter Clothes Children]],Table_NFI[Winter Clothes Children])</f>
        <v>0</v>
      </c>
      <c r="AK488" s="352">
        <f>IF(NFI_Expiration=1,IF($A488&lt;VLOOKUP(T$5,NFI,5,0),1,0)*Table_NFI[[#This Row],[Winter Items Other]],Table_NFI[Winter Items Other])</f>
        <v>0</v>
      </c>
      <c r="AL488" s="352">
        <f>IF(NFI_Expiration=1,IF($A488&lt;VLOOKUP(M$5,NFI,5,0),1,0)*Table_NFI[[#This Row],[Winter Blanket]],Table_NFI[[#This Row],[Winter Blanket]])</f>
        <v>0</v>
      </c>
      <c r="AM488" s="352">
        <f>IF(Table_NFI[[#This Row],[Winter Clothes Adult]]+Table_NFI[[#This Row],[Winter Clothes Children]]+Table_NFI[[#This Row],[Winter Items Other]]+Table_NFI[[#This Row],[Winter Blanket]]&gt;0,1,0)</f>
        <v>0</v>
      </c>
      <c r="AN488" s="392">
        <f>IF(NFI_Expiration=1,IF($A488&lt;VLOOKUP(V$5,NFI,5,0),1,0)*Table_NFI[[#This Row],[Jerry Can]],Table_NFI[Jerry Can])</f>
        <v>0</v>
      </c>
      <c r="AO488" s="540" t="str">
        <f>IFERROR(VLOOKUP(Table_NFI[[#This Row],[Camp Name]],CL,2,0),"")</f>
        <v>MMR015CMP006</v>
      </c>
      <c r="AP488" s="535">
        <f ca="1">IF(Table_NFI[[#This Row],[Pcode]]="","",IF(OFFSET(CampList[Opening Date],MATCH(Table_NFI[[#This Row],[Pcode]],CampList[CP_Pcode],0)-1,0,1,1)&gt;=NFI_Monitor_Date,1,0))</f>
        <v>0</v>
      </c>
      <c r="AQ488" s="540" t="str">
        <f>IFERROR(VLOOKUP(Table_NFI[[#This Row],[Camp Name]],CL,3,0),"")</f>
        <v>Open</v>
      </c>
      <c r="AR488" s="352" t="str">
        <f ca="1">IF(Table_NFI[[#This Row],[Pcode]]="","",OFFSET(CampList[Priority],MATCH(Table_NFI[[#This Row],[Pcode]],CampList[CP_Pcode],0)-1,0,1,1))</f>
        <v>P1</v>
      </c>
      <c r="AS488" s="351">
        <f>IFERROR(Table_NFI[[#This Row],[Kitchen Set]]/VLOOKUP(Table_NFI[[#This Row],[Camp Name]],CL,4,0),"")</f>
        <v>0.37096774193548387</v>
      </c>
      <c r="AT488" s="533" t="s">
        <v>1094</v>
      </c>
      <c r="AU488" s="536"/>
    </row>
    <row r="489" spans="1:47" s="537" customFormat="1" ht="14.45" customHeight="1" x14ac:dyDescent="0.25">
      <c r="A489" s="355">
        <f t="shared" si="7"/>
        <v>35.733333333333334</v>
      </c>
      <c r="B489" s="532">
        <v>41499</v>
      </c>
      <c r="C489" s="533" t="s">
        <v>453</v>
      </c>
      <c r="D489" s="534" t="s">
        <v>507</v>
      </c>
      <c r="E489" s="533" t="s">
        <v>554</v>
      </c>
      <c r="F489" s="348" t="s">
        <v>146</v>
      </c>
      <c r="G489" s="348" t="s">
        <v>367</v>
      </c>
      <c r="H489" s="349"/>
      <c r="I489" s="349"/>
      <c r="J489" s="349">
        <v>70</v>
      </c>
      <c r="K489" s="349">
        <v>130</v>
      </c>
      <c r="L489" s="350">
        <v>52</v>
      </c>
      <c r="M489" s="350">
        <v>130</v>
      </c>
      <c r="N489" s="350">
        <v>52</v>
      </c>
      <c r="O489" s="350">
        <v>52</v>
      </c>
      <c r="P489" s="352">
        <v>52</v>
      </c>
      <c r="Q489" s="352">
        <v>52</v>
      </c>
      <c r="R489" s="352"/>
      <c r="S489" s="352"/>
      <c r="T489" s="352"/>
      <c r="U489" s="352"/>
      <c r="V489" s="497"/>
      <c r="W489" s="352"/>
      <c r="X489" s="352"/>
      <c r="Y489" s="352">
        <f>IF(NFI_Expiration=1,IF($A489&lt;VLOOKUP(H$5,NFI,5,0),1,0)*Table_NFI[[#This Row],[Hygiene Kit]],Table_NFI[Hygiene Kit])</f>
        <v>0</v>
      </c>
      <c r="Z489" s="352">
        <f>IF(NFI_Expiration=1,IF($A489&lt;VLOOKUP(I$5,NFI,5,0),1,0)*Table_NFI[[#This Row],[NFI Core Kit]],Table_NFI[NFI Core Kit])</f>
        <v>0</v>
      </c>
      <c r="AA489" s="352">
        <f>IF(NFI_Expiration=1,IF($A489&lt;VLOOKUP(J$5,NFI,5,0),1,0)*Table_NFI[[#This Row],[Sanitary Kit]],Table_NFI[Sanitary Kit])</f>
        <v>0</v>
      </c>
      <c r="AB489" s="352">
        <f>IF(NFI_Expiration=1,IF($A489&lt;VLOOKUP(K$5,NFI,5,0),1,0)*Table_NFI[[#This Row],[Mosquito net]],Table_NFI[Mosquito net])</f>
        <v>0</v>
      </c>
      <c r="AC489" s="352">
        <f>IF(NFI_Expiration=1,IF($A489&lt;VLOOKUP(L$5,NFI,5,0),1,0)*Table_NFI[[#This Row],[Tarpaulin]],Table_NFI[[#This Row],[Tarpaulin]])</f>
        <v>0</v>
      </c>
      <c r="AD489" s="352">
        <f>IF(NFI_Expiration=1,IF($A489&lt;VLOOKUP(M$5,NFI,5,0),1,0)*Table_NFI[[#This Row],[Blanket]],Table_NFI[[#This Row],[Blanket]])</f>
        <v>0</v>
      </c>
      <c r="AE489" s="352">
        <f>IF(NFI_Expiration=1,IF($A489&lt;VLOOKUP(N$5,NFI,5,0),1,0)*Table_NFI[[#This Row],[Kitchen Set]],Table_NFI[Kitchen Set])</f>
        <v>0</v>
      </c>
      <c r="AF489" s="352">
        <f>IF(NFI_Expiration=1,IF($A489&lt;VLOOKUP(O$5,NFI,5,0),1,0)*Table_NFI[[#This Row],[Clothes Kit]],Table_NFI[Clothes Kit])</f>
        <v>0</v>
      </c>
      <c r="AG489" s="352">
        <f>IF(NFI_Expiration=1,IF($A489&lt;VLOOKUP(P$5,NFI,5,0),1,0)*Table_NFI[[#This Row],[Plastic Bucket]],Table_NFI[Plastic Bucket])</f>
        <v>0</v>
      </c>
      <c r="AH489" s="352">
        <f>IF(NFI_Expiration=1,IF($A489&lt;VLOOKUP(Q$5,NFI,5,0),1,0)*Table_NFI[[#This Row],[Plastic Mat]],Table_NFI[Plastic Mat])*IF(Table_NFI[[#This Row],[Distribution Date]]&gt;"2014-04-01",1,2.5)</f>
        <v>0</v>
      </c>
      <c r="AI489" s="352">
        <f>IF(NFI_Expiration=1,IF($A489&lt;VLOOKUP(R$5,NFI,5,0),1,0)*Table_NFI[[#This Row],[Winter Clothes Adult]],Table_NFI[Winter Clothes Adult])</f>
        <v>0</v>
      </c>
      <c r="AJ489" s="352">
        <f>IF(NFI_Expiration=1,IF($A489&lt;VLOOKUP(S$5,NFI,5,0),1,0)*Table_NFI[[#This Row],[Winter Clothes Children]],Table_NFI[Winter Clothes Children])</f>
        <v>0</v>
      </c>
      <c r="AK489" s="352">
        <f>IF(NFI_Expiration=1,IF($A489&lt;VLOOKUP(T$5,NFI,5,0),1,0)*Table_NFI[[#This Row],[Winter Items Other]],Table_NFI[Winter Items Other])</f>
        <v>0</v>
      </c>
      <c r="AL489" s="352">
        <f>IF(NFI_Expiration=1,IF($A489&lt;VLOOKUP(M$5,NFI,5,0),1,0)*Table_NFI[[#This Row],[Winter Blanket]],Table_NFI[[#This Row],[Winter Blanket]])</f>
        <v>0</v>
      </c>
      <c r="AM489" s="352">
        <f>IF(Table_NFI[[#This Row],[Winter Clothes Adult]]+Table_NFI[[#This Row],[Winter Clothes Children]]+Table_NFI[[#This Row],[Winter Items Other]]+Table_NFI[[#This Row],[Winter Blanket]]&gt;0,1,0)</f>
        <v>0</v>
      </c>
      <c r="AN489" s="392">
        <f>IF(NFI_Expiration=1,IF($A489&lt;VLOOKUP(V$5,NFI,5,0),1,0)*Table_NFI[[#This Row],[Jerry Can]],Table_NFI[Jerry Can])</f>
        <v>0</v>
      </c>
      <c r="AO489" s="540" t="str">
        <f>IFERROR(VLOOKUP(Table_NFI[[#This Row],[Camp Name]],CL,2,0),"")</f>
        <v>MMR015CMP019</v>
      </c>
      <c r="AP489" s="535">
        <f ca="1">IF(Table_NFI[[#This Row],[Pcode]]="","",IF(OFFSET(CampList[Opening Date],MATCH(Table_NFI[[#This Row],[Pcode]],CampList[CP_Pcode],0)-1,0,1,1)&gt;=NFI_Monitor_Date,1,0))</f>
        <v>0</v>
      </c>
      <c r="AQ489" s="540" t="str">
        <f>IFERROR(VLOOKUP(Table_NFI[[#This Row],[Camp Name]],CL,3,0),"")</f>
        <v>Closed</v>
      </c>
      <c r="AR489" s="352" t="str">
        <f ca="1">IF(Table_NFI[[#This Row],[Pcode]]="","",OFFSET(CampList[Priority],MATCH(Table_NFI[[#This Row],[Pcode]],CampList[CP_Pcode],0)-1,0,1,1))</f>
        <v/>
      </c>
      <c r="AS489" s="351" t="str">
        <f>IFERROR(Table_NFI[[#This Row],[Kitchen Set]]/VLOOKUP(Table_NFI[[#This Row],[Camp Name]],CL,4,0),"")</f>
        <v/>
      </c>
      <c r="AT489" s="533" t="s">
        <v>1094</v>
      </c>
      <c r="AU489" s="536"/>
    </row>
    <row r="490" spans="1:47" s="537" customFormat="1" ht="14.45" customHeight="1" x14ac:dyDescent="0.25">
      <c r="A490" s="355">
        <f t="shared" si="7"/>
        <v>35.733333333333334</v>
      </c>
      <c r="B490" s="532">
        <v>41499</v>
      </c>
      <c r="C490" s="533" t="s">
        <v>453</v>
      </c>
      <c r="D490" s="533" t="s">
        <v>461</v>
      </c>
      <c r="E490" s="533" t="s">
        <v>554</v>
      </c>
      <c r="F490" s="533" t="s">
        <v>780</v>
      </c>
      <c r="G490" s="348" t="s">
        <v>916</v>
      </c>
      <c r="H490" s="349"/>
      <c r="I490" s="349"/>
      <c r="J490" s="349">
        <v>67</v>
      </c>
      <c r="K490" s="349">
        <v>90</v>
      </c>
      <c r="L490" s="350">
        <v>30</v>
      </c>
      <c r="M490" s="350">
        <v>90</v>
      </c>
      <c r="N490" s="350">
        <v>30</v>
      </c>
      <c r="O490" s="350">
        <v>30</v>
      </c>
      <c r="P490" s="352">
        <v>30</v>
      </c>
      <c r="Q490" s="352">
        <v>30</v>
      </c>
      <c r="R490" s="352"/>
      <c r="S490" s="352"/>
      <c r="T490" s="352"/>
      <c r="U490" s="352"/>
      <c r="V490" s="497"/>
      <c r="W490" s="352"/>
      <c r="X490" s="352"/>
      <c r="Y490" s="352">
        <f>IF(NFI_Expiration=1,IF($A490&lt;VLOOKUP(H$5,NFI,5,0),1,0)*Table_NFI[[#This Row],[Hygiene Kit]],Table_NFI[Hygiene Kit])</f>
        <v>0</v>
      </c>
      <c r="Z490" s="352">
        <f>IF(NFI_Expiration=1,IF($A490&lt;VLOOKUP(I$5,NFI,5,0),1,0)*Table_NFI[[#This Row],[NFI Core Kit]],Table_NFI[NFI Core Kit])</f>
        <v>0</v>
      </c>
      <c r="AA490" s="352">
        <f>IF(NFI_Expiration=1,IF($A490&lt;VLOOKUP(J$5,NFI,5,0),1,0)*Table_NFI[[#This Row],[Sanitary Kit]],Table_NFI[Sanitary Kit])</f>
        <v>0</v>
      </c>
      <c r="AB490" s="352">
        <f>IF(NFI_Expiration=1,IF($A490&lt;VLOOKUP(K$5,NFI,5,0),1,0)*Table_NFI[[#This Row],[Mosquito net]],Table_NFI[Mosquito net])</f>
        <v>0</v>
      </c>
      <c r="AC490" s="352">
        <f>IF(NFI_Expiration=1,IF($A490&lt;VLOOKUP(L$5,NFI,5,0),1,0)*Table_NFI[[#This Row],[Tarpaulin]],Table_NFI[[#This Row],[Tarpaulin]])</f>
        <v>0</v>
      </c>
      <c r="AD490" s="352">
        <f>IF(NFI_Expiration=1,IF($A490&lt;VLOOKUP(M$5,NFI,5,0),1,0)*Table_NFI[[#This Row],[Blanket]],Table_NFI[[#This Row],[Blanket]])</f>
        <v>0</v>
      </c>
      <c r="AE490" s="352">
        <f>IF(NFI_Expiration=1,IF($A490&lt;VLOOKUP(N$5,NFI,5,0),1,0)*Table_NFI[[#This Row],[Kitchen Set]],Table_NFI[Kitchen Set])</f>
        <v>0</v>
      </c>
      <c r="AF490" s="352">
        <f>IF(NFI_Expiration=1,IF($A490&lt;VLOOKUP(O$5,NFI,5,0),1,0)*Table_NFI[[#This Row],[Clothes Kit]],Table_NFI[Clothes Kit])</f>
        <v>0</v>
      </c>
      <c r="AG490" s="352">
        <f>IF(NFI_Expiration=1,IF($A490&lt;VLOOKUP(P$5,NFI,5,0),1,0)*Table_NFI[[#This Row],[Plastic Bucket]],Table_NFI[Plastic Bucket])</f>
        <v>0</v>
      </c>
      <c r="AH490" s="352">
        <f>IF(NFI_Expiration=1,IF($A490&lt;VLOOKUP(Q$5,NFI,5,0),1,0)*Table_NFI[[#This Row],[Plastic Mat]],Table_NFI[Plastic Mat])*IF(Table_NFI[[#This Row],[Distribution Date]]&gt;"2014-04-01",1,2.5)</f>
        <v>0</v>
      </c>
      <c r="AI490" s="352">
        <f>IF(NFI_Expiration=1,IF($A490&lt;VLOOKUP(R$5,NFI,5,0),1,0)*Table_NFI[[#This Row],[Winter Clothes Adult]],Table_NFI[Winter Clothes Adult])</f>
        <v>0</v>
      </c>
      <c r="AJ490" s="352">
        <f>IF(NFI_Expiration=1,IF($A490&lt;VLOOKUP(S$5,NFI,5,0),1,0)*Table_NFI[[#This Row],[Winter Clothes Children]],Table_NFI[Winter Clothes Children])</f>
        <v>0</v>
      </c>
      <c r="AK490" s="352">
        <f>IF(NFI_Expiration=1,IF($A490&lt;VLOOKUP(T$5,NFI,5,0),1,0)*Table_NFI[[#This Row],[Winter Items Other]],Table_NFI[Winter Items Other])</f>
        <v>0</v>
      </c>
      <c r="AL490" s="352">
        <f>IF(NFI_Expiration=1,IF($A490&lt;VLOOKUP(M$5,NFI,5,0),1,0)*Table_NFI[[#This Row],[Winter Blanket]],Table_NFI[[#This Row],[Winter Blanket]])</f>
        <v>0</v>
      </c>
      <c r="AM490" s="352">
        <f>IF(Table_NFI[[#This Row],[Winter Clothes Adult]]+Table_NFI[[#This Row],[Winter Clothes Children]]+Table_NFI[[#This Row],[Winter Items Other]]+Table_NFI[[#This Row],[Winter Blanket]]&gt;0,1,0)</f>
        <v>0</v>
      </c>
      <c r="AN490" s="392">
        <f>IF(NFI_Expiration=1,IF($A490&lt;VLOOKUP(V$5,NFI,5,0),1,0)*Table_NFI[[#This Row],[Jerry Can]],Table_NFI[Jerry Can])</f>
        <v>0</v>
      </c>
      <c r="AO490" s="540" t="str">
        <f>IFERROR(VLOOKUP(Table_NFI[[#This Row],[Camp Name]],CL,2,0),"")</f>
        <v/>
      </c>
      <c r="AP490" s="535" t="str">
        <f ca="1">IF(Table_NFI[[#This Row],[Pcode]]="","",IF(OFFSET(CampList[Opening Date],MATCH(Table_NFI[[#This Row],[Pcode]],CampList[CP_Pcode],0)-1,0,1,1)&gt;=NFI_Monitor_Date,1,0))</f>
        <v/>
      </c>
      <c r="AQ490" s="540" t="str">
        <f>IFERROR(VLOOKUP(Table_NFI[[#This Row],[Camp Name]],CL,3,0),"")</f>
        <v/>
      </c>
      <c r="AR490" s="352" t="str">
        <f ca="1">IF(Table_NFI[[#This Row],[Pcode]]="","",OFFSET(CampList[Priority],MATCH(Table_NFI[[#This Row],[Pcode]],CampList[CP_Pcode],0)-1,0,1,1))</f>
        <v/>
      </c>
      <c r="AS490" s="351" t="str">
        <f>IFERROR(Table_NFI[[#This Row],[Kitchen Set]]/VLOOKUP(Table_NFI[[#This Row],[Camp Name]],CL,4,0),"")</f>
        <v/>
      </c>
      <c r="AT490" s="533" t="s">
        <v>1094</v>
      </c>
      <c r="AU490" s="536"/>
    </row>
    <row r="491" spans="1:47" s="537" customFormat="1" ht="14.45" customHeight="1" x14ac:dyDescent="0.25">
      <c r="A491" s="355">
        <f t="shared" si="7"/>
        <v>35.733333333333334</v>
      </c>
      <c r="B491" s="532">
        <v>41499</v>
      </c>
      <c r="C491" s="533" t="s">
        <v>453</v>
      </c>
      <c r="D491" s="533" t="s">
        <v>461</v>
      </c>
      <c r="E491" s="533" t="s">
        <v>554</v>
      </c>
      <c r="F491" s="533" t="s">
        <v>289</v>
      </c>
      <c r="G491" s="348" t="s">
        <v>292</v>
      </c>
      <c r="H491" s="349"/>
      <c r="I491" s="349"/>
      <c r="J491" s="349">
        <v>125</v>
      </c>
      <c r="K491" s="349">
        <v>233</v>
      </c>
      <c r="L491" s="350">
        <v>93</v>
      </c>
      <c r="M491" s="350">
        <v>233</v>
      </c>
      <c r="N491" s="350">
        <v>93</v>
      </c>
      <c r="O491" s="350">
        <v>93</v>
      </c>
      <c r="P491" s="352">
        <v>93</v>
      </c>
      <c r="Q491" s="352">
        <v>93</v>
      </c>
      <c r="R491" s="352"/>
      <c r="S491" s="352"/>
      <c r="T491" s="352"/>
      <c r="U491" s="352"/>
      <c r="V491" s="497"/>
      <c r="W491" s="352"/>
      <c r="X491" s="352"/>
      <c r="Y491" s="352">
        <f>IF(NFI_Expiration=1,IF($A491&lt;VLOOKUP(H$5,NFI,5,0),1,0)*Table_NFI[[#This Row],[Hygiene Kit]],Table_NFI[Hygiene Kit])</f>
        <v>0</v>
      </c>
      <c r="Z491" s="352">
        <f>IF(NFI_Expiration=1,IF($A491&lt;VLOOKUP(I$5,NFI,5,0),1,0)*Table_NFI[[#This Row],[NFI Core Kit]],Table_NFI[NFI Core Kit])</f>
        <v>0</v>
      </c>
      <c r="AA491" s="352">
        <f>IF(NFI_Expiration=1,IF($A491&lt;VLOOKUP(J$5,NFI,5,0),1,0)*Table_NFI[[#This Row],[Sanitary Kit]],Table_NFI[Sanitary Kit])</f>
        <v>0</v>
      </c>
      <c r="AB491" s="352">
        <f>IF(NFI_Expiration=1,IF($A491&lt;VLOOKUP(K$5,NFI,5,0),1,0)*Table_NFI[[#This Row],[Mosquito net]],Table_NFI[Mosquito net])</f>
        <v>0</v>
      </c>
      <c r="AC491" s="352">
        <f>IF(NFI_Expiration=1,IF($A491&lt;VLOOKUP(L$5,NFI,5,0),1,0)*Table_NFI[[#This Row],[Tarpaulin]],Table_NFI[[#This Row],[Tarpaulin]])</f>
        <v>0</v>
      </c>
      <c r="AD491" s="352">
        <f>IF(NFI_Expiration=1,IF($A491&lt;VLOOKUP(M$5,NFI,5,0),1,0)*Table_NFI[[#This Row],[Blanket]],Table_NFI[[#This Row],[Blanket]])</f>
        <v>0</v>
      </c>
      <c r="AE491" s="352">
        <f>IF(NFI_Expiration=1,IF($A491&lt;VLOOKUP(N$5,NFI,5,0),1,0)*Table_NFI[[#This Row],[Kitchen Set]],Table_NFI[Kitchen Set])</f>
        <v>0</v>
      </c>
      <c r="AF491" s="352">
        <f>IF(NFI_Expiration=1,IF($A491&lt;VLOOKUP(O$5,NFI,5,0),1,0)*Table_NFI[[#This Row],[Clothes Kit]],Table_NFI[Clothes Kit])</f>
        <v>0</v>
      </c>
      <c r="AG491" s="352">
        <f>IF(NFI_Expiration=1,IF($A491&lt;VLOOKUP(P$5,NFI,5,0),1,0)*Table_NFI[[#This Row],[Plastic Bucket]],Table_NFI[Plastic Bucket])</f>
        <v>0</v>
      </c>
      <c r="AH491" s="352">
        <f>IF(NFI_Expiration=1,IF($A491&lt;VLOOKUP(Q$5,NFI,5,0),1,0)*Table_NFI[[#This Row],[Plastic Mat]],Table_NFI[Plastic Mat])*IF(Table_NFI[[#This Row],[Distribution Date]]&gt;"2014-04-01",1,2.5)</f>
        <v>0</v>
      </c>
      <c r="AI491" s="352">
        <f>IF(NFI_Expiration=1,IF($A491&lt;VLOOKUP(R$5,NFI,5,0),1,0)*Table_NFI[[#This Row],[Winter Clothes Adult]],Table_NFI[Winter Clothes Adult])</f>
        <v>0</v>
      </c>
      <c r="AJ491" s="352">
        <f>IF(NFI_Expiration=1,IF($A491&lt;VLOOKUP(S$5,NFI,5,0),1,0)*Table_NFI[[#This Row],[Winter Clothes Children]],Table_NFI[Winter Clothes Children])</f>
        <v>0</v>
      </c>
      <c r="AK491" s="352">
        <f>IF(NFI_Expiration=1,IF($A491&lt;VLOOKUP(T$5,NFI,5,0),1,0)*Table_NFI[[#This Row],[Winter Items Other]],Table_NFI[Winter Items Other])</f>
        <v>0</v>
      </c>
      <c r="AL491" s="352">
        <f>IF(NFI_Expiration=1,IF($A491&lt;VLOOKUP(M$5,NFI,5,0),1,0)*Table_NFI[[#This Row],[Winter Blanket]],Table_NFI[[#This Row],[Winter Blanket]])</f>
        <v>0</v>
      </c>
      <c r="AM491" s="352">
        <f>IF(Table_NFI[[#This Row],[Winter Clothes Adult]]+Table_NFI[[#This Row],[Winter Clothes Children]]+Table_NFI[[#This Row],[Winter Items Other]]+Table_NFI[[#This Row],[Winter Blanket]]&gt;0,1,0)</f>
        <v>0</v>
      </c>
      <c r="AN491" s="392">
        <f>IF(NFI_Expiration=1,IF($A491&lt;VLOOKUP(V$5,NFI,5,0),1,0)*Table_NFI[[#This Row],[Jerry Can]],Table_NFI[Jerry Can])</f>
        <v>0</v>
      </c>
      <c r="AO491" s="540" t="str">
        <f>IFERROR(VLOOKUP(Table_NFI[[#This Row],[Camp Name]],CL,2,0),"")</f>
        <v>MMR015CMP004</v>
      </c>
      <c r="AP491" s="535">
        <f ca="1">IF(Table_NFI[[#This Row],[Pcode]]="","",IF(OFFSET(CampList[Opening Date],MATCH(Table_NFI[[#This Row],[Pcode]],CampList[CP_Pcode],0)-1,0,1,1)&gt;=NFI_Monitor_Date,1,0))</f>
        <v>0</v>
      </c>
      <c r="AQ491" s="540" t="str">
        <f>IFERROR(VLOOKUP(Table_NFI[[#This Row],[Camp Name]],CL,3,0),"")</f>
        <v>Open</v>
      </c>
      <c r="AR491" s="352" t="str">
        <f ca="1">IF(Table_NFI[[#This Row],[Pcode]]="","",OFFSET(CampList[Priority],MATCH(Table_NFI[[#This Row],[Pcode]],CampList[CP_Pcode],0)-1,0,1,1))</f>
        <v>P3</v>
      </c>
      <c r="AS491" s="351">
        <f>IFERROR(Table_NFI[[#This Row],[Kitchen Set]]/VLOOKUP(Table_NFI[[#This Row],[Camp Name]],CL,4,0),"")</f>
        <v>1.3285714285714285</v>
      </c>
      <c r="AT491" s="533" t="s">
        <v>1094</v>
      </c>
      <c r="AU491" s="536"/>
    </row>
    <row r="492" spans="1:47" s="537" customFormat="1" ht="14.45" customHeight="1" x14ac:dyDescent="0.25">
      <c r="A492" s="355">
        <f t="shared" si="7"/>
        <v>35.733333333333334</v>
      </c>
      <c r="B492" s="532">
        <v>41499</v>
      </c>
      <c r="C492" s="533" t="s">
        <v>453</v>
      </c>
      <c r="D492" s="533" t="s">
        <v>507</v>
      </c>
      <c r="E492" s="533" t="s">
        <v>554</v>
      </c>
      <c r="F492" s="533" t="s">
        <v>289</v>
      </c>
      <c r="G492" s="348" t="s">
        <v>290</v>
      </c>
      <c r="H492" s="349"/>
      <c r="I492" s="349"/>
      <c r="J492" s="349">
        <v>100</v>
      </c>
      <c r="K492" s="349">
        <v>188</v>
      </c>
      <c r="L492" s="350">
        <v>75</v>
      </c>
      <c r="M492" s="350">
        <v>188</v>
      </c>
      <c r="N492" s="350">
        <v>75</v>
      </c>
      <c r="O492" s="350">
        <v>75</v>
      </c>
      <c r="P492" s="352">
        <v>75</v>
      </c>
      <c r="Q492" s="352">
        <v>75</v>
      </c>
      <c r="R492" s="352"/>
      <c r="S492" s="352"/>
      <c r="T492" s="352"/>
      <c r="U492" s="352"/>
      <c r="V492" s="497"/>
      <c r="W492" s="352"/>
      <c r="X492" s="352"/>
      <c r="Y492" s="352">
        <f>IF(NFI_Expiration=1,IF($A492&lt;VLOOKUP(H$5,NFI,5,0),1,0)*Table_NFI[[#This Row],[Hygiene Kit]],Table_NFI[Hygiene Kit])</f>
        <v>0</v>
      </c>
      <c r="Z492" s="352">
        <f>IF(NFI_Expiration=1,IF($A492&lt;VLOOKUP(I$5,NFI,5,0),1,0)*Table_NFI[[#This Row],[NFI Core Kit]],Table_NFI[NFI Core Kit])</f>
        <v>0</v>
      </c>
      <c r="AA492" s="352">
        <f>IF(NFI_Expiration=1,IF($A492&lt;VLOOKUP(J$5,NFI,5,0),1,0)*Table_NFI[[#This Row],[Sanitary Kit]],Table_NFI[Sanitary Kit])</f>
        <v>0</v>
      </c>
      <c r="AB492" s="352">
        <f>IF(NFI_Expiration=1,IF($A492&lt;VLOOKUP(K$5,NFI,5,0),1,0)*Table_NFI[[#This Row],[Mosquito net]],Table_NFI[Mosquito net])</f>
        <v>0</v>
      </c>
      <c r="AC492" s="352">
        <f>IF(NFI_Expiration=1,IF($A492&lt;VLOOKUP(L$5,NFI,5,0),1,0)*Table_NFI[[#This Row],[Tarpaulin]],Table_NFI[[#This Row],[Tarpaulin]])</f>
        <v>0</v>
      </c>
      <c r="AD492" s="352">
        <f>IF(NFI_Expiration=1,IF($A492&lt;VLOOKUP(M$5,NFI,5,0),1,0)*Table_NFI[[#This Row],[Blanket]],Table_NFI[[#This Row],[Blanket]])</f>
        <v>0</v>
      </c>
      <c r="AE492" s="352">
        <f>IF(NFI_Expiration=1,IF($A492&lt;VLOOKUP(N$5,NFI,5,0),1,0)*Table_NFI[[#This Row],[Kitchen Set]],Table_NFI[Kitchen Set])</f>
        <v>0</v>
      </c>
      <c r="AF492" s="352">
        <f>IF(NFI_Expiration=1,IF($A492&lt;VLOOKUP(O$5,NFI,5,0),1,0)*Table_NFI[[#This Row],[Clothes Kit]],Table_NFI[Clothes Kit])</f>
        <v>0</v>
      </c>
      <c r="AG492" s="352">
        <f>IF(NFI_Expiration=1,IF($A492&lt;VLOOKUP(P$5,NFI,5,0),1,0)*Table_NFI[[#This Row],[Plastic Bucket]],Table_NFI[Plastic Bucket])</f>
        <v>0</v>
      </c>
      <c r="AH492" s="352">
        <f>IF(NFI_Expiration=1,IF($A492&lt;VLOOKUP(Q$5,NFI,5,0),1,0)*Table_NFI[[#This Row],[Plastic Mat]],Table_NFI[Plastic Mat])*IF(Table_NFI[[#This Row],[Distribution Date]]&gt;"2014-04-01",1,2.5)</f>
        <v>0</v>
      </c>
      <c r="AI492" s="352">
        <f>IF(NFI_Expiration=1,IF($A492&lt;VLOOKUP(R$5,NFI,5,0),1,0)*Table_NFI[[#This Row],[Winter Clothes Adult]],Table_NFI[Winter Clothes Adult])</f>
        <v>0</v>
      </c>
      <c r="AJ492" s="352">
        <f>IF(NFI_Expiration=1,IF($A492&lt;VLOOKUP(S$5,NFI,5,0),1,0)*Table_NFI[[#This Row],[Winter Clothes Children]],Table_NFI[Winter Clothes Children])</f>
        <v>0</v>
      </c>
      <c r="AK492" s="352">
        <f>IF(NFI_Expiration=1,IF($A492&lt;VLOOKUP(T$5,NFI,5,0),1,0)*Table_NFI[[#This Row],[Winter Items Other]],Table_NFI[Winter Items Other])</f>
        <v>0</v>
      </c>
      <c r="AL492" s="352">
        <f>IF(NFI_Expiration=1,IF($A492&lt;VLOOKUP(M$5,NFI,5,0),1,0)*Table_NFI[[#This Row],[Winter Blanket]],Table_NFI[[#This Row],[Winter Blanket]])</f>
        <v>0</v>
      </c>
      <c r="AM492" s="352">
        <f>IF(Table_NFI[[#This Row],[Winter Clothes Adult]]+Table_NFI[[#This Row],[Winter Clothes Children]]+Table_NFI[[#This Row],[Winter Items Other]]+Table_NFI[[#This Row],[Winter Blanket]]&gt;0,1,0)</f>
        <v>0</v>
      </c>
      <c r="AN492" s="392">
        <f>IF(NFI_Expiration=1,IF($A492&lt;VLOOKUP(V$5,NFI,5,0),1,0)*Table_NFI[[#This Row],[Jerry Can]],Table_NFI[Jerry Can])</f>
        <v>0</v>
      </c>
      <c r="AO492" s="540" t="str">
        <f>IFERROR(VLOOKUP(Table_NFI[[#This Row],[Camp Name]],CL,2,0),"")</f>
        <v>MMR015CMP001</v>
      </c>
      <c r="AP492" s="535">
        <f ca="1">IF(Table_NFI[[#This Row],[Pcode]]="","",IF(OFFSET(CampList[Opening Date],MATCH(Table_NFI[[#This Row],[Pcode]],CampList[CP_Pcode],0)-1,0,1,1)&gt;=NFI_Monitor_Date,1,0))</f>
        <v>0</v>
      </c>
      <c r="AQ492" s="540" t="str">
        <f>IFERROR(VLOOKUP(Table_NFI[[#This Row],[Camp Name]],CL,3,0),"")</f>
        <v>Open</v>
      </c>
      <c r="AR492" s="352" t="str">
        <f ca="1">IF(Table_NFI[[#This Row],[Pcode]]="","",OFFSET(CampList[Priority],MATCH(Table_NFI[[#This Row],[Pcode]],CampList[CP_Pcode],0)-1,0,1,1))</f>
        <v>P3</v>
      </c>
      <c r="AS492" s="351">
        <f>IFERROR(Table_NFI[[#This Row],[Kitchen Set]]/VLOOKUP(Table_NFI[[#This Row],[Camp Name]],CL,4,0),"")</f>
        <v>1.1029411764705883</v>
      </c>
      <c r="AT492" s="533" t="s">
        <v>1094</v>
      </c>
      <c r="AU492" s="536"/>
    </row>
    <row r="493" spans="1:47" s="537" customFormat="1" hidden="1" x14ac:dyDescent="0.25">
      <c r="A493" s="355">
        <f t="shared" si="7"/>
        <v>32.1</v>
      </c>
      <c r="B493" s="532">
        <v>41608</v>
      </c>
      <c r="C493" s="533" t="s">
        <v>907</v>
      </c>
      <c r="D493" s="533"/>
      <c r="E493" s="533" t="s">
        <v>380</v>
      </c>
      <c r="F493" s="348" t="s">
        <v>185</v>
      </c>
      <c r="G493" s="348" t="s">
        <v>202</v>
      </c>
      <c r="H493" s="349"/>
      <c r="I493" s="349"/>
      <c r="J493" s="349"/>
      <c r="K493" s="349"/>
      <c r="L493" s="350"/>
      <c r="M493" s="350"/>
      <c r="N493" s="350"/>
      <c r="O493" s="350"/>
      <c r="P493" s="352"/>
      <c r="Q493" s="352">
        <v>141</v>
      </c>
      <c r="R493" s="352"/>
      <c r="S493" s="352"/>
      <c r="T493" s="352"/>
      <c r="U493" s="352"/>
      <c r="V493" s="497"/>
      <c r="W493" s="352"/>
      <c r="X493" s="352"/>
      <c r="Y493" s="352">
        <f>IF(NFI_Expiration=1,IF($A493&lt;VLOOKUP(H$5,NFI,5,0),1,0)*Table_NFI[[#This Row],[Hygiene Kit]],Table_NFI[Hygiene Kit])</f>
        <v>0</v>
      </c>
      <c r="Z493" s="352">
        <f>IF(NFI_Expiration=1,IF($A493&lt;VLOOKUP(I$5,NFI,5,0),1,0)*Table_NFI[[#This Row],[NFI Core Kit]],Table_NFI[NFI Core Kit])</f>
        <v>0</v>
      </c>
      <c r="AA493" s="352">
        <f>IF(NFI_Expiration=1,IF($A493&lt;VLOOKUP(J$5,NFI,5,0),1,0)*Table_NFI[[#This Row],[Sanitary Kit]],Table_NFI[Sanitary Kit])</f>
        <v>0</v>
      </c>
      <c r="AB493" s="352">
        <f>IF(NFI_Expiration=1,IF($A493&lt;VLOOKUP(K$5,NFI,5,0),1,0)*Table_NFI[[#This Row],[Mosquito net]],Table_NFI[Mosquito net])</f>
        <v>0</v>
      </c>
      <c r="AC493" s="352">
        <f>IF(NFI_Expiration=1,IF($A493&lt;VLOOKUP(L$5,NFI,5,0),1,0)*Table_NFI[[#This Row],[Tarpaulin]],Table_NFI[[#This Row],[Tarpaulin]])</f>
        <v>0</v>
      </c>
      <c r="AD493" s="352">
        <f>IF(NFI_Expiration=1,IF($A493&lt;VLOOKUP(M$5,NFI,5,0),1,0)*Table_NFI[[#This Row],[Blanket]],Table_NFI[[#This Row],[Blanket]])</f>
        <v>0</v>
      </c>
      <c r="AE493" s="352">
        <f>IF(NFI_Expiration=1,IF($A493&lt;VLOOKUP(N$5,NFI,5,0),1,0)*Table_NFI[[#This Row],[Kitchen Set]],Table_NFI[Kitchen Set])</f>
        <v>0</v>
      </c>
      <c r="AF493" s="352">
        <f>IF(NFI_Expiration=1,IF($A493&lt;VLOOKUP(O$5,NFI,5,0),1,0)*Table_NFI[[#This Row],[Clothes Kit]],Table_NFI[Clothes Kit])</f>
        <v>0</v>
      </c>
      <c r="AG493" s="352">
        <f>IF(NFI_Expiration=1,IF($A493&lt;VLOOKUP(P$5,NFI,5,0),1,0)*Table_NFI[[#This Row],[Plastic Bucket]],Table_NFI[Plastic Bucket])</f>
        <v>0</v>
      </c>
      <c r="AH493" s="352">
        <f>IF(NFI_Expiration=1,IF($A493&lt;VLOOKUP(Q$5,NFI,5,0),1,0)*Table_NFI[[#This Row],[Plastic Mat]],Table_NFI[Plastic Mat])*IF(Table_NFI[[#This Row],[Distribution Date]]&gt;"2014-04-01",1,2.5)</f>
        <v>0</v>
      </c>
      <c r="AI493" s="352">
        <f>IF(NFI_Expiration=1,IF($A493&lt;VLOOKUP(R$5,NFI,5,0),1,0)*Table_NFI[[#This Row],[Winter Clothes Adult]],Table_NFI[Winter Clothes Adult])</f>
        <v>0</v>
      </c>
      <c r="AJ493" s="352">
        <f>IF(NFI_Expiration=1,IF($A493&lt;VLOOKUP(S$5,NFI,5,0),1,0)*Table_NFI[[#This Row],[Winter Clothes Children]],Table_NFI[Winter Clothes Children])</f>
        <v>0</v>
      </c>
      <c r="AK493" s="352">
        <f>IF(NFI_Expiration=1,IF($A493&lt;VLOOKUP(T$5,NFI,5,0),1,0)*Table_NFI[[#This Row],[Winter Items Other]],Table_NFI[Winter Items Other])</f>
        <v>0</v>
      </c>
      <c r="AL493" s="352">
        <f>IF(NFI_Expiration=1,IF($A493&lt;VLOOKUP(M$5,NFI,5,0),1,0)*Table_NFI[[#This Row],[Winter Blanket]],Table_NFI[[#This Row],[Winter Blanket]])</f>
        <v>0</v>
      </c>
      <c r="AM493" s="352">
        <f>IF(Table_NFI[[#This Row],[Winter Clothes Adult]]+Table_NFI[[#This Row],[Winter Clothes Children]]+Table_NFI[[#This Row],[Winter Items Other]]+Table_NFI[[#This Row],[Winter Blanket]]&gt;0,1,0)</f>
        <v>0</v>
      </c>
      <c r="AN493" s="392">
        <f>IF(NFI_Expiration=1,IF($A493&lt;VLOOKUP(V$5,NFI,5,0),1,0)*Table_NFI[[#This Row],[Jerry Can]],Table_NFI[Jerry Can])</f>
        <v>0</v>
      </c>
      <c r="AO493" s="540" t="str">
        <f>IFERROR(VLOOKUP(Table_NFI[[#This Row],[Camp Name]],CL,2,0),"")</f>
        <v>MMR001CMP062</v>
      </c>
      <c r="AP493" s="535">
        <f ca="1">IF(Table_NFI[[#This Row],[Pcode]]="","",IF(OFFSET(CampList[Opening Date],MATCH(Table_NFI[[#This Row],[Pcode]],CampList[CP_Pcode],0)-1,0,1,1)&gt;=NFI_Monitor_Date,1,0))</f>
        <v>0</v>
      </c>
      <c r="AQ493" s="540" t="str">
        <f>IFERROR(VLOOKUP(Table_NFI[[#This Row],[Camp Name]],CL,3,0),"")</f>
        <v>Open</v>
      </c>
      <c r="AR493" s="352" t="str">
        <f ca="1">IF(Table_NFI[[#This Row],[Pcode]]="","",OFFSET(CampList[Priority],MATCH(Table_NFI[[#This Row],[Pcode]],CampList[CP_Pcode],0)-1,0,1,1))</f>
        <v>P4</v>
      </c>
      <c r="AS493" s="351">
        <f>IFERROR(Table_NFI[[#This Row],[Kitchen Set]]/VLOOKUP(Table_NFI[[#This Row],[Camp Name]],CL,4,0),"")</f>
        <v>0</v>
      </c>
      <c r="AT493" s="533" t="s">
        <v>1094</v>
      </c>
      <c r="AU493" s="536"/>
    </row>
    <row r="494" spans="1:47" s="537" customFormat="1" hidden="1" x14ac:dyDescent="0.25">
      <c r="A494" s="355">
        <f t="shared" si="7"/>
        <v>53.9</v>
      </c>
      <c r="B494" s="532">
        <v>40954</v>
      </c>
      <c r="C494" s="533" t="s">
        <v>907</v>
      </c>
      <c r="D494" s="533" t="s">
        <v>907</v>
      </c>
      <c r="E494" s="533" t="s">
        <v>380</v>
      </c>
      <c r="F494" s="348" t="s">
        <v>185</v>
      </c>
      <c r="G494" s="348" t="s">
        <v>202</v>
      </c>
      <c r="H494" s="352">
        <v>8</v>
      </c>
      <c r="I494" s="349"/>
      <c r="J494" s="349"/>
      <c r="K494" s="349"/>
      <c r="L494" s="350"/>
      <c r="M494" s="350"/>
      <c r="N494" s="350"/>
      <c r="O494" s="350"/>
      <c r="P494" s="352"/>
      <c r="Q494" s="392"/>
      <c r="R494" s="392"/>
      <c r="S494" s="392"/>
      <c r="T494" s="392"/>
      <c r="U494" s="392"/>
      <c r="V494" s="497"/>
      <c r="W494" s="392"/>
      <c r="X494" s="392"/>
      <c r="Y494" s="352">
        <f>IF(NFI_Expiration=1,IF($A494&lt;VLOOKUP(H$5,NFI,5,0),1,0)*Table_NFI[[#This Row],[Hygiene Kit]],Table_NFI[Hygiene Kit])</f>
        <v>0</v>
      </c>
      <c r="Z494" s="352">
        <f>IF(NFI_Expiration=1,IF($A494&lt;VLOOKUP(I$5,NFI,5,0),1,0)*Table_NFI[[#This Row],[NFI Core Kit]],Table_NFI[NFI Core Kit])</f>
        <v>0</v>
      </c>
      <c r="AA494" s="352">
        <f>IF(NFI_Expiration=1,IF($A494&lt;VLOOKUP(J$5,NFI,5,0),1,0)*Table_NFI[[#This Row],[Sanitary Kit]],Table_NFI[Sanitary Kit])</f>
        <v>0</v>
      </c>
      <c r="AB494" s="352">
        <f>IF(NFI_Expiration=1,IF($A494&lt;VLOOKUP(K$5,NFI,5,0),1,0)*Table_NFI[[#This Row],[Mosquito net]],Table_NFI[Mosquito net])</f>
        <v>0</v>
      </c>
      <c r="AC494" s="352">
        <f>IF(NFI_Expiration=1,IF($A494&lt;VLOOKUP(L$5,NFI,5,0),1,0)*Table_NFI[[#This Row],[Tarpaulin]],Table_NFI[[#This Row],[Tarpaulin]])</f>
        <v>0</v>
      </c>
      <c r="AD494" s="352">
        <f>IF(NFI_Expiration=1,IF($A494&lt;VLOOKUP(M$5,NFI,5,0),1,0)*Table_NFI[[#This Row],[Blanket]],Table_NFI[[#This Row],[Blanket]])</f>
        <v>0</v>
      </c>
      <c r="AE494" s="352">
        <f>IF(NFI_Expiration=1,IF($A494&lt;VLOOKUP(N$5,NFI,5,0),1,0)*Table_NFI[[#This Row],[Kitchen Set]],Table_NFI[Kitchen Set])</f>
        <v>0</v>
      </c>
      <c r="AF494" s="352">
        <f>IF(NFI_Expiration=1,IF($A494&lt;VLOOKUP(O$5,NFI,5,0),1,0)*Table_NFI[[#This Row],[Clothes Kit]],Table_NFI[Clothes Kit])</f>
        <v>0</v>
      </c>
      <c r="AG494" s="352">
        <f>IF(NFI_Expiration=1,IF($A494&lt;VLOOKUP(P$5,NFI,5,0),1,0)*Table_NFI[[#This Row],[Plastic Bucket]],Table_NFI[Plastic Bucket])</f>
        <v>0</v>
      </c>
      <c r="AH494" s="352">
        <f>IF(NFI_Expiration=1,IF($A494&lt;VLOOKUP(Q$5,NFI,5,0),1,0)*Table_NFI[[#This Row],[Plastic Mat]],Table_NFI[Plastic Mat])*IF(Table_NFI[[#This Row],[Distribution Date]]&gt;"2014-04-01",1,2.5)</f>
        <v>0</v>
      </c>
      <c r="AI494" s="352">
        <f>IF(NFI_Expiration=1,IF($A494&lt;VLOOKUP(R$5,NFI,5,0),1,0)*Table_NFI[[#This Row],[Winter Clothes Adult]],Table_NFI[Winter Clothes Adult])</f>
        <v>0</v>
      </c>
      <c r="AJ494" s="352">
        <f>IF(NFI_Expiration=1,IF($A494&lt;VLOOKUP(S$5,NFI,5,0),1,0)*Table_NFI[[#This Row],[Winter Clothes Children]],Table_NFI[Winter Clothes Children])</f>
        <v>0</v>
      </c>
      <c r="AK494" s="352">
        <f>IF(NFI_Expiration=1,IF($A494&lt;VLOOKUP(T$5,NFI,5,0),1,0)*Table_NFI[[#This Row],[Winter Items Other]],Table_NFI[Winter Items Other])</f>
        <v>0</v>
      </c>
      <c r="AL494" s="352">
        <f>IF(NFI_Expiration=1,IF($A494&lt;VLOOKUP(M$5,NFI,5,0),1,0)*Table_NFI[[#This Row],[Winter Blanket]],Table_NFI[[#This Row],[Winter Blanket]])</f>
        <v>0</v>
      </c>
      <c r="AM494" s="352">
        <f>IF(Table_NFI[[#This Row],[Winter Clothes Adult]]+Table_NFI[[#This Row],[Winter Clothes Children]]+Table_NFI[[#This Row],[Winter Items Other]]+Table_NFI[[#This Row],[Winter Blanket]]&gt;0,1,0)</f>
        <v>0</v>
      </c>
      <c r="AN494" s="392">
        <f>IF(NFI_Expiration=1,IF($A494&lt;VLOOKUP(V$5,NFI,5,0),1,0)*Table_NFI[[#This Row],[Jerry Can]],Table_NFI[Jerry Can])</f>
        <v>0</v>
      </c>
      <c r="AO494" s="540" t="str">
        <f>IFERROR(VLOOKUP(Table_NFI[[#This Row],[Camp Name]],CL,2,0),"")</f>
        <v>MMR001CMP062</v>
      </c>
      <c r="AP494" s="535">
        <f ca="1">IF(Table_NFI[[#This Row],[Pcode]]="","",IF(OFFSET(CampList[Opening Date],MATCH(Table_NFI[[#This Row],[Pcode]],CampList[CP_Pcode],0)-1,0,1,1)&gt;=NFI_Monitor_Date,1,0))</f>
        <v>0</v>
      </c>
      <c r="AQ494" s="540" t="str">
        <f>IFERROR(VLOOKUP(Table_NFI[[#This Row],[Camp Name]],CL,3,0),"")</f>
        <v>Open</v>
      </c>
      <c r="AR494" s="352" t="str">
        <f ca="1">IF(Table_NFI[[#This Row],[Pcode]]="","",OFFSET(CampList[Priority],MATCH(Table_NFI[[#This Row],[Pcode]],CampList[CP_Pcode],0)-1,0,1,1))</f>
        <v>P4</v>
      </c>
      <c r="AS494" s="351">
        <f>IFERROR(Table_NFI[[#This Row],[Kitchen Set]]/VLOOKUP(Table_NFI[[#This Row],[Camp Name]],CL,4,0),"")</f>
        <v>0</v>
      </c>
      <c r="AT494" s="533"/>
      <c r="AU494" s="536"/>
    </row>
    <row r="495" spans="1:47" s="537" customFormat="1" hidden="1" x14ac:dyDescent="0.25">
      <c r="A495" s="355">
        <f t="shared" si="7"/>
        <v>42.43333333333333</v>
      </c>
      <c r="B495" s="532">
        <v>41298</v>
      </c>
      <c r="C495" s="533" t="s">
        <v>907</v>
      </c>
      <c r="D495" s="534" t="s">
        <v>907</v>
      </c>
      <c r="E495" s="533" t="s">
        <v>380</v>
      </c>
      <c r="F495" s="348" t="s">
        <v>185</v>
      </c>
      <c r="G495" s="348" t="s">
        <v>202</v>
      </c>
      <c r="H495" s="349">
        <v>200</v>
      </c>
      <c r="I495" s="349"/>
      <c r="J495" s="349"/>
      <c r="K495" s="349"/>
      <c r="L495" s="350"/>
      <c r="M495" s="350"/>
      <c r="N495" s="350"/>
      <c r="O495" s="350"/>
      <c r="P495" s="352">
        <v>0</v>
      </c>
      <c r="Q495" s="352">
        <v>0</v>
      </c>
      <c r="R495" s="352"/>
      <c r="S495" s="352"/>
      <c r="T495" s="352"/>
      <c r="U495" s="352"/>
      <c r="V495" s="497"/>
      <c r="W495" s="352"/>
      <c r="X495" s="352"/>
      <c r="Y495" s="352">
        <f>IF(NFI_Expiration=1,IF($A495&lt;VLOOKUP(H$5,NFI,5,0),1,0)*Table_NFI[[#This Row],[Hygiene Kit]],Table_NFI[Hygiene Kit])</f>
        <v>0</v>
      </c>
      <c r="Z495" s="352">
        <f>IF(NFI_Expiration=1,IF($A495&lt;VLOOKUP(I$5,NFI,5,0),1,0)*Table_NFI[[#This Row],[NFI Core Kit]],Table_NFI[NFI Core Kit])</f>
        <v>0</v>
      </c>
      <c r="AA495" s="352">
        <f>IF(NFI_Expiration=1,IF($A495&lt;VLOOKUP(J$5,NFI,5,0),1,0)*Table_NFI[[#This Row],[Sanitary Kit]],Table_NFI[Sanitary Kit])</f>
        <v>0</v>
      </c>
      <c r="AB495" s="352">
        <f>IF(NFI_Expiration=1,IF($A495&lt;VLOOKUP(K$5,NFI,5,0),1,0)*Table_NFI[[#This Row],[Mosquito net]],Table_NFI[Mosquito net])</f>
        <v>0</v>
      </c>
      <c r="AC495" s="352">
        <f>IF(NFI_Expiration=1,IF($A495&lt;VLOOKUP(L$5,NFI,5,0),1,0)*Table_NFI[[#This Row],[Tarpaulin]],Table_NFI[[#This Row],[Tarpaulin]])</f>
        <v>0</v>
      </c>
      <c r="AD495" s="352">
        <f>IF(NFI_Expiration=1,IF($A495&lt;VLOOKUP(M$5,NFI,5,0),1,0)*Table_NFI[[#This Row],[Blanket]],Table_NFI[[#This Row],[Blanket]])</f>
        <v>0</v>
      </c>
      <c r="AE495" s="352">
        <f>IF(NFI_Expiration=1,IF($A495&lt;VLOOKUP(N$5,NFI,5,0),1,0)*Table_NFI[[#This Row],[Kitchen Set]],Table_NFI[Kitchen Set])</f>
        <v>0</v>
      </c>
      <c r="AF495" s="352">
        <f>IF(NFI_Expiration=1,IF($A495&lt;VLOOKUP(O$5,NFI,5,0),1,0)*Table_NFI[[#This Row],[Clothes Kit]],Table_NFI[Clothes Kit])</f>
        <v>0</v>
      </c>
      <c r="AG495" s="352">
        <f>IF(NFI_Expiration=1,IF($A495&lt;VLOOKUP(P$5,NFI,5,0),1,0)*Table_NFI[[#This Row],[Plastic Bucket]],Table_NFI[Plastic Bucket])</f>
        <v>0</v>
      </c>
      <c r="AH495" s="352">
        <f>IF(NFI_Expiration=1,IF($A495&lt;VLOOKUP(Q$5,NFI,5,0),1,0)*Table_NFI[[#This Row],[Plastic Mat]],Table_NFI[Plastic Mat])*IF(Table_NFI[[#This Row],[Distribution Date]]&gt;"2014-04-01",1,2.5)</f>
        <v>0</v>
      </c>
      <c r="AI495" s="352">
        <f>IF(NFI_Expiration=1,IF($A495&lt;VLOOKUP(R$5,NFI,5,0),1,0)*Table_NFI[[#This Row],[Winter Clothes Adult]],Table_NFI[Winter Clothes Adult])</f>
        <v>0</v>
      </c>
      <c r="AJ495" s="352">
        <f>IF(NFI_Expiration=1,IF($A495&lt;VLOOKUP(S$5,NFI,5,0),1,0)*Table_NFI[[#This Row],[Winter Clothes Children]],Table_NFI[Winter Clothes Children])</f>
        <v>0</v>
      </c>
      <c r="AK495" s="352">
        <f>IF(NFI_Expiration=1,IF($A495&lt;VLOOKUP(T$5,NFI,5,0),1,0)*Table_NFI[[#This Row],[Winter Items Other]],Table_NFI[Winter Items Other])</f>
        <v>0</v>
      </c>
      <c r="AL495" s="352">
        <f>IF(NFI_Expiration=1,IF($A495&lt;VLOOKUP(M$5,NFI,5,0),1,0)*Table_NFI[[#This Row],[Winter Blanket]],Table_NFI[[#This Row],[Winter Blanket]])</f>
        <v>0</v>
      </c>
      <c r="AM495" s="352">
        <f>IF(Table_NFI[[#This Row],[Winter Clothes Adult]]+Table_NFI[[#This Row],[Winter Clothes Children]]+Table_NFI[[#This Row],[Winter Items Other]]+Table_NFI[[#This Row],[Winter Blanket]]&gt;0,1,0)</f>
        <v>0</v>
      </c>
      <c r="AN495" s="392">
        <f>IF(NFI_Expiration=1,IF($A495&lt;VLOOKUP(V$5,NFI,5,0),1,0)*Table_NFI[[#This Row],[Jerry Can]],Table_NFI[Jerry Can])</f>
        <v>0</v>
      </c>
      <c r="AO495" s="540" t="str">
        <f>IFERROR(VLOOKUP(Table_NFI[[#This Row],[Camp Name]],CL,2,0),"")</f>
        <v>MMR001CMP062</v>
      </c>
      <c r="AP495" s="535">
        <f ca="1">IF(Table_NFI[[#This Row],[Pcode]]="","",IF(OFFSET(CampList[Opening Date],MATCH(Table_NFI[[#This Row],[Pcode]],CampList[CP_Pcode],0)-1,0,1,1)&gt;=NFI_Monitor_Date,1,0))</f>
        <v>0</v>
      </c>
      <c r="AQ495" s="540" t="str">
        <f>IFERROR(VLOOKUP(Table_NFI[[#This Row],[Camp Name]],CL,3,0),"")</f>
        <v>Open</v>
      </c>
      <c r="AR495" s="352" t="str">
        <f ca="1">IF(Table_NFI[[#This Row],[Pcode]]="","",OFFSET(CampList[Priority],MATCH(Table_NFI[[#This Row],[Pcode]],CampList[CP_Pcode],0)-1,0,1,1))</f>
        <v>P4</v>
      </c>
      <c r="AS495" s="351">
        <f>IFERROR(Table_NFI[[#This Row],[Kitchen Set]]/VLOOKUP(Table_NFI[[#This Row],[Camp Name]],CL,4,0),"")</f>
        <v>0</v>
      </c>
      <c r="AT495" s="533" t="s">
        <v>1094</v>
      </c>
      <c r="AU495" s="536"/>
    </row>
    <row r="496" spans="1:47" s="537" customFormat="1" ht="14.45" customHeight="1" x14ac:dyDescent="0.25">
      <c r="A496" s="355">
        <f t="shared" si="7"/>
        <v>35.733333333333334</v>
      </c>
      <c r="B496" s="532">
        <v>41499</v>
      </c>
      <c r="C496" s="533" t="s">
        <v>453</v>
      </c>
      <c r="D496" s="533" t="s">
        <v>507</v>
      </c>
      <c r="E496" s="533" t="s">
        <v>554</v>
      </c>
      <c r="F496" s="348" t="s">
        <v>289</v>
      </c>
      <c r="G496" s="348" t="s">
        <v>374</v>
      </c>
      <c r="H496" s="349"/>
      <c r="I496" s="349"/>
      <c r="J496" s="349">
        <v>36</v>
      </c>
      <c r="K496" s="349">
        <v>72</v>
      </c>
      <c r="L496" s="350">
        <v>33</v>
      </c>
      <c r="M496" s="350">
        <v>72</v>
      </c>
      <c r="N496" s="350">
        <v>33</v>
      </c>
      <c r="O496" s="350">
        <v>33</v>
      </c>
      <c r="P496" s="352">
        <v>33</v>
      </c>
      <c r="Q496" s="352">
        <v>33</v>
      </c>
      <c r="R496" s="352"/>
      <c r="S496" s="352"/>
      <c r="T496" s="352"/>
      <c r="U496" s="352"/>
      <c r="V496" s="497"/>
      <c r="W496" s="352"/>
      <c r="X496" s="352"/>
      <c r="Y496" s="352">
        <f>IF(NFI_Expiration=1,IF($A496&lt;VLOOKUP(H$5,NFI,5,0),1,0)*Table_NFI[[#This Row],[Hygiene Kit]],Table_NFI[Hygiene Kit])</f>
        <v>0</v>
      </c>
      <c r="Z496" s="352">
        <f>IF(NFI_Expiration=1,IF($A496&lt;VLOOKUP(I$5,NFI,5,0),1,0)*Table_NFI[[#This Row],[NFI Core Kit]],Table_NFI[NFI Core Kit])</f>
        <v>0</v>
      </c>
      <c r="AA496" s="352">
        <f>IF(NFI_Expiration=1,IF($A496&lt;VLOOKUP(J$5,NFI,5,0),1,0)*Table_NFI[[#This Row],[Sanitary Kit]],Table_NFI[Sanitary Kit])</f>
        <v>0</v>
      </c>
      <c r="AB496" s="352">
        <f>IF(NFI_Expiration=1,IF($A496&lt;VLOOKUP(K$5,NFI,5,0),1,0)*Table_NFI[[#This Row],[Mosquito net]],Table_NFI[Mosquito net])</f>
        <v>0</v>
      </c>
      <c r="AC496" s="352">
        <f>IF(NFI_Expiration=1,IF($A496&lt;VLOOKUP(L$5,NFI,5,0),1,0)*Table_NFI[[#This Row],[Tarpaulin]],Table_NFI[[#This Row],[Tarpaulin]])</f>
        <v>0</v>
      </c>
      <c r="AD496" s="352">
        <f>IF(NFI_Expiration=1,IF($A496&lt;VLOOKUP(M$5,NFI,5,0),1,0)*Table_NFI[[#This Row],[Blanket]],Table_NFI[[#This Row],[Blanket]])</f>
        <v>0</v>
      </c>
      <c r="AE496" s="352">
        <f>IF(NFI_Expiration=1,IF($A496&lt;VLOOKUP(N$5,NFI,5,0),1,0)*Table_NFI[[#This Row],[Kitchen Set]],Table_NFI[Kitchen Set])</f>
        <v>0</v>
      </c>
      <c r="AF496" s="352">
        <f>IF(NFI_Expiration=1,IF($A496&lt;VLOOKUP(O$5,NFI,5,0),1,0)*Table_NFI[[#This Row],[Clothes Kit]],Table_NFI[Clothes Kit])</f>
        <v>0</v>
      </c>
      <c r="AG496" s="352">
        <f>IF(NFI_Expiration=1,IF($A496&lt;VLOOKUP(P$5,NFI,5,0),1,0)*Table_NFI[[#This Row],[Plastic Bucket]],Table_NFI[Plastic Bucket])</f>
        <v>0</v>
      </c>
      <c r="AH496" s="352">
        <f>IF(NFI_Expiration=1,IF($A496&lt;VLOOKUP(Q$5,NFI,5,0),1,0)*Table_NFI[[#This Row],[Plastic Mat]],Table_NFI[Plastic Mat])*IF(Table_NFI[[#This Row],[Distribution Date]]&gt;"2014-04-01",1,2.5)</f>
        <v>0</v>
      </c>
      <c r="AI496" s="352">
        <f>IF(NFI_Expiration=1,IF($A496&lt;VLOOKUP(R$5,NFI,5,0),1,0)*Table_NFI[[#This Row],[Winter Clothes Adult]],Table_NFI[Winter Clothes Adult])</f>
        <v>0</v>
      </c>
      <c r="AJ496" s="352">
        <f>IF(NFI_Expiration=1,IF($A496&lt;VLOOKUP(S$5,NFI,5,0),1,0)*Table_NFI[[#This Row],[Winter Clothes Children]],Table_NFI[Winter Clothes Children])</f>
        <v>0</v>
      </c>
      <c r="AK496" s="352">
        <f>IF(NFI_Expiration=1,IF($A496&lt;VLOOKUP(T$5,NFI,5,0),1,0)*Table_NFI[[#This Row],[Winter Items Other]],Table_NFI[Winter Items Other])</f>
        <v>0</v>
      </c>
      <c r="AL496" s="352">
        <f>IF(NFI_Expiration=1,IF($A496&lt;VLOOKUP(M$5,NFI,5,0),1,0)*Table_NFI[[#This Row],[Winter Blanket]],Table_NFI[[#This Row],[Winter Blanket]])</f>
        <v>0</v>
      </c>
      <c r="AM496" s="352">
        <f>IF(Table_NFI[[#This Row],[Winter Clothes Adult]]+Table_NFI[[#This Row],[Winter Clothes Children]]+Table_NFI[[#This Row],[Winter Items Other]]+Table_NFI[[#This Row],[Winter Blanket]]&gt;0,1,0)</f>
        <v>0</v>
      </c>
      <c r="AN496" s="392">
        <f>IF(NFI_Expiration=1,IF($A496&lt;VLOOKUP(V$5,NFI,5,0),1,0)*Table_NFI[[#This Row],[Jerry Can]],Table_NFI[Jerry Can])</f>
        <v>0</v>
      </c>
      <c r="AO496" s="540" t="str">
        <f>IFERROR(VLOOKUP(Table_NFI[[#This Row],[Camp Name]],CL,2,0),"")</f>
        <v>MMR015CMP003</v>
      </c>
      <c r="AP496" s="535">
        <f ca="1">IF(Table_NFI[[#This Row],[Pcode]]="","",IF(OFFSET(CampList[Opening Date],MATCH(Table_NFI[[#This Row],[Pcode]],CampList[CP_Pcode],0)-1,0,1,1)&gt;=NFI_Monitor_Date,1,0))</f>
        <v>0</v>
      </c>
      <c r="AQ496" s="540" t="str">
        <f>IFERROR(VLOOKUP(Table_NFI[[#This Row],[Camp Name]],CL,3,0),"")</f>
        <v>Open</v>
      </c>
      <c r="AR496" s="352" t="str">
        <f ca="1">IF(Table_NFI[[#This Row],[Pcode]]="","",OFFSET(CampList[Priority],MATCH(Table_NFI[[#This Row],[Pcode]],CampList[CP_Pcode],0)-1,0,1,1))</f>
        <v>P3</v>
      </c>
      <c r="AS496" s="351">
        <f>IFERROR(Table_NFI[[#This Row],[Kitchen Set]]/VLOOKUP(Table_NFI[[#This Row],[Camp Name]],CL,4,0),"")</f>
        <v>0.75</v>
      </c>
      <c r="AT496" s="533" t="s">
        <v>1094</v>
      </c>
      <c r="AU496" s="536"/>
    </row>
    <row r="497" spans="1:47" s="537" customFormat="1" ht="14.45" hidden="1" customHeight="1" x14ac:dyDescent="0.25">
      <c r="A497" s="355">
        <f t="shared" si="7"/>
        <v>26.666666666666668</v>
      </c>
      <c r="B497" s="532">
        <v>41771</v>
      </c>
      <c r="C497" s="533" t="s">
        <v>1106</v>
      </c>
      <c r="D497" s="533" t="s">
        <v>902</v>
      </c>
      <c r="E497" s="533" t="s">
        <v>380</v>
      </c>
      <c r="F497" s="533" t="s">
        <v>237</v>
      </c>
      <c r="G497" s="533" t="s">
        <v>261</v>
      </c>
      <c r="H497" s="349"/>
      <c r="I497" s="349"/>
      <c r="J497" s="349"/>
      <c r="K497" s="349"/>
      <c r="L497" s="350"/>
      <c r="M497" s="350"/>
      <c r="N497" s="350"/>
      <c r="O497" s="350"/>
      <c r="P497" s="352"/>
      <c r="Q497" s="352"/>
      <c r="R497" s="352"/>
      <c r="S497" s="352"/>
      <c r="T497" s="352"/>
      <c r="U497" s="352">
        <v>184</v>
      </c>
      <c r="V497" s="497"/>
      <c r="W497" s="352"/>
      <c r="X497" s="352"/>
      <c r="Y497" s="352">
        <f>IF(NFI_Expiration=1,IF($A497&lt;VLOOKUP(H$5,NFI,5,0),1,0)*Table_NFI[[#This Row],[Hygiene Kit]],Table_NFI[Hygiene Kit])</f>
        <v>0</v>
      </c>
      <c r="Z497" s="352">
        <f>IF(NFI_Expiration=1,IF($A497&lt;VLOOKUP(I$5,NFI,5,0),1,0)*Table_NFI[[#This Row],[NFI Core Kit]],Table_NFI[NFI Core Kit])</f>
        <v>0</v>
      </c>
      <c r="AA497" s="352">
        <f>IF(NFI_Expiration=1,IF($A497&lt;VLOOKUP(J$5,NFI,5,0),1,0)*Table_NFI[[#This Row],[Sanitary Kit]],Table_NFI[Sanitary Kit])</f>
        <v>0</v>
      </c>
      <c r="AB497" s="352">
        <f>IF(NFI_Expiration=1,IF($A497&lt;VLOOKUP(K$5,NFI,5,0),1,0)*Table_NFI[[#This Row],[Mosquito net]],Table_NFI[Mosquito net])</f>
        <v>0</v>
      </c>
      <c r="AC497" s="352">
        <f>IF(NFI_Expiration=1,IF($A497&lt;VLOOKUP(L$5,NFI,5,0),1,0)*Table_NFI[[#This Row],[Tarpaulin]],Table_NFI[[#This Row],[Tarpaulin]])</f>
        <v>0</v>
      </c>
      <c r="AD497" s="352">
        <f>IF(NFI_Expiration=1,IF($A497&lt;VLOOKUP(M$5,NFI,5,0),1,0)*Table_NFI[[#This Row],[Blanket]],Table_NFI[[#This Row],[Blanket]])</f>
        <v>0</v>
      </c>
      <c r="AE497" s="352">
        <f>IF(NFI_Expiration=1,IF($A497&lt;VLOOKUP(N$5,NFI,5,0),1,0)*Table_NFI[[#This Row],[Kitchen Set]],Table_NFI[Kitchen Set])</f>
        <v>0</v>
      </c>
      <c r="AF497" s="352">
        <f>IF(NFI_Expiration=1,IF($A497&lt;VLOOKUP(O$5,NFI,5,0),1,0)*Table_NFI[[#This Row],[Clothes Kit]],Table_NFI[Clothes Kit])</f>
        <v>0</v>
      </c>
      <c r="AG497" s="352">
        <f>IF(NFI_Expiration=1,IF($A497&lt;VLOOKUP(P$5,NFI,5,0),1,0)*Table_NFI[[#This Row],[Plastic Bucket]],Table_NFI[Plastic Bucket])</f>
        <v>0</v>
      </c>
      <c r="AH497" s="352">
        <f>IF(NFI_Expiration=1,IF($A497&lt;VLOOKUP(Q$5,NFI,5,0),1,0)*Table_NFI[[#This Row],[Plastic Mat]],Table_NFI[Plastic Mat])*IF(Table_NFI[[#This Row],[Distribution Date]]&gt;"2014-04-01",1,2.5)</f>
        <v>0</v>
      </c>
      <c r="AI497" s="352">
        <f>IF(NFI_Expiration=1,IF($A497&lt;VLOOKUP(R$5,NFI,5,0),1,0)*Table_NFI[[#This Row],[Winter Clothes Adult]],Table_NFI[Winter Clothes Adult])</f>
        <v>0</v>
      </c>
      <c r="AJ497" s="352">
        <f>IF(NFI_Expiration=1,IF($A497&lt;VLOOKUP(S$5,NFI,5,0),1,0)*Table_NFI[[#This Row],[Winter Clothes Children]],Table_NFI[Winter Clothes Children])</f>
        <v>0</v>
      </c>
      <c r="AK497" s="352">
        <f>IF(NFI_Expiration=1,IF($A497&lt;VLOOKUP(T$5,NFI,5,0),1,0)*Table_NFI[[#This Row],[Winter Items Other]],Table_NFI[Winter Items Other])</f>
        <v>0</v>
      </c>
      <c r="AL497" s="352">
        <f>IF(NFI_Expiration=1,IF($A497&lt;VLOOKUP(M$5,NFI,5,0),1,0)*Table_NFI[[#This Row],[Winter Blanket]],Table_NFI[[#This Row],[Winter Blanket]])</f>
        <v>0</v>
      </c>
      <c r="AM497" s="352">
        <f>IF(Table_NFI[[#This Row],[Winter Clothes Adult]]+Table_NFI[[#This Row],[Winter Clothes Children]]+Table_NFI[[#This Row],[Winter Items Other]]+Table_NFI[[#This Row],[Winter Blanket]]&gt;0,1,0)</f>
        <v>1</v>
      </c>
      <c r="AN497" s="392">
        <f>IF(NFI_Expiration=1,IF($A497&lt;VLOOKUP(V$5,NFI,5,0),1,0)*Table_NFI[[#This Row],[Jerry Can]],Table_NFI[Jerry Can])</f>
        <v>0</v>
      </c>
      <c r="AO497" s="540" t="str">
        <f>IFERROR(VLOOKUP(Table_NFI[[#This Row],[Camp Name]],CL,2,0),"")</f>
        <v>MMR001CMP008</v>
      </c>
      <c r="AP497" s="535">
        <f ca="1">IF(Table_NFI[[#This Row],[Pcode]]="","",IF(OFFSET(CampList[Opening Date],MATCH(Table_NFI[[#This Row],[Pcode]],CampList[CP_Pcode],0)-1,0,1,1)&gt;=NFI_Monitor_Date,1,0))</f>
        <v>0</v>
      </c>
      <c r="AQ497" s="540" t="str">
        <f>IFERROR(VLOOKUP(Table_NFI[[#This Row],[Camp Name]],CL,3,0),"")</f>
        <v>Open</v>
      </c>
      <c r="AR497" s="352" t="str">
        <f ca="1">IF(Table_NFI[[#This Row],[Pcode]]="","",OFFSET(CampList[Priority],MATCH(Table_NFI[[#This Row],[Pcode]],CampList[CP_Pcode],0)-1,0,1,1))</f>
        <v>P4</v>
      </c>
      <c r="AS497" s="351">
        <f>IFERROR(Table_NFI[[#This Row],[Kitchen Set]]/VLOOKUP(Table_NFI[[#This Row],[Camp Name]],CL,4,0),"")</f>
        <v>0</v>
      </c>
      <c r="AT497" s="533"/>
      <c r="AU497" s="536"/>
    </row>
    <row r="498" spans="1:47" s="537" customFormat="1" ht="14.45" customHeight="1" x14ac:dyDescent="0.25">
      <c r="A498" s="355">
        <f t="shared" si="7"/>
        <v>35.733333333333334</v>
      </c>
      <c r="B498" s="532">
        <v>41499</v>
      </c>
      <c r="C498" s="533" t="s">
        <v>453</v>
      </c>
      <c r="D498" s="533" t="s">
        <v>507</v>
      </c>
      <c r="E498" s="533" t="s">
        <v>554</v>
      </c>
      <c r="F498" s="348" t="s">
        <v>289</v>
      </c>
      <c r="G498" s="348" t="s">
        <v>375</v>
      </c>
      <c r="H498" s="349"/>
      <c r="I498" s="349"/>
      <c r="J498" s="349">
        <v>40</v>
      </c>
      <c r="K498" s="349">
        <v>83</v>
      </c>
      <c r="L498" s="350">
        <v>33</v>
      </c>
      <c r="M498" s="350">
        <v>83</v>
      </c>
      <c r="N498" s="350">
        <v>33</v>
      </c>
      <c r="O498" s="350">
        <v>33</v>
      </c>
      <c r="P498" s="352">
        <v>33</v>
      </c>
      <c r="Q498" s="352">
        <v>33</v>
      </c>
      <c r="R498" s="352"/>
      <c r="S498" s="352"/>
      <c r="T498" s="352"/>
      <c r="U498" s="352"/>
      <c r="V498" s="497"/>
      <c r="W498" s="352"/>
      <c r="X498" s="352"/>
      <c r="Y498" s="352">
        <f>IF(NFI_Expiration=1,IF($A498&lt;VLOOKUP(H$5,NFI,5,0),1,0)*Table_NFI[[#This Row],[Hygiene Kit]],Table_NFI[Hygiene Kit])</f>
        <v>0</v>
      </c>
      <c r="Z498" s="352">
        <f>IF(NFI_Expiration=1,IF($A498&lt;VLOOKUP(I$5,NFI,5,0),1,0)*Table_NFI[[#This Row],[NFI Core Kit]],Table_NFI[NFI Core Kit])</f>
        <v>0</v>
      </c>
      <c r="AA498" s="352">
        <f>IF(NFI_Expiration=1,IF($A498&lt;VLOOKUP(J$5,NFI,5,0),1,0)*Table_NFI[[#This Row],[Sanitary Kit]],Table_NFI[Sanitary Kit])</f>
        <v>0</v>
      </c>
      <c r="AB498" s="352">
        <f>IF(NFI_Expiration=1,IF($A498&lt;VLOOKUP(K$5,NFI,5,0),1,0)*Table_NFI[[#This Row],[Mosquito net]],Table_NFI[Mosquito net])</f>
        <v>0</v>
      </c>
      <c r="AC498" s="352">
        <f>IF(NFI_Expiration=1,IF($A498&lt;VLOOKUP(L$5,NFI,5,0),1,0)*Table_NFI[[#This Row],[Tarpaulin]],Table_NFI[[#This Row],[Tarpaulin]])</f>
        <v>0</v>
      </c>
      <c r="AD498" s="352">
        <f>IF(NFI_Expiration=1,IF($A498&lt;VLOOKUP(M$5,NFI,5,0),1,0)*Table_NFI[[#This Row],[Blanket]],Table_NFI[[#This Row],[Blanket]])</f>
        <v>0</v>
      </c>
      <c r="AE498" s="352">
        <f>IF(NFI_Expiration=1,IF($A498&lt;VLOOKUP(N$5,NFI,5,0),1,0)*Table_NFI[[#This Row],[Kitchen Set]],Table_NFI[Kitchen Set])</f>
        <v>0</v>
      </c>
      <c r="AF498" s="352">
        <f>IF(NFI_Expiration=1,IF($A498&lt;VLOOKUP(O$5,NFI,5,0),1,0)*Table_NFI[[#This Row],[Clothes Kit]],Table_NFI[Clothes Kit])</f>
        <v>0</v>
      </c>
      <c r="AG498" s="352">
        <f>IF(NFI_Expiration=1,IF($A498&lt;VLOOKUP(P$5,NFI,5,0),1,0)*Table_NFI[[#This Row],[Plastic Bucket]],Table_NFI[Plastic Bucket])</f>
        <v>0</v>
      </c>
      <c r="AH498" s="352">
        <f>IF(NFI_Expiration=1,IF($A498&lt;VLOOKUP(Q$5,NFI,5,0),1,0)*Table_NFI[[#This Row],[Plastic Mat]],Table_NFI[Plastic Mat])*IF(Table_NFI[[#This Row],[Distribution Date]]&gt;"2014-04-01",1,2.5)</f>
        <v>0</v>
      </c>
      <c r="AI498" s="352">
        <f>IF(NFI_Expiration=1,IF($A498&lt;VLOOKUP(R$5,NFI,5,0),1,0)*Table_NFI[[#This Row],[Winter Clothes Adult]],Table_NFI[Winter Clothes Adult])</f>
        <v>0</v>
      </c>
      <c r="AJ498" s="352">
        <f>IF(NFI_Expiration=1,IF($A498&lt;VLOOKUP(S$5,NFI,5,0),1,0)*Table_NFI[[#This Row],[Winter Clothes Children]],Table_NFI[Winter Clothes Children])</f>
        <v>0</v>
      </c>
      <c r="AK498" s="352">
        <f>IF(NFI_Expiration=1,IF($A498&lt;VLOOKUP(T$5,NFI,5,0),1,0)*Table_NFI[[#This Row],[Winter Items Other]],Table_NFI[Winter Items Other])</f>
        <v>0</v>
      </c>
      <c r="AL498" s="352">
        <f>IF(NFI_Expiration=1,IF($A498&lt;VLOOKUP(M$5,NFI,5,0),1,0)*Table_NFI[[#This Row],[Winter Blanket]],Table_NFI[[#This Row],[Winter Blanket]])</f>
        <v>0</v>
      </c>
      <c r="AM498" s="352">
        <f>IF(Table_NFI[[#This Row],[Winter Clothes Adult]]+Table_NFI[[#This Row],[Winter Clothes Children]]+Table_NFI[[#This Row],[Winter Items Other]]+Table_NFI[[#This Row],[Winter Blanket]]&gt;0,1,0)</f>
        <v>0</v>
      </c>
      <c r="AN498" s="392">
        <f>IF(NFI_Expiration=1,IF($A498&lt;VLOOKUP(V$5,NFI,5,0),1,0)*Table_NFI[[#This Row],[Jerry Can]],Table_NFI[Jerry Can])</f>
        <v>0</v>
      </c>
      <c r="AO498" s="540" t="str">
        <f>IFERROR(VLOOKUP(Table_NFI[[#This Row],[Camp Name]],CL,2,0),"")</f>
        <v>MMR015CMP024</v>
      </c>
      <c r="AP498" s="535">
        <f ca="1">IF(Table_NFI[[#This Row],[Pcode]]="","",IF(OFFSET(CampList[Opening Date],MATCH(Table_NFI[[#This Row],[Pcode]],CampList[CP_Pcode],0)-1,0,1,1)&gt;=NFI_Monitor_Date,1,0))</f>
        <v>0</v>
      </c>
      <c r="AQ498" s="540" t="str">
        <f>IFERROR(VLOOKUP(Table_NFI[[#This Row],[Camp Name]],CL,3,0),"")</f>
        <v>Closed</v>
      </c>
      <c r="AR498" s="352" t="str">
        <f ca="1">IF(Table_NFI[[#This Row],[Pcode]]="","",OFFSET(CampList[Priority],MATCH(Table_NFI[[#This Row],[Pcode]],CampList[CP_Pcode],0)-1,0,1,1))</f>
        <v/>
      </c>
      <c r="AS498" s="351" t="str">
        <f>IFERROR(Table_NFI[[#This Row],[Kitchen Set]]/VLOOKUP(Table_NFI[[#This Row],[Camp Name]],CL,4,0),"")</f>
        <v/>
      </c>
      <c r="AT498" s="533" t="s">
        <v>1094</v>
      </c>
      <c r="AU498" s="536"/>
    </row>
    <row r="499" spans="1:47" s="537" customFormat="1" ht="14.45" customHeight="1" x14ac:dyDescent="0.25">
      <c r="A499" s="355">
        <f t="shared" si="7"/>
        <v>35.733333333333334</v>
      </c>
      <c r="B499" s="532">
        <v>41499</v>
      </c>
      <c r="C499" s="533" t="s">
        <v>453</v>
      </c>
      <c r="D499" s="533" t="s">
        <v>507</v>
      </c>
      <c r="E499" s="533" t="s">
        <v>554</v>
      </c>
      <c r="F499" s="348" t="s">
        <v>298</v>
      </c>
      <c r="G499" s="348" t="s">
        <v>594</v>
      </c>
      <c r="H499" s="349"/>
      <c r="I499" s="349"/>
      <c r="J499" s="349">
        <v>130</v>
      </c>
      <c r="K499" s="349">
        <v>288</v>
      </c>
      <c r="L499" s="350">
        <v>115</v>
      </c>
      <c r="M499" s="350">
        <v>288</v>
      </c>
      <c r="N499" s="350">
        <v>115</v>
      </c>
      <c r="O499" s="350">
        <v>115</v>
      </c>
      <c r="P499" s="352">
        <v>115</v>
      </c>
      <c r="Q499" s="352">
        <v>115</v>
      </c>
      <c r="R499" s="352"/>
      <c r="S499" s="352"/>
      <c r="T499" s="352"/>
      <c r="U499" s="352"/>
      <c r="V499" s="497"/>
      <c r="W499" s="352"/>
      <c r="X499" s="352"/>
      <c r="Y499" s="352">
        <f>IF(NFI_Expiration=1,IF($A499&lt;VLOOKUP(H$5,NFI,5,0),1,0)*Table_NFI[[#This Row],[Hygiene Kit]],Table_NFI[Hygiene Kit])</f>
        <v>0</v>
      </c>
      <c r="Z499" s="352">
        <f>IF(NFI_Expiration=1,IF($A499&lt;VLOOKUP(I$5,NFI,5,0),1,0)*Table_NFI[[#This Row],[NFI Core Kit]],Table_NFI[NFI Core Kit])</f>
        <v>0</v>
      </c>
      <c r="AA499" s="352">
        <f>IF(NFI_Expiration=1,IF($A499&lt;VLOOKUP(J$5,NFI,5,0),1,0)*Table_NFI[[#This Row],[Sanitary Kit]],Table_NFI[Sanitary Kit])</f>
        <v>0</v>
      </c>
      <c r="AB499" s="352">
        <f>IF(NFI_Expiration=1,IF($A499&lt;VLOOKUP(K$5,NFI,5,0),1,0)*Table_NFI[[#This Row],[Mosquito net]],Table_NFI[Mosquito net])</f>
        <v>0</v>
      </c>
      <c r="AC499" s="352">
        <f>IF(NFI_Expiration=1,IF($A499&lt;VLOOKUP(L$5,NFI,5,0),1,0)*Table_NFI[[#This Row],[Tarpaulin]],Table_NFI[[#This Row],[Tarpaulin]])</f>
        <v>0</v>
      </c>
      <c r="AD499" s="352">
        <f>IF(NFI_Expiration=1,IF($A499&lt;VLOOKUP(M$5,NFI,5,0),1,0)*Table_NFI[[#This Row],[Blanket]],Table_NFI[[#This Row],[Blanket]])</f>
        <v>0</v>
      </c>
      <c r="AE499" s="352">
        <f>IF(NFI_Expiration=1,IF($A499&lt;VLOOKUP(N$5,NFI,5,0),1,0)*Table_NFI[[#This Row],[Kitchen Set]],Table_NFI[Kitchen Set])</f>
        <v>0</v>
      </c>
      <c r="AF499" s="352">
        <f>IF(NFI_Expiration=1,IF($A499&lt;VLOOKUP(O$5,NFI,5,0),1,0)*Table_NFI[[#This Row],[Clothes Kit]],Table_NFI[Clothes Kit])</f>
        <v>0</v>
      </c>
      <c r="AG499" s="352">
        <f>IF(NFI_Expiration=1,IF($A499&lt;VLOOKUP(P$5,NFI,5,0),1,0)*Table_NFI[[#This Row],[Plastic Bucket]],Table_NFI[Plastic Bucket])</f>
        <v>0</v>
      </c>
      <c r="AH499" s="352">
        <f>IF(NFI_Expiration=1,IF($A499&lt;VLOOKUP(Q$5,NFI,5,0),1,0)*Table_NFI[[#This Row],[Plastic Mat]],Table_NFI[Plastic Mat])*IF(Table_NFI[[#This Row],[Distribution Date]]&gt;"2014-04-01",1,2.5)</f>
        <v>0</v>
      </c>
      <c r="AI499" s="352">
        <f>IF(NFI_Expiration=1,IF($A499&lt;VLOOKUP(R$5,NFI,5,0),1,0)*Table_NFI[[#This Row],[Winter Clothes Adult]],Table_NFI[Winter Clothes Adult])</f>
        <v>0</v>
      </c>
      <c r="AJ499" s="352">
        <f>IF(NFI_Expiration=1,IF($A499&lt;VLOOKUP(S$5,NFI,5,0),1,0)*Table_NFI[[#This Row],[Winter Clothes Children]],Table_NFI[Winter Clothes Children])</f>
        <v>0</v>
      </c>
      <c r="AK499" s="352">
        <f>IF(NFI_Expiration=1,IF($A499&lt;VLOOKUP(T$5,NFI,5,0),1,0)*Table_NFI[[#This Row],[Winter Items Other]],Table_NFI[Winter Items Other])</f>
        <v>0</v>
      </c>
      <c r="AL499" s="352">
        <f>IF(NFI_Expiration=1,IF($A499&lt;VLOOKUP(M$5,NFI,5,0),1,0)*Table_NFI[[#This Row],[Winter Blanket]],Table_NFI[[#This Row],[Winter Blanket]])</f>
        <v>0</v>
      </c>
      <c r="AM499" s="352">
        <f>IF(Table_NFI[[#This Row],[Winter Clothes Adult]]+Table_NFI[[#This Row],[Winter Clothes Children]]+Table_NFI[[#This Row],[Winter Items Other]]+Table_NFI[[#This Row],[Winter Blanket]]&gt;0,1,0)</f>
        <v>0</v>
      </c>
      <c r="AN499" s="392">
        <f>IF(NFI_Expiration=1,IF($A499&lt;VLOOKUP(V$5,NFI,5,0),1,0)*Table_NFI[[#This Row],[Jerry Can]],Table_NFI[Jerry Can])</f>
        <v>0</v>
      </c>
      <c r="AO499" s="540" t="str">
        <f>IFERROR(VLOOKUP(Table_NFI[[#This Row],[Camp Name]],CL,2,0),"")</f>
        <v>MMR015CMP210</v>
      </c>
      <c r="AP499" s="535">
        <f ca="1">IF(Table_NFI[[#This Row],[Pcode]]="","",IF(OFFSET(CampList[Opening Date],MATCH(Table_NFI[[#This Row],[Pcode]],CampList[CP_Pcode],0)-1,0,1,1)&gt;=NFI_Monitor_Date,1,0))</f>
        <v>0</v>
      </c>
      <c r="AQ499" s="540" t="str">
        <f>IFERROR(VLOOKUP(Table_NFI[[#This Row],[Camp Name]],CL,3,0),"")</f>
        <v>Open</v>
      </c>
      <c r="AR499" s="352" t="str">
        <f ca="1">IF(Table_NFI[[#This Row],[Pcode]]="","",OFFSET(CampList[Priority],MATCH(Table_NFI[[#This Row],[Pcode]],CampList[CP_Pcode],0)-1,0,1,1))</f>
        <v>P3</v>
      </c>
      <c r="AS499" s="351">
        <f>IFERROR(Table_NFI[[#This Row],[Kitchen Set]]/VLOOKUP(Table_NFI[[#This Row],[Camp Name]],CL,4,0),"")</f>
        <v>0.97457627118644063</v>
      </c>
      <c r="AT499" s="533" t="s">
        <v>1094</v>
      </c>
      <c r="AU499" s="536"/>
    </row>
    <row r="500" spans="1:47" s="537" customFormat="1" ht="14.45" customHeight="1" x14ac:dyDescent="0.25">
      <c r="A500" s="355">
        <f t="shared" si="7"/>
        <v>35.733333333333334</v>
      </c>
      <c r="B500" s="532">
        <v>41499</v>
      </c>
      <c r="C500" s="533" t="s">
        <v>453</v>
      </c>
      <c r="D500" s="533" t="s">
        <v>461</v>
      </c>
      <c r="E500" s="533" t="s">
        <v>554</v>
      </c>
      <c r="F500" s="348" t="s">
        <v>780</v>
      </c>
      <c r="G500" s="348" t="s">
        <v>595</v>
      </c>
      <c r="H500" s="349"/>
      <c r="I500" s="349"/>
      <c r="J500" s="349">
        <v>27</v>
      </c>
      <c r="K500" s="349">
        <v>43</v>
      </c>
      <c r="L500" s="350">
        <v>17</v>
      </c>
      <c r="M500" s="350">
        <v>43</v>
      </c>
      <c r="N500" s="350">
        <v>17</v>
      </c>
      <c r="O500" s="350">
        <v>17</v>
      </c>
      <c r="P500" s="352">
        <v>17</v>
      </c>
      <c r="Q500" s="352">
        <v>17</v>
      </c>
      <c r="R500" s="352"/>
      <c r="S500" s="352"/>
      <c r="T500" s="352"/>
      <c r="U500" s="352"/>
      <c r="V500" s="497"/>
      <c r="W500" s="352"/>
      <c r="X500" s="352"/>
      <c r="Y500" s="352">
        <f>IF(NFI_Expiration=1,IF($A500&lt;VLOOKUP(H$5,NFI,5,0),1,0)*Table_NFI[[#This Row],[Hygiene Kit]],Table_NFI[Hygiene Kit])</f>
        <v>0</v>
      </c>
      <c r="Z500" s="352">
        <f>IF(NFI_Expiration=1,IF($A500&lt;VLOOKUP(I$5,NFI,5,0),1,0)*Table_NFI[[#This Row],[NFI Core Kit]],Table_NFI[NFI Core Kit])</f>
        <v>0</v>
      </c>
      <c r="AA500" s="352">
        <f>IF(NFI_Expiration=1,IF($A500&lt;VLOOKUP(J$5,NFI,5,0),1,0)*Table_NFI[[#This Row],[Sanitary Kit]],Table_NFI[Sanitary Kit])</f>
        <v>0</v>
      </c>
      <c r="AB500" s="352">
        <f>IF(NFI_Expiration=1,IF($A500&lt;VLOOKUP(K$5,NFI,5,0),1,0)*Table_NFI[[#This Row],[Mosquito net]],Table_NFI[Mosquito net])</f>
        <v>0</v>
      </c>
      <c r="AC500" s="352">
        <f>IF(NFI_Expiration=1,IF($A500&lt;VLOOKUP(L$5,NFI,5,0),1,0)*Table_NFI[[#This Row],[Tarpaulin]],Table_NFI[[#This Row],[Tarpaulin]])</f>
        <v>0</v>
      </c>
      <c r="AD500" s="352">
        <f>IF(NFI_Expiration=1,IF($A500&lt;VLOOKUP(M$5,NFI,5,0),1,0)*Table_NFI[[#This Row],[Blanket]],Table_NFI[[#This Row],[Blanket]])</f>
        <v>0</v>
      </c>
      <c r="AE500" s="352">
        <f>IF(NFI_Expiration=1,IF($A500&lt;VLOOKUP(N$5,NFI,5,0),1,0)*Table_NFI[[#This Row],[Kitchen Set]],Table_NFI[Kitchen Set])</f>
        <v>0</v>
      </c>
      <c r="AF500" s="352">
        <f>IF(NFI_Expiration=1,IF($A500&lt;VLOOKUP(O$5,NFI,5,0),1,0)*Table_NFI[[#This Row],[Clothes Kit]],Table_NFI[Clothes Kit])</f>
        <v>0</v>
      </c>
      <c r="AG500" s="352">
        <f>IF(NFI_Expiration=1,IF($A500&lt;VLOOKUP(P$5,NFI,5,0),1,0)*Table_NFI[[#This Row],[Plastic Bucket]],Table_NFI[Plastic Bucket])</f>
        <v>0</v>
      </c>
      <c r="AH500" s="352">
        <f>IF(NFI_Expiration=1,IF($A500&lt;VLOOKUP(Q$5,NFI,5,0),1,0)*Table_NFI[[#This Row],[Plastic Mat]],Table_NFI[Plastic Mat])*IF(Table_NFI[[#This Row],[Distribution Date]]&gt;"2014-04-01",1,2.5)</f>
        <v>0</v>
      </c>
      <c r="AI500" s="352">
        <f>IF(NFI_Expiration=1,IF($A500&lt;VLOOKUP(R$5,NFI,5,0),1,0)*Table_NFI[[#This Row],[Winter Clothes Adult]],Table_NFI[Winter Clothes Adult])</f>
        <v>0</v>
      </c>
      <c r="AJ500" s="352">
        <f>IF(NFI_Expiration=1,IF($A500&lt;VLOOKUP(S$5,NFI,5,0),1,0)*Table_NFI[[#This Row],[Winter Clothes Children]],Table_NFI[Winter Clothes Children])</f>
        <v>0</v>
      </c>
      <c r="AK500" s="352">
        <f>IF(NFI_Expiration=1,IF($A500&lt;VLOOKUP(T$5,NFI,5,0),1,0)*Table_NFI[[#This Row],[Winter Items Other]],Table_NFI[Winter Items Other])</f>
        <v>0</v>
      </c>
      <c r="AL500" s="352">
        <f>IF(NFI_Expiration=1,IF($A500&lt;VLOOKUP(M$5,NFI,5,0),1,0)*Table_NFI[[#This Row],[Winter Blanket]],Table_NFI[[#This Row],[Winter Blanket]])</f>
        <v>0</v>
      </c>
      <c r="AM500" s="352">
        <f>IF(Table_NFI[[#This Row],[Winter Clothes Adult]]+Table_NFI[[#This Row],[Winter Clothes Children]]+Table_NFI[[#This Row],[Winter Items Other]]+Table_NFI[[#This Row],[Winter Blanket]]&gt;0,1,0)</f>
        <v>0</v>
      </c>
      <c r="AN500" s="392">
        <f>IF(NFI_Expiration=1,IF($A500&lt;VLOOKUP(V$5,NFI,5,0),1,0)*Table_NFI[[#This Row],[Jerry Can]],Table_NFI[Jerry Can])</f>
        <v>0</v>
      </c>
      <c r="AO500" s="540" t="str">
        <f>IFERROR(VLOOKUP(Table_NFI[[#This Row],[Camp Name]],CL,2,0),"")</f>
        <v>MMR015CMP207</v>
      </c>
      <c r="AP500" s="535">
        <f ca="1">IF(Table_NFI[[#This Row],[Pcode]]="","",IF(OFFSET(CampList[Opening Date],MATCH(Table_NFI[[#This Row],[Pcode]],CampList[CP_Pcode],0)-1,0,1,1)&gt;=NFI_Monitor_Date,1,0))</f>
        <v>0</v>
      </c>
      <c r="AQ500" s="540" t="str">
        <f>IFERROR(VLOOKUP(Table_NFI[[#This Row],[Camp Name]],CL,3,0),"")</f>
        <v>Open</v>
      </c>
      <c r="AR500" s="352" t="str">
        <f ca="1">IF(Table_NFI[[#This Row],[Pcode]]="","",OFFSET(CampList[Priority],MATCH(Table_NFI[[#This Row],[Pcode]],CampList[CP_Pcode],0)-1,0,1,1))</f>
        <v>P4</v>
      </c>
      <c r="AS500" s="351">
        <f>IFERROR(Table_NFI[[#This Row],[Kitchen Set]]/VLOOKUP(Table_NFI[[#This Row],[Camp Name]],CL,4,0),"")</f>
        <v>0.2537313432835821</v>
      </c>
      <c r="AT500" s="533" t="s">
        <v>1094</v>
      </c>
      <c r="AU500" s="536"/>
    </row>
    <row r="501" spans="1:47" s="537" customFormat="1" ht="14.45" customHeight="1" x14ac:dyDescent="0.25">
      <c r="A501" s="355">
        <f t="shared" si="7"/>
        <v>35.93333333333333</v>
      </c>
      <c r="B501" s="532">
        <v>41493</v>
      </c>
      <c r="C501" s="533" t="s">
        <v>453</v>
      </c>
      <c r="D501" s="533" t="s">
        <v>453</v>
      </c>
      <c r="E501" s="533" t="s">
        <v>380</v>
      </c>
      <c r="F501" s="348" t="s">
        <v>310</v>
      </c>
      <c r="G501" s="348" t="s">
        <v>320</v>
      </c>
      <c r="H501" s="349"/>
      <c r="I501" s="349"/>
      <c r="J501" s="349">
        <v>15</v>
      </c>
      <c r="K501" s="349">
        <v>57</v>
      </c>
      <c r="L501" s="350">
        <v>24</v>
      </c>
      <c r="M501" s="350">
        <v>57</v>
      </c>
      <c r="N501" s="350">
        <v>24</v>
      </c>
      <c r="O501" s="350">
        <v>24</v>
      </c>
      <c r="P501" s="352">
        <v>24</v>
      </c>
      <c r="Q501" s="352">
        <v>24</v>
      </c>
      <c r="R501" s="352"/>
      <c r="S501" s="352"/>
      <c r="T501" s="352"/>
      <c r="U501" s="352"/>
      <c r="V501" s="497"/>
      <c r="W501" s="352"/>
      <c r="X501" s="352"/>
      <c r="Y501" s="352">
        <f>IF(NFI_Expiration=1,IF($A501&lt;VLOOKUP(H$5,NFI,5,0),1,0)*Table_NFI[[#This Row],[Hygiene Kit]],Table_NFI[Hygiene Kit])</f>
        <v>0</v>
      </c>
      <c r="Z501" s="352">
        <f>IF(NFI_Expiration=1,IF($A501&lt;VLOOKUP(I$5,NFI,5,0),1,0)*Table_NFI[[#This Row],[NFI Core Kit]],Table_NFI[NFI Core Kit])</f>
        <v>0</v>
      </c>
      <c r="AA501" s="352">
        <f>IF(NFI_Expiration=1,IF($A501&lt;VLOOKUP(J$5,NFI,5,0),1,0)*Table_NFI[[#This Row],[Sanitary Kit]],Table_NFI[Sanitary Kit])</f>
        <v>0</v>
      </c>
      <c r="AB501" s="352">
        <f>IF(NFI_Expiration=1,IF($A501&lt;VLOOKUP(K$5,NFI,5,0),1,0)*Table_NFI[[#This Row],[Mosquito net]],Table_NFI[Mosquito net])</f>
        <v>0</v>
      </c>
      <c r="AC501" s="352">
        <f>IF(NFI_Expiration=1,IF($A501&lt;VLOOKUP(L$5,NFI,5,0),1,0)*Table_NFI[[#This Row],[Tarpaulin]],Table_NFI[[#This Row],[Tarpaulin]])</f>
        <v>0</v>
      </c>
      <c r="AD501" s="352">
        <f>IF(NFI_Expiration=1,IF($A501&lt;VLOOKUP(M$5,NFI,5,0),1,0)*Table_NFI[[#This Row],[Blanket]],Table_NFI[[#This Row],[Blanket]])</f>
        <v>0</v>
      </c>
      <c r="AE501" s="352">
        <f>IF(NFI_Expiration=1,IF($A501&lt;VLOOKUP(N$5,NFI,5,0),1,0)*Table_NFI[[#This Row],[Kitchen Set]],Table_NFI[Kitchen Set])</f>
        <v>0</v>
      </c>
      <c r="AF501" s="352">
        <f>IF(NFI_Expiration=1,IF($A501&lt;VLOOKUP(O$5,NFI,5,0),1,0)*Table_NFI[[#This Row],[Clothes Kit]],Table_NFI[Clothes Kit])</f>
        <v>0</v>
      </c>
      <c r="AG501" s="352">
        <f>IF(NFI_Expiration=1,IF($A501&lt;VLOOKUP(P$5,NFI,5,0),1,0)*Table_NFI[[#This Row],[Plastic Bucket]],Table_NFI[Plastic Bucket])</f>
        <v>0</v>
      </c>
      <c r="AH501" s="352">
        <f>IF(NFI_Expiration=1,IF($A501&lt;VLOOKUP(Q$5,NFI,5,0),1,0)*Table_NFI[[#This Row],[Plastic Mat]],Table_NFI[Plastic Mat])*IF(Table_NFI[[#This Row],[Distribution Date]]&gt;"2014-04-01",1,2.5)</f>
        <v>0</v>
      </c>
      <c r="AI501" s="352">
        <f>IF(NFI_Expiration=1,IF($A501&lt;VLOOKUP(R$5,NFI,5,0),1,0)*Table_NFI[[#This Row],[Winter Clothes Adult]],Table_NFI[Winter Clothes Adult])</f>
        <v>0</v>
      </c>
      <c r="AJ501" s="352">
        <f>IF(NFI_Expiration=1,IF($A501&lt;VLOOKUP(S$5,NFI,5,0),1,0)*Table_NFI[[#This Row],[Winter Clothes Children]],Table_NFI[Winter Clothes Children])</f>
        <v>0</v>
      </c>
      <c r="AK501" s="352">
        <f>IF(NFI_Expiration=1,IF($A501&lt;VLOOKUP(T$5,NFI,5,0),1,0)*Table_NFI[[#This Row],[Winter Items Other]],Table_NFI[Winter Items Other])</f>
        <v>0</v>
      </c>
      <c r="AL501" s="352">
        <f>IF(NFI_Expiration=1,IF($A501&lt;VLOOKUP(M$5,NFI,5,0),1,0)*Table_NFI[[#This Row],[Winter Blanket]],Table_NFI[[#This Row],[Winter Blanket]])</f>
        <v>0</v>
      </c>
      <c r="AM501" s="352">
        <f>IF(Table_NFI[[#This Row],[Winter Clothes Adult]]+Table_NFI[[#This Row],[Winter Clothes Children]]+Table_NFI[[#This Row],[Winter Items Other]]+Table_NFI[[#This Row],[Winter Blanket]]&gt;0,1,0)</f>
        <v>0</v>
      </c>
      <c r="AN501" s="392">
        <f>IF(NFI_Expiration=1,IF($A501&lt;VLOOKUP(V$5,NFI,5,0),1,0)*Table_NFI[[#This Row],[Jerry Can]],Table_NFI[Jerry Can])</f>
        <v>0</v>
      </c>
      <c r="AO501" s="540" t="str">
        <f>IFERROR(VLOOKUP(Table_NFI[[#This Row],[Camp Name]],CL,2,0),"")</f>
        <v>MMR001CMP027</v>
      </c>
      <c r="AP501" s="535">
        <f ca="1">IF(Table_NFI[[#This Row],[Pcode]]="","",IF(OFFSET(CampList[Opening Date],MATCH(Table_NFI[[#This Row],[Pcode]],CampList[CP_Pcode],0)-1,0,1,1)&gt;=NFI_Monitor_Date,1,0))</f>
        <v>0</v>
      </c>
      <c r="AQ501" s="540" t="str">
        <f>IFERROR(VLOOKUP(Table_NFI[[#This Row],[Camp Name]],CL,3,0),"")</f>
        <v>Open</v>
      </c>
      <c r="AR501" s="352" t="str">
        <f ca="1">IF(Table_NFI[[#This Row],[Pcode]]="","",OFFSET(CampList[Priority],MATCH(Table_NFI[[#This Row],[Pcode]],CampList[CP_Pcode],0)-1,0,1,1))</f>
        <v>P4</v>
      </c>
      <c r="AS501" s="351">
        <f>IFERROR(Table_NFI[[#This Row],[Kitchen Set]]/VLOOKUP(Table_NFI[[#This Row],[Camp Name]],CL,4,0),"")</f>
        <v>1.0909090909090908</v>
      </c>
      <c r="AT501" s="533" t="s">
        <v>1094</v>
      </c>
      <c r="AU501" s="536"/>
    </row>
    <row r="502" spans="1:47" s="537" customFormat="1" ht="14.45" hidden="1" customHeight="1" x14ac:dyDescent="0.25">
      <c r="A502" s="355">
        <f t="shared" si="7"/>
        <v>32.1</v>
      </c>
      <c r="B502" s="532">
        <v>41608</v>
      </c>
      <c r="C502" s="533" t="s">
        <v>1099</v>
      </c>
      <c r="D502" s="534" t="s">
        <v>946</v>
      </c>
      <c r="E502" s="533" t="s">
        <v>380</v>
      </c>
      <c r="F502" s="533" t="s">
        <v>151</v>
      </c>
      <c r="G502" s="348" t="s">
        <v>160</v>
      </c>
      <c r="H502" s="349"/>
      <c r="I502" s="349"/>
      <c r="J502" s="349"/>
      <c r="K502" s="349"/>
      <c r="L502" s="350"/>
      <c r="M502" s="350">
        <v>347</v>
      </c>
      <c r="N502" s="350"/>
      <c r="O502" s="350"/>
      <c r="P502" s="352"/>
      <c r="Q502" s="352"/>
      <c r="R502" s="352">
        <v>386</v>
      </c>
      <c r="S502" s="352">
        <v>234</v>
      </c>
      <c r="T502" s="352">
        <v>0</v>
      </c>
      <c r="U502" s="352"/>
      <c r="V502" s="497"/>
      <c r="W502" s="352"/>
      <c r="X502" s="352"/>
      <c r="Y502" s="352">
        <f>IF(NFI_Expiration=1,IF($A502&lt;VLOOKUP(H$5,NFI,5,0),1,0)*Table_NFI[[#This Row],[Hygiene Kit]],Table_NFI[Hygiene Kit])</f>
        <v>0</v>
      </c>
      <c r="Z502" s="352">
        <f>IF(NFI_Expiration=1,IF($A502&lt;VLOOKUP(I$5,NFI,5,0),1,0)*Table_NFI[[#This Row],[NFI Core Kit]],Table_NFI[NFI Core Kit])</f>
        <v>0</v>
      </c>
      <c r="AA502" s="352">
        <f>IF(NFI_Expiration=1,IF($A502&lt;VLOOKUP(J$5,NFI,5,0),1,0)*Table_NFI[[#This Row],[Sanitary Kit]],Table_NFI[Sanitary Kit])</f>
        <v>0</v>
      </c>
      <c r="AB502" s="352">
        <f>IF(NFI_Expiration=1,IF($A502&lt;VLOOKUP(K$5,NFI,5,0),1,0)*Table_NFI[[#This Row],[Mosquito net]],Table_NFI[Mosquito net])</f>
        <v>0</v>
      </c>
      <c r="AC502" s="352">
        <f>IF(NFI_Expiration=1,IF($A502&lt;VLOOKUP(L$5,NFI,5,0),1,0)*Table_NFI[[#This Row],[Tarpaulin]],Table_NFI[[#This Row],[Tarpaulin]])</f>
        <v>0</v>
      </c>
      <c r="AD502" s="352">
        <f>IF(NFI_Expiration=1,IF($A502&lt;VLOOKUP(M$5,NFI,5,0),1,0)*Table_NFI[[#This Row],[Blanket]],Table_NFI[[#This Row],[Blanket]])</f>
        <v>0</v>
      </c>
      <c r="AE502" s="352">
        <f>IF(NFI_Expiration=1,IF($A502&lt;VLOOKUP(N$5,NFI,5,0),1,0)*Table_NFI[[#This Row],[Kitchen Set]],Table_NFI[Kitchen Set])</f>
        <v>0</v>
      </c>
      <c r="AF502" s="352">
        <f>IF(NFI_Expiration=1,IF($A502&lt;VLOOKUP(O$5,NFI,5,0),1,0)*Table_NFI[[#This Row],[Clothes Kit]],Table_NFI[Clothes Kit])</f>
        <v>0</v>
      </c>
      <c r="AG502" s="352">
        <f>IF(NFI_Expiration=1,IF($A502&lt;VLOOKUP(P$5,NFI,5,0),1,0)*Table_NFI[[#This Row],[Plastic Bucket]],Table_NFI[Plastic Bucket])</f>
        <v>0</v>
      </c>
      <c r="AH502" s="352">
        <f>IF(NFI_Expiration=1,IF($A502&lt;VLOOKUP(Q$5,NFI,5,0),1,0)*Table_NFI[[#This Row],[Plastic Mat]],Table_NFI[Plastic Mat])*IF(Table_NFI[[#This Row],[Distribution Date]]&gt;"2014-04-01",1,2.5)</f>
        <v>0</v>
      </c>
      <c r="AI502" s="352">
        <f>IF(NFI_Expiration=1,IF($A502&lt;VLOOKUP(R$5,NFI,5,0),1,0)*Table_NFI[[#This Row],[Winter Clothes Adult]],Table_NFI[Winter Clothes Adult])</f>
        <v>0</v>
      </c>
      <c r="AJ502" s="352">
        <f>IF(NFI_Expiration=1,IF($A502&lt;VLOOKUP(S$5,NFI,5,0),1,0)*Table_NFI[[#This Row],[Winter Clothes Children]],Table_NFI[Winter Clothes Children])</f>
        <v>0</v>
      </c>
      <c r="AK502" s="352">
        <f>IF(NFI_Expiration=1,IF($A502&lt;VLOOKUP(T$5,NFI,5,0),1,0)*Table_NFI[[#This Row],[Winter Items Other]],Table_NFI[Winter Items Other])</f>
        <v>0</v>
      </c>
      <c r="AL502" s="352">
        <f>IF(NFI_Expiration=1,IF($A502&lt;VLOOKUP(M$5,NFI,5,0),1,0)*Table_NFI[[#This Row],[Winter Blanket]],Table_NFI[[#This Row],[Winter Blanket]])</f>
        <v>0</v>
      </c>
      <c r="AM502" s="352">
        <f>IF(Table_NFI[[#This Row],[Winter Clothes Adult]]+Table_NFI[[#This Row],[Winter Clothes Children]]+Table_NFI[[#This Row],[Winter Items Other]]+Table_NFI[[#This Row],[Winter Blanket]]&gt;0,1,0)</f>
        <v>1</v>
      </c>
      <c r="AN502" s="392">
        <f>IF(NFI_Expiration=1,IF($A502&lt;VLOOKUP(V$5,NFI,5,0),1,0)*Table_NFI[[#This Row],[Jerry Can]],Table_NFI[Jerry Can])</f>
        <v>0</v>
      </c>
      <c r="AO502" s="540" t="str">
        <f>IFERROR(VLOOKUP(Table_NFI[[#This Row],[Camp Name]],CL,2,0),"")</f>
        <v>MMR001CMP133</v>
      </c>
      <c r="AP502" s="535">
        <f ca="1">IF(Table_NFI[[#This Row],[Pcode]]="","",IF(OFFSET(CampList[Opening Date],MATCH(Table_NFI[[#This Row],[Pcode]],CampList[CP_Pcode],0)-1,0,1,1)&gt;=NFI_Monitor_Date,1,0))</f>
        <v>0</v>
      </c>
      <c r="AQ502" s="540" t="str">
        <f>IFERROR(VLOOKUP(Table_NFI[[#This Row],[Camp Name]],CL,3,0),"")</f>
        <v>Open</v>
      </c>
      <c r="AR502" s="352" t="str">
        <f ca="1">IF(Table_NFI[[#This Row],[Pcode]]="","",OFFSET(CampList[Priority],MATCH(Table_NFI[[#This Row],[Pcode]],CampList[CP_Pcode],0)-1,0,1,1))</f>
        <v>P4</v>
      </c>
      <c r="AS502" s="351">
        <f>IFERROR(Table_NFI[[#This Row],[Kitchen Set]]/VLOOKUP(Table_NFI[[#This Row],[Camp Name]],CL,4,0),"")</f>
        <v>0</v>
      </c>
      <c r="AT502" s="533" t="s">
        <v>1094</v>
      </c>
      <c r="AU502" s="536"/>
    </row>
    <row r="503" spans="1:47" s="537" customFormat="1" hidden="1" x14ac:dyDescent="0.25">
      <c r="A503" s="355">
        <f t="shared" si="7"/>
        <v>32.1</v>
      </c>
      <c r="B503" s="532">
        <v>41608</v>
      </c>
      <c r="C503" s="533" t="s">
        <v>907</v>
      </c>
      <c r="D503" s="533"/>
      <c r="E503" s="533" t="s">
        <v>380</v>
      </c>
      <c r="F503" s="348" t="s">
        <v>151</v>
      </c>
      <c r="G503" s="348" t="s">
        <v>160</v>
      </c>
      <c r="H503" s="349"/>
      <c r="I503" s="349"/>
      <c r="J503" s="349"/>
      <c r="K503" s="349"/>
      <c r="L503" s="350"/>
      <c r="M503" s="350"/>
      <c r="N503" s="350"/>
      <c r="O503" s="350"/>
      <c r="P503" s="352"/>
      <c r="Q503" s="352">
        <v>444</v>
      </c>
      <c r="R503" s="352"/>
      <c r="S503" s="352"/>
      <c r="T503" s="352"/>
      <c r="U503" s="352"/>
      <c r="V503" s="497"/>
      <c r="W503" s="352"/>
      <c r="X503" s="352"/>
      <c r="Y503" s="352">
        <f>IF(NFI_Expiration=1,IF($A503&lt;VLOOKUP(H$5,NFI,5,0),1,0)*Table_NFI[[#This Row],[Hygiene Kit]],Table_NFI[Hygiene Kit])</f>
        <v>0</v>
      </c>
      <c r="Z503" s="352">
        <f>IF(NFI_Expiration=1,IF($A503&lt;VLOOKUP(I$5,NFI,5,0),1,0)*Table_NFI[[#This Row],[NFI Core Kit]],Table_NFI[NFI Core Kit])</f>
        <v>0</v>
      </c>
      <c r="AA503" s="352">
        <f>IF(NFI_Expiration=1,IF($A503&lt;VLOOKUP(J$5,NFI,5,0),1,0)*Table_NFI[[#This Row],[Sanitary Kit]],Table_NFI[Sanitary Kit])</f>
        <v>0</v>
      </c>
      <c r="AB503" s="352">
        <f>IF(NFI_Expiration=1,IF($A503&lt;VLOOKUP(K$5,NFI,5,0),1,0)*Table_NFI[[#This Row],[Mosquito net]],Table_NFI[Mosquito net])</f>
        <v>0</v>
      </c>
      <c r="AC503" s="352">
        <f>IF(NFI_Expiration=1,IF($A503&lt;VLOOKUP(L$5,NFI,5,0),1,0)*Table_NFI[[#This Row],[Tarpaulin]],Table_NFI[[#This Row],[Tarpaulin]])</f>
        <v>0</v>
      </c>
      <c r="AD503" s="352">
        <f>IF(NFI_Expiration=1,IF($A503&lt;VLOOKUP(M$5,NFI,5,0),1,0)*Table_NFI[[#This Row],[Blanket]],Table_NFI[[#This Row],[Blanket]])</f>
        <v>0</v>
      </c>
      <c r="AE503" s="352">
        <f>IF(NFI_Expiration=1,IF($A503&lt;VLOOKUP(N$5,NFI,5,0),1,0)*Table_NFI[[#This Row],[Kitchen Set]],Table_NFI[Kitchen Set])</f>
        <v>0</v>
      </c>
      <c r="AF503" s="352">
        <f>IF(NFI_Expiration=1,IF($A503&lt;VLOOKUP(O$5,NFI,5,0),1,0)*Table_NFI[[#This Row],[Clothes Kit]],Table_NFI[Clothes Kit])</f>
        <v>0</v>
      </c>
      <c r="AG503" s="352">
        <f>IF(NFI_Expiration=1,IF($A503&lt;VLOOKUP(P$5,NFI,5,0),1,0)*Table_NFI[[#This Row],[Plastic Bucket]],Table_NFI[Plastic Bucket])</f>
        <v>0</v>
      </c>
      <c r="AH503" s="352">
        <f>IF(NFI_Expiration=1,IF($A503&lt;VLOOKUP(Q$5,NFI,5,0),1,0)*Table_NFI[[#This Row],[Plastic Mat]],Table_NFI[Plastic Mat])*IF(Table_NFI[[#This Row],[Distribution Date]]&gt;"2014-04-01",1,2.5)</f>
        <v>0</v>
      </c>
      <c r="AI503" s="352">
        <f>IF(NFI_Expiration=1,IF($A503&lt;VLOOKUP(R$5,NFI,5,0),1,0)*Table_NFI[[#This Row],[Winter Clothes Adult]],Table_NFI[Winter Clothes Adult])</f>
        <v>0</v>
      </c>
      <c r="AJ503" s="352">
        <f>IF(NFI_Expiration=1,IF($A503&lt;VLOOKUP(S$5,NFI,5,0),1,0)*Table_NFI[[#This Row],[Winter Clothes Children]],Table_NFI[Winter Clothes Children])</f>
        <v>0</v>
      </c>
      <c r="AK503" s="352">
        <f>IF(NFI_Expiration=1,IF($A503&lt;VLOOKUP(T$5,NFI,5,0),1,0)*Table_NFI[[#This Row],[Winter Items Other]],Table_NFI[Winter Items Other])</f>
        <v>0</v>
      </c>
      <c r="AL503" s="352">
        <f>IF(NFI_Expiration=1,IF($A503&lt;VLOOKUP(M$5,NFI,5,0),1,0)*Table_NFI[[#This Row],[Winter Blanket]],Table_NFI[[#This Row],[Winter Blanket]])</f>
        <v>0</v>
      </c>
      <c r="AM503" s="352">
        <f>IF(Table_NFI[[#This Row],[Winter Clothes Adult]]+Table_NFI[[#This Row],[Winter Clothes Children]]+Table_NFI[[#This Row],[Winter Items Other]]+Table_NFI[[#This Row],[Winter Blanket]]&gt;0,1,0)</f>
        <v>0</v>
      </c>
      <c r="AN503" s="392">
        <f>IF(NFI_Expiration=1,IF($A503&lt;VLOOKUP(V$5,NFI,5,0),1,0)*Table_NFI[[#This Row],[Jerry Can]],Table_NFI[Jerry Can])</f>
        <v>0</v>
      </c>
      <c r="AO503" s="540" t="str">
        <f>IFERROR(VLOOKUP(Table_NFI[[#This Row],[Camp Name]],CL,2,0),"")</f>
        <v>MMR001CMP133</v>
      </c>
      <c r="AP503" s="535">
        <f ca="1">IF(Table_NFI[[#This Row],[Pcode]]="","",IF(OFFSET(CampList[Opening Date],MATCH(Table_NFI[[#This Row],[Pcode]],CampList[CP_Pcode],0)-1,0,1,1)&gt;=NFI_Monitor_Date,1,0))</f>
        <v>0</v>
      </c>
      <c r="AQ503" s="540" t="str">
        <f>IFERROR(VLOOKUP(Table_NFI[[#This Row],[Camp Name]],CL,3,0),"")</f>
        <v>Open</v>
      </c>
      <c r="AR503" s="352" t="str">
        <f ca="1">IF(Table_NFI[[#This Row],[Pcode]]="","",OFFSET(CampList[Priority],MATCH(Table_NFI[[#This Row],[Pcode]],CampList[CP_Pcode],0)-1,0,1,1))</f>
        <v>P4</v>
      </c>
      <c r="AS503" s="351">
        <f>IFERROR(Table_NFI[[#This Row],[Kitchen Set]]/VLOOKUP(Table_NFI[[#This Row],[Camp Name]],CL,4,0),"")</f>
        <v>0</v>
      </c>
      <c r="AT503" s="533" t="s">
        <v>1094</v>
      </c>
      <c r="AU503" s="536"/>
    </row>
    <row r="504" spans="1:47" s="537" customFormat="1" hidden="1" x14ac:dyDescent="0.25">
      <c r="A504" s="355">
        <f t="shared" si="7"/>
        <v>32.266666666666666</v>
      </c>
      <c r="B504" s="532">
        <v>41603</v>
      </c>
      <c r="C504" s="533" t="s">
        <v>907</v>
      </c>
      <c r="D504" s="533" t="s">
        <v>907</v>
      </c>
      <c r="E504" s="533" t="s">
        <v>380</v>
      </c>
      <c r="F504" s="533" t="s">
        <v>151</v>
      </c>
      <c r="G504" s="533" t="s">
        <v>160</v>
      </c>
      <c r="H504" s="349"/>
      <c r="I504" s="349"/>
      <c r="J504" s="349"/>
      <c r="K504" s="349"/>
      <c r="L504" s="350"/>
      <c r="M504" s="350"/>
      <c r="N504" s="350"/>
      <c r="O504" s="350"/>
      <c r="P504" s="352"/>
      <c r="Q504" s="352"/>
      <c r="R504" s="352"/>
      <c r="S504" s="352"/>
      <c r="T504" s="352"/>
      <c r="U504" s="352"/>
      <c r="V504" s="497"/>
      <c r="W504" s="352"/>
      <c r="X504" s="352"/>
      <c r="Y504" s="352">
        <f>IF(NFI_Expiration=1,IF($A504&lt;VLOOKUP(H$5,NFI,5,0),1,0)*Table_NFI[[#This Row],[Hygiene Kit]],Table_NFI[Hygiene Kit])</f>
        <v>0</v>
      </c>
      <c r="Z504" s="352">
        <f>IF(NFI_Expiration=1,IF($A504&lt;VLOOKUP(I$5,NFI,5,0),1,0)*Table_NFI[[#This Row],[NFI Core Kit]],Table_NFI[NFI Core Kit])</f>
        <v>0</v>
      </c>
      <c r="AA504" s="352">
        <f>IF(NFI_Expiration=1,IF($A504&lt;VLOOKUP(J$5,NFI,5,0),1,0)*Table_NFI[[#This Row],[Sanitary Kit]],Table_NFI[Sanitary Kit])</f>
        <v>0</v>
      </c>
      <c r="AB504" s="352">
        <f>IF(NFI_Expiration=1,IF($A504&lt;VLOOKUP(K$5,NFI,5,0),1,0)*Table_NFI[[#This Row],[Mosquito net]],Table_NFI[Mosquito net])</f>
        <v>0</v>
      </c>
      <c r="AC504" s="352">
        <f>IF(NFI_Expiration=1,IF($A504&lt;VLOOKUP(L$5,NFI,5,0),1,0)*Table_NFI[[#This Row],[Tarpaulin]],Table_NFI[[#This Row],[Tarpaulin]])</f>
        <v>0</v>
      </c>
      <c r="AD504" s="352">
        <f>IF(NFI_Expiration=1,IF($A504&lt;VLOOKUP(M$5,NFI,5,0),1,0)*Table_NFI[[#This Row],[Blanket]],Table_NFI[[#This Row],[Blanket]])</f>
        <v>0</v>
      </c>
      <c r="AE504" s="352">
        <f>IF(NFI_Expiration=1,IF($A504&lt;VLOOKUP(N$5,NFI,5,0),1,0)*Table_NFI[[#This Row],[Kitchen Set]],Table_NFI[Kitchen Set])</f>
        <v>0</v>
      </c>
      <c r="AF504" s="352">
        <f>IF(NFI_Expiration=1,IF($A504&lt;VLOOKUP(O$5,NFI,5,0),1,0)*Table_NFI[[#This Row],[Clothes Kit]],Table_NFI[Clothes Kit])</f>
        <v>0</v>
      </c>
      <c r="AG504" s="352">
        <f>IF(NFI_Expiration=1,IF($A504&lt;VLOOKUP(P$5,NFI,5,0),1,0)*Table_NFI[[#This Row],[Plastic Bucket]],Table_NFI[Plastic Bucket])</f>
        <v>0</v>
      </c>
      <c r="AH504" s="352">
        <f>IF(NFI_Expiration=1,IF($A504&lt;VLOOKUP(Q$5,NFI,5,0),1,0)*Table_NFI[[#This Row],[Plastic Mat]],Table_NFI[Plastic Mat])*IF(Table_NFI[[#This Row],[Distribution Date]]&gt;"2014-04-01",1,2.5)</f>
        <v>0</v>
      </c>
      <c r="AI504" s="352">
        <f>IF(NFI_Expiration=1,IF($A504&lt;VLOOKUP(R$5,NFI,5,0),1,0)*Table_NFI[[#This Row],[Winter Clothes Adult]],Table_NFI[Winter Clothes Adult])</f>
        <v>0</v>
      </c>
      <c r="AJ504" s="352">
        <f>IF(NFI_Expiration=1,IF($A504&lt;VLOOKUP(S$5,NFI,5,0),1,0)*Table_NFI[[#This Row],[Winter Clothes Children]],Table_NFI[Winter Clothes Children])</f>
        <v>0</v>
      </c>
      <c r="AK504" s="352">
        <f>IF(NFI_Expiration=1,IF($A504&lt;VLOOKUP(T$5,NFI,5,0),1,0)*Table_NFI[[#This Row],[Winter Items Other]],Table_NFI[Winter Items Other])</f>
        <v>0</v>
      </c>
      <c r="AL504" s="352">
        <f>IF(NFI_Expiration=1,IF($A504&lt;VLOOKUP(M$5,NFI,5,0),1,0)*Table_NFI[[#This Row],[Winter Blanket]],Table_NFI[[#This Row],[Winter Blanket]])</f>
        <v>0</v>
      </c>
      <c r="AM504" s="352">
        <f>IF(Table_NFI[[#This Row],[Winter Clothes Adult]]+Table_NFI[[#This Row],[Winter Clothes Children]]+Table_NFI[[#This Row],[Winter Items Other]]+Table_NFI[[#This Row],[Winter Blanket]]&gt;0,1,0)</f>
        <v>0</v>
      </c>
      <c r="AN504" s="392">
        <f>IF(NFI_Expiration=1,IF($A504&lt;VLOOKUP(V$5,NFI,5,0),1,0)*Table_NFI[[#This Row],[Jerry Can]],Table_NFI[Jerry Can])</f>
        <v>0</v>
      </c>
      <c r="AO504" s="540" t="str">
        <f>IFERROR(VLOOKUP(Table_NFI[[#This Row],[Camp Name]],CL,2,0),"")</f>
        <v>MMR001CMP133</v>
      </c>
      <c r="AP504" s="535">
        <f ca="1">IF(Table_NFI[[#This Row],[Pcode]]="","",IF(OFFSET(CampList[Opening Date],MATCH(Table_NFI[[#This Row],[Pcode]],CampList[CP_Pcode],0)-1,0,1,1)&gt;=NFI_Monitor_Date,1,0))</f>
        <v>0</v>
      </c>
      <c r="AQ504" s="540" t="str">
        <f>IFERROR(VLOOKUP(Table_NFI[[#This Row],[Camp Name]],CL,3,0),"")</f>
        <v>Open</v>
      </c>
      <c r="AR504" s="352" t="str">
        <f ca="1">IF(Table_NFI[[#This Row],[Pcode]]="","",OFFSET(CampList[Priority],MATCH(Table_NFI[[#This Row],[Pcode]],CampList[CP_Pcode],0)-1,0,1,1))</f>
        <v>P4</v>
      </c>
      <c r="AS504" s="351">
        <f>IFERROR(Table_NFI[[#This Row],[Kitchen Set]]/VLOOKUP(Table_NFI[[#This Row],[Camp Name]],CL,4,0),"")</f>
        <v>0</v>
      </c>
      <c r="AT504" s="533"/>
      <c r="AU504" s="536"/>
    </row>
    <row r="505" spans="1:47" s="537" customFormat="1" hidden="1" x14ac:dyDescent="0.25">
      <c r="A505" s="355">
        <f t="shared" si="7"/>
        <v>32.266666666666666</v>
      </c>
      <c r="B505" s="532">
        <v>41603</v>
      </c>
      <c r="C505" s="533" t="s">
        <v>907</v>
      </c>
      <c r="D505" s="533" t="s">
        <v>907</v>
      </c>
      <c r="E505" s="533" t="s">
        <v>380</v>
      </c>
      <c r="F505" s="533" t="s">
        <v>151</v>
      </c>
      <c r="G505" s="533" t="s">
        <v>160</v>
      </c>
      <c r="H505" s="349"/>
      <c r="I505" s="349"/>
      <c r="J505" s="349"/>
      <c r="K505" s="349"/>
      <c r="L505" s="350"/>
      <c r="M505" s="350"/>
      <c r="N505" s="350"/>
      <c r="O505" s="350"/>
      <c r="P505" s="352"/>
      <c r="Q505" s="352"/>
      <c r="R505" s="352">
        <v>19</v>
      </c>
      <c r="S505" s="352">
        <v>38</v>
      </c>
      <c r="T505" s="352">
        <v>114</v>
      </c>
      <c r="U505" s="352">
        <v>57</v>
      </c>
      <c r="V505" s="497"/>
      <c r="W505" s="352"/>
      <c r="X505" s="352"/>
      <c r="Y505" s="352">
        <f>IF(NFI_Expiration=1,IF($A505&lt;VLOOKUP(H$5,NFI,5,0),1,0)*Table_NFI[[#This Row],[Hygiene Kit]],Table_NFI[Hygiene Kit])</f>
        <v>0</v>
      </c>
      <c r="Z505" s="352">
        <f>IF(NFI_Expiration=1,IF($A505&lt;VLOOKUP(I$5,NFI,5,0),1,0)*Table_NFI[[#This Row],[NFI Core Kit]],Table_NFI[NFI Core Kit])</f>
        <v>0</v>
      </c>
      <c r="AA505" s="352">
        <f>IF(NFI_Expiration=1,IF($A505&lt;VLOOKUP(J$5,NFI,5,0),1,0)*Table_NFI[[#This Row],[Sanitary Kit]],Table_NFI[Sanitary Kit])</f>
        <v>0</v>
      </c>
      <c r="AB505" s="352">
        <f>IF(NFI_Expiration=1,IF($A505&lt;VLOOKUP(K$5,NFI,5,0),1,0)*Table_NFI[[#This Row],[Mosquito net]],Table_NFI[Mosquito net])</f>
        <v>0</v>
      </c>
      <c r="AC505" s="352">
        <f>IF(NFI_Expiration=1,IF($A505&lt;VLOOKUP(L$5,NFI,5,0),1,0)*Table_NFI[[#This Row],[Tarpaulin]],Table_NFI[[#This Row],[Tarpaulin]])</f>
        <v>0</v>
      </c>
      <c r="AD505" s="352">
        <f>IF(NFI_Expiration=1,IF($A505&lt;VLOOKUP(M$5,NFI,5,0),1,0)*Table_NFI[[#This Row],[Blanket]],Table_NFI[[#This Row],[Blanket]])</f>
        <v>0</v>
      </c>
      <c r="AE505" s="352">
        <f>IF(NFI_Expiration=1,IF($A505&lt;VLOOKUP(N$5,NFI,5,0),1,0)*Table_NFI[[#This Row],[Kitchen Set]],Table_NFI[Kitchen Set])</f>
        <v>0</v>
      </c>
      <c r="AF505" s="352">
        <f>IF(NFI_Expiration=1,IF($A505&lt;VLOOKUP(O$5,NFI,5,0),1,0)*Table_NFI[[#This Row],[Clothes Kit]],Table_NFI[Clothes Kit])</f>
        <v>0</v>
      </c>
      <c r="AG505" s="352">
        <f>IF(NFI_Expiration=1,IF($A505&lt;VLOOKUP(P$5,NFI,5,0),1,0)*Table_NFI[[#This Row],[Plastic Bucket]],Table_NFI[Plastic Bucket])</f>
        <v>0</v>
      </c>
      <c r="AH505" s="352">
        <f>IF(NFI_Expiration=1,IF($A505&lt;VLOOKUP(Q$5,NFI,5,0),1,0)*Table_NFI[[#This Row],[Plastic Mat]],Table_NFI[Plastic Mat])*IF(Table_NFI[[#This Row],[Distribution Date]]&gt;"2014-04-01",1,2.5)</f>
        <v>0</v>
      </c>
      <c r="AI505" s="352">
        <f>IF(NFI_Expiration=1,IF($A505&lt;VLOOKUP(R$5,NFI,5,0),1,0)*Table_NFI[[#This Row],[Winter Clothes Adult]],Table_NFI[Winter Clothes Adult])</f>
        <v>0</v>
      </c>
      <c r="AJ505" s="352">
        <f>IF(NFI_Expiration=1,IF($A505&lt;VLOOKUP(S$5,NFI,5,0),1,0)*Table_NFI[[#This Row],[Winter Clothes Children]],Table_NFI[Winter Clothes Children])</f>
        <v>0</v>
      </c>
      <c r="AK505" s="352">
        <f>IF(NFI_Expiration=1,IF($A505&lt;VLOOKUP(T$5,NFI,5,0),1,0)*Table_NFI[[#This Row],[Winter Items Other]],Table_NFI[Winter Items Other])</f>
        <v>0</v>
      </c>
      <c r="AL505" s="352">
        <f>IF(NFI_Expiration=1,IF($A505&lt;VLOOKUP(M$5,NFI,5,0),1,0)*Table_NFI[[#This Row],[Winter Blanket]],Table_NFI[[#This Row],[Winter Blanket]])</f>
        <v>0</v>
      </c>
      <c r="AM505" s="352">
        <f>IF(Table_NFI[[#This Row],[Winter Clothes Adult]]+Table_NFI[[#This Row],[Winter Clothes Children]]+Table_NFI[[#This Row],[Winter Items Other]]+Table_NFI[[#This Row],[Winter Blanket]]&gt;0,1,0)</f>
        <v>1</v>
      </c>
      <c r="AN505" s="392">
        <f>IF(NFI_Expiration=1,IF($A505&lt;VLOOKUP(V$5,NFI,5,0),1,0)*Table_NFI[[#This Row],[Jerry Can]],Table_NFI[Jerry Can])</f>
        <v>0</v>
      </c>
      <c r="AO505" s="540" t="str">
        <f>IFERROR(VLOOKUP(Table_NFI[[#This Row],[Camp Name]],CL,2,0),"")</f>
        <v>MMR001CMP133</v>
      </c>
      <c r="AP505" s="535">
        <f ca="1">IF(Table_NFI[[#This Row],[Pcode]]="","",IF(OFFSET(CampList[Opening Date],MATCH(Table_NFI[[#This Row],[Pcode]],CampList[CP_Pcode],0)-1,0,1,1)&gt;=NFI_Monitor_Date,1,0))</f>
        <v>0</v>
      </c>
      <c r="AQ505" s="540" t="str">
        <f>IFERROR(VLOOKUP(Table_NFI[[#This Row],[Camp Name]],CL,3,0),"")</f>
        <v>Open</v>
      </c>
      <c r="AR505" s="352" t="str">
        <f ca="1">IF(Table_NFI[[#This Row],[Pcode]]="","",OFFSET(CampList[Priority],MATCH(Table_NFI[[#This Row],[Pcode]],CampList[CP_Pcode],0)-1,0,1,1))</f>
        <v>P4</v>
      </c>
      <c r="AS505" s="351">
        <f>IFERROR(Table_NFI[[#This Row],[Kitchen Set]]/VLOOKUP(Table_NFI[[#This Row],[Camp Name]],CL,4,0),"")</f>
        <v>0</v>
      </c>
      <c r="AT505" s="533"/>
      <c r="AU505" s="536"/>
    </row>
    <row r="506" spans="1:47" s="537" customFormat="1" ht="14.45" hidden="1" customHeight="1" x14ac:dyDescent="0.25">
      <c r="A506" s="355">
        <f t="shared" si="7"/>
        <v>32.633333333333333</v>
      </c>
      <c r="B506" s="532">
        <v>41592</v>
      </c>
      <c r="C506" s="533" t="s">
        <v>454</v>
      </c>
      <c r="D506" s="533"/>
      <c r="E506" s="533" t="s">
        <v>380</v>
      </c>
      <c r="F506" s="533" t="s">
        <v>151</v>
      </c>
      <c r="G506" s="533" t="s">
        <v>160</v>
      </c>
      <c r="H506" s="349"/>
      <c r="I506" s="349"/>
      <c r="J506" s="349"/>
      <c r="K506" s="349"/>
      <c r="L506" s="350"/>
      <c r="M506" s="350"/>
      <c r="N506" s="350"/>
      <c r="O506" s="350"/>
      <c r="P506" s="352"/>
      <c r="Q506" s="352"/>
      <c r="R506" s="352"/>
      <c r="S506" s="352">
        <v>32</v>
      </c>
      <c r="T506" s="352"/>
      <c r="U506" s="352"/>
      <c r="V506" s="497"/>
      <c r="W506" s="352"/>
      <c r="X506" s="352"/>
      <c r="Y506" s="352">
        <f>IF(NFI_Expiration=1,IF($A506&lt;VLOOKUP(H$5,NFI,5,0),1,0)*Table_NFI[[#This Row],[Hygiene Kit]],Table_NFI[Hygiene Kit])</f>
        <v>0</v>
      </c>
      <c r="Z506" s="352">
        <f>IF(NFI_Expiration=1,IF($A506&lt;VLOOKUP(I$5,NFI,5,0),1,0)*Table_NFI[[#This Row],[NFI Core Kit]],Table_NFI[NFI Core Kit])</f>
        <v>0</v>
      </c>
      <c r="AA506" s="352">
        <f>IF(NFI_Expiration=1,IF($A506&lt;VLOOKUP(J$5,NFI,5,0),1,0)*Table_NFI[[#This Row],[Sanitary Kit]],Table_NFI[Sanitary Kit])</f>
        <v>0</v>
      </c>
      <c r="AB506" s="352">
        <f>IF(NFI_Expiration=1,IF($A506&lt;VLOOKUP(K$5,NFI,5,0),1,0)*Table_NFI[[#This Row],[Mosquito net]],Table_NFI[Mosquito net])</f>
        <v>0</v>
      </c>
      <c r="AC506" s="352">
        <f>IF(NFI_Expiration=1,IF($A506&lt;VLOOKUP(L$5,NFI,5,0),1,0)*Table_NFI[[#This Row],[Tarpaulin]],Table_NFI[[#This Row],[Tarpaulin]])</f>
        <v>0</v>
      </c>
      <c r="AD506" s="352">
        <f>IF(NFI_Expiration=1,IF($A506&lt;VLOOKUP(M$5,NFI,5,0),1,0)*Table_NFI[[#This Row],[Blanket]],Table_NFI[[#This Row],[Blanket]])</f>
        <v>0</v>
      </c>
      <c r="AE506" s="352">
        <f>IF(NFI_Expiration=1,IF($A506&lt;VLOOKUP(N$5,NFI,5,0),1,0)*Table_NFI[[#This Row],[Kitchen Set]],Table_NFI[Kitchen Set])</f>
        <v>0</v>
      </c>
      <c r="AF506" s="352">
        <f>IF(NFI_Expiration=1,IF($A506&lt;VLOOKUP(O$5,NFI,5,0),1,0)*Table_NFI[[#This Row],[Clothes Kit]],Table_NFI[Clothes Kit])</f>
        <v>0</v>
      </c>
      <c r="AG506" s="352">
        <f>IF(NFI_Expiration=1,IF($A506&lt;VLOOKUP(P$5,NFI,5,0),1,0)*Table_NFI[[#This Row],[Plastic Bucket]],Table_NFI[Plastic Bucket])</f>
        <v>0</v>
      </c>
      <c r="AH506" s="352">
        <f>IF(NFI_Expiration=1,IF($A506&lt;VLOOKUP(Q$5,NFI,5,0),1,0)*Table_NFI[[#This Row],[Plastic Mat]],Table_NFI[Plastic Mat])*IF(Table_NFI[[#This Row],[Distribution Date]]&gt;"2014-04-01",1,2.5)</f>
        <v>0</v>
      </c>
      <c r="AI506" s="352">
        <f>IF(NFI_Expiration=1,IF($A506&lt;VLOOKUP(R$5,NFI,5,0),1,0)*Table_NFI[[#This Row],[Winter Clothes Adult]],Table_NFI[Winter Clothes Adult])</f>
        <v>0</v>
      </c>
      <c r="AJ506" s="352">
        <f>IF(NFI_Expiration=1,IF($A506&lt;VLOOKUP(S$5,NFI,5,0),1,0)*Table_NFI[[#This Row],[Winter Clothes Children]],Table_NFI[Winter Clothes Children])</f>
        <v>0</v>
      </c>
      <c r="AK506" s="352">
        <f>IF(NFI_Expiration=1,IF($A506&lt;VLOOKUP(T$5,NFI,5,0),1,0)*Table_NFI[[#This Row],[Winter Items Other]],Table_NFI[Winter Items Other])</f>
        <v>0</v>
      </c>
      <c r="AL506" s="352">
        <f>IF(NFI_Expiration=1,IF($A506&lt;VLOOKUP(M$5,NFI,5,0),1,0)*Table_NFI[[#This Row],[Winter Blanket]],Table_NFI[[#This Row],[Winter Blanket]])</f>
        <v>0</v>
      </c>
      <c r="AM506" s="352">
        <f>IF(Table_NFI[[#This Row],[Winter Clothes Adult]]+Table_NFI[[#This Row],[Winter Clothes Children]]+Table_NFI[[#This Row],[Winter Items Other]]+Table_NFI[[#This Row],[Winter Blanket]]&gt;0,1,0)</f>
        <v>1</v>
      </c>
      <c r="AN506" s="392">
        <f>IF(NFI_Expiration=1,IF($A506&lt;VLOOKUP(V$5,NFI,5,0),1,0)*Table_NFI[[#This Row],[Jerry Can]],Table_NFI[Jerry Can])</f>
        <v>0</v>
      </c>
      <c r="AO506" s="540" t="str">
        <f>IFERROR(VLOOKUP(Table_NFI[[#This Row],[Camp Name]],CL,2,0),"")</f>
        <v>MMR001CMP133</v>
      </c>
      <c r="AP506" s="535">
        <f ca="1">IF(Table_NFI[[#This Row],[Pcode]]="","",IF(OFFSET(CampList[Opening Date],MATCH(Table_NFI[[#This Row],[Pcode]],CampList[CP_Pcode],0)-1,0,1,1)&gt;=NFI_Monitor_Date,1,0))</f>
        <v>0</v>
      </c>
      <c r="AQ506" s="540" t="str">
        <f>IFERROR(VLOOKUP(Table_NFI[[#This Row],[Camp Name]],CL,3,0),"")</f>
        <v>Open</v>
      </c>
      <c r="AR506" s="352" t="str">
        <f ca="1">IF(Table_NFI[[#This Row],[Pcode]]="","",OFFSET(CampList[Priority],MATCH(Table_NFI[[#This Row],[Pcode]],CampList[CP_Pcode],0)-1,0,1,1))</f>
        <v>P4</v>
      </c>
      <c r="AS506" s="351">
        <f>IFERROR(Table_NFI[[#This Row],[Kitchen Set]]/VLOOKUP(Table_NFI[[#This Row],[Camp Name]],CL,4,0),"")</f>
        <v>0</v>
      </c>
      <c r="AT506" s="533" t="s">
        <v>1094</v>
      </c>
      <c r="AU506" s="536"/>
    </row>
    <row r="507" spans="1:47" s="537" customFormat="1" hidden="1" x14ac:dyDescent="0.25">
      <c r="A507" s="355">
        <f t="shared" si="7"/>
        <v>32.666666666666664</v>
      </c>
      <c r="B507" s="532">
        <v>41591</v>
      </c>
      <c r="C507" s="533" t="s">
        <v>907</v>
      </c>
      <c r="D507" s="533" t="s">
        <v>907</v>
      </c>
      <c r="E507" s="533" t="s">
        <v>380</v>
      </c>
      <c r="F507" s="533" t="s">
        <v>151</v>
      </c>
      <c r="G507" s="533" t="s">
        <v>160</v>
      </c>
      <c r="H507" s="349"/>
      <c r="I507" s="349"/>
      <c r="J507" s="349"/>
      <c r="K507" s="349"/>
      <c r="L507" s="350"/>
      <c r="M507" s="350"/>
      <c r="N507" s="350"/>
      <c r="O507" s="350"/>
      <c r="P507" s="352"/>
      <c r="Q507" s="352"/>
      <c r="R507" s="352"/>
      <c r="S507" s="352">
        <v>160</v>
      </c>
      <c r="T507" s="352">
        <v>320</v>
      </c>
      <c r="U507" s="352">
        <v>160</v>
      </c>
      <c r="V507" s="497"/>
      <c r="W507" s="352"/>
      <c r="X507" s="352"/>
      <c r="Y507" s="352">
        <f>IF(NFI_Expiration=1,IF($A507&lt;VLOOKUP(H$5,NFI,5,0),1,0)*Table_NFI[[#This Row],[Hygiene Kit]],Table_NFI[Hygiene Kit])</f>
        <v>0</v>
      </c>
      <c r="Z507" s="352">
        <f>IF(NFI_Expiration=1,IF($A507&lt;VLOOKUP(I$5,NFI,5,0),1,0)*Table_NFI[[#This Row],[NFI Core Kit]],Table_NFI[NFI Core Kit])</f>
        <v>0</v>
      </c>
      <c r="AA507" s="352">
        <f>IF(NFI_Expiration=1,IF($A507&lt;VLOOKUP(J$5,NFI,5,0),1,0)*Table_NFI[[#This Row],[Sanitary Kit]],Table_NFI[Sanitary Kit])</f>
        <v>0</v>
      </c>
      <c r="AB507" s="352">
        <f>IF(NFI_Expiration=1,IF($A507&lt;VLOOKUP(K$5,NFI,5,0),1,0)*Table_NFI[[#This Row],[Mosquito net]],Table_NFI[Mosquito net])</f>
        <v>0</v>
      </c>
      <c r="AC507" s="352">
        <f>IF(NFI_Expiration=1,IF($A507&lt;VLOOKUP(L$5,NFI,5,0),1,0)*Table_NFI[[#This Row],[Tarpaulin]],Table_NFI[[#This Row],[Tarpaulin]])</f>
        <v>0</v>
      </c>
      <c r="AD507" s="352">
        <f>IF(NFI_Expiration=1,IF($A507&lt;VLOOKUP(M$5,NFI,5,0),1,0)*Table_NFI[[#This Row],[Blanket]],Table_NFI[[#This Row],[Blanket]])</f>
        <v>0</v>
      </c>
      <c r="AE507" s="352">
        <f>IF(NFI_Expiration=1,IF($A507&lt;VLOOKUP(N$5,NFI,5,0),1,0)*Table_NFI[[#This Row],[Kitchen Set]],Table_NFI[Kitchen Set])</f>
        <v>0</v>
      </c>
      <c r="AF507" s="352">
        <f>IF(NFI_Expiration=1,IF($A507&lt;VLOOKUP(O$5,NFI,5,0),1,0)*Table_NFI[[#This Row],[Clothes Kit]],Table_NFI[Clothes Kit])</f>
        <v>0</v>
      </c>
      <c r="AG507" s="352">
        <f>IF(NFI_Expiration=1,IF($A507&lt;VLOOKUP(P$5,NFI,5,0),1,0)*Table_NFI[[#This Row],[Plastic Bucket]],Table_NFI[Plastic Bucket])</f>
        <v>0</v>
      </c>
      <c r="AH507" s="352">
        <f>IF(NFI_Expiration=1,IF($A507&lt;VLOOKUP(Q$5,NFI,5,0),1,0)*Table_NFI[[#This Row],[Plastic Mat]],Table_NFI[Plastic Mat])*IF(Table_NFI[[#This Row],[Distribution Date]]&gt;"2014-04-01",1,2.5)</f>
        <v>0</v>
      </c>
      <c r="AI507" s="352">
        <f>IF(NFI_Expiration=1,IF($A507&lt;VLOOKUP(R$5,NFI,5,0),1,0)*Table_NFI[[#This Row],[Winter Clothes Adult]],Table_NFI[Winter Clothes Adult])</f>
        <v>0</v>
      </c>
      <c r="AJ507" s="352">
        <f>IF(NFI_Expiration=1,IF($A507&lt;VLOOKUP(S$5,NFI,5,0),1,0)*Table_NFI[[#This Row],[Winter Clothes Children]],Table_NFI[Winter Clothes Children])</f>
        <v>0</v>
      </c>
      <c r="AK507" s="352">
        <f>IF(NFI_Expiration=1,IF($A507&lt;VLOOKUP(T$5,NFI,5,0),1,0)*Table_NFI[[#This Row],[Winter Items Other]],Table_NFI[Winter Items Other])</f>
        <v>0</v>
      </c>
      <c r="AL507" s="352">
        <f>IF(NFI_Expiration=1,IF($A507&lt;VLOOKUP(M$5,NFI,5,0),1,0)*Table_NFI[[#This Row],[Winter Blanket]],Table_NFI[[#This Row],[Winter Blanket]])</f>
        <v>0</v>
      </c>
      <c r="AM507" s="352">
        <f>IF(Table_NFI[[#This Row],[Winter Clothes Adult]]+Table_NFI[[#This Row],[Winter Clothes Children]]+Table_NFI[[#This Row],[Winter Items Other]]+Table_NFI[[#This Row],[Winter Blanket]]&gt;0,1,0)</f>
        <v>1</v>
      </c>
      <c r="AN507" s="392">
        <f>IF(NFI_Expiration=1,IF($A507&lt;VLOOKUP(V$5,NFI,5,0),1,0)*Table_NFI[[#This Row],[Jerry Can]],Table_NFI[Jerry Can])</f>
        <v>0</v>
      </c>
      <c r="AO507" s="540" t="str">
        <f>IFERROR(VLOOKUP(Table_NFI[[#This Row],[Camp Name]],CL,2,0),"")</f>
        <v>MMR001CMP133</v>
      </c>
      <c r="AP507" s="535">
        <f ca="1">IF(Table_NFI[[#This Row],[Pcode]]="","",IF(OFFSET(CampList[Opening Date],MATCH(Table_NFI[[#This Row],[Pcode]],CampList[CP_Pcode],0)-1,0,1,1)&gt;=NFI_Monitor_Date,1,0))</f>
        <v>0</v>
      </c>
      <c r="AQ507" s="540" t="str">
        <f>IFERROR(VLOOKUP(Table_NFI[[#This Row],[Camp Name]],CL,3,0),"")</f>
        <v>Open</v>
      </c>
      <c r="AR507" s="352" t="str">
        <f ca="1">IF(Table_NFI[[#This Row],[Pcode]]="","",OFFSET(CampList[Priority],MATCH(Table_NFI[[#This Row],[Pcode]],CampList[CP_Pcode],0)-1,0,1,1))</f>
        <v>P4</v>
      </c>
      <c r="AS507" s="351">
        <f>IFERROR(Table_NFI[[#This Row],[Kitchen Set]]/VLOOKUP(Table_NFI[[#This Row],[Camp Name]],CL,4,0),"")</f>
        <v>0</v>
      </c>
      <c r="AT507" s="533"/>
      <c r="AU507" s="536"/>
    </row>
    <row r="508" spans="1:47" s="537" customFormat="1" hidden="1" x14ac:dyDescent="0.25">
      <c r="A508" s="355">
        <f t="shared" si="7"/>
        <v>41.3</v>
      </c>
      <c r="B508" s="532">
        <v>41332</v>
      </c>
      <c r="C508" s="533" t="s">
        <v>907</v>
      </c>
      <c r="D508" s="534" t="s">
        <v>907</v>
      </c>
      <c r="E508" s="533" t="s">
        <v>380</v>
      </c>
      <c r="F508" s="348" t="s">
        <v>151</v>
      </c>
      <c r="G508" s="348" t="s">
        <v>160</v>
      </c>
      <c r="H508" s="349">
        <v>595</v>
      </c>
      <c r="I508" s="349"/>
      <c r="J508" s="349"/>
      <c r="K508" s="349"/>
      <c r="L508" s="350"/>
      <c r="M508" s="350"/>
      <c r="N508" s="350"/>
      <c r="O508" s="350"/>
      <c r="P508" s="352">
        <v>0</v>
      </c>
      <c r="Q508" s="352">
        <v>0</v>
      </c>
      <c r="R508" s="352"/>
      <c r="S508" s="352"/>
      <c r="T508" s="352"/>
      <c r="U508" s="352"/>
      <c r="V508" s="497"/>
      <c r="W508" s="352"/>
      <c r="X508" s="352"/>
      <c r="Y508" s="352">
        <f>IF(NFI_Expiration=1,IF($A508&lt;VLOOKUP(H$5,NFI,5,0),1,0)*Table_NFI[[#This Row],[Hygiene Kit]],Table_NFI[Hygiene Kit])</f>
        <v>0</v>
      </c>
      <c r="Z508" s="352">
        <f>IF(NFI_Expiration=1,IF($A508&lt;VLOOKUP(I$5,NFI,5,0),1,0)*Table_NFI[[#This Row],[NFI Core Kit]],Table_NFI[NFI Core Kit])</f>
        <v>0</v>
      </c>
      <c r="AA508" s="352">
        <f>IF(NFI_Expiration=1,IF($A508&lt;VLOOKUP(J$5,NFI,5,0),1,0)*Table_NFI[[#This Row],[Sanitary Kit]],Table_NFI[Sanitary Kit])</f>
        <v>0</v>
      </c>
      <c r="AB508" s="352">
        <f>IF(NFI_Expiration=1,IF($A508&lt;VLOOKUP(K$5,NFI,5,0),1,0)*Table_NFI[[#This Row],[Mosquito net]],Table_NFI[Mosquito net])</f>
        <v>0</v>
      </c>
      <c r="AC508" s="352">
        <f>IF(NFI_Expiration=1,IF($A508&lt;VLOOKUP(L$5,NFI,5,0),1,0)*Table_NFI[[#This Row],[Tarpaulin]],Table_NFI[[#This Row],[Tarpaulin]])</f>
        <v>0</v>
      </c>
      <c r="AD508" s="352">
        <f>IF(NFI_Expiration=1,IF($A508&lt;VLOOKUP(M$5,NFI,5,0),1,0)*Table_NFI[[#This Row],[Blanket]],Table_NFI[[#This Row],[Blanket]])</f>
        <v>0</v>
      </c>
      <c r="AE508" s="352">
        <f>IF(NFI_Expiration=1,IF($A508&lt;VLOOKUP(N$5,NFI,5,0),1,0)*Table_NFI[[#This Row],[Kitchen Set]],Table_NFI[Kitchen Set])</f>
        <v>0</v>
      </c>
      <c r="AF508" s="352">
        <f>IF(NFI_Expiration=1,IF($A508&lt;VLOOKUP(O$5,NFI,5,0),1,0)*Table_NFI[[#This Row],[Clothes Kit]],Table_NFI[Clothes Kit])</f>
        <v>0</v>
      </c>
      <c r="AG508" s="352">
        <f>IF(NFI_Expiration=1,IF($A508&lt;VLOOKUP(P$5,NFI,5,0),1,0)*Table_NFI[[#This Row],[Plastic Bucket]],Table_NFI[Plastic Bucket])</f>
        <v>0</v>
      </c>
      <c r="AH508" s="352">
        <f>IF(NFI_Expiration=1,IF($A508&lt;VLOOKUP(Q$5,NFI,5,0),1,0)*Table_NFI[[#This Row],[Plastic Mat]],Table_NFI[Plastic Mat])*IF(Table_NFI[[#This Row],[Distribution Date]]&gt;"2014-04-01",1,2.5)</f>
        <v>0</v>
      </c>
      <c r="AI508" s="352">
        <f>IF(NFI_Expiration=1,IF($A508&lt;VLOOKUP(R$5,NFI,5,0),1,0)*Table_NFI[[#This Row],[Winter Clothes Adult]],Table_NFI[Winter Clothes Adult])</f>
        <v>0</v>
      </c>
      <c r="AJ508" s="352">
        <f>IF(NFI_Expiration=1,IF($A508&lt;VLOOKUP(S$5,NFI,5,0),1,0)*Table_NFI[[#This Row],[Winter Clothes Children]],Table_NFI[Winter Clothes Children])</f>
        <v>0</v>
      </c>
      <c r="AK508" s="352">
        <f>IF(NFI_Expiration=1,IF($A508&lt;VLOOKUP(T$5,NFI,5,0),1,0)*Table_NFI[[#This Row],[Winter Items Other]],Table_NFI[Winter Items Other])</f>
        <v>0</v>
      </c>
      <c r="AL508" s="352">
        <f>IF(NFI_Expiration=1,IF($A508&lt;VLOOKUP(M$5,NFI,5,0),1,0)*Table_NFI[[#This Row],[Winter Blanket]],Table_NFI[[#This Row],[Winter Blanket]])</f>
        <v>0</v>
      </c>
      <c r="AM508" s="352">
        <f>IF(Table_NFI[[#This Row],[Winter Clothes Adult]]+Table_NFI[[#This Row],[Winter Clothes Children]]+Table_NFI[[#This Row],[Winter Items Other]]+Table_NFI[[#This Row],[Winter Blanket]]&gt;0,1,0)</f>
        <v>0</v>
      </c>
      <c r="AN508" s="392">
        <f>IF(NFI_Expiration=1,IF($A508&lt;VLOOKUP(V$5,NFI,5,0),1,0)*Table_NFI[[#This Row],[Jerry Can]],Table_NFI[Jerry Can])</f>
        <v>0</v>
      </c>
      <c r="AO508" s="540" t="str">
        <f>IFERROR(VLOOKUP(Table_NFI[[#This Row],[Camp Name]],CL,2,0),"")</f>
        <v>MMR001CMP133</v>
      </c>
      <c r="AP508" s="535">
        <f ca="1">IF(Table_NFI[[#This Row],[Pcode]]="","",IF(OFFSET(CampList[Opening Date],MATCH(Table_NFI[[#This Row],[Pcode]],CampList[CP_Pcode],0)-1,0,1,1)&gt;=NFI_Monitor_Date,1,0))</f>
        <v>0</v>
      </c>
      <c r="AQ508" s="540" t="str">
        <f>IFERROR(VLOOKUP(Table_NFI[[#This Row],[Camp Name]],CL,3,0),"")</f>
        <v>Open</v>
      </c>
      <c r="AR508" s="352" t="str">
        <f ca="1">IF(Table_NFI[[#This Row],[Pcode]]="","",OFFSET(CampList[Priority],MATCH(Table_NFI[[#This Row],[Pcode]],CampList[CP_Pcode],0)-1,0,1,1))</f>
        <v>P4</v>
      </c>
      <c r="AS508" s="351">
        <f>IFERROR(Table_NFI[[#This Row],[Kitchen Set]]/VLOOKUP(Table_NFI[[#This Row],[Camp Name]],CL,4,0),"")</f>
        <v>0</v>
      </c>
      <c r="AT508" s="533" t="s">
        <v>1094</v>
      </c>
      <c r="AU508" s="536"/>
    </row>
    <row r="509" spans="1:47" s="537" customFormat="1" ht="14.45" customHeight="1" x14ac:dyDescent="0.25">
      <c r="A509" s="355">
        <f t="shared" si="7"/>
        <v>35.93333333333333</v>
      </c>
      <c r="B509" s="532">
        <v>41493</v>
      </c>
      <c r="C509" s="533" t="s">
        <v>453</v>
      </c>
      <c r="D509" s="534" t="s">
        <v>453</v>
      </c>
      <c r="E509" s="533" t="s">
        <v>380</v>
      </c>
      <c r="F509" s="348" t="s">
        <v>310</v>
      </c>
      <c r="G509" s="348" t="s">
        <v>328</v>
      </c>
      <c r="H509" s="349"/>
      <c r="I509" s="349"/>
      <c r="J509" s="349">
        <v>20</v>
      </c>
      <c r="K509" s="349">
        <v>40</v>
      </c>
      <c r="L509" s="350">
        <v>17</v>
      </c>
      <c r="M509" s="350">
        <v>40</v>
      </c>
      <c r="N509" s="350">
        <v>17</v>
      </c>
      <c r="O509" s="350">
        <v>17</v>
      </c>
      <c r="P509" s="352">
        <v>17</v>
      </c>
      <c r="Q509" s="352">
        <v>17</v>
      </c>
      <c r="R509" s="352"/>
      <c r="S509" s="352"/>
      <c r="T509" s="352"/>
      <c r="U509" s="352"/>
      <c r="V509" s="497"/>
      <c r="W509" s="352"/>
      <c r="X509" s="352"/>
      <c r="Y509" s="352">
        <f>IF(NFI_Expiration=1,IF($A509&lt;VLOOKUP(H$5,NFI,5,0),1,0)*Table_NFI[[#This Row],[Hygiene Kit]],Table_NFI[Hygiene Kit])</f>
        <v>0</v>
      </c>
      <c r="Z509" s="352">
        <f>IF(NFI_Expiration=1,IF($A509&lt;VLOOKUP(I$5,NFI,5,0),1,0)*Table_NFI[[#This Row],[NFI Core Kit]],Table_NFI[NFI Core Kit])</f>
        <v>0</v>
      </c>
      <c r="AA509" s="352">
        <f>IF(NFI_Expiration=1,IF($A509&lt;VLOOKUP(J$5,NFI,5,0),1,0)*Table_NFI[[#This Row],[Sanitary Kit]],Table_NFI[Sanitary Kit])</f>
        <v>0</v>
      </c>
      <c r="AB509" s="352">
        <f>IF(NFI_Expiration=1,IF($A509&lt;VLOOKUP(K$5,NFI,5,0),1,0)*Table_NFI[[#This Row],[Mosquito net]],Table_NFI[Mosquito net])</f>
        <v>0</v>
      </c>
      <c r="AC509" s="352">
        <f>IF(NFI_Expiration=1,IF($A509&lt;VLOOKUP(L$5,NFI,5,0),1,0)*Table_NFI[[#This Row],[Tarpaulin]],Table_NFI[[#This Row],[Tarpaulin]])</f>
        <v>0</v>
      </c>
      <c r="AD509" s="352">
        <f>IF(NFI_Expiration=1,IF($A509&lt;VLOOKUP(M$5,NFI,5,0),1,0)*Table_NFI[[#This Row],[Blanket]],Table_NFI[[#This Row],[Blanket]])</f>
        <v>0</v>
      </c>
      <c r="AE509" s="352">
        <f>IF(NFI_Expiration=1,IF($A509&lt;VLOOKUP(N$5,NFI,5,0),1,0)*Table_NFI[[#This Row],[Kitchen Set]],Table_NFI[Kitchen Set])</f>
        <v>0</v>
      </c>
      <c r="AF509" s="352">
        <f>IF(NFI_Expiration=1,IF($A509&lt;VLOOKUP(O$5,NFI,5,0),1,0)*Table_NFI[[#This Row],[Clothes Kit]],Table_NFI[Clothes Kit])</f>
        <v>0</v>
      </c>
      <c r="AG509" s="352">
        <f>IF(NFI_Expiration=1,IF($A509&lt;VLOOKUP(P$5,NFI,5,0),1,0)*Table_NFI[[#This Row],[Plastic Bucket]],Table_NFI[Plastic Bucket])</f>
        <v>0</v>
      </c>
      <c r="AH509" s="352">
        <f>IF(NFI_Expiration=1,IF($A509&lt;VLOOKUP(Q$5,NFI,5,0),1,0)*Table_NFI[[#This Row],[Plastic Mat]],Table_NFI[Plastic Mat])*IF(Table_NFI[[#This Row],[Distribution Date]]&gt;"2014-04-01",1,2.5)</f>
        <v>0</v>
      </c>
      <c r="AI509" s="352">
        <f>IF(NFI_Expiration=1,IF($A509&lt;VLOOKUP(R$5,NFI,5,0),1,0)*Table_NFI[[#This Row],[Winter Clothes Adult]],Table_NFI[Winter Clothes Adult])</f>
        <v>0</v>
      </c>
      <c r="AJ509" s="352">
        <f>IF(NFI_Expiration=1,IF($A509&lt;VLOOKUP(S$5,NFI,5,0),1,0)*Table_NFI[[#This Row],[Winter Clothes Children]],Table_NFI[Winter Clothes Children])</f>
        <v>0</v>
      </c>
      <c r="AK509" s="352">
        <f>IF(NFI_Expiration=1,IF($A509&lt;VLOOKUP(T$5,NFI,5,0),1,0)*Table_NFI[[#This Row],[Winter Items Other]],Table_NFI[Winter Items Other])</f>
        <v>0</v>
      </c>
      <c r="AL509" s="352">
        <f>IF(NFI_Expiration=1,IF($A509&lt;VLOOKUP(M$5,NFI,5,0),1,0)*Table_NFI[[#This Row],[Winter Blanket]],Table_NFI[[#This Row],[Winter Blanket]])</f>
        <v>0</v>
      </c>
      <c r="AM509" s="352">
        <f>IF(Table_NFI[[#This Row],[Winter Clothes Adult]]+Table_NFI[[#This Row],[Winter Clothes Children]]+Table_NFI[[#This Row],[Winter Items Other]]+Table_NFI[[#This Row],[Winter Blanket]]&gt;0,1,0)</f>
        <v>0</v>
      </c>
      <c r="AN509" s="392">
        <f>IF(NFI_Expiration=1,IF($A509&lt;VLOOKUP(V$5,NFI,5,0),1,0)*Table_NFI[[#This Row],[Jerry Can]],Table_NFI[Jerry Can])</f>
        <v>0</v>
      </c>
      <c r="AO509" s="540" t="str">
        <f>IFERROR(VLOOKUP(Table_NFI[[#This Row],[Camp Name]],CL,2,0),"")</f>
        <v>MMR001CMP031</v>
      </c>
      <c r="AP509" s="535">
        <f ca="1">IF(Table_NFI[[#This Row],[Pcode]]="","",IF(OFFSET(CampList[Opening Date],MATCH(Table_NFI[[#This Row],[Pcode]],CampList[CP_Pcode],0)-1,0,1,1)&gt;=NFI_Monitor_Date,1,0))</f>
        <v>0</v>
      </c>
      <c r="AQ509" s="540" t="str">
        <f>IFERROR(VLOOKUP(Table_NFI[[#This Row],[Camp Name]],CL,3,0),"")</f>
        <v>Open</v>
      </c>
      <c r="AR509" s="352" t="str">
        <f ca="1">IF(Table_NFI[[#This Row],[Pcode]]="","",OFFSET(CampList[Priority],MATCH(Table_NFI[[#This Row],[Pcode]],CampList[CP_Pcode],0)-1,0,1,1))</f>
        <v>P4</v>
      </c>
      <c r="AS509" s="351">
        <f>IFERROR(Table_NFI[[#This Row],[Kitchen Set]]/VLOOKUP(Table_NFI[[#This Row],[Camp Name]],CL,4,0),"")</f>
        <v>0.11888111888111888</v>
      </c>
      <c r="AT509" s="533" t="s">
        <v>1094</v>
      </c>
      <c r="AU509" s="536"/>
    </row>
    <row r="510" spans="1:47" s="537" customFormat="1" ht="14.45" customHeight="1" x14ac:dyDescent="0.25">
      <c r="A510" s="355">
        <f t="shared" si="7"/>
        <v>35.93333333333333</v>
      </c>
      <c r="B510" s="532">
        <v>41493</v>
      </c>
      <c r="C510" s="533" t="s">
        <v>453</v>
      </c>
      <c r="D510" s="534" t="s">
        <v>453</v>
      </c>
      <c r="E510" s="533" t="s">
        <v>380</v>
      </c>
      <c r="F510" s="348" t="s">
        <v>237</v>
      </c>
      <c r="G510" s="348" t="s">
        <v>259</v>
      </c>
      <c r="H510" s="349"/>
      <c r="I510" s="349"/>
      <c r="J510" s="349">
        <v>15</v>
      </c>
      <c r="K510" s="349">
        <v>25</v>
      </c>
      <c r="L510" s="350">
        <v>11</v>
      </c>
      <c r="M510" s="350">
        <v>25</v>
      </c>
      <c r="N510" s="350">
        <v>11</v>
      </c>
      <c r="O510" s="350">
        <v>11</v>
      </c>
      <c r="P510" s="352">
        <v>11</v>
      </c>
      <c r="Q510" s="352">
        <v>11</v>
      </c>
      <c r="R510" s="352"/>
      <c r="S510" s="352"/>
      <c r="T510" s="352"/>
      <c r="U510" s="352"/>
      <c r="V510" s="497"/>
      <c r="W510" s="352"/>
      <c r="X510" s="352"/>
      <c r="Y510" s="352">
        <f>IF(NFI_Expiration=1,IF($A510&lt;VLOOKUP(H$5,NFI,5,0),1,0)*Table_NFI[[#This Row],[Hygiene Kit]],Table_NFI[Hygiene Kit])</f>
        <v>0</v>
      </c>
      <c r="Z510" s="352">
        <f>IF(NFI_Expiration=1,IF($A510&lt;VLOOKUP(I$5,NFI,5,0),1,0)*Table_NFI[[#This Row],[NFI Core Kit]],Table_NFI[NFI Core Kit])</f>
        <v>0</v>
      </c>
      <c r="AA510" s="352">
        <f>IF(NFI_Expiration=1,IF($A510&lt;VLOOKUP(J$5,NFI,5,0),1,0)*Table_NFI[[#This Row],[Sanitary Kit]],Table_NFI[Sanitary Kit])</f>
        <v>0</v>
      </c>
      <c r="AB510" s="352">
        <f>IF(NFI_Expiration=1,IF($A510&lt;VLOOKUP(K$5,NFI,5,0),1,0)*Table_NFI[[#This Row],[Mosquito net]],Table_NFI[Mosquito net])</f>
        <v>0</v>
      </c>
      <c r="AC510" s="352">
        <f>IF(NFI_Expiration=1,IF($A510&lt;VLOOKUP(L$5,NFI,5,0),1,0)*Table_NFI[[#This Row],[Tarpaulin]],Table_NFI[[#This Row],[Tarpaulin]])</f>
        <v>0</v>
      </c>
      <c r="AD510" s="352">
        <f>IF(NFI_Expiration=1,IF($A510&lt;VLOOKUP(M$5,NFI,5,0),1,0)*Table_NFI[[#This Row],[Blanket]],Table_NFI[[#This Row],[Blanket]])</f>
        <v>0</v>
      </c>
      <c r="AE510" s="352">
        <f>IF(NFI_Expiration=1,IF($A510&lt;VLOOKUP(N$5,NFI,5,0),1,0)*Table_NFI[[#This Row],[Kitchen Set]],Table_NFI[Kitchen Set])</f>
        <v>0</v>
      </c>
      <c r="AF510" s="352">
        <f>IF(NFI_Expiration=1,IF($A510&lt;VLOOKUP(O$5,NFI,5,0),1,0)*Table_NFI[[#This Row],[Clothes Kit]],Table_NFI[Clothes Kit])</f>
        <v>0</v>
      </c>
      <c r="AG510" s="352">
        <f>IF(NFI_Expiration=1,IF($A510&lt;VLOOKUP(P$5,NFI,5,0),1,0)*Table_NFI[[#This Row],[Plastic Bucket]],Table_NFI[Plastic Bucket])</f>
        <v>0</v>
      </c>
      <c r="AH510" s="352">
        <f>IF(NFI_Expiration=1,IF($A510&lt;VLOOKUP(Q$5,NFI,5,0),1,0)*Table_NFI[[#This Row],[Plastic Mat]],Table_NFI[Plastic Mat])*IF(Table_NFI[[#This Row],[Distribution Date]]&gt;"2014-04-01",1,2.5)</f>
        <v>0</v>
      </c>
      <c r="AI510" s="352">
        <f>IF(NFI_Expiration=1,IF($A510&lt;VLOOKUP(R$5,NFI,5,0),1,0)*Table_NFI[[#This Row],[Winter Clothes Adult]],Table_NFI[Winter Clothes Adult])</f>
        <v>0</v>
      </c>
      <c r="AJ510" s="352">
        <f>IF(NFI_Expiration=1,IF($A510&lt;VLOOKUP(S$5,NFI,5,0),1,0)*Table_NFI[[#This Row],[Winter Clothes Children]],Table_NFI[Winter Clothes Children])</f>
        <v>0</v>
      </c>
      <c r="AK510" s="352">
        <f>IF(NFI_Expiration=1,IF($A510&lt;VLOOKUP(T$5,NFI,5,0),1,0)*Table_NFI[[#This Row],[Winter Items Other]],Table_NFI[Winter Items Other])</f>
        <v>0</v>
      </c>
      <c r="AL510" s="352">
        <f>IF(NFI_Expiration=1,IF($A510&lt;VLOOKUP(M$5,NFI,5,0),1,0)*Table_NFI[[#This Row],[Winter Blanket]],Table_NFI[[#This Row],[Winter Blanket]])</f>
        <v>0</v>
      </c>
      <c r="AM510" s="352">
        <f>IF(Table_NFI[[#This Row],[Winter Clothes Adult]]+Table_NFI[[#This Row],[Winter Clothes Children]]+Table_NFI[[#This Row],[Winter Items Other]]+Table_NFI[[#This Row],[Winter Blanket]]&gt;0,1,0)</f>
        <v>0</v>
      </c>
      <c r="AN510" s="392">
        <f>IF(NFI_Expiration=1,IF($A510&lt;VLOOKUP(V$5,NFI,5,0),1,0)*Table_NFI[[#This Row],[Jerry Can]],Table_NFI[Jerry Can])</f>
        <v>0</v>
      </c>
      <c r="AO510" s="540" t="str">
        <f>IFERROR(VLOOKUP(Table_NFI[[#This Row],[Camp Name]],CL,2,0),"")</f>
        <v>MMR001CMP016</v>
      </c>
      <c r="AP510" s="535">
        <f ca="1">IF(Table_NFI[[#This Row],[Pcode]]="","",IF(OFFSET(CampList[Opening Date],MATCH(Table_NFI[[#This Row],[Pcode]],CampList[CP_Pcode],0)-1,0,1,1)&gt;=NFI_Monitor_Date,1,0))</f>
        <v>0</v>
      </c>
      <c r="AQ510" s="540" t="str">
        <f>IFERROR(VLOOKUP(Table_NFI[[#This Row],[Camp Name]],CL,3,0),"")</f>
        <v>Open</v>
      </c>
      <c r="AR510" s="352" t="str">
        <f ca="1">IF(Table_NFI[[#This Row],[Pcode]]="","",OFFSET(CampList[Priority],MATCH(Table_NFI[[#This Row],[Pcode]],CampList[CP_Pcode],0)-1,0,1,1))</f>
        <v>P4</v>
      </c>
      <c r="AS510" s="351">
        <f>IFERROR(Table_NFI[[#This Row],[Kitchen Set]]/VLOOKUP(Table_NFI[[#This Row],[Camp Name]],CL,4,0),"")</f>
        <v>0.18333333333333332</v>
      </c>
      <c r="AT510" s="533" t="s">
        <v>1094</v>
      </c>
      <c r="AU510" s="536"/>
    </row>
    <row r="511" spans="1:47" s="537" customFormat="1" ht="14.45" customHeight="1" x14ac:dyDescent="0.25">
      <c r="A511" s="355">
        <f t="shared" si="7"/>
        <v>36.4</v>
      </c>
      <c r="B511" s="532">
        <v>41479</v>
      </c>
      <c r="C511" s="533" t="s">
        <v>453</v>
      </c>
      <c r="D511" s="533" t="s">
        <v>461</v>
      </c>
      <c r="E511" s="533" t="s">
        <v>380</v>
      </c>
      <c r="F511" s="348" t="s">
        <v>237</v>
      </c>
      <c r="G511" s="348" t="s">
        <v>240</v>
      </c>
      <c r="H511" s="349"/>
      <c r="I511" s="349"/>
      <c r="J511" s="349">
        <v>66</v>
      </c>
      <c r="K511" s="349">
        <v>98</v>
      </c>
      <c r="L511" s="350">
        <v>45</v>
      </c>
      <c r="M511" s="350">
        <v>98</v>
      </c>
      <c r="N511" s="350">
        <v>45</v>
      </c>
      <c r="O511" s="350">
        <v>45</v>
      </c>
      <c r="P511" s="352">
        <v>45</v>
      </c>
      <c r="Q511" s="352">
        <v>45</v>
      </c>
      <c r="R511" s="352"/>
      <c r="S511" s="352"/>
      <c r="T511" s="352"/>
      <c r="U511" s="352"/>
      <c r="V511" s="497"/>
      <c r="W511" s="352"/>
      <c r="X511" s="352"/>
      <c r="Y511" s="352">
        <f>IF(NFI_Expiration=1,IF($A511&lt;VLOOKUP(H$5,NFI,5,0),1,0)*Table_NFI[[#This Row],[Hygiene Kit]],Table_NFI[Hygiene Kit])</f>
        <v>0</v>
      </c>
      <c r="Z511" s="352">
        <f>IF(NFI_Expiration=1,IF($A511&lt;VLOOKUP(I$5,NFI,5,0),1,0)*Table_NFI[[#This Row],[NFI Core Kit]],Table_NFI[NFI Core Kit])</f>
        <v>0</v>
      </c>
      <c r="AA511" s="352">
        <f>IF(NFI_Expiration=1,IF($A511&lt;VLOOKUP(J$5,NFI,5,0),1,0)*Table_NFI[[#This Row],[Sanitary Kit]],Table_NFI[Sanitary Kit])</f>
        <v>0</v>
      </c>
      <c r="AB511" s="352">
        <f>IF(NFI_Expiration=1,IF($A511&lt;VLOOKUP(K$5,NFI,5,0),1,0)*Table_NFI[[#This Row],[Mosquito net]],Table_NFI[Mosquito net])</f>
        <v>0</v>
      </c>
      <c r="AC511" s="352">
        <f>IF(NFI_Expiration=1,IF($A511&lt;VLOOKUP(L$5,NFI,5,0),1,0)*Table_NFI[[#This Row],[Tarpaulin]],Table_NFI[[#This Row],[Tarpaulin]])</f>
        <v>0</v>
      </c>
      <c r="AD511" s="352">
        <f>IF(NFI_Expiration=1,IF($A511&lt;VLOOKUP(M$5,NFI,5,0),1,0)*Table_NFI[[#This Row],[Blanket]],Table_NFI[[#This Row],[Blanket]])</f>
        <v>0</v>
      </c>
      <c r="AE511" s="352">
        <f>IF(NFI_Expiration=1,IF($A511&lt;VLOOKUP(N$5,NFI,5,0),1,0)*Table_NFI[[#This Row],[Kitchen Set]],Table_NFI[Kitchen Set])</f>
        <v>0</v>
      </c>
      <c r="AF511" s="352">
        <f>IF(NFI_Expiration=1,IF($A511&lt;VLOOKUP(O$5,NFI,5,0),1,0)*Table_NFI[[#This Row],[Clothes Kit]],Table_NFI[Clothes Kit])</f>
        <v>0</v>
      </c>
      <c r="AG511" s="352">
        <f>IF(NFI_Expiration=1,IF($A511&lt;VLOOKUP(P$5,NFI,5,0),1,0)*Table_NFI[[#This Row],[Plastic Bucket]],Table_NFI[Plastic Bucket])</f>
        <v>0</v>
      </c>
      <c r="AH511" s="352">
        <f>IF(NFI_Expiration=1,IF($A511&lt;VLOOKUP(Q$5,NFI,5,0),1,0)*Table_NFI[[#This Row],[Plastic Mat]],Table_NFI[Plastic Mat])*IF(Table_NFI[[#This Row],[Distribution Date]]&gt;"2014-04-01",1,2.5)</f>
        <v>0</v>
      </c>
      <c r="AI511" s="352">
        <f>IF(NFI_Expiration=1,IF($A511&lt;VLOOKUP(R$5,NFI,5,0),1,0)*Table_NFI[[#This Row],[Winter Clothes Adult]],Table_NFI[Winter Clothes Adult])</f>
        <v>0</v>
      </c>
      <c r="AJ511" s="352">
        <f>IF(NFI_Expiration=1,IF($A511&lt;VLOOKUP(S$5,NFI,5,0),1,0)*Table_NFI[[#This Row],[Winter Clothes Children]],Table_NFI[Winter Clothes Children])</f>
        <v>0</v>
      </c>
      <c r="AK511" s="352">
        <f>IF(NFI_Expiration=1,IF($A511&lt;VLOOKUP(T$5,NFI,5,0),1,0)*Table_NFI[[#This Row],[Winter Items Other]],Table_NFI[Winter Items Other])</f>
        <v>0</v>
      </c>
      <c r="AL511" s="352">
        <f>IF(NFI_Expiration=1,IF($A511&lt;VLOOKUP(M$5,NFI,5,0),1,0)*Table_NFI[[#This Row],[Winter Blanket]],Table_NFI[[#This Row],[Winter Blanket]])</f>
        <v>0</v>
      </c>
      <c r="AM511" s="352">
        <f>IF(Table_NFI[[#This Row],[Winter Clothes Adult]]+Table_NFI[[#This Row],[Winter Clothes Children]]+Table_NFI[[#This Row],[Winter Items Other]]+Table_NFI[[#This Row],[Winter Blanket]]&gt;0,1,0)</f>
        <v>0</v>
      </c>
      <c r="AN511" s="392">
        <f>IF(NFI_Expiration=1,IF($A511&lt;VLOOKUP(V$5,NFI,5,0),1,0)*Table_NFI[[#This Row],[Jerry Can]],Table_NFI[Jerry Can])</f>
        <v>0</v>
      </c>
      <c r="AO511" s="540" t="str">
        <f>IFERROR(VLOOKUP(Table_NFI[[#This Row],[Camp Name]],CL,2,0),"")</f>
        <v>MMR001CMP015</v>
      </c>
      <c r="AP511" s="535">
        <f ca="1">IF(Table_NFI[[#This Row],[Pcode]]="","",IF(OFFSET(CampList[Opening Date],MATCH(Table_NFI[[#This Row],[Pcode]],CampList[CP_Pcode],0)-1,0,1,1)&gt;=NFI_Monitor_Date,1,0))</f>
        <v>0</v>
      </c>
      <c r="AQ511" s="540" t="str">
        <f>IFERROR(VLOOKUP(Table_NFI[[#This Row],[Camp Name]],CL,3,0),"")</f>
        <v>Open</v>
      </c>
      <c r="AR511" s="352" t="str">
        <f ca="1">IF(Table_NFI[[#This Row],[Pcode]]="","",OFFSET(CampList[Priority],MATCH(Table_NFI[[#This Row],[Pcode]],CampList[CP_Pcode],0)-1,0,1,1))</f>
        <v>P4</v>
      </c>
      <c r="AS511" s="351">
        <f>IFERROR(Table_NFI[[#This Row],[Kitchen Set]]/VLOOKUP(Table_NFI[[#This Row],[Camp Name]],CL,4,0),"")</f>
        <v>0.46875</v>
      </c>
      <c r="AT511" s="533" t="s">
        <v>1094</v>
      </c>
      <c r="AU511" s="536"/>
    </row>
    <row r="512" spans="1:47" s="537" customFormat="1" ht="14.45" hidden="1" customHeight="1" x14ac:dyDescent="0.25">
      <c r="A512" s="355">
        <f t="shared" si="7"/>
        <v>31.766666666666666</v>
      </c>
      <c r="B512" s="532">
        <v>41618</v>
      </c>
      <c r="C512" s="533" t="s">
        <v>454</v>
      </c>
      <c r="D512" s="533"/>
      <c r="E512" s="533" t="s">
        <v>380</v>
      </c>
      <c r="F512" s="533" t="s">
        <v>151</v>
      </c>
      <c r="G512" s="533" t="s">
        <v>154</v>
      </c>
      <c r="H512" s="349"/>
      <c r="I512" s="349"/>
      <c r="J512" s="349"/>
      <c r="K512" s="349"/>
      <c r="L512" s="350"/>
      <c r="M512" s="350"/>
      <c r="N512" s="350"/>
      <c r="O512" s="350"/>
      <c r="P512" s="352"/>
      <c r="Q512" s="352"/>
      <c r="R512" s="352"/>
      <c r="S512" s="352">
        <v>256</v>
      </c>
      <c r="T512" s="352"/>
      <c r="U512" s="352"/>
      <c r="V512" s="497"/>
      <c r="W512" s="352"/>
      <c r="X512" s="352"/>
      <c r="Y512" s="352">
        <f>IF(NFI_Expiration=1,IF($A512&lt;VLOOKUP(H$5,NFI,5,0),1,0)*Table_NFI[[#This Row],[Hygiene Kit]],Table_NFI[Hygiene Kit])</f>
        <v>0</v>
      </c>
      <c r="Z512" s="352">
        <f>IF(NFI_Expiration=1,IF($A512&lt;VLOOKUP(I$5,NFI,5,0),1,0)*Table_NFI[[#This Row],[NFI Core Kit]],Table_NFI[NFI Core Kit])</f>
        <v>0</v>
      </c>
      <c r="AA512" s="352">
        <f>IF(NFI_Expiration=1,IF($A512&lt;VLOOKUP(J$5,NFI,5,0),1,0)*Table_NFI[[#This Row],[Sanitary Kit]],Table_NFI[Sanitary Kit])</f>
        <v>0</v>
      </c>
      <c r="AB512" s="352">
        <f>IF(NFI_Expiration=1,IF($A512&lt;VLOOKUP(K$5,NFI,5,0),1,0)*Table_NFI[[#This Row],[Mosquito net]],Table_NFI[Mosquito net])</f>
        <v>0</v>
      </c>
      <c r="AC512" s="352">
        <f>IF(NFI_Expiration=1,IF($A512&lt;VLOOKUP(L$5,NFI,5,0),1,0)*Table_NFI[[#This Row],[Tarpaulin]],Table_NFI[[#This Row],[Tarpaulin]])</f>
        <v>0</v>
      </c>
      <c r="AD512" s="352">
        <f>IF(NFI_Expiration=1,IF($A512&lt;VLOOKUP(M$5,NFI,5,0),1,0)*Table_NFI[[#This Row],[Blanket]],Table_NFI[[#This Row],[Blanket]])</f>
        <v>0</v>
      </c>
      <c r="AE512" s="352">
        <f>IF(NFI_Expiration=1,IF($A512&lt;VLOOKUP(N$5,NFI,5,0),1,0)*Table_NFI[[#This Row],[Kitchen Set]],Table_NFI[Kitchen Set])</f>
        <v>0</v>
      </c>
      <c r="AF512" s="352">
        <f>IF(NFI_Expiration=1,IF($A512&lt;VLOOKUP(O$5,NFI,5,0),1,0)*Table_NFI[[#This Row],[Clothes Kit]],Table_NFI[Clothes Kit])</f>
        <v>0</v>
      </c>
      <c r="AG512" s="352">
        <f>IF(NFI_Expiration=1,IF($A512&lt;VLOOKUP(P$5,NFI,5,0),1,0)*Table_NFI[[#This Row],[Plastic Bucket]],Table_NFI[Plastic Bucket])</f>
        <v>0</v>
      </c>
      <c r="AH512" s="352">
        <f>IF(NFI_Expiration=1,IF($A512&lt;VLOOKUP(Q$5,NFI,5,0),1,0)*Table_NFI[[#This Row],[Plastic Mat]],Table_NFI[Plastic Mat])*IF(Table_NFI[[#This Row],[Distribution Date]]&gt;"2014-04-01",1,2.5)</f>
        <v>0</v>
      </c>
      <c r="AI512" s="352">
        <f>IF(NFI_Expiration=1,IF($A512&lt;VLOOKUP(R$5,NFI,5,0),1,0)*Table_NFI[[#This Row],[Winter Clothes Adult]],Table_NFI[Winter Clothes Adult])</f>
        <v>0</v>
      </c>
      <c r="AJ512" s="352">
        <f>IF(NFI_Expiration=1,IF($A512&lt;VLOOKUP(S$5,NFI,5,0),1,0)*Table_NFI[[#This Row],[Winter Clothes Children]],Table_NFI[Winter Clothes Children])</f>
        <v>0</v>
      </c>
      <c r="AK512" s="352">
        <f>IF(NFI_Expiration=1,IF($A512&lt;VLOOKUP(T$5,NFI,5,0),1,0)*Table_NFI[[#This Row],[Winter Items Other]],Table_NFI[Winter Items Other])</f>
        <v>0</v>
      </c>
      <c r="AL512" s="352">
        <f>IF(NFI_Expiration=1,IF($A512&lt;VLOOKUP(M$5,NFI,5,0),1,0)*Table_NFI[[#This Row],[Winter Blanket]],Table_NFI[[#This Row],[Winter Blanket]])</f>
        <v>0</v>
      </c>
      <c r="AM512" s="352">
        <f>IF(Table_NFI[[#This Row],[Winter Clothes Adult]]+Table_NFI[[#This Row],[Winter Clothes Children]]+Table_NFI[[#This Row],[Winter Items Other]]+Table_NFI[[#This Row],[Winter Blanket]]&gt;0,1,0)</f>
        <v>1</v>
      </c>
      <c r="AN512" s="392">
        <f>IF(NFI_Expiration=1,IF($A512&lt;VLOOKUP(V$5,NFI,5,0),1,0)*Table_NFI[[#This Row],[Jerry Can]],Table_NFI[Jerry Can])</f>
        <v>0</v>
      </c>
      <c r="AO512" s="540" t="str">
        <f>IFERROR(VLOOKUP(Table_NFI[[#This Row],[Camp Name]],CL,2,0),"")</f>
        <v>MMR001CMP132</v>
      </c>
      <c r="AP512" s="535">
        <f ca="1">IF(Table_NFI[[#This Row],[Pcode]]="","",IF(OFFSET(CampList[Opening Date],MATCH(Table_NFI[[#This Row],[Pcode]],CampList[CP_Pcode],0)-1,0,1,1)&gt;=NFI_Monitor_Date,1,0))</f>
        <v>0</v>
      </c>
      <c r="AQ512" s="540" t="str">
        <f>IFERROR(VLOOKUP(Table_NFI[[#This Row],[Camp Name]],CL,3,0),"")</f>
        <v>Open</v>
      </c>
      <c r="AR512" s="352" t="str">
        <f ca="1">IF(Table_NFI[[#This Row],[Pcode]]="","",OFFSET(CampList[Priority],MATCH(Table_NFI[[#This Row],[Pcode]],CampList[CP_Pcode],0)-1,0,1,1))</f>
        <v>P4</v>
      </c>
      <c r="AS512" s="351">
        <f>IFERROR(Table_NFI[[#This Row],[Kitchen Set]]/VLOOKUP(Table_NFI[[#This Row],[Camp Name]],CL,4,0),"")</f>
        <v>0</v>
      </c>
      <c r="AT512" s="533" t="s">
        <v>1094</v>
      </c>
      <c r="AU512" s="536"/>
    </row>
    <row r="513" spans="1:47" s="537" customFormat="1" ht="14.45" hidden="1" customHeight="1" x14ac:dyDescent="0.25">
      <c r="A513" s="355">
        <f t="shared" si="7"/>
        <v>32.1</v>
      </c>
      <c r="B513" s="532">
        <v>41608</v>
      </c>
      <c r="C513" s="533" t="s">
        <v>1099</v>
      </c>
      <c r="D513" s="534" t="s">
        <v>946</v>
      </c>
      <c r="E513" s="533" t="s">
        <v>380</v>
      </c>
      <c r="F513" s="533" t="s">
        <v>151</v>
      </c>
      <c r="G513" s="348" t="s">
        <v>154</v>
      </c>
      <c r="H513" s="349"/>
      <c r="I513" s="349"/>
      <c r="J513" s="349"/>
      <c r="K513" s="349"/>
      <c r="L513" s="350"/>
      <c r="M513" s="350">
        <v>770</v>
      </c>
      <c r="N513" s="350"/>
      <c r="O513" s="350"/>
      <c r="P513" s="352"/>
      <c r="Q513" s="352"/>
      <c r="R513" s="352">
        <v>889</v>
      </c>
      <c r="S513" s="352">
        <v>492</v>
      </c>
      <c r="T513" s="352">
        <v>0</v>
      </c>
      <c r="U513" s="352"/>
      <c r="V513" s="497"/>
      <c r="W513" s="352"/>
      <c r="X513" s="352"/>
      <c r="Y513" s="352">
        <f>IF(NFI_Expiration=1,IF($A513&lt;VLOOKUP(H$5,NFI,5,0),1,0)*Table_NFI[[#This Row],[Hygiene Kit]],Table_NFI[Hygiene Kit])</f>
        <v>0</v>
      </c>
      <c r="Z513" s="352">
        <f>IF(NFI_Expiration=1,IF($A513&lt;VLOOKUP(I$5,NFI,5,0),1,0)*Table_NFI[[#This Row],[NFI Core Kit]],Table_NFI[NFI Core Kit])</f>
        <v>0</v>
      </c>
      <c r="AA513" s="352">
        <f>IF(NFI_Expiration=1,IF($A513&lt;VLOOKUP(J$5,NFI,5,0),1,0)*Table_NFI[[#This Row],[Sanitary Kit]],Table_NFI[Sanitary Kit])</f>
        <v>0</v>
      </c>
      <c r="AB513" s="352">
        <f>IF(NFI_Expiration=1,IF($A513&lt;VLOOKUP(K$5,NFI,5,0),1,0)*Table_NFI[[#This Row],[Mosquito net]],Table_NFI[Mosquito net])</f>
        <v>0</v>
      </c>
      <c r="AC513" s="352">
        <f>IF(NFI_Expiration=1,IF($A513&lt;VLOOKUP(L$5,NFI,5,0),1,0)*Table_NFI[[#This Row],[Tarpaulin]],Table_NFI[[#This Row],[Tarpaulin]])</f>
        <v>0</v>
      </c>
      <c r="AD513" s="352">
        <f>IF(NFI_Expiration=1,IF($A513&lt;VLOOKUP(M$5,NFI,5,0),1,0)*Table_NFI[[#This Row],[Blanket]],Table_NFI[[#This Row],[Blanket]])</f>
        <v>0</v>
      </c>
      <c r="AE513" s="352">
        <f>IF(NFI_Expiration=1,IF($A513&lt;VLOOKUP(N$5,NFI,5,0),1,0)*Table_NFI[[#This Row],[Kitchen Set]],Table_NFI[Kitchen Set])</f>
        <v>0</v>
      </c>
      <c r="AF513" s="352">
        <f>IF(NFI_Expiration=1,IF($A513&lt;VLOOKUP(O$5,NFI,5,0),1,0)*Table_NFI[[#This Row],[Clothes Kit]],Table_NFI[Clothes Kit])</f>
        <v>0</v>
      </c>
      <c r="AG513" s="352">
        <f>IF(NFI_Expiration=1,IF($A513&lt;VLOOKUP(P$5,NFI,5,0),1,0)*Table_NFI[[#This Row],[Plastic Bucket]],Table_NFI[Plastic Bucket])</f>
        <v>0</v>
      </c>
      <c r="AH513" s="352">
        <f>IF(NFI_Expiration=1,IF($A513&lt;VLOOKUP(Q$5,NFI,5,0),1,0)*Table_NFI[[#This Row],[Plastic Mat]],Table_NFI[Plastic Mat])*IF(Table_NFI[[#This Row],[Distribution Date]]&gt;"2014-04-01",1,2.5)</f>
        <v>0</v>
      </c>
      <c r="AI513" s="352">
        <f>IF(NFI_Expiration=1,IF($A513&lt;VLOOKUP(R$5,NFI,5,0),1,0)*Table_NFI[[#This Row],[Winter Clothes Adult]],Table_NFI[Winter Clothes Adult])</f>
        <v>0</v>
      </c>
      <c r="AJ513" s="352">
        <f>IF(NFI_Expiration=1,IF($A513&lt;VLOOKUP(S$5,NFI,5,0),1,0)*Table_NFI[[#This Row],[Winter Clothes Children]],Table_NFI[Winter Clothes Children])</f>
        <v>0</v>
      </c>
      <c r="AK513" s="352">
        <f>IF(NFI_Expiration=1,IF($A513&lt;VLOOKUP(T$5,NFI,5,0),1,0)*Table_NFI[[#This Row],[Winter Items Other]],Table_NFI[Winter Items Other])</f>
        <v>0</v>
      </c>
      <c r="AL513" s="352">
        <f>IF(NFI_Expiration=1,IF($A513&lt;VLOOKUP(M$5,NFI,5,0),1,0)*Table_NFI[[#This Row],[Winter Blanket]],Table_NFI[[#This Row],[Winter Blanket]])</f>
        <v>0</v>
      </c>
      <c r="AM513" s="352">
        <f>IF(Table_NFI[[#This Row],[Winter Clothes Adult]]+Table_NFI[[#This Row],[Winter Clothes Children]]+Table_NFI[[#This Row],[Winter Items Other]]+Table_NFI[[#This Row],[Winter Blanket]]&gt;0,1,0)</f>
        <v>1</v>
      </c>
      <c r="AN513" s="392">
        <f>IF(NFI_Expiration=1,IF($A513&lt;VLOOKUP(V$5,NFI,5,0),1,0)*Table_NFI[[#This Row],[Jerry Can]],Table_NFI[Jerry Can])</f>
        <v>0</v>
      </c>
      <c r="AO513" s="540" t="str">
        <f>IFERROR(VLOOKUP(Table_NFI[[#This Row],[Camp Name]],CL,2,0),"")</f>
        <v>MMR001CMP132</v>
      </c>
      <c r="AP513" s="535">
        <f ca="1">IF(Table_NFI[[#This Row],[Pcode]]="","",IF(OFFSET(CampList[Opening Date],MATCH(Table_NFI[[#This Row],[Pcode]],CampList[CP_Pcode],0)-1,0,1,1)&gt;=NFI_Monitor_Date,1,0))</f>
        <v>0</v>
      </c>
      <c r="AQ513" s="540" t="str">
        <f>IFERROR(VLOOKUP(Table_NFI[[#This Row],[Camp Name]],CL,3,0),"")</f>
        <v>Open</v>
      </c>
      <c r="AR513" s="352" t="str">
        <f ca="1">IF(Table_NFI[[#This Row],[Pcode]]="","",OFFSET(CampList[Priority],MATCH(Table_NFI[[#This Row],[Pcode]],CampList[CP_Pcode],0)-1,0,1,1))</f>
        <v>P4</v>
      </c>
      <c r="AS513" s="351">
        <f>IFERROR(Table_NFI[[#This Row],[Kitchen Set]]/VLOOKUP(Table_NFI[[#This Row],[Camp Name]],CL,4,0),"")</f>
        <v>0</v>
      </c>
      <c r="AT513" s="533" t="s">
        <v>1094</v>
      </c>
      <c r="AU513" s="536"/>
    </row>
    <row r="514" spans="1:47" s="537" customFormat="1" hidden="1" x14ac:dyDescent="0.25">
      <c r="A514" s="355">
        <f t="shared" si="7"/>
        <v>32.1</v>
      </c>
      <c r="B514" s="532">
        <v>41608</v>
      </c>
      <c r="C514" s="533" t="s">
        <v>907</v>
      </c>
      <c r="D514" s="533"/>
      <c r="E514" s="533" t="s">
        <v>380</v>
      </c>
      <c r="F514" s="348" t="s">
        <v>151</v>
      </c>
      <c r="G514" s="348" t="s">
        <v>154</v>
      </c>
      <c r="H514" s="349"/>
      <c r="I514" s="349"/>
      <c r="J514" s="349"/>
      <c r="K514" s="349"/>
      <c r="L514" s="350"/>
      <c r="M514" s="350"/>
      <c r="N514" s="350"/>
      <c r="O514" s="350"/>
      <c r="P514" s="352"/>
      <c r="Q514" s="352">
        <v>1080</v>
      </c>
      <c r="R514" s="352"/>
      <c r="S514" s="352"/>
      <c r="T514" s="352"/>
      <c r="U514" s="352"/>
      <c r="V514" s="497"/>
      <c r="W514" s="352"/>
      <c r="X514" s="352"/>
      <c r="Y514" s="352">
        <f>IF(NFI_Expiration=1,IF($A514&lt;VLOOKUP(H$5,NFI,5,0),1,0)*Table_NFI[[#This Row],[Hygiene Kit]],Table_NFI[Hygiene Kit])</f>
        <v>0</v>
      </c>
      <c r="Z514" s="352">
        <f>IF(NFI_Expiration=1,IF($A514&lt;VLOOKUP(I$5,NFI,5,0),1,0)*Table_NFI[[#This Row],[NFI Core Kit]],Table_NFI[NFI Core Kit])</f>
        <v>0</v>
      </c>
      <c r="AA514" s="352">
        <f>IF(NFI_Expiration=1,IF($A514&lt;VLOOKUP(J$5,NFI,5,0),1,0)*Table_NFI[[#This Row],[Sanitary Kit]],Table_NFI[Sanitary Kit])</f>
        <v>0</v>
      </c>
      <c r="AB514" s="352">
        <f>IF(NFI_Expiration=1,IF($A514&lt;VLOOKUP(K$5,NFI,5,0),1,0)*Table_NFI[[#This Row],[Mosquito net]],Table_NFI[Mosquito net])</f>
        <v>0</v>
      </c>
      <c r="AC514" s="352">
        <f>IF(NFI_Expiration=1,IF($A514&lt;VLOOKUP(L$5,NFI,5,0),1,0)*Table_NFI[[#This Row],[Tarpaulin]],Table_NFI[[#This Row],[Tarpaulin]])</f>
        <v>0</v>
      </c>
      <c r="AD514" s="352">
        <f>IF(NFI_Expiration=1,IF($A514&lt;VLOOKUP(M$5,NFI,5,0),1,0)*Table_NFI[[#This Row],[Blanket]],Table_NFI[[#This Row],[Blanket]])</f>
        <v>0</v>
      </c>
      <c r="AE514" s="352">
        <f>IF(NFI_Expiration=1,IF($A514&lt;VLOOKUP(N$5,NFI,5,0),1,0)*Table_NFI[[#This Row],[Kitchen Set]],Table_NFI[Kitchen Set])</f>
        <v>0</v>
      </c>
      <c r="AF514" s="352">
        <f>IF(NFI_Expiration=1,IF($A514&lt;VLOOKUP(O$5,NFI,5,0),1,0)*Table_NFI[[#This Row],[Clothes Kit]],Table_NFI[Clothes Kit])</f>
        <v>0</v>
      </c>
      <c r="AG514" s="352">
        <f>IF(NFI_Expiration=1,IF($A514&lt;VLOOKUP(P$5,NFI,5,0),1,0)*Table_NFI[[#This Row],[Plastic Bucket]],Table_NFI[Plastic Bucket])</f>
        <v>0</v>
      </c>
      <c r="AH514" s="352">
        <f>IF(NFI_Expiration=1,IF($A514&lt;VLOOKUP(Q$5,NFI,5,0),1,0)*Table_NFI[[#This Row],[Plastic Mat]],Table_NFI[Plastic Mat])*IF(Table_NFI[[#This Row],[Distribution Date]]&gt;"2014-04-01",1,2.5)</f>
        <v>0</v>
      </c>
      <c r="AI514" s="352">
        <f>IF(NFI_Expiration=1,IF($A514&lt;VLOOKUP(R$5,NFI,5,0),1,0)*Table_NFI[[#This Row],[Winter Clothes Adult]],Table_NFI[Winter Clothes Adult])</f>
        <v>0</v>
      </c>
      <c r="AJ514" s="352">
        <f>IF(NFI_Expiration=1,IF($A514&lt;VLOOKUP(S$5,NFI,5,0),1,0)*Table_NFI[[#This Row],[Winter Clothes Children]],Table_NFI[Winter Clothes Children])</f>
        <v>0</v>
      </c>
      <c r="AK514" s="352">
        <f>IF(NFI_Expiration=1,IF($A514&lt;VLOOKUP(T$5,NFI,5,0),1,0)*Table_NFI[[#This Row],[Winter Items Other]],Table_NFI[Winter Items Other])</f>
        <v>0</v>
      </c>
      <c r="AL514" s="352">
        <f>IF(NFI_Expiration=1,IF($A514&lt;VLOOKUP(M$5,NFI,5,0),1,0)*Table_NFI[[#This Row],[Winter Blanket]],Table_NFI[[#This Row],[Winter Blanket]])</f>
        <v>0</v>
      </c>
      <c r="AM514" s="352">
        <f>IF(Table_NFI[[#This Row],[Winter Clothes Adult]]+Table_NFI[[#This Row],[Winter Clothes Children]]+Table_NFI[[#This Row],[Winter Items Other]]+Table_NFI[[#This Row],[Winter Blanket]]&gt;0,1,0)</f>
        <v>0</v>
      </c>
      <c r="AN514" s="392">
        <f>IF(NFI_Expiration=1,IF($A514&lt;VLOOKUP(V$5,NFI,5,0),1,0)*Table_NFI[[#This Row],[Jerry Can]],Table_NFI[Jerry Can])</f>
        <v>0</v>
      </c>
      <c r="AO514" s="540" t="str">
        <f>IFERROR(VLOOKUP(Table_NFI[[#This Row],[Camp Name]],CL,2,0),"")</f>
        <v>MMR001CMP132</v>
      </c>
      <c r="AP514" s="535">
        <f ca="1">IF(Table_NFI[[#This Row],[Pcode]]="","",IF(OFFSET(CampList[Opening Date],MATCH(Table_NFI[[#This Row],[Pcode]],CampList[CP_Pcode],0)-1,0,1,1)&gt;=NFI_Monitor_Date,1,0))</f>
        <v>0</v>
      </c>
      <c r="AQ514" s="540" t="str">
        <f>IFERROR(VLOOKUP(Table_NFI[[#This Row],[Camp Name]],CL,3,0),"")</f>
        <v>Open</v>
      </c>
      <c r="AR514" s="352" t="str">
        <f ca="1">IF(Table_NFI[[#This Row],[Pcode]]="","",OFFSET(CampList[Priority],MATCH(Table_NFI[[#This Row],[Pcode]],CampList[CP_Pcode],0)-1,0,1,1))</f>
        <v>P4</v>
      </c>
      <c r="AS514" s="351">
        <f>IFERROR(Table_NFI[[#This Row],[Kitchen Set]]/VLOOKUP(Table_NFI[[#This Row],[Camp Name]],CL,4,0),"")</f>
        <v>0</v>
      </c>
      <c r="AT514" s="533" t="s">
        <v>1094</v>
      </c>
      <c r="AU514" s="536"/>
    </row>
    <row r="515" spans="1:47" s="537" customFormat="1" hidden="1" x14ac:dyDescent="0.25">
      <c r="A515" s="355">
        <f t="shared" si="7"/>
        <v>32.266666666666666</v>
      </c>
      <c r="B515" s="532">
        <v>41603</v>
      </c>
      <c r="C515" s="533" t="s">
        <v>907</v>
      </c>
      <c r="D515" s="533" t="s">
        <v>907</v>
      </c>
      <c r="E515" s="533" t="s">
        <v>380</v>
      </c>
      <c r="F515" s="533" t="s">
        <v>151</v>
      </c>
      <c r="G515" s="533" t="s">
        <v>154</v>
      </c>
      <c r="H515" s="349"/>
      <c r="I515" s="349"/>
      <c r="J515" s="349"/>
      <c r="K515" s="349"/>
      <c r="L515" s="350"/>
      <c r="M515" s="350"/>
      <c r="N515" s="350"/>
      <c r="O515" s="350"/>
      <c r="P515" s="352"/>
      <c r="Q515" s="352"/>
      <c r="R515" s="352">
        <v>60</v>
      </c>
      <c r="S515" s="352">
        <v>120</v>
      </c>
      <c r="T515" s="352">
        <v>360</v>
      </c>
      <c r="U515" s="352">
        <v>180</v>
      </c>
      <c r="V515" s="497"/>
      <c r="W515" s="352"/>
      <c r="X515" s="352"/>
      <c r="Y515" s="352">
        <f>IF(NFI_Expiration=1,IF($A515&lt;VLOOKUP(H$5,NFI,5,0),1,0)*Table_NFI[[#This Row],[Hygiene Kit]],Table_NFI[Hygiene Kit])</f>
        <v>0</v>
      </c>
      <c r="Z515" s="352">
        <f>IF(NFI_Expiration=1,IF($A515&lt;VLOOKUP(I$5,NFI,5,0),1,0)*Table_NFI[[#This Row],[NFI Core Kit]],Table_NFI[NFI Core Kit])</f>
        <v>0</v>
      </c>
      <c r="AA515" s="352">
        <f>IF(NFI_Expiration=1,IF($A515&lt;VLOOKUP(J$5,NFI,5,0),1,0)*Table_NFI[[#This Row],[Sanitary Kit]],Table_NFI[Sanitary Kit])</f>
        <v>0</v>
      </c>
      <c r="AB515" s="352">
        <f>IF(NFI_Expiration=1,IF($A515&lt;VLOOKUP(K$5,NFI,5,0),1,0)*Table_NFI[[#This Row],[Mosquito net]],Table_NFI[Mosquito net])</f>
        <v>0</v>
      </c>
      <c r="AC515" s="352">
        <f>IF(NFI_Expiration=1,IF($A515&lt;VLOOKUP(L$5,NFI,5,0),1,0)*Table_NFI[[#This Row],[Tarpaulin]],Table_NFI[[#This Row],[Tarpaulin]])</f>
        <v>0</v>
      </c>
      <c r="AD515" s="352">
        <f>IF(NFI_Expiration=1,IF($A515&lt;VLOOKUP(M$5,NFI,5,0),1,0)*Table_NFI[[#This Row],[Blanket]],Table_NFI[[#This Row],[Blanket]])</f>
        <v>0</v>
      </c>
      <c r="AE515" s="352">
        <f>IF(NFI_Expiration=1,IF($A515&lt;VLOOKUP(N$5,NFI,5,0),1,0)*Table_NFI[[#This Row],[Kitchen Set]],Table_NFI[Kitchen Set])</f>
        <v>0</v>
      </c>
      <c r="AF515" s="352">
        <f>IF(NFI_Expiration=1,IF($A515&lt;VLOOKUP(O$5,NFI,5,0),1,0)*Table_NFI[[#This Row],[Clothes Kit]],Table_NFI[Clothes Kit])</f>
        <v>0</v>
      </c>
      <c r="AG515" s="352">
        <f>IF(NFI_Expiration=1,IF($A515&lt;VLOOKUP(P$5,NFI,5,0),1,0)*Table_NFI[[#This Row],[Plastic Bucket]],Table_NFI[Plastic Bucket])</f>
        <v>0</v>
      </c>
      <c r="AH515" s="352">
        <f>IF(NFI_Expiration=1,IF($A515&lt;VLOOKUP(Q$5,NFI,5,0),1,0)*Table_NFI[[#This Row],[Plastic Mat]],Table_NFI[Plastic Mat])*IF(Table_NFI[[#This Row],[Distribution Date]]&gt;"2014-04-01",1,2.5)</f>
        <v>0</v>
      </c>
      <c r="AI515" s="352">
        <f>IF(NFI_Expiration=1,IF($A515&lt;VLOOKUP(R$5,NFI,5,0),1,0)*Table_NFI[[#This Row],[Winter Clothes Adult]],Table_NFI[Winter Clothes Adult])</f>
        <v>0</v>
      </c>
      <c r="AJ515" s="352">
        <f>IF(NFI_Expiration=1,IF($A515&lt;VLOOKUP(S$5,NFI,5,0),1,0)*Table_NFI[[#This Row],[Winter Clothes Children]],Table_NFI[Winter Clothes Children])</f>
        <v>0</v>
      </c>
      <c r="AK515" s="352">
        <f>IF(NFI_Expiration=1,IF($A515&lt;VLOOKUP(T$5,NFI,5,0),1,0)*Table_NFI[[#This Row],[Winter Items Other]],Table_NFI[Winter Items Other])</f>
        <v>0</v>
      </c>
      <c r="AL515" s="352">
        <f>IF(NFI_Expiration=1,IF($A515&lt;VLOOKUP(M$5,NFI,5,0),1,0)*Table_NFI[[#This Row],[Winter Blanket]],Table_NFI[[#This Row],[Winter Blanket]])</f>
        <v>0</v>
      </c>
      <c r="AM515" s="352">
        <f>IF(Table_NFI[[#This Row],[Winter Clothes Adult]]+Table_NFI[[#This Row],[Winter Clothes Children]]+Table_NFI[[#This Row],[Winter Items Other]]+Table_NFI[[#This Row],[Winter Blanket]]&gt;0,1,0)</f>
        <v>1</v>
      </c>
      <c r="AN515" s="392">
        <f>IF(NFI_Expiration=1,IF($A515&lt;VLOOKUP(V$5,NFI,5,0),1,0)*Table_NFI[[#This Row],[Jerry Can]],Table_NFI[Jerry Can])</f>
        <v>0</v>
      </c>
      <c r="AO515" s="540" t="str">
        <f>IFERROR(VLOOKUP(Table_NFI[[#This Row],[Camp Name]],CL,2,0),"")</f>
        <v>MMR001CMP132</v>
      </c>
      <c r="AP515" s="535">
        <f ca="1">IF(Table_NFI[[#This Row],[Pcode]]="","",IF(OFFSET(CampList[Opening Date],MATCH(Table_NFI[[#This Row],[Pcode]],CampList[CP_Pcode],0)-1,0,1,1)&gt;=NFI_Monitor_Date,1,0))</f>
        <v>0</v>
      </c>
      <c r="AQ515" s="540" t="str">
        <f>IFERROR(VLOOKUP(Table_NFI[[#This Row],[Camp Name]],CL,3,0),"")</f>
        <v>Open</v>
      </c>
      <c r="AR515" s="352" t="str">
        <f ca="1">IF(Table_NFI[[#This Row],[Pcode]]="","",OFFSET(CampList[Priority],MATCH(Table_NFI[[#This Row],[Pcode]],CampList[CP_Pcode],0)-1,0,1,1))</f>
        <v>P4</v>
      </c>
      <c r="AS515" s="351">
        <f>IFERROR(Table_NFI[[#This Row],[Kitchen Set]]/VLOOKUP(Table_NFI[[#This Row],[Camp Name]],CL,4,0),"")</f>
        <v>0</v>
      </c>
      <c r="AT515" s="533"/>
      <c r="AU515" s="536"/>
    </row>
    <row r="516" spans="1:47" s="537" customFormat="1" ht="14.45" customHeight="1" x14ac:dyDescent="0.25">
      <c r="A516" s="355">
        <f t="shared" si="7"/>
        <v>36.4</v>
      </c>
      <c r="B516" s="532">
        <v>41479</v>
      </c>
      <c r="C516" s="533" t="s">
        <v>453</v>
      </c>
      <c r="D516" s="534" t="s">
        <v>461</v>
      </c>
      <c r="E516" s="533" t="s">
        <v>380</v>
      </c>
      <c r="F516" s="348" t="s">
        <v>237</v>
      </c>
      <c r="G516" s="348" t="s">
        <v>285</v>
      </c>
      <c r="H516" s="349"/>
      <c r="I516" s="349"/>
      <c r="J516" s="349">
        <v>100</v>
      </c>
      <c r="K516" s="349">
        <v>158</v>
      </c>
      <c r="L516" s="350">
        <v>65</v>
      </c>
      <c r="M516" s="350">
        <v>158</v>
      </c>
      <c r="N516" s="350">
        <v>65</v>
      </c>
      <c r="O516" s="350">
        <v>65</v>
      </c>
      <c r="P516" s="352">
        <v>65</v>
      </c>
      <c r="Q516" s="352">
        <v>65</v>
      </c>
      <c r="R516" s="352"/>
      <c r="S516" s="352"/>
      <c r="T516" s="352"/>
      <c r="U516" s="352"/>
      <c r="V516" s="497"/>
      <c r="W516" s="352"/>
      <c r="X516" s="352"/>
      <c r="Y516" s="352">
        <f>IF(NFI_Expiration=1,IF($A516&lt;VLOOKUP(H$5,NFI,5,0),1,0)*Table_NFI[[#This Row],[Hygiene Kit]],Table_NFI[Hygiene Kit])</f>
        <v>0</v>
      </c>
      <c r="Z516" s="352">
        <f>IF(NFI_Expiration=1,IF($A516&lt;VLOOKUP(I$5,NFI,5,0),1,0)*Table_NFI[[#This Row],[NFI Core Kit]],Table_NFI[NFI Core Kit])</f>
        <v>0</v>
      </c>
      <c r="AA516" s="352">
        <f>IF(NFI_Expiration=1,IF($A516&lt;VLOOKUP(J$5,NFI,5,0),1,0)*Table_NFI[[#This Row],[Sanitary Kit]],Table_NFI[Sanitary Kit])</f>
        <v>0</v>
      </c>
      <c r="AB516" s="352">
        <f>IF(NFI_Expiration=1,IF($A516&lt;VLOOKUP(K$5,NFI,5,0),1,0)*Table_NFI[[#This Row],[Mosquito net]],Table_NFI[Mosquito net])</f>
        <v>0</v>
      </c>
      <c r="AC516" s="352">
        <f>IF(NFI_Expiration=1,IF($A516&lt;VLOOKUP(L$5,NFI,5,0),1,0)*Table_NFI[[#This Row],[Tarpaulin]],Table_NFI[[#This Row],[Tarpaulin]])</f>
        <v>0</v>
      </c>
      <c r="AD516" s="352">
        <f>IF(NFI_Expiration=1,IF($A516&lt;VLOOKUP(M$5,NFI,5,0),1,0)*Table_NFI[[#This Row],[Blanket]],Table_NFI[[#This Row],[Blanket]])</f>
        <v>0</v>
      </c>
      <c r="AE516" s="352">
        <f>IF(NFI_Expiration=1,IF($A516&lt;VLOOKUP(N$5,NFI,5,0),1,0)*Table_NFI[[#This Row],[Kitchen Set]],Table_NFI[Kitchen Set])</f>
        <v>0</v>
      </c>
      <c r="AF516" s="352">
        <f>IF(NFI_Expiration=1,IF($A516&lt;VLOOKUP(O$5,NFI,5,0),1,0)*Table_NFI[[#This Row],[Clothes Kit]],Table_NFI[Clothes Kit])</f>
        <v>0</v>
      </c>
      <c r="AG516" s="352">
        <f>IF(NFI_Expiration=1,IF($A516&lt;VLOOKUP(P$5,NFI,5,0),1,0)*Table_NFI[[#This Row],[Plastic Bucket]],Table_NFI[Plastic Bucket])</f>
        <v>0</v>
      </c>
      <c r="AH516" s="352">
        <f>IF(NFI_Expiration=1,IF($A516&lt;VLOOKUP(Q$5,NFI,5,0),1,0)*Table_NFI[[#This Row],[Plastic Mat]],Table_NFI[Plastic Mat])*IF(Table_NFI[[#This Row],[Distribution Date]]&gt;"2014-04-01",1,2.5)</f>
        <v>0</v>
      </c>
      <c r="AI516" s="352">
        <f>IF(NFI_Expiration=1,IF($A516&lt;VLOOKUP(R$5,NFI,5,0),1,0)*Table_NFI[[#This Row],[Winter Clothes Adult]],Table_NFI[Winter Clothes Adult])</f>
        <v>0</v>
      </c>
      <c r="AJ516" s="352">
        <f>IF(NFI_Expiration=1,IF($A516&lt;VLOOKUP(S$5,NFI,5,0),1,0)*Table_NFI[[#This Row],[Winter Clothes Children]],Table_NFI[Winter Clothes Children])</f>
        <v>0</v>
      </c>
      <c r="AK516" s="352">
        <f>IF(NFI_Expiration=1,IF($A516&lt;VLOOKUP(T$5,NFI,5,0),1,0)*Table_NFI[[#This Row],[Winter Items Other]],Table_NFI[Winter Items Other])</f>
        <v>0</v>
      </c>
      <c r="AL516" s="352">
        <f>IF(NFI_Expiration=1,IF($A516&lt;VLOOKUP(M$5,NFI,5,0),1,0)*Table_NFI[[#This Row],[Winter Blanket]],Table_NFI[[#This Row],[Winter Blanket]])</f>
        <v>0</v>
      </c>
      <c r="AM516" s="352">
        <f>IF(Table_NFI[[#This Row],[Winter Clothes Adult]]+Table_NFI[[#This Row],[Winter Clothes Children]]+Table_NFI[[#This Row],[Winter Items Other]]+Table_NFI[[#This Row],[Winter Blanket]]&gt;0,1,0)</f>
        <v>0</v>
      </c>
      <c r="AN516" s="392">
        <f>IF(NFI_Expiration=1,IF($A516&lt;VLOOKUP(V$5,NFI,5,0),1,0)*Table_NFI[[#This Row],[Jerry Can]],Table_NFI[Jerry Can])</f>
        <v>0</v>
      </c>
      <c r="AO516" s="540" t="str">
        <f>IFERROR(VLOOKUP(Table_NFI[[#This Row],[Camp Name]],CL,2,0),"")</f>
        <v>MMR001CMP014</v>
      </c>
      <c r="AP516" s="535">
        <f ca="1">IF(Table_NFI[[#This Row],[Pcode]]="","",IF(OFFSET(CampList[Opening Date],MATCH(Table_NFI[[#This Row],[Pcode]],CampList[CP_Pcode],0)-1,0,1,1)&gt;=NFI_Monitor_Date,1,0))</f>
        <v>0</v>
      </c>
      <c r="AQ516" s="540" t="str">
        <f>IFERROR(VLOOKUP(Table_NFI[[#This Row],[Camp Name]],CL,3,0),"")</f>
        <v>Open</v>
      </c>
      <c r="AR516" s="352" t="str">
        <f ca="1">IF(Table_NFI[[#This Row],[Pcode]]="","",OFFSET(CampList[Priority],MATCH(Table_NFI[[#This Row],[Pcode]],CampList[CP_Pcode],0)-1,0,1,1))</f>
        <v>P4</v>
      </c>
      <c r="AS516" s="351">
        <f>IFERROR(Table_NFI[[#This Row],[Kitchen Set]]/VLOOKUP(Table_NFI[[#This Row],[Camp Name]],CL,4,0),"")</f>
        <v>0.47101449275362317</v>
      </c>
      <c r="AT516" s="533" t="s">
        <v>1094</v>
      </c>
      <c r="AU516" s="536"/>
    </row>
    <row r="517" spans="1:47" s="537" customFormat="1" hidden="1" x14ac:dyDescent="0.25">
      <c r="A517" s="355">
        <f t="shared" si="7"/>
        <v>32.633333333333333</v>
      </c>
      <c r="B517" s="532">
        <v>41592</v>
      </c>
      <c r="C517" s="533" t="s">
        <v>907</v>
      </c>
      <c r="D517" s="533" t="s">
        <v>907</v>
      </c>
      <c r="E517" s="533" t="s">
        <v>380</v>
      </c>
      <c r="F517" s="533" t="s">
        <v>151</v>
      </c>
      <c r="G517" s="533" t="s">
        <v>154</v>
      </c>
      <c r="H517" s="349"/>
      <c r="I517" s="349"/>
      <c r="J517" s="349"/>
      <c r="K517" s="349"/>
      <c r="L517" s="350"/>
      <c r="M517" s="350"/>
      <c r="N517" s="350"/>
      <c r="O517" s="350"/>
      <c r="P517" s="352"/>
      <c r="Q517" s="352"/>
      <c r="R517" s="352"/>
      <c r="S517" s="352">
        <v>176</v>
      </c>
      <c r="T517" s="352">
        <v>352</v>
      </c>
      <c r="U517" s="352">
        <v>176</v>
      </c>
      <c r="V517" s="497"/>
      <c r="W517" s="352"/>
      <c r="X517" s="352"/>
      <c r="Y517" s="352">
        <f>IF(NFI_Expiration=1,IF($A517&lt;VLOOKUP(H$5,NFI,5,0),1,0)*Table_NFI[[#This Row],[Hygiene Kit]],Table_NFI[Hygiene Kit])</f>
        <v>0</v>
      </c>
      <c r="Z517" s="352">
        <f>IF(NFI_Expiration=1,IF($A517&lt;VLOOKUP(I$5,NFI,5,0),1,0)*Table_NFI[[#This Row],[NFI Core Kit]],Table_NFI[NFI Core Kit])</f>
        <v>0</v>
      </c>
      <c r="AA517" s="352">
        <f>IF(NFI_Expiration=1,IF($A517&lt;VLOOKUP(J$5,NFI,5,0),1,0)*Table_NFI[[#This Row],[Sanitary Kit]],Table_NFI[Sanitary Kit])</f>
        <v>0</v>
      </c>
      <c r="AB517" s="352">
        <f>IF(NFI_Expiration=1,IF($A517&lt;VLOOKUP(K$5,NFI,5,0),1,0)*Table_NFI[[#This Row],[Mosquito net]],Table_NFI[Mosquito net])</f>
        <v>0</v>
      </c>
      <c r="AC517" s="352">
        <f>IF(NFI_Expiration=1,IF($A517&lt;VLOOKUP(L$5,NFI,5,0),1,0)*Table_NFI[[#This Row],[Tarpaulin]],Table_NFI[[#This Row],[Tarpaulin]])</f>
        <v>0</v>
      </c>
      <c r="AD517" s="352">
        <f>IF(NFI_Expiration=1,IF($A517&lt;VLOOKUP(M$5,NFI,5,0),1,0)*Table_NFI[[#This Row],[Blanket]],Table_NFI[[#This Row],[Blanket]])</f>
        <v>0</v>
      </c>
      <c r="AE517" s="352">
        <f>IF(NFI_Expiration=1,IF($A517&lt;VLOOKUP(N$5,NFI,5,0),1,0)*Table_NFI[[#This Row],[Kitchen Set]],Table_NFI[Kitchen Set])</f>
        <v>0</v>
      </c>
      <c r="AF517" s="352">
        <f>IF(NFI_Expiration=1,IF($A517&lt;VLOOKUP(O$5,NFI,5,0),1,0)*Table_NFI[[#This Row],[Clothes Kit]],Table_NFI[Clothes Kit])</f>
        <v>0</v>
      </c>
      <c r="AG517" s="352">
        <f>IF(NFI_Expiration=1,IF($A517&lt;VLOOKUP(P$5,NFI,5,0),1,0)*Table_NFI[[#This Row],[Plastic Bucket]],Table_NFI[Plastic Bucket])</f>
        <v>0</v>
      </c>
      <c r="AH517" s="352">
        <f>IF(NFI_Expiration=1,IF($A517&lt;VLOOKUP(Q$5,NFI,5,0),1,0)*Table_NFI[[#This Row],[Plastic Mat]],Table_NFI[Plastic Mat])*IF(Table_NFI[[#This Row],[Distribution Date]]&gt;"2014-04-01",1,2.5)</f>
        <v>0</v>
      </c>
      <c r="AI517" s="352">
        <f>IF(NFI_Expiration=1,IF($A517&lt;VLOOKUP(R$5,NFI,5,0),1,0)*Table_NFI[[#This Row],[Winter Clothes Adult]],Table_NFI[Winter Clothes Adult])</f>
        <v>0</v>
      </c>
      <c r="AJ517" s="352">
        <f>IF(NFI_Expiration=1,IF($A517&lt;VLOOKUP(S$5,NFI,5,0),1,0)*Table_NFI[[#This Row],[Winter Clothes Children]],Table_NFI[Winter Clothes Children])</f>
        <v>0</v>
      </c>
      <c r="AK517" s="352">
        <f>IF(NFI_Expiration=1,IF($A517&lt;VLOOKUP(T$5,NFI,5,0),1,0)*Table_NFI[[#This Row],[Winter Items Other]],Table_NFI[Winter Items Other])</f>
        <v>0</v>
      </c>
      <c r="AL517" s="352">
        <f>IF(NFI_Expiration=1,IF($A517&lt;VLOOKUP(M$5,NFI,5,0),1,0)*Table_NFI[[#This Row],[Winter Blanket]],Table_NFI[[#This Row],[Winter Blanket]])</f>
        <v>0</v>
      </c>
      <c r="AM517" s="352">
        <f>IF(Table_NFI[[#This Row],[Winter Clothes Adult]]+Table_NFI[[#This Row],[Winter Clothes Children]]+Table_NFI[[#This Row],[Winter Items Other]]+Table_NFI[[#This Row],[Winter Blanket]]&gt;0,1,0)</f>
        <v>1</v>
      </c>
      <c r="AN517" s="392">
        <f>IF(NFI_Expiration=1,IF($A517&lt;VLOOKUP(V$5,NFI,5,0),1,0)*Table_NFI[[#This Row],[Jerry Can]],Table_NFI[Jerry Can])</f>
        <v>0</v>
      </c>
      <c r="AO517" s="540" t="str">
        <f>IFERROR(VLOOKUP(Table_NFI[[#This Row],[Camp Name]],CL,2,0),"")</f>
        <v>MMR001CMP132</v>
      </c>
      <c r="AP517" s="535">
        <f ca="1">IF(Table_NFI[[#This Row],[Pcode]]="","",IF(OFFSET(CampList[Opening Date],MATCH(Table_NFI[[#This Row],[Pcode]],CampList[CP_Pcode],0)-1,0,1,1)&gt;=NFI_Monitor_Date,1,0))</f>
        <v>0</v>
      </c>
      <c r="AQ517" s="540" t="str">
        <f>IFERROR(VLOOKUP(Table_NFI[[#This Row],[Camp Name]],CL,3,0),"")</f>
        <v>Open</v>
      </c>
      <c r="AR517" s="352" t="str">
        <f ca="1">IF(Table_NFI[[#This Row],[Pcode]]="","",OFFSET(CampList[Priority],MATCH(Table_NFI[[#This Row],[Pcode]],CampList[CP_Pcode],0)-1,0,1,1))</f>
        <v>P4</v>
      </c>
      <c r="AS517" s="351">
        <f>IFERROR(Table_NFI[[#This Row],[Kitchen Set]]/VLOOKUP(Table_NFI[[#This Row],[Camp Name]],CL,4,0),"")</f>
        <v>0</v>
      </c>
      <c r="AT517" s="533"/>
      <c r="AU517" s="536"/>
    </row>
    <row r="518" spans="1:47" s="537" customFormat="1" hidden="1" x14ac:dyDescent="0.25">
      <c r="A518" s="355">
        <f t="shared" ref="A518:A581" si="8">IF(ISBLANK(B518),"",(Report_Date-B518)/30)</f>
        <v>41.2</v>
      </c>
      <c r="B518" s="532">
        <v>41335</v>
      </c>
      <c r="C518" s="533" t="s">
        <v>907</v>
      </c>
      <c r="D518" s="533" t="s">
        <v>907</v>
      </c>
      <c r="E518" s="533" t="s">
        <v>380</v>
      </c>
      <c r="F518" s="348" t="s">
        <v>151</v>
      </c>
      <c r="G518" s="348" t="s">
        <v>154</v>
      </c>
      <c r="H518" s="349">
        <v>1542</v>
      </c>
      <c r="I518" s="349"/>
      <c r="J518" s="349"/>
      <c r="K518" s="349"/>
      <c r="L518" s="350"/>
      <c r="M518" s="350"/>
      <c r="N518" s="350"/>
      <c r="O518" s="350"/>
      <c r="P518" s="352">
        <v>0</v>
      </c>
      <c r="Q518" s="352">
        <v>0</v>
      </c>
      <c r="R518" s="352"/>
      <c r="S518" s="352"/>
      <c r="T518" s="352"/>
      <c r="U518" s="352"/>
      <c r="V518" s="497"/>
      <c r="W518" s="352"/>
      <c r="X518" s="352"/>
      <c r="Y518" s="352">
        <f>IF(NFI_Expiration=1,IF($A518&lt;VLOOKUP(H$5,NFI,5,0),1,0)*Table_NFI[[#This Row],[Hygiene Kit]],Table_NFI[Hygiene Kit])</f>
        <v>0</v>
      </c>
      <c r="Z518" s="352">
        <f>IF(NFI_Expiration=1,IF($A518&lt;VLOOKUP(I$5,NFI,5,0),1,0)*Table_NFI[[#This Row],[NFI Core Kit]],Table_NFI[NFI Core Kit])</f>
        <v>0</v>
      </c>
      <c r="AA518" s="352">
        <f>IF(NFI_Expiration=1,IF($A518&lt;VLOOKUP(J$5,NFI,5,0),1,0)*Table_NFI[[#This Row],[Sanitary Kit]],Table_NFI[Sanitary Kit])</f>
        <v>0</v>
      </c>
      <c r="AB518" s="352">
        <f>IF(NFI_Expiration=1,IF($A518&lt;VLOOKUP(K$5,NFI,5,0),1,0)*Table_NFI[[#This Row],[Mosquito net]],Table_NFI[Mosquito net])</f>
        <v>0</v>
      </c>
      <c r="AC518" s="352">
        <f>IF(NFI_Expiration=1,IF($A518&lt;VLOOKUP(L$5,NFI,5,0),1,0)*Table_NFI[[#This Row],[Tarpaulin]],Table_NFI[[#This Row],[Tarpaulin]])</f>
        <v>0</v>
      </c>
      <c r="AD518" s="352">
        <f>IF(NFI_Expiration=1,IF($A518&lt;VLOOKUP(M$5,NFI,5,0),1,0)*Table_NFI[[#This Row],[Blanket]],Table_NFI[[#This Row],[Blanket]])</f>
        <v>0</v>
      </c>
      <c r="AE518" s="352">
        <f>IF(NFI_Expiration=1,IF($A518&lt;VLOOKUP(N$5,NFI,5,0),1,0)*Table_NFI[[#This Row],[Kitchen Set]],Table_NFI[Kitchen Set])</f>
        <v>0</v>
      </c>
      <c r="AF518" s="352">
        <f>IF(NFI_Expiration=1,IF($A518&lt;VLOOKUP(O$5,NFI,5,0),1,0)*Table_NFI[[#This Row],[Clothes Kit]],Table_NFI[Clothes Kit])</f>
        <v>0</v>
      </c>
      <c r="AG518" s="352">
        <f>IF(NFI_Expiration=1,IF($A518&lt;VLOOKUP(P$5,NFI,5,0),1,0)*Table_NFI[[#This Row],[Plastic Bucket]],Table_NFI[Plastic Bucket])</f>
        <v>0</v>
      </c>
      <c r="AH518" s="352">
        <f>IF(NFI_Expiration=1,IF($A518&lt;VLOOKUP(Q$5,NFI,5,0),1,0)*Table_NFI[[#This Row],[Plastic Mat]],Table_NFI[Plastic Mat])*IF(Table_NFI[[#This Row],[Distribution Date]]&gt;"2014-04-01",1,2.5)</f>
        <v>0</v>
      </c>
      <c r="AI518" s="352">
        <f>IF(NFI_Expiration=1,IF($A518&lt;VLOOKUP(R$5,NFI,5,0),1,0)*Table_NFI[[#This Row],[Winter Clothes Adult]],Table_NFI[Winter Clothes Adult])</f>
        <v>0</v>
      </c>
      <c r="AJ518" s="352">
        <f>IF(NFI_Expiration=1,IF($A518&lt;VLOOKUP(S$5,NFI,5,0),1,0)*Table_NFI[[#This Row],[Winter Clothes Children]],Table_NFI[Winter Clothes Children])</f>
        <v>0</v>
      </c>
      <c r="AK518" s="352">
        <f>IF(NFI_Expiration=1,IF($A518&lt;VLOOKUP(T$5,NFI,5,0),1,0)*Table_NFI[[#This Row],[Winter Items Other]],Table_NFI[Winter Items Other])</f>
        <v>0</v>
      </c>
      <c r="AL518" s="352">
        <f>IF(NFI_Expiration=1,IF($A518&lt;VLOOKUP(M$5,NFI,5,0),1,0)*Table_NFI[[#This Row],[Winter Blanket]],Table_NFI[[#This Row],[Winter Blanket]])</f>
        <v>0</v>
      </c>
      <c r="AM518" s="352">
        <f>IF(Table_NFI[[#This Row],[Winter Clothes Adult]]+Table_NFI[[#This Row],[Winter Clothes Children]]+Table_NFI[[#This Row],[Winter Items Other]]+Table_NFI[[#This Row],[Winter Blanket]]&gt;0,1,0)</f>
        <v>0</v>
      </c>
      <c r="AN518" s="392">
        <f>IF(NFI_Expiration=1,IF($A518&lt;VLOOKUP(V$5,NFI,5,0),1,0)*Table_NFI[[#This Row],[Jerry Can]],Table_NFI[Jerry Can])</f>
        <v>0</v>
      </c>
      <c r="AO518" s="540" t="str">
        <f>IFERROR(VLOOKUP(Table_NFI[[#This Row],[Camp Name]],CL,2,0),"")</f>
        <v>MMR001CMP132</v>
      </c>
      <c r="AP518" s="535">
        <f ca="1">IF(Table_NFI[[#This Row],[Pcode]]="","",IF(OFFSET(CampList[Opening Date],MATCH(Table_NFI[[#This Row],[Pcode]],CampList[CP_Pcode],0)-1,0,1,1)&gt;=NFI_Monitor_Date,1,0))</f>
        <v>0</v>
      </c>
      <c r="AQ518" s="540" t="str">
        <f>IFERROR(VLOOKUP(Table_NFI[[#This Row],[Camp Name]],CL,3,0),"")</f>
        <v>Open</v>
      </c>
      <c r="AR518" s="352" t="str">
        <f ca="1">IF(Table_NFI[[#This Row],[Pcode]]="","",OFFSET(CampList[Priority],MATCH(Table_NFI[[#This Row],[Pcode]],CampList[CP_Pcode],0)-1,0,1,1))</f>
        <v>P4</v>
      </c>
      <c r="AS518" s="351">
        <f>IFERROR(Table_NFI[[#This Row],[Kitchen Set]]/VLOOKUP(Table_NFI[[#This Row],[Camp Name]],CL,4,0),"")</f>
        <v>0</v>
      </c>
      <c r="AT518" s="533" t="s">
        <v>1094</v>
      </c>
      <c r="AU518" s="536"/>
    </row>
    <row r="519" spans="1:47" s="537" customFormat="1" ht="14.45" customHeight="1" x14ac:dyDescent="0.25">
      <c r="A519" s="355">
        <f t="shared" si="8"/>
        <v>36.4</v>
      </c>
      <c r="B519" s="532">
        <v>41479</v>
      </c>
      <c r="C519" s="533" t="s">
        <v>453</v>
      </c>
      <c r="D519" s="534" t="s">
        <v>506</v>
      </c>
      <c r="E519" s="533" t="s">
        <v>380</v>
      </c>
      <c r="F519" s="348" t="s">
        <v>310</v>
      </c>
      <c r="G519" s="348" t="s">
        <v>328</v>
      </c>
      <c r="H519" s="349"/>
      <c r="I519" s="349"/>
      <c r="J519" s="349">
        <v>10</v>
      </c>
      <c r="K519" s="349">
        <v>14</v>
      </c>
      <c r="L519" s="350">
        <v>7</v>
      </c>
      <c r="M519" s="350">
        <v>14</v>
      </c>
      <c r="N519" s="350">
        <v>7</v>
      </c>
      <c r="O519" s="350">
        <v>7</v>
      </c>
      <c r="P519" s="352">
        <v>7</v>
      </c>
      <c r="Q519" s="352">
        <v>7</v>
      </c>
      <c r="R519" s="352"/>
      <c r="S519" s="352"/>
      <c r="T519" s="352"/>
      <c r="U519" s="352"/>
      <c r="V519" s="497"/>
      <c r="W519" s="352"/>
      <c r="X519" s="352"/>
      <c r="Y519" s="352">
        <f>IF(NFI_Expiration=1,IF($A519&lt;VLOOKUP(H$5,NFI,5,0),1,0)*Table_NFI[[#This Row],[Hygiene Kit]],Table_NFI[Hygiene Kit])</f>
        <v>0</v>
      </c>
      <c r="Z519" s="352">
        <f>IF(NFI_Expiration=1,IF($A519&lt;VLOOKUP(I$5,NFI,5,0),1,0)*Table_NFI[[#This Row],[NFI Core Kit]],Table_NFI[NFI Core Kit])</f>
        <v>0</v>
      </c>
      <c r="AA519" s="352">
        <f>IF(NFI_Expiration=1,IF($A519&lt;VLOOKUP(J$5,NFI,5,0),1,0)*Table_NFI[[#This Row],[Sanitary Kit]],Table_NFI[Sanitary Kit])</f>
        <v>0</v>
      </c>
      <c r="AB519" s="352">
        <f>IF(NFI_Expiration=1,IF($A519&lt;VLOOKUP(K$5,NFI,5,0),1,0)*Table_NFI[[#This Row],[Mosquito net]],Table_NFI[Mosquito net])</f>
        <v>0</v>
      </c>
      <c r="AC519" s="352">
        <f>IF(NFI_Expiration=1,IF($A519&lt;VLOOKUP(L$5,NFI,5,0),1,0)*Table_NFI[[#This Row],[Tarpaulin]],Table_NFI[[#This Row],[Tarpaulin]])</f>
        <v>0</v>
      </c>
      <c r="AD519" s="352">
        <f>IF(NFI_Expiration=1,IF($A519&lt;VLOOKUP(M$5,NFI,5,0),1,0)*Table_NFI[[#This Row],[Blanket]],Table_NFI[[#This Row],[Blanket]])</f>
        <v>0</v>
      </c>
      <c r="AE519" s="352">
        <f>IF(NFI_Expiration=1,IF($A519&lt;VLOOKUP(N$5,NFI,5,0),1,0)*Table_NFI[[#This Row],[Kitchen Set]],Table_NFI[Kitchen Set])</f>
        <v>0</v>
      </c>
      <c r="AF519" s="352">
        <f>IF(NFI_Expiration=1,IF($A519&lt;VLOOKUP(O$5,NFI,5,0),1,0)*Table_NFI[[#This Row],[Clothes Kit]],Table_NFI[Clothes Kit])</f>
        <v>0</v>
      </c>
      <c r="AG519" s="352">
        <f>IF(NFI_Expiration=1,IF($A519&lt;VLOOKUP(P$5,NFI,5,0),1,0)*Table_NFI[[#This Row],[Plastic Bucket]],Table_NFI[Plastic Bucket])</f>
        <v>0</v>
      </c>
      <c r="AH519" s="352">
        <f>IF(NFI_Expiration=1,IF($A519&lt;VLOOKUP(Q$5,NFI,5,0),1,0)*Table_NFI[[#This Row],[Plastic Mat]],Table_NFI[Plastic Mat])*IF(Table_NFI[[#This Row],[Distribution Date]]&gt;"2014-04-01",1,2.5)</f>
        <v>0</v>
      </c>
      <c r="AI519" s="352">
        <f>IF(NFI_Expiration=1,IF($A519&lt;VLOOKUP(R$5,NFI,5,0),1,0)*Table_NFI[[#This Row],[Winter Clothes Adult]],Table_NFI[Winter Clothes Adult])</f>
        <v>0</v>
      </c>
      <c r="AJ519" s="352">
        <f>IF(NFI_Expiration=1,IF($A519&lt;VLOOKUP(S$5,NFI,5,0),1,0)*Table_NFI[[#This Row],[Winter Clothes Children]],Table_NFI[Winter Clothes Children])</f>
        <v>0</v>
      </c>
      <c r="AK519" s="352">
        <f>IF(NFI_Expiration=1,IF($A519&lt;VLOOKUP(T$5,NFI,5,0),1,0)*Table_NFI[[#This Row],[Winter Items Other]],Table_NFI[Winter Items Other])</f>
        <v>0</v>
      </c>
      <c r="AL519" s="352">
        <f>IF(NFI_Expiration=1,IF($A519&lt;VLOOKUP(M$5,NFI,5,0),1,0)*Table_NFI[[#This Row],[Winter Blanket]],Table_NFI[[#This Row],[Winter Blanket]])</f>
        <v>0</v>
      </c>
      <c r="AM519" s="352">
        <f>IF(Table_NFI[[#This Row],[Winter Clothes Adult]]+Table_NFI[[#This Row],[Winter Clothes Children]]+Table_NFI[[#This Row],[Winter Items Other]]+Table_NFI[[#This Row],[Winter Blanket]]&gt;0,1,0)</f>
        <v>0</v>
      </c>
      <c r="AN519" s="392">
        <f>IF(NFI_Expiration=1,IF($A519&lt;VLOOKUP(V$5,NFI,5,0),1,0)*Table_NFI[[#This Row],[Jerry Can]],Table_NFI[Jerry Can])</f>
        <v>0</v>
      </c>
      <c r="AO519" s="540" t="str">
        <f>IFERROR(VLOOKUP(Table_NFI[[#This Row],[Camp Name]],CL,2,0),"")</f>
        <v>MMR001CMP031</v>
      </c>
      <c r="AP519" s="535">
        <f ca="1">IF(Table_NFI[[#This Row],[Pcode]]="","",IF(OFFSET(CampList[Opening Date],MATCH(Table_NFI[[#This Row],[Pcode]],CampList[CP_Pcode],0)-1,0,1,1)&gt;=NFI_Monitor_Date,1,0))</f>
        <v>0</v>
      </c>
      <c r="AQ519" s="540" t="str">
        <f>IFERROR(VLOOKUP(Table_NFI[[#This Row],[Camp Name]],CL,3,0),"")</f>
        <v>Open</v>
      </c>
      <c r="AR519" s="352" t="str">
        <f ca="1">IF(Table_NFI[[#This Row],[Pcode]]="","",OFFSET(CampList[Priority],MATCH(Table_NFI[[#This Row],[Pcode]],CampList[CP_Pcode],0)-1,0,1,1))</f>
        <v>P4</v>
      </c>
      <c r="AS519" s="351">
        <f>IFERROR(Table_NFI[[#This Row],[Kitchen Set]]/VLOOKUP(Table_NFI[[#This Row],[Camp Name]],CL,4,0),"")</f>
        <v>4.8951048951048952E-2</v>
      </c>
      <c r="AT519" s="533" t="s">
        <v>1094</v>
      </c>
      <c r="AU519" s="536"/>
    </row>
    <row r="520" spans="1:47" s="537" customFormat="1" ht="14.45" hidden="1" customHeight="1" x14ac:dyDescent="0.25">
      <c r="A520" s="355">
        <f t="shared" si="8"/>
        <v>27.8</v>
      </c>
      <c r="B520" s="532">
        <v>41737</v>
      </c>
      <c r="C520" s="533" t="s">
        <v>1106</v>
      </c>
      <c r="D520" s="533" t="s">
        <v>902</v>
      </c>
      <c r="E520" s="533" t="s">
        <v>380</v>
      </c>
      <c r="F520" s="533" t="s">
        <v>185</v>
      </c>
      <c r="G520" s="533" t="s">
        <v>207</v>
      </c>
      <c r="H520" s="349"/>
      <c r="I520" s="349"/>
      <c r="J520" s="349"/>
      <c r="K520" s="349"/>
      <c r="L520" s="350"/>
      <c r="M520" s="350"/>
      <c r="N520" s="350"/>
      <c r="O520" s="350"/>
      <c r="P520" s="352"/>
      <c r="Q520" s="352"/>
      <c r="R520" s="352"/>
      <c r="S520" s="352"/>
      <c r="T520" s="352"/>
      <c r="U520" s="352">
        <v>10</v>
      </c>
      <c r="V520" s="497"/>
      <c r="W520" s="352"/>
      <c r="X520" s="352"/>
      <c r="Y520" s="352">
        <f>IF(NFI_Expiration=1,IF($A520&lt;VLOOKUP(H$5,NFI,5,0),1,0)*Table_NFI[[#This Row],[Hygiene Kit]],Table_NFI[Hygiene Kit])</f>
        <v>0</v>
      </c>
      <c r="Z520" s="352">
        <f>IF(NFI_Expiration=1,IF($A520&lt;VLOOKUP(I$5,NFI,5,0),1,0)*Table_NFI[[#This Row],[NFI Core Kit]],Table_NFI[NFI Core Kit])</f>
        <v>0</v>
      </c>
      <c r="AA520" s="352">
        <f>IF(NFI_Expiration=1,IF($A520&lt;VLOOKUP(J$5,NFI,5,0),1,0)*Table_NFI[[#This Row],[Sanitary Kit]],Table_NFI[Sanitary Kit])</f>
        <v>0</v>
      </c>
      <c r="AB520" s="352">
        <f>IF(NFI_Expiration=1,IF($A520&lt;VLOOKUP(K$5,NFI,5,0),1,0)*Table_NFI[[#This Row],[Mosquito net]],Table_NFI[Mosquito net])</f>
        <v>0</v>
      </c>
      <c r="AC520" s="352">
        <f>IF(NFI_Expiration=1,IF($A520&lt;VLOOKUP(L$5,NFI,5,0),1,0)*Table_NFI[[#This Row],[Tarpaulin]],Table_NFI[[#This Row],[Tarpaulin]])</f>
        <v>0</v>
      </c>
      <c r="AD520" s="352">
        <f>IF(NFI_Expiration=1,IF($A520&lt;VLOOKUP(M$5,NFI,5,0),1,0)*Table_NFI[[#This Row],[Blanket]],Table_NFI[[#This Row],[Blanket]])</f>
        <v>0</v>
      </c>
      <c r="AE520" s="352">
        <f>IF(NFI_Expiration=1,IF($A520&lt;VLOOKUP(N$5,NFI,5,0),1,0)*Table_NFI[[#This Row],[Kitchen Set]],Table_NFI[Kitchen Set])</f>
        <v>0</v>
      </c>
      <c r="AF520" s="352">
        <f>IF(NFI_Expiration=1,IF($A520&lt;VLOOKUP(O$5,NFI,5,0),1,0)*Table_NFI[[#This Row],[Clothes Kit]],Table_NFI[Clothes Kit])</f>
        <v>0</v>
      </c>
      <c r="AG520" s="352">
        <f>IF(NFI_Expiration=1,IF($A520&lt;VLOOKUP(P$5,NFI,5,0),1,0)*Table_NFI[[#This Row],[Plastic Bucket]],Table_NFI[Plastic Bucket])</f>
        <v>0</v>
      </c>
      <c r="AH520" s="352">
        <f>IF(NFI_Expiration=1,IF($A520&lt;VLOOKUP(Q$5,NFI,5,0),1,0)*Table_NFI[[#This Row],[Plastic Mat]],Table_NFI[Plastic Mat])*IF(Table_NFI[[#This Row],[Distribution Date]]&gt;"2014-04-01",1,2.5)</f>
        <v>0</v>
      </c>
      <c r="AI520" s="352">
        <f>IF(NFI_Expiration=1,IF($A520&lt;VLOOKUP(R$5,NFI,5,0),1,0)*Table_NFI[[#This Row],[Winter Clothes Adult]],Table_NFI[Winter Clothes Adult])</f>
        <v>0</v>
      </c>
      <c r="AJ520" s="352">
        <f>IF(NFI_Expiration=1,IF($A520&lt;VLOOKUP(S$5,NFI,5,0),1,0)*Table_NFI[[#This Row],[Winter Clothes Children]],Table_NFI[Winter Clothes Children])</f>
        <v>0</v>
      </c>
      <c r="AK520" s="352">
        <f>IF(NFI_Expiration=1,IF($A520&lt;VLOOKUP(T$5,NFI,5,0),1,0)*Table_NFI[[#This Row],[Winter Items Other]],Table_NFI[Winter Items Other])</f>
        <v>0</v>
      </c>
      <c r="AL520" s="352">
        <f>IF(NFI_Expiration=1,IF($A520&lt;VLOOKUP(M$5,NFI,5,0),1,0)*Table_NFI[[#This Row],[Winter Blanket]],Table_NFI[[#This Row],[Winter Blanket]])</f>
        <v>0</v>
      </c>
      <c r="AM520" s="352">
        <f>IF(Table_NFI[[#This Row],[Winter Clothes Adult]]+Table_NFI[[#This Row],[Winter Clothes Children]]+Table_NFI[[#This Row],[Winter Items Other]]+Table_NFI[[#This Row],[Winter Blanket]]&gt;0,1,0)</f>
        <v>1</v>
      </c>
      <c r="AN520" s="392">
        <f>IF(NFI_Expiration=1,IF($A520&lt;VLOOKUP(V$5,NFI,5,0),1,0)*Table_NFI[[#This Row],[Jerry Can]],Table_NFI[Jerry Can])</f>
        <v>0</v>
      </c>
      <c r="AO520" s="540" t="str">
        <f>IFERROR(VLOOKUP(Table_NFI[[#This Row],[Camp Name]],CL,2,0),"")</f>
        <v>MMR001CMP058</v>
      </c>
      <c r="AP520" s="535">
        <f ca="1">IF(Table_NFI[[#This Row],[Pcode]]="","",IF(OFFSET(CampList[Opening Date],MATCH(Table_NFI[[#This Row],[Pcode]],CampList[CP_Pcode],0)-1,0,1,1)&gt;=NFI_Monitor_Date,1,0))</f>
        <v>0</v>
      </c>
      <c r="AQ520" s="540" t="s">
        <v>844</v>
      </c>
      <c r="AR520" s="352" t="str">
        <f ca="1">IF(Table_NFI[[#This Row],[Pcode]]="","",OFFSET(CampList[Priority],MATCH(Table_NFI[[#This Row],[Pcode]],CampList[CP_Pcode],0)-1,0,1,1))</f>
        <v>P4</v>
      </c>
      <c r="AS520" s="351" t="str">
        <f>IFERROR(Table_NFI[[#This Row],[Kitchen Set]]/VLOOKUP(Table_NFI[[#This Row],[Camp Name]],CL,4,0),"")</f>
        <v/>
      </c>
      <c r="AT520" s="533"/>
      <c r="AU520" s="536"/>
    </row>
    <row r="521" spans="1:47" s="537" customFormat="1" ht="14.45" customHeight="1" x14ac:dyDescent="0.25">
      <c r="A521" s="355">
        <f t="shared" si="8"/>
        <v>36.4</v>
      </c>
      <c r="B521" s="532">
        <v>41479</v>
      </c>
      <c r="C521" s="533" t="s">
        <v>453</v>
      </c>
      <c r="D521" s="533" t="s">
        <v>507</v>
      </c>
      <c r="E521" s="533" t="s">
        <v>380</v>
      </c>
      <c r="F521" s="533" t="s">
        <v>310</v>
      </c>
      <c r="G521" s="348" t="s">
        <v>330</v>
      </c>
      <c r="H521" s="349"/>
      <c r="I521" s="349"/>
      <c r="J521" s="349">
        <v>40</v>
      </c>
      <c r="K521" s="349">
        <v>49</v>
      </c>
      <c r="L521" s="350">
        <v>23</v>
      </c>
      <c r="M521" s="350">
        <v>49</v>
      </c>
      <c r="N521" s="350">
        <v>23</v>
      </c>
      <c r="O521" s="350">
        <v>23</v>
      </c>
      <c r="P521" s="352">
        <v>23</v>
      </c>
      <c r="Q521" s="352">
        <v>23</v>
      </c>
      <c r="R521" s="352"/>
      <c r="S521" s="352"/>
      <c r="T521" s="352"/>
      <c r="U521" s="352"/>
      <c r="V521" s="497"/>
      <c r="W521" s="352"/>
      <c r="X521" s="352"/>
      <c r="Y521" s="352">
        <f>IF(NFI_Expiration=1,IF($A521&lt;VLOOKUP(H$5,NFI,5,0),1,0)*Table_NFI[[#This Row],[Hygiene Kit]],Table_NFI[Hygiene Kit])</f>
        <v>0</v>
      </c>
      <c r="Z521" s="352">
        <f>IF(NFI_Expiration=1,IF($A521&lt;VLOOKUP(I$5,NFI,5,0),1,0)*Table_NFI[[#This Row],[NFI Core Kit]],Table_NFI[NFI Core Kit])</f>
        <v>0</v>
      </c>
      <c r="AA521" s="352">
        <f>IF(NFI_Expiration=1,IF($A521&lt;VLOOKUP(J$5,NFI,5,0),1,0)*Table_NFI[[#This Row],[Sanitary Kit]],Table_NFI[Sanitary Kit])</f>
        <v>0</v>
      </c>
      <c r="AB521" s="352">
        <f>IF(NFI_Expiration=1,IF($A521&lt;VLOOKUP(K$5,NFI,5,0),1,0)*Table_NFI[[#This Row],[Mosquito net]],Table_NFI[Mosquito net])</f>
        <v>0</v>
      </c>
      <c r="AC521" s="352">
        <f>IF(NFI_Expiration=1,IF($A521&lt;VLOOKUP(L$5,NFI,5,0),1,0)*Table_NFI[[#This Row],[Tarpaulin]],Table_NFI[[#This Row],[Tarpaulin]])</f>
        <v>0</v>
      </c>
      <c r="AD521" s="352">
        <f>IF(NFI_Expiration=1,IF($A521&lt;VLOOKUP(M$5,NFI,5,0),1,0)*Table_NFI[[#This Row],[Blanket]],Table_NFI[[#This Row],[Blanket]])</f>
        <v>0</v>
      </c>
      <c r="AE521" s="352">
        <f>IF(NFI_Expiration=1,IF($A521&lt;VLOOKUP(N$5,NFI,5,0),1,0)*Table_NFI[[#This Row],[Kitchen Set]],Table_NFI[Kitchen Set])</f>
        <v>0</v>
      </c>
      <c r="AF521" s="352">
        <f>IF(NFI_Expiration=1,IF($A521&lt;VLOOKUP(O$5,NFI,5,0),1,0)*Table_NFI[[#This Row],[Clothes Kit]],Table_NFI[Clothes Kit])</f>
        <v>0</v>
      </c>
      <c r="AG521" s="352">
        <f>IF(NFI_Expiration=1,IF($A521&lt;VLOOKUP(P$5,NFI,5,0),1,0)*Table_NFI[[#This Row],[Plastic Bucket]],Table_NFI[Plastic Bucket])</f>
        <v>0</v>
      </c>
      <c r="AH521" s="352">
        <f>IF(NFI_Expiration=1,IF($A521&lt;VLOOKUP(Q$5,NFI,5,0),1,0)*Table_NFI[[#This Row],[Plastic Mat]],Table_NFI[Plastic Mat])*IF(Table_NFI[[#This Row],[Distribution Date]]&gt;"2014-04-01",1,2.5)</f>
        <v>0</v>
      </c>
      <c r="AI521" s="352">
        <f>IF(NFI_Expiration=1,IF($A521&lt;VLOOKUP(R$5,NFI,5,0),1,0)*Table_NFI[[#This Row],[Winter Clothes Adult]],Table_NFI[Winter Clothes Adult])</f>
        <v>0</v>
      </c>
      <c r="AJ521" s="352">
        <f>IF(NFI_Expiration=1,IF($A521&lt;VLOOKUP(S$5,NFI,5,0),1,0)*Table_NFI[[#This Row],[Winter Clothes Children]],Table_NFI[Winter Clothes Children])</f>
        <v>0</v>
      </c>
      <c r="AK521" s="352">
        <f>IF(NFI_Expiration=1,IF($A521&lt;VLOOKUP(T$5,NFI,5,0),1,0)*Table_NFI[[#This Row],[Winter Items Other]],Table_NFI[Winter Items Other])</f>
        <v>0</v>
      </c>
      <c r="AL521" s="352">
        <f>IF(NFI_Expiration=1,IF($A521&lt;VLOOKUP(M$5,NFI,5,0),1,0)*Table_NFI[[#This Row],[Winter Blanket]],Table_NFI[[#This Row],[Winter Blanket]])</f>
        <v>0</v>
      </c>
      <c r="AM521" s="352">
        <f>IF(Table_NFI[[#This Row],[Winter Clothes Adult]]+Table_NFI[[#This Row],[Winter Clothes Children]]+Table_NFI[[#This Row],[Winter Items Other]]+Table_NFI[[#This Row],[Winter Blanket]]&gt;0,1,0)</f>
        <v>0</v>
      </c>
      <c r="AN521" s="392">
        <f>IF(NFI_Expiration=1,IF($A521&lt;VLOOKUP(V$5,NFI,5,0),1,0)*Table_NFI[[#This Row],[Jerry Can]],Table_NFI[Jerry Can])</f>
        <v>0</v>
      </c>
      <c r="AO521" s="540" t="str">
        <f>IFERROR(VLOOKUP(Table_NFI[[#This Row],[Camp Name]],CL,2,0),"")</f>
        <v>MMR001CMP029</v>
      </c>
      <c r="AP521" s="535">
        <f ca="1">IF(Table_NFI[[#This Row],[Pcode]]="","",IF(OFFSET(CampList[Opening Date],MATCH(Table_NFI[[#This Row],[Pcode]],CampList[CP_Pcode],0)-1,0,1,1)&gt;=NFI_Monitor_Date,1,0))</f>
        <v>0</v>
      </c>
      <c r="AQ521" s="540" t="str">
        <f>IFERROR(VLOOKUP(Table_NFI[[#This Row],[Camp Name]],CL,3,0),"")</f>
        <v>Open</v>
      </c>
      <c r="AR521" s="352" t="str">
        <f ca="1">IF(Table_NFI[[#This Row],[Pcode]]="","",OFFSET(CampList[Priority],MATCH(Table_NFI[[#This Row],[Pcode]],CampList[CP_Pcode],0)-1,0,1,1))</f>
        <v>P4</v>
      </c>
      <c r="AS521" s="351">
        <f>IFERROR(Table_NFI[[#This Row],[Kitchen Set]]/VLOOKUP(Table_NFI[[#This Row],[Camp Name]],CL,4,0),"")</f>
        <v>0.1036036036036036</v>
      </c>
      <c r="AT521" s="533" t="s">
        <v>1094</v>
      </c>
      <c r="AU521" s="536"/>
    </row>
    <row r="522" spans="1:47" s="537" customFormat="1" ht="14.45" customHeight="1" x14ac:dyDescent="0.25">
      <c r="A522" s="355">
        <f t="shared" si="8"/>
        <v>36.4</v>
      </c>
      <c r="B522" s="532">
        <v>41479</v>
      </c>
      <c r="C522" s="533" t="s">
        <v>453</v>
      </c>
      <c r="D522" s="533" t="s">
        <v>507</v>
      </c>
      <c r="E522" s="533" t="s">
        <v>380</v>
      </c>
      <c r="F522" s="348" t="s">
        <v>237</v>
      </c>
      <c r="G522" s="348" t="s">
        <v>271</v>
      </c>
      <c r="H522" s="349"/>
      <c r="I522" s="349"/>
      <c r="J522" s="349">
        <v>21</v>
      </c>
      <c r="K522" s="349">
        <v>30</v>
      </c>
      <c r="L522" s="352">
        <v>15</v>
      </c>
      <c r="M522" s="352">
        <v>30</v>
      </c>
      <c r="N522" s="352">
        <v>15</v>
      </c>
      <c r="O522" s="352">
        <v>15</v>
      </c>
      <c r="P522" s="352">
        <v>15</v>
      </c>
      <c r="Q522" s="352">
        <v>15</v>
      </c>
      <c r="R522" s="352"/>
      <c r="S522" s="352"/>
      <c r="T522" s="352"/>
      <c r="U522" s="352"/>
      <c r="V522" s="497"/>
      <c r="W522" s="352"/>
      <c r="X522" s="352"/>
      <c r="Y522" s="352">
        <f>IF(NFI_Expiration=1,IF($A522&lt;VLOOKUP(H$5,NFI,5,0),1,0)*Table_NFI[[#This Row],[Hygiene Kit]],Table_NFI[Hygiene Kit])</f>
        <v>0</v>
      </c>
      <c r="Z522" s="352">
        <f>IF(NFI_Expiration=1,IF($A522&lt;VLOOKUP(I$5,NFI,5,0),1,0)*Table_NFI[[#This Row],[NFI Core Kit]],Table_NFI[NFI Core Kit])</f>
        <v>0</v>
      </c>
      <c r="AA522" s="352">
        <f>IF(NFI_Expiration=1,IF($A522&lt;VLOOKUP(J$5,NFI,5,0),1,0)*Table_NFI[[#This Row],[Sanitary Kit]],Table_NFI[Sanitary Kit])</f>
        <v>0</v>
      </c>
      <c r="AB522" s="352">
        <f>IF(NFI_Expiration=1,IF($A522&lt;VLOOKUP(K$5,NFI,5,0),1,0)*Table_NFI[[#This Row],[Mosquito net]],Table_NFI[Mosquito net])</f>
        <v>0</v>
      </c>
      <c r="AC522" s="352">
        <f>IF(NFI_Expiration=1,IF($A522&lt;VLOOKUP(L$5,NFI,5,0),1,0)*Table_NFI[[#This Row],[Tarpaulin]],Table_NFI[[#This Row],[Tarpaulin]])</f>
        <v>0</v>
      </c>
      <c r="AD522" s="352">
        <f>IF(NFI_Expiration=1,IF($A522&lt;VLOOKUP(M$5,NFI,5,0),1,0)*Table_NFI[[#This Row],[Blanket]],Table_NFI[[#This Row],[Blanket]])</f>
        <v>0</v>
      </c>
      <c r="AE522" s="352">
        <f>IF(NFI_Expiration=1,IF($A522&lt;VLOOKUP(N$5,NFI,5,0),1,0)*Table_NFI[[#This Row],[Kitchen Set]],Table_NFI[Kitchen Set])</f>
        <v>0</v>
      </c>
      <c r="AF522" s="352">
        <f>IF(NFI_Expiration=1,IF($A522&lt;VLOOKUP(O$5,NFI,5,0),1,0)*Table_NFI[[#This Row],[Clothes Kit]],Table_NFI[Clothes Kit])</f>
        <v>0</v>
      </c>
      <c r="AG522" s="352">
        <f>IF(NFI_Expiration=1,IF($A522&lt;VLOOKUP(P$5,NFI,5,0),1,0)*Table_NFI[[#This Row],[Plastic Bucket]],Table_NFI[Plastic Bucket])</f>
        <v>0</v>
      </c>
      <c r="AH522" s="352">
        <f>IF(NFI_Expiration=1,IF($A522&lt;VLOOKUP(Q$5,NFI,5,0),1,0)*Table_NFI[[#This Row],[Plastic Mat]],Table_NFI[Plastic Mat])*IF(Table_NFI[[#This Row],[Distribution Date]]&gt;"2014-04-01",1,2.5)</f>
        <v>0</v>
      </c>
      <c r="AI522" s="352">
        <f>IF(NFI_Expiration=1,IF($A522&lt;VLOOKUP(R$5,NFI,5,0),1,0)*Table_NFI[[#This Row],[Winter Clothes Adult]],Table_NFI[Winter Clothes Adult])</f>
        <v>0</v>
      </c>
      <c r="AJ522" s="352">
        <f>IF(NFI_Expiration=1,IF($A522&lt;VLOOKUP(S$5,NFI,5,0),1,0)*Table_NFI[[#This Row],[Winter Clothes Children]],Table_NFI[Winter Clothes Children])</f>
        <v>0</v>
      </c>
      <c r="AK522" s="352">
        <f>IF(NFI_Expiration=1,IF($A522&lt;VLOOKUP(T$5,NFI,5,0),1,0)*Table_NFI[[#This Row],[Winter Items Other]],Table_NFI[Winter Items Other])</f>
        <v>0</v>
      </c>
      <c r="AL522" s="352">
        <f>IF(NFI_Expiration=1,IF($A522&lt;VLOOKUP(M$5,NFI,5,0),1,0)*Table_NFI[[#This Row],[Winter Blanket]],Table_NFI[[#This Row],[Winter Blanket]])</f>
        <v>0</v>
      </c>
      <c r="AM522" s="352">
        <f>IF(Table_NFI[[#This Row],[Winter Clothes Adult]]+Table_NFI[[#This Row],[Winter Clothes Children]]+Table_NFI[[#This Row],[Winter Items Other]]+Table_NFI[[#This Row],[Winter Blanket]]&gt;0,1,0)</f>
        <v>0</v>
      </c>
      <c r="AN522" s="392">
        <f>IF(NFI_Expiration=1,IF($A522&lt;VLOOKUP(V$5,NFI,5,0),1,0)*Table_NFI[[#This Row],[Jerry Can]],Table_NFI[Jerry Can])</f>
        <v>0</v>
      </c>
      <c r="AO522" s="540" t="str">
        <f>IFERROR(VLOOKUP(Table_NFI[[#This Row],[Camp Name]],CL,2,0),"")</f>
        <v>MMR001CMP024</v>
      </c>
      <c r="AP522" s="535">
        <f ca="1">IF(Table_NFI[[#This Row],[Pcode]]="","",IF(OFFSET(CampList[Opening Date],MATCH(Table_NFI[[#This Row],[Pcode]],CampList[CP_Pcode],0)-1,0,1,1)&gt;=NFI_Monitor_Date,1,0))</f>
        <v>0</v>
      </c>
      <c r="AQ522" s="540" t="str">
        <f>IFERROR(VLOOKUP(Table_NFI[[#This Row],[Camp Name]],CL,3,0),"")</f>
        <v>Open</v>
      </c>
      <c r="AR522" s="352" t="str">
        <f ca="1">IF(Table_NFI[[#This Row],[Pcode]]="","",OFFSET(CampList[Priority],MATCH(Table_NFI[[#This Row],[Pcode]],CampList[CP_Pcode],0)-1,0,1,1))</f>
        <v>P4</v>
      </c>
      <c r="AS522" s="351">
        <f>IFERROR(Table_NFI[[#This Row],[Kitchen Set]]/VLOOKUP(Table_NFI[[#This Row],[Camp Name]],CL,4,0),"")</f>
        <v>0.22058823529411764</v>
      </c>
      <c r="AT522" s="533" t="s">
        <v>1094</v>
      </c>
      <c r="AU522" s="536"/>
    </row>
    <row r="523" spans="1:47" s="537" customFormat="1" ht="14.45" hidden="1" customHeight="1" x14ac:dyDescent="0.25">
      <c r="A523" s="355">
        <f t="shared" si="8"/>
        <v>29.2</v>
      </c>
      <c r="B523" s="532">
        <v>41695</v>
      </c>
      <c r="C523" s="533" t="s">
        <v>1106</v>
      </c>
      <c r="D523" s="533" t="s">
        <v>902</v>
      </c>
      <c r="E523" s="533" t="s">
        <v>380</v>
      </c>
      <c r="F523" s="533" t="s">
        <v>173</v>
      </c>
      <c r="G523" s="533" t="s">
        <v>176</v>
      </c>
      <c r="H523" s="349"/>
      <c r="I523" s="349"/>
      <c r="J523" s="349"/>
      <c r="K523" s="349"/>
      <c r="L523" s="350"/>
      <c r="M523" s="350"/>
      <c r="N523" s="350"/>
      <c r="O523" s="350"/>
      <c r="P523" s="352"/>
      <c r="Q523" s="352"/>
      <c r="R523" s="352"/>
      <c r="S523" s="352"/>
      <c r="T523" s="352"/>
      <c r="U523" s="352">
        <v>26</v>
      </c>
      <c r="V523" s="497"/>
      <c r="W523" s="352"/>
      <c r="X523" s="352"/>
      <c r="Y523" s="352">
        <f>IF(NFI_Expiration=1,IF($A523&lt;VLOOKUP(H$5,NFI,5,0),1,0)*Table_NFI[[#This Row],[Hygiene Kit]],Table_NFI[Hygiene Kit])</f>
        <v>0</v>
      </c>
      <c r="Z523" s="352">
        <f>IF(NFI_Expiration=1,IF($A523&lt;VLOOKUP(I$5,NFI,5,0),1,0)*Table_NFI[[#This Row],[NFI Core Kit]],Table_NFI[NFI Core Kit])</f>
        <v>0</v>
      </c>
      <c r="AA523" s="352">
        <f>IF(NFI_Expiration=1,IF($A523&lt;VLOOKUP(J$5,NFI,5,0),1,0)*Table_NFI[[#This Row],[Sanitary Kit]],Table_NFI[Sanitary Kit])</f>
        <v>0</v>
      </c>
      <c r="AB523" s="352">
        <f>IF(NFI_Expiration=1,IF($A523&lt;VLOOKUP(K$5,NFI,5,0),1,0)*Table_NFI[[#This Row],[Mosquito net]],Table_NFI[Mosquito net])</f>
        <v>0</v>
      </c>
      <c r="AC523" s="352">
        <f>IF(NFI_Expiration=1,IF($A523&lt;VLOOKUP(L$5,NFI,5,0),1,0)*Table_NFI[[#This Row],[Tarpaulin]],Table_NFI[[#This Row],[Tarpaulin]])</f>
        <v>0</v>
      </c>
      <c r="AD523" s="352">
        <f>IF(NFI_Expiration=1,IF($A523&lt;VLOOKUP(M$5,NFI,5,0),1,0)*Table_NFI[[#This Row],[Blanket]],Table_NFI[[#This Row],[Blanket]])</f>
        <v>0</v>
      </c>
      <c r="AE523" s="352">
        <f>IF(NFI_Expiration=1,IF($A523&lt;VLOOKUP(N$5,NFI,5,0),1,0)*Table_NFI[[#This Row],[Kitchen Set]],Table_NFI[Kitchen Set])</f>
        <v>0</v>
      </c>
      <c r="AF523" s="352">
        <f>IF(NFI_Expiration=1,IF($A523&lt;VLOOKUP(O$5,NFI,5,0),1,0)*Table_NFI[[#This Row],[Clothes Kit]],Table_NFI[Clothes Kit])</f>
        <v>0</v>
      </c>
      <c r="AG523" s="352">
        <f>IF(NFI_Expiration=1,IF($A523&lt;VLOOKUP(P$5,NFI,5,0),1,0)*Table_NFI[[#This Row],[Plastic Bucket]],Table_NFI[Plastic Bucket])</f>
        <v>0</v>
      </c>
      <c r="AH523" s="352">
        <f>IF(NFI_Expiration=1,IF($A523&lt;VLOOKUP(Q$5,NFI,5,0),1,0)*Table_NFI[[#This Row],[Plastic Mat]],Table_NFI[Plastic Mat])*IF(Table_NFI[[#This Row],[Distribution Date]]&gt;"2014-04-01",1,2.5)</f>
        <v>0</v>
      </c>
      <c r="AI523" s="352">
        <f>IF(NFI_Expiration=1,IF($A523&lt;VLOOKUP(R$5,NFI,5,0),1,0)*Table_NFI[[#This Row],[Winter Clothes Adult]],Table_NFI[Winter Clothes Adult])</f>
        <v>0</v>
      </c>
      <c r="AJ523" s="352">
        <f>IF(NFI_Expiration=1,IF($A523&lt;VLOOKUP(S$5,NFI,5,0),1,0)*Table_NFI[[#This Row],[Winter Clothes Children]],Table_NFI[Winter Clothes Children])</f>
        <v>0</v>
      </c>
      <c r="AK523" s="352">
        <f>IF(NFI_Expiration=1,IF($A523&lt;VLOOKUP(T$5,NFI,5,0),1,0)*Table_NFI[[#This Row],[Winter Items Other]],Table_NFI[Winter Items Other])</f>
        <v>0</v>
      </c>
      <c r="AL523" s="352">
        <f>IF(NFI_Expiration=1,IF($A523&lt;VLOOKUP(M$5,NFI,5,0),1,0)*Table_NFI[[#This Row],[Winter Blanket]],Table_NFI[[#This Row],[Winter Blanket]])</f>
        <v>0</v>
      </c>
      <c r="AM523" s="352">
        <f>IF(Table_NFI[[#This Row],[Winter Clothes Adult]]+Table_NFI[[#This Row],[Winter Clothes Children]]+Table_NFI[[#This Row],[Winter Items Other]]+Table_NFI[[#This Row],[Winter Blanket]]&gt;0,1,0)</f>
        <v>1</v>
      </c>
      <c r="AN523" s="392">
        <f>IF(NFI_Expiration=1,IF($A523&lt;VLOOKUP(V$5,NFI,5,0),1,0)*Table_NFI[[#This Row],[Jerry Can]],Table_NFI[Jerry Can])</f>
        <v>0</v>
      </c>
      <c r="AO523" s="540" t="str">
        <f>IFERROR(VLOOKUP(Table_NFI[[#This Row],[Camp Name]],CL,2,0),"")</f>
        <v>MMR001CMP077</v>
      </c>
      <c r="AP523" s="535">
        <f ca="1">IF(Table_NFI[[#This Row],[Pcode]]="","",IF(OFFSET(CampList[Opening Date],MATCH(Table_NFI[[#This Row],[Pcode]],CampList[CP_Pcode],0)-1,0,1,1)&gt;=NFI_Monitor_Date,1,0))</f>
        <v>0</v>
      </c>
      <c r="AQ523" s="540" t="str">
        <f>IFERROR(VLOOKUP(Table_NFI[[#This Row],[Camp Name]],CL,3,0),"")</f>
        <v>Open</v>
      </c>
      <c r="AR523" s="352" t="str">
        <f ca="1">IF(Table_NFI[[#This Row],[Pcode]]="","",OFFSET(CampList[Priority],MATCH(Table_NFI[[#This Row],[Pcode]],CampList[CP_Pcode],0)-1,0,1,1))</f>
        <v>P4</v>
      </c>
      <c r="AS523" s="351">
        <f>IFERROR(Table_NFI[[#This Row],[Kitchen Set]]/VLOOKUP(Table_NFI[[#This Row],[Camp Name]],CL,4,0),"")</f>
        <v>0</v>
      </c>
      <c r="AT523" s="533"/>
      <c r="AU523" s="536"/>
    </row>
    <row r="524" spans="1:47" s="537" customFormat="1" ht="14.45" hidden="1" customHeight="1" x14ac:dyDescent="0.25">
      <c r="A524" s="355">
        <f t="shared" si="8"/>
        <v>31.033333333333335</v>
      </c>
      <c r="B524" s="532">
        <v>41640</v>
      </c>
      <c r="C524" s="533" t="s">
        <v>1039</v>
      </c>
      <c r="D524" s="533" t="s">
        <v>902</v>
      </c>
      <c r="E524" s="533" t="s">
        <v>380</v>
      </c>
      <c r="F524" s="533" t="s">
        <v>173</v>
      </c>
      <c r="G524" s="533" t="s">
        <v>176</v>
      </c>
      <c r="H524" s="349"/>
      <c r="I524" s="349"/>
      <c r="J524" s="349"/>
      <c r="K524" s="349"/>
      <c r="L524" s="350"/>
      <c r="M524" s="350"/>
      <c r="N524" s="350">
        <v>14</v>
      </c>
      <c r="O524" s="350"/>
      <c r="P524" s="352"/>
      <c r="Q524" s="352"/>
      <c r="R524" s="352"/>
      <c r="S524" s="352"/>
      <c r="T524" s="352"/>
      <c r="U524" s="352"/>
      <c r="V524" s="497"/>
      <c r="W524" s="352"/>
      <c r="X524" s="352"/>
      <c r="Y524" s="352">
        <f>IF(NFI_Expiration=1,IF($A524&lt;VLOOKUP(H$5,NFI,5,0),1,0)*Table_NFI[[#This Row],[Hygiene Kit]],Table_NFI[Hygiene Kit])</f>
        <v>0</v>
      </c>
      <c r="Z524" s="352">
        <f>IF(NFI_Expiration=1,IF($A524&lt;VLOOKUP(I$5,NFI,5,0),1,0)*Table_NFI[[#This Row],[NFI Core Kit]],Table_NFI[NFI Core Kit])</f>
        <v>0</v>
      </c>
      <c r="AA524" s="352">
        <f>IF(NFI_Expiration=1,IF($A524&lt;VLOOKUP(J$5,NFI,5,0),1,0)*Table_NFI[[#This Row],[Sanitary Kit]],Table_NFI[Sanitary Kit])</f>
        <v>0</v>
      </c>
      <c r="AB524" s="352">
        <f>IF(NFI_Expiration=1,IF($A524&lt;VLOOKUP(K$5,NFI,5,0),1,0)*Table_NFI[[#This Row],[Mosquito net]],Table_NFI[Mosquito net])</f>
        <v>0</v>
      </c>
      <c r="AC524" s="352">
        <f>IF(NFI_Expiration=1,IF($A524&lt;VLOOKUP(L$5,NFI,5,0),1,0)*Table_NFI[[#This Row],[Tarpaulin]],Table_NFI[[#This Row],[Tarpaulin]])</f>
        <v>0</v>
      </c>
      <c r="AD524" s="352">
        <f>IF(NFI_Expiration=1,IF($A524&lt;VLOOKUP(M$5,NFI,5,0),1,0)*Table_NFI[[#This Row],[Blanket]],Table_NFI[[#This Row],[Blanket]])</f>
        <v>0</v>
      </c>
      <c r="AE524" s="352">
        <f>IF(NFI_Expiration=1,IF($A524&lt;VLOOKUP(N$5,NFI,5,0),1,0)*Table_NFI[[#This Row],[Kitchen Set]],Table_NFI[Kitchen Set])</f>
        <v>0</v>
      </c>
      <c r="AF524" s="352">
        <f>IF(NFI_Expiration=1,IF($A524&lt;VLOOKUP(O$5,NFI,5,0),1,0)*Table_NFI[[#This Row],[Clothes Kit]],Table_NFI[Clothes Kit])</f>
        <v>0</v>
      </c>
      <c r="AG524" s="352">
        <f>IF(NFI_Expiration=1,IF($A524&lt;VLOOKUP(P$5,NFI,5,0),1,0)*Table_NFI[[#This Row],[Plastic Bucket]],Table_NFI[Plastic Bucket])</f>
        <v>0</v>
      </c>
      <c r="AH524" s="352">
        <f>IF(NFI_Expiration=1,IF($A524&lt;VLOOKUP(Q$5,NFI,5,0),1,0)*Table_NFI[[#This Row],[Plastic Mat]],Table_NFI[Plastic Mat])*IF(Table_NFI[[#This Row],[Distribution Date]]&gt;"2014-04-01",1,2.5)</f>
        <v>0</v>
      </c>
      <c r="AI524" s="352">
        <f>IF(NFI_Expiration=1,IF($A524&lt;VLOOKUP(R$5,NFI,5,0),1,0)*Table_NFI[[#This Row],[Winter Clothes Adult]],Table_NFI[Winter Clothes Adult])</f>
        <v>0</v>
      </c>
      <c r="AJ524" s="352">
        <f>IF(NFI_Expiration=1,IF($A524&lt;VLOOKUP(S$5,NFI,5,0),1,0)*Table_NFI[[#This Row],[Winter Clothes Children]],Table_NFI[Winter Clothes Children])</f>
        <v>0</v>
      </c>
      <c r="AK524" s="352">
        <f>IF(NFI_Expiration=1,IF($A524&lt;VLOOKUP(T$5,NFI,5,0),1,0)*Table_NFI[[#This Row],[Winter Items Other]],Table_NFI[Winter Items Other])</f>
        <v>0</v>
      </c>
      <c r="AL524" s="352">
        <f>IF(NFI_Expiration=1,IF($A524&lt;VLOOKUP(M$5,NFI,5,0),1,0)*Table_NFI[[#This Row],[Winter Blanket]],Table_NFI[[#This Row],[Winter Blanket]])</f>
        <v>0</v>
      </c>
      <c r="AM524" s="352">
        <f>IF(Table_NFI[[#This Row],[Winter Clothes Adult]]+Table_NFI[[#This Row],[Winter Clothes Children]]+Table_NFI[[#This Row],[Winter Items Other]]+Table_NFI[[#This Row],[Winter Blanket]]&gt;0,1,0)</f>
        <v>0</v>
      </c>
      <c r="AN524" s="392">
        <f>IF(NFI_Expiration=1,IF($A524&lt;VLOOKUP(V$5,NFI,5,0),1,0)*Table_NFI[[#This Row],[Jerry Can]],Table_NFI[Jerry Can])</f>
        <v>0</v>
      </c>
      <c r="AO524" s="540" t="str">
        <f>IFERROR(VLOOKUP(Table_NFI[[#This Row],[Camp Name]],CL,2,0),"")</f>
        <v>MMR001CMP077</v>
      </c>
      <c r="AP524" s="535">
        <f ca="1">IF(Table_NFI[[#This Row],[Pcode]]="","",IF(OFFSET(CampList[Opening Date],MATCH(Table_NFI[[#This Row],[Pcode]],CampList[CP_Pcode],0)-1,0,1,1)&gt;=NFI_Monitor_Date,1,0))</f>
        <v>0</v>
      </c>
      <c r="AQ524" s="540" t="str">
        <f>IFERROR(VLOOKUP(Table_NFI[[#This Row],[Camp Name]],CL,3,0),"")</f>
        <v>Open</v>
      </c>
      <c r="AR524" s="352" t="str">
        <f ca="1">IF(Table_NFI[[#This Row],[Pcode]]="","",OFFSET(CampList[Priority],MATCH(Table_NFI[[#This Row],[Pcode]],CampList[CP_Pcode],0)-1,0,1,1))</f>
        <v>P4</v>
      </c>
      <c r="AS524" s="351">
        <f>IFERROR(Table_NFI[[#This Row],[Kitchen Set]]/VLOOKUP(Table_NFI[[#This Row],[Camp Name]],CL,4,0),"")</f>
        <v>0.875</v>
      </c>
      <c r="AT524" s="533" t="s">
        <v>1094</v>
      </c>
      <c r="AU524" s="536"/>
    </row>
    <row r="525" spans="1:47" s="537" customFormat="1" ht="14.45" customHeight="1" x14ac:dyDescent="0.25">
      <c r="A525" s="355">
        <f t="shared" si="8"/>
        <v>36.4</v>
      </c>
      <c r="B525" s="532">
        <v>41479</v>
      </c>
      <c r="C525" s="533" t="s">
        <v>453</v>
      </c>
      <c r="D525" s="533" t="s">
        <v>507</v>
      </c>
      <c r="E525" s="533" t="s">
        <v>380</v>
      </c>
      <c r="F525" s="533" t="s">
        <v>528</v>
      </c>
      <c r="G525" s="348" t="s">
        <v>108</v>
      </c>
      <c r="H525" s="349"/>
      <c r="I525" s="349"/>
      <c r="J525" s="349">
        <v>15</v>
      </c>
      <c r="K525" s="349">
        <v>25</v>
      </c>
      <c r="L525" s="350">
        <v>10</v>
      </c>
      <c r="M525" s="350">
        <v>25</v>
      </c>
      <c r="N525" s="350">
        <v>10</v>
      </c>
      <c r="O525" s="350">
        <v>10</v>
      </c>
      <c r="P525" s="352">
        <v>10</v>
      </c>
      <c r="Q525" s="352">
        <v>10</v>
      </c>
      <c r="R525" s="352"/>
      <c r="S525" s="352"/>
      <c r="T525" s="352"/>
      <c r="U525" s="352"/>
      <c r="V525" s="497"/>
      <c r="W525" s="352"/>
      <c r="X525" s="352"/>
      <c r="Y525" s="352">
        <f>IF(NFI_Expiration=1,IF($A525&lt;VLOOKUP(H$5,NFI,5,0),1,0)*Table_NFI[[#This Row],[Hygiene Kit]],Table_NFI[Hygiene Kit])</f>
        <v>0</v>
      </c>
      <c r="Z525" s="352">
        <f>IF(NFI_Expiration=1,IF($A525&lt;VLOOKUP(I$5,NFI,5,0),1,0)*Table_NFI[[#This Row],[NFI Core Kit]],Table_NFI[NFI Core Kit])</f>
        <v>0</v>
      </c>
      <c r="AA525" s="352">
        <f>IF(NFI_Expiration=1,IF($A525&lt;VLOOKUP(J$5,NFI,5,0),1,0)*Table_NFI[[#This Row],[Sanitary Kit]],Table_NFI[Sanitary Kit])</f>
        <v>0</v>
      </c>
      <c r="AB525" s="352">
        <f>IF(NFI_Expiration=1,IF($A525&lt;VLOOKUP(K$5,NFI,5,0),1,0)*Table_NFI[[#This Row],[Mosquito net]],Table_NFI[Mosquito net])</f>
        <v>0</v>
      </c>
      <c r="AC525" s="352">
        <f>IF(NFI_Expiration=1,IF($A525&lt;VLOOKUP(L$5,NFI,5,0),1,0)*Table_NFI[[#This Row],[Tarpaulin]],Table_NFI[[#This Row],[Tarpaulin]])</f>
        <v>0</v>
      </c>
      <c r="AD525" s="352">
        <f>IF(NFI_Expiration=1,IF($A525&lt;VLOOKUP(M$5,NFI,5,0),1,0)*Table_NFI[[#This Row],[Blanket]],Table_NFI[[#This Row],[Blanket]])</f>
        <v>0</v>
      </c>
      <c r="AE525" s="352">
        <f>IF(NFI_Expiration=1,IF($A525&lt;VLOOKUP(N$5,NFI,5,0),1,0)*Table_NFI[[#This Row],[Kitchen Set]],Table_NFI[Kitchen Set])</f>
        <v>0</v>
      </c>
      <c r="AF525" s="352">
        <f>IF(NFI_Expiration=1,IF($A525&lt;VLOOKUP(O$5,NFI,5,0),1,0)*Table_NFI[[#This Row],[Clothes Kit]],Table_NFI[Clothes Kit])</f>
        <v>0</v>
      </c>
      <c r="AG525" s="352">
        <f>IF(NFI_Expiration=1,IF($A525&lt;VLOOKUP(P$5,NFI,5,0),1,0)*Table_NFI[[#This Row],[Plastic Bucket]],Table_NFI[Plastic Bucket])</f>
        <v>0</v>
      </c>
      <c r="AH525" s="352">
        <f>IF(NFI_Expiration=1,IF($A525&lt;VLOOKUP(Q$5,NFI,5,0),1,0)*Table_NFI[[#This Row],[Plastic Mat]],Table_NFI[Plastic Mat])*IF(Table_NFI[[#This Row],[Distribution Date]]&gt;"2014-04-01",1,2.5)</f>
        <v>0</v>
      </c>
      <c r="AI525" s="352">
        <f>IF(NFI_Expiration=1,IF($A525&lt;VLOOKUP(R$5,NFI,5,0),1,0)*Table_NFI[[#This Row],[Winter Clothes Adult]],Table_NFI[Winter Clothes Adult])</f>
        <v>0</v>
      </c>
      <c r="AJ525" s="352">
        <f>IF(NFI_Expiration=1,IF($A525&lt;VLOOKUP(S$5,NFI,5,0),1,0)*Table_NFI[[#This Row],[Winter Clothes Children]],Table_NFI[Winter Clothes Children])</f>
        <v>0</v>
      </c>
      <c r="AK525" s="352">
        <f>IF(NFI_Expiration=1,IF($A525&lt;VLOOKUP(T$5,NFI,5,0),1,0)*Table_NFI[[#This Row],[Winter Items Other]],Table_NFI[Winter Items Other])</f>
        <v>0</v>
      </c>
      <c r="AL525" s="352">
        <f>IF(NFI_Expiration=1,IF($A525&lt;VLOOKUP(M$5,NFI,5,0),1,0)*Table_NFI[[#This Row],[Winter Blanket]],Table_NFI[[#This Row],[Winter Blanket]])</f>
        <v>0</v>
      </c>
      <c r="AM525" s="352">
        <f>IF(Table_NFI[[#This Row],[Winter Clothes Adult]]+Table_NFI[[#This Row],[Winter Clothes Children]]+Table_NFI[[#This Row],[Winter Items Other]]+Table_NFI[[#This Row],[Winter Blanket]]&gt;0,1,0)</f>
        <v>0</v>
      </c>
      <c r="AN525" s="392">
        <f>IF(NFI_Expiration=1,IF($A525&lt;VLOOKUP(V$5,NFI,5,0),1,0)*Table_NFI[[#This Row],[Jerry Can]],Table_NFI[Jerry Can])</f>
        <v>0</v>
      </c>
      <c r="AO525" s="540" t="str">
        <f>IFERROR(VLOOKUP(Table_NFI[[#This Row],[Camp Name]],CL,2,0),"")</f>
        <v>MMR001CMP103</v>
      </c>
      <c r="AP525" s="535">
        <f ca="1">IF(Table_NFI[[#This Row],[Pcode]]="","",IF(OFFSET(CampList[Opening Date],MATCH(Table_NFI[[#This Row],[Pcode]],CampList[CP_Pcode],0)-1,0,1,1)&gt;=NFI_Monitor_Date,1,0))</f>
        <v>0</v>
      </c>
      <c r="AQ525" s="540" t="str">
        <f>IFERROR(VLOOKUP(Table_NFI[[#This Row],[Camp Name]],CL,3,0),"")</f>
        <v>Open</v>
      </c>
      <c r="AR525" s="352" t="str">
        <f ca="1">IF(Table_NFI[[#This Row],[Pcode]]="","",OFFSET(CampList[Priority],MATCH(Table_NFI[[#This Row],[Pcode]],CampList[CP_Pcode],0)-1,0,1,1))</f>
        <v>P4</v>
      </c>
      <c r="AS525" s="351">
        <f>IFERROR(Table_NFI[[#This Row],[Kitchen Set]]/VLOOKUP(Table_NFI[[#This Row],[Camp Name]],CL,4,0),"")</f>
        <v>0.19230769230769232</v>
      </c>
      <c r="AT525" s="533" t="s">
        <v>1094</v>
      </c>
      <c r="AU525" s="536"/>
    </row>
    <row r="526" spans="1:47" s="537" customFormat="1" ht="14.45" customHeight="1" x14ac:dyDescent="0.25">
      <c r="A526" s="355">
        <f t="shared" si="8"/>
        <v>36.4</v>
      </c>
      <c r="B526" s="532">
        <v>41479</v>
      </c>
      <c r="C526" s="533" t="s">
        <v>453</v>
      </c>
      <c r="D526" s="533" t="s">
        <v>507</v>
      </c>
      <c r="E526" s="533" t="s">
        <v>380</v>
      </c>
      <c r="F526" s="533" t="s">
        <v>237</v>
      </c>
      <c r="G526" s="348" t="s">
        <v>273</v>
      </c>
      <c r="H526" s="349"/>
      <c r="I526" s="349"/>
      <c r="J526" s="349">
        <v>31</v>
      </c>
      <c r="K526" s="349">
        <v>41</v>
      </c>
      <c r="L526" s="350">
        <v>17</v>
      </c>
      <c r="M526" s="350">
        <v>41</v>
      </c>
      <c r="N526" s="350">
        <v>17</v>
      </c>
      <c r="O526" s="350">
        <v>17</v>
      </c>
      <c r="P526" s="352">
        <v>17</v>
      </c>
      <c r="Q526" s="352">
        <v>17</v>
      </c>
      <c r="R526" s="352"/>
      <c r="S526" s="352"/>
      <c r="T526" s="352"/>
      <c r="U526" s="352"/>
      <c r="V526" s="497"/>
      <c r="W526" s="352"/>
      <c r="X526" s="352"/>
      <c r="Y526" s="352">
        <f>IF(NFI_Expiration=1,IF($A526&lt;VLOOKUP(H$5,NFI,5,0),1,0)*Table_NFI[[#This Row],[Hygiene Kit]],Table_NFI[Hygiene Kit])</f>
        <v>0</v>
      </c>
      <c r="Z526" s="352">
        <f>IF(NFI_Expiration=1,IF($A526&lt;VLOOKUP(I$5,NFI,5,0),1,0)*Table_NFI[[#This Row],[NFI Core Kit]],Table_NFI[NFI Core Kit])</f>
        <v>0</v>
      </c>
      <c r="AA526" s="352">
        <f>IF(NFI_Expiration=1,IF($A526&lt;VLOOKUP(J$5,NFI,5,0),1,0)*Table_NFI[[#This Row],[Sanitary Kit]],Table_NFI[Sanitary Kit])</f>
        <v>0</v>
      </c>
      <c r="AB526" s="352">
        <f>IF(NFI_Expiration=1,IF($A526&lt;VLOOKUP(K$5,NFI,5,0),1,0)*Table_NFI[[#This Row],[Mosquito net]],Table_NFI[Mosquito net])</f>
        <v>0</v>
      </c>
      <c r="AC526" s="352">
        <f>IF(NFI_Expiration=1,IF($A526&lt;VLOOKUP(L$5,NFI,5,0),1,0)*Table_NFI[[#This Row],[Tarpaulin]],Table_NFI[[#This Row],[Tarpaulin]])</f>
        <v>0</v>
      </c>
      <c r="AD526" s="352">
        <f>IF(NFI_Expiration=1,IF($A526&lt;VLOOKUP(M$5,NFI,5,0),1,0)*Table_NFI[[#This Row],[Blanket]],Table_NFI[[#This Row],[Blanket]])</f>
        <v>0</v>
      </c>
      <c r="AE526" s="352">
        <f>IF(NFI_Expiration=1,IF($A526&lt;VLOOKUP(N$5,NFI,5,0),1,0)*Table_NFI[[#This Row],[Kitchen Set]],Table_NFI[Kitchen Set])</f>
        <v>0</v>
      </c>
      <c r="AF526" s="352">
        <f>IF(NFI_Expiration=1,IF($A526&lt;VLOOKUP(O$5,NFI,5,0),1,0)*Table_NFI[[#This Row],[Clothes Kit]],Table_NFI[Clothes Kit])</f>
        <v>0</v>
      </c>
      <c r="AG526" s="352">
        <f>IF(NFI_Expiration=1,IF($A526&lt;VLOOKUP(P$5,NFI,5,0),1,0)*Table_NFI[[#This Row],[Plastic Bucket]],Table_NFI[Plastic Bucket])</f>
        <v>0</v>
      </c>
      <c r="AH526" s="352">
        <f>IF(NFI_Expiration=1,IF($A526&lt;VLOOKUP(Q$5,NFI,5,0),1,0)*Table_NFI[[#This Row],[Plastic Mat]],Table_NFI[Plastic Mat])*IF(Table_NFI[[#This Row],[Distribution Date]]&gt;"2014-04-01",1,2.5)</f>
        <v>0</v>
      </c>
      <c r="AI526" s="352">
        <f>IF(NFI_Expiration=1,IF($A526&lt;VLOOKUP(R$5,NFI,5,0),1,0)*Table_NFI[[#This Row],[Winter Clothes Adult]],Table_NFI[Winter Clothes Adult])</f>
        <v>0</v>
      </c>
      <c r="AJ526" s="352">
        <f>IF(NFI_Expiration=1,IF($A526&lt;VLOOKUP(S$5,NFI,5,0),1,0)*Table_NFI[[#This Row],[Winter Clothes Children]],Table_NFI[Winter Clothes Children])</f>
        <v>0</v>
      </c>
      <c r="AK526" s="352">
        <f>IF(NFI_Expiration=1,IF($A526&lt;VLOOKUP(T$5,NFI,5,0),1,0)*Table_NFI[[#This Row],[Winter Items Other]],Table_NFI[Winter Items Other])</f>
        <v>0</v>
      </c>
      <c r="AL526" s="352">
        <f>IF(NFI_Expiration=1,IF($A526&lt;VLOOKUP(M$5,NFI,5,0),1,0)*Table_NFI[[#This Row],[Winter Blanket]],Table_NFI[[#This Row],[Winter Blanket]])</f>
        <v>0</v>
      </c>
      <c r="AM526" s="352">
        <f>IF(Table_NFI[[#This Row],[Winter Clothes Adult]]+Table_NFI[[#This Row],[Winter Clothes Children]]+Table_NFI[[#This Row],[Winter Items Other]]+Table_NFI[[#This Row],[Winter Blanket]]&gt;0,1,0)</f>
        <v>0</v>
      </c>
      <c r="AN526" s="392">
        <f>IF(NFI_Expiration=1,IF($A526&lt;VLOOKUP(V$5,NFI,5,0),1,0)*Table_NFI[[#This Row],[Jerry Can]],Table_NFI[Jerry Can])</f>
        <v>0</v>
      </c>
      <c r="AO526" s="540" t="str">
        <f>IFERROR(VLOOKUP(Table_NFI[[#This Row],[Camp Name]],CL,2,0),"")</f>
        <v>MMR001CMP162</v>
      </c>
      <c r="AP526" s="535">
        <f ca="1">IF(Table_NFI[[#This Row],[Pcode]]="","",IF(OFFSET(CampList[Opening Date],MATCH(Table_NFI[[#This Row],[Pcode]],CampList[CP_Pcode],0)-1,0,1,1)&gt;=NFI_Monitor_Date,1,0))</f>
        <v>0</v>
      </c>
      <c r="AQ526" s="540" t="str">
        <f>IFERROR(VLOOKUP(Table_NFI[[#This Row],[Camp Name]],CL,3,0),"")</f>
        <v>Open</v>
      </c>
      <c r="AR526" s="352" t="str">
        <f ca="1">IF(Table_NFI[[#This Row],[Pcode]]="","",OFFSET(CampList[Priority],MATCH(Table_NFI[[#This Row],[Pcode]],CampList[CP_Pcode],0)-1,0,1,1))</f>
        <v>P4</v>
      </c>
      <c r="AS526" s="351">
        <f>IFERROR(Table_NFI[[#This Row],[Kitchen Set]]/VLOOKUP(Table_NFI[[#This Row],[Camp Name]],CL,4,0),"")</f>
        <v>0.38636363636363635</v>
      </c>
      <c r="AT526" s="533" t="s">
        <v>1094</v>
      </c>
      <c r="AU526" s="536"/>
    </row>
    <row r="527" spans="1:47" s="537" customFormat="1" ht="14.45" customHeight="1" x14ac:dyDescent="0.25">
      <c r="A527" s="355">
        <f t="shared" si="8"/>
        <v>36.4</v>
      </c>
      <c r="B527" s="532">
        <v>41479</v>
      </c>
      <c r="C527" s="533" t="s">
        <v>453</v>
      </c>
      <c r="D527" s="533" t="s">
        <v>461</v>
      </c>
      <c r="E527" s="533" t="s">
        <v>380</v>
      </c>
      <c r="F527" s="348" t="s">
        <v>310</v>
      </c>
      <c r="G527" s="348" t="s">
        <v>342</v>
      </c>
      <c r="H527" s="349"/>
      <c r="I527" s="349"/>
      <c r="J527" s="349">
        <v>31</v>
      </c>
      <c r="K527" s="349">
        <v>44</v>
      </c>
      <c r="L527" s="352">
        <v>18</v>
      </c>
      <c r="M527" s="352">
        <v>44</v>
      </c>
      <c r="N527" s="352">
        <v>18</v>
      </c>
      <c r="O527" s="352">
        <v>18</v>
      </c>
      <c r="P527" s="352">
        <v>18</v>
      </c>
      <c r="Q527" s="352">
        <v>18</v>
      </c>
      <c r="R527" s="352"/>
      <c r="S527" s="352"/>
      <c r="T527" s="352"/>
      <c r="U527" s="352"/>
      <c r="V527" s="497"/>
      <c r="W527" s="352"/>
      <c r="X527" s="352"/>
      <c r="Y527" s="352">
        <f>IF(NFI_Expiration=1,IF($A527&lt;VLOOKUP(H$5,NFI,5,0),1,0)*Table_NFI[[#This Row],[Hygiene Kit]],Table_NFI[Hygiene Kit])</f>
        <v>0</v>
      </c>
      <c r="Z527" s="352">
        <f>IF(NFI_Expiration=1,IF($A527&lt;VLOOKUP(I$5,NFI,5,0),1,0)*Table_NFI[[#This Row],[NFI Core Kit]],Table_NFI[NFI Core Kit])</f>
        <v>0</v>
      </c>
      <c r="AA527" s="352">
        <f>IF(NFI_Expiration=1,IF($A527&lt;VLOOKUP(J$5,NFI,5,0),1,0)*Table_NFI[[#This Row],[Sanitary Kit]],Table_NFI[Sanitary Kit])</f>
        <v>0</v>
      </c>
      <c r="AB527" s="352">
        <f>IF(NFI_Expiration=1,IF($A527&lt;VLOOKUP(K$5,NFI,5,0),1,0)*Table_NFI[[#This Row],[Mosquito net]],Table_NFI[Mosquito net])</f>
        <v>0</v>
      </c>
      <c r="AC527" s="352">
        <f>IF(NFI_Expiration=1,IF($A527&lt;VLOOKUP(L$5,NFI,5,0),1,0)*Table_NFI[[#This Row],[Tarpaulin]],Table_NFI[[#This Row],[Tarpaulin]])</f>
        <v>0</v>
      </c>
      <c r="AD527" s="352">
        <f>IF(NFI_Expiration=1,IF($A527&lt;VLOOKUP(M$5,NFI,5,0),1,0)*Table_NFI[[#This Row],[Blanket]],Table_NFI[[#This Row],[Blanket]])</f>
        <v>0</v>
      </c>
      <c r="AE527" s="352">
        <f>IF(NFI_Expiration=1,IF($A527&lt;VLOOKUP(N$5,NFI,5,0),1,0)*Table_NFI[[#This Row],[Kitchen Set]],Table_NFI[Kitchen Set])</f>
        <v>0</v>
      </c>
      <c r="AF527" s="352">
        <f>IF(NFI_Expiration=1,IF($A527&lt;VLOOKUP(O$5,NFI,5,0),1,0)*Table_NFI[[#This Row],[Clothes Kit]],Table_NFI[Clothes Kit])</f>
        <v>0</v>
      </c>
      <c r="AG527" s="352">
        <f>IF(NFI_Expiration=1,IF($A527&lt;VLOOKUP(P$5,NFI,5,0),1,0)*Table_NFI[[#This Row],[Plastic Bucket]],Table_NFI[Plastic Bucket])</f>
        <v>0</v>
      </c>
      <c r="AH527" s="352">
        <f>IF(NFI_Expiration=1,IF($A527&lt;VLOOKUP(Q$5,NFI,5,0),1,0)*Table_NFI[[#This Row],[Plastic Mat]],Table_NFI[Plastic Mat])*IF(Table_NFI[[#This Row],[Distribution Date]]&gt;"2014-04-01",1,2.5)</f>
        <v>0</v>
      </c>
      <c r="AI527" s="352">
        <f>IF(NFI_Expiration=1,IF($A527&lt;VLOOKUP(R$5,NFI,5,0),1,0)*Table_NFI[[#This Row],[Winter Clothes Adult]],Table_NFI[Winter Clothes Adult])</f>
        <v>0</v>
      </c>
      <c r="AJ527" s="352">
        <f>IF(NFI_Expiration=1,IF($A527&lt;VLOOKUP(S$5,NFI,5,0),1,0)*Table_NFI[[#This Row],[Winter Clothes Children]],Table_NFI[Winter Clothes Children])</f>
        <v>0</v>
      </c>
      <c r="AK527" s="352">
        <f>IF(NFI_Expiration=1,IF($A527&lt;VLOOKUP(T$5,NFI,5,0),1,0)*Table_NFI[[#This Row],[Winter Items Other]],Table_NFI[Winter Items Other])</f>
        <v>0</v>
      </c>
      <c r="AL527" s="352">
        <f>IF(NFI_Expiration=1,IF($A527&lt;VLOOKUP(M$5,NFI,5,0),1,0)*Table_NFI[[#This Row],[Winter Blanket]],Table_NFI[[#This Row],[Winter Blanket]])</f>
        <v>0</v>
      </c>
      <c r="AM527" s="352">
        <f>IF(Table_NFI[[#This Row],[Winter Clothes Adult]]+Table_NFI[[#This Row],[Winter Clothes Children]]+Table_NFI[[#This Row],[Winter Items Other]]+Table_NFI[[#This Row],[Winter Blanket]]&gt;0,1,0)</f>
        <v>0</v>
      </c>
      <c r="AN527" s="392">
        <f>IF(NFI_Expiration=1,IF($A527&lt;VLOOKUP(V$5,NFI,5,0),1,0)*Table_NFI[[#This Row],[Jerry Can]],Table_NFI[Jerry Can])</f>
        <v>0</v>
      </c>
      <c r="AO527" s="540" t="str">
        <f>IFERROR(VLOOKUP(Table_NFI[[#This Row],[Camp Name]],CL,2,0),"")</f>
        <v>MMR001CMP025</v>
      </c>
      <c r="AP527" s="535">
        <f ca="1">IF(Table_NFI[[#This Row],[Pcode]]="","",IF(OFFSET(CampList[Opening Date],MATCH(Table_NFI[[#This Row],[Pcode]],CampList[CP_Pcode],0)-1,0,1,1)&gt;=NFI_Monitor_Date,1,0))</f>
        <v>0</v>
      </c>
      <c r="AQ527" s="540" t="str">
        <f>IFERROR(VLOOKUP(Table_NFI[[#This Row],[Camp Name]],CL,3,0),"")</f>
        <v>Open</v>
      </c>
      <c r="AR527" s="352" t="str">
        <f ca="1">IF(Table_NFI[[#This Row],[Pcode]]="","",OFFSET(CampList[Priority],MATCH(Table_NFI[[#This Row],[Pcode]],CampList[CP_Pcode],0)-1,0,1,1))</f>
        <v>P4</v>
      </c>
      <c r="AS527" s="351">
        <f>IFERROR(Table_NFI[[#This Row],[Kitchen Set]]/VLOOKUP(Table_NFI[[#This Row],[Camp Name]],CL,4,0),"")</f>
        <v>0.27692307692307694</v>
      </c>
      <c r="AT527" s="533" t="s">
        <v>1094</v>
      </c>
      <c r="AU527" s="536"/>
    </row>
    <row r="528" spans="1:47" s="537" customFormat="1" ht="14.45" hidden="1" customHeight="1" x14ac:dyDescent="0.25">
      <c r="A528" s="355">
        <f t="shared" si="8"/>
        <v>27.833333333333332</v>
      </c>
      <c r="B528" s="532">
        <v>41736</v>
      </c>
      <c r="C528" s="533" t="s">
        <v>1106</v>
      </c>
      <c r="D528" s="533" t="s">
        <v>902</v>
      </c>
      <c r="E528" s="533" t="s">
        <v>380</v>
      </c>
      <c r="F528" s="533" t="s">
        <v>151</v>
      </c>
      <c r="G528" s="533" t="s">
        <v>152</v>
      </c>
      <c r="H528" s="349"/>
      <c r="I528" s="349"/>
      <c r="J528" s="349"/>
      <c r="K528" s="349"/>
      <c r="L528" s="350"/>
      <c r="M528" s="350"/>
      <c r="N528" s="350"/>
      <c r="O528" s="350"/>
      <c r="P528" s="352"/>
      <c r="Q528" s="352"/>
      <c r="R528" s="352"/>
      <c r="S528" s="352"/>
      <c r="T528" s="352"/>
      <c r="U528" s="352">
        <v>262</v>
      </c>
      <c r="V528" s="497"/>
      <c r="W528" s="352"/>
      <c r="X528" s="352"/>
      <c r="Y528" s="352">
        <f>IF(NFI_Expiration=1,IF($A528&lt;VLOOKUP(H$5,NFI,5,0),1,0)*Table_NFI[[#This Row],[Hygiene Kit]],Table_NFI[Hygiene Kit])</f>
        <v>0</v>
      </c>
      <c r="Z528" s="352">
        <f>IF(NFI_Expiration=1,IF($A528&lt;VLOOKUP(I$5,NFI,5,0),1,0)*Table_NFI[[#This Row],[NFI Core Kit]],Table_NFI[NFI Core Kit])</f>
        <v>0</v>
      </c>
      <c r="AA528" s="352">
        <f>IF(NFI_Expiration=1,IF($A528&lt;VLOOKUP(J$5,NFI,5,0),1,0)*Table_NFI[[#This Row],[Sanitary Kit]],Table_NFI[Sanitary Kit])</f>
        <v>0</v>
      </c>
      <c r="AB528" s="352">
        <f>IF(NFI_Expiration=1,IF($A528&lt;VLOOKUP(K$5,NFI,5,0),1,0)*Table_NFI[[#This Row],[Mosquito net]],Table_NFI[Mosquito net])</f>
        <v>0</v>
      </c>
      <c r="AC528" s="352">
        <f>IF(NFI_Expiration=1,IF($A528&lt;VLOOKUP(L$5,NFI,5,0),1,0)*Table_NFI[[#This Row],[Tarpaulin]],Table_NFI[[#This Row],[Tarpaulin]])</f>
        <v>0</v>
      </c>
      <c r="AD528" s="352">
        <f>IF(NFI_Expiration=1,IF($A528&lt;VLOOKUP(M$5,NFI,5,0),1,0)*Table_NFI[[#This Row],[Blanket]],Table_NFI[[#This Row],[Blanket]])</f>
        <v>0</v>
      </c>
      <c r="AE528" s="352">
        <f>IF(NFI_Expiration=1,IF($A528&lt;VLOOKUP(N$5,NFI,5,0),1,0)*Table_NFI[[#This Row],[Kitchen Set]],Table_NFI[Kitchen Set])</f>
        <v>0</v>
      </c>
      <c r="AF528" s="352">
        <f>IF(NFI_Expiration=1,IF($A528&lt;VLOOKUP(O$5,NFI,5,0),1,0)*Table_NFI[[#This Row],[Clothes Kit]],Table_NFI[Clothes Kit])</f>
        <v>0</v>
      </c>
      <c r="AG528" s="352">
        <f>IF(NFI_Expiration=1,IF($A528&lt;VLOOKUP(P$5,NFI,5,0),1,0)*Table_NFI[[#This Row],[Plastic Bucket]],Table_NFI[Plastic Bucket])</f>
        <v>0</v>
      </c>
      <c r="AH528" s="352">
        <f>IF(NFI_Expiration=1,IF($A528&lt;VLOOKUP(Q$5,NFI,5,0),1,0)*Table_NFI[[#This Row],[Plastic Mat]],Table_NFI[Plastic Mat])*IF(Table_NFI[[#This Row],[Distribution Date]]&gt;"2014-04-01",1,2.5)</f>
        <v>0</v>
      </c>
      <c r="AI528" s="352">
        <f>IF(NFI_Expiration=1,IF($A528&lt;VLOOKUP(R$5,NFI,5,0),1,0)*Table_NFI[[#This Row],[Winter Clothes Adult]],Table_NFI[Winter Clothes Adult])</f>
        <v>0</v>
      </c>
      <c r="AJ528" s="352">
        <f>IF(NFI_Expiration=1,IF($A528&lt;VLOOKUP(S$5,NFI,5,0),1,0)*Table_NFI[[#This Row],[Winter Clothes Children]],Table_NFI[Winter Clothes Children])</f>
        <v>0</v>
      </c>
      <c r="AK528" s="352">
        <f>IF(NFI_Expiration=1,IF($A528&lt;VLOOKUP(T$5,NFI,5,0),1,0)*Table_NFI[[#This Row],[Winter Items Other]],Table_NFI[Winter Items Other])</f>
        <v>0</v>
      </c>
      <c r="AL528" s="352">
        <f>IF(NFI_Expiration=1,IF($A528&lt;VLOOKUP(M$5,NFI,5,0),1,0)*Table_NFI[[#This Row],[Winter Blanket]],Table_NFI[[#This Row],[Winter Blanket]])</f>
        <v>0</v>
      </c>
      <c r="AM528" s="352">
        <f>IF(Table_NFI[[#This Row],[Winter Clothes Adult]]+Table_NFI[[#This Row],[Winter Clothes Children]]+Table_NFI[[#This Row],[Winter Items Other]]+Table_NFI[[#This Row],[Winter Blanket]]&gt;0,1,0)</f>
        <v>1</v>
      </c>
      <c r="AN528" s="392">
        <f>IF(NFI_Expiration=1,IF($A528&lt;VLOOKUP(V$5,NFI,5,0),1,0)*Table_NFI[[#This Row],[Jerry Can]],Table_NFI[Jerry Can])</f>
        <v>0</v>
      </c>
      <c r="AO528" s="540" t="str">
        <f>IFERROR(VLOOKUP(Table_NFI[[#This Row],[Camp Name]],CL,2,0),"")</f>
        <v>MMR001CMP066</v>
      </c>
      <c r="AP528" s="535">
        <f ca="1">IF(Table_NFI[[#This Row],[Pcode]]="","",IF(OFFSET(CampList[Opening Date],MATCH(Table_NFI[[#This Row],[Pcode]],CampList[CP_Pcode],0)-1,0,1,1)&gt;=NFI_Monitor_Date,1,0))</f>
        <v>0</v>
      </c>
      <c r="AQ528" s="540" t="str">
        <f>IFERROR(VLOOKUP(Table_NFI[[#This Row],[Camp Name]],CL,3,0),"")</f>
        <v>Open</v>
      </c>
      <c r="AR528" s="352" t="str">
        <f ca="1">IF(Table_NFI[[#This Row],[Pcode]]="","",OFFSET(CampList[Priority],MATCH(Table_NFI[[#This Row],[Pcode]],CampList[CP_Pcode],0)-1,0,1,1))</f>
        <v>P4</v>
      </c>
      <c r="AS528" s="351">
        <f>IFERROR(Table_NFI[[#This Row],[Kitchen Set]]/VLOOKUP(Table_NFI[[#This Row],[Camp Name]],CL,4,0),"")</f>
        <v>0</v>
      </c>
      <c r="AT528" s="533"/>
      <c r="AU528" s="536"/>
    </row>
    <row r="529" spans="1:47" s="537" customFormat="1" hidden="1" x14ac:dyDescent="0.25">
      <c r="A529" s="355">
        <f t="shared" si="8"/>
        <v>31.666666666666668</v>
      </c>
      <c r="B529" s="532">
        <v>41621</v>
      </c>
      <c r="C529" s="533" t="s">
        <v>907</v>
      </c>
      <c r="D529" s="533" t="s">
        <v>907</v>
      </c>
      <c r="E529" s="533" t="s">
        <v>380</v>
      </c>
      <c r="F529" s="533" t="s">
        <v>151</v>
      </c>
      <c r="G529" s="533" t="s">
        <v>152</v>
      </c>
      <c r="H529" s="349"/>
      <c r="I529" s="349"/>
      <c r="J529" s="349"/>
      <c r="K529" s="349"/>
      <c r="L529" s="350"/>
      <c r="M529" s="350"/>
      <c r="N529" s="350"/>
      <c r="O529" s="350"/>
      <c r="P529" s="352"/>
      <c r="Q529" s="352"/>
      <c r="R529" s="352">
        <v>13</v>
      </c>
      <c r="S529" s="352">
        <v>53</v>
      </c>
      <c r="T529" s="352">
        <v>132</v>
      </c>
      <c r="U529" s="352">
        <v>66</v>
      </c>
      <c r="V529" s="497"/>
      <c r="W529" s="352"/>
      <c r="X529" s="352"/>
      <c r="Y529" s="352">
        <f>IF(NFI_Expiration=1,IF($A529&lt;VLOOKUP(H$5,NFI,5,0),1,0)*Table_NFI[[#This Row],[Hygiene Kit]],Table_NFI[Hygiene Kit])</f>
        <v>0</v>
      </c>
      <c r="Z529" s="352">
        <f>IF(NFI_Expiration=1,IF($A529&lt;VLOOKUP(I$5,NFI,5,0),1,0)*Table_NFI[[#This Row],[NFI Core Kit]],Table_NFI[NFI Core Kit])</f>
        <v>0</v>
      </c>
      <c r="AA529" s="352">
        <f>IF(NFI_Expiration=1,IF($A529&lt;VLOOKUP(J$5,NFI,5,0),1,0)*Table_NFI[[#This Row],[Sanitary Kit]],Table_NFI[Sanitary Kit])</f>
        <v>0</v>
      </c>
      <c r="AB529" s="352">
        <f>IF(NFI_Expiration=1,IF($A529&lt;VLOOKUP(K$5,NFI,5,0),1,0)*Table_NFI[[#This Row],[Mosquito net]],Table_NFI[Mosquito net])</f>
        <v>0</v>
      </c>
      <c r="AC529" s="352">
        <f>IF(NFI_Expiration=1,IF($A529&lt;VLOOKUP(L$5,NFI,5,0),1,0)*Table_NFI[[#This Row],[Tarpaulin]],Table_NFI[[#This Row],[Tarpaulin]])</f>
        <v>0</v>
      </c>
      <c r="AD529" s="352">
        <f>IF(NFI_Expiration=1,IF($A529&lt;VLOOKUP(M$5,NFI,5,0),1,0)*Table_NFI[[#This Row],[Blanket]],Table_NFI[[#This Row],[Blanket]])</f>
        <v>0</v>
      </c>
      <c r="AE529" s="352">
        <f>IF(NFI_Expiration=1,IF($A529&lt;VLOOKUP(N$5,NFI,5,0),1,0)*Table_NFI[[#This Row],[Kitchen Set]],Table_NFI[Kitchen Set])</f>
        <v>0</v>
      </c>
      <c r="AF529" s="352">
        <f>IF(NFI_Expiration=1,IF($A529&lt;VLOOKUP(O$5,NFI,5,0),1,0)*Table_NFI[[#This Row],[Clothes Kit]],Table_NFI[Clothes Kit])</f>
        <v>0</v>
      </c>
      <c r="AG529" s="352">
        <f>IF(NFI_Expiration=1,IF($A529&lt;VLOOKUP(P$5,NFI,5,0),1,0)*Table_NFI[[#This Row],[Plastic Bucket]],Table_NFI[Plastic Bucket])</f>
        <v>0</v>
      </c>
      <c r="AH529" s="352">
        <f>IF(NFI_Expiration=1,IF($A529&lt;VLOOKUP(Q$5,NFI,5,0),1,0)*Table_NFI[[#This Row],[Plastic Mat]],Table_NFI[Plastic Mat])*IF(Table_NFI[[#This Row],[Distribution Date]]&gt;"2014-04-01",1,2.5)</f>
        <v>0</v>
      </c>
      <c r="AI529" s="352">
        <f>IF(NFI_Expiration=1,IF($A529&lt;VLOOKUP(R$5,NFI,5,0),1,0)*Table_NFI[[#This Row],[Winter Clothes Adult]],Table_NFI[Winter Clothes Adult])</f>
        <v>0</v>
      </c>
      <c r="AJ529" s="352">
        <f>IF(NFI_Expiration=1,IF($A529&lt;VLOOKUP(S$5,NFI,5,0),1,0)*Table_NFI[[#This Row],[Winter Clothes Children]],Table_NFI[Winter Clothes Children])</f>
        <v>0</v>
      </c>
      <c r="AK529" s="352">
        <f>IF(NFI_Expiration=1,IF($A529&lt;VLOOKUP(T$5,NFI,5,0),1,0)*Table_NFI[[#This Row],[Winter Items Other]],Table_NFI[Winter Items Other])</f>
        <v>0</v>
      </c>
      <c r="AL529" s="352">
        <f>IF(NFI_Expiration=1,IF($A529&lt;VLOOKUP(M$5,NFI,5,0),1,0)*Table_NFI[[#This Row],[Winter Blanket]],Table_NFI[[#This Row],[Winter Blanket]])</f>
        <v>0</v>
      </c>
      <c r="AM529" s="352">
        <f>IF(Table_NFI[[#This Row],[Winter Clothes Adult]]+Table_NFI[[#This Row],[Winter Clothes Children]]+Table_NFI[[#This Row],[Winter Items Other]]+Table_NFI[[#This Row],[Winter Blanket]]&gt;0,1,0)</f>
        <v>1</v>
      </c>
      <c r="AN529" s="392">
        <f>IF(NFI_Expiration=1,IF($A529&lt;VLOOKUP(V$5,NFI,5,0),1,0)*Table_NFI[[#This Row],[Jerry Can]],Table_NFI[Jerry Can])</f>
        <v>0</v>
      </c>
      <c r="AO529" s="540" t="str">
        <f>IFERROR(VLOOKUP(Table_NFI[[#This Row],[Camp Name]],CL,2,0),"")</f>
        <v>MMR001CMP066</v>
      </c>
      <c r="AP529" s="535">
        <f ca="1">IF(Table_NFI[[#This Row],[Pcode]]="","",IF(OFFSET(CampList[Opening Date],MATCH(Table_NFI[[#This Row],[Pcode]],CampList[CP_Pcode],0)-1,0,1,1)&gt;=NFI_Monitor_Date,1,0))</f>
        <v>0</v>
      </c>
      <c r="AQ529" s="540" t="str">
        <f>IFERROR(VLOOKUP(Table_NFI[[#This Row],[Camp Name]],CL,3,0),"")</f>
        <v>Open</v>
      </c>
      <c r="AR529" s="352" t="str">
        <f ca="1">IF(Table_NFI[[#This Row],[Pcode]]="","",OFFSET(CampList[Priority],MATCH(Table_NFI[[#This Row],[Pcode]],CampList[CP_Pcode],0)-1,0,1,1))</f>
        <v>P4</v>
      </c>
      <c r="AS529" s="351">
        <f>IFERROR(Table_NFI[[#This Row],[Kitchen Set]]/VLOOKUP(Table_NFI[[#This Row],[Camp Name]],CL,4,0),"")</f>
        <v>0</v>
      </c>
      <c r="AT529" s="533"/>
      <c r="AU529" s="536"/>
    </row>
    <row r="530" spans="1:47" s="537" customFormat="1" hidden="1" x14ac:dyDescent="0.25">
      <c r="A530" s="355">
        <f t="shared" si="8"/>
        <v>32.1</v>
      </c>
      <c r="B530" s="532">
        <v>41608</v>
      </c>
      <c r="C530" s="533" t="s">
        <v>907</v>
      </c>
      <c r="D530" s="533"/>
      <c r="E530" s="533" t="s">
        <v>380</v>
      </c>
      <c r="F530" s="348" t="s">
        <v>151</v>
      </c>
      <c r="G530" s="348" t="s">
        <v>152</v>
      </c>
      <c r="H530" s="349"/>
      <c r="I530" s="349"/>
      <c r="J530" s="349"/>
      <c r="K530" s="349"/>
      <c r="L530" s="350"/>
      <c r="M530" s="350"/>
      <c r="N530" s="350"/>
      <c r="O530" s="350"/>
      <c r="P530" s="352"/>
      <c r="Q530" s="352">
        <v>225</v>
      </c>
      <c r="R530" s="352"/>
      <c r="S530" s="352"/>
      <c r="T530" s="352"/>
      <c r="U530" s="352"/>
      <c r="V530" s="497"/>
      <c r="W530" s="352"/>
      <c r="X530" s="352"/>
      <c r="Y530" s="352">
        <f>IF(NFI_Expiration=1,IF($A530&lt;VLOOKUP(H$5,NFI,5,0),1,0)*Table_NFI[[#This Row],[Hygiene Kit]],Table_NFI[Hygiene Kit])</f>
        <v>0</v>
      </c>
      <c r="Z530" s="352">
        <f>IF(NFI_Expiration=1,IF($A530&lt;VLOOKUP(I$5,NFI,5,0),1,0)*Table_NFI[[#This Row],[NFI Core Kit]],Table_NFI[NFI Core Kit])</f>
        <v>0</v>
      </c>
      <c r="AA530" s="352">
        <f>IF(NFI_Expiration=1,IF($A530&lt;VLOOKUP(J$5,NFI,5,0),1,0)*Table_NFI[[#This Row],[Sanitary Kit]],Table_NFI[Sanitary Kit])</f>
        <v>0</v>
      </c>
      <c r="AB530" s="352">
        <f>IF(NFI_Expiration=1,IF($A530&lt;VLOOKUP(K$5,NFI,5,0),1,0)*Table_NFI[[#This Row],[Mosquito net]],Table_NFI[Mosquito net])</f>
        <v>0</v>
      </c>
      <c r="AC530" s="352">
        <f>IF(NFI_Expiration=1,IF($A530&lt;VLOOKUP(L$5,NFI,5,0),1,0)*Table_NFI[[#This Row],[Tarpaulin]],Table_NFI[[#This Row],[Tarpaulin]])</f>
        <v>0</v>
      </c>
      <c r="AD530" s="352">
        <f>IF(NFI_Expiration=1,IF($A530&lt;VLOOKUP(M$5,NFI,5,0),1,0)*Table_NFI[[#This Row],[Blanket]],Table_NFI[[#This Row],[Blanket]])</f>
        <v>0</v>
      </c>
      <c r="AE530" s="352">
        <f>IF(NFI_Expiration=1,IF($A530&lt;VLOOKUP(N$5,NFI,5,0),1,0)*Table_NFI[[#This Row],[Kitchen Set]],Table_NFI[Kitchen Set])</f>
        <v>0</v>
      </c>
      <c r="AF530" s="352">
        <f>IF(NFI_Expiration=1,IF($A530&lt;VLOOKUP(O$5,NFI,5,0),1,0)*Table_NFI[[#This Row],[Clothes Kit]],Table_NFI[Clothes Kit])</f>
        <v>0</v>
      </c>
      <c r="AG530" s="352">
        <f>IF(NFI_Expiration=1,IF($A530&lt;VLOOKUP(P$5,NFI,5,0),1,0)*Table_NFI[[#This Row],[Plastic Bucket]],Table_NFI[Plastic Bucket])</f>
        <v>0</v>
      </c>
      <c r="AH530" s="352">
        <f>IF(NFI_Expiration=1,IF($A530&lt;VLOOKUP(Q$5,NFI,5,0),1,0)*Table_NFI[[#This Row],[Plastic Mat]],Table_NFI[Plastic Mat])*IF(Table_NFI[[#This Row],[Distribution Date]]&gt;"2014-04-01",1,2.5)</f>
        <v>0</v>
      </c>
      <c r="AI530" s="352">
        <f>IF(NFI_Expiration=1,IF($A530&lt;VLOOKUP(R$5,NFI,5,0),1,0)*Table_NFI[[#This Row],[Winter Clothes Adult]],Table_NFI[Winter Clothes Adult])</f>
        <v>0</v>
      </c>
      <c r="AJ530" s="352">
        <f>IF(NFI_Expiration=1,IF($A530&lt;VLOOKUP(S$5,NFI,5,0),1,0)*Table_NFI[[#This Row],[Winter Clothes Children]],Table_NFI[Winter Clothes Children])</f>
        <v>0</v>
      </c>
      <c r="AK530" s="352">
        <f>IF(NFI_Expiration=1,IF($A530&lt;VLOOKUP(T$5,NFI,5,0),1,0)*Table_NFI[[#This Row],[Winter Items Other]],Table_NFI[Winter Items Other])</f>
        <v>0</v>
      </c>
      <c r="AL530" s="352">
        <f>IF(NFI_Expiration=1,IF($A530&lt;VLOOKUP(M$5,NFI,5,0),1,0)*Table_NFI[[#This Row],[Winter Blanket]],Table_NFI[[#This Row],[Winter Blanket]])</f>
        <v>0</v>
      </c>
      <c r="AM530" s="352">
        <f>IF(Table_NFI[[#This Row],[Winter Clothes Adult]]+Table_NFI[[#This Row],[Winter Clothes Children]]+Table_NFI[[#This Row],[Winter Items Other]]+Table_NFI[[#This Row],[Winter Blanket]]&gt;0,1,0)</f>
        <v>0</v>
      </c>
      <c r="AN530" s="392">
        <f>IF(NFI_Expiration=1,IF($A530&lt;VLOOKUP(V$5,NFI,5,0),1,0)*Table_NFI[[#This Row],[Jerry Can]],Table_NFI[Jerry Can])</f>
        <v>0</v>
      </c>
      <c r="AO530" s="540" t="str">
        <f>IFERROR(VLOOKUP(Table_NFI[[#This Row],[Camp Name]],CL,2,0),"")</f>
        <v>MMR001CMP066</v>
      </c>
      <c r="AP530" s="535">
        <f ca="1">IF(Table_NFI[[#This Row],[Pcode]]="","",IF(OFFSET(CampList[Opening Date],MATCH(Table_NFI[[#This Row],[Pcode]],CampList[CP_Pcode],0)-1,0,1,1)&gt;=NFI_Monitor_Date,1,0))</f>
        <v>0</v>
      </c>
      <c r="AQ530" s="540" t="str">
        <f>IFERROR(VLOOKUP(Table_NFI[[#This Row],[Camp Name]],CL,3,0),"")</f>
        <v>Open</v>
      </c>
      <c r="AR530" s="352" t="str">
        <f ca="1">IF(Table_NFI[[#This Row],[Pcode]]="","",OFFSET(CampList[Priority],MATCH(Table_NFI[[#This Row],[Pcode]],CampList[CP_Pcode],0)-1,0,1,1))</f>
        <v>P4</v>
      </c>
      <c r="AS530" s="351">
        <f>IFERROR(Table_NFI[[#This Row],[Kitchen Set]]/VLOOKUP(Table_NFI[[#This Row],[Camp Name]],CL,4,0),"")</f>
        <v>0</v>
      </c>
      <c r="AT530" s="533" t="s">
        <v>1094</v>
      </c>
      <c r="AU530" s="536"/>
    </row>
    <row r="531" spans="1:47" s="537" customFormat="1" ht="14.45" customHeight="1" x14ac:dyDescent="0.25">
      <c r="A531" s="355">
        <f t="shared" si="8"/>
        <v>36.4</v>
      </c>
      <c r="B531" s="532">
        <v>41479</v>
      </c>
      <c r="C531" s="533" t="s">
        <v>453</v>
      </c>
      <c r="D531" s="533" t="s">
        <v>506</v>
      </c>
      <c r="E531" s="533" t="s">
        <v>380</v>
      </c>
      <c r="F531" s="533" t="s">
        <v>310</v>
      </c>
      <c r="G531" s="348" t="s">
        <v>351</v>
      </c>
      <c r="H531" s="349"/>
      <c r="I531" s="349"/>
      <c r="J531" s="349">
        <v>41</v>
      </c>
      <c r="K531" s="349">
        <v>73</v>
      </c>
      <c r="L531" s="350">
        <v>31</v>
      </c>
      <c r="M531" s="350">
        <v>73</v>
      </c>
      <c r="N531" s="350">
        <v>31</v>
      </c>
      <c r="O531" s="350">
        <v>31</v>
      </c>
      <c r="P531" s="352">
        <v>31</v>
      </c>
      <c r="Q531" s="352">
        <v>31</v>
      </c>
      <c r="R531" s="352"/>
      <c r="S531" s="352"/>
      <c r="T531" s="352"/>
      <c r="U531" s="352"/>
      <c r="V531" s="497"/>
      <c r="W531" s="352"/>
      <c r="X531" s="352"/>
      <c r="Y531" s="352">
        <f>IF(NFI_Expiration=1,IF($A531&lt;VLOOKUP(H$5,NFI,5,0),1,0)*Table_NFI[[#This Row],[Hygiene Kit]],Table_NFI[Hygiene Kit])</f>
        <v>0</v>
      </c>
      <c r="Z531" s="352">
        <f>IF(NFI_Expiration=1,IF($A531&lt;VLOOKUP(I$5,NFI,5,0),1,0)*Table_NFI[[#This Row],[NFI Core Kit]],Table_NFI[NFI Core Kit])</f>
        <v>0</v>
      </c>
      <c r="AA531" s="352">
        <f>IF(NFI_Expiration=1,IF($A531&lt;VLOOKUP(J$5,NFI,5,0),1,0)*Table_NFI[[#This Row],[Sanitary Kit]],Table_NFI[Sanitary Kit])</f>
        <v>0</v>
      </c>
      <c r="AB531" s="352">
        <f>IF(NFI_Expiration=1,IF($A531&lt;VLOOKUP(K$5,NFI,5,0),1,0)*Table_NFI[[#This Row],[Mosquito net]],Table_NFI[Mosquito net])</f>
        <v>0</v>
      </c>
      <c r="AC531" s="352">
        <f>IF(NFI_Expiration=1,IF($A531&lt;VLOOKUP(L$5,NFI,5,0),1,0)*Table_NFI[[#This Row],[Tarpaulin]],Table_NFI[[#This Row],[Tarpaulin]])</f>
        <v>0</v>
      </c>
      <c r="AD531" s="352">
        <f>IF(NFI_Expiration=1,IF($A531&lt;VLOOKUP(M$5,NFI,5,0),1,0)*Table_NFI[[#This Row],[Blanket]],Table_NFI[[#This Row],[Blanket]])</f>
        <v>0</v>
      </c>
      <c r="AE531" s="352">
        <f>IF(NFI_Expiration=1,IF($A531&lt;VLOOKUP(N$5,NFI,5,0),1,0)*Table_NFI[[#This Row],[Kitchen Set]],Table_NFI[Kitchen Set])</f>
        <v>0</v>
      </c>
      <c r="AF531" s="352">
        <f>IF(NFI_Expiration=1,IF($A531&lt;VLOOKUP(O$5,NFI,5,0),1,0)*Table_NFI[[#This Row],[Clothes Kit]],Table_NFI[Clothes Kit])</f>
        <v>0</v>
      </c>
      <c r="AG531" s="352">
        <f>IF(NFI_Expiration=1,IF($A531&lt;VLOOKUP(P$5,NFI,5,0),1,0)*Table_NFI[[#This Row],[Plastic Bucket]],Table_NFI[Plastic Bucket])</f>
        <v>0</v>
      </c>
      <c r="AH531" s="352">
        <f>IF(NFI_Expiration=1,IF($A531&lt;VLOOKUP(Q$5,NFI,5,0),1,0)*Table_NFI[[#This Row],[Plastic Mat]],Table_NFI[Plastic Mat])*IF(Table_NFI[[#This Row],[Distribution Date]]&gt;"2014-04-01",1,2.5)</f>
        <v>0</v>
      </c>
      <c r="AI531" s="352">
        <f>IF(NFI_Expiration=1,IF($A531&lt;VLOOKUP(R$5,NFI,5,0),1,0)*Table_NFI[[#This Row],[Winter Clothes Adult]],Table_NFI[Winter Clothes Adult])</f>
        <v>0</v>
      </c>
      <c r="AJ531" s="352">
        <f>IF(NFI_Expiration=1,IF($A531&lt;VLOOKUP(S$5,NFI,5,0),1,0)*Table_NFI[[#This Row],[Winter Clothes Children]],Table_NFI[Winter Clothes Children])</f>
        <v>0</v>
      </c>
      <c r="AK531" s="352">
        <f>IF(NFI_Expiration=1,IF($A531&lt;VLOOKUP(T$5,NFI,5,0),1,0)*Table_NFI[[#This Row],[Winter Items Other]],Table_NFI[Winter Items Other])</f>
        <v>0</v>
      </c>
      <c r="AL531" s="352">
        <f>IF(NFI_Expiration=1,IF($A531&lt;VLOOKUP(M$5,NFI,5,0),1,0)*Table_NFI[[#This Row],[Winter Blanket]],Table_NFI[[#This Row],[Winter Blanket]])</f>
        <v>0</v>
      </c>
      <c r="AM531" s="352">
        <f>IF(Table_NFI[[#This Row],[Winter Clothes Adult]]+Table_NFI[[#This Row],[Winter Clothes Children]]+Table_NFI[[#This Row],[Winter Items Other]]+Table_NFI[[#This Row],[Winter Blanket]]&gt;0,1,0)</f>
        <v>0</v>
      </c>
      <c r="AN531" s="392">
        <f>IF(NFI_Expiration=1,IF($A531&lt;VLOOKUP(V$5,NFI,5,0),1,0)*Table_NFI[[#This Row],[Jerry Can]],Table_NFI[Jerry Can])</f>
        <v>0</v>
      </c>
      <c r="AO531" s="540" t="str">
        <f>IFERROR(VLOOKUP(Table_NFI[[#This Row],[Camp Name]],CL,2,0),"")</f>
        <v>MMR001CMP026</v>
      </c>
      <c r="AP531" s="535">
        <f ca="1">IF(Table_NFI[[#This Row],[Pcode]]="","",IF(OFFSET(CampList[Opening Date],MATCH(Table_NFI[[#This Row],[Pcode]],CampList[CP_Pcode],0)-1,0,1,1)&gt;=NFI_Monitor_Date,1,0))</f>
        <v>0</v>
      </c>
      <c r="AQ531" s="540" t="str">
        <f>IFERROR(VLOOKUP(Table_NFI[[#This Row],[Camp Name]],CL,3,0),"")</f>
        <v>Open</v>
      </c>
      <c r="AR531" s="352" t="str">
        <f ca="1">IF(Table_NFI[[#This Row],[Pcode]]="","",OFFSET(CampList[Priority],MATCH(Table_NFI[[#This Row],[Pcode]],CampList[CP_Pcode],0)-1,0,1,1))</f>
        <v>P4</v>
      </c>
      <c r="AS531" s="351">
        <f>IFERROR(Table_NFI[[#This Row],[Kitchen Set]]/VLOOKUP(Table_NFI[[#This Row],[Camp Name]],CL,4,0),"")</f>
        <v>0.35227272727272729</v>
      </c>
      <c r="AT531" s="533" t="s">
        <v>1094</v>
      </c>
      <c r="AU531" s="536"/>
    </row>
    <row r="532" spans="1:47" s="537" customFormat="1" ht="14.45" customHeight="1" x14ac:dyDescent="0.25">
      <c r="A532" s="355">
        <f t="shared" si="8"/>
        <v>36.4</v>
      </c>
      <c r="B532" s="532">
        <v>41479</v>
      </c>
      <c r="C532" s="533" t="s">
        <v>453</v>
      </c>
      <c r="D532" s="534" t="s">
        <v>461</v>
      </c>
      <c r="E532" s="533" t="s">
        <v>380</v>
      </c>
      <c r="F532" s="348" t="s">
        <v>237</v>
      </c>
      <c r="G532" s="348" t="s">
        <v>277</v>
      </c>
      <c r="H532" s="349"/>
      <c r="I532" s="349"/>
      <c r="J532" s="349">
        <v>21</v>
      </c>
      <c r="K532" s="349">
        <v>36</v>
      </c>
      <c r="L532" s="350">
        <v>16</v>
      </c>
      <c r="M532" s="350">
        <v>36</v>
      </c>
      <c r="N532" s="350">
        <v>16</v>
      </c>
      <c r="O532" s="350">
        <v>16</v>
      </c>
      <c r="P532" s="352">
        <v>16</v>
      </c>
      <c r="Q532" s="352">
        <v>16</v>
      </c>
      <c r="R532" s="352"/>
      <c r="S532" s="352"/>
      <c r="T532" s="352"/>
      <c r="U532" s="352"/>
      <c r="V532" s="497"/>
      <c r="W532" s="352"/>
      <c r="X532" s="352"/>
      <c r="Y532" s="352">
        <f>IF(NFI_Expiration=1,IF($A532&lt;VLOOKUP(H$5,NFI,5,0),1,0)*Table_NFI[[#This Row],[Hygiene Kit]],Table_NFI[Hygiene Kit])</f>
        <v>0</v>
      </c>
      <c r="Z532" s="352">
        <f>IF(NFI_Expiration=1,IF($A532&lt;VLOOKUP(I$5,NFI,5,0),1,0)*Table_NFI[[#This Row],[NFI Core Kit]],Table_NFI[NFI Core Kit])</f>
        <v>0</v>
      </c>
      <c r="AA532" s="352">
        <f>IF(NFI_Expiration=1,IF($A532&lt;VLOOKUP(J$5,NFI,5,0),1,0)*Table_NFI[[#This Row],[Sanitary Kit]],Table_NFI[Sanitary Kit])</f>
        <v>0</v>
      </c>
      <c r="AB532" s="352">
        <f>IF(NFI_Expiration=1,IF($A532&lt;VLOOKUP(K$5,NFI,5,0),1,0)*Table_NFI[[#This Row],[Mosquito net]],Table_NFI[Mosquito net])</f>
        <v>0</v>
      </c>
      <c r="AC532" s="352">
        <f>IF(NFI_Expiration=1,IF($A532&lt;VLOOKUP(L$5,NFI,5,0),1,0)*Table_NFI[[#This Row],[Tarpaulin]],Table_NFI[[#This Row],[Tarpaulin]])</f>
        <v>0</v>
      </c>
      <c r="AD532" s="352">
        <f>IF(NFI_Expiration=1,IF($A532&lt;VLOOKUP(M$5,NFI,5,0),1,0)*Table_NFI[[#This Row],[Blanket]],Table_NFI[[#This Row],[Blanket]])</f>
        <v>0</v>
      </c>
      <c r="AE532" s="352">
        <f>IF(NFI_Expiration=1,IF($A532&lt;VLOOKUP(N$5,NFI,5,0),1,0)*Table_NFI[[#This Row],[Kitchen Set]],Table_NFI[Kitchen Set])</f>
        <v>0</v>
      </c>
      <c r="AF532" s="352">
        <f>IF(NFI_Expiration=1,IF($A532&lt;VLOOKUP(O$5,NFI,5,0),1,0)*Table_NFI[[#This Row],[Clothes Kit]],Table_NFI[Clothes Kit])</f>
        <v>0</v>
      </c>
      <c r="AG532" s="352">
        <f>IF(NFI_Expiration=1,IF($A532&lt;VLOOKUP(P$5,NFI,5,0),1,0)*Table_NFI[[#This Row],[Plastic Bucket]],Table_NFI[Plastic Bucket])</f>
        <v>0</v>
      </c>
      <c r="AH532" s="352">
        <f>IF(NFI_Expiration=1,IF($A532&lt;VLOOKUP(Q$5,NFI,5,0),1,0)*Table_NFI[[#This Row],[Plastic Mat]],Table_NFI[Plastic Mat])*IF(Table_NFI[[#This Row],[Distribution Date]]&gt;"2014-04-01",1,2.5)</f>
        <v>0</v>
      </c>
      <c r="AI532" s="352">
        <f>IF(NFI_Expiration=1,IF($A532&lt;VLOOKUP(R$5,NFI,5,0),1,0)*Table_NFI[[#This Row],[Winter Clothes Adult]],Table_NFI[Winter Clothes Adult])</f>
        <v>0</v>
      </c>
      <c r="AJ532" s="352">
        <f>IF(NFI_Expiration=1,IF($A532&lt;VLOOKUP(S$5,NFI,5,0),1,0)*Table_NFI[[#This Row],[Winter Clothes Children]],Table_NFI[Winter Clothes Children])</f>
        <v>0</v>
      </c>
      <c r="AK532" s="352">
        <f>IF(NFI_Expiration=1,IF($A532&lt;VLOOKUP(T$5,NFI,5,0),1,0)*Table_NFI[[#This Row],[Winter Items Other]],Table_NFI[Winter Items Other])</f>
        <v>0</v>
      </c>
      <c r="AL532" s="352">
        <f>IF(NFI_Expiration=1,IF($A532&lt;VLOOKUP(M$5,NFI,5,0),1,0)*Table_NFI[[#This Row],[Winter Blanket]],Table_NFI[[#This Row],[Winter Blanket]])</f>
        <v>0</v>
      </c>
      <c r="AM532" s="352">
        <f>IF(Table_NFI[[#This Row],[Winter Clothes Adult]]+Table_NFI[[#This Row],[Winter Clothes Children]]+Table_NFI[[#This Row],[Winter Items Other]]+Table_NFI[[#This Row],[Winter Blanket]]&gt;0,1,0)</f>
        <v>0</v>
      </c>
      <c r="AN532" s="392">
        <f>IF(NFI_Expiration=1,IF($A532&lt;VLOOKUP(V$5,NFI,5,0),1,0)*Table_NFI[[#This Row],[Jerry Can]],Table_NFI[Jerry Can])</f>
        <v>0</v>
      </c>
      <c r="AO532" s="540" t="str">
        <f>IFERROR(VLOOKUP(Table_NFI[[#This Row],[Camp Name]],CL,2,0),"")</f>
        <v>MMR001CMP006</v>
      </c>
      <c r="AP532" s="535">
        <f ca="1">IF(Table_NFI[[#This Row],[Pcode]]="","",IF(OFFSET(CampList[Opening Date],MATCH(Table_NFI[[#This Row],[Pcode]],CampList[CP_Pcode],0)-1,0,1,1)&gt;=NFI_Monitor_Date,1,0))</f>
        <v>0</v>
      </c>
      <c r="AQ532" s="540" t="str">
        <f>IFERROR(VLOOKUP(Table_NFI[[#This Row],[Camp Name]],CL,3,0),"")</f>
        <v>Open</v>
      </c>
      <c r="AR532" s="352" t="str">
        <f ca="1">IF(Table_NFI[[#This Row],[Pcode]]="","",OFFSET(CampList[Priority],MATCH(Table_NFI[[#This Row],[Pcode]],CampList[CP_Pcode],0)-1,0,1,1))</f>
        <v>P4</v>
      </c>
      <c r="AS532" s="351">
        <f>IFERROR(Table_NFI[[#This Row],[Kitchen Set]]/VLOOKUP(Table_NFI[[#This Row],[Camp Name]],CL,4,0),"")</f>
        <v>0.17777777777777778</v>
      </c>
      <c r="AT532" s="533" t="s">
        <v>1094</v>
      </c>
      <c r="AU532" s="536"/>
    </row>
    <row r="533" spans="1:47" s="537" customFormat="1" ht="14.45" customHeight="1" x14ac:dyDescent="0.25">
      <c r="A533" s="355">
        <f t="shared" si="8"/>
        <v>36.4</v>
      </c>
      <c r="B533" s="532">
        <v>41479</v>
      </c>
      <c r="C533" s="533" t="s">
        <v>453</v>
      </c>
      <c r="D533" s="533" t="s">
        <v>461</v>
      </c>
      <c r="E533" s="533" t="s">
        <v>380</v>
      </c>
      <c r="F533" s="533" t="s">
        <v>237</v>
      </c>
      <c r="G533" s="348" t="s">
        <v>1247</v>
      </c>
      <c r="H533" s="349"/>
      <c r="I533" s="349"/>
      <c r="J533" s="349">
        <v>34</v>
      </c>
      <c r="K533" s="349">
        <v>46</v>
      </c>
      <c r="L533" s="350">
        <v>22</v>
      </c>
      <c r="M533" s="350">
        <v>46</v>
      </c>
      <c r="N533" s="350">
        <v>22</v>
      </c>
      <c r="O533" s="350">
        <v>22</v>
      </c>
      <c r="P533" s="352">
        <v>22</v>
      </c>
      <c r="Q533" s="352">
        <v>22</v>
      </c>
      <c r="R533" s="352"/>
      <c r="S533" s="352"/>
      <c r="T533" s="352"/>
      <c r="U533" s="352"/>
      <c r="V533" s="497"/>
      <c r="W533" s="352"/>
      <c r="X533" s="352"/>
      <c r="Y533" s="352">
        <f>IF(NFI_Expiration=1,IF($A533&lt;VLOOKUP(H$5,NFI,5,0),1,0)*Table_NFI[[#This Row],[Hygiene Kit]],Table_NFI[Hygiene Kit])</f>
        <v>0</v>
      </c>
      <c r="Z533" s="352">
        <f>IF(NFI_Expiration=1,IF($A533&lt;VLOOKUP(I$5,NFI,5,0),1,0)*Table_NFI[[#This Row],[NFI Core Kit]],Table_NFI[NFI Core Kit])</f>
        <v>0</v>
      </c>
      <c r="AA533" s="352">
        <f>IF(NFI_Expiration=1,IF($A533&lt;VLOOKUP(J$5,NFI,5,0),1,0)*Table_NFI[[#This Row],[Sanitary Kit]],Table_NFI[Sanitary Kit])</f>
        <v>0</v>
      </c>
      <c r="AB533" s="352">
        <f>IF(NFI_Expiration=1,IF($A533&lt;VLOOKUP(K$5,NFI,5,0),1,0)*Table_NFI[[#This Row],[Mosquito net]],Table_NFI[Mosquito net])</f>
        <v>0</v>
      </c>
      <c r="AC533" s="352">
        <f>IF(NFI_Expiration=1,IF($A533&lt;VLOOKUP(L$5,NFI,5,0),1,0)*Table_NFI[[#This Row],[Tarpaulin]],Table_NFI[[#This Row],[Tarpaulin]])</f>
        <v>0</v>
      </c>
      <c r="AD533" s="352">
        <f>IF(NFI_Expiration=1,IF($A533&lt;VLOOKUP(M$5,NFI,5,0),1,0)*Table_NFI[[#This Row],[Blanket]],Table_NFI[[#This Row],[Blanket]])</f>
        <v>0</v>
      </c>
      <c r="AE533" s="352">
        <f>IF(NFI_Expiration=1,IF($A533&lt;VLOOKUP(N$5,NFI,5,0),1,0)*Table_NFI[[#This Row],[Kitchen Set]],Table_NFI[Kitchen Set])</f>
        <v>0</v>
      </c>
      <c r="AF533" s="352">
        <f>IF(NFI_Expiration=1,IF($A533&lt;VLOOKUP(O$5,NFI,5,0),1,0)*Table_NFI[[#This Row],[Clothes Kit]],Table_NFI[Clothes Kit])</f>
        <v>0</v>
      </c>
      <c r="AG533" s="352">
        <f>IF(NFI_Expiration=1,IF($A533&lt;VLOOKUP(P$5,NFI,5,0),1,0)*Table_NFI[[#This Row],[Plastic Bucket]],Table_NFI[Plastic Bucket])</f>
        <v>0</v>
      </c>
      <c r="AH533" s="352">
        <f>IF(NFI_Expiration=1,IF($A533&lt;VLOOKUP(Q$5,NFI,5,0),1,0)*Table_NFI[[#This Row],[Plastic Mat]],Table_NFI[Plastic Mat])*IF(Table_NFI[[#This Row],[Distribution Date]]&gt;"2014-04-01",1,2.5)</f>
        <v>0</v>
      </c>
      <c r="AI533" s="352">
        <f>IF(NFI_Expiration=1,IF($A533&lt;VLOOKUP(R$5,NFI,5,0),1,0)*Table_NFI[[#This Row],[Winter Clothes Adult]],Table_NFI[Winter Clothes Adult])</f>
        <v>0</v>
      </c>
      <c r="AJ533" s="352">
        <f>IF(NFI_Expiration=1,IF($A533&lt;VLOOKUP(S$5,NFI,5,0),1,0)*Table_NFI[[#This Row],[Winter Clothes Children]],Table_NFI[Winter Clothes Children])</f>
        <v>0</v>
      </c>
      <c r="AK533" s="352">
        <f>IF(NFI_Expiration=1,IF($A533&lt;VLOOKUP(T$5,NFI,5,0),1,0)*Table_NFI[[#This Row],[Winter Items Other]],Table_NFI[Winter Items Other])</f>
        <v>0</v>
      </c>
      <c r="AL533" s="352">
        <f>IF(NFI_Expiration=1,IF($A533&lt;VLOOKUP(M$5,NFI,5,0),1,0)*Table_NFI[[#This Row],[Winter Blanket]],Table_NFI[[#This Row],[Winter Blanket]])</f>
        <v>0</v>
      </c>
      <c r="AM533" s="352">
        <f>IF(Table_NFI[[#This Row],[Winter Clothes Adult]]+Table_NFI[[#This Row],[Winter Clothes Children]]+Table_NFI[[#This Row],[Winter Items Other]]+Table_NFI[[#This Row],[Winter Blanket]]&gt;0,1,0)</f>
        <v>0</v>
      </c>
      <c r="AN533" s="392">
        <f>IF(NFI_Expiration=1,IF($A533&lt;VLOOKUP(V$5,NFI,5,0),1,0)*Table_NFI[[#This Row],[Jerry Can]],Table_NFI[Jerry Can])</f>
        <v>0</v>
      </c>
      <c r="AO533" s="540" t="str">
        <f>IFERROR(VLOOKUP(Table_NFI[[#This Row],[Camp Name]],CL,2,0),"")</f>
        <v>MMR001CMP023</v>
      </c>
      <c r="AP533" s="535">
        <f ca="1">IF(Table_NFI[[#This Row],[Pcode]]="","",IF(OFFSET(CampList[Opening Date],MATCH(Table_NFI[[#This Row],[Pcode]],CampList[CP_Pcode],0)-1,0,1,1)&gt;=NFI_Monitor_Date,1,0))</f>
        <v>0</v>
      </c>
      <c r="AQ533" s="540" t="str">
        <f>IFERROR(VLOOKUP(Table_NFI[[#This Row],[Camp Name]],CL,3,0),"")</f>
        <v>Open</v>
      </c>
      <c r="AR533" s="352" t="str">
        <f ca="1">IF(Table_NFI[[#This Row],[Pcode]]="","",OFFSET(CampList[Priority],MATCH(Table_NFI[[#This Row],[Pcode]],CampList[CP_Pcode],0)-1,0,1,1))</f>
        <v>P4</v>
      </c>
      <c r="AS533" s="351">
        <f>IFERROR(Table_NFI[[#This Row],[Kitchen Set]]/VLOOKUP(Table_NFI[[#This Row],[Camp Name]],CL,4,0),"")</f>
        <v>0.40740740740740738</v>
      </c>
      <c r="AT533" s="533" t="s">
        <v>1094</v>
      </c>
      <c r="AU533" s="536"/>
    </row>
    <row r="534" spans="1:47" s="537" customFormat="1" ht="14.45" customHeight="1" x14ac:dyDescent="0.25">
      <c r="A534" s="355">
        <f t="shared" si="8"/>
        <v>36.4</v>
      </c>
      <c r="B534" s="532">
        <v>41479</v>
      </c>
      <c r="C534" s="533" t="s">
        <v>453</v>
      </c>
      <c r="D534" s="533" t="s">
        <v>506</v>
      </c>
      <c r="E534" s="533" t="s">
        <v>380</v>
      </c>
      <c r="F534" s="348" t="s">
        <v>310</v>
      </c>
      <c r="G534" s="348" t="s">
        <v>316</v>
      </c>
      <c r="H534" s="349"/>
      <c r="I534" s="349"/>
      <c r="J534" s="349">
        <v>22</v>
      </c>
      <c r="K534" s="349">
        <v>32</v>
      </c>
      <c r="L534" s="352">
        <v>15</v>
      </c>
      <c r="M534" s="352">
        <v>32</v>
      </c>
      <c r="N534" s="352">
        <v>15</v>
      </c>
      <c r="O534" s="352">
        <v>15</v>
      </c>
      <c r="P534" s="352">
        <v>15</v>
      </c>
      <c r="Q534" s="352">
        <v>15</v>
      </c>
      <c r="R534" s="352"/>
      <c r="S534" s="352"/>
      <c r="T534" s="352"/>
      <c r="U534" s="352"/>
      <c r="V534" s="497"/>
      <c r="W534" s="352"/>
      <c r="X534" s="352"/>
      <c r="Y534" s="352">
        <f>IF(NFI_Expiration=1,IF($A534&lt;VLOOKUP(H$5,NFI,5,0),1,0)*Table_NFI[[#This Row],[Hygiene Kit]],Table_NFI[Hygiene Kit])</f>
        <v>0</v>
      </c>
      <c r="Z534" s="352">
        <f>IF(NFI_Expiration=1,IF($A534&lt;VLOOKUP(I$5,NFI,5,0),1,0)*Table_NFI[[#This Row],[NFI Core Kit]],Table_NFI[NFI Core Kit])</f>
        <v>0</v>
      </c>
      <c r="AA534" s="352">
        <f>IF(NFI_Expiration=1,IF($A534&lt;VLOOKUP(J$5,NFI,5,0),1,0)*Table_NFI[[#This Row],[Sanitary Kit]],Table_NFI[Sanitary Kit])</f>
        <v>0</v>
      </c>
      <c r="AB534" s="352">
        <f>IF(NFI_Expiration=1,IF($A534&lt;VLOOKUP(K$5,NFI,5,0),1,0)*Table_NFI[[#This Row],[Mosquito net]],Table_NFI[Mosquito net])</f>
        <v>0</v>
      </c>
      <c r="AC534" s="352">
        <f>IF(NFI_Expiration=1,IF($A534&lt;VLOOKUP(L$5,NFI,5,0),1,0)*Table_NFI[[#This Row],[Tarpaulin]],Table_NFI[[#This Row],[Tarpaulin]])</f>
        <v>0</v>
      </c>
      <c r="AD534" s="352">
        <f>IF(NFI_Expiration=1,IF($A534&lt;VLOOKUP(M$5,NFI,5,0),1,0)*Table_NFI[[#This Row],[Blanket]],Table_NFI[[#This Row],[Blanket]])</f>
        <v>0</v>
      </c>
      <c r="AE534" s="352">
        <f>IF(NFI_Expiration=1,IF($A534&lt;VLOOKUP(N$5,NFI,5,0),1,0)*Table_NFI[[#This Row],[Kitchen Set]],Table_NFI[Kitchen Set])</f>
        <v>0</v>
      </c>
      <c r="AF534" s="352">
        <f>IF(NFI_Expiration=1,IF($A534&lt;VLOOKUP(O$5,NFI,5,0),1,0)*Table_NFI[[#This Row],[Clothes Kit]],Table_NFI[Clothes Kit])</f>
        <v>0</v>
      </c>
      <c r="AG534" s="352">
        <f>IF(NFI_Expiration=1,IF($A534&lt;VLOOKUP(P$5,NFI,5,0),1,0)*Table_NFI[[#This Row],[Plastic Bucket]],Table_NFI[Plastic Bucket])</f>
        <v>0</v>
      </c>
      <c r="AH534" s="352">
        <f>IF(NFI_Expiration=1,IF($A534&lt;VLOOKUP(Q$5,NFI,5,0),1,0)*Table_NFI[[#This Row],[Plastic Mat]],Table_NFI[Plastic Mat])*IF(Table_NFI[[#This Row],[Distribution Date]]&gt;"2014-04-01",1,2.5)</f>
        <v>0</v>
      </c>
      <c r="AI534" s="352">
        <f>IF(NFI_Expiration=1,IF($A534&lt;VLOOKUP(R$5,NFI,5,0),1,0)*Table_NFI[[#This Row],[Winter Clothes Adult]],Table_NFI[Winter Clothes Adult])</f>
        <v>0</v>
      </c>
      <c r="AJ534" s="352">
        <f>IF(NFI_Expiration=1,IF($A534&lt;VLOOKUP(S$5,NFI,5,0),1,0)*Table_NFI[[#This Row],[Winter Clothes Children]],Table_NFI[Winter Clothes Children])</f>
        <v>0</v>
      </c>
      <c r="AK534" s="352">
        <f>IF(NFI_Expiration=1,IF($A534&lt;VLOOKUP(T$5,NFI,5,0),1,0)*Table_NFI[[#This Row],[Winter Items Other]],Table_NFI[Winter Items Other])</f>
        <v>0</v>
      </c>
      <c r="AL534" s="352">
        <f>IF(NFI_Expiration=1,IF($A534&lt;VLOOKUP(M$5,NFI,5,0),1,0)*Table_NFI[[#This Row],[Winter Blanket]],Table_NFI[[#This Row],[Winter Blanket]])</f>
        <v>0</v>
      </c>
      <c r="AM534" s="352">
        <f>IF(Table_NFI[[#This Row],[Winter Clothes Adult]]+Table_NFI[[#This Row],[Winter Clothes Children]]+Table_NFI[[#This Row],[Winter Items Other]]+Table_NFI[[#This Row],[Winter Blanket]]&gt;0,1,0)</f>
        <v>0</v>
      </c>
      <c r="AN534" s="392">
        <f>IF(NFI_Expiration=1,IF($A534&lt;VLOOKUP(V$5,NFI,5,0),1,0)*Table_NFI[[#This Row],[Jerry Can]],Table_NFI[Jerry Can])</f>
        <v>0</v>
      </c>
      <c r="AO534" s="540" t="str">
        <f>IFERROR(VLOOKUP(Table_NFI[[#This Row],[Camp Name]],CL,2,0),"")</f>
        <v>MMR001CMP038</v>
      </c>
      <c r="AP534" s="535">
        <f ca="1">IF(Table_NFI[[#This Row],[Pcode]]="","",IF(OFFSET(CampList[Opening Date],MATCH(Table_NFI[[#This Row],[Pcode]],CampList[CP_Pcode],0)-1,0,1,1)&gt;=NFI_Monitor_Date,1,0))</f>
        <v>0</v>
      </c>
      <c r="AQ534" s="540" t="str">
        <f>IFERROR(VLOOKUP(Table_NFI[[#This Row],[Camp Name]],CL,3,0),"")</f>
        <v>Open</v>
      </c>
      <c r="AR534" s="352" t="str">
        <f ca="1">IF(Table_NFI[[#This Row],[Pcode]]="","",OFFSET(CampList[Priority],MATCH(Table_NFI[[#This Row],[Pcode]],CampList[CP_Pcode],0)-1,0,1,1))</f>
        <v>P4</v>
      </c>
      <c r="AS534" s="351">
        <f>IFERROR(Table_NFI[[#This Row],[Kitchen Set]]/VLOOKUP(Table_NFI[[#This Row],[Camp Name]],CL,4,0),"")</f>
        <v>0.21428571428571427</v>
      </c>
      <c r="AT534" s="533" t="s">
        <v>1094</v>
      </c>
      <c r="AU534" s="536"/>
    </row>
    <row r="535" spans="1:47" s="537" customFormat="1" ht="14.45" hidden="1" customHeight="1" x14ac:dyDescent="0.25">
      <c r="A535" s="355">
        <f t="shared" si="8"/>
        <v>33</v>
      </c>
      <c r="B535" s="532">
        <v>41581</v>
      </c>
      <c r="C535" s="533" t="s">
        <v>902</v>
      </c>
      <c r="D535" s="534" t="s">
        <v>902</v>
      </c>
      <c r="E535" s="533" t="s">
        <v>380</v>
      </c>
      <c r="F535" s="348" t="s">
        <v>151</v>
      </c>
      <c r="G535" s="348" t="s">
        <v>152</v>
      </c>
      <c r="H535" s="349"/>
      <c r="I535" s="349"/>
      <c r="J535" s="349">
        <v>29</v>
      </c>
      <c r="K535" s="349"/>
      <c r="L535" s="350"/>
      <c r="M535" s="350"/>
      <c r="N535" s="350">
        <v>29</v>
      </c>
      <c r="O535" s="350"/>
      <c r="P535" s="352"/>
      <c r="Q535" s="352"/>
      <c r="R535" s="352"/>
      <c r="S535" s="352"/>
      <c r="T535" s="352"/>
      <c r="U535" s="352"/>
      <c r="V535" s="497"/>
      <c r="W535" s="352"/>
      <c r="X535" s="352"/>
      <c r="Y535" s="352">
        <f>IF(NFI_Expiration=1,IF($A535&lt;VLOOKUP(H$5,NFI,5,0),1,0)*Table_NFI[[#This Row],[Hygiene Kit]],Table_NFI[Hygiene Kit])</f>
        <v>0</v>
      </c>
      <c r="Z535" s="352">
        <f>IF(NFI_Expiration=1,IF($A535&lt;VLOOKUP(I$5,NFI,5,0),1,0)*Table_NFI[[#This Row],[NFI Core Kit]],Table_NFI[NFI Core Kit])</f>
        <v>0</v>
      </c>
      <c r="AA535" s="352">
        <f>IF(NFI_Expiration=1,IF($A535&lt;VLOOKUP(J$5,NFI,5,0),1,0)*Table_NFI[[#This Row],[Sanitary Kit]],Table_NFI[Sanitary Kit])</f>
        <v>0</v>
      </c>
      <c r="AB535" s="352">
        <f>IF(NFI_Expiration=1,IF($A535&lt;VLOOKUP(K$5,NFI,5,0),1,0)*Table_NFI[[#This Row],[Mosquito net]],Table_NFI[Mosquito net])</f>
        <v>0</v>
      </c>
      <c r="AC535" s="352">
        <f>IF(NFI_Expiration=1,IF($A535&lt;VLOOKUP(L$5,NFI,5,0),1,0)*Table_NFI[[#This Row],[Tarpaulin]],Table_NFI[[#This Row],[Tarpaulin]])</f>
        <v>0</v>
      </c>
      <c r="AD535" s="352">
        <f>IF(NFI_Expiration=1,IF($A535&lt;VLOOKUP(M$5,NFI,5,0),1,0)*Table_NFI[[#This Row],[Blanket]],Table_NFI[[#This Row],[Blanket]])</f>
        <v>0</v>
      </c>
      <c r="AE535" s="352">
        <f>IF(NFI_Expiration=1,IF($A535&lt;VLOOKUP(N$5,NFI,5,0),1,0)*Table_NFI[[#This Row],[Kitchen Set]],Table_NFI[Kitchen Set])</f>
        <v>0</v>
      </c>
      <c r="AF535" s="352">
        <f>IF(NFI_Expiration=1,IF($A535&lt;VLOOKUP(O$5,NFI,5,0),1,0)*Table_NFI[[#This Row],[Clothes Kit]],Table_NFI[Clothes Kit])</f>
        <v>0</v>
      </c>
      <c r="AG535" s="352">
        <f>IF(NFI_Expiration=1,IF($A535&lt;VLOOKUP(P$5,NFI,5,0),1,0)*Table_NFI[[#This Row],[Plastic Bucket]],Table_NFI[Plastic Bucket])</f>
        <v>0</v>
      </c>
      <c r="AH535" s="352">
        <f>IF(NFI_Expiration=1,IF($A535&lt;VLOOKUP(Q$5,NFI,5,0),1,0)*Table_NFI[[#This Row],[Plastic Mat]],Table_NFI[Plastic Mat])*IF(Table_NFI[[#This Row],[Distribution Date]]&gt;"2014-04-01",1,2.5)</f>
        <v>0</v>
      </c>
      <c r="AI535" s="352">
        <f>IF(NFI_Expiration=1,IF($A535&lt;VLOOKUP(R$5,NFI,5,0),1,0)*Table_NFI[[#This Row],[Winter Clothes Adult]],Table_NFI[Winter Clothes Adult])</f>
        <v>0</v>
      </c>
      <c r="AJ535" s="352">
        <f>IF(NFI_Expiration=1,IF($A535&lt;VLOOKUP(S$5,NFI,5,0),1,0)*Table_NFI[[#This Row],[Winter Clothes Children]],Table_NFI[Winter Clothes Children])</f>
        <v>0</v>
      </c>
      <c r="AK535" s="352">
        <f>IF(NFI_Expiration=1,IF($A535&lt;VLOOKUP(T$5,NFI,5,0),1,0)*Table_NFI[[#This Row],[Winter Items Other]],Table_NFI[Winter Items Other])</f>
        <v>0</v>
      </c>
      <c r="AL535" s="352">
        <f>IF(NFI_Expiration=1,IF($A535&lt;VLOOKUP(M$5,NFI,5,0),1,0)*Table_NFI[[#This Row],[Winter Blanket]],Table_NFI[[#This Row],[Winter Blanket]])</f>
        <v>0</v>
      </c>
      <c r="AM535" s="352">
        <f>IF(Table_NFI[[#This Row],[Winter Clothes Adult]]+Table_NFI[[#This Row],[Winter Clothes Children]]+Table_NFI[[#This Row],[Winter Items Other]]+Table_NFI[[#This Row],[Winter Blanket]]&gt;0,1,0)</f>
        <v>0</v>
      </c>
      <c r="AN535" s="392">
        <f>IF(NFI_Expiration=1,IF($A535&lt;VLOOKUP(V$5,NFI,5,0),1,0)*Table_NFI[[#This Row],[Jerry Can]],Table_NFI[Jerry Can])</f>
        <v>0</v>
      </c>
      <c r="AO535" s="540" t="str">
        <f>IFERROR(VLOOKUP(Table_NFI[[#This Row],[Camp Name]],CL,2,0),"")</f>
        <v>MMR001CMP066</v>
      </c>
      <c r="AP535" s="535">
        <f ca="1">IF(Table_NFI[[#This Row],[Pcode]]="","",IF(OFFSET(CampList[Opening Date],MATCH(Table_NFI[[#This Row],[Pcode]],CampList[CP_Pcode],0)-1,0,1,1)&gt;=NFI_Monitor_Date,1,0))</f>
        <v>0</v>
      </c>
      <c r="AQ535" s="540" t="str">
        <f>IFERROR(VLOOKUP(Table_NFI[[#This Row],[Camp Name]],CL,3,0),"")</f>
        <v>Open</v>
      </c>
      <c r="AR535" s="352" t="str">
        <f ca="1">IF(Table_NFI[[#This Row],[Pcode]]="","",OFFSET(CampList[Priority],MATCH(Table_NFI[[#This Row],[Pcode]],CampList[CP_Pcode],0)-1,0,1,1))</f>
        <v>P4</v>
      </c>
      <c r="AS535" s="351">
        <f>IFERROR(Table_NFI[[#This Row],[Kitchen Set]]/VLOOKUP(Table_NFI[[#This Row],[Camp Name]],CL,4,0),"")</f>
        <v>0.14795918367346939</v>
      </c>
      <c r="AT535" s="533" t="s">
        <v>1094</v>
      </c>
      <c r="AU535" s="536"/>
    </row>
    <row r="536" spans="1:47" s="537" customFormat="1" hidden="1" x14ac:dyDescent="0.25">
      <c r="A536" s="355">
        <f t="shared" si="8"/>
        <v>54.333333333333336</v>
      </c>
      <c r="B536" s="532">
        <v>40941</v>
      </c>
      <c r="C536" s="533" t="s">
        <v>907</v>
      </c>
      <c r="D536" s="534" t="s">
        <v>907</v>
      </c>
      <c r="E536" s="533" t="s">
        <v>380</v>
      </c>
      <c r="F536" s="348" t="s">
        <v>151</v>
      </c>
      <c r="G536" s="348" t="s">
        <v>152</v>
      </c>
      <c r="H536" s="352">
        <v>718</v>
      </c>
      <c r="I536" s="349"/>
      <c r="J536" s="349"/>
      <c r="K536" s="349"/>
      <c r="L536" s="350"/>
      <c r="M536" s="350"/>
      <c r="N536" s="350"/>
      <c r="O536" s="350"/>
      <c r="P536" s="352"/>
      <c r="Q536" s="392"/>
      <c r="R536" s="392"/>
      <c r="S536" s="392"/>
      <c r="T536" s="392"/>
      <c r="U536" s="392"/>
      <c r="V536" s="497"/>
      <c r="W536" s="392"/>
      <c r="X536" s="392"/>
      <c r="Y536" s="352">
        <f>IF(NFI_Expiration=1,IF($A536&lt;VLOOKUP(H$5,NFI,5,0),1,0)*Table_NFI[[#This Row],[Hygiene Kit]],Table_NFI[Hygiene Kit])</f>
        <v>0</v>
      </c>
      <c r="Z536" s="352">
        <f>IF(NFI_Expiration=1,IF($A536&lt;VLOOKUP(I$5,NFI,5,0),1,0)*Table_NFI[[#This Row],[NFI Core Kit]],Table_NFI[NFI Core Kit])</f>
        <v>0</v>
      </c>
      <c r="AA536" s="352">
        <f>IF(NFI_Expiration=1,IF($A536&lt;VLOOKUP(J$5,NFI,5,0),1,0)*Table_NFI[[#This Row],[Sanitary Kit]],Table_NFI[Sanitary Kit])</f>
        <v>0</v>
      </c>
      <c r="AB536" s="352">
        <f>IF(NFI_Expiration=1,IF($A536&lt;VLOOKUP(K$5,NFI,5,0),1,0)*Table_NFI[[#This Row],[Mosquito net]],Table_NFI[Mosquito net])</f>
        <v>0</v>
      </c>
      <c r="AC536" s="352">
        <f>IF(NFI_Expiration=1,IF($A536&lt;VLOOKUP(L$5,NFI,5,0),1,0)*Table_NFI[[#This Row],[Tarpaulin]],Table_NFI[[#This Row],[Tarpaulin]])</f>
        <v>0</v>
      </c>
      <c r="AD536" s="352">
        <f>IF(NFI_Expiration=1,IF($A536&lt;VLOOKUP(M$5,NFI,5,0),1,0)*Table_NFI[[#This Row],[Blanket]],Table_NFI[[#This Row],[Blanket]])</f>
        <v>0</v>
      </c>
      <c r="AE536" s="352">
        <f>IF(NFI_Expiration=1,IF($A536&lt;VLOOKUP(N$5,NFI,5,0),1,0)*Table_NFI[[#This Row],[Kitchen Set]],Table_NFI[Kitchen Set])</f>
        <v>0</v>
      </c>
      <c r="AF536" s="352">
        <f>IF(NFI_Expiration=1,IF($A536&lt;VLOOKUP(O$5,NFI,5,0),1,0)*Table_NFI[[#This Row],[Clothes Kit]],Table_NFI[Clothes Kit])</f>
        <v>0</v>
      </c>
      <c r="AG536" s="352">
        <f>IF(NFI_Expiration=1,IF($A536&lt;VLOOKUP(P$5,NFI,5,0),1,0)*Table_NFI[[#This Row],[Plastic Bucket]],Table_NFI[Plastic Bucket])</f>
        <v>0</v>
      </c>
      <c r="AH536" s="352">
        <f>IF(NFI_Expiration=1,IF($A536&lt;VLOOKUP(Q$5,NFI,5,0),1,0)*Table_NFI[[#This Row],[Plastic Mat]],Table_NFI[Plastic Mat])*IF(Table_NFI[[#This Row],[Distribution Date]]&gt;"2014-04-01",1,2.5)</f>
        <v>0</v>
      </c>
      <c r="AI536" s="352">
        <f>IF(NFI_Expiration=1,IF($A536&lt;VLOOKUP(R$5,NFI,5,0),1,0)*Table_NFI[[#This Row],[Winter Clothes Adult]],Table_NFI[Winter Clothes Adult])</f>
        <v>0</v>
      </c>
      <c r="AJ536" s="352">
        <f>IF(NFI_Expiration=1,IF($A536&lt;VLOOKUP(S$5,NFI,5,0),1,0)*Table_NFI[[#This Row],[Winter Clothes Children]],Table_NFI[Winter Clothes Children])</f>
        <v>0</v>
      </c>
      <c r="AK536" s="352">
        <f>IF(NFI_Expiration=1,IF($A536&lt;VLOOKUP(T$5,NFI,5,0),1,0)*Table_NFI[[#This Row],[Winter Items Other]],Table_NFI[Winter Items Other])</f>
        <v>0</v>
      </c>
      <c r="AL536" s="352">
        <f>IF(NFI_Expiration=1,IF($A536&lt;VLOOKUP(M$5,NFI,5,0),1,0)*Table_NFI[[#This Row],[Winter Blanket]],Table_NFI[[#This Row],[Winter Blanket]])</f>
        <v>0</v>
      </c>
      <c r="AM536" s="352">
        <f>IF(Table_NFI[[#This Row],[Winter Clothes Adult]]+Table_NFI[[#This Row],[Winter Clothes Children]]+Table_NFI[[#This Row],[Winter Items Other]]+Table_NFI[[#This Row],[Winter Blanket]]&gt;0,1,0)</f>
        <v>0</v>
      </c>
      <c r="AN536" s="392">
        <f>IF(NFI_Expiration=1,IF($A536&lt;VLOOKUP(V$5,NFI,5,0),1,0)*Table_NFI[[#This Row],[Jerry Can]],Table_NFI[Jerry Can])</f>
        <v>0</v>
      </c>
      <c r="AO536" s="540" t="str">
        <f>IFERROR(VLOOKUP(Table_NFI[[#This Row],[Camp Name]],CL,2,0),"")</f>
        <v>MMR001CMP066</v>
      </c>
      <c r="AP536" s="535">
        <f ca="1">IF(Table_NFI[[#This Row],[Pcode]]="","",IF(OFFSET(CampList[Opening Date],MATCH(Table_NFI[[#This Row],[Pcode]],CampList[CP_Pcode],0)-1,0,1,1)&gt;=NFI_Monitor_Date,1,0))</f>
        <v>0</v>
      </c>
      <c r="AQ536" s="540" t="str">
        <f>IFERROR(VLOOKUP(Table_NFI[[#This Row],[Camp Name]],CL,3,0),"")</f>
        <v>Open</v>
      </c>
      <c r="AR536" s="352" t="str">
        <f ca="1">IF(Table_NFI[[#This Row],[Pcode]]="","",OFFSET(CampList[Priority],MATCH(Table_NFI[[#This Row],[Pcode]],CampList[CP_Pcode],0)-1,0,1,1))</f>
        <v>P4</v>
      </c>
      <c r="AS536" s="351">
        <f>IFERROR(Table_NFI[[#This Row],[Kitchen Set]]/VLOOKUP(Table_NFI[[#This Row],[Camp Name]],CL,4,0),"")</f>
        <v>0</v>
      </c>
      <c r="AT536" s="533"/>
      <c r="AU536" s="536"/>
    </row>
    <row r="537" spans="1:47" s="537" customFormat="1" hidden="1" x14ac:dyDescent="0.25">
      <c r="A537" s="355">
        <f t="shared" si="8"/>
        <v>43.033333333333331</v>
      </c>
      <c r="B537" s="532">
        <v>41280</v>
      </c>
      <c r="C537" s="533" t="s">
        <v>907</v>
      </c>
      <c r="D537" s="534" t="s">
        <v>907</v>
      </c>
      <c r="E537" s="533" t="s">
        <v>380</v>
      </c>
      <c r="F537" s="348" t="s">
        <v>151</v>
      </c>
      <c r="G537" s="348" t="s">
        <v>152</v>
      </c>
      <c r="H537" s="349">
        <v>351</v>
      </c>
      <c r="I537" s="349"/>
      <c r="J537" s="349"/>
      <c r="K537" s="349"/>
      <c r="L537" s="350"/>
      <c r="M537" s="350"/>
      <c r="N537" s="350"/>
      <c r="O537" s="350"/>
      <c r="P537" s="352">
        <v>0</v>
      </c>
      <c r="Q537" s="352">
        <v>0</v>
      </c>
      <c r="R537" s="352"/>
      <c r="S537" s="352"/>
      <c r="T537" s="352"/>
      <c r="U537" s="352"/>
      <c r="V537" s="497"/>
      <c r="W537" s="352"/>
      <c r="X537" s="352"/>
      <c r="Y537" s="352">
        <f>IF(NFI_Expiration=1,IF($A537&lt;VLOOKUP(H$5,NFI,5,0),1,0)*Table_NFI[[#This Row],[Hygiene Kit]],Table_NFI[Hygiene Kit])</f>
        <v>0</v>
      </c>
      <c r="Z537" s="352">
        <f>IF(NFI_Expiration=1,IF($A537&lt;VLOOKUP(I$5,NFI,5,0),1,0)*Table_NFI[[#This Row],[NFI Core Kit]],Table_NFI[NFI Core Kit])</f>
        <v>0</v>
      </c>
      <c r="AA537" s="352">
        <f>IF(NFI_Expiration=1,IF($A537&lt;VLOOKUP(J$5,NFI,5,0),1,0)*Table_NFI[[#This Row],[Sanitary Kit]],Table_NFI[Sanitary Kit])</f>
        <v>0</v>
      </c>
      <c r="AB537" s="352">
        <f>IF(NFI_Expiration=1,IF($A537&lt;VLOOKUP(K$5,NFI,5,0),1,0)*Table_NFI[[#This Row],[Mosquito net]],Table_NFI[Mosquito net])</f>
        <v>0</v>
      </c>
      <c r="AC537" s="352">
        <f>IF(NFI_Expiration=1,IF($A537&lt;VLOOKUP(L$5,NFI,5,0),1,0)*Table_NFI[[#This Row],[Tarpaulin]],Table_NFI[[#This Row],[Tarpaulin]])</f>
        <v>0</v>
      </c>
      <c r="AD537" s="352">
        <f>IF(NFI_Expiration=1,IF($A537&lt;VLOOKUP(M$5,NFI,5,0),1,0)*Table_NFI[[#This Row],[Blanket]],Table_NFI[[#This Row],[Blanket]])</f>
        <v>0</v>
      </c>
      <c r="AE537" s="352">
        <f>IF(NFI_Expiration=1,IF($A537&lt;VLOOKUP(N$5,NFI,5,0),1,0)*Table_NFI[[#This Row],[Kitchen Set]],Table_NFI[Kitchen Set])</f>
        <v>0</v>
      </c>
      <c r="AF537" s="352">
        <f>IF(NFI_Expiration=1,IF($A537&lt;VLOOKUP(O$5,NFI,5,0),1,0)*Table_NFI[[#This Row],[Clothes Kit]],Table_NFI[Clothes Kit])</f>
        <v>0</v>
      </c>
      <c r="AG537" s="352">
        <f>IF(NFI_Expiration=1,IF($A537&lt;VLOOKUP(P$5,NFI,5,0),1,0)*Table_NFI[[#This Row],[Plastic Bucket]],Table_NFI[Plastic Bucket])</f>
        <v>0</v>
      </c>
      <c r="AH537" s="352">
        <f>IF(NFI_Expiration=1,IF($A537&lt;VLOOKUP(Q$5,NFI,5,0),1,0)*Table_NFI[[#This Row],[Plastic Mat]],Table_NFI[Plastic Mat])*IF(Table_NFI[[#This Row],[Distribution Date]]&gt;"2014-04-01",1,2.5)</f>
        <v>0</v>
      </c>
      <c r="AI537" s="352">
        <f>IF(NFI_Expiration=1,IF($A537&lt;VLOOKUP(R$5,NFI,5,0),1,0)*Table_NFI[[#This Row],[Winter Clothes Adult]],Table_NFI[Winter Clothes Adult])</f>
        <v>0</v>
      </c>
      <c r="AJ537" s="352">
        <f>IF(NFI_Expiration=1,IF($A537&lt;VLOOKUP(S$5,NFI,5,0),1,0)*Table_NFI[[#This Row],[Winter Clothes Children]],Table_NFI[Winter Clothes Children])</f>
        <v>0</v>
      </c>
      <c r="AK537" s="352">
        <f>IF(NFI_Expiration=1,IF($A537&lt;VLOOKUP(T$5,NFI,5,0),1,0)*Table_NFI[[#This Row],[Winter Items Other]],Table_NFI[Winter Items Other])</f>
        <v>0</v>
      </c>
      <c r="AL537" s="352">
        <f>IF(NFI_Expiration=1,IF($A537&lt;VLOOKUP(M$5,NFI,5,0),1,0)*Table_NFI[[#This Row],[Winter Blanket]],Table_NFI[[#This Row],[Winter Blanket]])</f>
        <v>0</v>
      </c>
      <c r="AM537" s="352">
        <f>IF(Table_NFI[[#This Row],[Winter Clothes Adult]]+Table_NFI[[#This Row],[Winter Clothes Children]]+Table_NFI[[#This Row],[Winter Items Other]]+Table_NFI[[#This Row],[Winter Blanket]]&gt;0,1,0)</f>
        <v>0</v>
      </c>
      <c r="AN537" s="392">
        <f>IF(NFI_Expiration=1,IF($A537&lt;VLOOKUP(V$5,NFI,5,0),1,0)*Table_NFI[[#This Row],[Jerry Can]],Table_NFI[Jerry Can])</f>
        <v>0</v>
      </c>
      <c r="AO537" s="540" t="str">
        <f>IFERROR(VLOOKUP(Table_NFI[[#This Row],[Camp Name]],CL,2,0),"")</f>
        <v>MMR001CMP066</v>
      </c>
      <c r="AP537" s="535">
        <f ca="1">IF(Table_NFI[[#This Row],[Pcode]]="","",IF(OFFSET(CampList[Opening Date],MATCH(Table_NFI[[#This Row],[Pcode]],CampList[CP_Pcode],0)-1,0,1,1)&gt;=NFI_Monitor_Date,1,0))</f>
        <v>0</v>
      </c>
      <c r="AQ537" s="540" t="str">
        <f>IFERROR(VLOOKUP(Table_NFI[[#This Row],[Camp Name]],CL,3,0),"")</f>
        <v>Open</v>
      </c>
      <c r="AR537" s="352" t="str">
        <f ca="1">IF(Table_NFI[[#This Row],[Pcode]]="","",OFFSET(CampList[Priority],MATCH(Table_NFI[[#This Row],[Pcode]],CampList[CP_Pcode],0)-1,0,1,1))</f>
        <v>P4</v>
      </c>
      <c r="AS537" s="351">
        <f>IFERROR(Table_NFI[[#This Row],[Kitchen Set]]/VLOOKUP(Table_NFI[[#This Row],[Camp Name]],CL,4,0),"")</f>
        <v>0</v>
      </c>
      <c r="AT537" s="533" t="s">
        <v>1094</v>
      </c>
      <c r="AU537" s="536"/>
    </row>
    <row r="538" spans="1:47" s="537" customFormat="1" ht="14.45" customHeight="1" x14ac:dyDescent="0.25">
      <c r="A538" s="355">
        <f t="shared" si="8"/>
        <v>36.666666666666664</v>
      </c>
      <c r="B538" s="532">
        <v>41471</v>
      </c>
      <c r="C538" s="533" t="s">
        <v>453</v>
      </c>
      <c r="D538" s="534" t="s">
        <v>506</v>
      </c>
      <c r="E538" s="533" t="s">
        <v>380</v>
      </c>
      <c r="F538" s="348" t="s">
        <v>237</v>
      </c>
      <c r="G538" s="348" t="s">
        <v>1247</v>
      </c>
      <c r="H538" s="349"/>
      <c r="I538" s="349"/>
      <c r="J538" s="349">
        <v>55</v>
      </c>
      <c r="K538" s="349">
        <v>74</v>
      </c>
      <c r="L538" s="350">
        <v>31</v>
      </c>
      <c r="M538" s="350">
        <v>74</v>
      </c>
      <c r="N538" s="350">
        <v>31</v>
      </c>
      <c r="O538" s="350">
        <v>31</v>
      </c>
      <c r="P538" s="352">
        <v>31</v>
      </c>
      <c r="Q538" s="352">
        <v>31</v>
      </c>
      <c r="R538" s="352"/>
      <c r="S538" s="352"/>
      <c r="T538" s="352"/>
      <c r="U538" s="352"/>
      <c r="V538" s="497"/>
      <c r="W538" s="352"/>
      <c r="X538" s="352"/>
      <c r="Y538" s="352">
        <f>IF(NFI_Expiration=1,IF($A538&lt;VLOOKUP(H$5,NFI,5,0),1,0)*Table_NFI[[#This Row],[Hygiene Kit]],Table_NFI[Hygiene Kit])</f>
        <v>0</v>
      </c>
      <c r="Z538" s="352">
        <f>IF(NFI_Expiration=1,IF($A538&lt;VLOOKUP(I$5,NFI,5,0),1,0)*Table_NFI[[#This Row],[NFI Core Kit]],Table_NFI[NFI Core Kit])</f>
        <v>0</v>
      </c>
      <c r="AA538" s="352">
        <f>IF(NFI_Expiration=1,IF($A538&lt;VLOOKUP(J$5,NFI,5,0),1,0)*Table_NFI[[#This Row],[Sanitary Kit]],Table_NFI[Sanitary Kit])</f>
        <v>0</v>
      </c>
      <c r="AB538" s="352">
        <f>IF(NFI_Expiration=1,IF($A538&lt;VLOOKUP(K$5,NFI,5,0),1,0)*Table_NFI[[#This Row],[Mosquito net]],Table_NFI[Mosquito net])</f>
        <v>0</v>
      </c>
      <c r="AC538" s="352">
        <f>IF(NFI_Expiration=1,IF($A538&lt;VLOOKUP(L$5,NFI,5,0),1,0)*Table_NFI[[#This Row],[Tarpaulin]],Table_NFI[[#This Row],[Tarpaulin]])</f>
        <v>0</v>
      </c>
      <c r="AD538" s="352">
        <f>IF(NFI_Expiration=1,IF($A538&lt;VLOOKUP(M$5,NFI,5,0),1,0)*Table_NFI[[#This Row],[Blanket]],Table_NFI[[#This Row],[Blanket]])</f>
        <v>0</v>
      </c>
      <c r="AE538" s="352">
        <f>IF(NFI_Expiration=1,IF($A538&lt;VLOOKUP(N$5,NFI,5,0),1,0)*Table_NFI[[#This Row],[Kitchen Set]],Table_NFI[Kitchen Set])</f>
        <v>0</v>
      </c>
      <c r="AF538" s="352">
        <f>IF(NFI_Expiration=1,IF($A538&lt;VLOOKUP(O$5,NFI,5,0),1,0)*Table_NFI[[#This Row],[Clothes Kit]],Table_NFI[Clothes Kit])</f>
        <v>0</v>
      </c>
      <c r="AG538" s="352">
        <f>IF(NFI_Expiration=1,IF($A538&lt;VLOOKUP(P$5,NFI,5,0),1,0)*Table_NFI[[#This Row],[Plastic Bucket]],Table_NFI[Plastic Bucket])</f>
        <v>0</v>
      </c>
      <c r="AH538" s="352">
        <f>IF(NFI_Expiration=1,IF($A538&lt;VLOOKUP(Q$5,NFI,5,0),1,0)*Table_NFI[[#This Row],[Plastic Mat]],Table_NFI[Plastic Mat])*IF(Table_NFI[[#This Row],[Distribution Date]]&gt;"2014-04-01",1,2.5)</f>
        <v>0</v>
      </c>
      <c r="AI538" s="352">
        <f>IF(NFI_Expiration=1,IF($A538&lt;VLOOKUP(R$5,NFI,5,0),1,0)*Table_NFI[[#This Row],[Winter Clothes Adult]],Table_NFI[Winter Clothes Adult])</f>
        <v>0</v>
      </c>
      <c r="AJ538" s="352">
        <f>IF(NFI_Expiration=1,IF($A538&lt;VLOOKUP(S$5,NFI,5,0),1,0)*Table_NFI[[#This Row],[Winter Clothes Children]],Table_NFI[Winter Clothes Children])</f>
        <v>0</v>
      </c>
      <c r="AK538" s="352">
        <f>IF(NFI_Expiration=1,IF($A538&lt;VLOOKUP(T$5,NFI,5,0),1,0)*Table_NFI[[#This Row],[Winter Items Other]],Table_NFI[Winter Items Other])</f>
        <v>0</v>
      </c>
      <c r="AL538" s="352">
        <f>IF(NFI_Expiration=1,IF($A538&lt;VLOOKUP(M$5,NFI,5,0),1,0)*Table_NFI[[#This Row],[Winter Blanket]],Table_NFI[[#This Row],[Winter Blanket]])</f>
        <v>0</v>
      </c>
      <c r="AM538" s="352">
        <f>IF(Table_NFI[[#This Row],[Winter Clothes Adult]]+Table_NFI[[#This Row],[Winter Clothes Children]]+Table_NFI[[#This Row],[Winter Items Other]]+Table_NFI[[#This Row],[Winter Blanket]]&gt;0,1,0)</f>
        <v>0</v>
      </c>
      <c r="AN538" s="392">
        <f>IF(NFI_Expiration=1,IF($A538&lt;VLOOKUP(V$5,NFI,5,0),1,0)*Table_NFI[[#This Row],[Jerry Can]],Table_NFI[Jerry Can])</f>
        <v>0</v>
      </c>
      <c r="AO538" s="540" t="str">
        <f>IFERROR(VLOOKUP(Table_NFI[[#This Row],[Camp Name]],CL,2,0),"")</f>
        <v>MMR001CMP023</v>
      </c>
      <c r="AP538" s="535">
        <f ca="1">IF(Table_NFI[[#This Row],[Pcode]]="","",IF(OFFSET(CampList[Opening Date],MATCH(Table_NFI[[#This Row],[Pcode]],CampList[CP_Pcode],0)-1,0,1,1)&gt;=NFI_Monitor_Date,1,0))</f>
        <v>0</v>
      </c>
      <c r="AQ538" s="540" t="str">
        <f>IFERROR(VLOOKUP(Table_NFI[[#This Row],[Camp Name]],CL,3,0),"")</f>
        <v>Open</v>
      </c>
      <c r="AR538" s="352" t="str">
        <f ca="1">IF(Table_NFI[[#This Row],[Pcode]]="","",OFFSET(CampList[Priority],MATCH(Table_NFI[[#This Row],[Pcode]],CampList[CP_Pcode],0)-1,0,1,1))</f>
        <v>P4</v>
      </c>
      <c r="AS538" s="351">
        <f>IFERROR(Table_NFI[[#This Row],[Kitchen Set]]/VLOOKUP(Table_NFI[[#This Row],[Camp Name]],CL,4,0),"")</f>
        <v>0.57407407407407407</v>
      </c>
      <c r="AT538" s="533" t="s">
        <v>1094</v>
      </c>
      <c r="AU538" s="536"/>
    </row>
    <row r="539" spans="1:47" s="537" customFormat="1" ht="14.45" customHeight="1" x14ac:dyDescent="0.25">
      <c r="A539" s="355">
        <f t="shared" si="8"/>
        <v>37.200000000000003</v>
      </c>
      <c r="B539" s="532">
        <v>41455</v>
      </c>
      <c r="C539" s="533" t="s">
        <v>453</v>
      </c>
      <c r="D539" s="533"/>
      <c r="E539" s="533" t="s">
        <v>380</v>
      </c>
      <c r="F539" s="533" t="s">
        <v>151</v>
      </c>
      <c r="G539" s="533" t="s">
        <v>886</v>
      </c>
      <c r="H539" s="349"/>
      <c r="I539" s="349"/>
      <c r="J539" s="349"/>
      <c r="K539" s="349"/>
      <c r="L539" s="350"/>
      <c r="M539" s="350">
        <v>9</v>
      </c>
      <c r="N539" s="350"/>
      <c r="O539" s="350"/>
      <c r="P539" s="352">
        <v>19</v>
      </c>
      <c r="Q539" s="352">
        <v>1</v>
      </c>
      <c r="R539" s="352"/>
      <c r="S539" s="352"/>
      <c r="T539" s="352"/>
      <c r="U539" s="352"/>
      <c r="V539" s="497"/>
      <c r="W539" s="352"/>
      <c r="X539" s="352"/>
      <c r="Y539" s="352">
        <f>IF(NFI_Expiration=1,IF($A539&lt;VLOOKUP(H$5,NFI,5,0),1,0)*Table_NFI[[#This Row],[Hygiene Kit]],Table_NFI[Hygiene Kit])</f>
        <v>0</v>
      </c>
      <c r="Z539" s="352">
        <f>IF(NFI_Expiration=1,IF($A539&lt;VLOOKUP(I$5,NFI,5,0),1,0)*Table_NFI[[#This Row],[NFI Core Kit]],Table_NFI[NFI Core Kit])</f>
        <v>0</v>
      </c>
      <c r="AA539" s="352">
        <f>IF(NFI_Expiration=1,IF($A539&lt;VLOOKUP(J$5,NFI,5,0),1,0)*Table_NFI[[#This Row],[Sanitary Kit]],Table_NFI[Sanitary Kit])</f>
        <v>0</v>
      </c>
      <c r="AB539" s="352">
        <f>IF(NFI_Expiration=1,IF($A539&lt;VLOOKUP(K$5,NFI,5,0),1,0)*Table_NFI[[#This Row],[Mosquito net]],Table_NFI[Mosquito net])</f>
        <v>0</v>
      </c>
      <c r="AC539" s="352">
        <f>IF(NFI_Expiration=1,IF($A539&lt;VLOOKUP(L$5,NFI,5,0),1,0)*Table_NFI[[#This Row],[Tarpaulin]],Table_NFI[[#This Row],[Tarpaulin]])</f>
        <v>0</v>
      </c>
      <c r="AD539" s="352">
        <f>IF(NFI_Expiration=1,IF($A539&lt;VLOOKUP(M$5,NFI,5,0),1,0)*Table_NFI[[#This Row],[Blanket]],Table_NFI[[#This Row],[Blanket]])</f>
        <v>0</v>
      </c>
      <c r="AE539" s="352">
        <f>IF(NFI_Expiration=1,IF($A539&lt;VLOOKUP(N$5,NFI,5,0),1,0)*Table_NFI[[#This Row],[Kitchen Set]],Table_NFI[Kitchen Set])</f>
        <v>0</v>
      </c>
      <c r="AF539" s="352">
        <f>IF(NFI_Expiration=1,IF($A539&lt;VLOOKUP(O$5,NFI,5,0),1,0)*Table_NFI[[#This Row],[Clothes Kit]],Table_NFI[Clothes Kit])</f>
        <v>0</v>
      </c>
      <c r="AG539" s="352">
        <f>IF(NFI_Expiration=1,IF($A539&lt;VLOOKUP(P$5,NFI,5,0),1,0)*Table_NFI[[#This Row],[Plastic Bucket]],Table_NFI[Plastic Bucket])</f>
        <v>0</v>
      </c>
      <c r="AH539" s="352">
        <f>IF(NFI_Expiration=1,IF($A539&lt;VLOOKUP(Q$5,NFI,5,0),1,0)*Table_NFI[[#This Row],[Plastic Mat]],Table_NFI[Plastic Mat])*IF(Table_NFI[[#This Row],[Distribution Date]]&gt;"2014-04-01",1,2.5)</f>
        <v>0</v>
      </c>
      <c r="AI539" s="352">
        <f>IF(NFI_Expiration=1,IF($A539&lt;VLOOKUP(R$5,NFI,5,0),1,0)*Table_NFI[[#This Row],[Winter Clothes Adult]],Table_NFI[Winter Clothes Adult])</f>
        <v>0</v>
      </c>
      <c r="AJ539" s="352">
        <f>IF(NFI_Expiration=1,IF($A539&lt;VLOOKUP(S$5,NFI,5,0),1,0)*Table_NFI[[#This Row],[Winter Clothes Children]],Table_NFI[Winter Clothes Children])</f>
        <v>0</v>
      </c>
      <c r="AK539" s="352">
        <f>IF(NFI_Expiration=1,IF($A539&lt;VLOOKUP(T$5,NFI,5,0),1,0)*Table_NFI[[#This Row],[Winter Items Other]],Table_NFI[Winter Items Other])</f>
        <v>0</v>
      </c>
      <c r="AL539" s="352">
        <f>IF(NFI_Expiration=1,IF($A539&lt;VLOOKUP(M$5,NFI,5,0),1,0)*Table_NFI[[#This Row],[Winter Blanket]],Table_NFI[[#This Row],[Winter Blanket]])</f>
        <v>0</v>
      </c>
      <c r="AM539" s="352">
        <f>IF(Table_NFI[[#This Row],[Winter Clothes Adult]]+Table_NFI[[#This Row],[Winter Clothes Children]]+Table_NFI[[#This Row],[Winter Items Other]]+Table_NFI[[#This Row],[Winter Blanket]]&gt;0,1,0)</f>
        <v>0</v>
      </c>
      <c r="AN539" s="392">
        <f>IF(NFI_Expiration=1,IF($A539&lt;VLOOKUP(V$5,NFI,5,0),1,0)*Table_NFI[[#This Row],[Jerry Can]],Table_NFI[Jerry Can])</f>
        <v>0</v>
      </c>
      <c r="AO539" s="540" t="str">
        <f>IFERROR(VLOOKUP(Table_NFI[[#This Row],[Camp Name]],CL,2,0),"")</f>
        <v>MMR001CMP218</v>
      </c>
      <c r="AP539" s="535">
        <f ca="1">IF(Table_NFI[[#This Row],[Pcode]]="","",IF(OFFSET(CampList[Opening Date],MATCH(Table_NFI[[#This Row],[Pcode]],CampList[CP_Pcode],0)-1,0,1,1)&gt;=NFI_Monitor_Date,1,0))</f>
        <v>0</v>
      </c>
      <c r="AQ539" s="540" t="str">
        <f>IFERROR(VLOOKUP(Table_NFI[[#This Row],[Camp Name]],CL,3,0),"")</f>
        <v>Open</v>
      </c>
      <c r="AR539" s="352" t="str">
        <f ca="1">IF(Table_NFI[[#This Row],[Pcode]]="","",OFFSET(CampList[Priority],MATCH(Table_NFI[[#This Row],[Pcode]],CampList[CP_Pcode],0)-1,0,1,1))</f>
        <v>P4</v>
      </c>
      <c r="AS539" s="351">
        <f>IFERROR(Table_NFI[[#This Row],[Kitchen Set]]/VLOOKUP(Table_NFI[[#This Row],[Camp Name]],CL,4,0),"")</f>
        <v>0</v>
      </c>
      <c r="AT539" s="533"/>
      <c r="AU539" s="536"/>
    </row>
    <row r="540" spans="1:47" s="537" customFormat="1" ht="14.45" customHeight="1" x14ac:dyDescent="0.25">
      <c r="A540" s="355">
        <f t="shared" si="8"/>
        <v>37.200000000000003</v>
      </c>
      <c r="B540" s="532">
        <v>41455</v>
      </c>
      <c r="C540" s="533" t="s">
        <v>453</v>
      </c>
      <c r="D540" s="533"/>
      <c r="E540" s="533" t="s">
        <v>380</v>
      </c>
      <c r="F540" s="533" t="s">
        <v>151</v>
      </c>
      <c r="G540" s="533" t="s">
        <v>944</v>
      </c>
      <c r="H540" s="349"/>
      <c r="I540" s="349"/>
      <c r="J540" s="349"/>
      <c r="K540" s="349">
        <v>50</v>
      </c>
      <c r="L540" s="350">
        <v>15</v>
      </c>
      <c r="M540" s="350"/>
      <c r="N540" s="350">
        <v>15</v>
      </c>
      <c r="O540" s="350"/>
      <c r="P540" s="352">
        <v>15</v>
      </c>
      <c r="Q540" s="352">
        <v>60</v>
      </c>
      <c r="R540" s="352"/>
      <c r="S540" s="352"/>
      <c r="T540" s="352"/>
      <c r="U540" s="352"/>
      <c r="V540" s="497"/>
      <c r="W540" s="352"/>
      <c r="X540" s="352"/>
      <c r="Y540" s="352">
        <f>IF(NFI_Expiration=1,IF($A540&lt;VLOOKUP(H$5,NFI,5,0),1,0)*Table_NFI[[#This Row],[Hygiene Kit]],Table_NFI[Hygiene Kit])</f>
        <v>0</v>
      </c>
      <c r="Z540" s="352">
        <f>IF(NFI_Expiration=1,IF($A540&lt;VLOOKUP(I$5,NFI,5,0),1,0)*Table_NFI[[#This Row],[NFI Core Kit]],Table_NFI[NFI Core Kit])</f>
        <v>0</v>
      </c>
      <c r="AA540" s="352">
        <f>IF(NFI_Expiration=1,IF($A540&lt;VLOOKUP(J$5,NFI,5,0),1,0)*Table_NFI[[#This Row],[Sanitary Kit]],Table_NFI[Sanitary Kit])</f>
        <v>0</v>
      </c>
      <c r="AB540" s="352">
        <f>IF(NFI_Expiration=1,IF($A540&lt;VLOOKUP(K$5,NFI,5,0),1,0)*Table_NFI[[#This Row],[Mosquito net]],Table_NFI[Mosquito net])</f>
        <v>0</v>
      </c>
      <c r="AC540" s="352">
        <f>IF(NFI_Expiration=1,IF($A540&lt;VLOOKUP(L$5,NFI,5,0),1,0)*Table_NFI[[#This Row],[Tarpaulin]],Table_NFI[[#This Row],[Tarpaulin]])</f>
        <v>0</v>
      </c>
      <c r="AD540" s="352">
        <f>IF(NFI_Expiration=1,IF($A540&lt;VLOOKUP(M$5,NFI,5,0),1,0)*Table_NFI[[#This Row],[Blanket]],Table_NFI[[#This Row],[Blanket]])</f>
        <v>0</v>
      </c>
      <c r="AE540" s="352">
        <f>IF(NFI_Expiration=1,IF($A540&lt;VLOOKUP(N$5,NFI,5,0),1,0)*Table_NFI[[#This Row],[Kitchen Set]],Table_NFI[Kitchen Set])</f>
        <v>0</v>
      </c>
      <c r="AF540" s="352">
        <f>IF(NFI_Expiration=1,IF($A540&lt;VLOOKUP(O$5,NFI,5,0),1,0)*Table_NFI[[#This Row],[Clothes Kit]],Table_NFI[Clothes Kit])</f>
        <v>0</v>
      </c>
      <c r="AG540" s="352">
        <f>IF(NFI_Expiration=1,IF($A540&lt;VLOOKUP(P$5,NFI,5,0),1,0)*Table_NFI[[#This Row],[Plastic Bucket]],Table_NFI[Plastic Bucket])</f>
        <v>0</v>
      </c>
      <c r="AH540" s="352">
        <f>IF(NFI_Expiration=1,IF($A540&lt;VLOOKUP(Q$5,NFI,5,0),1,0)*Table_NFI[[#This Row],[Plastic Mat]],Table_NFI[Plastic Mat])*IF(Table_NFI[[#This Row],[Distribution Date]]&gt;"2014-04-01",1,2.5)</f>
        <v>0</v>
      </c>
      <c r="AI540" s="352">
        <f>IF(NFI_Expiration=1,IF($A540&lt;VLOOKUP(R$5,NFI,5,0),1,0)*Table_NFI[[#This Row],[Winter Clothes Adult]],Table_NFI[Winter Clothes Adult])</f>
        <v>0</v>
      </c>
      <c r="AJ540" s="352">
        <f>IF(NFI_Expiration=1,IF($A540&lt;VLOOKUP(S$5,NFI,5,0),1,0)*Table_NFI[[#This Row],[Winter Clothes Children]],Table_NFI[Winter Clothes Children])</f>
        <v>0</v>
      </c>
      <c r="AK540" s="352">
        <f>IF(NFI_Expiration=1,IF($A540&lt;VLOOKUP(T$5,NFI,5,0),1,0)*Table_NFI[[#This Row],[Winter Items Other]],Table_NFI[Winter Items Other])</f>
        <v>0</v>
      </c>
      <c r="AL540" s="352">
        <f>IF(NFI_Expiration=1,IF($A540&lt;VLOOKUP(M$5,NFI,5,0),1,0)*Table_NFI[[#This Row],[Winter Blanket]],Table_NFI[[#This Row],[Winter Blanket]])</f>
        <v>0</v>
      </c>
      <c r="AM540" s="352">
        <f>IF(Table_NFI[[#This Row],[Winter Clothes Adult]]+Table_NFI[[#This Row],[Winter Clothes Children]]+Table_NFI[[#This Row],[Winter Items Other]]+Table_NFI[[#This Row],[Winter Blanket]]&gt;0,1,0)</f>
        <v>0</v>
      </c>
      <c r="AN540" s="392">
        <f>IF(NFI_Expiration=1,IF($A540&lt;VLOOKUP(V$5,NFI,5,0),1,0)*Table_NFI[[#This Row],[Jerry Can]],Table_NFI[Jerry Can])</f>
        <v>0</v>
      </c>
      <c r="AO540" s="540" t="str">
        <f>IFERROR(VLOOKUP(Table_NFI[[#This Row],[Camp Name]],CL,2,0),"")</f>
        <v>MMR001CMP223</v>
      </c>
      <c r="AP540" s="535">
        <f ca="1">IF(Table_NFI[[#This Row],[Pcode]]="","",IF(OFFSET(CampList[Opening Date],MATCH(Table_NFI[[#This Row],[Pcode]],CampList[CP_Pcode],0)-1,0,1,1)&gt;=NFI_Monitor_Date,1,0))</f>
        <v>0</v>
      </c>
      <c r="AQ540" s="540" t="str">
        <f>IFERROR(VLOOKUP(Table_NFI[[#This Row],[Camp Name]],CL,3,0),"")</f>
        <v>Open</v>
      </c>
      <c r="AR540" s="352" t="str">
        <f ca="1">IF(Table_NFI[[#This Row],[Pcode]]="","",OFFSET(CampList[Priority],MATCH(Table_NFI[[#This Row],[Pcode]],CampList[CP_Pcode],0)-1,0,1,1))</f>
        <v>P4</v>
      </c>
      <c r="AS540" s="351">
        <f>IFERROR(Table_NFI[[#This Row],[Kitchen Set]]/VLOOKUP(Table_NFI[[#This Row],[Camp Name]],CL,4,0),"")</f>
        <v>0.12195121951219512</v>
      </c>
      <c r="AT540" s="533"/>
      <c r="AU540" s="536"/>
    </row>
    <row r="541" spans="1:47" s="537" customFormat="1" ht="14.45" hidden="1" customHeight="1" x14ac:dyDescent="0.25">
      <c r="A541" s="355">
        <f t="shared" si="8"/>
        <v>43.233333333333334</v>
      </c>
      <c r="B541" s="532">
        <v>41274</v>
      </c>
      <c r="C541" s="533" t="s">
        <v>454</v>
      </c>
      <c r="D541" s="534" t="s">
        <v>454</v>
      </c>
      <c r="E541" s="533" t="s">
        <v>380</v>
      </c>
      <c r="F541" s="348" t="s">
        <v>528</v>
      </c>
      <c r="G541" s="348" t="s">
        <v>54</v>
      </c>
      <c r="H541" s="349">
        <v>57</v>
      </c>
      <c r="I541" s="349"/>
      <c r="J541" s="349"/>
      <c r="K541" s="349"/>
      <c r="L541" s="350"/>
      <c r="M541" s="350"/>
      <c r="N541" s="350"/>
      <c r="O541" s="350"/>
      <c r="P541" s="352">
        <v>0</v>
      </c>
      <c r="Q541" s="352">
        <v>0</v>
      </c>
      <c r="R541" s="352"/>
      <c r="S541" s="352"/>
      <c r="T541" s="352"/>
      <c r="U541" s="352"/>
      <c r="V541" s="497"/>
      <c r="W541" s="352"/>
      <c r="X541" s="352"/>
      <c r="Y541" s="352">
        <f>IF(NFI_Expiration=1,IF($A541&lt;VLOOKUP(H$5,NFI,5,0),1,0)*Table_NFI[[#This Row],[Hygiene Kit]],Table_NFI[Hygiene Kit])</f>
        <v>0</v>
      </c>
      <c r="Z541" s="352">
        <f>IF(NFI_Expiration=1,IF($A541&lt;VLOOKUP(I$5,NFI,5,0),1,0)*Table_NFI[[#This Row],[NFI Core Kit]],Table_NFI[NFI Core Kit])</f>
        <v>0</v>
      </c>
      <c r="AA541" s="352">
        <f>IF(NFI_Expiration=1,IF($A541&lt;VLOOKUP(J$5,NFI,5,0),1,0)*Table_NFI[[#This Row],[Sanitary Kit]],Table_NFI[Sanitary Kit])</f>
        <v>0</v>
      </c>
      <c r="AB541" s="352">
        <f>IF(NFI_Expiration=1,IF($A541&lt;VLOOKUP(K$5,NFI,5,0),1,0)*Table_NFI[[#This Row],[Mosquito net]],Table_NFI[Mosquito net])</f>
        <v>0</v>
      </c>
      <c r="AC541" s="352">
        <f>IF(NFI_Expiration=1,IF($A541&lt;VLOOKUP(L$5,NFI,5,0),1,0)*Table_NFI[[#This Row],[Tarpaulin]],Table_NFI[[#This Row],[Tarpaulin]])</f>
        <v>0</v>
      </c>
      <c r="AD541" s="352">
        <f>IF(NFI_Expiration=1,IF($A541&lt;VLOOKUP(M$5,NFI,5,0),1,0)*Table_NFI[[#This Row],[Blanket]],Table_NFI[[#This Row],[Blanket]])</f>
        <v>0</v>
      </c>
      <c r="AE541" s="352">
        <f>IF(NFI_Expiration=1,IF($A541&lt;VLOOKUP(N$5,NFI,5,0),1,0)*Table_NFI[[#This Row],[Kitchen Set]],Table_NFI[Kitchen Set])</f>
        <v>0</v>
      </c>
      <c r="AF541" s="352">
        <f>IF(NFI_Expiration=1,IF($A541&lt;VLOOKUP(O$5,NFI,5,0),1,0)*Table_NFI[[#This Row],[Clothes Kit]],Table_NFI[Clothes Kit])</f>
        <v>0</v>
      </c>
      <c r="AG541" s="352">
        <f>IF(NFI_Expiration=1,IF($A541&lt;VLOOKUP(P$5,NFI,5,0),1,0)*Table_NFI[[#This Row],[Plastic Bucket]],Table_NFI[Plastic Bucket])</f>
        <v>0</v>
      </c>
      <c r="AH541" s="352">
        <f>IF(NFI_Expiration=1,IF($A541&lt;VLOOKUP(Q$5,NFI,5,0),1,0)*Table_NFI[[#This Row],[Plastic Mat]],Table_NFI[Plastic Mat])*IF(Table_NFI[[#This Row],[Distribution Date]]&gt;"2014-04-01",1,2.5)</f>
        <v>0</v>
      </c>
      <c r="AI541" s="352">
        <f>IF(NFI_Expiration=1,IF($A541&lt;VLOOKUP(R$5,NFI,5,0),1,0)*Table_NFI[[#This Row],[Winter Clothes Adult]],Table_NFI[Winter Clothes Adult])</f>
        <v>0</v>
      </c>
      <c r="AJ541" s="352">
        <f>IF(NFI_Expiration=1,IF($A541&lt;VLOOKUP(S$5,NFI,5,0),1,0)*Table_NFI[[#This Row],[Winter Clothes Children]],Table_NFI[Winter Clothes Children])</f>
        <v>0</v>
      </c>
      <c r="AK541" s="352">
        <f>IF(NFI_Expiration=1,IF($A541&lt;VLOOKUP(T$5,NFI,5,0),1,0)*Table_NFI[[#This Row],[Winter Items Other]],Table_NFI[Winter Items Other])</f>
        <v>0</v>
      </c>
      <c r="AL541" s="352">
        <f>IF(NFI_Expiration=1,IF($A541&lt;VLOOKUP(M$5,NFI,5,0),1,0)*Table_NFI[[#This Row],[Winter Blanket]],Table_NFI[[#This Row],[Winter Blanket]])</f>
        <v>0</v>
      </c>
      <c r="AM541" s="352">
        <f>IF(Table_NFI[[#This Row],[Winter Clothes Adult]]+Table_NFI[[#This Row],[Winter Clothes Children]]+Table_NFI[[#This Row],[Winter Items Other]]+Table_NFI[[#This Row],[Winter Blanket]]&gt;0,1,0)</f>
        <v>0</v>
      </c>
      <c r="AN541" s="392">
        <f>IF(NFI_Expiration=1,IF($A541&lt;VLOOKUP(V$5,NFI,5,0),1,0)*Table_NFI[[#This Row],[Jerry Can]],Table_NFI[Jerry Can])</f>
        <v>0</v>
      </c>
      <c r="AO541" s="540" t="str">
        <f>IFERROR(VLOOKUP(Table_NFI[[#This Row],[Camp Name]],CL,2,0),"")</f>
        <v>MMR001CMP094</v>
      </c>
      <c r="AP541" s="535">
        <f ca="1">IF(Table_NFI[[#This Row],[Pcode]]="","",IF(OFFSET(CampList[Opening Date],MATCH(Table_NFI[[#This Row],[Pcode]],CampList[CP_Pcode],0)-1,0,1,1)&gt;=NFI_Monitor_Date,1,0))</f>
        <v>0</v>
      </c>
      <c r="AQ541" s="540" t="str">
        <f>IFERROR(VLOOKUP(Table_NFI[[#This Row],[Camp Name]],CL,3,0),"")</f>
        <v>Closed</v>
      </c>
      <c r="AR541" s="352" t="str">
        <f ca="1">IF(Table_NFI[[#This Row],[Pcode]]="","",OFFSET(CampList[Priority],MATCH(Table_NFI[[#This Row],[Pcode]],CampList[CP_Pcode],0)-1,0,1,1))</f>
        <v/>
      </c>
      <c r="AS541" s="351" t="str">
        <f>IFERROR(Table_NFI[[#This Row],[Kitchen Set]]/VLOOKUP(Table_NFI[[#This Row],[Camp Name]],CL,4,0),"")</f>
        <v/>
      </c>
      <c r="AT541" s="533" t="s">
        <v>1094</v>
      </c>
      <c r="AU541" s="536"/>
    </row>
    <row r="542" spans="1:47" s="537" customFormat="1" ht="14.45" customHeight="1" x14ac:dyDescent="0.25">
      <c r="A542" s="355">
        <f t="shared" si="8"/>
        <v>37.233333333333334</v>
      </c>
      <c r="B542" s="532">
        <v>41454</v>
      </c>
      <c r="C542" s="533" t="s">
        <v>453</v>
      </c>
      <c r="D542" s="533"/>
      <c r="E542" s="533" t="s">
        <v>380</v>
      </c>
      <c r="F542" s="533" t="s">
        <v>151</v>
      </c>
      <c r="G542" s="533" t="s">
        <v>886</v>
      </c>
      <c r="H542" s="349"/>
      <c r="I542" s="349"/>
      <c r="J542" s="349"/>
      <c r="K542" s="349"/>
      <c r="L542" s="350">
        <v>19</v>
      </c>
      <c r="M542" s="350"/>
      <c r="N542" s="350">
        <v>19</v>
      </c>
      <c r="O542" s="350"/>
      <c r="P542" s="352"/>
      <c r="Q542" s="352">
        <v>100</v>
      </c>
      <c r="R542" s="352"/>
      <c r="S542" s="352"/>
      <c r="T542" s="352"/>
      <c r="U542" s="352"/>
      <c r="V542" s="497"/>
      <c r="W542" s="352"/>
      <c r="X542" s="352"/>
      <c r="Y542" s="352">
        <f>IF(NFI_Expiration=1,IF($A542&lt;VLOOKUP(H$5,NFI,5,0),1,0)*Table_NFI[[#This Row],[Hygiene Kit]],Table_NFI[Hygiene Kit])</f>
        <v>0</v>
      </c>
      <c r="Z542" s="352">
        <f>IF(NFI_Expiration=1,IF($A542&lt;VLOOKUP(I$5,NFI,5,0),1,0)*Table_NFI[[#This Row],[NFI Core Kit]],Table_NFI[NFI Core Kit])</f>
        <v>0</v>
      </c>
      <c r="AA542" s="352">
        <f>IF(NFI_Expiration=1,IF($A542&lt;VLOOKUP(J$5,NFI,5,0),1,0)*Table_NFI[[#This Row],[Sanitary Kit]],Table_NFI[Sanitary Kit])</f>
        <v>0</v>
      </c>
      <c r="AB542" s="352">
        <f>IF(NFI_Expiration=1,IF($A542&lt;VLOOKUP(K$5,NFI,5,0),1,0)*Table_NFI[[#This Row],[Mosquito net]],Table_NFI[Mosquito net])</f>
        <v>0</v>
      </c>
      <c r="AC542" s="352">
        <f>IF(NFI_Expiration=1,IF($A542&lt;VLOOKUP(L$5,NFI,5,0),1,0)*Table_NFI[[#This Row],[Tarpaulin]],Table_NFI[[#This Row],[Tarpaulin]])</f>
        <v>0</v>
      </c>
      <c r="AD542" s="352">
        <f>IF(NFI_Expiration=1,IF($A542&lt;VLOOKUP(M$5,NFI,5,0),1,0)*Table_NFI[[#This Row],[Blanket]],Table_NFI[[#This Row],[Blanket]])</f>
        <v>0</v>
      </c>
      <c r="AE542" s="352">
        <f>IF(NFI_Expiration=1,IF($A542&lt;VLOOKUP(N$5,NFI,5,0),1,0)*Table_NFI[[#This Row],[Kitchen Set]],Table_NFI[Kitchen Set])</f>
        <v>0</v>
      </c>
      <c r="AF542" s="352">
        <f>IF(NFI_Expiration=1,IF($A542&lt;VLOOKUP(O$5,NFI,5,0),1,0)*Table_NFI[[#This Row],[Clothes Kit]],Table_NFI[Clothes Kit])</f>
        <v>0</v>
      </c>
      <c r="AG542" s="352">
        <f>IF(NFI_Expiration=1,IF($A542&lt;VLOOKUP(P$5,NFI,5,0),1,0)*Table_NFI[[#This Row],[Plastic Bucket]],Table_NFI[Plastic Bucket])</f>
        <v>0</v>
      </c>
      <c r="AH542" s="352">
        <f>IF(NFI_Expiration=1,IF($A542&lt;VLOOKUP(Q$5,NFI,5,0),1,0)*Table_NFI[[#This Row],[Plastic Mat]],Table_NFI[Plastic Mat])*IF(Table_NFI[[#This Row],[Distribution Date]]&gt;"2014-04-01",1,2.5)</f>
        <v>0</v>
      </c>
      <c r="AI542" s="352">
        <f>IF(NFI_Expiration=1,IF($A542&lt;VLOOKUP(R$5,NFI,5,0),1,0)*Table_NFI[[#This Row],[Winter Clothes Adult]],Table_NFI[Winter Clothes Adult])</f>
        <v>0</v>
      </c>
      <c r="AJ542" s="352">
        <f>IF(NFI_Expiration=1,IF($A542&lt;VLOOKUP(S$5,NFI,5,0),1,0)*Table_NFI[[#This Row],[Winter Clothes Children]],Table_NFI[Winter Clothes Children])</f>
        <v>0</v>
      </c>
      <c r="AK542" s="352">
        <f>IF(NFI_Expiration=1,IF($A542&lt;VLOOKUP(T$5,NFI,5,0),1,0)*Table_NFI[[#This Row],[Winter Items Other]],Table_NFI[Winter Items Other])</f>
        <v>0</v>
      </c>
      <c r="AL542" s="352">
        <f>IF(NFI_Expiration=1,IF($A542&lt;VLOOKUP(M$5,NFI,5,0),1,0)*Table_NFI[[#This Row],[Winter Blanket]],Table_NFI[[#This Row],[Winter Blanket]])</f>
        <v>0</v>
      </c>
      <c r="AM542" s="352">
        <f>IF(Table_NFI[[#This Row],[Winter Clothes Adult]]+Table_NFI[[#This Row],[Winter Clothes Children]]+Table_NFI[[#This Row],[Winter Items Other]]+Table_NFI[[#This Row],[Winter Blanket]]&gt;0,1,0)</f>
        <v>0</v>
      </c>
      <c r="AN542" s="392">
        <f>IF(NFI_Expiration=1,IF($A542&lt;VLOOKUP(V$5,NFI,5,0),1,0)*Table_NFI[[#This Row],[Jerry Can]],Table_NFI[Jerry Can])</f>
        <v>0</v>
      </c>
      <c r="AO542" s="540" t="str">
        <f>IFERROR(VLOOKUP(Table_NFI[[#This Row],[Camp Name]],CL,2,0),"")</f>
        <v>MMR001CMP218</v>
      </c>
      <c r="AP542" s="535">
        <f ca="1">IF(Table_NFI[[#This Row],[Pcode]]="","",IF(OFFSET(CampList[Opening Date],MATCH(Table_NFI[[#This Row],[Pcode]],CampList[CP_Pcode],0)-1,0,1,1)&gt;=NFI_Monitor_Date,1,0))</f>
        <v>0</v>
      </c>
      <c r="AQ542" s="540" t="str">
        <f>IFERROR(VLOOKUP(Table_NFI[[#This Row],[Camp Name]],CL,3,0),"")</f>
        <v>Open</v>
      </c>
      <c r="AR542" s="352" t="str">
        <f ca="1">IF(Table_NFI[[#This Row],[Pcode]]="","",OFFSET(CampList[Priority],MATCH(Table_NFI[[#This Row],[Pcode]],CampList[CP_Pcode],0)-1,0,1,1))</f>
        <v>P4</v>
      </c>
      <c r="AS542" s="351">
        <f>IFERROR(Table_NFI[[#This Row],[Kitchen Set]]/VLOOKUP(Table_NFI[[#This Row],[Camp Name]],CL,4,0),"")</f>
        <v>4.8717948717948718E-2</v>
      </c>
      <c r="AT542" s="533"/>
      <c r="AU542" s="536"/>
    </row>
    <row r="543" spans="1:47" s="537" customFormat="1" ht="14.45" hidden="1" customHeight="1" x14ac:dyDescent="0.25">
      <c r="A543" s="355">
        <f t="shared" si="8"/>
        <v>43.233333333333334</v>
      </c>
      <c r="B543" s="532">
        <v>41274</v>
      </c>
      <c r="C543" s="533" t="s">
        <v>454</v>
      </c>
      <c r="D543" s="534" t="s">
        <v>454</v>
      </c>
      <c r="E543" s="533" t="s">
        <v>380</v>
      </c>
      <c r="F543" s="348" t="s">
        <v>528</v>
      </c>
      <c r="G543" s="348" t="s">
        <v>66</v>
      </c>
      <c r="H543" s="349">
        <v>2</v>
      </c>
      <c r="I543" s="349"/>
      <c r="J543" s="349"/>
      <c r="K543" s="349"/>
      <c r="L543" s="350"/>
      <c r="M543" s="350"/>
      <c r="N543" s="350"/>
      <c r="O543" s="350"/>
      <c r="P543" s="352">
        <v>0</v>
      </c>
      <c r="Q543" s="352">
        <v>0</v>
      </c>
      <c r="R543" s="352"/>
      <c r="S543" s="352"/>
      <c r="T543" s="352"/>
      <c r="U543" s="352"/>
      <c r="V543" s="497"/>
      <c r="W543" s="352"/>
      <c r="X543" s="352"/>
      <c r="Y543" s="352">
        <f>IF(NFI_Expiration=1,IF($A543&lt;VLOOKUP(H$5,NFI,5,0),1,0)*Table_NFI[[#This Row],[Hygiene Kit]],Table_NFI[Hygiene Kit])</f>
        <v>0</v>
      </c>
      <c r="Z543" s="352">
        <f>IF(NFI_Expiration=1,IF($A543&lt;VLOOKUP(I$5,NFI,5,0),1,0)*Table_NFI[[#This Row],[NFI Core Kit]],Table_NFI[NFI Core Kit])</f>
        <v>0</v>
      </c>
      <c r="AA543" s="352">
        <f>IF(NFI_Expiration=1,IF($A543&lt;VLOOKUP(J$5,NFI,5,0),1,0)*Table_NFI[[#This Row],[Sanitary Kit]],Table_NFI[Sanitary Kit])</f>
        <v>0</v>
      </c>
      <c r="AB543" s="352">
        <f>IF(NFI_Expiration=1,IF($A543&lt;VLOOKUP(K$5,NFI,5,0),1,0)*Table_NFI[[#This Row],[Mosquito net]],Table_NFI[Mosquito net])</f>
        <v>0</v>
      </c>
      <c r="AC543" s="352">
        <f>IF(NFI_Expiration=1,IF($A543&lt;VLOOKUP(L$5,NFI,5,0),1,0)*Table_NFI[[#This Row],[Tarpaulin]],Table_NFI[[#This Row],[Tarpaulin]])</f>
        <v>0</v>
      </c>
      <c r="AD543" s="352">
        <f>IF(NFI_Expiration=1,IF($A543&lt;VLOOKUP(M$5,NFI,5,0),1,0)*Table_NFI[[#This Row],[Blanket]],Table_NFI[[#This Row],[Blanket]])</f>
        <v>0</v>
      </c>
      <c r="AE543" s="352">
        <f>IF(NFI_Expiration=1,IF($A543&lt;VLOOKUP(N$5,NFI,5,0),1,0)*Table_NFI[[#This Row],[Kitchen Set]],Table_NFI[Kitchen Set])</f>
        <v>0</v>
      </c>
      <c r="AF543" s="352">
        <f>IF(NFI_Expiration=1,IF($A543&lt;VLOOKUP(O$5,NFI,5,0),1,0)*Table_NFI[[#This Row],[Clothes Kit]],Table_NFI[Clothes Kit])</f>
        <v>0</v>
      </c>
      <c r="AG543" s="352">
        <f>IF(NFI_Expiration=1,IF($A543&lt;VLOOKUP(P$5,NFI,5,0),1,0)*Table_NFI[[#This Row],[Plastic Bucket]],Table_NFI[Plastic Bucket])</f>
        <v>0</v>
      </c>
      <c r="AH543" s="352">
        <f>IF(NFI_Expiration=1,IF($A543&lt;VLOOKUP(Q$5,NFI,5,0),1,0)*Table_NFI[[#This Row],[Plastic Mat]],Table_NFI[Plastic Mat])*IF(Table_NFI[[#This Row],[Distribution Date]]&gt;"2014-04-01",1,2.5)</f>
        <v>0</v>
      </c>
      <c r="AI543" s="352">
        <f>IF(NFI_Expiration=1,IF($A543&lt;VLOOKUP(R$5,NFI,5,0),1,0)*Table_NFI[[#This Row],[Winter Clothes Adult]],Table_NFI[Winter Clothes Adult])</f>
        <v>0</v>
      </c>
      <c r="AJ543" s="352">
        <f>IF(NFI_Expiration=1,IF($A543&lt;VLOOKUP(S$5,NFI,5,0),1,0)*Table_NFI[[#This Row],[Winter Clothes Children]],Table_NFI[Winter Clothes Children])</f>
        <v>0</v>
      </c>
      <c r="AK543" s="352">
        <f>IF(NFI_Expiration=1,IF($A543&lt;VLOOKUP(T$5,NFI,5,0),1,0)*Table_NFI[[#This Row],[Winter Items Other]],Table_NFI[Winter Items Other])</f>
        <v>0</v>
      </c>
      <c r="AL543" s="352">
        <f>IF(NFI_Expiration=1,IF($A543&lt;VLOOKUP(M$5,NFI,5,0),1,0)*Table_NFI[[#This Row],[Winter Blanket]],Table_NFI[[#This Row],[Winter Blanket]])</f>
        <v>0</v>
      </c>
      <c r="AM543" s="352">
        <f>IF(Table_NFI[[#This Row],[Winter Clothes Adult]]+Table_NFI[[#This Row],[Winter Clothes Children]]+Table_NFI[[#This Row],[Winter Items Other]]+Table_NFI[[#This Row],[Winter Blanket]]&gt;0,1,0)</f>
        <v>0</v>
      </c>
      <c r="AN543" s="392">
        <f>IF(NFI_Expiration=1,IF($A543&lt;VLOOKUP(V$5,NFI,5,0),1,0)*Table_NFI[[#This Row],[Jerry Can]],Table_NFI[Jerry Can])</f>
        <v>0</v>
      </c>
      <c r="AO543" s="540" t="str">
        <f>IFERROR(VLOOKUP(Table_NFI[[#This Row],[Camp Name]],CL,2,0),"")</f>
        <v>MMR001CMP093</v>
      </c>
      <c r="AP543" s="535">
        <f ca="1">IF(Table_NFI[[#This Row],[Pcode]]="","",IF(OFFSET(CampList[Opening Date],MATCH(Table_NFI[[#This Row],[Pcode]],CampList[CP_Pcode],0)-1,0,1,1)&gt;=NFI_Monitor_Date,1,0))</f>
        <v>0</v>
      </c>
      <c r="AQ543" s="540" t="str">
        <f>IFERROR(VLOOKUP(Table_NFI[[#This Row],[Camp Name]],CL,3,0),"")</f>
        <v>Closed</v>
      </c>
      <c r="AR543" s="352" t="str">
        <f ca="1">IF(Table_NFI[[#This Row],[Pcode]]="","",OFFSET(CampList[Priority],MATCH(Table_NFI[[#This Row],[Pcode]],CampList[CP_Pcode],0)-1,0,1,1))</f>
        <v/>
      </c>
      <c r="AS543" s="351" t="str">
        <f>IFERROR(Table_NFI[[#This Row],[Kitchen Set]]/VLOOKUP(Table_NFI[[#This Row],[Camp Name]],CL,4,0),"")</f>
        <v/>
      </c>
      <c r="AT543" s="533" t="s">
        <v>1094</v>
      </c>
      <c r="AU543" s="536"/>
    </row>
    <row r="544" spans="1:47" s="537" customFormat="1" ht="14.45" customHeight="1" x14ac:dyDescent="0.25">
      <c r="A544" s="355">
        <f t="shared" si="8"/>
        <v>37.266666666666666</v>
      </c>
      <c r="B544" s="532">
        <v>41453</v>
      </c>
      <c r="C544" s="533" t="s">
        <v>453</v>
      </c>
      <c r="D544" s="533"/>
      <c r="E544" s="533" t="s">
        <v>380</v>
      </c>
      <c r="F544" s="533" t="s">
        <v>151</v>
      </c>
      <c r="G544" s="533" t="s">
        <v>886</v>
      </c>
      <c r="H544" s="349"/>
      <c r="I544" s="349"/>
      <c r="J544" s="349"/>
      <c r="K544" s="349">
        <v>10</v>
      </c>
      <c r="L544" s="350">
        <v>3</v>
      </c>
      <c r="M544" s="350">
        <v>10</v>
      </c>
      <c r="N544" s="350">
        <v>3</v>
      </c>
      <c r="O544" s="350"/>
      <c r="P544" s="352">
        <v>3</v>
      </c>
      <c r="Q544" s="352">
        <v>10</v>
      </c>
      <c r="R544" s="352"/>
      <c r="S544" s="352"/>
      <c r="T544" s="352"/>
      <c r="U544" s="352"/>
      <c r="V544" s="497"/>
      <c r="W544" s="352"/>
      <c r="X544" s="352"/>
      <c r="Y544" s="352">
        <f>IF(NFI_Expiration=1,IF($A544&lt;VLOOKUP(H$5,NFI,5,0),1,0)*Table_NFI[[#This Row],[Hygiene Kit]],Table_NFI[Hygiene Kit])</f>
        <v>0</v>
      </c>
      <c r="Z544" s="352">
        <f>IF(NFI_Expiration=1,IF($A544&lt;VLOOKUP(I$5,NFI,5,0),1,0)*Table_NFI[[#This Row],[NFI Core Kit]],Table_NFI[NFI Core Kit])</f>
        <v>0</v>
      </c>
      <c r="AA544" s="352">
        <f>IF(NFI_Expiration=1,IF($A544&lt;VLOOKUP(J$5,NFI,5,0),1,0)*Table_NFI[[#This Row],[Sanitary Kit]],Table_NFI[Sanitary Kit])</f>
        <v>0</v>
      </c>
      <c r="AB544" s="352">
        <f>IF(NFI_Expiration=1,IF($A544&lt;VLOOKUP(K$5,NFI,5,0),1,0)*Table_NFI[[#This Row],[Mosquito net]],Table_NFI[Mosquito net])</f>
        <v>0</v>
      </c>
      <c r="AC544" s="352">
        <f>IF(NFI_Expiration=1,IF($A544&lt;VLOOKUP(L$5,NFI,5,0),1,0)*Table_NFI[[#This Row],[Tarpaulin]],Table_NFI[[#This Row],[Tarpaulin]])</f>
        <v>0</v>
      </c>
      <c r="AD544" s="352">
        <f>IF(NFI_Expiration=1,IF($A544&lt;VLOOKUP(M$5,NFI,5,0),1,0)*Table_NFI[[#This Row],[Blanket]],Table_NFI[[#This Row],[Blanket]])</f>
        <v>0</v>
      </c>
      <c r="AE544" s="352">
        <f>IF(NFI_Expiration=1,IF($A544&lt;VLOOKUP(N$5,NFI,5,0),1,0)*Table_NFI[[#This Row],[Kitchen Set]],Table_NFI[Kitchen Set])</f>
        <v>0</v>
      </c>
      <c r="AF544" s="352">
        <f>IF(NFI_Expiration=1,IF($A544&lt;VLOOKUP(O$5,NFI,5,0),1,0)*Table_NFI[[#This Row],[Clothes Kit]],Table_NFI[Clothes Kit])</f>
        <v>0</v>
      </c>
      <c r="AG544" s="352">
        <f>IF(NFI_Expiration=1,IF($A544&lt;VLOOKUP(P$5,NFI,5,0),1,0)*Table_NFI[[#This Row],[Plastic Bucket]],Table_NFI[Plastic Bucket])</f>
        <v>0</v>
      </c>
      <c r="AH544" s="352">
        <f>IF(NFI_Expiration=1,IF($A544&lt;VLOOKUP(Q$5,NFI,5,0),1,0)*Table_NFI[[#This Row],[Plastic Mat]],Table_NFI[Plastic Mat])*IF(Table_NFI[[#This Row],[Distribution Date]]&gt;"2014-04-01",1,2.5)</f>
        <v>0</v>
      </c>
      <c r="AI544" s="352">
        <f>IF(NFI_Expiration=1,IF($A544&lt;VLOOKUP(R$5,NFI,5,0),1,0)*Table_NFI[[#This Row],[Winter Clothes Adult]],Table_NFI[Winter Clothes Adult])</f>
        <v>0</v>
      </c>
      <c r="AJ544" s="352">
        <f>IF(NFI_Expiration=1,IF($A544&lt;VLOOKUP(S$5,NFI,5,0),1,0)*Table_NFI[[#This Row],[Winter Clothes Children]],Table_NFI[Winter Clothes Children])</f>
        <v>0</v>
      </c>
      <c r="AK544" s="352">
        <f>IF(NFI_Expiration=1,IF($A544&lt;VLOOKUP(T$5,NFI,5,0),1,0)*Table_NFI[[#This Row],[Winter Items Other]],Table_NFI[Winter Items Other])</f>
        <v>0</v>
      </c>
      <c r="AL544" s="352">
        <f>IF(NFI_Expiration=1,IF($A544&lt;VLOOKUP(M$5,NFI,5,0),1,0)*Table_NFI[[#This Row],[Winter Blanket]],Table_NFI[[#This Row],[Winter Blanket]])</f>
        <v>0</v>
      </c>
      <c r="AM544" s="352">
        <f>IF(Table_NFI[[#This Row],[Winter Clothes Adult]]+Table_NFI[[#This Row],[Winter Clothes Children]]+Table_NFI[[#This Row],[Winter Items Other]]+Table_NFI[[#This Row],[Winter Blanket]]&gt;0,1,0)</f>
        <v>0</v>
      </c>
      <c r="AN544" s="392">
        <f>IF(NFI_Expiration=1,IF($A544&lt;VLOOKUP(V$5,NFI,5,0),1,0)*Table_NFI[[#This Row],[Jerry Can]],Table_NFI[Jerry Can])</f>
        <v>0</v>
      </c>
      <c r="AO544" s="540" t="str">
        <f>IFERROR(VLOOKUP(Table_NFI[[#This Row],[Camp Name]],CL,2,0),"")</f>
        <v>MMR001CMP218</v>
      </c>
      <c r="AP544" s="535">
        <f ca="1">IF(Table_NFI[[#This Row],[Pcode]]="","",IF(OFFSET(CampList[Opening Date],MATCH(Table_NFI[[#This Row],[Pcode]],CampList[CP_Pcode],0)-1,0,1,1)&gt;=NFI_Monitor_Date,1,0))</f>
        <v>0</v>
      </c>
      <c r="AQ544" s="540" t="str">
        <f>IFERROR(VLOOKUP(Table_NFI[[#This Row],[Camp Name]],CL,3,0),"")</f>
        <v>Open</v>
      </c>
      <c r="AR544" s="352" t="str">
        <f ca="1">IF(Table_NFI[[#This Row],[Pcode]]="","",OFFSET(CampList[Priority],MATCH(Table_NFI[[#This Row],[Pcode]],CampList[CP_Pcode],0)-1,0,1,1))</f>
        <v>P4</v>
      </c>
      <c r="AS544" s="351">
        <f>IFERROR(Table_NFI[[#This Row],[Kitchen Set]]/VLOOKUP(Table_NFI[[#This Row],[Camp Name]],CL,4,0),"")</f>
        <v>7.6923076923076927E-3</v>
      </c>
      <c r="AT544" s="533"/>
      <c r="AU544" s="536"/>
    </row>
    <row r="545" spans="1:47" s="537" customFormat="1" ht="14.45" hidden="1" customHeight="1" x14ac:dyDescent="0.25">
      <c r="A545" s="355">
        <f t="shared" si="8"/>
        <v>25.233333333333334</v>
      </c>
      <c r="B545" s="532">
        <v>41814</v>
      </c>
      <c r="C545" s="533" t="s">
        <v>1106</v>
      </c>
      <c r="D545" s="533" t="s">
        <v>902</v>
      </c>
      <c r="E545" s="533" t="s">
        <v>380</v>
      </c>
      <c r="F545" s="533" t="s">
        <v>237</v>
      </c>
      <c r="G545" s="533" t="s">
        <v>263</v>
      </c>
      <c r="H545" s="349"/>
      <c r="I545" s="349"/>
      <c r="J545" s="349"/>
      <c r="K545" s="349"/>
      <c r="L545" s="350"/>
      <c r="M545" s="350"/>
      <c r="N545" s="350"/>
      <c r="O545" s="350"/>
      <c r="P545" s="352"/>
      <c r="Q545" s="352"/>
      <c r="R545" s="352"/>
      <c r="S545" s="352"/>
      <c r="T545" s="352"/>
      <c r="U545" s="352">
        <v>44</v>
      </c>
      <c r="V545" s="497"/>
      <c r="W545" s="352"/>
      <c r="X545" s="352"/>
      <c r="Y545" s="352">
        <f>IF(NFI_Expiration=1,IF($A545&lt;VLOOKUP(H$5,NFI,5,0),1,0)*Table_NFI[[#This Row],[Hygiene Kit]],Table_NFI[Hygiene Kit])</f>
        <v>0</v>
      </c>
      <c r="Z545" s="352">
        <f>IF(NFI_Expiration=1,IF($A545&lt;VLOOKUP(I$5,NFI,5,0),1,0)*Table_NFI[[#This Row],[NFI Core Kit]],Table_NFI[NFI Core Kit])</f>
        <v>0</v>
      </c>
      <c r="AA545" s="352">
        <f>IF(NFI_Expiration=1,IF($A545&lt;VLOOKUP(J$5,NFI,5,0),1,0)*Table_NFI[[#This Row],[Sanitary Kit]],Table_NFI[Sanitary Kit])</f>
        <v>0</v>
      </c>
      <c r="AB545" s="352">
        <f>IF(NFI_Expiration=1,IF($A545&lt;VLOOKUP(K$5,NFI,5,0),1,0)*Table_NFI[[#This Row],[Mosquito net]],Table_NFI[Mosquito net])</f>
        <v>0</v>
      </c>
      <c r="AC545" s="352">
        <f>IF(NFI_Expiration=1,IF($A545&lt;VLOOKUP(L$5,NFI,5,0),1,0)*Table_NFI[[#This Row],[Tarpaulin]],Table_NFI[[#This Row],[Tarpaulin]])</f>
        <v>0</v>
      </c>
      <c r="AD545" s="352">
        <f>IF(NFI_Expiration=1,IF($A545&lt;VLOOKUP(M$5,NFI,5,0),1,0)*Table_NFI[[#This Row],[Blanket]],Table_NFI[[#This Row],[Blanket]])</f>
        <v>0</v>
      </c>
      <c r="AE545" s="352">
        <f>IF(NFI_Expiration=1,IF($A545&lt;VLOOKUP(N$5,NFI,5,0),1,0)*Table_NFI[[#This Row],[Kitchen Set]],Table_NFI[Kitchen Set])</f>
        <v>0</v>
      </c>
      <c r="AF545" s="352">
        <f>IF(NFI_Expiration=1,IF($A545&lt;VLOOKUP(O$5,NFI,5,0),1,0)*Table_NFI[[#This Row],[Clothes Kit]],Table_NFI[Clothes Kit])</f>
        <v>0</v>
      </c>
      <c r="AG545" s="352">
        <f>IF(NFI_Expiration=1,IF($A545&lt;VLOOKUP(P$5,NFI,5,0),1,0)*Table_NFI[[#This Row],[Plastic Bucket]],Table_NFI[Plastic Bucket])</f>
        <v>0</v>
      </c>
      <c r="AH545" s="352">
        <f>IF(NFI_Expiration=1,IF($A545&lt;VLOOKUP(Q$5,NFI,5,0),1,0)*Table_NFI[[#This Row],[Plastic Mat]],Table_NFI[Plastic Mat])*IF(Table_NFI[[#This Row],[Distribution Date]]&gt;"2014-04-01",1,2.5)</f>
        <v>0</v>
      </c>
      <c r="AI545" s="352">
        <f>IF(NFI_Expiration=1,IF($A545&lt;VLOOKUP(R$5,NFI,5,0),1,0)*Table_NFI[[#This Row],[Winter Clothes Adult]],Table_NFI[Winter Clothes Adult])</f>
        <v>0</v>
      </c>
      <c r="AJ545" s="352">
        <f>IF(NFI_Expiration=1,IF($A545&lt;VLOOKUP(S$5,NFI,5,0),1,0)*Table_NFI[[#This Row],[Winter Clothes Children]],Table_NFI[Winter Clothes Children])</f>
        <v>0</v>
      </c>
      <c r="AK545" s="352">
        <f>IF(NFI_Expiration=1,IF($A545&lt;VLOOKUP(T$5,NFI,5,0),1,0)*Table_NFI[[#This Row],[Winter Items Other]],Table_NFI[Winter Items Other])</f>
        <v>0</v>
      </c>
      <c r="AL545" s="352">
        <f>IF(NFI_Expiration=1,IF($A545&lt;VLOOKUP(M$5,NFI,5,0),1,0)*Table_NFI[[#This Row],[Winter Blanket]],Table_NFI[[#This Row],[Winter Blanket]])</f>
        <v>0</v>
      </c>
      <c r="AM545" s="352">
        <f>IF(Table_NFI[[#This Row],[Winter Clothes Adult]]+Table_NFI[[#This Row],[Winter Clothes Children]]+Table_NFI[[#This Row],[Winter Items Other]]+Table_NFI[[#This Row],[Winter Blanket]]&gt;0,1,0)</f>
        <v>1</v>
      </c>
      <c r="AN545" s="392">
        <f>IF(NFI_Expiration=1,IF($A545&lt;VLOOKUP(V$5,NFI,5,0),1,0)*Table_NFI[[#This Row],[Jerry Can]],Table_NFI[Jerry Can])</f>
        <v>0</v>
      </c>
      <c r="AO545" s="540" t="str">
        <f>IFERROR(VLOOKUP(Table_NFI[[#This Row],[Camp Name]],CL,2,0),"")</f>
        <v>MMR001CMP020</v>
      </c>
      <c r="AP545" s="535">
        <f ca="1">IF(Table_NFI[[#This Row],[Pcode]]="","",IF(OFFSET(CampList[Opening Date],MATCH(Table_NFI[[#This Row],[Pcode]],CampList[CP_Pcode],0)-1,0,1,1)&gt;=NFI_Monitor_Date,1,0))</f>
        <v>0</v>
      </c>
      <c r="AQ545" s="540" t="str">
        <f>IFERROR(VLOOKUP(Table_NFI[[#This Row],[Camp Name]],CL,3,0),"")</f>
        <v>Open</v>
      </c>
      <c r="AR545" s="352" t="str">
        <f ca="1">IF(Table_NFI[[#This Row],[Pcode]]="","",OFFSET(CampList[Priority],MATCH(Table_NFI[[#This Row],[Pcode]],CampList[CP_Pcode],0)-1,0,1,1))</f>
        <v>P4</v>
      </c>
      <c r="AS545" s="351">
        <f>IFERROR(Table_NFI[[#This Row],[Kitchen Set]]/VLOOKUP(Table_NFI[[#This Row],[Camp Name]],CL,4,0),"")</f>
        <v>0</v>
      </c>
      <c r="AT545" s="533"/>
      <c r="AU545" s="536"/>
    </row>
    <row r="546" spans="1:47" s="537" customFormat="1" ht="14.45" customHeight="1" x14ac:dyDescent="0.25">
      <c r="A546" s="355">
        <f t="shared" si="8"/>
        <v>37.299999999999997</v>
      </c>
      <c r="B546" s="532">
        <v>41452</v>
      </c>
      <c r="C546" s="533" t="s">
        <v>453</v>
      </c>
      <c r="D546" s="533"/>
      <c r="E546" s="533" t="s">
        <v>380</v>
      </c>
      <c r="F546" s="533" t="s">
        <v>151</v>
      </c>
      <c r="G546" s="533" t="s">
        <v>886</v>
      </c>
      <c r="H546" s="349"/>
      <c r="I546" s="349"/>
      <c r="J546" s="349"/>
      <c r="K546" s="349">
        <v>54</v>
      </c>
      <c r="L546" s="350">
        <v>18</v>
      </c>
      <c r="M546" s="350">
        <v>45</v>
      </c>
      <c r="N546" s="350">
        <v>18</v>
      </c>
      <c r="O546" s="350"/>
      <c r="P546" s="352">
        <v>18</v>
      </c>
      <c r="Q546" s="352">
        <v>50</v>
      </c>
      <c r="R546" s="352"/>
      <c r="S546" s="352"/>
      <c r="T546" s="352"/>
      <c r="U546" s="352"/>
      <c r="V546" s="497"/>
      <c r="W546" s="352"/>
      <c r="X546" s="352"/>
      <c r="Y546" s="352">
        <f>IF(NFI_Expiration=1,IF($A546&lt;VLOOKUP(H$5,NFI,5,0),1,0)*Table_NFI[[#This Row],[Hygiene Kit]],Table_NFI[Hygiene Kit])</f>
        <v>0</v>
      </c>
      <c r="Z546" s="352">
        <f>IF(NFI_Expiration=1,IF($A546&lt;VLOOKUP(I$5,NFI,5,0),1,0)*Table_NFI[[#This Row],[NFI Core Kit]],Table_NFI[NFI Core Kit])</f>
        <v>0</v>
      </c>
      <c r="AA546" s="352">
        <f>IF(NFI_Expiration=1,IF($A546&lt;VLOOKUP(J$5,NFI,5,0),1,0)*Table_NFI[[#This Row],[Sanitary Kit]],Table_NFI[Sanitary Kit])</f>
        <v>0</v>
      </c>
      <c r="AB546" s="352">
        <f>IF(NFI_Expiration=1,IF($A546&lt;VLOOKUP(K$5,NFI,5,0),1,0)*Table_NFI[[#This Row],[Mosquito net]],Table_NFI[Mosquito net])</f>
        <v>0</v>
      </c>
      <c r="AC546" s="352">
        <f>IF(NFI_Expiration=1,IF($A546&lt;VLOOKUP(L$5,NFI,5,0),1,0)*Table_NFI[[#This Row],[Tarpaulin]],Table_NFI[[#This Row],[Tarpaulin]])</f>
        <v>0</v>
      </c>
      <c r="AD546" s="352">
        <f>IF(NFI_Expiration=1,IF($A546&lt;VLOOKUP(M$5,NFI,5,0),1,0)*Table_NFI[[#This Row],[Blanket]],Table_NFI[[#This Row],[Blanket]])</f>
        <v>0</v>
      </c>
      <c r="AE546" s="352">
        <f>IF(NFI_Expiration=1,IF($A546&lt;VLOOKUP(N$5,NFI,5,0),1,0)*Table_NFI[[#This Row],[Kitchen Set]],Table_NFI[Kitchen Set])</f>
        <v>0</v>
      </c>
      <c r="AF546" s="352">
        <f>IF(NFI_Expiration=1,IF($A546&lt;VLOOKUP(O$5,NFI,5,0),1,0)*Table_NFI[[#This Row],[Clothes Kit]],Table_NFI[Clothes Kit])</f>
        <v>0</v>
      </c>
      <c r="AG546" s="352">
        <f>IF(NFI_Expiration=1,IF($A546&lt;VLOOKUP(P$5,NFI,5,0),1,0)*Table_NFI[[#This Row],[Plastic Bucket]],Table_NFI[Plastic Bucket])</f>
        <v>0</v>
      </c>
      <c r="AH546" s="352">
        <f>IF(NFI_Expiration=1,IF($A546&lt;VLOOKUP(Q$5,NFI,5,0),1,0)*Table_NFI[[#This Row],[Plastic Mat]],Table_NFI[Plastic Mat])*IF(Table_NFI[[#This Row],[Distribution Date]]&gt;"2014-04-01",1,2.5)</f>
        <v>0</v>
      </c>
      <c r="AI546" s="352">
        <f>IF(NFI_Expiration=1,IF($A546&lt;VLOOKUP(R$5,NFI,5,0),1,0)*Table_NFI[[#This Row],[Winter Clothes Adult]],Table_NFI[Winter Clothes Adult])</f>
        <v>0</v>
      </c>
      <c r="AJ546" s="352">
        <f>IF(NFI_Expiration=1,IF($A546&lt;VLOOKUP(S$5,NFI,5,0),1,0)*Table_NFI[[#This Row],[Winter Clothes Children]],Table_NFI[Winter Clothes Children])</f>
        <v>0</v>
      </c>
      <c r="AK546" s="352">
        <f>IF(NFI_Expiration=1,IF($A546&lt;VLOOKUP(T$5,NFI,5,0),1,0)*Table_NFI[[#This Row],[Winter Items Other]],Table_NFI[Winter Items Other])</f>
        <v>0</v>
      </c>
      <c r="AL546" s="352">
        <f>IF(NFI_Expiration=1,IF($A546&lt;VLOOKUP(M$5,NFI,5,0),1,0)*Table_NFI[[#This Row],[Winter Blanket]],Table_NFI[[#This Row],[Winter Blanket]])</f>
        <v>0</v>
      </c>
      <c r="AM546" s="352">
        <f>IF(Table_NFI[[#This Row],[Winter Clothes Adult]]+Table_NFI[[#This Row],[Winter Clothes Children]]+Table_NFI[[#This Row],[Winter Items Other]]+Table_NFI[[#This Row],[Winter Blanket]]&gt;0,1,0)</f>
        <v>0</v>
      </c>
      <c r="AN546" s="392">
        <f>IF(NFI_Expiration=1,IF($A546&lt;VLOOKUP(V$5,NFI,5,0),1,0)*Table_NFI[[#This Row],[Jerry Can]],Table_NFI[Jerry Can])</f>
        <v>0</v>
      </c>
      <c r="AO546" s="540" t="str">
        <f>IFERROR(VLOOKUP(Table_NFI[[#This Row],[Camp Name]],CL,2,0),"")</f>
        <v>MMR001CMP218</v>
      </c>
      <c r="AP546" s="535">
        <f ca="1">IF(Table_NFI[[#This Row],[Pcode]]="","",IF(OFFSET(CampList[Opening Date],MATCH(Table_NFI[[#This Row],[Pcode]],CampList[CP_Pcode],0)-1,0,1,1)&gt;=NFI_Monitor_Date,1,0))</f>
        <v>0</v>
      </c>
      <c r="AQ546" s="540" t="str">
        <f>IFERROR(VLOOKUP(Table_NFI[[#This Row],[Camp Name]],CL,3,0),"")</f>
        <v>Open</v>
      </c>
      <c r="AR546" s="352" t="str">
        <f ca="1">IF(Table_NFI[[#This Row],[Pcode]]="","",OFFSET(CampList[Priority],MATCH(Table_NFI[[#This Row],[Pcode]],CampList[CP_Pcode],0)-1,0,1,1))</f>
        <v>P4</v>
      </c>
      <c r="AS546" s="351">
        <f>IFERROR(Table_NFI[[#This Row],[Kitchen Set]]/VLOOKUP(Table_NFI[[#This Row],[Camp Name]],CL,4,0),"")</f>
        <v>4.6153846153846156E-2</v>
      </c>
      <c r="AT546" s="533"/>
      <c r="AU546" s="536"/>
    </row>
    <row r="547" spans="1:47" s="537" customFormat="1" ht="14.45" hidden="1" customHeight="1" x14ac:dyDescent="0.25">
      <c r="A547" s="355">
        <f t="shared" si="8"/>
        <v>43.233333333333334</v>
      </c>
      <c r="B547" s="532">
        <v>41274</v>
      </c>
      <c r="C547" s="533" t="s">
        <v>454</v>
      </c>
      <c r="D547" s="534" t="s">
        <v>454</v>
      </c>
      <c r="E547" s="533" t="s">
        <v>380</v>
      </c>
      <c r="F547" s="348" t="s">
        <v>237</v>
      </c>
      <c r="G547" s="348" t="s">
        <v>263</v>
      </c>
      <c r="H547" s="349">
        <v>14</v>
      </c>
      <c r="I547" s="349"/>
      <c r="J547" s="349"/>
      <c r="K547" s="349"/>
      <c r="L547" s="350"/>
      <c r="M547" s="350"/>
      <c r="N547" s="350"/>
      <c r="O547" s="350"/>
      <c r="P547" s="352">
        <v>0</v>
      </c>
      <c r="Q547" s="352">
        <v>0</v>
      </c>
      <c r="R547" s="352"/>
      <c r="S547" s="352"/>
      <c r="T547" s="352"/>
      <c r="U547" s="352"/>
      <c r="V547" s="497"/>
      <c r="W547" s="352"/>
      <c r="X547" s="352"/>
      <c r="Y547" s="352">
        <f>IF(NFI_Expiration=1,IF($A547&lt;VLOOKUP(H$5,NFI,5,0),1,0)*Table_NFI[[#This Row],[Hygiene Kit]],Table_NFI[Hygiene Kit])</f>
        <v>0</v>
      </c>
      <c r="Z547" s="352">
        <f>IF(NFI_Expiration=1,IF($A547&lt;VLOOKUP(I$5,NFI,5,0),1,0)*Table_NFI[[#This Row],[NFI Core Kit]],Table_NFI[NFI Core Kit])</f>
        <v>0</v>
      </c>
      <c r="AA547" s="352">
        <f>IF(NFI_Expiration=1,IF($A547&lt;VLOOKUP(J$5,NFI,5,0),1,0)*Table_NFI[[#This Row],[Sanitary Kit]],Table_NFI[Sanitary Kit])</f>
        <v>0</v>
      </c>
      <c r="AB547" s="352">
        <f>IF(NFI_Expiration=1,IF($A547&lt;VLOOKUP(K$5,NFI,5,0),1,0)*Table_NFI[[#This Row],[Mosquito net]],Table_NFI[Mosquito net])</f>
        <v>0</v>
      </c>
      <c r="AC547" s="352">
        <f>IF(NFI_Expiration=1,IF($A547&lt;VLOOKUP(L$5,NFI,5,0),1,0)*Table_NFI[[#This Row],[Tarpaulin]],Table_NFI[[#This Row],[Tarpaulin]])</f>
        <v>0</v>
      </c>
      <c r="AD547" s="352">
        <f>IF(NFI_Expiration=1,IF($A547&lt;VLOOKUP(M$5,NFI,5,0),1,0)*Table_NFI[[#This Row],[Blanket]],Table_NFI[[#This Row],[Blanket]])</f>
        <v>0</v>
      </c>
      <c r="AE547" s="352">
        <f>IF(NFI_Expiration=1,IF($A547&lt;VLOOKUP(N$5,NFI,5,0),1,0)*Table_NFI[[#This Row],[Kitchen Set]],Table_NFI[Kitchen Set])</f>
        <v>0</v>
      </c>
      <c r="AF547" s="352">
        <f>IF(NFI_Expiration=1,IF($A547&lt;VLOOKUP(O$5,NFI,5,0),1,0)*Table_NFI[[#This Row],[Clothes Kit]],Table_NFI[Clothes Kit])</f>
        <v>0</v>
      </c>
      <c r="AG547" s="352">
        <f>IF(NFI_Expiration=1,IF($A547&lt;VLOOKUP(P$5,NFI,5,0),1,0)*Table_NFI[[#This Row],[Plastic Bucket]],Table_NFI[Plastic Bucket])</f>
        <v>0</v>
      </c>
      <c r="AH547" s="352">
        <f>IF(NFI_Expiration=1,IF($A547&lt;VLOOKUP(Q$5,NFI,5,0),1,0)*Table_NFI[[#This Row],[Plastic Mat]],Table_NFI[Plastic Mat])*IF(Table_NFI[[#This Row],[Distribution Date]]&gt;"2014-04-01",1,2.5)</f>
        <v>0</v>
      </c>
      <c r="AI547" s="352">
        <f>IF(NFI_Expiration=1,IF($A547&lt;VLOOKUP(R$5,NFI,5,0),1,0)*Table_NFI[[#This Row],[Winter Clothes Adult]],Table_NFI[Winter Clothes Adult])</f>
        <v>0</v>
      </c>
      <c r="AJ547" s="352">
        <f>IF(NFI_Expiration=1,IF($A547&lt;VLOOKUP(S$5,NFI,5,0),1,0)*Table_NFI[[#This Row],[Winter Clothes Children]],Table_NFI[Winter Clothes Children])</f>
        <v>0</v>
      </c>
      <c r="AK547" s="352">
        <f>IF(NFI_Expiration=1,IF($A547&lt;VLOOKUP(T$5,NFI,5,0),1,0)*Table_NFI[[#This Row],[Winter Items Other]],Table_NFI[Winter Items Other])</f>
        <v>0</v>
      </c>
      <c r="AL547" s="352">
        <f>IF(NFI_Expiration=1,IF($A547&lt;VLOOKUP(M$5,NFI,5,0),1,0)*Table_NFI[[#This Row],[Winter Blanket]],Table_NFI[[#This Row],[Winter Blanket]])</f>
        <v>0</v>
      </c>
      <c r="AM547" s="352">
        <f>IF(Table_NFI[[#This Row],[Winter Clothes Adult]]+Table_NFI[[#This Row],[Winter Clothes Children]]+Table_NFI[[#This Row],[Winter Items Other]]+Table_NFI[[#This Row],[Winter Blanket]]&gt;0,1,0)</f>
        <v>0</v>
      </c>
      <c r="AN547" s="392">
        <f>IF(NFI_Expiration=1,IF($A547&lt;VLOOKUP(V$5,NFI,5,0),1,0)*Table_NFI[[#This Row],[Jerry Can]],Table_NFI[Jerry Can])</f>
        <v>0</v>
      </c>
      <c r="AO547" s="540" t="str">
        <f>IFERROR(VLOOKUP(Table_NFI[[#This Row],[Camp Name]],CL,2,0),"")</f>
        <v>MMR001CMP020</v>
      </c>
      <c r="AP547" s="535">
        <f ca="1">IF(Table_NFI[[#This Row],[Pcode]]="","",IF(OFFSET(CampList[Opening Date],MATCH(Table_NFI[[#This Row],[Pcode]],CampList[CP_Pcode],0)-1,0,1,1)&gt;=NFI_Monitor_Date,1,0))</f>
        <v>0</v>
      </c>
      <c r="AQ547" s="540" t="str">
        <f>IFERROR(VLOOKUP(Table_NFI[[#This Row],[Camp Name]],CL,3,0),"")</f>
        <v>Open</v>
      </c>
      <c r="AR547" s="352" t="str">
        <f ca="1">IF(Table_NFI[[#This Row],[Pcode]]="","",OFFSET(CampList[Priority],MATCH(Table_NFI[[#This Row],[Pcode]],CampList[CP_Pcode],0)-1,0,1,1))</f>
        <v>P4</v>
      </c>
      <c r="AS547" s="351">
        <f>IFERROR(Table_NFI[[#This Row],[Kitchen Set]]/VLOOKUP(Table_NFI[[#This Row],[Camp Name]],CL,4,0),"")</f>
        <v>0</v>
      </c>
      <c r="AT547" s="533" t="s">
        <v>1094</v>
      </c>
      <c r="AU547" s="536"/>
    </row>
    <row r="548" spans="1:47" s="537" customFormat="1" ht="14.45" customHeight="1" x14ac:dyDescent="0.25">
      <c r="A548" s="355">
        <f t="shared" si="8"/>
        <v>37.733333333333334</v>
      </c>
      <c r="B548" s="532">
        <v>41439</v>
      </c>
      <c r="C548" s="533" t="s">
        <v>453</v>
      </c>
      <c r="D548" s="534" t="s">
        <v>453</v>
      </c>
      <c r="E548" s="533" t="s">
        <v>380</v>
      </c>
      <c r="F548" s="348" t="s">
        <v>185</v>
      </c>
      <c r="G548" s="348" t="s">
        <v>219</v>
      </c>
      <c r="H548" s="349"/>
      <c r="I548" s="349"/>
      <c r="J548" s="349">
        <v>42</v>
      </c>
      <c r="K548" s="349">
        <v>42</v>
      </c>
      <c r="L548" s="350">
        <v>21</v>
      </c>
      <c r="M548" s="350">
        <v>42</v>
      </c>
      <c r="N548" s="350">
        <v>21</v>
      </c>
      <c r="O548" s="350">
        <v>21</v>
      </c>
      <c r="P548" s="352">
        <v>21</v>
      </c>
      <c r="Q548" s="352">
        <v>21</v>
      </c>
      <c r="R548" s="352"/>
      <c r="S548" s="352"/>
      <c r="T548" s="352"/>
      <c r="U548" s="352"/>
      <c r="V548" s="497"/>
      <c r="W548" s="352"/>
      <c r="X548" s="352"/>
      <c r="Y548" s="352">
        <f>IF(NFI_Expiration=1,IF($A548&lt;VLOOKUP(H$5,NFI,5,0),1,0)*Table_NFI[[#This Row],[Hygiene Kit]],Table_NFI[Hygiene Kit])</f>
        <v>0</v>
      </c>
      <c r="Z548" s="352">
        <f>IF(NFI_Expiration=1,IF($A548&lt;VLOOKUP(I$5,NFI,5,0),1,0)*Table_NFI[[#This Row],[NFI Core Kit]],Table_NFI[NFI Core Kit])</f>
        <v>0</v>
      </c>
      <c r="AA548" s="352">
        <f>IF(NFI_Expiration=1,IF($A548&lt;VLOOKUP(J$5,NFI,5,0),1,0)*Table_NFI[[#This Row],[Sanitary Kit]],Table_NFI[Sanitary Kit])</f>
        <v>0</v>
      </c>
      <c r="AB548" s="352">
        <f>IF(NFI_Expiration=1,IF($A548&lt;VLOOKUP(K$5,NFI,5,0),1,0)*Table_NFI[[#This Row],[Mosquito net]],Table_NFI[Mosquito net])</f>
        <v>0</v>
      </c>
      <c r="AC548" s="352">
        <f>IF(NFI_Expiration=1,IF($A548&lt;VLOOKUP(L$5,NFI,5,0),1,0)*Table_NFI[[#This Row],[Tarpaulin]],Table_NFI[[#This Row],[Tarpaulin]])</f>
        <v>0</v>
      </c>
      <c r="AD548" s="352">
        <f>IF(NFI_Expiration=1,IF($A548&lt;VLOOKUP(M$5,NFI,5,0),1,0)*Table_NFI[[#This Row],[Blanket]],Table_NFI[[#This Row],[Blanket]])</f>
        <v>0</v>
      </c>
      <c r="AE548" s="352">
        <f>IF(NFI_Expiration=1,IF($A548&lt;VLOOKUP(N$5,NFI,5,0),1,0)*Table_NFI[[#This Row],[Kitchen Set]],Table_NFI[Kitchen Set])</f>
        <v>0</v>
      </c>
      <c r="AF548" s="352">
        <f>IF(NFI_Expiration=1,IF($A548&lt;VLOOKUP(O$5,NFI,5,0),1,0)*Table_NFI[[#This Row],[Clothes Kit]],Table_NFI[Clothes Kit])</f>
        <v>0</v>
      </c>
      <c r="AG548" s="352">
        <f>IF(NFI_Expiration=1,IF($A548&lt;VLOOKUP(P$5,NFI,5,0),1,0)*Table_NFI[[#This Row],[Plastic Bucket]],Table_NFI[Plastic Bucket])</f>
        <v>0</v>
      </c>
      <c r="AH548" s="352">
        <f>IF(NFI_Expiration=1,IF($A548&lt;VLOOKUP(Q$5,NFI,5,0),1,0)*Table_NFI[[#This Row],[Plastic Mat]],Table_NFI[Plastic Mat])*IF(Table_NFI[[#This Row],[Distribution Date]]&gt;"2014-04-01",1,2.5)</f>
        <v>0</v>
      </c>
      <c r="AI548" s="352">
        <f>IF(NFI_Expiration=1,IF($A548&lt;VLOOKUP(R$5,NFI,5,0),1,0)*Table_NFI[[#This Row],[Winter Clothes Adult]],Table_NFI[Winter Clothes Adult])</f>
        <v>0</v>
      </c>
      <c r="AJ548" s="352">
        <f>IF(NFI_Expiration=1,IF($A548&lt;VLOOKUP(S$5,NFI,5,0),1,0)*Table_NFI[[#This Row],[Winter Clothes Children]],Table_NFI[Winter Clothes Children])</f>
        <v>0</v>
      </c>
      <c r="AK548" s="352">
        <f>IF(NFI_Expiration=1,IF($A548&lt;VLOOKUP(T$5,NFI,5,0),1,0)*Table_NFI[[#This Row],[Winter Items Other]],Table_NFI[Winter Items Other])</f>
        <v>0</v>
      </c>
      <c r="AL548" s="352">
        <f>IF(NFI_Expiration=1,IF($A548&lt;VLOOKUP(M$5,NFI,5,0),1,0)*Table_NFI[[#This Row],[Winter Blanket]],Table_NFI[[#This Row],[Winter Blanket]])</f>
        <v>0</v>
      </c>
      <c r="AM548" s="352">
        <f>IF(Table_NFI[[#This Row],[Winter Clothes Adult]]+Table_NFI[[#This Row],[Winter Clothes Children]]+Table_NFI[[#This Row],[Winter Items Other]]+Table_NFI[[#This Row],[Winter Blanket]]&gt;0,1,0)</f>
        <v>0</v>
      </c>
      <c r="AN548" s="392">
        <f>IF(NFI_Expiration=1,IF($A548&lt;VLOOKUP(V$5,NFI,5,0),1,0)*Table_NFI[[#This Row],[Jerry Can]],Table_NFI[Jerry Can])</f>
        <v>0</v>
      </c>
      <c r="AO548" s="540" t="str">
        <f>IFERROR(VLOOKUP(Table_NFI[[#This Row],[Camp Name]],CL,2,0),"")</f>
        <v>MMR001CMP126</v>
      </c>
      <c r="AP548" s="535">
        <f ca="1">IF(Table_NFI[[#This Row],[Pcode]]="","",IF(OFFSET(CampList[Opening Date],MATCH(Table_NFI[[#This Row],[Pcode]],CampList[CP_Pcode],0)-1,0,1,1)&gt;=NFI_Monitor_Date,1,0))</f>
        <v>0</v>
      </c>
      <c r="AQ548" s="540" t="str">
        <f>IFERROR(VLOOKUP(Table_NFI[[#This Row],[Camp Name]],CL,3,0),"")</f>
        <v>Open</v>
      </c>
      <c r="AR548" s="352" t="str">
        <f ca="1">IF(Table_NFI[[#This Row],[Pcode]]="","",OFFSET(CampList[Priority],MATCH(Table_NFI[[#This Row],[Pcode]],CampList[CP_Pcode],0)-1,0,1,1))</f>
        <v>P2</v>
      </c>
      <c r="AS548" s="351">
        <f>IFERROR(Table_NFI[[#This Row],[Kitchen Set]]/VLOOKUP(Table_NFI[[#This Row],[Camp Name]],CL,4,0),"")</f>
        <v>3.10192023633678E-2</v>
      </c>
      <c r="AT548" s="533" t="s">
        <v>1094</v>
      </c>
      <c r="AU548" s="536"/>
    </row>
    <row r="549" spans="1:47" s="537" customFormat="1" ht="14.45" customHeight="1" x14ac:dyDescent="0.25">
      <c r="A549" s="355">
        <f t="shared" si="8"/>
        <v>37.766666666666666</v>
      </c>
      <c r="B549" s="532">
        <v>41438</v>
      </c>
      <c r="C549" s="533" t="s">
        <v>453</v>
      </c>
      <c r="D549" s="534" t="s">
        <v>453</v>
      </c>
      <c r="E549" s="533" t="s">
        <v>380</v>
      </c>
      <c r="F549" s="348" t="s">
        <v>185</v>
      </c>
      <c r="G549" s="348" t="s">
        <v>186</v>
      </c>
      <c r="H549" s="349"/>
      <c r="I549" s="349"/>
      <c r="J549" s="349">
        <v>152</v>
      </c>
      <c r="K549" s="349">
        <v>11</v>
      </c>
      <c r="L549" s="350">
        <v>4</v>
      </c>
      <c r="M549" s="350">
        <v>11</v>
      </c>
      <c r="N549" s="350">
        <v>4</v>
      </c>
      <c r="O549" s="350">
        <v>4</v>
      </c>
      <c r="P549" s="352">
        <v>4</v>
      </c>
      <c r="Q549" s="352">
        <v>4</v>
      </c>
      <c r="R549" s="352"/>
      <c r="S549" s="352"/>
      <c r="T549" s="352"/>
      <c r="U549" s="352"/>
      <c r="V549" s="497"/>
      <c r="W549" s="352"/>
      <c r="X549" s="352"/>
      <c r="Y549" s="352">
        <f>IF(NFI_Expiration=1,IF($A549&lt;VLOOKUP(H$5,NFI,5,0),1,0)*Table_NFI[[#This Row],[Hygiene Kit]],Table_NFI[Hygiene Kit])</f>
        <v>0</v>
      </c>
      <c r="Z549" s="352">
        <f>IF(NFI_Expiration=1,IF($A549&lt;VLOOKUP(I$5,NFI,5,0),1,0)*Table_NFI[[#This Row],[NFI Core Kit]],Table_NFI[NFI Core Kit])</f>
        <v>0</v>
      </c>
      <c r="AA549" s="352">
        <f>IF(NFI_Expiration=1,IF($A549&lt;VLOOKUP(J$5,NFI,5,0),1,0)*Table_NFI[[#This Row],[Sanitary Kit]],Table_NFI[Sanitary Kit])</f>
        <v>0</v>
      </c>
      <c r="AB549" s="352">
        <f>IF(NFI_Expiration=1,IF($A549&lt;VLOOKUP(K$5,NFI,5,0),1,0)*Table_NFI[[#This Row],[Mosquito net]],Table_NFI[Mosquito net])</f>
        <v>0</v>
      </c>
      <c r="AC549" s="352">
        <f>IF(NFI_Expiration=1,IF($A549&lt;VLOOKUP(L$5,NFI,5,0),1,0)*Table_NFI[[#This Row],[Tarpaulin]],Table_NFI[[#This Row],[Tarpaulin]])</f>
        <v>0</v>
      </c>
      <c r="AD549" s="352">
        <f>IF(NFI_Expiration=1,IF($A549&lt;VLOOKUP(M$5,NFI,5,0),1,0)*Table_NFI[[#This Row],[Blanket]],Table_NFI[[#This Row],[Blanket]])</f>
        <v>0</v>
      </c>
      <c r="AE549" s="352">
        <f>IF(NFI_Expiration=1,IF($A549&lt;VLOOKUP(N$5,NFI,5,0),1,0)*Table_NFI[[#This Row],[Kitchen Set]],Table_NFI[Kitchen Set])</f>
        <v>0</v>
      </c>
      <c r="AF549" s="352">
        <f>IF(NFI_Expiration=1,IF($A549&lt;VLOOKUP(O$5,NFI,5,0),1,0)*Table_NFI[[#This Row],[Clothes Kit]],Table_NFI[Clothes Kit])</f>
        <v>0</v>
      </c>
      <c r="AG549" s="352">
        <f>IF(NFI_Expiration=1,IF($A549&lt;VLOOKUP(P$5,NFI,5,0),1,0)*Table_NFI[[#This Row],[Plastic Bucket]],Table_NFI[Plastic Bucket])</f>
        <v>0</v>
      </c>
      <c r="AH549" s="352">
        <f>IF(NFI_Expiration=1,IF($A549&lt;VLOOKUP(Q$5,NFI,5,0),1,0)*Table_NFI[[#This Row],[Plastic Mat]],Table_NFI[Plastic Mat])*IF(Table_NFI[[#This Row],[Distribution Date]]&gt;"2014-04-01",1,2.5)</f>
        <v>0</v>
      </c>
      <c r="AI549" s="352">
        <f>IF(NFI_Expiration=1,IF($A549&lt;VLOOKUP(R$5,NFI,5,0),1,0)*Table_NFI[[#This Row],[Winter Clothes Adult]],Table_NFI[Winter Clothes Adult])</f>
        <v>0</v>
      </c>
      <c r="AJ549" s="352">
        <f>IF(NFI_Expiration=1,IF($A549&lt;VLOOKUP(S$5,NFI,5,0),1,0)*Table_NFI[[#This Row],[Winter Clothes Children]],Table_NFI[Winter Clothes Children])</f>
        <v>0</v>
      </c>
      <c r="AK549" s="352">
        <f>IF(NFI_Expiration=1,IF($A549&lt;VLOOKUP(T$5,NFI,5,0),1,0)*Table_NFI[[#This Row],[Winter Items Other]],Table_NFI[Winter Items Other])</f>
        <v>0</v>
      </c>
      <c r="AL549" s="352">
        <f>IF(NFI_Expiration=1,IF($A549&lt;VLOOKUP(M$5,NFI,5,0),1,0)*Table_NFI[[#This Row],[Winter Blanket]],Table_NFI[[#This Row],[Winter Blanket]])</f>
        <v>0</v>
      </c>
      <c r="AM549" s="352">
        <f>IF(Table_NFI[[#This Row],[Winter Clothes Adult]]+Table_NFI[[#This Row],[Winter Clothes Children]]+Table_NFI[[#This Row],[Winter Items Other]]+Table_NFI[[#This Row],[Winter Blanket]]&gt;0,1,0)</f>
        <v>0</v>
      </c>
      <c r="AN549" s="392">
        <f>IF(NFI_Expiration=1,IF($A549&lt;VLOOKUP(V$5,NFI,5,0),1,0)*Table_NFI[[#This Row],[Jerry Can]],Table_NFI[Jerry Can])</f>
        <v>0</v>
      </c>
      <c r="AO549" s="540" t="str">
        <f>IFERROR(VLOOKUP(Table_NFI[[#This Row],[Camp Name]],CL,2,0),"")</f>
        <v>MMR001CMP071</v>
      </c>
      <c r="AP549" s="535">
        <f ca="1">IF(Table_NFI[[#This Row],[Pcode]]="","",IF(OFFSET(CampList[Opening Date],MATCH(Table_NFI[[#This Row],[Pcode]],CampList[CP_Pcode],0)-1,0,1,1)&gt;=NFI_Monitor_Date,1,0))</f>
        <v>0</v>
      </c>
      <c r="AQ549" s="540" t="str">
        <f>IFERROR(VLOOKUP(Table_NFI[[#This Row],[Camp Name]],CL,3,0),"")</f>
        <v>Open</v>
      </c>
      <c r="AR549" s="352" t="str">
        <f ca="1">IF(Table_NFI[[#This Row],[Pcode]]="","",OFFSET(CampList[Priority],MATCH(Table_NFI[[#This Row],[Pcode]],CampList[CP_Pcode],0)-1,0,1,1))</f>
        <v>P3</v>
      </c>
      <c r="AS549" s="351">
        <f>IFERROR(Table_NFI[[#This Row],[Kitchen Set]]/VLOOKUP(Table_NFI[[#This Row],[Camp Name]],CL,4,0),"")</f>
        <v>0.1111111111111111</v>
      </c>
      <c r="AT549" s="533" t="s">
        <v>1094</v>
      </c>
      <c r="AU549" s="536"/>
    </row>
    <row r="550" spans="1:47" s="537" customFormat="1" ht="14.45" customHeight="1" x14ac:dyDescent="0.25">
      <c r="A550" s="355">
        <f t="shared" si="8"/>
        <v>37.766666666666666</v>
      </c>
      <c r="B550" s="532">
        <v>41438</v>
      </c>
      <c r="C550" s="533" t="s">
        <v>453</v>
      </c>
      <c r="D550" s="534" t="s">
        <v>453</v>
      </c>
      <c r="E550" s="533" t="s">
        <v>380</v>
      </c>
      <c r="F550" s="348" t="s">
        <v>185</v>
      </c>
      <c r="G550" s="348" t="s">
        <v>223</v>
      </c>
      <c r="H550" s="349"/>
      <c r="I550" s="349"/>
      <c r="J550" s="349">
        <v>425</v>
      </c>
      <c r="K550" s="349">
        <v>30</v>
      </c>
      <c r="L550" s="350">
        <v>11</v>
      </c>
      <c r="M550" s="350">
        <v>30</v>
      </c>
      <c r="N550" s="350">
        <v>11</v>
      </c>
      <c r="O550" s="350">
        <v>11</v>
      </c>
      <c r="P550" s="352">
        <v>11</v>
      </c>
      <c r="Q550" s="352">
        <v>11</v>
      </c>
      <c r="R550" s="352"/>
      <c r="S550" s="352"/>
      <c r="T550" s="352"/>
      <c r="U550" s="352"/>
      <c r="V550" s="497"/>
      <c r="W550" s="352"/>
      <c r="X550" s="352"/>
      <c r="Y550" s="352">
        <f>IF(NFI_Expiration=1,IF($A550&lt;VLOOKUP(H$5,NFI,5,0),1,0)*Table_NFI[[#This Row],[Hygiene Kit]],Table_NFI[Hygiene Kit])</f>
        <v>0</v>
      </c>
      <c r="Z550" s="352">
        <f>IF(NFI_Expiration=1,IF($A550&lt;VLOOKUP(I$5,NFI,5,0),1,0)*Table_NFI[[#This Row],[NFI Core Kit]],Table_NFI[NFI Core Kit])</f>
        <v>0</v>
      </c>
      <c r="AA550" s="352">
        <f>IF(NFI_Expiration=1,IF($A550&lt;VLOOKUP(J$5,NFI,5,0),1,0)*Table_NFI[[#This Row],[Sanitary Kit]],Table_NFI[Sanitary Kit])</f>
        <v>0</v>
      </c>
      <c r="AB550" s="352">
        <f>IF(NFI_Expiration=1,IF($A550&lt;VLOOKUP(K$5,NFI,5,0),1,0)*Table_NFI[[#This Row],[Mosquito net]],Table_NFI[Mosquito net])</f>
        <v>0</v>
      </c>
      <c r="AC550" s="352">
        <f>IF(NFI_Expiration=1,IF($A550&lt;VLOOKUP(L$5,NFI,5,0),1,0)*Table_NFI[[#This Row],[Tarpaulin]],Table_NFI[[#This Row],[Tarpaulin]])</f>
        <v>0</v>
      </c>
      <c r="AD550" s="352">
        <f>IF(NFI_Expiration=1,IF($A550&lt;VLOOKUP(M$5,NFI,5,0),1,0)*Table_NFI[[#This Row],[Blanket]],Table_NFI[[#This Row],[Blanket]])</f>
        <v>0</v>
      </c>
      <c r="AE550" s="352">
        <f>IF(NFI_Expiration=1,IF($A550&lt;VLOOKUP(N$5,NFI,5,0),1,0)*Table_NFI[[#This Row],[Kitchen Set]],Table_NFI[Kitchen Set])</f>
        <v>0</v>
      </c>
      <c r="AF550" s="352">
        <f>IF(NFI_Expiration=1,IF($A550&lt;VLOOKUP(O$5,NFI,5,0),1,0)*Table_NFI[[#This Row],[Clothes Kit]],Table_NFI[Clothes Kit])</f>
        <v>0</v>
      </c>
      <c r="AG550" s="352">
        <f>IF(NFI_Expiration=1,IF($A550&lt;VLOOKUP(P$5,NFI,5,0),1,0)*Table_NFI[[#This Row],[Plastic Bucket]],Table_NFI[Plastic Bucket])</f>
        <v>0</v>
      </c>
      <c r="AH550" s="352">
        <f>IF(NFI_Expiration=1,IF($A550&lt;VLOOKUP(Q$5,NFI,5,0),1,0)*Table_NFI[[#This Row],[Plastic Mat]],Table_NFI[Plastic Mat])*IF(Table_NFI[[#This Row],[Distribution Date]]&gt;"2014-04-01",1,2.5)</f>
        <v>0</v>
      </c>
      <c r="AI550" s="352">
        <f>IF(NFI_Expiration=1,IF($A550&lt;VLOOKUP(R$5,NFI,5,0),1,0)*Table_NFI[[#This Row],[Winter Clothes Adult]],Table_NFI[Winter Clothes Adult])</f>
        <v>0</v>
      </c>
      <c r="AJ550" s="352">
        <f>IF(NFI_Expiration=1,IF($A550&lt;VLOOKUP(S$5,NFI,5,0),1,0)*Table_NFI[[#This Row],[Winter Clothes Children]],Table_NFI[Winter Clothes Children])</f>
        <v>0</v>
      </c>
      <c r="AK550" s="352">
        <f>IF(NFI_Expiration=1,IF($A550&lt;VLOOKUP(T$5,NFI,5,0),1,0)*Table_NFI[[#This Row],[Winter Items Other]],Table_NFI[Winter Items Other])</f>
        <v>0</v>
      </c>
      <c r="AL550" s="352">
        <f>IF(NFI_Expiration=1,IF($A550&lt;VLOOKUP(M$5,NFI,5,0),1,0)*Table_NFI[[#This Row],[Winter Blanket]],Table_NFI[[#This Row],[Winter Blanket]])</f>
        <v>0</v>
      </c>
      <c r="AM550" s="352">
        <f>IF(Table_NFI[[#This Row],[Winter Clothes Adult]]+Table_NFI[[#This Row],[Winter Clothes Children]]+Table_NFI[[#This Row],[Winter Items Other]]+Table_NFI[[#This Row],[Winter Blanket]]&gt;0,1,0)</f>
        <v>0</v>
      </c>
      <c r="AN550" s="392">
        <f>IF(NFI_Expiration=1,IF($A550&lt;VLOOKUP(V$5,NFI,5,0),1,0)*Table_NFI[[#This Row],[Jerry Can]],Table_NFI[Jerry Can])</f>
        <v>0</v>
      </c>
      <c r="AO550" s="540" t="str">
        <f>IFERROR(VLOOKUP(Table_NFI[[#This Row],[Camp Name]],CL,2,0),"")</f>
        <v>MMR001CMP069</v>
      </c>
      <c r="AP550" s="535">
        <f ca="1">IF(Table_NFI[[#This Row],[Pcode]]="","",IF(OFFSET(CampList[Opening Date],MATCH(Table_NFI[[#This Row],[Pcode]],CampList[CP_Pcode],0)-1,0,1,1)&gt;=NFI_Monitor_Date,1,0))</f>
        <v>0</v>
      </c>
      <c r="AQ550" s="540" t="str">
        <f>IFERROR(VLOOKUP(Table_NFI[[#This Row],[Camp Name]],CL,3,0),"")</f>
        <v>Open</v>
      </c>
      <c r="AR550" s="352" t="str">
        <f ca="1">IF(Table_NFI[[#This Row],[Pcode]]="","",OFFSET(CampList[Priority],MATCH(Table_NFI[[#This Row],[Pcode]],CampList[CP_Pcode],0)-1,0,1,1))</f>
        <v>P3</v>
      </c>
      <c r="AS550" s="351">
        <f>IFERROR(Table_NFI[[#This Row],[Kitchen Set]]/VLOOKUP(Table_NFI[[#This Row],[Camp Name]],CL,4,0),"")</f>
        <v>8.8709677419354843E-2</v>
      </c>
      <c r="AT550" s="533" t="s">
        <v>1094</v>
      </c>
      <c r="AU550" s="536"/>
    </row>
    <row r="551" spans="1:47" s="537" customFormat="1" ht="14.45" customHeight="1" x14ac:dyDescent="0.25">
      <c r="A551" s="355">
        <f t="shared" si="8"/>
        <v>37.766666666666666</v>
      </c>
      <c r="B551" s="532">
        <v>41438</v>
      </c>
      <c r="C551" s="533" t="s">
        <v>453</v>
      </c>
      <c r="D551" s="534" t="s">
        <v>453</v>
      </c>
      <c r="E551" s="533" t="s">
        <v>380</v>
      </c>
      <c r="F551" s="348" t="s">
        <v>185</v>
      </c>
      <c r="G551" s="348" t="s">
        <v>190</v>
      </c>
      <c r="H551" s="349"/>
      <c r="I551" s="349"/>
      <c r="J551" s="349">
        <v>941</v>
      </c>
      <c r="K551" s="349">
        <v>67</v>
      </c>
      <c r="L551" s="350">
        <v>24</v>
      </c>
      <c r="M551" s="350">
        <v>67</v>
      </c>
      <c r="N551" s="350">
        <v>24</v>
      </c>
      <c r="O551" s="350">
        <v>24</v>
      </c>
      <c r="P551" s="352">
        <v>24</v>
      </c>
      <c r="Q551" s="352">
        <v>24</v>
      </c>
      <c r="R551" s="352"/>
      <c r="S551" s="352"/>
      <c r="T551" s="352"/>
      <c r="U551" s="352"/>
      <c r="V551" s="497"/>
      <c r="W551" s="352"/>
      <c r="X551" s="352"/>
      <c r="Y551" s="352">
        <f>IF(NFI_Expiration=1,IF($A551&lt;VLOOKUP(H$5,NFI,5,0),1,0)*Table_NFI[[#This Row],[Hygiene Kit]],Table_NFI[Hygiene Kit])</f>
        <v>0</v>
      </c>
      <c r="Z551" s="352">
        <f>IF(NFI_Expiration=1,IF($A551&lt;VLOOKUP(I$5,NFI,5,0),1,0)*Table_NFI[[#This Row],[NFI Core Kit]],Table_NFI[NFI Core Kit])</f>
        <v>0</v>
      </c>
      <c r="AA551" s="352">
        <f>IF(NFI_Expiration=1,IF($A551&lt;VLOOKUP(J$5,NFI,5,0),1,0)*Table_NFI[[#This Row],[Sanitary Kit]],Table_NFI[Sanitary Kit])</f>
        <v>0</v>
      </c>
      <c r="AB551" s="352">
        <f>IF(NFI_Expiration=1,IF($A551&lt;VLOOKUP(K$5,NFI,5,0),1,0)*Table_NFI[[#This Row],[Mosquito net]],Table_NFI[Mosquito net])</f>
        <v>0</v>
      </c>
      <c r="AC551" s="352">
        <f>IF(NFI_Expiration=1,IF($A551&lt;VLOOKUP(L$5,NFI,5,0),1,0)*Table_NFI[[#This Row],[Tarpaulin]],Table_NFI[[#This Row],[Tarpaulin]])</f>
        <v>0</v>
      </c>
      <c r="AD551" s="352">
        <f>IF(NFI_Expiration=1,IF($A551&lt;VLOOKUP(M$5,NFI,5,0),1,0)*Table_NFI[[#This Row],[Blanket]],Table_NFI[[#This Row],[Blanket]])</f>
        <v>0</v>
      </c>
      <c r="AE551" s="352">
        <f>IF(NFI_Expiration=1,IF($A551&lt;VLOOKUP(N$5,NFI,5,0),1,0)*Table_NFI[[#This Row],[Kitchen Set]],Table_NFI[Kitchen Set])</f>
        <v>0</v>
      </c>
      <c r="AF551" s="352">
        <f>IF(NFI_Expiration=1,IF($A551&lt;VLOOKUP(O$5,NFI,5,0),1,0)*Table_NFI[[#This Row],[Clothes Kit]],Table_NFI[Clothes Kit])</f>
        <v>0</v>
      </c>
      <c r="AG551" s="352">
        <f>IF(NFI_Expiration=1,IF($A551&lt;VLOOKUP(P$5,NFI,5,0),1,0)*Table_NFI[[#This Row],[Plastic Bucket]],Table_NFI[Plastic Bucket])</f>
        <v>0</v>
      </c>
      <c r="AH551" s="352">
        <f>IF(NFI_Expiration=1,IF($A551&lt;VLOOKUP(Q$5,NFI,5,0),1,0)*Table_NFI[[#This Row],[Plastic Mat]],Table_NFI[Plastic Mat])*IF(Table_NFI[[#This Row],[Distribution Date]]&gt;"2014-04-01",1,2.5)</f>
        <v>0</v>
      </c>
      <c r="AI551" s="352">
        <f>IF(NFI_Expiration=1,IF($A551&lt;VLOOKUP(R$5,NFI,5,0),1,0)*Table_NFI[[#This Row],[Winter Clothes Adult]],Table_NFI[Winter Clothes Adult])</f>
        <v>0</v>
      </c>
      <c r="AJ551" s="352">
        <f>IF(NFI_Expiration=1,IF($A551&lt;VLOOKUP(S$5,NFI,5,0),1,0)*Table_NFI[[#This Row],[Winter Clothes Children]],Table_NFI[Winter Clothes Children])</f>
        <v>0</v>
      </c>
      <c r="AK551" s="352">
        <f>IF(NFI_Expiration=1,IF($A551&lt;VLOOKUP(T$5,NFI,5,0),1,0)*Table_NFI[[#This Row],[Winter Items Other]],Table_NFI[Winter Items Other])</f>
        <v>0</v>
      </c>
      <c r="AL551" s="352">
        <f>IF(NFI_Expiration=1,IF($A551&lt;VLOOKUP(M$5,NFI,5,0),1,0)*Table_NFI[[#This Row],[Winter Blanket]],Table_NFI[[#This Row],[Winter Blanket]])</f>
        <v>0</v>
      </c>
      <c r="AM551" s="352">
        <f>IF(Table_NFI[[#This Row],[Winter Clothes Adult]]+Table_NFI[[#This Row],[Winter Clothes Children]]+Table_NFI[[#This Row],[Winter Items Other]]+Table_NFI[[#This Row],[Winter Blanket]]&gt;0,1,0)</f>
        <v>0</v>
      </c>
      <c r="AN551" s="392">
        <f>IF(NFI_Expiration=1,IF($A551&lt;VLOOKUP(V$5,NFI,5,0),1,0)*Table_NFI[[#This Row],[Jerry Can]],Table_NFI[Jerry Can])</f>
        <v>0</v>
      </c>
      <c r="AO551" s="540" t="str">
        <f>IFERROR(VLOOKUP(Table_NFI[[#This Row],[Camp Name]],CL,2,0),"")</f>
        <v>MMR001CMP070</v>
      </c>
      <c r="AP551" s="535">
        <f ca="1">IF(Table_NFI[[#This Row],[Pcode]]="","",IF(OFFSET(CampList[Opening Date],MATCH(Table_NFI[[#This Row],[Pcode]],CampList[CP_Pcode],0)-1,0,1,1)&gt;=NFI_Monitor_Date,1,0))</f>
        <v>0</v>
      </c>
      <c r="AQ551" s="540" t="str">
        <f>IFERROR(VLOOKUP(Table_NFI[[#This Row],[Camp Name]],CL,3,0),"")</f>
        <v>Open</v>
      </c>
      <c r="AR551" s="352" t="str">
        <f ca="1">IF(Table_NFI[[#This Row],[Pcode]]="","",OFFSET(CampList[Priority],MATCH(Table_NFI[[#This Row],[Pcode]],CampList[CP_Pcode],0)-1,0,1,1))</f>
        <v>P3</v>
      </c>
      <c r="AS551" s="351">
        <f>IFERROR(Table_NFI[[#This Row],[Kitchen Set]]/VLOOKUP(Table_NFI[[#This Row],[Camp Name]],CL,4,0),"")</f>
        <v>0.12631578947368421</v>
      </c>
      <c r="AT551" s="533" t="s">
        <v>1094</v>
      </c>
      <c r="AU551" s="536"/>
    </row>
    <row r="552" spans="1:47" s="537" customFormat="1" ht="14.45" customHeight="1" x14ac:dyDescent="0.25">
      <c r="A552" s="355">
        <f t="shared" si="8"/>
        <v>38.5</v>
      </c>
      <c r="B552" s="532">
        <v>41416</v>
      </c>
      <c r="C552" s="533" t="s">
        <v>453</v>
      </c>
      <c r="D552" s="534" t="s">
        <v>453</v>
      </c>
      <c r="E552" s="533" t="s">
        <v>380</v>
      </c>
      <c r="F552" s="348" t="s">
        <v>27</v>
      </c>
      <c r="G552" s="348" t="s">
        <v>28</v>
      </c>
      <c r="H552" s="349"/>
      <c r="I552" s="349"/>
      <c r="J552" s="349">
        <v>80</v>
      </c>
      <c r="K552" s="349">
        <v>84</v>
      </c>
      <c r="L552" s="350">
        <v>41</v>
      </c>
      <c r="M552" s="350">
        <v>84</v>
      </c>
      <c r="N552" s="350">
        <v>41</v>
      </c>
      <c r="O552" s="350">
        <v>41</v>
      </c>
      <c r="P552" s="352">
        <v>41</v>
      </c>
      <c r="Q552" s="352">
        <v>41</v>
      </c>
      <c r="R552" s="352"/>
      <c r="S552" s="352"/>
      <c r="T552" s="352"/>
      <c r="U552" s="352"/>
      <c r="V552" s="497"/>
      <c r="W552" s="352"/>
      <c r="X552" s="352"/>
      <c r="Y552" s="352">
        <f>IF(NFI_Expiration=1,IF($A552&lt;VLOOKUP(H$5,NFI,5,0),1,0)*Table_NFI[[#This Row],[Hygiene Kit]],Table_NFI[Hygiene Kit])</f>
        <v>0</v>
      </c>
      <c r="Z552" s="352">
        <f>IF(NFI_Expiration=1,IF($A552&lt;VLOOKUP(I$5,NFI,5,0),1,0)*Table_NFI[[#This Row],[NFI Core Kit]],Table_NFI[NFI Core Kit])</f>
        <v>0</v>
      </c>
      <c r="AA552" s="352">
        <f>IF(NFI_Expiration=1,IF($A552&lt;VLOOKUP(J$5,NFI,5,0),1,0)*Table_NFI[[#This Row],[Sanitary Kit]],Table_NFI[Sanitary Kit])</f>
        <v>0</v>
      </c>
      <c r="AB552" s="352">
        <f>IF(NFI_Expiration=1,IF($A552&lt;VLOOKUP(K$5,NFI,5,0),1,0)*Table_NFI[[#This Row],[Mosquito net]],Table_NFI[Mosquito net])</f>
        <v>0</v>
      </c>
      <c r="AC552" s="352">
        <f>IF(NFI_Expiration=1,IF($A552&lt;VLOOKUP(L$5,NFI,5,0),1,0)*Table_NFI[[#This Row],[Tarpaulin]],Table_NFI[[#This Row],[Tarpaulin]])</f>
        <v>0</v>
      </c>
      <c r="AD552" s="352">
        <f>IF(NFI_Expiration=1,IF($A552&lt;VLOOKUP(M$5,NFI,5,0),1,0)*Table_NFI[[#This Row],[Blanket]],Table_NFI[[#This Row],[Blanket]])</f>
        <v>0</v>
      </c>
      <c r="AE552" s="352">
        <f>IF(NFI_Expiration=1,IF($A552&lt;VLOOKUP(N$5,NFI,5,0),1,0)*Table_NFI[[#This Row],[Kitchen Set]],Table_NFI[Kitchen Set])</f>
        <v>0</v>
      </c>
      <c r="AF552" s="352">
        <f>IF(NFI_Expiration=1,IF($A552&lt;VLOOKUP(O$5,NFI,5,0),1,0)*Table_NFI[[#This Row],[Clothes Kit]],Table_NFI[Clothes Kit])</f>
        <v>0</v>
      </c>
      <c r="AG552" s="352">
        <f>IF(NFI_Expiration=1,IF($A552&lt;VLOOKUP(P$5,NFI,5,0),1,0)*Table_NFI[[#This Row],[Plastic Bucket]],Table_NFI[Plastic Bucket])</f>
        <v>0</v>
      </c>
      <c r="AH552" s="352">
        <f>IF(NFI_Expiration=1,IF($A552&lt;VLOOKUP(Q$5,NFI,5,0),1,0)*Table_NFI[[#This Row],[Plastic Mat]],Table_NFI[Plastic Mat])*IF(Table_NFI[[#This Row],[Distribution Date]]&gt;"2014-04-01",1,2.5)</f>
        <v>0</v>
      </c>
      <c r="AI552" s="352">
        <f>IF(NFI_Expiration=1,IF($A552&lt;VLOOKUP(R$5,NFI,5,0),1,0)*Table_NFI[[#This Row],[Winter Clothes Adult]],Table_NFI[Winter Clothes Adult])</f>
        <v>0</v>
      </c>
      <c r="AJ552" s="352">
        <f>IF(NFI_Expiration=1,IF($A552&lt;VLOOKUP(S$5,NFI,5,0),1,0)*Table_NFI[[#This Row],[Winter Clothes Children]],Table_NFI[Winter Clothes Children])</f>
        <v>0</v>
      </c>
      <c r="AK552" s="352">
        <f>IF(NFI_Expiration=1,IF($A552&lt;VLOOKUP(T$5,NFI,5,0),1,0)*Table_NFI[[#This Row],[Winter Items Other]],Table_NFI[Winter Items Other])</f>
        <v>0</v>
      </c>
      <c r="AL552" s="352">
        <f>IF(NFI_Expiration=1,IF($A552&lt;VLOOKUP(M$5,NFI,5,0),1,0)*Table_NFI[[#This Row],[Winter Blanket]],Table_NFI[[#This Row],[Winter Blanket]])</f>
        <v>0</v>
      </c>
      <c r="AM552" s="352">
        <f>IF(Table_NFI[[#This Row],[Winter Clothes Adult]]+Table_NFI[[#This Row],[Winter Clothes Children]]+Table_NFI[[#This Row],[Winter Items Other]]+Table_NFI[[#This Row],[Winter Blanket]]&gt;0,1,0)</f>
        <v>0</v>
      </c>
      <c r="AN552" s="392">
        <f>IF(NFI_Expiration=1,IF($A552&lt;VLOOKUP(V$5,NFI,5,0),1,0)*Table_NFI[[#This Row],[Jerry Can]],Table_NFI[Jerry Can])</f>
        <v>0</v>
      </c>
      <c r="AO552" s="540" t="str">
        <f>IFERROR(VLOOKUP(Table_NFI[[#This Row],[Camp Name]],CL,2,0),"")</f>
        <v>MMR001CMP042</v>
      </c>
      <c r="AP552" s="535">
        <f ca="1">IF(Table_NFI[[#This Row],[Pcode]]="","",IF(OFFSET(CampList[Opening Date],MATCH(Table_NFI[[#This Row],[Pcode]],CampList[CP_Pcode],0)-1,0,1,1)&gt;=NFI_Monitor_Date,1,0))</f>
        <v>0</v>
      </c>
      <c r="AQ552" s="540" t="str">
        <f>IFERROR(VLOOKUP(Table_NFI[[#This Row],[Camp Name]],CL,3,0),"")</f>
        <v>Open</v>
      </c>
      <c r="AR552" s="352" t="str">
        <f ca="1">IF(Table_NFI[[#This Row],[Pcode]]="","",OFFSET(CampList[Priority],MATCH(Table_NFI[[#This Row],[Pcode]],CampList[CP_Pcode],0)-1,0,1,1))</f>
        <v>P1</v>
      </c>
      <c r="AS552" s="351">
        <f>IFERROR(Table_NFI[[#This Row],[Kitchen Set]]/VLOOKUP(Table_NFI[[#This Row],[Camp Name]],CL,4,0),"")</f>
        <v>0.37614678899082571</v>
      </c>
      <c r="AT552" s="533" t="s">
        <v>1094</v>
      </c>
      <c r="AU552" s="536"/>
    </row>
    <row r="553" spans="1:47" s="537" customFormat="1" ht="14.45" customHeight="1" x14ac:dyDescent="0.25">
      <c r="A553" s="355">
        <f t="shared" si="8"/>
        <v>38.5</v>
      </c>
      <c r="B553" s="532">
        <v>41416</v>
      </c>
      <c r="C553" s="533" t="s">
        <v>453</v>
      </c>
      <c r="D553" s="533" t="s">
        <v>453</v>
      </c>
      <c r="E553" s="533" t="s">
        <v>380</v>
      </c>
      <c r="F553" s="348" t="s">
        <v>528</v>
      </c>
      <c r="G553" s="348" t="s">
        <v>54</v>
      </c>
      <c r="H553" s="349"/>
      <c r="I553" s="349"/>
      <c r="J553" s="349">
        <v>48</v>
      </c>
      <c r="K553" s="349">
        <v>74</v>
      </c>
      <c r="L553" s="350">
        <v>31</v>
      </c>
      <c r="M553" s="350">
        <v>74</v>
      </c>
      <c r="N553" s="350">
        <v>31</v>
      </c>
      <c r="O553" s="350">
        <v>31</v>
      </c>
      <c r="P553" s="352">
        <v>31</v>
      </c>
      <c r="Q553" s="352">
        <v>31</v>
      </c>
      <c r="R553" s="352"/>
      <c r="S553" s="352"/>
      <c r="T553" s="352"/>
      <c r="U553" s="352"/>
      <c r="V553" s="497"/>
      <c r="W553" s="352"/>
      <c r="X553" s="352"/>
      <c r="Y553" s="352">
        <f>IF(NFI_Expiration=1,IF($A553&lt;VLOOKUP(H$5,NFI,5,0),1,0)*Table_NFI[[#This Row],[Hygiene Kit]],Table_NFI[Hygiene Kit])</f>
        <v>0</v>
      </c>
      <c r="Z553" s="352">
        <f>IF(NFI_Expiration=1,IF($A553&lt;VLOOKUP(I$5,NFI,5,0),1,0)*Table_NFI[[#This Row],[NFI Core Kit]],Table_NFI[NFI Core Kit])</f>
        <v>0</v>
      </c>
      <c r="AA553" s="352">
        <f>IF(NFI_Expiration=1,IF($A553&lt;VLOOKUP(J$5,NFI,5,0),1,0)*Table_NFI[[#This Row],[Sanitary Kit]],Table_NFI[Sanitary Kit])</f>
        <v>0</v>
      </c>
      <c r="AB553" s="352">
        <f>IF(NFI_Expiration=1,IF($A553&lt;VLOOKUP(K$5,NFI,5,0),1,0)*Table_NFI[[#This Row],[Mosquito net]],Table_NFI[Mosquito net])</f>
        <v>0</v>
      </c>
      <c r="AC553" s="352">
        <f>IF(NFI_Expiration=1,IF($A553&lt;VLOOKUP(L$5,NFI,5,0),1,0)*Table_NFI[[#This Row],[Tarpaulin]],Table_NFI[[#This Row],[Tarpaulin]])</f>
        <v>0</v>
      </c>
      <c r="AD553" s="352">
        <f>IF(NFI_Expiration=1,IF($A553&lt;VLOOKUP(M$5,NFI,5,0),1,0)*Table_NFI[[#This Row],[Blanket]],Table_NFI[[#This Row],[Blanket]])</f>
        <v>0</v>
      </c>
      <c r="AE553" s="352">
        <f>IF(NFI_Expiration=1,IF($A553&lt;VLOOKUP(N$5,NFI,5,0),1,0)*Table_NFI[[#This Row],[Kitchen Set]],Table_NFI[Kitchen Set])</f>
        <v>0</v>
      </c>
      <c r="AF553" s="352">
        <f>IF(NFI_Expiration=1,IF($A553&lt;VLOOKUP(O$5,NFI,5,0),1,0)*Table_NFI[[#This Row],[Clothes Kit]],Table_NFI[Clothes Kit])</f>
        <v>0</v>
      </c>
      <c r="AG553" s="352">
        <f>IF(NFI_Expiration=1,IF($A553&lt;VLOOKUP(P$5,NFI,5,0),1,0)*Table_NFI[[#This Row],[Plastic Bucket]],Table_NFI[Plastic Bucket])</f>
        <v>0</v>
      </c>
      <c r="AH553" s="352">
        <f>IF(NFI_Expiration=1,IF($A553&lt;VLOOKUP(Q$5,NFI,5,0),1,0)*Table_NFI[[#This Row],[Plastic Mat]],Table_NFI[Plastic Mat])*IF(Table_NFI[[#This Row],[Distribution Date]]&gt;"2014-04-01",1,2.5)</f>
        <v>0</v>
      </c>
      <c r="AI553" s="352">
        <f>IF(NFI_Expiration=1,IF($A553&lt;VLOOKUP(R$5,NFI,5,0),1,0)*Table_NFI[[#This Row],[Winter Clothes Adult]],Table_NFI[Winter Clothes Adult])</f>
        <v>0</v>
      </c>
      <c r="AJ553" s="352">
        <f>IF(NFI_Expiration=1,IF($A553&lt;VLOOKUP(S$5,NFI,5,0),1,0)*Table_NFI[[#This Row],[Winter Clothes Children]],Table_NFI[Winter Clothes Children])</f>
        <v>0</v>
      </c>
      <c r="AK553" s="352">
        <f>IF(NFI_Expiration=1,IF($A553&lt;VLOOKUP(T$5,NFI,5,0),1,0)*Table_NFI[[#This Row],[Winter Items Other]],Table_NFI[Winter Items Other])</f>
        <v>0</v>
      </c>
      <c r="AL553" s="352">
        <f>IF(NFI_Expiration=1,IF($A553&lt;VLOOKUP(M$5,NFI,5,0),1,0)*Table_NFI[[#This Row],[Winter Blanket]],Table_NFI[[#This Row],[Winter Blanket]])</f>
        <v>0</v>
      </c>
      <c r="AM553" s="352">
        <f>IF(Table_NFI[[#This Row],[Winter Clothes Adult]]+Table_NFI[[#This Row],[Winter Clothes Children]]+Table_NFI[[#This Row],[Winter Items Other]]+Table_NFI[[#This Row],[Winter Blanket]]&gt;0,1,0)</f>
        <v>0</v>
      </c>
      <c r="AN553" s="392">
        <f>IF(NFI_Expiration=1,IF($A553&lt;VLOOKUP(V$5,NFI,5,0),1,0)*Table_NFI[[#This Row],[Jerry Can]],Table_NFI[Jerry Can])</f>
        <v>0</v>
      </c>
      <c r="AO553" s="540" t="str">
        <f>IFERROR(VLOOKUP(Table_NFI[[#This Row],[Camp Name]],CL,2,0),"")</f>
        <v>MMR001CMP094</v>
      </c>
      <c r="AP553" s="535">
        <f ca="1">IF(Table_NFI[[#This Row],[Pcode]]="","",IF(OFFSET(CampList[Opening Date],MATCH(Table_NFI[[#This Row],[Pcode]],CampList[CP_Pcode],0)-1,0,1,1)&gt;=NFI_Monitor_Date,1,0))</f>
        <v>0</v>
      </c>
      <c r="AQ553" s="540" t="str">
        <f>IFERROR(VLOOKUP(Table_NFI[[#This Row],[Camp Name]],CL,3,0),"")</f>
        <v>Closed</v>
      </c>
      <c r="AR553" s="352" t="str">
        <f ca="1">IF(Table_NFI[[#This Row],[Pcode]]="","",OFFSET(CampList[Priority],MATCH(Table_NFI[[#This Row],[Pcode]],CampList[CP_Pcode],0)-1,0,1,1))</f>
        <v/>
      </c>
      <c r="AS553" s="351" t="str">
        <f>IFERROR(Table_NFI[[#This Row],[Kitchen Set]]/VLOOKUP(Table_NFI[[#This Row],[Camp Name]],CL,4,0),"")</f>
        <v/>
      </c>
      <c r="AT553" s="533" t="s">
        <v>1094</v>
      </c>
      <c r="AU553" s="536"/>
    </row>
    <row r="554" spans="1:47" s="537" customFormat="1" ht="14.45" customHeight="1" x14ac:dyDescent="0.25">
      <c r="A554" s="355">
        <f t="shared" si="8"/>
        <v>38.5</v>
      </c>
      <c r="B554" s="532">
        <v>41416</v>
      </c>
      <c r="C554" s="533" t="s">
        <v>453</v>
      </c>
      <c r="D554" s="534" t="s">
        <v>453</v>
      </c>
      <c r="E554" s="533" t="s">
        <v>380</v>
      </c>
      <c r="F554" s="348" t="s">
        <v>528</v>
      </c>
      <c r="G554" s="348" t="s">
        <v>612</v>
      </c>
      <c r="H554" s="349"/>
      <c r="I554" s="349"/>
      <c r="J554" s="349">
        <v>34</v>
      </c>
      <c r="K554" s="349">
        <v>61</v>
      </c>
      <c r="L554" s="350">
        <v>30</v>
      </c>
      <c r="M554" s="350">
        <v>61</v>
      </c>
      <c r="N554" s="350">
        <v>30</v>
      </c>
      <c r="O554" s="350">
        <v>30</v>
      </c>
      <c r="P554" s="352">
        <v>30</v>
      </c>
      <c r="Q554" s="352">
        <v>30</v>
      </c>
      <c r="R554" s="352"/>
      <c r="S554" s="352"/>
      <c r="T554" s="352"/>
      <c r="U554" s="352"/>
      <c r="V554" s="497"/>
      <c r="W554" s="352"/>
      <c r="X554" s="352"/>
      <c r="Y554" s="352">
        <f>IF(NFI_Expiration=1,IF($A554&lt;VLOOKUP(H$5,NFI,5,0),1,0)*Table_NFI[[#This Row],[Hygiene Kit]],Table_NFI[Hygiene Kit])</f>
        <v>0</v>
      </c>
      <c r="Z554" s="352">
        <f>IF(NFI_Expiration=1,IF($A554&lt;VLOOKUP(I$5,NFI,5,0),1,0)*Table_NFI[[#This Row],[NFI Core Kit]],Table_NFI[NFI Core Kit])</f>
        <v>0</v>
      </c>
      <c r="AA554" s="352">
        <f>IF(NFI_Expiration=1,IF($A554&lt;VLOOKUP(J$5,NFI,5,0),1,0)*Table_NFI[[#This Row],[Sanitary Kit]],Table_NFI[Sanitary Kit])</f>
        <v>0</v>
      </c>
      <c r="AB554" s="352">
        <f>IF(NFI_Expiration=1,IF($A554&lt;VLOOKUP(K$5,NFI,5,0),1,0)*Table_NFI[[#This Row],[Mosquito net]],Table_NFI[Mosquito net])</f>
        <v>0</v>
      </c>
      <c r="AC554" s="352">
        <f>IF(NFI_Expiration=1,IF($A554&lt;VLOOKUP(L$5,NFI,5,0),1,0)*Table_NFI[[#This Row],[Tarpaulin]],Table_NFI[[#This Row],[Tarpaulin]])</f>
        <v>0</v>
      </c>
      <c r="AD554" s="352">
        <f>IF(NFI_Expiration=1,IF($A554&lt;VLOOKUP(M$5,NFI,5,0),1,0)*Table_NFI[[#This Row],[Blanket]],Table_NFI[[#This Row],[Blanket]])</f>
        <v>0</v>
      </c>
      <c r="AE554" s="352">
        <f>IF(NFI_Expiration=1,IF($A554&lt;VLOOKUP(N$5,NFI,5,0),1,0)*Table_NFI[[#This Row],[Kitchen Set]],Table_NFI[Kitchen Set])</f>
        <v>0</v>
      </c>
      <c r="AF554" s="352">
        <f>IF(NFI_Expiration=1,IF($A554&lt;VLOOKUP(O$5,NFI,5,0),1,0)*Table_NFI[[#This Row],[Clothes Kit]],Table_NFI[Clothes Kit])</f>
        <v>0</v>
      </c>
      <c r="AG554" s="352">
        <f>IF(NFI_Expiration=1,IF($A554&lt;VLOOKUP(P$5,NFI,5,0),1,0)*Table_NFI[[#This Row],[Plastic Bucket]],Table_NFI[Plastic Bucket])</f>
        <v>0</v>
      </c>
      <c r="AH554" s="352">
        <f>IF(NFI_Expiration=1,IF($A554&lt;VLOOKUP(Q$5,NFI,5,0),1,0)*Table_NFI[[#This Row],[Plastic Mat]],Table_NFI[Plastic Mat])*IF(Table_NFI[[#This Row],[Distribution Date]]&gt;"2014-04-01",1,2.5)</f>
        <v>0</v>
      </c>
      <c r="AI554" s="352">
        <f>IF(NFI_Expiration=1,IF($A554&lt;VLOOKUP(R$5,NFI,5,0),1,0)*Table_NFI[[#This Row],[Winter Clothes Adult]],Table_NFI[Winter Clothes Adult])</f>
        <v>0</v>
      </c>
      <c r="AJ554" s="352">
        <f>IF(NFI_Expiration=1,IF($A554&lt;VLOOKUP(S$5,NFI,5,0),1,0)*Table_NFI[[#This Row],[Winter Clothes Children]],Table_NFI[Winter Clothes Children])</f>
        <v>0</v>
      </c>
      <c r="AK554" s="352">
        <f>IF(NFI_Expiration=1,IF($A554&lt;VLOOKUP(T$5,NFI,5,0),1,0)*Table_NFI[[#This Row],[Winter Items Other]],Table_NFI[Winter Items Other])</f>
        <v>0</v>
      </c>
      <c r="AL554" s="352">
        <f>IF(NFI_Expiration=1,IF($A554&lt;VLOOKUP(M$5,NFI,5,0),1,0)*Table_NFI[[#This Row],[Winter Blanket]],Table_NFI[[#This Row],[Winter Blanket]])</f>
        <v>0</v>
      </c>
      <c r="AM554" s="352">
        <f>IF(Table_NFI[[#This Row],[Winter Clothes Adult]]+Table_NFI[[#This Row],[Winter Clothes Children]]+Table_NFI[[#This Row],[Winter Items Other]]+Table_NFI[[#This Row],[Winter Blanket]]&gt;0,1,0)</f>
        <v>0</v>
      </c>
      <c r="AN554" s="392">
        <f>IF(NFI_Expiration=1,IF($A554&lt;VLOOKUP(V$5,NFI,5,0),1,0)*Table_NFI[[#This Row],[Jerry Can]],Table_NFI[Jerry Can])</f>
        <v>0</v>
      </c>
      <c r="AO554" s="540" t="str">
        <f>IFERROR(VLOOKUP(Table_NFI[[#This Row],[Camp Name]],CL,2,0),"")</f>
        <v>MMR001CMP192</v>
      </c>
      <c r="AP554" s="535">
        <f ca="1">IF(Table_NFI[[#This Row],[Pcode]]="","",IF(OFFSET(CampList[Opening Date],MATCH(Table_NFI[[#This Row],[Pcode]],CampList[CP_Pcode],0)-1,0,1,1)&gt;=NFI_Monitor_Date,1,0))</f>
        <v>0</v>
      </c>
      <c r="AQ554" s="540" t="str">
        <f>IFERROR(VLOOKUP(Table_NFI[[#This Row],[Camp Name]],CL,3,0),"")</f>
        <v>Open</v>
      </c>
      <c r="AR554" s="352" t="str">
        <f ca="1">IF(Table_NFI[[#This Row],[Pcode]]="","",OFFSET(CampList[Priority],MATCH(Table_NFI[[#This Row],[Pcode]],CampList[CP_Pcode],0)-1,0,1,1))</f>
        <v>P4</v>
      </c>
      <c r="AS554" s="351">
        <f>IFERROR(Table_NFI[[#This Row],[Kitchen Set]]/VLOOKUP(Table_NFI[[#This Row],[Camp Name]],CL,4,0),"")</f>
        <v>1.7647058823529411</v>
      </c>
      <c r="AT554" s="533" t="s">
        <v>1094</v>
      </c>
      <c r="AU554" s="536"/>
    </row>
    <row r="555" spans="1:47" s="537" customFormat="1" ht="14.45" hidden="1" customHeight="1" x14ac:dyDescent="0.25">
      <c r="A555" s="355">
        <f t="shared" si="8"/>
        <v>25.233333333333334</v>
      </c>
      <c r="B555" s="532">
        <v>41814</v>
      </c>
      <c r="C555" s="533" t="s">
        <v>1106</v>
      </c>
      <c r="D555" s="533" t="s">
        <v>902</v>
      </c>
      <c r="E555" s="533" t="s">
        <v>380</v>
      </c>
      <c r="F555" s="533" t="s">
        <v>237</v>
      </c>
      <c r="G555" s="533" t="s">
        <v>265</v>
      </c>
      <c r="H555" s="349"/>
      <c r="I555" s="349"/>
      <c r="J555" s="349"/>
      <c r="K555" s="349"/>
      <c r="L555" s="350"/>
      <c r="M555" s="350"/>
      <c r="N555" s="350"/>
      <c r="O555" s="350"/>
      <c r="P555" s="352"/>
      <c r="Q555" s="352"/>
      <c r="R555" s="352"/>
      <c r="S555" s="352"/>
      <c r="T555" s="352"/>
      <c r="U555" s="352">
        <v>28</v>
      </c>
      <c r="V555" s="497"/>
      <c r="W555" s="352"/>
      <c r="X555" s="352"/>
      <c r="Y555" s="352">
        <f>IF(NFI_Expiration=1,IF($A555&lt;VLOOKUP(H$5,NFI,5,0),1,0)*Table_NFI[[#This Row],[Hygiene Kit]],Table_NFI[Hygiene Kit])</f>
        <v>0</v>
      </c>
      <c r="Z555" s="352">
        <f>IF(NFI_Expiration=1,IF($A555&lt;VLOOKUP(I$5,NFI,5,0),1,0)*Table_NFI[[#This Row],[NFI Core Kit]],Table_NFI[NFI Core Kit])</f>
        <v>0</v>
      </c>
      <c r="AA555" s="352">
        <f>IF(NFI_Expiration=1,IF($A555&lt;VLOOKUP(J$5,NFI,5,0),1,0)*Table_NFI[[#This Row],[Sanitary Kit]],Table_NFI[Sanitary Kit])</f>
        <v>0</v>
      </c>
      <c r="AB555" s="352">
        <f>IF(NFI_Expiration=1,IF($A555&lt;VLOOKUP(K$5,NFI,5,0),1,0)*Table_NFI[[#This Row],[Mosquito net]],Table_NFI[Mosquito net])</f>
        <v>0</v>
      </c>
      <c r="AC555" s="352">
        <f>IF(NFI_Expiration=1,IF($A555&lt;VLOOKUP(L$5,NFI,5,0),1,0)*Table_NFI[[#This Row],[Tarpaulin]],Table_NFI[[#This Row],[Tarpaulin]])</f>
        <v>0</v>
      </c>
      <c r="AD555" s="352">
        <f>IF(NFI_Expiration=1,IF($A555&lt;VLOOKUP(M$5,NFI,5,0),1,0)*Table_NFI[[#This Row],[Blanket]],Table_NFI[[#This Row],[Blanket]])</f>
        <v>0</v>
      </c>
      <c r="AE555" s="352">
        <f>IF(NFI_Expiration=1,IF($A555&lt;VLOOKUP(N$5,NFI,5,0),1,0)*Table_NFI[[#This Row],[Kitchen Set]],Table_NFI[Kitchen Set])</f>
        <v>0</v>
      </c>
      <c r="AF555" s="352">
        <f>IF(NFI_Expiration=1,IF($A555&lt;VLOOKUP(O$5,NFI,5,0),1,0)*Table_NFI[[#This Row],[Clothes Kit]],Table_NFI[Clothes Kit])</f>
        <v>0</v>
      </c>
      <c r="AG555" s="352">
        <f>IF(NFI_Expiration=1,IF($A555&lt;VLOOKUP(P$5,NFI,5,0),1,0)*Table_NFI[[#This Row],[Plastic Bucket]],Table_NFI[Plastic Bucket])</f>
        <v>0</v>
      </c>
      <c r="AH555" s="352">
        <f>IF(NFI_Expiration=1,IF($A555&lt;VLOOKUP(Q$5,NFI,5,0),1,0)*Table_NFI[[#This Row],[Plastic Mat]],Table_NFI[Plastic Mat])*IF(Table_NFI[[#This Row],[Distribution Date]]&gt;"2014-04-01",1,2.5)</f>
        <v>0</v>
      </c>
      <c r="AI555" s="352">
        <f>IF(NFI_Expiration=1,IF($A555&lt;VLOOKUP(R$5,NFI,5,0),1,0)*Table_NFI[[#This Row],[Winter Clothes Adult]],Table_NFI[Winter Clothes Adult])</f>
        <v>0</v>
      </c>
      <c r="AJ555" s="352">
        <f>IF(NFI_Expiration=1,IF($A555&lt;VLOOKUP(S$5,NFI,5,0),1,0)*Table_NFI[[#This Row],[Winter Clothes Children]],Table_NFI[Winter Clothes Children])</f>
        <v>0</v>
      </c>
      <c r="AK555" s="352">
        <f>IF(NFI_Expiration=1,IF($A555&lt;VLOOKUP(T$5,NFI,5,0),1,0)*Table_NFI[[#This Row],[Winter Items Other]],Table_NFI[Winter Items Other])</f>
        <v>0</v>
      </c>
      <c r="AL555" s="352">
        <f>IF(NFI_Expiration=1,IF($A555&lt;VLOOKUP(M$5,NFI,5,0),1,0)*Table_NFI[[#This Row],[Winter Blanket]],Table_NFI[[#This Row],[Winter Blanket]])</f>
        <v>0</v>
      </c>
      <c r="AM555" s="352">
        <f>IF(Table_NFI[[#This Row],[Winter Clothes Adult]]+Table_NFI[[#This Row],[Winter Clothes Children]]+Table_NFI[[#This Row],[Winter Items Other]]+Table_NFI[[#This Row],[Winter Blanket]]&gt;0,1,0)</f>
        <v>1</v>
      </c>
      <c r="AN555" s="392">
        <f>IF(NFI_Expiration=1,IF($A555&lt;VLOOKUP(V$5,NFI,5,0),1,0)*Table_NFI[[#This Row],[Jerry Can]],Table_NFI[Jerry Can])</f>
        <v>0</v>
      </c>
      <c r="AO555" s="540" t="str">
        <f>IFERROR(VLOOKUP(Table_NFI[[#This Row],[Camp Name]],CL,2,0),"")</f>
        <v>MMR001CMP021</v>
      </c>
      <c r="AP555" s="535">
        <f ca="1">IF(Table_NFI[[#This Row],[Pcode]]="","",IF(OFFSET(CampList[Opening Date],MATCH(Table_NFI[[#This Row],[Pcode]],CampList[CP_Pcode],0)-1,0,1,1)&gt;=NFI_Monitor_Date,1,0))</f>
        <v>0</v>
      </c>
      <c r="AQ555" s="540" t="str">
        <f>IFERROR(VLOOKUP(Table_NFI[[#This Row],[Camp Name]],CL,3,0),"")</f>
        <v>Open</v>
      </c>
      <c r="AR555" s="352" t="str">
        <f ca="1">IF(Table_NFI[[#This Row],[Pcode]]="","",OFFSET(CampList[Priority],MATCH(Table_NFI[[#This Row],[Pcode]],CampList[CP_Pcode],0)-1,0,1,1))</f>
        <v>P4</v>
      </c>
      <c r="AS555" s="351">
        <f>IFERROR(Table_NFI[[#This Row],[Kitchen Set]]/VLOOKUP(Table_NFI[[#This Row],[Camp Name]],CL,4,0),"")</f>
        <v>0</v>
      </c>
      <c r="AT555" s="533"/>
      <c r="AU555" s="536"/>
    </row>
    <row r="556" spans="1:47" s="537" customFormat="1" ht="14.45" customHeight="1" x14ac:dyDescent="0.25">
      <c r="A556" s="355">
        <f t="shared" si="8"/>
        <v>38.5</v>
      </c>
      <c r="B556" s="532">
        <v>41416</v>
      </c>
      <c r="C556" s="533" t="s">
        <v>453</v>
      </c>
      <c r="D556" s="533" t="s">
        <v>453</v>
      </c>
      <c r="E556" s="533" t="s">
        <v>380</v>
      </c>
      <c r="F556" s="533" t="s">
        <v>528</v>
      </c>
      <c r="G556" s="348" t="s">
        <v>110</v>
      </c>
      <c r="H556" s="349"/>
      <c r="I556" s="349"/>
      <c r="J556" s="349">
        <v>273</v>
      </c>
      <c r="K556" s="349">
        <v>339</v>
      </c>
      <c r="L556" s="350">
        <v>151</v>
      </c>
      <c r="M556" s="350">
        <v>339</v>
      </c>
      <c r="N556" s="350">
        <v>151</v>
      </c>
      <c r="O556" s="350">
        <v>151</v>
      </c>
      <c r="P556" s="352">
        <v>151</v>
      </c>
      <c r="Q556" s="352">
        <v>151</v>
      </c>
      <c r="R556" s="352"/>
      <c r="S556" s="352"/>
      <c r="T556" s="352"/>
      <c r="U556" s="352"/>
      <c r="V556" s="497"/>
      <c r="W556" s="352"/>
      <c r="X556" s="352"/>
      <c r="Y556" s="352">
        <f>IF(NFI_Expiration=1,IF($A556&lt;VLOOKUP(H$5,NFI,5,0),1,0)*Table_NFI[[#This Row],[Hygiene Kit]],Table_NFI[Hygiene Kit])</f>
        <v>0</v>
      </c>
      <c r="Z556" s="352">
        <f>IF(NFI_Expiration=1,IF($A556&lt;VLOOKUP(I$5,NFI,5,0),1,0)*Table_NFI[[#This Row],[NFI Core Kit]],Table_NFI[NFI Core Kit])</f>
        <v>0</v>
      </c>
      <c r="AA556" s="352">
        <f>IF(NFI_Expiration=1,IF($A556&lt;VLOOKUP(J$5,NFI,5,0),1,0)*Table_NFI[[#This Row],[Sanitary Kit]],Table_NFI[Sanitary Kit])</f>
        <v>0</v>
      </c>
      <c r="AB556" s="352">
        <f>IF(NFI_Expiration=1,IF($A556&lt;VLOOKUP(K$5,NFI,5,0),1,0)*Table_NFI[[#This Row],[Mosquito net]],Table_NFI[Mosquito net])</f>
        <v>0</v>
      </c>
      <c r="AC556" s="352">
        <f>IF(NFI_Expiration=1,IF($A556&lt;VLOOKUP(L$5,NFI,5,0),1,0)*Table_NFI[[#This Row],[Tarpaulin]],Table_NFI[[#This Row],[Tarpaulin]])</f>
        <v>0</v>
      </c>
      <c r="AD556" s="352">
        <f>IF(NFI_Expiration=1,IF($A556&lt;VLOOKUP(M$5,NFI,5,0),1,0)*Table_NFI[[#This Row],[Blanket]],Table_NFI[[#This Row],[Blanket]])</f>
        <v>0</v>
      </c>
      <c r="AE556" s="352">
        <f>IF(NFI_Expiration=1,IF($A556&lt;VLOOKUP(N$5,NFI,5,0),1,0)*Table_NFI[[#This Row],[Kitchen Set]],Table_NFI[Kitchen Set])</f>
        <v>0</v>
      </c>
      <c r="AF556" s="352">
        <f>IF(NFI_Expiration=1,IF($A556&lt;VLOOKUP(O$5,NFI,5,0),1,0)*Table_NFI[[#This Row],[Clothes Kit]],Table_NFI[Clothes Kit])</f>
        <v>0</v>
      </c>
      <c r="AG556" s="352">
        <f>IF(NFI_Expiration=1,IF($A556&lt;VLOOKUP(P$5,NFI,5,0),1,0)*Table_NFI[[#This Row],[Plastic Bucket]],Table_NFI[Plastic Bucket])</f>
        <v>0</v>
      </c>
      <c r="AH556" s="352">
        <f>IF(NFI_Expiration=1,IF($A556&lt;VLOOKUP(Q$5,NFI,5,0),1,0)*Table_NFI[[#This Row],[Plastic Mat]],Table_NFI[Plastic Mat])*IF(Table_NFI[[#This Row],[Distribution Date]]&gt;"2014-04-01",1,2.5)</f>
        <v>0</v>
      </c>
      <c r="AI556" s="352">
        <f>IF(NFI_Expiration=1,IF($A556&lt;VLOOKUP(R$5,NFI,5,0),1,0)*Table_NFI[[#This Row],[Winter Clothes Adult]],Table_NFI[Winter Clothes Adult])</f>
        <v>0</v>
      </c>
      <c r="AJ556" s="352">
        <f>IF(NFI_Expiration=1,IF($A556&lt;VLOOKUP(S$5,NFI,5,0),1,0)*Table_NFI[[#This Row],[Winter Clothes Children]],Table_NFI[Winter Clothes Children])</f>
        <v>0</v>
      </c>
      <c r="AK556" s="352">
        <f>IF(NFI_Expiration=1,IF($A556&lt;VLOOKUP(T$5,NFI,5,0),1,0)*Table_NFI[[#This Row],[Winter Items Other]],Table_NFI[Winter Items Other])</f>
        <v>0</v>
      </c>
      <c r="AL556" s="352">
        <f>IF(NFI_Expiration=1,IF($A556&lt;VLOOKUP(M$5,NFI,5,0),1,0)*Table_NFI[[#This Row],[Winter Blanket]],Table_NFI[[#This Row],[Winter Blanket]])</f>
        <v>0</v>
      </c>
      <c r="AM556" s="352">
        <f>IF(Table_NFI[[#This Row],[Winter Clothes Adult]]+Table_NFI[[#This Row],[Winter Clothes Children]]+Table_NFI[[#This Row],[Winter Items Other]]+Table_NFI[[#This Row],[Winter Blanket]]&gt;0,1,0)</f>
        <v>0</v>
      </c>
      <c r="AN556" s="392">
        <f>IF(NFI_Expiration=1,IF($A556&lt;VLOOKUP(V$5,NFI,5,0),1,0)*Table_NFI[[#This Row],[Jerry Can]],Table_NFI[Jerry Can])</f>
        <v>0</v>
      </c>
      <c r="AO556" s="540" t="str">
        <f>IFERROR(VLOOKUP(Table_NFI[[#This Row],[Camp Name]],CL,2,0),"")</f>
        <v>MMR001CMP082</v>
      </c>
      <c r="AP556" s="535">
        <f ca="1">IF(Table_NFI[[#This Row],[Pcode]]="","",IF(OFFSET(CampList[Opening Date],MATCH(Table_NFI[[#This Row],[Pcode]],CampList[CP_Pcode],0)-1,0,1,1)&gt;=NFI_Monitor_Date,1,0))</f>
        <v>0</v>
      </c>
      <c r="AQ556" s="540" t="str">
        <f>IFERROR(VLOOKUP(Table_NFI[[#This Row],[Camp Name]],CL,3,0),"")</f>
        <v>Closed</v>
      </c>
      <c r="AR556" s="352" t="str">
        <f ca="1">IF(Table_NFI[[#This Row],[Pcode]]="","",OFFSET(CampList[Priority],MATCH(Table_NFI[[#This Row],[Pcode]],CampList[CP_Pcode],0)-1,0,1,1))</f>
        <v/>
      </c>
      <c r="AS556" s="351" t="str">
        <f>IFERROR(Table_NFI[[#This Row],[Kitchen Set]]/VLOOKUP(Table_NFI[[#This Row],[Camp Name]],CL,4,0),"")</f>
        <v/>
      </c>
      <c r="AT556" s="533" t="s">
        <v>1094</v>
      </c>
      <c r="AU556" s="536"/>
    </row>
    <row r="557" spans="1:47" s="537" customFormat="1" ht="14.45" hidden="1" customHeight="1" x14ac:dyDescent="0.25">
      <c r="A557" s="355">
        <f t="shared" si="8"/>
        <v>43.233333333333334</v>
      </c>
      <c r="B557" s="532">
        <v>41274</v>
      </c>
      <c r="C557" s="533" t="s">
        <v>454</v>
      </c>
      <c r="D557" s="533" t="s">
        <v>454</v>
      </c>
      <c r="E557" s="533" t="s">
        <v>380</v>
      </c>
      <c r="F557" s="533" t="s">
        <v>237</v>
      </c>
      <c r="G557" s="348" t="s">
        <v>265</v>
      </c>
      <c r="H557" s="349">
        <v>23</v>
      </c>
      <c r="I557" s="349"/>
      <c r="J557" s="349"/>
      <c r="K557" s="349"/>
      <c r="L557" s="350"/>
      <c r="M557" s="350"/>
      <c r="N557" s="350"/>
      <c r="O557" s="350"/>
      <c r="P557" s="352">
        <v>0</v>
      </c>
      <c r="Q557" s="352">
        <v>0</v>
      </c>
      <c r="R557" s="352"/>
      <c r="S557" s="352"/>
      <c r="T557" s="352"/>
      <c r="U557" s="352"/>
      <c r="V557" s="497"/>
      <c r="W557" s="352"/>
      <c r="X557" s="352"/>
      <c r="Y557" s="352">
        <f>IF(NFI_Expiration=1,IF($A557&lt;VLOOKUP(H$5,NFI,5,0),1,0)*Table_NFI[[#This Row],[Hygiene Kit]],Table_NFI[Hygiene Kit])</f>
        <v>0</v>
      </c>
      <c r="Z557" s="352">
        <f>IF(NFI_Expiration=1,IF($A557&lt;VLOOKUP(I$5,NFI,5,0),1,0)*Table_NFI[[#This Row],[NFI Core Kit]],Table_NFI[NFI Core Kit])</f>
        <v>0</v>
      </c>
      <c r="AA557" s="352">
        <f>IF(NFI_Expiration=1,IF($A557&lt;VLOOKUP(J$5,NFI,5,0),1,0)*Table_NFI[[#This Row],[Sanitary Kit]],Table_NFI[Sanitary Kit])</f>
        <v>0</v>
      </c>
      <c r="AB557" s="352">
        <f>IF(NFI_Expiration=1,IF($A557&lt;VLOOKUP(K$5,NFI,5,0),1,0)*Table_NFI[[#This Row],[Mosquito net]],Table_NFI[Mosquito net])</f>
        <v>0</v>
      </c>
      <c r="AC557" s="352">
        <f>IF(NFI_Expiration=1,IF($A557&lt;VLOOKUP(L$5,NFI,5,0),1,0)*Table_NFI[[#This Row],[Tarpaulin]],Table_NFI[[#This Row],[Tarpaulin]])</f>
        <v>0</v>
      </c>
      <c r="AD557" s="352">
        <f>IF(NFI_Expiration=1,IF($A557&lt;VLOOKUP(M$5,NFI,5,0),1,0)*Table_NFI[[#This Row],[Blanket]],Table_NFI[[#This Row],[Blanket]])</f>
        <v>0</v>
      </c>
      <c r="AE557" s="352">
        <f>IF(NFI_Expiration=1,IF($A557&lt;VLOOKUP(N$5,NFI,5,0),1,0)*Table_NFI[[#This Row],[Kitchen Set]],Table_NFI[Kitchen Set])</f>
        <v>0</v>
      </c>
      <c r="AF557" s="352">
        <f>IF(NFI_Expiration=1,IF($A557&lt;VLOOKUP(O$5,NFI,5,0),1,0)*Table_NFI[[#This Row],[Clothes Kit]],Table_NFI[Clothes Kit])</f>
        <v>0</v>
      </c>
      <c r="AG557" s="352">
        <f>IF(NFI_Expiration=1,IF($A557&lt;VLOOKUP(P$5,NFI,5,0),1,0)*Table_NFI[[#This Row],[Plastic Bucket]],Table_NFI[Plastic Bucket])</f>
        <v>0</v>
      </c>
      <c r="AH557" s="352">
        <f>IF(NFI_Expiration=1,IF($A557&lt;VLOOKUP(Q$5,NFI,5,0),1,0)*Table_NFI[[#This Row],[Plastic Mat]],Table_NFI[Plastic Mat])*IF(Table_NFI[[#This Row],[Distribution Date]]&gt;"2014-04-01",1,2.5)</f>
        <v>0</v>
      </c>
      <c r="AI557" s="352">
        <f>IF(NFI_Expiration=1,IF($A557&lt;VLOOKUP(R$5,NFI,5,0),1,0)*Table_NFI[[#This Row],[Winter Clothes Adult]],Table_NFI[Winter Clothes Adult])</f>
        <v>0</v>
      </c>
      <c r="AJ557" s="352">
        <f>IF(NFI_Expiration=1,IF($A557&lt;VLOOKUP(S$5,NFI,5,0),1,0)*Table_NFI[[#This Row],[Winter Clothes Children]],Table_NFI[Winter Clothes Children])</f>
        <v>0</v>
      </c>
      <c r="AK557" s="352">
        <f>IF(NFI_Expiration=1,IF($A557&lt;VLOOKUP(T$5,NFI,5,0),1,0)*Table_NFI[[#This Row],[Winter Items Other]],Table_NFI[Winter Items Other])</f>
        <v>0</v>
      </c>
      <c r="AL557" s="352">
        <f>IF(NFI_Expiration=1,IF($A557&lt;VLOOKUP(M$5,NFI,5,0),1,0)*Table_NFI[[#This Row],[Winter Blanket]],Table_NFI[[#This Row],[Winter Blanket]])</f>
        <v>0</v>
      </c>
      <c r="AM557" s="352">
        <f>IF(Table_NFI[[#This Row],[Winter Clothes Adult]]+Table_NFI[[#This Row],[Winter Clothes Children]]+Table_NFI[[#This Row],[Winter Items Other]]+Table_NFI[[#This Row],[Winter Blanket]]&gt;0,1,0)</f>
        <v>0</v>
      </c>
      <c r="AN557" s="392">
        <f>IF(NFI_Expiration=1,IF($A557&lt;VLOOKUP(V$5,NFI,5,0),1,0)*Table_NFI[[#This Row],[Jerry Can]],Table_NFI[Jerry Can])</f>
        <v>0</v>
      </c>
      <c r="AO557" s="540" t="str">
        <f>IFERROR(VLOOKUP(Table_NFI[[#This Row],[Camp Name]],CL,2,0),"")</f>
        <v>MMR001CMP021</v>
      </c>
      <c r="AP557" s="535">
        <f ca="1">IF(Table_NFI[[#This Row],[Pcode]]="","",IF(OFFSET(CampList[Opening Date],MATCH(Table_NFI[[#This Row],[Pcode]],CampList[CP_Pcode],0)-1,0,1,1)&gt;=NFI_Monitor_Date,1,0))</f>
        <v>0</v>
      </c>
      <c r="AQ557" s="540" t="str">
        <f>IFERROR(VLOOKUP(Table_NFI[[#This Row],[Camp Name]],CL,3,0),"")</f>
        <v>Open</v>
      </c>
      <c r="AR557" s="352" t="str">
        <f ca="1">IF(Table_NFI[[#This Row],[Pcode]]="","",OFFSET(CampList[Priority],MATCH(Table_NFI[[#This Row],[Pcode]],CampList[CP_Pcode],0)-1,0,1,1))</f>
        <v>P4</v>
      </c>
      <c r="AS557" s="351">
        <f>IFERROR(Table_NFI[[#This Row],[Kitchen Set]]/VLOOKUP(Table_NFI[[#This Row],[Camp Name]],CL,4,0),"")</f>
        <v>0</v>
      </c>
      <c r="AT557" s="533" t="s">
        <v>1094</v>
      </c>
      <c r="AU557" s="536"/>
    </row>
    <row r="558" spans="1:47" s="537" customFormat="1" ht="14.45" customHeight="1" x14ac:dyDescent="0.25">
      <c r="A558" s="355">
        <f t="shared" si="8"/>
        <v>38.5</v>
      </c>
      <c r="B558" s="532">
        <v>41416</v>
      </c>
      <c r="C558" s="533" t="s">
        <v>453</v>
      </c>
      <c r="D558" s="533" t="s">
        <v>453</v>
      </c>
      <c r="E558" s="533" t="s">
        <v>380</v>
      </c>
      <c r="F558" s="348" t="s">
        <v>310</v>
      </c>
      <c r="G558" s="348" t="s">
        <v>318</v>
      </c>
      <c r="H558" s="349"/>
      <c r="I558" s="349"/>
      <c r="J558" s="349">
        <v>18</v>
      </c>
      <c r="K558" s="349">
        <v>20</v>
      </c>
      <c r="L558" s="350">
        <v>14</v>
      </c>
      <c r="M558" s="350">
        <v>20</v>
      </c>
      <c r="N558" s="350">
        <v>10</v>
      </c>
      <c r="O558" s="350">
        <v>10</v>
      </c>
      <c r="P558" s="352">
        <v>10</v>
      </c>
      <c r="Q558" s="352">
        <v>10</v>
      </c>
      <c r="R558" s="352"/>
      <c r="S558" s="352"/>
      <c r="T558" s="352"/>
      <c r="U558" s="352"/>
      <c r="V558" s="497"/>
      <c r="W558" s="352"/>
      <c r="X558" s="352"/>
      <c r="Y558" s="352">
        <f>IF(NFI_Expiration=1,IF($A558&lt;VLOOKUP(H$5,NFI,5,0),1,0)*Table_NFI[[#This Row],[Hygiene Kit]],Table_NFI[Hygiene Kit])</f>
        <v>0</v>
      </c>
      <c r="Z558" s="352">
        <f>IF(NFI_Expiration=1,IF($A558&lt;VLOOKUP(I$5,NFI,5,0),1,0)*Table_NFI[[#This Row],[NFI Core Kit]],Table_NFI[NFI Core Kit])</f>
        <v>0</v>
      </c>
      <c r="AA558" s="352">
        <f>IF(NFI_Expiration=1,IF($A558&lt;VLOOKUP(J$5,NFI,5,0),1,0)*Table_NFI[[#This Row],[Sanitary Kit]],Table_NFI[Sanitary Kit])</f>
        <v>0</v>
      </c>
      <c r="AB558" s="352">
        <f>IF(NFI_Expiration=1,IF($A558&lt;VLOOKUP(K$5,NFI,5,0),1,0)*Table_NFI[[#This Row],[Mosquito net]],Table_NFI[Mosquito net])</f>
        <v>0</v>
      </c>
      <c r="AC558" s="352">
        <f>IF(NFI_Expiration=1,IF($A558&lt;VLOOKUP(L$5,NFI,5,0),1,0)*Table_NFI[[#This Row],[Tarpaulin]],Table_NFI[[#This Row],[Tarpaulin]])</f>
        <v>0</v>
      </c>
      <c r="AD558" s="352">
        <f>IF(NFI_Expiration=1,IF($A558&lt;VLOOKUP(M$5,NFI,5,0),1,0)*Table_NFI[[#This Row],[Blanket]],Table_NFI[[#This Row],[Blanket]])</f>
        <v>0</v>
      </c>
      <c r="AE558" s="352">
        <f>IF(NFI_Expiration=1,IF($A558&lt;VLOOKUP(N$5,NFI,5,0),1,0)*Table_NFI[[#This Row],[Kitchen Set]],Table_NFI[Kitchen Set])</f>
        <v>0</v>
      </c>
      <c r="AF558" s="352">
        <f>IF(NFI_Expiration=1,IF($A558&lt;VLOOKUP(O$5,NFI,5,0),1,0)*Table_NFI[[#This Row],[Clothes Kit]],Table_NFI[Clothes Kit])</f>
        <v>0</v>
      </c>
      <c r="AG558" s="352">
        <f>IF(NFI_Expiration=1,IF($A558&lt;VLOOKUP(P$5,NFI,5,0),1,0)*Table_NFI[[#This Row],[Plastic Bucket]],Table_NFI[Plastic Bucket])</f>
        <v>0</v>
      </c>
      <c r="AH558" s="352">
        <f>IF(NFI_Expiration=1,IF($A558&lt;VLOOKUP(Q$5,NFI,5,0),1,0)*Table_NFI[[#This Row],[Plastic Mat]],Table_NFI[Plastic Mat])*IF(Table_NFI[[#This Row],[Distribution Date]]&gt;"2014-04-01",1,2.5)</f>
        <v>0</v>
      </c>
      <c r="AI558" s="352">
        <f>IF(NFI_Expiration=1,IF($A558&lt;VLOOKUP(R$5,NFI,5,0),1,0)*Table_NFI[[#This Row],[Winter Clothes Adult]],Table_NFI[Winter Clothes Adult])</f>
        <v>0</v>
      </c>
      <c r="AJ558" s="352">
        <f>IF(NFI_Expiration=1,IF($A558&lt;VLOOKUP(S$5,NFI,5,0),1,0)*Table_NFI[[#This Row],[Winter Clothes Children]],Table_NFI[Winter Clothes Children])</f>
        <v>0</v>
      </c>
      <c r="AK558" s="352">
        <f>IF(NFI_Expiration=1,IF($A558&lt;VLOOKUP(T$5,NFI,5,0),1,0)*Table_NFI[[#This Row],[Winter Items Other]],Table_NFI[Winter Items Other])</f>
        <v>0</v>
      </c>
      <c r="AL558" s="352">
        <f>IF(NFI_Expiration=1,IF($A558&lt;VLOOKUP(M$5,NFI,5,0),1,0)*Table_NFI[[#This Row],[Winter Blanket]],Table_NFI[[#This Row],[Winter Blanket]])</f>
        <v>0</v>
      </c>
      <c r="AM558" s="352">
        <f>IF(Table_NFI[[#This Row],[Winter Clothes Adult]]+Table_NFI[[#This Row],[Winter Clothes Children]]+Table_NFI[[#This Row],[Winter Items Other]]+Table_NFI[[#This Row],[Winter Blanket]]&gt;0,1,0)</f>
        <v>0</v>
      </c>
      <c r="AN558" s="392">
        <f>IF(NFI_Expiration=1,IF($A558&lt;VLOOKUP(V$5,NFI,5,0),1,0)*Table_NFI[[#This Row],[Jerry Can]],Table_NFI[Jerry Can])</f>
        <v>0</v>
      </c>
      <c r="AO558" s="540" t="str">
        <f>IFERROR(VLOOKUP(Table_NFI[[#This Row],[Camp Name]],CL,2,0),"")</f>
        <v>MMR001CMP032</v>
      </c>
      <c r="AP558" s="535">
        <f ca="1">IF(Table_NFI[[#This Row],[Pcode]]="","",IF(OFFSET(CampList[Opening Date],MATCH(Table_NFI[[#This Row],[Pcode]],CampList[CP_Pcode],0)-1,0,1,1)&gt;=NFI_Monitor_Date,1,0))</f>
        <v>0</v>
      </c>
      <c r="AQ558" s="540" t="str">
        <f>IFERROR(VLOOKUP(Table_NFI[[#This Row],[Camp Name]],CL,3,0),"")</f>
        <v>Open</v>
      </c>
      <c r="AR558" s="352" t="str">
        <f ca="1">IF(Table_NFI[[#This Row],[Pcode]]="","",OFFSET(CampList[Priority],MATCH(Table_NFI[[#This Row],[Pcode]],CampList[CP_Pcode],0)-1,0,1,1))</f>
        <v>P4</v>
      </c>
      <c r="AS558" s="351">
        <f>IFERROR(Table_NFI[[#This Row],[Kitchen Set]]/VLOOKUP(Table_NFI[[#This Row],[Camp Name]],CL,4,0),"")</f>
        <v>0.10989010989010989</v>
      </c>
      <c r="AT558" s="533" t="s">
        <v>1094</v>
      </c>
      <c r="AU558" s="536"/>
    </row>
    <row r="559" spans="1:47" s="537" customFormat="1" ht="14.45" customHeight="1" x14ac:dyDescent="0.25">
      <c r="A559" s="355">
        <f t="shared" si="8"/>
        <v>38.5</v>
      </c>
      <c r="B559" s="532">
        <v>41416</v>
      </c>
      <c r="C559" s="533" t="s">
        <v>453</v>
      </c>
      <c r="D559" s="533" t="s">
        <v>453</v>
      </c>
      <c r="E559" s="533" t="s">
        <v>380</v>
      </c>
      <c r="F559" s="348" t="s">
        <v>528</v>
      </c>
      <c r="G559" s="348" t="s">
        <v>140</v>
      </c>
      <c r="H559" s="349"/>
      <c r="I559" s="349"/>
      <c r="J559" s="349">
        <v>42</v>
      </c>
      <c r="K559" s="349">
        <v>66</v>
      </c>
      <c r="L559" s="350">
        <v>28</v>
      </c>
      <c r="M559" s="350">
        <v>66</v>
      </c>
      <c r="N559" s="350">
        <v>28</v>
      </c>
      <c r="O559" s="350">
        <v>28</v>
      </c>
      <c r="P559" s="352">
        <v>28</v>
      </c>
      <c r="Q559" s="352">
        <v>28</v>
      </c>
      <c r="R559" s="352"/>
      <c r="S559" s="352"/>
      <c r="T559" s="352"/>
      <c r="U559" s="352"/>
      <c r="V559" s="497"/>
      <c r="W559" s="352"/>
      <c r="X559" s="352"/>
      <c r="Y559" s="352">
        <f>IF(NFI_Expiration=1,IF($A559&lt;VLOOKUP(H$5,NFI,5,0),1,0)*Table_NFI[[#This Row],[Hygiene Kit]],Table_NFI[Hygiene Kit])</f>
        <v>0</v>
      </c>
      <c r="Z559" s="352">
        <f>IF(NFI_Expiration=1,IF($A559&lt;VLOOKUP(I$5,NFI,5,0),1,0)*Table_NFI[[#This Row],[NFI Core Kit]],Table_NFI[NFI Core Kit])</f>
        <v>0</v>
      </c>
      <c r="AA559" s="352">
        <f>IF(NFI_Expiration=1,IF($A559&lt;VLOOKUP(J$5,NFI,5,0),1,0)*Table_NFI[[#This Row],[Sanitary Kit]],Table_NFI[Sanitary Kit])</f>
        <v>0</v>
      </c>
      <c r="AB559" s="352">
        <f>IF(NFI_Expiration=1,IF($A559&lt;VLOOKUP(K$5,NFI,5,0),1,0)*Table_NFI[[#This Row],[Mosquito net]],Table_NFI[Mosquito net])</f>
        <v>0</v>
      </c>
      <c r="AC559" s="352">
        <f>IF(NFI_Expiration=1,IF($A559&lt;VLOOKUP(L$5,NFI,5,0),1,0)*Table_NFI[[#This Row],[Tarpaulin]],Table_NFI[[#This Row],[Tarpaulin]])</f>
        <v>0</v>
      </c>
      <c r="AD559" s="352">
        <f>IF(NFI_Expiration=1,IF($A559&lt;VLOOKUP(M$5,NFI,5,0),1,0)*Table_NFI[[#This Row],[Blanket]],Table_NFI[[#This Row],[Blanket]])</f>
        <v>0</v>
      </c>
      <c r="AE559" s="352">
        <f>IF(NFI_Expiration=1,IF($A559&lt;VLOOKUP(N$5,NFI,5,0),1,0)*Table_NFI[[#This Row],[Kitchen Set]],Table_NFI[Kitchen Set])</f>
        <v>0</v>
      </c>
      <c r="AF559" s="352">
        <f>IF(NFI_Expiration=1,IF($A559&lt;VLOOKUP(O$5,NFI,5,0),1,0)*Table_NFI[[#This Row],[Clothes Kit]],Table_NFI[Clothes Kit])</f>
        <v>0</v>
      </c>
      <c r="AG559" s="352">
        <f>IF(NFI_Expiration=1,IF($A559&lt;VLOOKUP(P$5,NFI,5,0),1,0)*Table_NFI[[#This Row],[Plastic Bucket]],Table_NFI[Plastic Bucket])</f>
        <v>0</v>
      </c>
      <c r="AH559" s="352">
        <f>IF(NFI_Expiration=1,IF($A559&lt;VLOOKUP(Q$5,NFI,5,0),1,0)*Table_NFI[[#This Row],[Plastic Mat]],Table_NFI[Plastic Mat])*IF(Table_NFI[[#This Row],[Distribution Date]]&gt;"2014-04-01",1,2.5)</f>
        <v>0</v>
      </c>
      <c r="AI559" s="352">
        <f>IF(NFI_Expiration=1,IF($A559&lt;VLOOKUP(R$5,NFI,5,0),1,0)*Table_NFI[[#This Row],[Winter Clothes Adult]],Table_NFI[Winter Clothes Adult])</f>
        <v>0</v>
      </c>
      <c r="AJ559" s="352">
        <f>IF(NFI_Expiration=1,IF($A559&lt;VLOOKUP(S$5,NFI,5,0),1,0)*Table_NFI[[#This Row],[Winter Clothes Children]],Table_NFI[Winter Clothes Children])</f>
        <v>0</v>
      </c>
      <c r="AK559" s="352">
        <f>IF(NFI_Expiration=1,IF($A559&lt;VLOOKUP(T$5,NFI,5,0),1,0)*Table_NFI[[#This Row],[Winter Items Other]],Table_NFI[Winter Items Other])</f>
        <v>0</v>
      </c>
      <c r="AL559" s="352">
        <f>IF(NFI_Expiration=1,IF($A559&lt;VLOOKUP(M$5,NFI,5,0),1,0)*Table_NFI[[#This Row],[Winter Blanket]],Table_NFI[[#This Row],[Winter Blanket]])</f>
        <v>0</v>
      </c>
      <c r="AM559" s="352">
        <f>IF(Table_NFI[[#This Row],[Winter Clothes Adult]]+Table_NFI[[#This Row],[Winter Clothes Children]]+Table_NFI[[#This Row],[Winter Items Other]]+Table_NFI[[#This Row],[Winter Blanket]]&gt;0,1,0)</f>
        <v>0</v>
      </c>
      <c r="AN559" s="392">
        <f>IF(NFI_Expiration=1,IF($A559&lt;VLOOKUP(V$5,NFI,5,0),1,0)*Table_NFI[[#This Row],[Jerry Can]],Table_NFI[Jerry Can])</f>
        <v>0</v>
      </c>
      <c r="AO559" s="540" t="str">
        <f>IFERROR(VLOOKUP(Table_NFI[[#This Row],[Camp Name]],CL,2,0),"")</f>
        <v>MMR001CMP105</v>
      </c>
      <c r="AP559" s="535">
        <f ca="1">IF(Table_NFI[[#This Row],[Pcode]]="","",IF(OFFSET(CampList[Opening Date],MATCH(Table_NFI[[#This Row],[Pcode]],CampList[CP_Pcode],0)-1,0,1,1)&gt;=NFI_Monitor_Date,1,0))</f>
        <v>0</v>
      </c>
      <c r="AQ559" s="540" t="str">
        <f>IFERROR(VLOOKUP(Table_NFI[[#This Row],[Camp Name]],CL,3,0),"")</f>
        <v>Open</v>
      </c>
      <c r="AR559" s="352" t="str">
        <f ca="1">IF(Table_NFI[[#This Row],[Pcode]]="","",OFFSET(CampList[Priority],MATCH(Table_NFI[[#This Row],[Pcode]],CampList[CP_Pcode],0)-1,0,1,1))</f>
        <v>P4</v>
      </c>
      <c r="AS559" s="351">
        <f>IFERROR(Table_NFI[[#This Row],[Kitchen Set]]/VLOOKUP(Table_NFI[[#This Row],[Camp Name]],CL,4,0),"")</f>
        <v>2.3333333333333335</v>
      </c>
      <c r="AT559" s="533" t="s">
        <v>1094</v>
      </c>
      <c r="AU559" s="536"/>
    </row>
    <row r="560" spans="1:47" s="537" customFormat="1" ht="14.45" customHeight="1" x14ac:dyDescent="0.25">
      <c r="A560" s="355">
        <f t="shared" si="8"/>
        <v>40.133333333333333</v>
      </c>
      <c r="B560" s="532">
        <v>41367</v>
      </c>
      <c r="C560" s="533" t="s">
        <v>453</v>
      </c>
      <c r="D560" s="533" t="s">
        <v>453</v>
      </c>
      <c r="E560" s="533" t="s">
        <v>380</v>
      </c>
      <c r="F560" s="348" t="s">
        <v>310</v>
      </c>
      <c r="G560" s="348" t="s">
        <v>328</v>
      </c>
      <c r="H560" s="349"/>
      <c r="I560" s="349"/>
      <c r="J560" s="349">
        <v>15</v>
      </c>
      <c r="K560" s="349">
        <v>22</v>
      </c>
      <c r="L560" s="350">
        <v>11</v>
      </c>
      <c r="M560" s="350">
        <v>22</v>
      </c>
      <c r="N560" s="350">
        <v>11</v>
      </c>
      <c r="O560" s="350">
        <v>11</v>
      </c>
      <c r="P560" s="352">
        <v>11</v>
      </c>
      <c r="Q560" s="352">
        <v>11</v>
      </c>
      <c r="R560" s="352"/>
      <c r="S560" s="352"/>
      <c r="T560" s="352"/>
      <c r="U560" s="352"/>
      <c r="V560" s="497"/>
      <c r="W560" s="352"/>
      <c r="X560" s="352"/>
      <c r="Y560" s="352">
        <f>IF(NFI_Expiration=1,IF($A560&lt;VLOOKUP(H$5,NFI,5,0),1,0)*Table_NFI[[#This Row],[Hygiene Kit]],Table_NFI[Hygiene Kit])</f>
        <v>0</v>
      </c>
      <c r="Z560" s="352">
        <f>IF(NFI_Expiration=1,IF($A560&lt;VLOOKUP(I$5,NFI,5,0),1,0)*Table_NFI[[#This Row],[NFI Core Kit]],Table_NFI[NFI Core Kit])</f>
        <v>0</v>
      </c>
      <c r="AA560" s="352">
        <f>IF(NFI_Expiration=1,IF($A560&lt;VLOOKUP(J$5,NFI,5,0),1,0)*Table_NFI[[#This Row],[Sanitary Kit]],Table_NFI[Sanitary Kit])</f>
        <v>0</v>
      </c>
      <c r="AB560" s="352">
        <f>IF(NFI_Expiration=1,IF($A560&lt;VLOOKUP(K$5,NFI,5,0),1,0)*Table_NFI[[#This Row],[Mosquito net]],Table_NFI[Mosquito net])</f>
        <v>0</v>
      </c>
      <c r="AC560" s="352">
        <f>IF(NFI_Expiration=1,IF($A560&lt;VLOOKUP(L$5,NFI,5,0),1,0)*Table_NFI[[#This Row],[Tarpaulin]],Table_NFI[[#This Row],[Tarpaulin]])</f>
        <v>0</v>
      </c>
      <c r="AD560" s="352">
        <f>IF(NFI_Expiration=1,IF($A560&lt;VLOOKUP(M$5,NFI,5,0),1,0)*Table_NFI[[#This Row],[Blanket]],Table_NFI[[#This Row],[Blanket]])</f>
        <v>0</v>
      </c>
      <c r="AE560" s="352">
        <f>IF(NFI_Expiration=1,IF($A560&lt;VLOOKUP(N$5,NFI,5,0),1,0)*Table_NFI[[#This Row],[Kitchen Set]],Table_NFI[Kitchen Set])</f>
        <v>0</v>
      </c>
      <c r="AF560" s="352">
        <f>IF(NFI_Expiration=1,IF($A560&lt;VLOOKUP(O$5,NFI,5,0),1,0)*Table_NFI[[#This Row],[Clothes Kit]],Table_NFI[Clothes Kit])</f>
        <v>0</v>
      </c>
      <c r="AG560" s="352">
        <f>IF(NFI_Expiration=1,IF($A560&lt;VLOOKUP(P$5,NFI,5,0),1,0)*Table_NFI[[#This Row],[Plastic Bucket]],Table_NFI[Plastic Bucket])</f>
        <v>0</v>
      </c>
      <c r="AH560" s="352">
        <f>IF(NFI_Expiration=1,IF($A560&lt;VLOOKUP(Q$5,NFI,5,0),1,0)*Table_NFI[[#This Row],[Plastic Mat]],Table_NFI[Plastic Mat])*IF(Table_NFI[[#This Row],[Distribution Date]]&gt;"2014-04-01",1,2.5)</f>
        <v>0</v>
      </c>
      <c r="AI560" s="352">
        <f>IF(NFI_Expiration=1,IF($A560&lt;VLOOKUP(R$5,NFI,5,0),1,0)*Table_NFI[[#This Row],[Winter Clothes Adult]],Table_NFI[Winter Clothes Adult])</f>
        <v>0</v>
      </c>
      <c r="AJ560" s="352">
        <f>IF(NFI_Expiration=1,IF($A560&lt;VLOOKUP(S$5,NFI,5,0),1,0)*Table_NFI[[#This Row],[Winter Clothes Children]],Table_NFI[Winter Clothes Children])</f>
        <v>0</v>
      </c>
      <c r="AK560" s="352">
        <f>IF(NFI_Expiration=1,IF($A560&lt;VLOOKUP(T$5,NFI,5,0),1,0)*Table_NFI[[#This Row],[Winter Items Other]],Table_NFI[Winter Items Other])</f>
        <v>0</v>
      </c>
      <c r="AL560" s="352">
        <f>IF(NFI_Expiration=1,IF($A560&lt;VLOOKUP(M$5,NFI,5,0),1,0)*Table_NFI[[#This Row],[Winter Blanket]],Table_NFI[[#This Row],[Winter Blanket]])</f>
        <v>0</v>
      </c>
      <c r="AM560" s="352">
        <f>IF(Table_NFI[[#This Row],[Winter Clothes Adult]]+Table_NFI[[#This Row],[Winter Clothes Children]]+Table_NFI[[#This Row],[Winter Items Other]]+Table_NFI[[#This Row],[Winter Blanket]]&gt;0,1,0)</f>
        <v>0</v>
      </c>
      <c r="AN560" s="392">
        <f>IF(NFI_Expiration=1,IF($A560&lt;VLOOKUP(V$5,NFI,5,0),1,0)*Table_NFI[[#This Row],[Jerry Can]],Table_NFI[Jerry Can])</f>
        <v>0</v>
      </c>
      <c r="AO560" s="540" t="str">
        <f>IFERROR(VLOOKUP(Table_NFI[[#This Row],[Camp Name]],CL,2,0),"")</f>
        <v>MMR001CMP031</v>
      </c>
      <c r="AP560" s="535">
        <f ca="1">IF(Table_NFI[[#This Row],[Pcode]]="","",IF(OFFSET(CampList[Opening Date],MATCH(Table_NFI[[#This Row],[Pcode]],CampList[CP_Pcode],0)-1,0,1,1)&gt;=NFI_Monitor_Date,1,0))</f>
        <v>0</v>
      </c>
      <c r="AQ560" s="540" t="str">
        <f>IFERROR(VLOOKUP(Table_NFI[[#This Row],[Camp Name]],CL,3,0),"")</f>
        <v>Open</v>
      </c>
      <c r="AR560" s="352" t="str">
        <f ca="1">IF(Table_NFI[[#This Row],[Pcode]]="","",OFFSET(CampList[Priority],MATCH(Table_NFI[[#This Row],[Pcode]],CampList[CP_Pcode],0)-1,0,1,1))</f>
        <v>P4</v>
      </c>
      <c r="AS560" s="351">
        <f>IFERROR(Table_NFI[[#This Row],[Kitchen Set]]/VLOOKUP(Table_NFI[[#This Row],[Camp Name]],CL,4,0),"")</f>
        <v>7.6923076923076927E-2</v>
      </c>
      <c r="AT560" s="533" t="s">
        <v>1094</v>
      </c>
      <c r="AU560" s="536"/>
    </row>
    <row r="561" spans="1:47" s="537" customFormat="1" ht="14.45" hidden="1" customHeight="1" x14ac:dyDescent="0.25">
      <c r="A561" s="355">
        <f t="shared" si="8"/>
        <v>43.233333333333334</v>
      </c>
      <c r="B561" s="532">
        <v>41274</v>
      </c>
      <c r="C561" s="533" t="s">
        <v>454</v>
      </c>
      <c r="D561" s="534" t="s">
        <v>454</v>
      </c>
      <c r="E561" s="533" t="s">
        <v>380</v>
      </c>
      <c r="F561" s="348" t="s">
        <v>528</v>
      </c>
      <c r="G561" s="348" t="s">
        <v>136</v>
      </c>
      <c r="H561" s="349">
        <v>3</v>
      </c>
      <c r="I561" s="349"/>
      <c r="J561" s="349"/>
      <c r="K561" s="349"/>
      <c r="L561" s="350"/>
      <c r="M561" s="350"/>
      <c r="N561" s="350"/>
      <c r="O561" s="350"/>
      <c r="P561" s="352">
        <v>0</v>
      </c>
      <c r="Q561" s="352">
        <v>0</v>
      </c>
      <c r="R561" s="352"/>
      <c r="S561" s="352"/>
      <c r="T561" s="352"/>
      <c r="U561" s="352"/>
      <c r="V561" s="497"/>
      <c r="W561" s="352"/>
      <c r="X561" s="352"/>
      <c r="Y561" s="352">
        <f>IF(NFI_Expiration=1,IF($A561&lt;VLOOKUP(H$5,NFI,5,0),1,0)*Table_NFI[[#This Row],[Hygiene Kit]],Table_NFI[Hygiene Kit])</f>
        <v>0</v>
      </c>
      <c r="Z561" s="352">
        <f>IF(NFI_Expiration=1,IF($A561&lt;VLOOKUP(I$5,NFI,5,0),1,0)*Table_NFI[[#This Row],[NFI Core Kit]],Table_NFI[NFI Core Kit])</f>
        <v>0</v>
      </c>
      <c r="AA561" s="352">
        <f>IF(NFI_Expiration=1,IF($A561&lt;VLOOKUP(J$5,NFI,5,0),1,0)*Table_NFI[[#This Row],[Sanitary Kit]],Table_NFI[Sanitary Kit])</f>
        <v>0</v>
      </c>
      <c r="AB561" s="352">
        <f>IF(NFI_Expiration=1,IF($A561&lt;VLOOKUP(K$5,NFI,5,0),1,0)*Table_NFI[[#This Row],[Mosquito net]],Table_NFI[Mosquito net])</f>
        <v>0</v>
      </c>
      <c r="AC561" s="352">
        <f>IF(NFI_Expiration=1,IF($A561&lt;VLOOKUP(L$5,NFI,5,0),1,0)*Table_NFI[[#This Row],[Tarpaulin]],Table_NFI[[#This Row],[Tarpaulin]])</f>
        <v>0</v>
      </c>
      <c r="AD561" s="352">
        <f>IF(NFI_Expiration=1,IF($A561&lt;VLOOKUP(M$5,NFI,5,0),1,0)*Table_NFI[[#This Row],[Blanket]],Table_NFI[[#This Row],[Blanket]])</f>
        <v>0</v>
      </c>
      <c r="AE561" s="352">
        <f>IF(NFI_Expiration=1,IF($A561&lt;VLOOKUP(N$5,NFI,5,0),1,0)*Table_NFI[[#This Row],[Kitchen Set]],Table_NFI[Kitchen Set])</f>
        <v>0</v>
      </c>
      <c r="AF561" s="352">
        <f>IF(NFI_Expiration=1,IF($A561&lt;VLOOKUP(O$5,NFI,5,0),1,0)*Table_NFI[[#This Row],[Clothes Kit]],Table_NFI[Clothes Kit])</f>
        <v>0</v>
      </c>
      <c r="AG561" s="352">
        <f>IF(NFI_Expiration=1,IF($A561&lt;VLOOKUP(P$5,NFI,5,0),1,0)*Table_NFI[[#This Row],[Plastic Bucket]],Table_NFI[Plastic Bucket])</f>
        <v>0</v>
      </c>
      <c r="AH561" s="352">
        <f>IF(NFI_Expiration=1,IF($A561&lt;VLOOKUP(Q$5,NFI,5,0),1,0)*Table_NFI[[#This Row],[Plastic Mat]],Table_NFI[Plastic Mat])*IF(Table_NFI[[#This Row],[Distribution Date]]&gt;"2014-04-01",1,2.5)</f>
        <v>0</v>
      </c>
      <c r="AI561" s="352">
        <f>IF(NFI_Expiration=1,IF($A561&lt;VLOOKUP(R$5,NFI,5,0),1,0)*Table_NFI[[#This Row],[Winter Clothes Adult]],Table_NFI[Winter Clothes Adult])</f>
        <v>0</v>
      </c>
      <c r="AJ561" s="352">
        <f>IF(NFI_Expiration=1,IF($A561&lt;VLOOKUP(S$5,NFI,5,0),1,0)*Table_NFI[[#This Row],[Winter Clothes Children]],Table_NFI[Winter Clothes Children])</f>
        <v>0</v>
      </c>
      <c r="AK561" s="352">
        <f>IF(NFI_Expiration=1,IF($A561&lt;VLOOKUP(T$5,NFI,5,0),1,0)*Table_NFI[[#This Row],[Winter Items Other]],Table_NFI[Winter Items Other])</f>
        <v>0</v>
      </c>
      <c r="AL561" s="352">
        <f>IF(NFI_Expiration=1,IF($A561&lt;VLOOKUP(M$5,NFI,5,0),1,0)*Table_NFI[[#This Row],[Winter Blanket]],Table_NFI[[#This Row],[Winter Blanket]])</f>
        <v>0</v>
      </c>
      <c r="AM561" s="352">
        <f>IF(Table_NFI[[#This Row],[Winter Clothes Adult]]+Table_NFI[[#This Row],[Winter Clothes Children]]+Table_NFI[[#This Row],[Winter Items Other]]+Table_NFI[[#This Row],[Winter Blanket]]&gt;0,1,0)</f>
        <v>0</v>
      </c>
      <c r="AN561" s="392">
        <f>IF(NFI_Expiration=1,IF($A561&lt;VLOOKUP(V$5,NFI,5,0),1,0)*Table_NFI[[#This Row],[Jerry Can]],Table_NFI[Jerry Can])</f>
        <v>0</v>
      </c>
      <c r="AO561" s="540" t="str">
        <f>IFERROR(VLOOKUP(Table_NFI[[#This Row],[Camp Name]],CL,2,0),"")</f>
        <v>MMR001CMP106</v>
      </c>
      <c r="AP561" s="535">
        <f ca="1">IF(Table_NFI[[#This Row],[Pcode]]="","",IF(OFFSET(CampList[Opening Date],MATCH(Table_NFI[[#This Row],[Pcode]],CampList[CP_Pcode],0)-1,0,1,1)&gt;=NFI_Monitor_Date,1,0))</f>
        <v>0</v>
      </c>
      <c r="AQ561" s="540" t="str">
        <f>IFERROR(VLOOKUP(Table_NFI[[#This Row],[Camp Name]],CL,3,0),"")</f>
        <v>Closed</v>
      </c>
      <c r="AR561" s="352" t="str">
        <f ca="1">IF(Table_NFI[[#This Row],[Pcode]]="","",OFFSET(CampList[Priority],MATCH(Table_NFI[[#This Row],[Pcode]],CampList[CP_Pcode],0)-1,0,1,1))</f>
        <v/>
      </c>
      <c r="AS561" s="351" t="str">
        <f>IFERROR(Table_NFI[[#This Row],[Kitchen Set]]/VLOOKUP(Table_NFI[[#This Row],[Camp Name]],CL,4,0),"")</f>
        <v/>
      </c>
      <c r="AT561" s="533" t="s">
        <v>1094</v>
      </c>
      <c r="AU561" s="536"/>
    </row>
    <row r="562" spans="1:47" s="537" customFormat="1" ht="27.6" customHeight="1" x14ac:dyDescent="0.25">
      <c r="A562" s="355">
        <f t="shared" si="8"/>
        <v>40.133333333333333</v>
      </c>
      <c r="B562" s="532">
        <v>41367</v>
      </c>
      <c r="C562" s="533" t="s">
        <v>453</v>
      </c>
      <c r="D562" s="534" t="s">
        <v>453</v>
      </c>
      <c r="E562" s="533" t="s">
        <v>380</v>
      </c>
      <c r="F562" s="348" t="s">
        <v>310</v>
      </c>
      <c r="G562" s="348" t="s">
        <v>316</v>
      </c>
      <c r="H562" s="349"/>
      <c r="I562" s="349"/>
      <c r="J562" s="349">
        <v>4</v>
      </c>
      <c r="K562" s="349">
        <v>7</v>
      </c>
      <c r="L562" s="350">
        <v>3</v>
      </c>
      <c r="M562" s="350">
        <v>7</v>
      </c>
      <c r="N562" s="350">
        <v>3</v>
      </c>
      <c r="O562" s="350">
        <v>3</v>
      </c>
      <c r="P562" s="352">
        <v>3</v>
      </c>
      <c r="Q562" s="352">
        <v>3</v>
      </c>
      <c r="R562" s="352"/>
      <c r="S562" s="352"/>
      <c r="T562" s="352"/>
      <c r="U562" s="352"/>
      <c r="V562" s="497"/>
      <c r="W562" s="352"/>
      <c r="X562" s="352"/>
      <c r="Y562" s="352">
        <f>IF(NFI_Expiration=1,IF($A562&lt;VLOOKUP(H$5,NFI,5,0),1,0)*Table_NFI[[#This Row],[Hygiene Kit]],Table_NFI[Hygiene Kit])</f>
        <v>0</v>
      </c>
      <c r="Z562" s="352">
        <f>IF(NFI_Expiration=1,IF($A562&lt;VLOOKUP(I$5,NFI,5,0),1,0)*Table_NFI[[#This Row],[NFI Core Kit]],Table_NFI[NFI Core Kit])</f>
        <v>0</v>
      </c>
      <c r="AA562" s="352">
        <f>IF(NFI_Expiration=1,IF($A562&lt;VLOOKUP(J$5,NFI,5,0),1,0)*Table_NFI[[#This Row],[Sanitary Kit]],Table_NFI[Sanitary Kit])</f>
        <v>0</v>
      </c>
      <c r="AB562" s="352">
        <f>IF(NFI_Expiration=1,IF($A562&lt;VLOOKUP(K$5,NFI,5,0),1,0)*Table_NFI[[#This Row],[Mosquito net]],Table_NFI[Mosquito net])</f>
        <v>0</v>
      </c>
      <c r="AC562" s="352">
        <f>IF(NFI_Expiration=1,IF($A562&lt;VLOOKUP(L$5,NFI,5,0),1,0)*Table_NFI[[#This Row],[Tarpaulin]],Table_NFI[[#This Row],[Tarpaulin]])</f>
        <v>0</v>
      </c>
      <c r="AD562" s="352">
        <f>IF(NFI_Expiration=1,IF($A562&lt;VLOOKUP(M$5,NFI,5,0),1,0)*Table_NFI[[#This Row],[Blanket]],Table_NFI[[#This Row],[Blanket]])</f>
        <v>0</v>
      </c>
      <c r="AE562" s="352">
        <f>IF(NFI_Expiration=1,IF($A562&lt;VLOOKUP(N$5,NFI,5,0),1,0)*Table_NFI[[#This Row],[Kitchen Set]],Table_NFI[Kitchen Set])</f>
        <v>0</v>
      </c>
      <c r="AF562" s="352">
        <f>IF(NFI_Expiration=1,IF($A562&lt;VLOOKUP(O$5,NFI,5,0),1,0)*Table_NFI[[#This Row],[Clothes Kit]],Table_NFI[Clothes Kit])</f>
        <v>0</v>
      </c>
      <c r="AG562" s="352">
        <f>IF(NFI_Expiration=1,IF($A562&lt;VLOOKUP(P$5,NFI,5,0),1,0)*Table_NFI[[#This Row],[Plastic Bucket]],Table_NFI[Plastic Bucket])</f>
        <v>0</v>
      </c>
      <c r="AH562" s="352">
        <f>IF(NFI_Expiration=1,IF($A562&lt;VLOOKUP(Q$5,NFI,5,0),1,0)*Table_NFI[[#This Row],[Plastic Mat]],Table_NFI[Plastic Mat])*IF(Table_NFI[[#This Row],[Distribution Date]]&gt;"2014-04-01",1,2.5)</f>
        <v>0</v>
      </c>
      <c r="AI562" s="352">
        <f>IF(NFI_Expiration=1,IF($A562&lt;VLOOKUP(R$5,NFI,5,0),1,0)*Table_NFI[[#This Row],[Winter Clothes Adult]],Table_NFI[Winter Clothes Adult])</f>
        <v>0</v>
      </c>
      <c r="AJ562" s="352">
        <f>IF(NFI_Expiration=1,IF($A562&lt;VLOOKUP(S$5,NFI,5,0),1,0)*Table_NFI[[#This Row],[Winter Clothes Children]],Table_NFI[Winter Clothes Children])</f>
        <v>0</v>
      </c>
      <c r="AK562" s="352">
        <f>IF(NFI_Expiration=1,IF($A562&lt;VLOOKUP(T$5,NFI,5,0),1,0)*Table_NFI[[#This Row],[Winter Items Other]],Table_NFI[Winter Items Other])</f>
        <v>0</v>
      </c>
      <c r="AL562" s="352">
        <f>IF(NFI_Expiration=1,IF($A562&lt;VLOOKUP(M$5,NFI,5,0),1,0)*Table_NFI[[#This Row],[Winter Blanket]],Table_NFI[[#This Row],[Winter Blanket]])</f>
        <v>0</v>
      </c>
      <c r="AM562" s="352">
        <f>IF(Table_NFI[[#This Row],[Winter Clothes Adult]]+Table_NFI[[#This Row],[Winter Clothes Children]]+Table_NFI[[#This Row],[Winter Items Other]]+Table_NFI[[#This Row],[Winter Blanket]]&gt;0,1,0)</f>
        <v>0</v>
      </c>
      <c r="AN562" s="392">
        <f>IF(NFI_Expiration=1,IF($A562&lt;VLOOKUP(V$5,NFI,5,0),1,0)*Table_NFI[[#This Row],[Jerry Can]],Table_NFI[Jerry Can])</f>
        <v>0</v>
      </c>
      <c r="AO562" s="540" t="str">
        <f>IFERROR(VLOOKUP(Table_NFI[[#This Row],[Camp Name]],CL,2,0),"")</f>
        <v>MMR001CMP038</v>
      </c>
      <c r="AP562" s="535">
        <f ca="1">IF(Table_NFI[[#This Row],[Pcode]]="","",IF(OFFSET(CampList[Opening Date],MATCH(Table_NFI[[#This Row],[Pcode]],CampList[CP_Pcode],0)-1,0,1,1)&gt;=NFI_Monitor_Date,1,0))</f>
        <v>0</v>
      </c>
      <c r="AQ562" s="540" t="str">
        <f>IFERROR(VLOOKUP(Table_NFI[[#This Row],[Camp Name]],CL,3,0),"")</f>
        <v>Open</v>
      </c>
      <c r="AR562" s="352" t="str">
        <f ca="1">IF(Table_NFI[[#This Row],[Pcode]]="","",OFFSET(CampList[Priority],MATCH(Table_NFI[[#This Row],[Pcode]],CampList[CP_Pcode],0)-1,0,1,1))</f>
        <v>P4</v>
      </c>
      <c r="AS562" s="351">
        <f>IFERROR(Table_NFI[[#This Row],[Kitchen Set]]/VLOOKUP(Table_NFI[[#This Row],[Camp Name]],CL,4,0),"")</f>
        <v>4.2857142857142858E-2</v>
      </c>
      <c r="AT562" s="533" t="s">
        <v>1094</v>
      </c>
      <c r="AU562" s="536"/>
    </row>
    <row r="563" spans="1:47" s="537" customFormat="1" ht="14.45" customHeight="1" x14ac:dyDescent="0.25">
      <c r="A563" s="355">
        <f t="shared" si="8"/>
        <v>40.56666666666667</v>
      </c>
      <c r="B563" s="532">
        <v>41354</v>
      </c>
      <c r="C563" s="533" t="s">
        <v>453</v>
      </c>
      <c r="D563" s="534" t="s">
        <v>453</v>
      </c>
      <c r="E563" s="533" t="s">
        <v>380</v>
      </c>
      <c r="F563" s="348" t="s">
        <v>528</v>
      </c>
      <c r="G563" s="348" t="s">
        <v>90</v>
      </c>
      <c r="H563" s="349"/>
      <c r="I563" s="349"/>
      <c r="J563" s="349">
        <v>34</v>
      </c>
      <c r="K563" s="349">
        <v>40</v>
      </c>
      <c r="L563" s="350">
        <v>40</v>
      </c>
      <c r="M563" s="350">
        <v>75</v>
      </c>
      <c r="N563" s="350">
        <v>40</v>
      </c>
      <c r="O563" s="350">
        <v>75</v>
      </c>
      <c r="P563" s="352">
        <v>75</v>
      </c>
      <c r="Q563" s="352">
        <v>75</v>
      </c>
      <c r="R563" s="352"/>
      <c r="S563" s="352"/>
      <c r="T563" s="352"/>
      <c r="U563" s="352"/>
      <c r="V563" s="497"/>
      <c r="W563" s="352"/>
      <c r="X563" s="352"/>
      <c r="Y563" s="352">
        <f>IF(NFI_Expiration=1,IF($A563&lt;VLOOKUP(H$5,NFI,5,0),1,0)*Table_NFI[[#This Row],[Hygiene Kit]],Table_NFI[Hygiene Kit])</f>
        <v>0</v>
      </c>
      <c r="Z563" s="352">
        <f>IF(NFI_Expiration=1,IF($A563&lt;VLOOKUP(I$5,NFI,5,0),1,0)*Table_NFI[[#This Row],[NFI Core Kit]],Table_NFI[NFI Core Kit])</f>
        <v>0</v>
      </c>
      <c r="AA563" s="352">
        <f>IF(NFI_Expiration=1,IF($A563&lt;VLOOKUP(J$5,NFI,5,0),1,0)*Table_NFI[[#This Row],[Sanitary Kit]],Table_NFI[Sanitary Kit])</f>
        <v>0</v>
      </c>
      <c r="AB563" s="352">
        <f>IF(NFI_Expiration=1,IF($A563&lt;VLOOKUP(K$5,NFI,5,0),1,0)*Table_NFI[[#This Row],[Mosquito net]],Table_NFI[Mosquito net])</f>
        <v>0</v>
      </c>
      <c r="AC563" s="352">
        <f>IF(NFI_Expiration=1,IF($A563&lt;VLOOKUP(L$5,NFI,5,0),1,0)*Table_NFI[[#This Row],[Tarpaulin]],Table_NFI[[#This Row],[Tarpaulin]])</f>
        <v>0</v>
      </c>
      <c r="AD563" s="352">
        <f>IF(NFI_Expiration=1,IF($A563&lt;VLOOKUP(M$5,NFI,5,0),1,0)*Table_NFI[[#This Row],[Blanket]],Table_NFI[[#This Row],[Blanket]])</f>
        <v>0</v>
      </c>
      <c r="AE563" s="352">
        <f>IF(NFI_Expiration=1,IF($A563&lt;VLOOKUP(N$5,NFI,5,0),1,0)*Table_NFI[[#This Row],[Kitchen Set]],Table_NFI[Kitchen Set])</f>
        <v>0</v>
      </c>
      <c r="AF563" s="352">
        <f>IF(NFI_Expiration=1,IF($A563&lt;VLOOKUP(O$5,NFI,5,0),1,0)*Table_NFI[[#This Row],[Clothes Kit]],Table_NFI[Clothes Kit])</f>
        <v>0</v>
      </c>
      <c r="AG563" s="352">
        <f>IF(NFI_Expiration=1,IF($A563&lt;VLOOKUP(P$5,NFI,5,0),1,0)*Table_NFI[[#This Row],[Plastic Bucket]],Table_NFI[Plastic Bucket])</f>
        <v>0</v>
      </c>
      <c r="AH563" s="352">
        <f>IF(NFI_Expiration=1,IF($A563&lt;VLOOKUP(Q$5,NFI,5,0),1,0)*Table_NFI[[#This Row],[Plastic Mat]],Table_NFI[Plastic Mat])*IF(Table_NFI[[#This Row],[Distribution Date]]&gt;"2014-04-01",1,2.5)</f>
        <v>0</v>
      </c>
      <c r="AI563" s="352">
        <f>IF(NFI_Expiration=1,IF($A563&lt;VLOOKUP(R$5,NFI,5,0),1,0)*Table_NFI[[#This Row],[Winter Clothes Adult]],Table_NFI[Winter Clothes Adult])</f>
        <v>0</v>
      </c>
      <c r="AJ563" s="352">
        <f>IF(NFI_Expiration=1,IF($A563&lt;VLOOKUP(S$5,NFI,5,0),1,0)*Table_NFI[[#This Row],[Winter Clothes Children]],Table_NFI[Winter Clothes Children])</f>
        <v>0</v>
      </c>
      <c r="AK563" s="352">
        <f>IF(NFI_Expiration=1,IF($A563&lt;VLOOKUP(T$5,NFI,5,0),1,0)*Table_NFI[[#This Row],[Winter Items Other]],Table_NFI[Winter Items Other])</f>
        <v>0</v>
      </c>
      <c r="AL563" s="352">
        <f>IF(NFI_Expiration=1,IF($A563&lt;VLOOKUP(M$5,NFI,5,0),1,0)*Table_NFI[[#This Row],[Winter Blanket]],Table_NFI[[#This Row],[Winter Blanket]])</f>
        <v>0</v>
      </c>
      <c r="AM563" s="352">
        <f>IF(Table_NFI[[#This Row],[Winter Clothes Adult]]+Table_NFI[[#This Row],[Winter Clothes Children]]+Table_NFI[[#This Row],[Winter Items Other]]+Table_NFI[[#This Row],[Winter Blanket]]&gt;0,1,0)</f>
        <v>0</v>
      </c>
      <c r="AN563" s="392">
        <f>IF(NFI_Expiration=1,IF($A563&lt;VLOOKUP(V$5,NFI,5,0),1,0)*Table_NFI[[#This Row],[Jerry Can]],Table_NFI[Jerry Can])</f>
        <v>0</v>
      </c>
      <c r="AO563" s="540" t="str">
        <f>IFERROR(VLOOKUP(Table_NFI[[#This Row],[Camp Name]],CL,2,0),"")</f>
        <v>MMR001CMP181</v>
      </c>
      <c r="AP563" s="535">
        <f ca="1">IF(Table_NFI[[#This Row],[Pcode]]="","",IF(OFFSET(CampList[Opening Date],MATCH(Table_NFI[[#This Row],[Pcode]],CampList[CP_Pcode],0)-1,0,1,1)&gt;=NFI_Monitor_Date,1,0))</f>
        <v>0</v>
      </c>
      <c r="AQ563" s="540" t="str">
        <f>IFERROR(VLOOKUP(Table_NFI[[#This Row],[Camp Name]],CL,3,0),"")</f>
        <v>Open</v>
      </c>
      <c r="AR563" s="352" t="str">
        <f ca="1">IF(Table_NFI[[#This Row],[Pcode]]="","",OFFSET(CampList[Priority],MATCH(Table_NFI[[#This Row],[Pcode]],CampList[CP_Pcode],0)-1,0,1,1))</f>
        <v>P4</v>
      </c>
      <c r="AS563" s="351">
        <f>IFERROR(Table_NFI[[#This Row],[Kitchen Set]]/VLOOKUP(Table_NFI[[#This Row],[Camp Name]],CL,4,0),"")</f>
        <v>1.6</v>
      </c>
      <c r="AT563" s="533" t="s">
        <v>1094</v>
      </c>
      <c r="AU563" s="536"/>
    </row>
    <row r="564" spans="1:47" s="537" customFormat="1" ht="14.45" customHeight="1" x14ac:dyDescent="0.25">
      <c r="A564" s="355">
        <f t="shared" si="8"/>
        <v>40.56666666666667</v>
      </c>
      <c r="B564" s="532">
        <v>41354</v>
      </c>
      <c r="C564" s="533" t="s">
        <v>453</v>
      </c>
      <c r="D564" s="534" t="s">
        <v>453</v>
      </c>
      <c r="E564" s="533" t="s">
        <v>380</v>
      </c>
      <c r="F564" s="348" t="s">
        <v>528</v>
      </c>
      <c r="G564" s="348" t="s">
        <v>118</v>
      </c>
      <c r="H564" s="349"/>
      <c r="I564" s="349"/>
      <c r="J564" s="349">
        <v>15</v>
      </c>
      <c r="K564" s="349">
        <v>8</v>
      </c>
      <c r="L564" s="350">
        <v>8</v>
      </c>
      <c r="M564" s="350">
        <v>17</v>
      </c>
      <c r="N564" s="350">
        <v>8</v>
      </c>
      <c r="O564" s="350">
        <v>17</v>
      </c>
      <c r="P564" s="352">
        <v>17</v>
      </c>
      <c r="Q564" s="352">
        <v>17</v>
      </c>
      <c r="R564" s="352"/>
      <c r="S564" s="352"/>
      <c r="T564" s="352"/>
      <c r="U564" s="352"/>
      <c r="V564" s="497"/>
      <c r="W564" s="352"/>
      <c r="X564" s="352"/>
      <c r="Y564" s="352">
        <f>IF(NFI_Expiration=1,IF($A564&lt;VLOOKUP(H$5,NFI,5,0),1,0)*Table_NFI[[#This Row],[Hygiene Kit]],Table_NFI[Hygiene Kit])</f>
        <v>0</v>
      </c>
      <c r="Z564" s="352">
        <f>IF(NFI_Expiration=1,IF($A564&lt;VLOOKUP(I$5,NFI,5,0),1,0)*Table_NFI[[#This Row],[NFI Core Kit]],Table_NFI[NFI Core Kit])</f>
        <v>0</v>
      </c>
      <c r="AA564" s="352">
        <f>IF(NFI_Expiration=1,IF($A564&lt;VLOOKUP(J$5,NFI,5,0),1,0)*Table_NFI[[#This Row],[Sanitary Kit]],Table_NFI[Sanitary Kit])</f>
        <v>0</v>
      </c>
      <c r="AB564" s="352">
        <f>IF(NFI_Expiration=1,IF($A564&lt;VLOOKUP(K$5,NFI,5,0),1,0)*Table_NFI[[#This Row],[Mosquito net]],Table_NFI[Mosquito net])</f>
        <v>0</v>
      </c>
      <c r="AC564" s="352">
        <f>IF(NFI_Expiration=1,IF($A564&lt;VLOOKUP(L$5,NFI,5,0),1,0)*Table_NFI[[#This Row],[Tarpaulin]],Table_NFI[[#This Row],[Tarpaulin]])</f>
        <v>0</v>
      </c>
      <c r="AD564" s="352">
        <f>IF(NFI_Expiration=1,IF($A564&lt;VLOOKUP(M$5,NFI,5,0),1,0)*Table_NFI[[#This Row],[Blanket]],Table_NFI[[#This Row],[Blanket]])</f>
        <v>0</v>
      </c>
      <c r="AE564" s="352">
        <f>IF(NFI_Expiration=1,IF($A564&lt;VLOOKUP(N$5,NFI,5,0),1,0)*Table_NFI[[#This Row],[Kitchen Set]],Table_NFI[Kitchen Set])</f>
        <v>0</v>
      </c>
      <c r="AF564" s="352">
        <f>IF(NFI_Expiration=1,IF($A564&lt;VLOOKUP(O$5,NFI,5,0),1,0)*Table_NFI[[#This Row],[Clothes Kit]],Table_NFI[Clothes Kit])</f>
        <v>0</v>
      </c>
      <c r="AG564" s="352">
        <f>IF(NFI_Expiration=1,IF($A564&lt;VLOOKUP(P$5,NFI,5,0),1,0)*Table_NFI[[#This Row],[Plastic Bucket]],Table_NFI[Plastic Bucket])</f>
        <v>0</v>
      </c>
      <c r="AH564" s="352">
        <f>IF(NFI_Expiration=1,IF($A564&lt;VLOOKUP(Q$5,NFI,5,0),1,0)*Table_NFI[[#This Row],[Plastic Mat]],Table_NFI[Plastic Mat])*IF(Table_NFI[[#This Row],[Distribution Date]]&gt;"2014-04-01",1,2.5)</f>
        <v>0</v>
      </c>
      <c r="AI564" s="352">
        <f>IF(NFI_Expiration=1,IF($A564&lt;VLOOKUP(R$5,NFI,5,0),1,0)*Table_NFI[[#This Row],[Winter Clothes Adult]],Table_NFI[Winter Clothes Adult])</f>
        <v>0</v>
      </c>
      <c r="AJ564" s="352">
        <f>IF(NFI_Expiration=1,IF($A564&lt;VLOOKUP(S$5,NFI,5,0),1,0)*Table_NFI[[#This Row],[Winter Clothes Children]],Table_NFI[Winter Clothes Children])</f>
        <v>0</v>
      </c>
      <c r="AK564" s="352">
        <f>IF(NFI_Expiration=1,IF($A564&lt;VLOOKUP(T$5,NFI,5,0),1,0)*Table_NFI[[#This Row],[Winter Items Other]],Table_NFI[Winter Items Other])</f>
        <v>0</v>
      </c>
      <c r="AL564" s="352">
        <f>IF(NFI_Expiration=1,IF($A564&lt;VLOOKUP(M$5,NFI,5,0),1,0)*Table_NFI[[#This Row],[Winter Blanket]],Table_NFI[[#This Row],[Winter Blanket]])</f>
        <v>0</v>
      </c>
      <c r="AM564" s="352">
        <f>IF(Table_NFI[[#This Row],[Winter Clothes Adult]]+Table_NFI[[#This Row],[Winter Clothes Children]]+Table_NFI[[#This Row],[Winter Items Other]]+Table_NFI[[#This Row],[Winter Blanket]]&gt;0,1,0)</f>
        <v>0</v>
      </c>
      <c r="AN564" s="392">
        <f>IF(NFI_Expiration=1,IF($A564&lt;VLOOKUP(V$5,NFI,5,0),1,0)*Table_NFI[[#This Row],[Jerry Can]],Table_NFI[Jerry Can])</f>
        <v>0</v>
      </c>
      <c r="AO564" s="540" t="str">
        <f>IFERROR(VLOOKUP(Table_NFI[[#This Row],[Camp Name]],CL,2,0),"")</f>
        <v>MMR001CMP182</v>
      </c>
      <c r="AP564" s="535">
        <f ca="1">IF(Table_NFI[[#This Row],[Pcode]]="","",IF(OFFSET(CampList[Opening Date],MATCH(Table_NFI[[#This Row],[Pcode]],CampList[CP_Pcode],0)-1,0,1,1)&gt;=NFI_Monitor_Date,1,0))</f>
        <v>0</v>
      </c>
      <c r="AQ564" s="540" t="str">
        <f>IFERROR(VLOOKUP(Table_NFI[[#This Row],[Camp Name]],CL,3,0),"")</f>
        <v>Open</v>
      </c>
      <c r="AR564" s="352" t="str">
        <f ca="1">IF(Table_NFI[[#This Row],[Pcode]]="","",OFFSET(CampList[Priority],MATCH(Table_NFI[[#This Row],[Pcode]],CampList[CP_Pcode],0)-1,0,1,1))</f>
        <v>P4</v>
      </c>
      <c r="AS564" s="351">
        <f>IFERROR(Table_NFI[[#This Row],[Kitchen Set]]/VLOOKUP(Table_NFI[[#This Row],[Camp Name]],CL,4,0),"")</f>
        <v>0.8</v>
      </c>
      <c r="AT564" s="533" t="s">
        <v>1094</v>
      </c>
      <c r="AU564" s="536"/>
    </row>
    <row r="565" spans="1:47" s="537" customFormat="1" ht="14.45" hidden="1" customHeight="1" x14ac:dyDescent="0.25">
      <c r="A565" s="355">
        <f t="shared" si="8"/>
        <v>43.233333333333334</v>
      </c>
      <c r="B565" s="532">
        <v>41274</v>
      </c>
      <c r="C565" s="533" t="s">
        <v>454</v>
      </c>
      <c r="D565" s="533" t="s">
        <v>454</v>
      </c>
      <c r="E565" s="533" t="s">
        <v>380</v>
      </c>
      <c r="F565" s="348" t="s">
        <v>528</v>
      </c>
      <c r="G565" s="348" t="s">
        <v>84</v>
      </c>
      <c r="H565" s="349">
        <v>10</v>
      </c>
      <c r="I565" s="349"/>
      <c r="J565" s="349"/>
      <c r="K565" s="349"/>
      <c r="L565" s="350"/>
      <c r="M565" s="350"/>
      <c r="N565" s="350"/>
      <c r="O565" s="350"/>
      <c r="P565" s="352">
        <v>0</v>
      </c>
      <c r="Q565" s="352">
        <v>0</v>
      </c>
      <c r="R565" s="352"/>
      <c r="S565" s="352"/>
      <c r="T565" s="352"/>
      <c r="U565" s="352"/>
      <c r="V565" s="497"/>
      <c r="W565" s="352"/>
      <c r="X565" s="352"/>
      <c r="Y565" s="352">
        <f>IF(NFI_Expiration=1,IF($A565&lt;VLOOKUP(H$5,NFI,5,0),1,0)*Table_NFI[[#This Row],[Hygiene Kit]],Table_NFI[Hygiene Kit])</f>
        <v>0</v>
      </c>
      <c r="Z565" s="352">
        <f>IF(NFI_Expiration=1,IF($A565&lt;VLOOKUP(I$5,NFI,5,0),1,0)*Table_NFI[[#This Row],[NFI Core Kit]],Table_NFI[NFI Core Kit])</f>
        <v>0</v>
      </c>
      <c r="AA565" s="352">
        <f>IF(NFI_Expiration=1,IF($A565&lt;VLOOKUP(J$5,NFI,5,0),1,0)*Table_NFI[[#This Row],[Sanitary Kit]],Table_NFI[Sanitary Kit])</f>
        <v>0</v>
      </c>
      <c r="AB565" s="352">
        <f>IF(NFI_Expiration=1,IF($A565&lt;VLOOKUP(K$5,NFI,5,0),1,0)*Table_NFI[[#This Row],[Mosquito net]],Table_NFI[Mosquito net])</f>
        <v>0</v>
      </c>
      <c r="AC565" s="352">
        <f>IF(NFI_Expiration=1,IF($A565&lt;VLOOKUP(L$5,NFI,5,0),1,0)*Table_NFI[[#This Row],[Tarpaulin]],Table_NFI[[#This Row],[Tarpaulin]])</f>
        <v>0</v>
      </c>
      <c r="AD565" s="352">
        <f>IF(NFI_Expiration=1,IF($A565&lt;VLOOKUP(M$5,NFI,5,0),1,0)*Table_NFI[[#This Row],[Blanket]],Table_NFI[[#This Row],[Blanket]])</f>
        <v>0</v>
      </c>
      <c r="AE565" s="352">
        <f>IF(NFI_Expiration=1,IF($A565&lt;VLOOKUP(N$5,NFI,5,0),1,0)*Table_NFI[[#This Row],[Kitchen Set]],Table_NFI[Kitchen Set])</f>
        <v>0</v>
      </c>
      <c r="AF565" s="352">
        <f>IF(NFI_Expiration=1,IF($A565&lt;VLOOKUP(O$5,NFI,5,0),1,0)*Table_NFI[[#This Row],[Clothes Kit]],Table_NFI[Clothes Kit])</f>
        <v>0</v>
      </c>
      <c r="AG565" s="352">
        <f>IF(NFI_Expiration=1,IF($A565&lt;VLOOKUP(P$5,NFI,5,0),1,0)*Table_NFI[[#This Row],[Plastic Bucket]],Table_NFI[Plastic Bucket])</f>
        <v>0</v>
      </c>
      <c r="AH565" s="352">
        <f>IF(NFI_Expiration=1,IF($A565&lt;VLOOKUP(Q$5,NFI,5,0),1,0)*Table_NFI[[#This Row],[Plastic Mat]],Table_NFI[Plastic Mat])*IF(Table_NFI[[#This Row],[Distribution Date]]&gt;"2014-04-01",1,2.5)</f>
        <v>0</v>
      </c>
      <c r="AI565" s="352">
        <f>IF(NFI_Expiration=1,IF($A565&lt;VLOOKUP(R$5,NFI,5,0),1,0)*Table_NFI[[#This Row],[Winter Clothes Adult]],Table_NFI[Winter Clothes Adult])</f>
        <v>0</v>
      </c>
      <c r="AJ565" s="352">
        <f>IF(NFI_Expiration=1,IF($A565&lt;VLOOKUP(S$5,NFI,5,0),1,0)*Table_NFI[[#This Row],[Winter Clothes Children]],Table_NFI[Winter Clothes Children])</f>
        <v>0</v>
      </c>
      <c r="AK565" s="352">
        <f>IF(NFI_Expiration=1,IF($A565&lt;VLOOKUP(T$5,NFI,5,0),1,0)*Table_NFI[[#This Row],[Winter Items Other]],Table_NFI[Winter Items Other])</f>
        <v>0</v>
      </c>
      <c r="AL565" s="352">
        <f>IF(NFI_Expiration=1,IF($A565&lt;VLOOKUP(M$5,NFI,5,0),1,0)*Table_NFI[[#This Row],[Winter Blanket]],Table_NFI[[#This Row],[Winter Blanket]])</f>
        <v>0</v>
      </c>
      <c r="AM565" s="352">
        <f>IF(Table_NFI[[#This Row],[Winter Clothes Adult]]+Table_NFI[[#This Row],[Winter Clothes Children]]+Table_NFI[[#This Row],[Winter Items Other]]+Table_NFI[[#This Row],[Winter Blanket]]&gt;0,1,0)</f>
        <v>0</v>
      </c>
      <c r="AN565" s="392">
        <f>IF(NFI_Expiration=1,IF($A565&lt;VLOOKUP(V$5,NFI,5,0),1,0)*Table_NFI[[#This Row],[Jerry Can]],Table_NFI[Jerry Can])</f>
        <v>0</v>
      </c>
      <c r="AO565" s="540" t="str">
        <f>IFERROR(VLOOKUP(Table_NFI[[#This Row],[Camp Name]],CL,2,0),"")</f>
        <v>MMR001CMP085</v>
      </c>
      <c r="AP565" s="535">
        <f ca="1">IF(Table_NFI[[#This Row],[Pcode]]="","",IF(OFFSET(CampList[Opening Date],MATCH(Table_NFI[[#This Row],[Pcode]],CampList[CP_Pcode],0)-1,0,1,1)&gt;=NFI_Monitor_Date,1,0))</f>
        <v>0</v>
      </c>
      <c r="AQ565" s="540" t="str">
        <f>IFERROR(VLOOKUP(Table_NFI[[#This Row],[Camp Name]],CL,3,0),"")</f>
        <v>Closed</v>
      </c>
      <c r="AR565" s="352" t="str">
        <f ca="1">IF(Table_NFI[[#This Row],[Pcode]]="","",OFFSET(CampList[Priority],MATCH(Table_NFI[[#This Row],[Pcode]],CampList[CP_Pcode],0)-1,0,1,1))</f>
        <v/>
      </c>
      <c r="AS565" s="351" t="str">
        <f>IFERROR(Table_NFI[[#This Row],[Kitchen Set]]/VLOOKUP(Table_NFI[[#This Row],[Camp Name]],CL,4,0),"")</f>
        <v/>
      </c>
      <c r="AT565" s="533" t="s">
        <v>1094</v>
      </c>
      <c r="AU565" s="536"/>
    </row>
    <row r="566" spans="1:47" s="537" customFormat="1" ht="14.45" customHeight="1" x14ac:dyDescent="0.25">
      <c r="A566" s="355">
        <f t="shared" si="8"/>
        <v>40.6</v>
      </c>
      <c r="B566" s="532">
        <v>41353</v>
      </c>
      <c r="C566" s="533" t="s">
        <v>453</v>
      </c>
      <c r="D566" s="533" t="s">
        <v>453</v>
      </c>
      <c r="E566" s="533" t="s">
        <v>380</v>
      </c>
      <c r="F566" s="533" t="s">
        <v>528</v>
      </c>
      <c r="G566" s="348" t="s">
        <v>43</v>
      </c>
      <c r="H566" s="349"/>
      <c r="I566" s="349"/>
      <c r="J566" s="349">
        <v>24</v>
      </c>
      <c r="K566" s="349">
        <v>17</v>
      </c>
      <c r="L566" s="350">
        <v>17</v>
      </c>
      <c r="M566" s="350">
        <v>41</v>
      </c>
      <c r="N566" s="350">
        <v>17</v>
      </c>
      <c r="O566" s="350">
        <v>41</v>
      </c>
      <c r="P566" s="352">
        <v>41</v>
      </c>
      <c r="Q566" s="352">
        <v>41</v>
      </c>
      <c r="R566" s="352"/>
      <c r="S566" s="352"/>
      <c r="T566" s="352"/>
      <c r="U566" s="352"/>
      <c r="V566" s="497"/>
      <c r="W566" s="352"/>
      <c r="X566" s="352"/>
      <c r="Y566" s="352">
        <f>IF(NFI_Expiration=1,IF($A566&lt;VLOOKUP(H$5,NFI,5,0),1,0)*Table_NFI[[#This Row],[Hygiene Kit]],Table_NFI[Hygiene Kit])</f>
        <v>0</v>
      </c>
      <c r="Z566" s="352">
        <f>IF(NFI_Expiration=1,IF($A566&lt;VLOOKUP(I$5,NFI,5,0),1,0)*Table_NFI[[#This Row],[NFI Core Kit]],Table_NFI[NFI Core Kit])</f>
        <v>0</v>
      </c>
      <c r="AA566" s="352">
        <f>IF(NFI_Expiration=1,IF($A566&lt;VLOOKUP(J$5,NFI,5,0),1,0)*Table_NFI[[#This Row],[Sanitary Kit]],Table_NFI[Sanitary Kit])</f>
        <v>0</v>
      </c>
      <c r="AB566" s="352">
        <f>IF(NFI_Expiration=1,IF($A566&lt;VLOOKUP(K$5,NFI,5,0),1,0)*Table_NFI[[#This Row],[Mosquito net]],Table_NFI[Mosquito net])</f>
        <v>0</v>
      </c>
      <c r="AC566" s="352">
        <f>IF(NFI_Expiration=1,IF($A566&lt;VLOOKUP(L$5,NFI,5,0),1,0)*Table_NFI[[#This Row],[Tarpaulin]],Table_NFI[[#This Row],[Tarpaulin]])</f>
        <v>0</v>
      </c>
      <c r="AD566" s="352">
        <f>IF(NFI_Expiration=1,IF($A566&lt;VLOOKUP(M$5,NFI,5,0),1,0)*Table_NFI[[#This Row],[Blanket]],Table_NFI[[#This Row],[Blanket]])</f>
        <v>0</v>
      </c>
      <c r="AE566" s="352">
        <f>IF(NFI_Expiration=1,IF($A566&lt;VLOOKUP(N$5,NFI,5,0),1,0)*Table_NFI[[#This Row],[Kitchen Set]],Table_NFI[Kitchen Set])</f>
        <v>0</v>
      </c>
      <c r="AF566" s="352">
        <f>IF(NFI_Expiration=1,IF($A566&lt;VLOOKUP(O$5,NFI,5,0),1,0)*Table_NFI[[#This Row],[Clothes Kit]],Table_NFI[Clothes Kit])</f>
        <v>0</v>
      </c>
      <c r="AG566" s="352">
        <f>IF(NFI_Expiration=1,IF($A566&lt;VLOOKUP(P$5,NFI,5,0),1,0)*Table_NFI[[#This Row],[Plastic Bucket]],Table_NFI[Plastic Bucket])</f>
        <v>0</v>
      </c>
      <c r="AH566" s="352">
        <f>IF(NFI_Expiration=1,IF($A566&lt;VLOOKUP(Q$5,NFI,5,0),1,0)*Table_NFI[[#This Row],[Plastic Mat]],Table_NFI[Plastic Mat])*IF(Table_NFI[[#This Row],[Distribution Date]]&gt;"2014-04-01",1,2.5)</f>
        <v>0</v>
      </c>
      <c r="AI566" s="352">
        <f>IF(NFI_Expiration=1,IF($A566&lt;VLOOKUP(R$5,NFI,5,0),1,0)*Table_NFI[[#This Row],[Winter Clothes Adult]],Table_NFI[Winter Clothes Adult])</f>
        <v>0</v>
      </c>
      <c r="AJ566" s="352">
        <f>IF(NFI_Expiration=1,IF($A566&lt;VLOOKUP(S$5,NFI,5,0),1,0)*Table_NFI[[#This Row],[Winter Clothes Children]],Table_NFI[Winter Clothes Children])</f>
        <v>0</v>
      </c>
      <c r="AK566" s="352">
        <f>IF(NFI_Expiration=1,IF($A566&lt;VLOOKUP(T$5,NFI,5,0),1,0)*Table_NFI[[#This Row],[Winter Items Other]],Table_NFI[Winter Items Other])</f>
        <v>0</v>
      </c>
      <c r="AL566" s="352">
        <f>IF(NFI_Expiration=1,IF($A566&lt;VLOOKUP(M$5,NFI,5,0),1,0)*Table_NFI[[#This Row],[Winter Blanket]],Table_NFI[[#This Row],[Winter Blanket]])</f>
        <v>0</v>
      </c>
      <c r="AM566" s="352">
        <f>IF(Table_NFI[[#This Row],[Winter Clothes Adult]]+Table_NFI[[#This Row],[Winter Clothes Children]]+Table_NFI[[#This Row],[Winter Items Other]]+Table_NFI[[#This Row],[Winter Blanket]]&gt;0,1,0)</f>
        <v>0</v>
      </c>
      <c r="AN566" s="392">
        <f>IF(NFI_Expiration=1,IF($A566&lt;VLOOKUP(V$5,NFI,5,0),1,0)*Table_NFI[[#This Row],[Jerry Can]],Table_NFI[Jerry Can])</f>
        <v>0</v>
      </c>
      <c r="AO566" s="540" t="str">
        <f>IFERROR(VLOOKUP(Table_NFI[[#This Row],[Camp Name]],CL,2,0),"")</f>
        <v>MMR001CMP190</v>
      </c>
      <c r="AP566" s="535">
        <f ca="1">IF(Table_NFI[[#This Row],[Pcode]]="","",IF(OFFSET(CampList[Opening Date],MATCH(Table_NFI[[#This Row],[Pcode]],CampList[CP_Pcode],0)-1,0,1,1)&gt;=NFI_Monitor_Date,1,0))</f>
        <v>0</v>
      </c>
      <c r="AQ566" s="540" t="str">
        <f>IFERROR(VLOOKUP(Table_NFI[[#This Row],[Camp Name]],CL,3,0),"")</f>
        <v>Open</v>
      </c>
      <c r="AR566" s="352" t="str">
        <f ca="1">IF(Table_NFI[[#This Row],[Pcode]]="","",OFFSET(CampList[Priority],MATCH(Table_NFI[[#This Row],[Pcode]],CampList[CP_Pcode],0)-1,0,1,1))</f>
        <v>P4</v>
      </c>
      <c r="AS566" s="351">
        <f>IFERROR(Table_NFI[[#This Row],[Kitchen Set]]/VLOOKUP(Table_NFI[[#This Row],[Camp Name]],CL,4,0),"")</f>
        <v>1.2142857142857142</v>
      </c>
      <c r="AT566" s="533" t="s">
        <v>1094</v>
      </c>
      <c r="AU566" s="536"/>
    </row>
    <row r="567" spans="1:47" s="537" customFormat="1" ht="14.45" hidden="1" customHeight="1" x14ac:dyDescent="0.25">
      <c r="A567" s="355">
        <f t="shared" si="8"/>
        <v>20.933333333333334</v>
      </c>
      <c r="B567" s="532">
        <v>41943</v>
      </c>
      <c r="C567" s="533" t="s">
        <v>1096</v>
      </c>
      <c r="D567" s="533" t="s">
        <v>902</v>
      </c>
      <c r="E567" s="533" t="s">
        <v>380</v>
      </c>
      <c r="F567" s="533" t="s">
        <v>528</v>
      </c>
      <c r="G567" s="533" t="s">
        <v>100</v>
      </c>
      <c r="H567" s="349"/>
      <c r="I567" s="349"/>
      <c r="J567" s="349"/>
      <c r="K567" s="349"/>
      <c r="L567" s="350"/>
      <c r="M567" s="350"/>
      <c r="N567" s="350"/>
      <c r="O567" s="350"/>
      <c r="P567" s="352"/>
      <c r="Q567" s="352"/>
      <c r="R567" s="352">
        <v>11</v>
      </c>
      <c r="S567" s="352">
        <v>15</v>
      </c>
      <c r="T567" s="352"/>
      <c r="U567" s="352"/>
      <c r="V567" s="497"/>
      <c r="W567" s="352"/>
      <c r="X567" s="352"/>
      <c r="Y567" s="352">
        <f>IF(NFI_Expiration=1,IF($A567&lt;VLOOKUP(H$5,NFI,5,0),1,0)*Table_NFI[[#This Row],[Hygiene Kit]],Table_NFI[Hygiene Kit])</f>
        <v>0</v>
      </c>
      <c r="Z567" s="352">
        <f>IF(NFI_Expiration=1,IF($A567&lt;VLOOKUP(I$5,NFI,5,0),1,0)*Table_NFI[[#This Row],[NFI Core Kit]],Table_NFI[NFI Core Kit])</f>
        <v>0</v>
      </c>
      <c r="AA567" s="352">
        <f>IF(NFI_Expiration=1,IF($A567&lt;VLOOKUP(J$5,NFI,5,0),1,0)*Table_NFI[[#This Row],[Sanitary Kit]],Table_NFI[Sanitary Kit])</f>
        <v>0</v>
      </c>
      <c r="AB567" s="352">
        <f>IF(NFI_Expiration=1,IF($A567&lt;VLOOKUP(K$5,NFI,5,0),1,0)*Table_NFI[[#This Row],[Mosquito net]],Table_NFI[Mosquito net])</f>
        <v>0</v>
      </c>
      <c r="AC567" s="352">
        <f>IF(NFI_Expiration=1,IF($A567&lt;VLOOKUP(L$5,NFI,5,0),1,0)*Table_NFI[[#This Row],[Tarpaulin]],Table_NFI[[#This Row],[Tarpaulin]])</f>
        <v>0</v>
      </c>
      <c r="AD567" s="352">
        <f>IF(NFI_Expiration=1,IF($A567&lt;VLOOKUP(M$5,NFI,5,0),1,0)*Table_NFI[[#This Row],[Blanket]],Table_NFI[[#This Row],[Blanket]])</f>
        <v>0</v>
      </c>
      <c r="AE567" s="352">
        <f>IF(NFI_Expiration=1,IF($A567&lt;VLOOKUP(N$5,NFI,5,0),1,0)*Table_NFI[[#This Row],[Kitchen Set]],Table_NFI[Kitchen Set])</f>
        <v>0</v>
      </c>
      <c r="AF567" s="352">
        <f>IF(NFI_Expiration=1,IF($A567&lt;VLOOKUP(O$5,NFI,5,0),1,0)*Table_NFI[[#This Row],[Clothes Kit]],Table_NFI[Clothes Kit])</f>
        <v>0</v>
      </c>
      <c r="AG567" s="352">
        <f>IF(NFI_Expiration=1,IF($A567&lt;VLOOKUP(P$5,NFI,5,0),1,0)*Table_NFI[[#This Row],[Plastic Bucket]],Table_NFI[Plastic Bucket])</f>
        <v>0</v>
      </c>
      <c r="AH567" s="352">
        <f>IF(NFI_Expiration=1,IF($A567&lt;VLOOKUP(Q$5,NFI,5,0),1,0)*Table_NFI[[#This Row],[Plastic Mat]],Table_NFI[Plastic Mat])*IF(Table_NFI[[#This Row],[Distribution Date]]&gt;"2014-04-01",1,2.5)</f>
        <v>0</v>
      </c>
      <c r="AI567" s="352">
        <f>IF(NFI_Expiration=1,IF($A567&lt;VLOOKUP(R$5,NFI,5,0),1,0)*Table_NFI[[#This Row],[Winter Clothes Adult]],Table_NFI[Winter Clothes Adult])</f>
        <v>0</v>
      </c>
      <c r="AJ567" s="352">
        <f>IF(NFI_Expiration=1,IF($A567&lt;VLOOKUP(S$5,NFI,5,0),1,0)*Table_NFI[[#This Row],[Winter Clothes Children]],Table_NFI[Winter Clothes Children])</f>
        <v>0</v>
      </c>
      <c r="AK567" s="352">
        <f>IF(NFI_Expiration=1,IF($A567&lt;VLOOKUP(T$5,NFI,5,0),1,0)*Table_NFI[[#This Row],[Winter Items Other]],Table_NFI[Winter Items Other])</f>
        <v>0</v>
      </c>
      <c r="AL567" s="352">
        <f>IF(NFI_Expiration=1,IF($A567&lt;VLOOKUP(M$5,NFI,5,0),1,0)*Table_NFI[[#This Row],[Winter Blanket]],Table_NFI[[#This Row],[Winter Blanket]])</f>
        <v>0</v>
      </c>
      <c r="AM567" s="352">
        <f>IF(Table_NFI[[#This Row],[Winter Clothes Adult]]+Table_NFI[[#This Row],[Winter Clothes Children]]+Table_NFI[[#This Row],[Winter Items Other]]+Table_NFI[[#This Row],[Winter Blanket]]&gt;0,1,0)</f>
        <v>1</v>
      </c>
      <c r="AN567" s="392">
        <f>IF(NFI_Expiration=1,IF($A567&lt;VLOOKUP(V$5,NFI,5,0),1,0)*Table_NFI[[#This Row],[Jerry Can]],Table_NFI[Jerry Can])</f>
        <v>0</v>
      </c>
      <c r="AO567" s="540" t="str">
        <f>IFERROR(VLOOKUP(Table_NFI[[#This Row],[Camp Name]],CL,2,0),"")</f>
        <v>MMR001CMP091</v>
      </c>
      <c r="AP567" s="535">
        <f ca="1">IF(Table_NFI[[#This Row],[Pcode]]="","",IF(OFFSET(CampList[Opening Date],MATCH(Table_NFI[[#This Row],[Pcode]],CampList[CP_Pcode],0)-1,0,1,1)&gt;=NFI_Monitor_Date,1,0))</f>
        <v>0</v>
      </c>
      <c r="AQ567" s="540" t="str">
        <f>IFERROR(VLOOKUP(Table_NFI[[#This Row],[Camp Name]],CL,3,0),"")</f>
        <v>Open</v>
      </c>
      <c r="AR567" s="352" t="str">
        <f ca="1">IF(Table_NFI[[#This Row],[Pcode]]="","",OFFSET(CampList[Priority],MATCH(Table_NFI[[#This Row],[Pcode]],CampList[CP_Pcode],0)-1,0,1,1))</f>
        <v>P4</v>
      </c>
      <c r="AS567" s="351">
        <f>IFERROR(Table_NFI[[#This Row],[Kitchen Set]]/VLOOKUP(Table_NFI[[#This Row],[Camp Name]],CL,4,0),"")</f>
        <v>0</v>
      </c>
      <c r="AT567" s="533"/>
      <c r="AU567" s="536"/>
    </row>
    <row r="568" spans="1:47" s="537" customFormat="1" ht="14.45" customHeight="1" x14ac:dyDescent="0.25">
      <c r="A568" s="355">
        <f t="shared" si="8"/>
        <v>40.6</v>
      </c>
      <c r="B568" s="532">
        <v>41353</v>
      </c>
      <c r="C568" s="533" t="s">
        <v>453</v>
      </c>
      <c r="D568" s="533" t="s">
        <v>453</v>
      </c>
      <c r="E568" s="533" t="s">
        <v>380</v>
      </c>
      <c r="F568" s="348" t="s">
        <v>528</v>
      </c>
      <c r="G568" s="348" t="s">
        <v>39</v>
      </c>
      <c r="H568" s="349"/>
      <c r="I568" s="349"/>
      <c r="J568" s="349">
        <v>38</v>
      </c>
      <c r="K568" s="349">
        <v>11</v>
      </c>
      <c r="L568" s="350">
        <v>11</v>
      </c>
      <c r="M568" s="350">
        <v>87</v>
      </c>
      <c r="N568" s="350">
        <v>11</v>
      </c>
      <c r="O568" s="350">
        <v>26</v>
      </c>
      <c r="P568" s="352">
        <v>26</v>
      </c>
      <c r="Q568" s="352">
        <v>26</v>
      </c>
      <c r="R568" s="352"/>
      <c r="S568" s="352"/>
      <c r="T568" s="352"/>
      <c r="U568" s="352"/>
      <c r="V568" s="497"/>
      <c r="W568" s="352"/>
      <c r="X568" s="352"/>
      <c r="Y568" s="352">
        <f>IF(NFI_Expiration=1,IF($A568&lt;VLOOKUP(H$5,NFI,5,0),1,0)*Table_NFI[[#This Row],[Hygiene Kit]],Table_NFI[Hygiene Kit])</f>
        <v>0</v>
      </c>
      <c r="Z568" s="352">
        <f>IF(NFI_Expiration=1,IF($A568&lt;VLOOKUP(I$5,NFI,5,0),1,0)*Table_NFI[[#This Row],[NFI Core Kit]],Table_NFI[NFI Core Kit])</f>
        <v>0</v>
      </c>
      <c r="AA568" s="352">
        <f>IF(NFI_Expiration=1,IF($A568&lt;VLOOKUP(J$5,NFI,5,0),1,0)*Table_NFI[[#This Row],[Sanitary Kit]],Table_NFI[Sanitary Kit])</f>
        <v>0</v>
      </c>
      <c r="AB568" s="352">
        <f>IF(NFI_Expiration=1,IF($A568&lt;VLOOKUP(K$5,NFI,5,0),1,0)*Table_NFI[[#This Row],[Mosquito net]],Table_NFI[Mosquito net])</f>
        <v>0</v>
      </c>
      <c r="AC568" s="352">
        <f>IF(NFI_Expiration=1,IF($A568&lt;VLOOKUP(L$5,NFI,5,0),1,0)*Table_NFI[[#This Row],[Tarpaulin]],Table_NFI[[#This Row],[Tarpaulin]])</f>
        <v>0</v>
      </c>
      <c r="AD568" s="352">
        <f>IF(NFI_Expiration=1,IF($A568&lt;VLOOKUP(M$5,NFI,5,0),1,0)*Table_NFI[[#This Row],[Blanket]],Table_NFI[[#This Row],[Blanket]])</f>
        <v>0</v>
      </c>
      <c r="AE568" s="352">
        <f>IF(NFI_Expiration=1,IF($A568&lt;VLOOKUP(N$5,NFI,5,0),1,0)*Table_NFI[[#This Row],[Kitchen Set]],Table_NFI[Kitchen Set])</f>
        <v>0</v>
      </c>
      <c r="AF568" s="352">
        <f>IF(NFI_Expiration=1,IF($A568&lt;VLOOKUP(O$5,NFI,5,0),1,0)*Table_NFI[[#This Row],[Clothes Kit]],Table_NFI[Clothes Kit])</f>
        <v>0</v>
      </c>
      <c r="AG568" s="352">
        <f>IF(NFI_Expiration=1,IF($A568&lt;VLOOKUP(P$5,NFI,5,0),1,0)*Table_NFI[[#This Row],[Plastic Bucket]],Table_NFI[Plastic Bucket])</f>
        <v>0</v>
      </c>
      <c r="AH568" s="352">
        <f>IF(NFI_Expiration=1,IF($A568&lt;VLOOKUP(Q$5,NFI,5,0),1,0)*Table_NFI[[#This Row],[Plastic Mat]],Table_NFI[Plastic Mat])*IF(Table_NFI[[#This Row],[Distribution Date]]&gt;"2014-04-01",1,2.5)</f>
        <v>0</v>
      </c>
      <c r="AI568" s="352">
        <f>IF(NFI_Expiration=1,IF($A568&lt;VLOOKUP(R$5,NFI,5,0),1,0)*Table_NFI[[#This Row],[Winter Clothes Adult]],Table_NFI[Winter Clothes Adult])</f>
        <v>0</v>
      </c>
      <c r="AJ568" s="352">
        <f>IF(NFI_Expiration=1,IF($A568&lt;VLOOKUP(S$5,NFI,5,0),1,0)*Table_NFI[[#This Row],[Winter Clothes Children]],Table_NFI[Winter Clothes Children])</f>
        <v>0</v>
      </c>
      <c r="AK568" s="352">
        <f>IF(NFI_Expiration=1,IF($A568&lt;VLOOKUP(T$5,NFI,5,0),1,0)*Table_NFI[[#This Row],[Winter Items Other]],Table_NFI[Winter Items Other])</f>
        <v>0</v>
      </c>
      <c r="AL568" s="352">
        <f>IF(NFI_Expiration=1,IF($A568&lt;VLOOKUP(M$5,NFI,5,0),1,0)*Table_NFI[[#This Row],[Winter Blanket]],Table_NFI[[#This Row],[Winter Blanket]])</f>
        <v>0</v>
      </c>
      <c r="AM568" s="352">
        <f>IF(Table_NFI[[#This Row],[Winter Clothes Adult]]+Table_NFI[[#This Row],[Winter Clothes Children]]+Table_NFI[[#This Row],[Winter Items Other]]+Table_NFI[[#This Row],[Winter Blanket]]&gt;0,1,0)</f>
        <v>0</v>
      </c>
      <c r="AN568" s="392">
        <f>IF(NFI_Expiration=1,IF($A568&lt;VLOOKUP(V$5,NFI,5,0),1,0)*Table_NFI[[#This Row],[Jerry Can]],Table_NFI[Jerry Can])</f>
        <v>0</v>
      </c>
      <c r="AO568" s="540" t="str">
        <f>IFERROR(VLOOKUP(Table_NFI[[#This Row],[Camp Name]],CL,2,0),"")</f>
        <v>MMR001CMP173</v>
      </c>
      <c r="AP568" s="535">
        <f ca="1">IF(Table_NFI[[#This Row],[Pcode]]="","",IF(OFFSET(CampList[Opening Date],MATCH(Table_NFI[[#This Row],[Pcode]],CampList[CP_Pcode],0)-1,0,1,1)&gt;=NFI_Monitor_Date,1,0))</f>
        <v>0</v>
      </c>
      <c r="AQ568" s="540" t="str">
        <f>IFERROR(VLOOKUP(Table_NFI[[#This Row],[Camp Name]],CL,3,0),"")</f>
        <v>Closed</v>
      </c>
      <c r="AR568" s="352" t="str">
        <f ca="1">IF(Table_NFI[[#This Row],[Pcode]]="","",OFFSET(CampList[Priority],MATCH(Table_NFI[[#This Row],[Pcode]],CampList[CP_Pcode],0)-1,0,1,1))</f>
        <v/>
      </c>
      <c r="AS568" s="351" t="str">
        <f>IFERROR(Table_NFI[[#This Row],[Kitchen Set]]/VLOOKUP(Table_NFI[[#This Row],[Camp Name]],CL,4,0),"")</f>
        <v/>
      </c>
      <c r="AT568" s="533" t="s">
        <v>1094</v>
      </c>
      <c r="AU568" s="536"/>
    </row>
    <row r="569" spans="1:47" s="537" customFormat="1" ht="14.45" customHeight="1" x14ac:dyDescent="0.25">
      <c r="A569" s="355">
        <f t="shared" si="8"/>
        <v>40.6</v>
      </c>
      <c r="B569" s="532">
        <v>41353</v>
      </c>
      <c r="C569" s="533" t="s">
        <v>453</v>
      </c>
      <c r="D569" s="534" t="s">
        <v>453</v>
      </c>
      <c r="E569" s="533" t="s">
        <v>380</v>
      </c>
      <c r="F569" s="348" t="s">
        <v>528</v>
      </c>
      <c r="G569" s="348" t="s">
        <v>72</v>
      </c>
      <c r="H569" s="349"/>
      <c r="I569" s="349"/>
      <c r="J569" s="349">
        <v>3</v>
      </c>
      <c r="K569" s="349">
        <v>8</v>
      </c>
      <c r="L569" s="350">
        <v>8</v>
      </c>
      <c r="M569" s="350">
        <v>15</v>
      </c>
      <c r="N569" s="350">
        <v>8</v>
      </c>
      <c r="O569" s="350">
        <v>15</v>
      </c>
      <c r="P569" s="352">
        <v>15</v>
      </c>
      <c r="Q569" s="352">
        <v>15</v>
      </c>
      <c r="R569" s="352"/>
      <c r="S569" s="352"/>
      <c r="T569" s="352"/>
      <c r="U569" s="352"/>
      <c r="V569" s="497"/>
      <c r="W569" s="352"/>
      <c r="X569" s="352"/>
      <c r="Y569" s="352">
        <f>IF(NFI_Expiration=1,IF($A569&lt;VLOOKUP(H$5,NFI,5,0),1,0)*Table_NFI[[#This Row],[Hygiene Kit]],Table_NFI[Hygiene Kit])</f>
        <v>0</v>
      </c>
      <c r="Z569" s="352">
        <f>IF(NFI_Expiration=1,IF($A569&lt;VLOOKUP(I$5,NFI,5,0),1,0)*Table_NFI[[#This Row],[NFI Core Kit]],Table_NFI[NFI Core Kit])</f>
        <v>0</v>
      </c>
      <c r="AA569" s="352">
        <f>IF(NFI_Expiration=1,IF($A569&lt;VLOOKUP(J$5,NFI,5,0),1,0)*Table_NFI[[#This Row],[Sanitary Kit]],Table_NFI[Sanitary Kit])</f>
        <v>0</v>
      </c>
      <c r="AB569" s="352">
        <f>IF(NFI_Expiration=1,IF($A569&lt;VLOOKUP(K$5,NFI,5,0),1,0)*Table_NFI[[#This Row],[Mosquito net]],Table_NFI[Mosquito net])</f>
        <v>0</v>
      </c>
      <c r="AC569" s="352">
        <f>IF(NFI_Expiration=1,IF($A569&lt;VLOOKUP(L$5,NFI,5,0),1,0)*Table_NFI[[#This Row],[Tarpaulin]],Table_NFI[[#This Row],[Tarpaulin]])</f>
        <v>0</v>
      </c>
      <c r="AD569" s="352">
        <f>IF(NFI_Expiration=1,IF($A569&lt;VLOOKUP(M$5,NFI,5,0),1,0)*Table_NFI[[#This Row],[Blanket]],Table_NFI[[#This Row],[Blanket]])</f>
        <v>0</v>
      </c>
      <c r="AE569" s="352">
        <f>IF(NFI_Expiration=1,IF($A569&lt;VLOOKUP(N$5,NFI,5,0),1,0)*Table_NFI[[#This Row],[Kitchen Set]],Table_NFI[Kitchen Set])</f>
        <v>0</v>
      </c>
      <c r="AF569" s="352">
        <f>IF(NFI_Expiration=1,IF($A569&lt;VLOOKUP(O$5,NFI,5,0),1,0)*Table_NFI[[#This Row],[Clothes Kit]],Table_NFI[Clothes Kit])</f>
        <v>0</v>
      </c>
      <c r="AG569" s="352">
        <f>IF(NFI_Expiration=1,IF($A569&lt;VLOOKUP(P$5,NFI,5,0),1,0)*Table_NFI[[#This Row],[Plastic Bucket]],Table_NFI[Plastic Bucket])</f>
        <v>0</v>
      </c>
      <c r="AH569" s="352">
        <f>IF(NFI_Expiration=1,IF($A569&lt;VLOOKUP(Q$5,NFI,5,0),1,0)*Table_NFI[[#This Row],[Plastic Mat]],Table_NFI[Plastic Mat])*IF(Table_NFI[[#This Row],[Distribution Date]]&gt;"2014-04-01",1,2.5)</f>
        <v>0</v>
      </c>
      <c r="AI569" s="352">
        <f>IF(NFI_Expiration=1,IF($A569&lt;VLOOKUP(R$5,NFI,5,0),1,0)*Table_NFI[[#This Row],[Winter Clothes Adult]],Table_NFI[Winter Clothes Adult])</f>
        <v>0</v>
      </c>
      <c r="AJ569" s="352">
        <f>IF(NFI_Expiration=1,IF($A569&lt;VLOOKUP(S$5,NFI,5,0),1,0)*Table_NFI[[#This Row],[Winter Clothes Children]],Table_NFI[Winter Clothes Children])</f>
        <v>0</v>
      </c>
      <c r="AK569" s="352">
        <f>IF(NFI_Expiration=1,IF($A569&lt;VLOOKUP(T$5,NFI,5,0),1,0)*Table_NFI[[#This Row],[Winter Items Other]],Table_NFI[Winter Items Other])</f>
        <v>0</v>
      </c>
      <c r="AL569" s="352">
        <f>IF(NFI_Expiration=1,IF($A569&lt;VLOOKUP(M$5,NFI,5,0),1,0)*Table_NFI[[#This Row],[Winter Blanket]],Table_NFI[[#This Row],[Winter Blanket]])</f>
        <v>0</v>
      </c>
      <c r="AM569" s="352">
        <f>IF(Table_NFI[[#This Row],[Winter Clothes Adult]]+Table_NFI[[#This Row],[Winter Clothes Children]]+Table_NFI[[#This Row],[Winter Items Other]]+Table_NFI[[#This Row],[Winter Blanket]]&gt;0,1,0)</f>
        <v>0</v>
      </c>
      <c r="AN569" s="392">
        <f>IF(NFI_Expiration=1,IF($A569&lt;VLOOKUP(V$5,NFI,5,0),1,0)*Table_NFI[[#This Row],[Jerry Can]],Table_NFI[Jerry Can])</f>
        <v>0</v>
      </c>
      <c r="AO569" s="540" t="str">
        <f>IFERROR(VLOOKUP(Table_NFI[[#This Row],[Camp Name]],CL,2,0),"")</f>
        <v>MMR001CMP109</v>
      </c>
      <c r="AP569" s="535">
        <f ca="1">IF(Table_NFI[[#This Row],[Pcode]]="","",IF(OFFSET(CampList[Opening Date],MATCH(Table_NFI[[#This Row],[Pcode]],CampList[CP_Pcode],0)-1,0,1,1)&gt;=NFI_Monitor_Date,1,0))</f>
        <v>0</v>
      </c>
      <c r="AQ569" s="540" t="str">
        <f>IFERROR(VLOOKUP(Table_NFI[[#This Row],[Camp Name]],CL,3,0),"")</f>
        <v>Open</v>
      </c>
      <c r="AR569" s="352" t="str">
        <f ca="1">IF(Table_NFI[[#This Row],[Pcode]]="","",OFFSET(CampList[Priority],MATCH(Table_NFI[[#This Row],[Pcode]],CampList[CP_Pcode],0)-1,0,1,1))</f>
        <v>P4</v>
      </c>
      <c r="AS569" s="351">
        <f>IFERROR(Table_NFI[[#This Row],[Kitchen Set]]/VLOOKUP(Table_NFI[[#This Row],[Camp Name]],CL,4,0),"")</f>
        <v>1.3333333333333333</v>
      </c>
      <c r="AT569" s="533" t="s">
        <v>1094</v>
      </c>
      <c r="AU569" s="536"/>
    </row>
    <row r="570" spans="1:47" s="537" customFormat="1" ht="14.45" customHeight="1" x14ac:dyDescent="0.25">
      <c r="A570" s="355">
        <f t="shared" si="8"/>
        <v>40.6</v>
      </c>
      <c r="B570" s="532">
        <v>41353</v>
      </c>
      <c r="C570" s="533" t="s">
        <v>453</v>
      </c>
      <c r="D570" s="534" t="s">
        <v>453</v>
      </c>
      <c r="E570" s="533" t="s">
        <v>380</v>
      </c>
      <c r="F570" s="348" t="s">
        <v>528</v>
      </c>
      <c r="G570" s="348" t="s">
        <v>70</v>
      </c>
      <c r="H570" s="349"/>
      <c r="I570" s="349"/>
      <c r="J570" s="349">
        <v>9</v>
      </c>
      <c r="K570" s="349">
        <v>6</v>
      </c>
      <c r="L570" s="350">
        <v>6</v>
      </c>
      <c r="M570" s="350">
        <v>15</v>
      </c>
      <c r="N570" s="350">
        <v>6</v>
      </c>
      <c r="O570" s="350">
        <v>15</v>
      </c>
      <c r="P570" s="352">
        <v>15</v>
      </c>
      <c r="Q570" s="352">
        <v>15</v>
      </c>
      <c r="R570" s="352"/>
      <c r="S570" s="352"/>
      <c r="T570" s="352"/>
      <c r="U570" s="352"/>
      <c r="V570" s="497"/>
      <c r="W570" s="352"/>
      <c r="X570" s="352"/>
      <c r="Y570" s="352">
        <f>IF(NFI_Expiration=1,IF($A570&lt;VLOOKUP(H$5,NFI,5,0),1,0)*Table_NFI[[#This Row],[Hygiene Kit]],Table_NFI[Hygiene Kit])</f>
        <v>0</v>
      </c>
      <c r="Z570" s="352">
        <f>IF(NFI_Expiration=1,IF($A570&lt;VLOOKUP(I$5,NFI,5,0),1,0)*Table_NFI[[#This Row],[NFI Core Kit]],Table_NFI[NFI Core Kit])</f>
        <v>0</v>
      </c>
      <c r="AA570" s="352">
        <f>IF(NFI_Expiration=1,IF($A570&lt;VLOOKUP(J$5,NFI,5,0),1,0)*Table_NFI[[#This Row],[Sanitary Kit]],Table_NFI[Sanitary Kit])</f>
        <v>0</v>
      </c>
      <c r="AB570" s="352">
        <f>IF(NFI_Expiration=1,IF($A570&lt;VLOOKUP(K$5,NFI,5,0),1,0)*Table_NFI[[#This Row],[Mosquito net]],Table_NFI[Mosquito net])</f>
        <v>0</v>
      </c>
      <c r="AC570" s="352">
        <f>IF(NFI_Expiration=1,IF($A570&lt;VLOOKUP(L$5,NFI,5,0),1,0)*Table_NFI[[#This Row],[Tarpaulin]],Table_NFI[[#This Row],[Tarpaulin]])</f>
        <v>0</v>
      </c>
      <c r="AD570" s="352">
        <f>IF(NFI_Expiration=1,IF($A570&lt;VLOOKUP(M$5,NFI,5,0),1,0)*Table_NFI[[#This Row],[Blanket]],Table_NFI[[#This Row],[Blanket]])</f>
        <v>0</v>
      </c>
      <c r="AE570" s="352">
        <f>IF(NFI_Expiration=1,IF($A570&lt;VLOOKUP(N$5,NFI,5,0),1,0)*Table_NFI[[#This Row],[Kitchen Set]],Table_NFI[Kitchen Set])</f>
        <v>0</v>
      </c>
      <c r="AF570" s="352">
        <f>IF(NFI_Expiration=1,IF($A570&lt;VLOOKUP(O$5,NFI,5,0),1,0)*Table_NFI[[#This Row],[Clothes Kit]],Table_NFI[Clothes Kit])</f>
        <v>0</v>
      </c>
      <c r="AG570" s="352">
        <f>IF(NFI_Expiration=1,IF($A570&lt;VLOOKUP(P$5,NFI,5,0),1,0)*Table_NFI[[#This Row],[Plastic Bucket]],Table_NFI[Plastic Bucket])</f>
        <v>0</v>
      </c>
      <c r="AH570" s="352">
        <f>IF(NFI_Expiration=1,IF($A570&lt;VLOOKUP(Q$5,NFI,5,0),1,0)*Table_NFI[[#This Row],[Plastic Mat]],Table_NFI[Plastic Mat])*IF(Table_NFI[[#This Row],[Distribution Date]]&gt;"2014-04-01",1,2.5)</f>
        <v>0</v>
      </c>
      <c r="AI570" s="352">
        <f>IF(NFI_Expiration=1,IF($A570&lt;VLOOKUP(R$5,NFI,5,0),1,0)*Table_NFI[[#This Row],[Winter Clothes Adult]],Table_NFI[Winter Clothes Adult])</f>
        <v>0</v>
      </c>
      <c r="AJ570" s="352">
        <f>IF(NFI_Expiration=1,IF($A570&lt;VLOOKUP(S$5,NFI,5,0),1,0)*Table_NFI[[#This Row],[Winter Clothes Children]],Table_NFI[Winter Clothes Children])</f>
        <v>0</v>
      </c>
      <c r="AK570" s="352">
        <f>IF(NFI_Expiration=1,IF($A570&lt;VLOOKUP(T$5,NFI,5,0),1,0)*Table_NFI[[#This Row],[Winter Items Other]],Table_NFI[Winter Items Other])</f>
        <v>0</v>
      </c>
      <c r="AL570" s="352">
        <f>IF(NFI_Expiration=1,IF($A570&lt;VLOOKUP(M$5,NFI,5,0),1,0)*Table_NFI[[#This Row],[Winter Blanket]],Table_NFI[[#This Row],[Winter Blanket]])</f>
        <v>0</v>
      </c>
      <c r="AM570" s="352">
        <f>IF(Table_NFI[[#This Row],[Winter Clothes Adult]]+Table_NFI[[#This Row],[Winter Clothes Children]]+Table_NFI[[#This Row],[Winter Items Other]]+Table_NFI[[#This Row],[Winter Blanket]]&gt;0,1,0)</f>
        <v>0</v>
      </c>
      <c r="AN570" s="392">
        <f>IF(NFI_Expiration=1,IF($A570&lt;VLOOKUP(V$5,NFI,5,0),1,0)*Table_NFI[[#This Row],[Jerry Can]],Table_NFI[Jerry Can])</f>
        <v>0</v>
      </c>
      <c r="AO570" s="540" t="str">
        <f>IFERROR(VLOOKUP(Table_NFI[[#This Row],[Camp Name]],CL,2,0),"")</f>
        <v>MMR001CMP086</v>
      </c>
      <c r="AP570" s="535">
        <f ca="1">IF(Table_NFI[[#This Row],[Pcode]]="","",IF(OFFSET(CampList[Opening Date],MATCH(Table_NFI[[#This Row],[Pcode]],CampList[CP_Pcode],0)-1,0,1,1)&gt;=NFI_Monitor_Date,1,0))</f>
        <v>0</v>
      </c>
      <c r="AQ570" s="540" t="str">
        <f>IFERROR(VLOOKUP(Table_NFI[[#This Row],[Camp Name]],CL,3,0),"")</f>
        <v>Closed</v>
      </c>
      <c r="AR570" s="352" t="str">
        <f ca="1">IF(Table_NFI[[#This Row],[Pcode]]="","",OFFSET(CampList[Priority],MATCH(Table_NFI[[#This Row],[Pcode]],CampList[CP_Pcode],0)-1,0,1,1))</f>
        <v/>
      </c>
      <c r="AS570" s="351" t="str">
        <f>IFERROR(Table_NFI[[#This Row],[Kitchen Set]]/VLOOKUP(Table_NFI[[#This Row],[Camp Name]],CL,4,0),"")</f>
        <v/>
      </c>
      <c r="AT570" s="533" t="s">
        <v>1094</v>
      </c>
      <c r="AU570" s="536"/>
    </row>
    <row r="571" spans="1:47" s="537" customFormat="1" ht="14.45" hidden="1" customHeight="1" x14ac:dyDescent="0.25">
      <c r="A571" s="355">
        <f t="shared" si="8"/>
        <v>43.233333333333334</v>
      </c>
      <c r="B571" s="532">
        <v>41274</v>
      </c>
      <c r="C571" s="533" t="s">
        <v>454</v>
      </c>
      <c r="D571" s="534" t="s">
        <v>454</v>
      </c>
      <c r="E571" s="533" t="s">
        <v>380</v>
      </c>
      <c r="F571" s="348" t="s">
        <v>528</v>
      </c>
      <c r="G571" s="348" t="s">
        <v>100</v>
      </c>
      <c r="H571" s="349">
        <v>2</v>
      </c>
      <c r="I571" s="349"/>
      <c r="J571" s="349"/>
      <c r="K571" s="349"/>
      <c r="L571" s="350"/>
      <c r="M571" s="350"/>
      <c r="N571" s="350"/>
      <c r="O571" s="350"/>
      <c r="P571" s="352">
        <v>0</v>
      </c>
      <c r="Q571" s="352">
        <v>0</v>
      </c>
      <c r="R571" s="352"/>
      <c r="S571" s="352"/>
      <c r="T571" s="352"/>
      <c r="U571" s="352"/>
      <c r="V571" s="497"/>
      <c r="W571" s="352"/>
      <c r="X571" s="352"/>
      <c r="Y571" s="352">
        <f>IF(NFI_Expiration=1,IF($A571&lt;VLOOKUP(H$5,NFI,5,0),1,0)*Table_NFI[[#This Row],[Hygiene Kit]],Table_NFI[Hygiene Kit])</f>
        <v>0</v>
      </c>
      <c r="Z571" s="352">
        <f>IF(NFI_Expiration=1,IF($A571&lt;VLOOKUP(I$5,NFI,5,0),1,0)*Table_NFI[[#This Row],[NFI Core Kit]],Table_NFI[NFI Core Kit])</f>
        <v>0</v>
      </c>
      <c r="AA571" s="352">
        <f>IF(NFI_Expiration=1,IF($A571&lt;VLOOKUP(J$5,NFI,5,0),1,0)*Table_NFI[[#This Row],[Sanitary Kit]],Table_NFI[Sanitary Kit])</f>
        <v>0</v>
      </c>
      <c r="AB571" s="352">
        <f>IF(NFI_Expiration=1,IF($A571&lt;VLOOKUP(K$5,NFI,5,0),1,0)*Table_NFI[[#This Row],[Mosquito net]],Table_NFI[Mosquito net])</f>
        <v>0</v>
      </c>
      <c r="AC571" s="352">
        <f>IF(NFI_Expiration=1,IF($A571&lt;VLOOKUP(L$5,NFI,5,0),1,0)*Table_NFI[[#This Row],[Tarpaulin]],Table_NFI[[#This Row],[Tarpaulin]])</f>
        <v>0</v>
      </c>
      <c r="AD571" s="352">
        <f>IF(NFI_Expiration=1,IF($A571&lt;VLOOKUP(M$5,NFI,5,0),1,0)*Table_NFI[[#This Row],[Blanket]],Table_NFI[[#This Row],[Blanket]])</f>
        <v>0</v>
      </c>
      <c r="AE571" s="352">
        <f>IF(NFI_Expiration=1,IF($A571&lt;VLOOKUP(N$5,NFI,5,0),1,0)*Table_NFI[[#This Row],[Kitchen Set]],Table_NFI[Kitchen Set])</f>
        <v>0</v>
      </c>
      <c r="AF571" s="352">
        <f>IF(NFI_Expiration=1,IF($A571&lt;VLOOKUP(O$5,NFI,5,0),1,0)*Table_NFI[[#This Row],[Clothes Kit]],Table_NFI[Clothes Kit])</f>
        <v>0</v>
      </c>
      <c r="AG571" s="352">
        <f>IF(NFI_Expiration=1,IF($A571&lt;VLOOKUP(P$5,NFI,5,0),1,0)*Table_NFI[[#This Row],[Plastic Bucket]],Table_NFI[Plastic Bucket])</f>
        <v>0</v>
      </c>
      <c r="AH571" s="352">
        <f>IF(NFI_Expiration=1,IF($A571&lt;VLOOKUP(Q$5,NFI,5,0),1,0)*Table_NFI[[#This Row],[Plastic Mat]],Table_NFI[Plastic Mat])*IF(Table_NFI[[#This Row],[Distribution Date]]&gt;"2014-04-01",1,2.5)</f>
        <v>0</v>
      </c>
      <c r="AI571" s="352">
        <f>IF(NFI_Expiration=1,IF($A571&lt;VLOOKUP(R$5,NFI,5,0),1,0)*Table_NFI[[#This Row],[Winter Clothes Adult]],Table_NFI[Winter Clothes Adult])</f>
        <v>0</v>
      </c>
      <c r="AJ571" s="352">
        <f>IF(NFI_Expiration=1,IF($A571&lt;VLOOKUP(S$5,NFI,5,0),1,0)*Table_NFI[[#This Row],[Winter Clothes Children]],Table_NFI[Winter Clothes Children])</f>
        <v>0</v>
      </c>
      <c r="AK571" s="352">
        <f>IF(NFI_Expiration=1,IF($A571&lt;VLOOKUP(T$5,NFI,5,0),1,0)*Table_NFI[[#This Row],[Winter Items Other]],Table_NFI[Winter Items Other])</f>
        <v>0</v>
      </c>
      <c r="AL571" s="352">
        <f>IF(NFI_Expiration=1,IF($A571&lt;VLOOKUP(M$5,NFI,5,0),1,0)*Table_NFI[[#This Row],[Winter Blanket]],Table_NFI[[#This Row],[Winter Blanket]])</f>
        <v>0</v>
      </c>
      <c r="AM571" s="352">
        <f>IF(Table_NFI[[#This Row],[Winter Clothes Adult]]+Table_NFI[[#This Row],[Winter Clothes Children]]+Table_NFI[[#This Row],[Winter Items Other]]+Table_NFI[[#This Row],[Winter Blanket]]&gt;0,1,0)</f>
        <v>0</v>
      </c>
      <c r="AN571" s="392">
        <f>IF(NFI_Expiration=1,IF($A571&lt;VLOOKUP(V$5,NFI,5,0),1,0)*Table_NFI[[#This Row],[Jerry Can]],Table_NFI[Jerry Can])</f>
        <v>0</v>
      </c>
      <c r="AO571" s="540" t="str">
        <f>IFERROR(VLOOKUP(Table_NFI[[#This Row],[Camp Name]],CL,2,0),"")</f>
        <v>MMR001CMP091</v>
      </c>
      <c r="AP571" s="535">
        <f ca="1">IF(Table_NFI[[#This Row],[Pcode]]="","",IF(OFFSET(CampList[Opening Date],MATCH(Table_NFI[[#This Row],[Pcode]],CampList[CP_Pcode],0)-1,0,1,1)&gt;=NFI_Monitor_Date,1,0))</f>
        <v>0</v>
      </c>
      <c r="AQ571" s="540" t="str">
        <f>IFERROR(VLOOKUP(Table_NFI[[#This Row],[Camp Name]],CL,3,0),"")</f>
        <v>Open</v>
      </c>
      <c r="AR571" s="352" t="str">
        <f ca="1">IF(Table_NFI[[#This Row],[Pcode]]="","",OFFSET(CampList[Priority],MATCH(Table_NFI[[#This Row],[Pcode]],CampList[CP_Pcode],0)-1,0,1,1))</f>
        <v>P4</v>
      </c>
      <c r="AS571" s="351">
        <f>IFERROR(Table_NFI[[#This Row],[Kitchen Set]]/VLOOKUP(Table_NFI[[#This Row],[Camp Name]],CL,4,0),"")</f>
        <v>0</v>
      </c>
      <c r="AT571" s="533" t="s">
        <v>1094</v>
      </c>
      <c r="AU571" s="536"/>
    </row>
    <row r="572" spans="1:47" s="537" customFormat="1" ht="14.45" customHeight="1" x14ac:dyDescent="0.25">
      <c r="A572" s="355">
        <f t="shared" si="8"/>
        <v>40.6</v>
      </c>
      <c r="B572" s="532">
        <v>41353</v>
      </c>
      <c r="C572" s="533" t="s">
        <v>453</v>
      </c>
      <c r="D572" s="534" t="s">
        <v>453</v>
      </c>
      <c r="E572" s="533" t="s">
        <v>380</v>
      </c>
      <c r="F572" s="348" t="s">
        <v>528</v>
      </c>
      <c r="G572" s="348" t="s">
        <v>92</v>
      </c>
      <c r="H572" s="349"/>
      <c r="I572" s="349"/>
      <c r="J572" s="349">
        <v>32</v>
      </c>
      <c r="K572" s="349">
        <v>27</v>
      </c>
      <c r="L572" s="350">
        <v>27</v>
      </c>
      <c r="M572" s="350">
        <v>66</v>
      </c>
      <c r="N572" s="350">
        <v>27</v>
      </c>
      <c r="O572" s="350">
        <v>66</v>
      </c>
      <c r="P572" s="352">
        <v>66</v>
      </c>
      <c r="Q572" s="352">
        <v>66</v>
      </c>
      <c r="R572" s="352"/>
      <c r="S572" s="352"/>
      <c r="T572" s="352"/>
      <c r="U572" s="352"/>
      <c r="V572" s="497"/>
      <c r="W572" s="352"/>
      <c r="X572" s="352"/>
      <c r="Y572" s="352">
        <f>IF(NFI_Expiration=1,IF($A572&lt;VLOOKUP(H$5,NFI,5,0),1,0)*Table_NFI[[#This Row],[Hygiene Kit]],Table_NFI[Hygiene Kit])</f>
        <v>0</v>
      </c>
      <c r="Z572" s="352">
        <f>IF(NFI_Expiration=1,IF($A572&lt;VLOOKUP(I$5,NFI,5,0),1,0)*Table_NFI[[#This Row],[NFI Core Kit]],Table_NFI[NFI Core Kit])</f>
        <v>0</v>
      </c>
      <c r="AA572" s="352">
        <f>IF(NFI_Expiration=1,IF($A572&lt;VLOOKUP(J$5,NFI,5,0),1,0)*Table_NFI[[#This Row],[Sanitary Kit]],Table_NFI[Sanitary Kit])</f>
        <v>0</v>
      </c>
      <c r="AB572" s="352">
        <f>IF(NFI_Expiration=1,IF($A572&lt;VLOOKUP(K$5,NFI,5,0),1,0)*Table_NFI[[#This Row],[Mosquito net]],Table_NFI[Mosquito net])</f>
        <v>0</v>
      </c>
      <c r="AC572" s="352">
        <f>IF(NFI_Expiration=1,IF($A572&lt;VLOOKUP(L$5,NFI,5,0),1,0)*Table_NFI[[#This Row],[Tarpaulin]],Table_NFI[[#This Row],[Tarpaulin]])</f>
        <v>0</v>
      </c>
      <c r="AD572" s="352">
        <f>IF(NFI_Expiration=1,IF($A572&lt;VLOOKUP(M$5,NFI,5,0),1,0)*Table_NFI[[#This Row],[Blanket]],Table_NFI[[#This Row],[Blanket]])</f>
        <v>0</v>
      </c>
      <c r="AE572" s="352">
        <f>IF(NFI_Expiration=1,IF($A572&lt;VLOOKUP(N$5,NFI,5,0),1,0)*Table_NFI[[#This Row],[Kitchen Set]],Table_NFI[Kitchen Set])</f>
        <v>0</v>
      </c>
      <c r="AF572" s="352">
        <f>IF(NFI_Expiration=1,IF($A572&lt;VLOOKUP(O$5,NFI,5,0),1,0)*Table_NFI[[#This Row],[Clothes Kit]],Table_NFI[Clothes Kit])</f>
        <v>0</v>
      </c>
      <c r="AG572" s="352">
        <f>IF(NFI_Expiration=1,IF($A572&lt;VLOOKUP(P$5,NFI,5,0),1,0)*Table_NFI[[#This Row],[Plastic Bucket]],Table_NFI[Plastic Bucket])</f>
        <v>0</v>
      </c>
      <c r="AH572" s="352">
        <f>IF(NFI_Expiration=1,IF($A572&lt;VLOOKUP(Q$5,NFI,5,0),1,0)*Table_NFI[[#This Row],[Plastic Mat]],Table_NFI[Plastic Mat])*IF(Table_NFI[[#This Row],[Distribution Date]]&gt;"2014-04-01",1,2.5)</f>
        <v>0</v>
      </c>
      <c r="AI572" s="352">
        <f>IF(NFI_Expiration=1,IF($A572&lt;VLOOKUP(R$5,NFI,5,0),1,0)*Table_NFI[[#This Row],[Winter Clothes Adult]],Table_NFI[Winter Clothes Adult])</f>
        <v>0</v>
      </c>
      <c r="AJ572" s="352">
        <f>IF(NFI_Expiration=1,IF($A572&lt;VLOOKUP(S$5,NFI,5,0),1,0)*Table_NFI[[#This Row],[Winter Clothes Children]],Table_NFI[Winter Clothes Children])</f>
        <v>0</v>
      </c>
      <c r="AK572" s="352">
        <f>IF(NFI_Expiration=1,IF($A572&lt;VLOOKUP(T$5,NFI,5,0),1,0)*Table_NFI[[#This Row],[Winter Items Other]],Table_NFI[Winter Items Other])</f>
        <v>0</v>
      </c>
      <c r="AL572" s="352">
        <f>IF(NFI_Expiration=1,IF($A572&lt;VLOOKUP(M$5,NFI,5,0),1,0)*Table_NFI[[#This Row],[Winter Blanket]],Table_NFI[[#This Row],[Winter Blanket]])</f>
        <v>0</v>
      </c>
      <c r="AM572" s="352">
        <f>IF(Table_NFI[[#This Row],[Winter Clothes Adult]]+Table_NFI[[#This Row],[Winter Clothes Children]]+Table_NFI[[#This Row],[Winter Items Other]]+Table_NFI[[#This Row],[Winter Blanket]]&gt;0,1,0)</f>
        <v>0</v>
      </c>
      <c r="AN572" s="392">
        <f>IF(NFI_Expiration=1,IF($A572&lt;VLOOKUP(V$5,NFI,5,0),1,0)*Table_NFI[[#This Row],[Jerry Can]],Table_NFI[Jerry Can])</f>
        <v>0</v>
      </c>
      <c r="AO572" s="540" t="str">
        <f>IFERROR(VLOOKUP(Table_NFI[[#This Row],[Camp Name]],CL,2,0),"")</f>
        <v>MMR001CMP167</v>
      </c>
      <c r="AP572" s="535">
        <f ca="1">IF(Table_NFI[[#This Row],[Pcode]]="","",IF(OFFSET(CampList[Opening Date],MATCH(Table_NFI[[#This Row],[Pcode]],CampList[CP_Pcode],0)-1,0,1,1)&gt;=NFI_Monitor_Date,1,0))</f>
        <v>0</v>
      </c>
      <c r="AQ572" s="540" t="str">
        <f>IFERROR(VLOOKUP(Table_NFI[[#This Row],[Camp Name]],CL,3,0),"")</f>
        <v>Open</v>
      </c>
      <c r="AR572" s="352" t="str">
        <f ca="1">IF(Table_NFI[[#This Row],[Pcode]]="","",OFFSET(CampList[Priority],MATCH(Table_NFI[[#This Row],[Pcode]],CampList[CP_Pcode],0)-1,0,1,1))</f>
        <v>P4</v>
      </c>
      <c r="AS572" s="351">
        <f>IFERROR(Table_NFI[[#This Row],[Kitchen Set]]/VLOOKUP(Table_NFI[[#This Row],[Camp Name]],CL,4,0),"")</f>
        <v>1.8</v>
      </c>
      <c r="AT572" s="533" t="s">
        <v>1094</v>
      </c>
      <c r="AU572" s="536"/>
    </row>
    <row r="573" spans="1:47" s="537" customFormat="1" ht="14.45" hidden="1" customHeight="1" x14ac:dyDescent="0.25">
      <c r="A573" s="355">
        <f t="shared" si="8"/>
        <v>43.233333333333334</v>
      </c>
      <c r="B573" s="532">
        <v>41274</v>
      </c>
      <c r="C573" s="533" t="s">
        <v>454</v>
      </c>
      <c r="D573" s="533" t="s">
        <v>454</v>
      </c>
      <c r="E573" s="533" t="s">
        <v>380</v>
      </c>
      <c r="F573" s="348" t="s">
        <v>528</v>
      </c>
      <c r="G573" s="348" t="s">
        <v>98</v>
      </c>
      <c r="H573" s="349">
        <v>5</v>
      </c>
      <c r="I573" s="349"/>
      <c r="J573" s="349"/>
      <c r="K573" s="349"/>
      <c r="L573" s="350"/>
      <c r="M573" s="350"/>
      <c r="N573" s="350"/>
      <c r="O573" s="350"/>
      <c r="P573" s="352">
        <v>0</v>
      </c>
      <c r="Q573" s="352">
        <v>0</v>
      </c>
      <c r="R573" s="352"/>
      <c r="S573" s="352"/>
      <c r="T573" s="352"/>
      <c r="U573" s="352"/>
      <c r="V573" s="497"/>
      <c r="W573" s="352"/>
      <c r="X573" s="352"/>
      <c r="Y573" s="352">
        <f>IF(NFI_Expiration=1,IF($A573&lt;VLOOKUP(H$5,NFI,5,0),1,0)*Table_NFI[[#This Row],[Hygiene Kit]],Table_NFI[Hygiene Kit])</f>
        <v>0</v>
      </c>
      <c r="Z573" s="352">
        <f>IF(NFI_Expiration=1,IF($A573&lt;VLOOKUP(I$5,NFI,5,0),1,0)*Table_NFI[[#This Row],[NFI Core Kit]],Table_NFI[NFI Core Kit])</f>
        <v>0</v>
      </c>
      <c r="AA573" s="352">
        <f>IF(NFI_Expiration=1,IF($A573&lt;VLOOKUP(J$5,NFI,5,0),1,0)*Table_NFI[[#This Row],[Sanitary Kit]],Table_NFI[Sanitary Kit])</f>
        <v>0</v>
      </c>
      <c r="AB573" s="352">
        <f>IF(NFI_Expiration=1,IF($A573&lt;VLOOKUP(K$5,NFI,5,0),1,0)*Table_NFI[[#This Row],[Mosquito net]],Table_NFI[Mosquito net])</f>
        <v>0</v>
      </c>
      <c r="AC573" s="352">
        <f>IF(NFI_Expiration=1,IF($A573&lt;VLOOKUP(L$5,NFI,5,0),1,0)*Table_NFI[[#This Row],[Tarpaulin]],Table_NFI[[#This Row],[Tarpaulin]])</f>
        <v>0</v>
      </c>
      <c r="AD573" s="352">
        <f>IF(NFI_Expiration=1,IF($A573&lt;VLOOKUP(M$5,NFI,5,0),1,0)*Table_NFI[[#This Row],[Blanket]],Table_NFI[[#This Row],[Blanket]])</f>
        <v>0</v>
      </c>
      <c r="AE573" s="352">
        <f>IF(NFI_Expiration=1,IF($A573&lt;VLOOKUP(N$5,NFI,5,0),1,0)*Table_NFI[[#This Row],[Kitchen Set]],Table_NFI[Kitchen Set])</f>
        <v>0</v>
      </c>
      <c r="AF573" s="352">
        <f>IF(NFI_Expiration=1,IF($A573&lt;VLOOKUP(O$5,NFI,5,0),1,0)*Table_NFI[[#This Row],[Clothes Kit]],Table_NFI[Clothes Kit])</f>
        <v>0</v>
      </c>
      <c r="AG573" s="352">
        <f>IF(NFI_Expiration=1,IF($A573&lt;VLOOKUP(P$5,NFI,5,0),1,0)*Table_NFI[[#This Row],[Plastic Bucket]],Table_NFI[Plastic Bucket])</f>
        <v>0</v>
      </c>
      <c r="AH573" s="352">
        <f>IF(NFI_Expiration=1,IF($A573&lt;VLOOKUP(Q$5,NFI,5,0),1,0)*Table_NFI[[#This Row],[Plastic Mat]],Table_NFI[Plastic Mat])*IF(Table_NFI[[#This Row],[Distribution Date]]&gt;"2014-04-01",1,2.5)</f>
        <v>0</v>
      </c>
      <c r="AI573" s="352">
        <f>IF(NFI_Expiration=1,IF($A573&lt;VLOOKUP(R$5,NFI,5,0),1,0)*Table_NFI[[#This Row],[Winter Clothes Adult]],Table_NFI[Winter Clothes Adult])</f>
        <v>0</v>
      </c>
      <c r="AJ573" s="352">
        <f>IF(NFI_Expiration=1,IF($A573&lt;VLOOKUP(S$5,NFI,5,0),1,0)*Table_NFI[[#This Row],[Winter Clothes Children]],Table_NFI[Winter Clothes Children])</f>
        <v>0</v>
      </c>
      <c r="AK573" s="352">
        <f>IF(NFI_Expiration=1,IF($A573&lt;VLOOKUP(T$5,NFI,5,0),1,0)*Table_NFI[[#This Row],[Winter Items Other]],Table_NFI[Winter Items Other])</f>
        <v>0</v>
      </c>
      <c r="AL573" s="352">
        <f>IF(NFI_Expiration=1,IF($A573&lt;VLOOKUP(M$5,NFI,5,0),1,0)*Table_NFI[[#This Row],[Winter Blanket]],Table_NFI[[#This Row],[Winter Blanket]])</f>
        <v>0</v>
      </c>
      <c r="AM573" s="352">
        <f>IF(Table_NFI[[#This Row],[Winter Clothes Adult]]+Table_NFI[[#This Row],[Winter Clothes Children]]+Table_NFI[[#This Row],[Winter Items Other]]+Table_NFI[[#This Row],[Winter Blanket]]&gt;0,1,0)</f>
        <v>0</v>
      </c>
      <c r="AN573" s="392">
        <f>IF(NFI_Expiration=1,IF($A573&lt;VLOOKUP(V$5,NFI,5,0),1,0)*Table_NFI[[#This Row],[Jerry Can]],Table_NFI[Jerry Can])</f>
        <v>0</v>
      </c>
      <c r="AO573" s="540" t="str">
        <f>IFERROR(VLOOKUP(Table_NFI[[#This Row],[Camp Name]],CL,2,0),"")</f>
        <v>MMR001CMP178</v>
      </c>
      <c r="AP573" s="535">
        <f ca="1">IF(Table_NFI[[#This Row],[Pcode]]="","",IF(OFFSET(CampList[Opening Date],MATCH(Table_NFI[[#This Row],[Pcode]],CampList[CP_Pcode],0)-1,0,1,1)&gt;=NFI_Monitor_Date,1,0))</f>
        <v>0</v>
      </c>
      <c r="AQ573" s="540" t="str">
        <f>IFERROR(VLOOKUP(Table_NFI[[#This Row],[Camp Name]],CL,3,0),"")</f>
        <v>Closed</v>
      </c>
      <c r="AR573" s="352" t="str">
        <f ca="1">IF(Table_NFI[[#This Row],[Pcode]]="","",OFFSET(CampList[Priority],MATCH(Table_NFI[[#This Row],[Pcode]],CampList[CP_Pcode],0)-1,0,1,1))</f>
        <v/>
      </c>
      <c r="AS573" s="351" t="str">
        <f>IFERROR(Table_NFI[[#This Row],[Kitchen Set]]/VLOOKUP(Table_NFI[[#This Row],[Camp Name]],CL,4,0),"")</f>
        <v/>
      </c>
      <c r="AT573" s="533" t="s">
        <v>1094</v>
      </c>
      <c r="AU573" s="536"/>
    </row>
    <row r="574" spans="1:47" s="537" customFormat="1" ht="14.45" hidden="1" customHeight="1" x14ac:dyDescent="0.25">
      <c r="A574" s="355">
        <f t="shared" si="8"/>
        <v>32.1</v>
      </c>
      <c r="B574" s="532">
        <v>41608</v>
      </c>
      <c r="C574" s="533" t="s">
        <v>1099</v>
      </c>
      <c r="D574" s="534" t="s">
        <v>946</v>
      </c>
      <c r="E574" s="533" t="s">
        <v>554</v>
      </c>
      <c r="F574" s="348" t="s">
        <v>146</v>
      </c>
      <c r="G574" s="348" t="s">
        <v>368</v>
      </c>
      <c r="H574" s="349"/>
      <c r="I574" s="349"/>
      <c r="J574" s="349"/>
      <c r="K574" s="349"/>
      <c r="L574" s="350"/>
      <c r="M574" s="350">
        <v>258</v>
      </c>
      <c r="N574" s="350"/>
      <c r="O574" s="350"/>
      <c r="P574" s="352"/>
      <c r="Q574" s="352"/>
      <c r="R574" s="352">
        <v>349</v>
      </c>
      <c r="S574" s="352">
        <v>175</v>
      </c>
      <c r="T574" s="352">
        <v>0</v>
      </c>
      <c r="U574" s="352"/>
      <c r="V574" s="497"/>
      <c r="W574" s="352"/>
      <c r="X574" s="352"/>
      <c r="Y574" s="352">
        <f>IF(NFI_Expiration=1,IF($A574&lt;VLOOKUP(H$5,NFI,5,0),1,0)*Table_NFI[[#This Row],[Hygiene Kit]],Table_NFI[Hygiene Kit])</f>
        <v>0</v>
      </c>
      <c r="Z574" s="352">
        <f>IF(NFI_Expiration=1,IF($A574&lt;VLOOKUP(I$5,NFI,5,0),1,0)*Table_NFI[[#This Row],[NFI Core Kit]],Table_NFI[NFI Core Kit])</f>
        <v>0</v>
      </c>
      <c r="AA574" s="352">
        <f>IF(NFI_Expiration=1,IF($A574&lt;VLOOKUP(J$5,NFI,5,0),1,0)*Table_NFI[[#This Row],[Sanitary Kit]],Table_NFI[Sanitary Kit])</f>
        <v>0</v>
      </c>
      <c r="AB574" s="352">
        <f>IF(NFI_Expiration=1,IF($A574&lt;VLOOKUP(K$5,NFI,5,0),1,0)*Table_NFI[[#This Row],[Mosquito net]],Table_NFI[Mosquito net])</f>
        <v>0</v>
      </c>
      <c r="AC574" s="352">
        <f>IF(NFI_Expiration=1,IF($A574&lt;VLOOKUP(L$5,NFI,5,0),1,0)*Table_NFI[[#This Row],[Tarpaulin]],Table_NFI[[#This Row],[Tarpaulin]])</f>
        <v>0</v>
      </c>
      <c r="AD574" s="352">
        <f>IF(NFI_Expiration=1,IF($A574&lt;VLOOKUP(M$5,NFI,5,0),1,0)*Table_NFI[[#This Row],[Blanket]],Table_NFI[[#This Row],[Blanket]])</f>
        <v>0</v>
      </c>
      <c r="AE574" s="352">
        <f>IF(NFI_Expiration=1,IF($A574&lt;VLOOKUP(N$5,NFI,5,0),1,0)*Table_NFI[[#This Row],[Kitchen Set]],Table_NFI[Kitchen Set])</f>
        <v>0</v>
      </c>
      <c r="AF574" s="352">
        <f>IF(NFI_Expiration=1,IF($A574&lt;VLOOKUP(O$5,NFI,5,0),1,0)*Table_NFI[[#This Row],[Clothes Kit]],Table_NFI[Clothes Kit])</f>
        <v>0</v>
      </c>
      <c r="AG574" s="352">
        <f>IF(NFI_Expiration=1,IF($A574&lt;VLOOKUP(P$5,NFI,5,0),1,0)*Table_NFI[[#This Row],[Plastic Bucket]],Table_NFI[Plastic Bucket])</f>
        <v>0</v>
      </c>
      <c r="AH574" s="352">
        <f>IF(NFI_Expiration=1,IF($A574&lt;VLOOKUP(Q$5,NFI,5,0),1,0)*Table_NFI[[#This Row],[Plastic Mat]],Table_NFI[Plastic Mat])*IF(Table_NFI[[#This Row],[Distribution Date]]&gt;"2014-04-01",1,2.5)</f>
        <v>0</v>
      </c>
      <c r="AI574" s="352">
        <f>IF(NFI_Expiration=1,IF($A574&lt;VLOOKUP(R$5,NFI,5,0),1,0)*Table_NFI[[#This Row],[Winter Clothes Adult]],Table_NFI[Winter Clothes Adult])</f>
        <v>0</v>
      </c>
      <c r="AJ574" s="352">
        <f>IF(NFI_Expiration=1,IF($A574&lt;VLOOKUP(S$5,NFI,5,0),1,0)*Table_NFI[[#This Row],[Winter Clothes Children]],Table_NFI[Winter Clothes Children])</f>
        <v>0</v>
      </c>
      <c r="AK574" s="352">
        <f>IF(NFI_Expiration=1,IF($A574&lt;VLOOKUP(T$5,NFI,5,0),1,0)*Table_NFI[[#This Row],[Winter Items Other]],Table_NFI[Winter Items Other])</f>
        <v>0</v>
      </c>
      <c r="AL574" s="352">
        <f>IF(NFI_Expiration=1,IF($A574&lt;VLOOKUP(M$5,NFI,5,0),1,0)*Table_NFI[[#This Row],[Winter Blanket]],Table_NFI[[#This Row],[Winter Blanket]])</f>
        <v>0</v>
      </c>
      <c r="AM574" s="352">
        <f>IF(Table_NFI[[#This Row],[Winter Clothes Adult]]+Table_NFI[[#This Row],[Winter Clothes Children]]+Table_NFI[[#This Row],[Winter Items Other]]+Table_NFI[[#This Row],[Winter Blanket]]&gt;0,1,0)</f>
        <v>1</v>
      </c>
      <c r="AN574" s="392">
        <f>IF(NFI_Expiration=1,IF($A574&lt;VLOOKUP(V$5,NFI,5,0),1,0)*Table_NFI[[#This Row],[Jerry Can]],Table_NFI[Jerry Can])</f>
        <v>0</v>
      </c>
      <c r="AO574" s="540" t="str">
        <f>IFERROR(VLOOKUP(Table_NFI[[#This Row],[Camp Name]],CL,2,0),"")</f>
        <v>MMR015CMP018</v>
      </c>
      <c r="AP574" s="535">
        <f ca="1">IF(Table_NFI[[#This Row],[Pcode]]="","",IF(OFFSET(CampList[Opening Date],MATCH(Table_NFI[[#This Row],[Pcode]],CampList[CP_Pcode],0)-1,0,1,1)&gt;=NFI_Monitor_Date,1,0))</f>
        <v>0</v>
      </c>
      <c r="AQ574" s="540" t="str">
        <f>IFERROR(VLOOKUP(Table_NFI[[#This Row],[Camp Name]],CL,3,0),"")</f>
        <v>Open</v>
      </c>
      <c r="AR574" s="352" t="str">
        <f ca="1">IF(Table_NFI[[#This Row],[Pcode]]="","",OFFSET(CampList[Priority],MATCH(Table_NFI[[#This Row],[Pcode]],CampList[CP_Pcode],0)-1,0,1,1))</f>
        <v>P3</v>
      </c>
      <c r="AS574" s="351">
        <f>IFERROR(Table_NFI[[#This Row],[Kitchen Set]]/VLOOKUP(Table_NFI[[#This Row],[Camp Name]],CL,4,0),"")</f>
        <v>0</v>
      </c>
      <c r="AT574" s="533" t="s">
        <v>1094</v>
      </c>
      <c r="AU574" s="536"/>
    </row>
    <row r="575" spans="1:47" s="537" customFormat="1" ht="14.45" customHeight="1" x14ac:dyDescent="0.25">
      <c r="A575" s="355">
        <f t="shared" si="8"/>
        <v>40.6</v>
      </c>
      <c r="B575" s="532">
        <v>41353</v>
      </c>
      <c r="C575" s="533" t="s">
        <v>453</v>
      </c>
      <c r="D575" s="533" t="s">
        <v>453</v>
      </c>
      <c r="E575" s="533" t="s">
        <v>380</v>
      </c>
      <c r="F575" s="533" t="s">
        <v>528</v>
      </c>
      <c r="G575" s="348" t="s">
        <v>84</v>
      </c>
      <c r="H575" s="349"/>
      <c r="I575" s="349"/>
      <c r="J575" s="349">
        <v>18</v>
      </c>
      <c r="K575" s="349">
        <v>17</v>
      </c>
      <c r="L575" s="350">
        <v>17</v>
      </c>
      <c r="M575" s="350">
        <v>42</v>
      </c>
      <c r="N575" s="350">
        <v>17</v>
      </c>
      <c r="O575" s="350">
        <v>42</v>
      </c>
      <c r="P575" s="352">
        <v>42</v>
      </c>
      <c r="Q575" s="352">
        <v>42</v>
      </c>
      <c r="R575" s="352"/>
      <c r="S575" s="352"/>
      <c r="T575" s="352"/>
      <c r="U575" s="352"/>
      <c r="V575" s="497"/>
      <c r="W575" s="352"/>
      <c r="X575" s="352"/>
      <c r="Y575" s="352">
        <f>IF(NFI_Expiration=1,IF($A575&lt;VLOOKUP(H$5,NFI,5,0),1,0)*Table_NFI[[#This Row],[Hygiene Kit]],Table_NFI[Hygiene Kit])</f>
        <v>0</v>
      </c>
      <c r="Z575" s="352">
        <f>IF(NFI_Expiration=1,IF($A575&lt;VLOOKUP(I$5,NFI,5,0),1,0)*Table_NFI[[#This Row],[NFI Core Kit]],Table_NFI[NFI Core Kit])</f>
        <v>0</v>
      </c>
      <c r="AA575" s="352">
        <f>IF(NFI_Expiration=1,IF($A575&lt;VLOOKUP(J$5,NFI,5,0),1,0)*Table_NFI[[#This Row],[Sanitary Kit]],Table_NFI[Sanitary Kit])</f>
        <v>0</v>
      </c>
      <c r="AB575" s="352">
        <f>IF(NFI_Expiration=1,IF($A575&lt;VLOOKUP(K$5,NFI,5,0),1,0)*Table_NFI[[#This Row],[Mosquito net]],Table_NFI[Mosquito net])</f>
        <v>0</v>
      </c>
      <c r="AC575" s="352">
        <f>IF(NFI_Expiration=1,IF($A575&lt;VLOOKUP(L$5,NFI,5,0),1,0)*Table_NFI[[#This Row],[Tarpaulin]],Table_NFI[[#This Row],[Tarpaulin]])</f>
        <v>0</v>
      </c>
      <c r="AD575" s="352">
        <f>IF(NFI_Expiration=1,IF($A575&lt;VLOOKUP(M$5,NFI,5,0),1,0)*Table_NFI[[#This Row],[Blanket]],Table_NFI[[#This Row],[Blanket]])</f>
        <v>0</v>
      </c>
      <c r="AE575" s="352">
        <f>IF(NFI_Expiration=1,IF($A575&lt;VLOOKUP(N$5,NFI,5,0),1,0)*Table_NFI[[#This Row],[Kitchen Set]],Table_NFI[Kitchen Set])</f>
        <v>0</v>
      </c>
      <c r="AF575" s="352">
        <f>IF(NFI_Expiration=1,IF($A575&lt;VLOOKUP(O$5,NFI,5,0),1,0)*Table_NFI[[#This Row],[Clothes Kit]],Table_NFI[Clothes Kit])</f>
        <v>0</v>
      </c>
      <c r="AG575" s="352">
        <f>IF(NFI_Expiration=1,IF($A575&lt;VLOOKUP(P$5,NFI,5,0),1,0)*Table_NFI[[#This Row],[Plastic Bucket]],Table_NFI[Plastic Bucket])</f>
        <v>0</v>
      </c>
      <c r="AH575" s="352">
        <f>IF(NFI_Expiration=1,IF($A575&lt;VLOOKUP(Q$5,NFI,5,0),1,0)*Table_NFI[[#This Row],[Plastic Mat]],Table_NFI[Plastic Mat])*IF(Table_NFI[[#This Row],[Distribution Date]]&gt;"2014-04-01",1,2.5)</f>
        <v>0</v>
      </c>
      <c r="AI575" s="352">
        <f>IF(NFI_Expiration=1,IF($A575&lt;VLOOKUP(R$5,NFI,5,0),1,0)*Table_NFI[[#This Row],[Winter Clothes Adult]],Table_NFI[Winter Clothes Adult])</f>
        <v>0</v>
      </c>
      <c r="AJ575" s="352">
        <f>IF(NFI_Expiration=1,IF($A575&lt;VLOOKUP(S$5,NFI,5,0),1,0)*Table_NFI[[#This Row],[Winter Clothes Children]],Table_NFI[Winter Clothes Children])</f>
        <v>0</v>
      </c>
      <c r="AK575" s="352">
        <f>IF(NFI_Expiration=1,IF($A575&lt;VLOOKUP(T$5,NFI,5,0),1,0)*Table_NFI[[#This Row],[Winter Items Other]],Table_NFI[Winter Items Other])</f>
        <v>0</v>
      </c>
      <c r="AL575" s="352">
        <f>IF(NFI_Expiration=1,IF($A575&lt;VLOOKUP(M$5,NFI,5,0),1,0)*Table_NFI[[#This Row],[Winter Blanket]],Table_NFI[[#This Row],[Winter Blanket]])</f>
        <v>0</v>
      </c>
      <c r="AM575" s="352">
        <f>IF(Table_NFI[[#This Row],[Winter Clothes Adult]]+Table_NFI[[#This Row],[Winter Clothes Children]]+Table_NFI[[#This Row],[Winter Items Other]]+Table_NFI[[#This Row],[Winter Blanket]]&gt;0,1,0)</f>
        <v>0</v>
      </c>
      <c r="AN575" s="392">
        <f>IF(NFI_Expiration=1,IF($A575&lt;VLOOKUP(V$5,NFI,5,0),1,0)*Table_NFI[[#This Row],[Jerry Can]],Table_NFI[Jerry Can])</f>
        <v>0</v>
      </c>
      <c r="AO575" s="540" t="str">
        <f>IFERROR(VLOOKUP(Table_NFI[[#This Row],[Camp Name]],CL,2,0),"")</f>
        <v>MMR001CMP085</v>
      </c>
      <c r="AP575" s="535">
        <f ca="1">IF(Table_NFI[[#This Row],[Pcode]]="","",IF(OFFSET(CampList[Opening Date],MATCH(Table_NFI[[#This Row],[Pcode]],CampList[CP_Pcode],0)-1,0,1,1)&gt;=NFI_Monitor_Date,1,0))</f>
        <v>0</v>
      </c>
      <c r="AQ575" s="540" t="str">
        <f>IFERROR(VLOOKUP(Table_NFI[[#This Row],[Camp Name]],CL,3,0),"")</f>
        <v>Closed</v>
      </c>
      <c r="AR575" s="352" t="str">
        <f ca="1">IF(Table_NFI[[#This Row],[Pcode]]="","",OFFSET(CampList[Priority],MATCH(Table_NFI[[#This Row],[Pcode]],CampList[CP_Pcode],0)-1,0,1,1))</f>
        <v/>
      </c>
      <c r="AS575" s="351" t="str">
        <f>IFERROR(Table_NFI[[#This Row],[Kitchen Set]]/VLOOKUP(Table_NFI[[#This Row],[Camp Name]],CL,4,0),"")</f>
        <v/>
      </c>
      <c r="AT575" s="533" t="s">
        <v>1094</v>
      </c>
      <c r="AU575" s="536"/>
    </row>
    <row r="576" spans="1:47" s="537" customFormat="1" ht="14.45" customHeight="1" x14ac:dyDescent="0.25">
      <c r="A576" s="355">
        <f t="shared" si="8"/>
        <v>40.6</v>
      </c>
      <c r="B576" s="532">
        <v>41353</v>
      </c>
      <c r="C576" s="533" t="s">
        <v>453</v>
      </c>
      <c r="D576" s="534" t="s">
        <v>453</v>
      </c>
      <c r="E576" s="533" t="s">
        <v>380</v>
      </c>
      <c r="F576" s="348" t="s">
        <v>528</v>
      </c>
      <c r="G576" s="348" t="s">
        <v>100</v>
      </c>
      <c r="H576" s="349"/>
      <c r="I576" s="349"/>
      <c r="J576" s="349">
        <v>17</v>
      </c>
      <c r="K576" s="349">
        <v>17</v>
      </c>
      <c r="L576" s="350">
        <v>17</v>
      </c>
      <c r="M576" s="350">
        <v>41</v>
      </c>
      <c r="N576" s="350">
        <v>17</v>
      </c>
      <c r="O576" s="350">
        <v>41</v>
      </c>
      <c r="P576" s="352">
        <v>41</v>
      </c>
      <c r="Q576" s="352">
        <v>41</v>
      </c>
      <c r="R576" s="352"/>
      <c r="S576" s="352"/>
      <c r="T576" s="352"/>
      <c r="U576" s="352"/>
      <c r="V576" s="497"/>
      <c r="W576" s="352"/>
      <c r="X576" s="352"/>
      <c r="Y576" s="352">
        <f>IF(NFI_Expiration=1,IF($A576&lt;VLOOKUP(H$5,NFI,5,0),1,0)*Table_NFI[[#This Row],[Hygiene Kit]],Table_NFI[Hygiene Kit])</f>
        <v>0</v>
      </c>
      <c r="Z576" s="352">
        <f>IF(NFI_Expiration=1,IF($A576&lt;VLOOKUP(I$5,NFI,5,0),1,0)*Table_NFI[[#This Row],[NFI Core Kit]],Table_NFI[NFI Core Kit])</f>
        <v>0</v>
      </c>
      <c r="AA576" s="352">
        <f>IF(NFI_Expiration=1,IF($A576&lt;VLOOKUP(J$5,NFI,5,0),1,0)*Table_NFI[[#This Row],[Sanitary Kit]],Table_NFI[Sanitary Kit])</f>
        <v>0</v>
      </c>
      <c r="AB576" s="352">
        <f>IF(NFI_Expiration=1,IF($A576&lt;VLOOKUP(K$5,NFI,5,0),1,0)*Table_NFI[[#This Row],[Mosquito net]],Table_NFI[Mosquito net])</f>
        <v>0</v>
      </c>
      <c r="AC576" s="352">
        <f>IF(NFI_Expiration=1,IF($A576&lt;VLOOKUP(L$5,NFI,5,0),1,0)*Table_NFI[[#This Row],[Tarpaulin]],Table_NFI[[#This Row],[Tarpaulin]])</f>
        <v>0</v>
      </c>
      <c r="AD576" s="352">
        <f>IF(NFI_Expiration=1,IF($A576&lt;VLOOKUP(M$5,NFI,5,0),1,0)*Table_NFI[[#This Row],[Blanket]],Table_NFI[[#This Row],[Blanket]])</f>
        <v>0</v>
      </c>
      <c r="AE576" s="352">
        <f>IF(NFI_Expiration=1,IF($A576&lt;VLOOKUP(N$5,NFI,5,0),1,0)*Table_NFI[[#This Row],[Kitchen Set]],Table_NFI[Kitchen Set])</f>
        <v>0</v>
      </c>
      <c r="AF576" s="352">
        <f>IF(NFI_Expiration=1,IF($A576&lt;VLOOKUP(O$5,NFI,5,0),1,0)*Table_NFI[[#This Row],[Clothes Kit]],Table_NFI[Clothes Kit])</f>
        <v>0</v>
      </c>
      <c r="AG576" s="352">
        <f>IF(NFI_Expiration=1,IF($A576&lt;VLOOKUP(P$5,NFI,5,0),1,0)*Table_NFI[[#This Row],[Plastic Bucket]],Table_NFI[Plastic Bucket])</f>
        <v>0</v>
      </c>
      <c r="AH576" s="352">
        <f>IF(NFI_Expiration=1,IF($A576&lt;VLOOKUP(Q$5,NFI,5,0),1,0)*Table_NFI[[#This Row],[Plastic Mat]],Table_NFI[Plastic Mat])*IF(Table_NFI[[#This Row],[Distribution Date]]&gt;"2014-04-01",1,2.5)</f>
        <v>0</v>
      </c>
      <c r="AI576" s="352">
        <f>IF(NFI_Expiration=1,IF($A576&lt;VLOOKUP(R$5,NFI,5,0),1,0)*Table_NFI[[#This Row],[Winter Clothes Adult]],Table_NFI[Winter Clothes Adult])</f>
        <v>0</v>
      </c>
      <c r="AJ576" s="352">
        <f>IF(NFI_Expiration=1,IF($A576&lt;VLOOKUP(S$5,NFI,5,0),1,0)*Table_NFI[[#This Row],[Winter Clothes Children]],Table_NFI[Winter Clothes Children])</f>
        <v>0</v>
      </c>
      <c r="AK576" s="352">
        <f>IF(NFI_Expiration=1,IF($A576&lt;VLOOKUP(T$5,NFI,5,0),1,0)*Table_NFI[[#This Row],[Winter Items Other]],Table_NFI[Winter Items Other])</f>
        <v>0</v>
      </c>
      <c r="AL576" s="352">
        <f>IF(NFI_Expiration=1,IF($A576&lt;VLOOKUP(M$5,NFI,5,0),1,0)*Table_NFI[[#This Row],[Winter Blanket]],Table_NFI[[#This Row],[Winter Blanket]])</f>
        <v>0</v>
      </c>
      <c r="AM576" s="352">
        <f>IF(Table_NFI[[#This Row],[Winter Clothes Adult]]+Table_NFI[[#This Row],[Winter Clothes Children]]+Table_NFI[[#This Row],[Winter Items Other]]+Table_NFI[[#This Row],[Winter Blanket]]&gt;0,1,0)</f>
        <v>0</v>
      </c>
      <c r="AN576" s="392">
        <f>IF(NFI_Expiration=1,IF($A576&lt;VLOOKUP(V$5,NFI,5,0),1,0)*Table_NFI[[#This Row],[Jerry Can]],Table_NFI[Jerry Can])</f>
        <v>0</v>
      </c>
      <c r="AO576" s="540" t="str">
        <f>IFERROR(VLOOKUP(Table_NFI[[#This Row],[Camp Name]],CL,2,0),"")</f>
        <v>MMR001CMP091</v>
      </c>
      <c r="AP576" s="535">
        <f ca="1">IF(Table_NFI[[#This Row],[Pcode]]="","",IF(OFFSET(CampList[Opening Date],MATCH(Table_NFI[[#This Row],[Pcode]],CampList[CP_Pcode],0)-1,0,1,1)&gt;=NFI_Monitor_Date,1,0))</f>
        <v>0</v>
      </c>
      <c r="AQ576" s="540" t="str">
        <f>IFERROR(VLOOKUP(Table_NFI[[#This Row],[Camp Name]],CL,3,0),"")</f>
        <v>Open</v>
      </c>
      <c r="AR576" s="352" t="str">
        <f ca="1">IF(Table_NFI[[#This Row],[Pcode]]="","",OFFSET(CampList[Priority],MATCH(Table_NFI[[#This Row],[Pcode]],CampList[CP_Pcode],0)-1,0,1,1))</f>
        <v>P4</v>
      </c>
      <c r="AS576" s="351">
        <f>IFERROR(Table_NFI[[#This Row],[Kitchen Set]]/VLOOKUP(Table_NFI[[#This Row],[Camp Name]],CL,4,0),"")</f>
        <v>3.4</v>
      </c>
      <c r="AT576" s="533" t="s">
        <v>1094</v>
      </c>
      <c r="AU576" s="536"/>
    </row>
    <row r="577" spans="1:47" s="537" customFormat="1" ht="14.45" customHeight="1" x14ac:dyDescent="0.25">
      <c r="A577" s="355">
        <f t="shared" si="8"/>
        <v>40.6</v>
      </c>
      <c r="B577" s="532">
        <v>41353</v>
      </c>
      <c r="C577" s="533" t="s">
        <v>453</v>
      </c>
      <c r="D577" s="534" t="s">
        <v>453</v>
      </c>
      <c r="E577" s="533" t="s">
        <v>380</v>
      </c>
      <c r="F577" s="348" t="s">
        <v>528</v>
      </c>
      <c r="G577" s="348" t="s">
        <v>142</v>
      </c>
      <c r="H577" s="349"/>
      <c r="I577" s="349"/>
      <c r="J577" s="349">
        <v>48</v>
      </c>
      <c r="K577" s="349">
        <v>48</v>
      </c>
      <c r="L577" s="350">
        <v>48</v>
      </c>
      <c r="M577" s="350">
        <v>98</v>
      </c>
      <c r="N577" s="350">
        <v>48</v>
      </c>
      <c r="O577" s="350">
        <v>98</v>
      </c>
      <c r="P577" s="352">
        <v>98</v>
      </c>
      <c r="Q577" s="352">
        <v>98</v>
      </c>
      <c r="R577" s="352"/>
      <c r="S577" s="352"/>
      <c r="T577" s="352"/>
      <c r="U577" s="352"/>
      <c r="V577" s="497"/>
      <c r="W577" s="352"/>
      <c r="X577" s="352"/>
      <c r="Y577" s="352">
        <f>IF(NFI_Expiration=1,IF($A577&lt;VLOOKUP(H$5,NFI,5,0),1,0)*Table_NFI[[#This Row],[Hygiene Kit]],Table_NFI[Hygiene Kit])</f>
        <v>0</v>
      </c>
      <c r="Z577" s="352">
        <f>IF(NFI_Expiration=1,IF($A577&lt;VLOOKUP(I$5,NFI,5,0),1,0)*Table_NFI[[#This Row],[NFI Core Kit]],Table_NFI[NFI Core Kit])</f>
        <v>0</v>
      </c>
      <c r="AA577" s="352">
        <f>IF(NFI_Expiration=1,IF($A577&lt;VLOOKUP(J$5,NFI,5,0),1,0)*Table_NFI[[#This Row],[Sanitary Kit]],Table_NFI[Sanitary Kit])</f>
        <v>0</v>
      </c>
      <c r="AB577" s="352">
        <f>IF(NFI_Expiration=1,IF($A577&lt;VLOOKUP(K$5,NFI,5,0),1,0)*Table_NFI[[#This Row],[Mosquito net]],Table_NFI[Mosquito net])</f>
        <v>0</v>
      </c>
      <c r="AC577" s="352">
        <f>IF(NFI_Expiration=1,IF($A577&lt;VLOOKUP(L$5,NFI,5,0),1,0)*Table_NFI[[#This Row],[Tarpaulin]],Table_NFI[[#This Row],[Tarpaulin]])</f>
        <v>0</v>
      </c>
      <c r="AD577" s="352">
        <f>IF(NFI_Expiration=1,IF($A577&lt;VLOOKUP(M$5,NFI,5,0),1,0)*Table_NFI[[#This Row],[Blanket]],Table_NFI[[#This Row],[Blanket]])</f>
        <v>0</v>
      </c>
      <c r="AE577" s="352">
        <f>IF(NFI_Expiration=1,IF($A577&lt;VLOOKUP(N$5,NFI,5,0),1,0)*Table_NFI[[#This Row],[Kitchen Set]],Table_NFI[Kitchen Set])</f>
        <v>0</v>
      </c>
      <c r="AF577" s="352">
        <f>IF(NFI_Expiration=1,IF($A577&lt;VLOOKUP(O$5,NFI,5,0),1,0)*Table_NFI[[#This Row],[Clothes Kit]],Table_NFI[Clothes Kit])</f>
        <v>0</v>
      </c>
      <c r="AG577" s="352">
        <f>IF(NFI_Expiration=1,IF($A577&lt;VLOOKUP(P$5,NFI,5,0),1,0)*Table_NFI[[#This Row],[Plastic Bucket]],Table_NFI[Plastic Bucket])</f>
        <v>0</v>
      </c>
      <c r="AH577" s="352">
        <f>IF(NFI_Expiration=1,IF($A577&lt;VLOOKUP(Q$5,NFI,5,0),1,0)*Table_NFI[[#This Row],[Plastic Mat]],Table_NFI[Plastic Mat])*IF(Table_NFI[[#This Row],[Distribution Date]]&gt;"2014-04-01",1,2.5)</f>
        <v>0</v>
      </c>
      <c r="AI577" s="352">
        <f>IF(NFI_Expiration=1,IF($A577&lt;VLOOKUP(R$5,NFI,5,0),1,0)*Table_NFI[[#This Row],[Winter Clothes Adult]],Table_NFI[Winter Clothes Adult])</f>
        <v>0</v>
      </c>
      <c r="AJ577" s="352">
        <f>IF(NFI_Expiration=1,IF($A577&lt;VLOOKUP(S$5,NFI,5,0),1,0)*Table_NFI[[#This Row],[Winter Clothes Children]],Table_NFI[Winter Clothes Children])</f>
        <v>0</v>
      </c>
      <c r="AK577" s="352">
        <f>IF(NFI_Expiration=1,IF($A577&lt;VLOOKUP(T$5,NFI,5,0),1,0)*Table_NFI[[#This Row],[Winter Items Other]],Table_NFI[Winter Items Other])</f>
        <v>0</v>
      </c>
      <c r="AL577" s="352">
        <f>IF(NFI_Expiration=1,IF($A577&lt;VLOOKUP(M$5,NFI,5,0),1,0)*Table_NFI[[#This Row],[Winter Blanket]],Table_NFI[[#This Row],[Winter Blanket]])</f>
        <v>0</v>
      </c>
      <c r="AM577" s="352">
        <f>IF(Table_NFI[[#This Row],[Winter Clothes Adult]]+Table_NFI[[#This Row],[Winter Clothes Children]]+Table_NFI[[#This Row],[Winter Items Other]]+Table_NFI[[#This Row],[Winter Blanket]]&gt;0,1,0)</f>
        <v>0</v>
      </c>
      <c r="AN577" s="392">
        <f>IF(NFI_Expiration=1,IF($A577&lt;VLOOKUP(V$5,NFI,5,0),1,0)*Table_NFI[[#This Row],[Jerry Can]],Table_NFI[Jerry Can])</f>
        <v>0</v>
      </c>
      <c r="AO577" s="540" t="str">
        <f>IFERROR(VLOOKUP(Table_NFI[[#This Row],[Camp Name]],CL,2,0),"")</f>
        <v>MMR001CMP177</v>
      </c>
      <c r="AP577" s="535">
        <f ca="1">IF(Table_NFI[[#This Row],[Pcode]]="","",IF(OFFSET(CampList[Opening Date],MATCH(Table_NFI[[#This Row],[Pcode]],CampList[CP_Pcode],0)-1,0,1,1)&gt;=NFI_Monitor_Date,1,0))</f>
        <v>0</v>
      </c>
      <c r="AQ577" s="540" t="str">
        <f>IFERROR(VLOOKUP(Table_NFI[[#This Row],[Camp Name]],CL,3,0),"")</f>
        <v>Closed</v>
      </c>
      <c r="AR577" s="352" t="str">
        <f ca="1">IF(Table_NFI[[#This Row],[Pcode]]="","",OFFSET(CampList[Priority],MATCH(Table_NFI[[#This Row],[Pcode]],CampList[CP_Pcode],0)-1,0,1,1))</f>
        <v/>
      </c>
      <c r="AS577" s="351" t="str">
        <f>IFERROR(Table_NFI[[#This Row],[Kitchen Set]]/VLOOKUP(Table_NFI[[#This Row],[Camp Name]],CL,4,0),"")</f>
        <v/>
      </c>
      <c r="AT577" s="533" t="s">
        <v>1094</v>
      </c>
      <c r="AU577" s="536"/>
    </row>
    <row r="578" spans="1:47" s="537" customFormat="1" ht="14.45" customHeight="1" x14ac:dyDescent="0.25">
      <c r="A578" s="355">
        <f t="shared" si="8"/>
        <v>40.6</v>
      </c>
      <c r="B578" s="532">
        <v>41353</v>
      </c>
      <c r="C578" s="533" t="s">
        <v>453</v>
      </c>
      <c r="D578" s="534" t="s">
        <v>453</v>
      </c>
      <c r="E578" s="533" t="s">
        <v>380</v>
      </c>
      <c r="F578" s="348" t="s">
        <v>528</v>
      </c>
      <c r="G578" s="348" t="s">
        <v>126</v>
      </c>
      <c r="H578" s="349"/>
      <c r="I578" s="349"/>
      <c r="J578" s="349">
        <v>124</v>
      </c>
      <c r="K578" s="349">
        <v>117</v>
      </c>
      <c r="L578" s="350">
        <v>121</v>
      </c>
      <c r="M578" s="350">
        <v>227</v>
      </c>
      <c r="N578" s="350">
        <v>122</v>
      </c>
      <c r="O578" s="350">
        <v>263</v>
      </c>
      <c r="P578" s="352">
        <v>263</v>
      </c>
      <c r="Q578" s="352">
        <v>263</v>
      </c>
      <c r="R578" s="352"/>
      <c r="S578" s="352"/>
      <c r="T578" s="352"/>
      <c r="U578" s="352"/>
      <c r="V578" s="497"/>
      <c r="W578" s="352"/>
      <c r="X578" s="352"/>
      <c r="Y578" s="352">
        <f>IF(NFI_Expiration=1,IF($A578&lt;VLOOKUP(H$5,NFI,5,0),1,0)*Table_NFI[[#This Row],[Hygiene Kit]],Table_NFI[Hygiene Kit])</f>
        <v>0</v>
      </c>
      <c r="Z578" s="352">
        <f>IF(NFI_Expiration=1,IF($A578&lt;VLOOKUP(I$5,NFI,5,0),1,0)*Table_NFI[[#This Row],[NFI Core Kit]],Table_NFI[NFI Core Kit])</f>
        <v>0</v>
      </c>
      <c r="AA578" s="352">
        <f>IF(NFI_Expiration=1,IF($A578&lt;VLOOKUP(J$5,NFI,5,0),1,0)*Table_NFI[[#This Row],[Sanitary Kit]],Table_NFI[Sanitary Kit])</f>
        <v>0</v>
      </c>
      <c r="AB578" s="352">
        <f>IF(NFI_Expiration=1,IF($A578&lt;VLOOKUP(K$5,NFI,5,0),1,0)*Table_NFI[[#This Row],[Mosquito net]],Table_NFI[Mosquito net])</f>
        <v>0</v>
      </c>
      <c r="AC578" s="352">
        <f>IF(NFI_Expiration=1,IF($A578&lt;VLOOKUP(L$5,NFI,5,0),1,0)*Table_NFI[[#This Row],[Tarpaulin]],Table_NFI[[#This Row],[Tarpaulin]])</f>
        <v>0</v>
      </c>
      <c r="AD578" s="352">
        <f>IF(NFI_Expiration=1,IF($A578&lt;VLOOKUP(M$5,NFI,5,0),1,0)*Table_NFI[[#This Row],[Blanket]],Table_NFI[[#This Row],[Blanket]])</f>
        <v>0</v>
      </c>
      <c r="AE578" s="352">
        <f>IF(NFI_Expiration=1,IF($A578&lt;VLOOKUP(N$5,NFI,5,0),1,0)*Table_NFI[[#This Row],[Kitchen Set]],Table_NFI[Kitchen Set])</f>
        <v>0</v>
      </c>
      <c r="AF578" s="352">
        <f>IF(NFI_Expiration=1,IF($A578&lt;VLOOKUP(O$5,NFI,5,0),1,0)*Table_NFI[[#This Row],[Clothes Kit]],Table_NFI[Clothes Kit])</f>
        <v>0</v>
      </c>
      <c r="AG578" s="352">
        <f>IF(NFI_Expiration=1,IF($A578&lt;VLOOKUP(P$5,NFI,5,0),1,0)*Table_NFI[[#This Row],[Plastic Bucket]],Table_NFI[Plastic Bucket])</f>
        <v>0</v>
      </c>
      <c r="AH578" s="352">
        <f>IF(NFI_Expiration=1,IF($A578&lt;VLOOKUP(Q$5,NFI,5,0),1,0)*Table_NFI[[#This Row],[Plastic Mat]],Table_NFI[Plastic Mat])*IF(Table_NFI[[#This Row],[Distribution Date]]&gt;"2014-04-01",1,2.5)</f>
        <v>0</v>
      </c>
      <c r="AI578" s="352">
        <f>IF(NFI_Expiration=1,IF($A578&lt;VLOOKUP(R$5,NFI,5,0),1,0)*Table_NFI[[#This Row],[Winter Clothes Adult]],Table_NFI[Winter Clothes Adult])</f>
        <v>0</v>
      </c>
      <c r="AJ578" s="352">
        <f>IF(NFI_Expiration=1,IF($A578&lt;VLOOKUP(S$5,NFI,5,0),1,0)*Table_NFI[[#This Row],[Winter Clothes Children]],Table_NFI[Winter Clothes Children])</f>
        <v>0</v>
      </c>
      <c r="AK578" s="352">
        <f>IF(NFI_Expiration=1,IF($A578&lt;VLOOKUP(T$5,NFI,5,0),1,0)*Table_NFI[[#This Row],[Winter Items Other]],Table_NFI[Winter Items Other])</f>
        <v>0</v>
      </c>
      <c r="AL578" s="352">
        <f>IF(NFI_Expiration=1,IF($A578&lt;VLOOKUP(M$5,NFI,5,0),1,0)*Table_NFI[[#This Row],[Winter Blanket]],Table_NFI[[#This Row],[Winter Blanket]])</f>
        <v>0</v>
      </c>
      <c r="AM578" s="352">
        <f>IF(Table_NFI[[#This Row],[Winter Clothes Adult]]+Table_NFI[[#This Row],[Winter Clothes Children]]+Table_NFI[[#This Row],[Winter Items Other]]+Table_NFI[[#This Row],[Winter Blanket]]&gt;0,1,0)</f>
        <v>0</v>
      </c>
      <c r="AN578" s="392">
        <f>IF(NFI_Expiration=1,IF($A578&lt;VLOOKUP(V$5,NFI,5,0),1,0)*Table_NFI[[#This Row],[Jerry Can]],Table_NFI[Jerry Can])</f>
        <v>0</v>
      </c>
      <c r="AO578" s="540" t="str">
        <f>IFERROR(VLOOKUP(Table_NFI[[#This Row],[Camp Name]],CL,2,0),"")</f>
        <v>MMR001CMP184</v>
      </c>
      <c r="AP578" s="535">
        <f ca="1">IF(Table_NFI[[#This Row],[Pcode]]="","",IF(OFFSET(CampList[Opening Date],MATCH(Table_NFI[[#This Row],[Pcode]],CampList[CP_Pcode],0)-1,0,1,1)&gt;=NFI_Monitor_Date,1,0))</f>
        <v>0</v>
      </c>
      <c r="AQ578" s="540" t="str">
        <f>IFERROR(VLOOKUP(Table_NFI[[#This Row],[Camp Name]],CL,3,0),"")</f>
        <v>Open</v>
      </c>
      <c r="AR578" s="352" t="str">
        <f ca="1">IF(Table_NFI[[#This Row],[Pcode]]="","",OFFSET(CampList[Priority],MATCH(Table_NFI[[#This Row],[Pcode]],CampList[CP_Pcode],0)-1,0,1,1))</f>
        <v>P4</v>
      </c>
      <c r="AS578" s="351">
        <f>IFERROR(Table_NFI[[#This Row],[Kitchen Set]]/VLOOKUP(Table_NFI[[#This Row],[Camp Name]],CL,4,0),"")</f>
        <v>3.4857142857142858</v>
      </c>
      <c r="AT578" s="533" t="s">
        <v>1094</v>
      </c>
      <c r="AU578" s="536"/>
    </row>
    <row r="579" spans="1:47" s="537" customFormat="1" ht="14.45" customHeight="1" x14ac:dyDescent="0.25">
      <c r="A579" s="355">
        <f t="shared" si="8"/>
        <v>40.6</v>
      </c>
      <c r="B579" s="532">
        <v>41353</v>
      </c>
      <c r="C579" s="533" t="s">
        <v>453</v>
      </c>
      <c r="D579" s="534" t="s">
        <v>453</v>
      </c>
      <c r="E579" s="533" t="s">
        <v>380</v>
      </c>
      <c r="F579" s="348" t="s">
        <v>528</v>
      </c>
      <c r="G579" s="348" t="s">
        <v>74</v>
      </c>
      <c r="H579" s="349"/>
      <c r="I579" s="349"/>
      <c r="J579" s="349">
        <v>34</v>
      </c>
      <c r="K579" s="349">
        <v>26</v>
      </c>
      <c r="L579" s="350">
        <v>26</v>
      </c>
      <c r="M579" s="350">
        <v>60</v>
      </c>
      <c r="N579" s="350">
        <v>26</v>
      </c>
      <c r="O579" s="350">
        <v>60</v>
      </c>
      <c r="P579" s="352">
        <v>60</v>
      </c>
      <c r="Q579" s="352">
        <v>60</v>
      </c>
      <c r="R579" s="352"/>
      <c r="S579" s="352"/>
      <c r="T579" s="352"/>
      <c r="U579" s="352"/>
      <c r="V579" s="497"/>
      <c r="W579" s="352"/>
      <c r="X579" s="352"/>
      <c r="Y579" s="352">
        <f>IF(NFI_Expiration=1,IF($A579&lt;VLOOKUP(H$5,NFI,5,0),1,0)*Table_NFI[[#This Row],[Hygiene Kit]],Table_NFI[Hygiene Kit])</f>
        <v>0</v>
      </c>
      <c r="Z579" s="352">
        <f>IF(NFI_Expiration=1,IF($A579&lt;VLOOKUP(I$5,NFI,5,0),1,0)*Table_NFI[[#This Row],[NFI Core Kit]],Table_NFI[NFI Core Kit])</f>
        <v>0</v>
      </c>
      <c r="AA579" s="352">
        <f>IF(NFI_Expiration=1,IF($A579&lt;VLOOKUP(J$5,NFI,5,0),1,0)*Table_NFI[[#This Row],[Sanitary Kit]],Table_NFI[Sanitary Kit])</f>
        <v>0</v>
      </c>
      <c r="AB579" s="352">
        <f>IF(NFI_Expiration=1,IF($A579&lt;VLOOKUP(K$5,NFI,5,0),1,0)*Table_NFI[[#This Row],[Mosquito net]],Table_NFI[Mosquito net])</f>
        <v>0</v>
      </c>
      <c r="AC579" s="352">
        <f>IF(NFI_Expiration=1,IF($A579&lt;VLOOKUP(L$5,NFI,5,0),1,0)*Table_NFI[[#This Row],[Tarpaulin]],Table_NFI[[#This Row],[Tarpaulin]])</f>
        <v>0</v>
      </c>
      <c r="AD579" s="352">
        <f>IF(NFI_Expiration=1,IF($A579&lt;VLOOKUP(M$5,NFI,5,0),1,0)*Table_NFI[[#This Row],[Blanket]],Table_NFI[[#This Row],[Blanket]])</f>
        <v>0</v>
      </c>
      <c r="AE579" s="352">
        <f>IF(NFI_Expiration=1,IF($A579&lt;VLOOKUP(N$5,NFI,5,0),1,0)*Table_NFI[[#This Row],[Kitchen Set]],Table_NFI[Kitchen Set])</f>
        <v>0</v>
      </c>
      <c r="AF579" s="352">
        <f>IF(NFI_Expiration=1,IF($A579&lt;VLOOKUP(O$5,NFI,5,0),1,0)*Table_NFI[[#This Row],[Clothes Kit]],Table_NFI[Clothes Kit])</f>
        <v>0</v>
      </c>
      <c r="AG579" s="352">
        <f>IF(NFI_Expiration=1,IF($A579&lt;VLOOKUP(P$5,NFI,5,0),1,0)*Table_NFI[[#This Row],[Plastic Bucket]],Table_NFI[Plastic Bucket])</f>
        <v>0</v>
      </c>
      <c r="AH579" s="352">
        <f>IF(NFI_Expiration=1,IF($A579&lt;VLOOKUP(Q$5,NFI,5,0),1,0)*Table_NFI[[#This Row],[Plastic Mat]],Table_NFI[Plastic Mat])*IF(Table_NFI[[#This Row],[Distribution Date]]&gt;"2014-04-01",1,2.5)</f>
        <v>0</v>
      </c>
      <c r="AI579" s="352">
        <f>IF(NFI_Expiration=1,IF($A579&lt;VLOOKUP(R$5,NFI,5,0),1,0)*Table_NFI[[#This Row],[Winter Clothes Adult]],Table_NFI[Winter Clothes Adult])</f>
        <v>0</v>
      </c>
      <c r="AJ579" s="352">
        <f>IF(NFI_Expiration=1,IF($A579&lt;VLOOKUP(S$5,NFI,5,0),1,0)*Table_NFI[[#This Row],[Winter Clothes Children]],Table_NFI[Winter Clothes Children])</f>
        <v>0</v>
      </c>
      <c r="AK579" s="352">
        <f>IF(NFI_Expiration=1,IF($A579&lt;VLOOKUP(T$5,NFI,5,0),1,0)*Table_NFI[[#This Row],[Winter Items Other]],Table_NFI[Winter Items Other])</f>
        <v>0</v>
      </c>
      <c r="AL579" s="352">
        <f>IF(NFI_Expiration=1,IF($A579&lt;VLOOKUP(M$5,NFI,5,0),1,0)*Table_NFI[[#This Row],[Winter Blanket]],Table_NFI[[#This Row],[Winter Blanket]])</f>
        <v>0</v>
      </c>
      <c r="AM579" s="352">
        <f>IF(Table_NFI[[#This Row],[Winter Clothes Adult]]+Table_NFI[[#This Row],[Winter Clothes Children]]+Table_NFI[[#This Row],[Winter Items Other]]+Table_NFI[[#This Row],[Winter Blanket]]&gt;0,1,0)</f>
        <v>0</v>
      </c>
      <c r="AN579" s="392">
        <f>IF(NFI_Expiration=1,IF($A579&lt;VLOOKUP(V$5,NFI,5,0),1,0)*Table_NFI[[#This Row],[Jerry Can]],Table_NFI[Jerry Can])</f>
        <v>0</v>
      </c>
      <c r="AO579" s="540" t="str">
        <f>IFERROR(VLOOKUP(Table_NFI[[#This Row],[Camp Name]],CL,2,0),"")</f>
        <v>MMR001CMP175</v>
      </c>
      <c r="AP579" s="535">
        <f ca="1">IF(Table_NFI[[#This Row],[Pcode]]="","",IF(OFFSET(CampList[Opening Date],MATCH(Table_NFI[[#This Row],[Pcode]],CampList[CP_Pcode],0)-1,0,1,1)&gt;=NFI_Monitor_Date,1,0))</f>
        <v>0</v>
      </c>
      <c r="AQ579" s="540" t="str">
        <f>IFERROR(VLOOKUP(Table_NFI[[#This Row],[Camp Name]],CL,3,0),"")</f>
        <v>Closed</v>
      </c>
      <c r="AR579" s="352" t="str">
        <f ca="1">IF(Table_NFI[[#This Row],[Pcode]]="","",OFFSET(CampList[Priority],MATCH(Table_NFI[[#This Row],[Pcode]],CampList[CP_Pcode],0)-1,0,1,1))</f>
        <v/>
      </c>
      <c r="AS579" s="351" t="str">
        <f>IFERROR(Table_NFI[[#This Row],[Kitchen Set]]/VLOOKUP(Table_NFI[[#This Row],[Camp Name]],CL,4,0),"")</f>
        <v/>
      </c>
      <c r="AT579" s="533" t="s">
        <v>1094</v>
      </c>
      <c r="AU579" s="536"/>
    </row>
    <row r="580" spans="1:47" s="537" customFormat="1" ht="14.45" customHeight="1" x14ac:dyDescent="0.25">
      <c r="A580" s="355">
        <f t="shared" si="8"/>
        <v>40.6</v>
      </c>
      <c r="B580" s="532">
        <v>41353</v>
      </c>
      <c r="C580" s="533" t="s">
        <v>453</v>
      </c>
      <c r="D580" s="533" t="s">
        <v>453</v>
      </c>
      <c r="E580" s="533" t="s">
        <v>380</v>
      </c>
      <c r="F580" s="348" t="s">
        <v>528</v>
      </c>
      <c r="G580" s="348" t="s">
        <v>515</v>
      </c>
      <c r="H580" s="349"/>
      <c r="I580" s="349"/>
      <c r="J580" s="349">
        <v>6</v>
      </c>
      <c r="K580" s="349">
        <v>0</v>
      </c>
      <c r="L580" s="350">
        <v>0</v>
      </c>
      <c r="M580" s="350">
        <v>11</v>
      </c>
      <c r="N580" s="350">
        <v>0</v>
      </c>
      <c r="O580" s="350">
        <v>0</v>
      </c>
      <c r="P580" s="352"/>
      <c r="Q580" s="352"/>
      <c r="R580" s="352"/>
      <c r="S580" s="352"/>
      <c r="T580" s="352"/>
      <c r="U580" s="352"/>
      <c r="V580" s="497"/>
      <c r="W580" s="352"/>
      <c r="X580" s="352"/>
      <c r="Y580" s="352">
        <f>IF(NFI_Expiration=1,IF($A580&lt;VLOOKUP(H$5,NFI,5,0),1,0)*Table_NFI[[#This Row],[Hygiene Kit]],Table_NFI[Hygiene Kit])</f>
        <v>0</v>
      </c>
      <c r="Z580" s="352">
        <f>IF(NFI_Expiration=1,IF($A580&lt;VLOOKUP(I$5,NFI,5,0),1,0)*Table_NFI[[#This Row],[NFI Core Kit]],Table_NFI[NFI Core Kit])</f>
        <v>0</v>
      </c>
      <c r="AA580" s="352">
        <f>IF(NFI_Expiration=1,IF($A580&lt;VLOOKUP(J$5,NFI,5,0),1,0)*Table_NFI[[#This Row],[Sanitary Kit]],Table_NFI[Sanitary Kit])</f>
        <v>0</v>
      </c>
      <c r="AB580" s="352">
        <f>IF(NFI_Expiration=1,IF($A580&lt;VLOOKUP(K$5,NFI,5,0),1,0)*Table_NFI[[#This Row],[Mosquito net]],Table_NFI[Mosquito net])</f>
        <v>0</v>
      </c>
      <c r="AC580" s="352">
        <f>IF(NFI_Expiration=1,IF($A580&lt;VLOOKUP(L$5,NFI,5,0),1,0)*Table_NFI[[#This Row],[Tarpaulin]],Table_NFI[[#This Row],[Tarpaulin]])</f>
        <v>0</v>
      </c>
      <c r="AD580" s="352">
        <f>IF(NFI_Expiration=1,IF($A580&lt;VLOOKUP(M$5,NFI,5,0),1,0)*Table_NFI[[#This Row],[Blanket]],Table_NFI[[#This Row],[Blanket]])</f>
        <v>0</v>
      </c>
      <c r="AE580" s="352">
        <f>IF(NFI_Expiration=1,IF($A580&lt;VLOOKUP(N$5,NFI,5,0),1,0)*Table_NFI[[#This Row],[Kitchen Set]],Table_NFI[Kitchen Set])</f>
        <v>0</v>
      </c>
      <c r="AF580" s="352">
        <f>IF(NFI_Expiration=1,IF($A580&lt;VLOOKUP(O$5,NFI,5,0),1,0)*Table_NFI[[#This Row],[Clothes Kit]],Table_NFI[Clothes Kit])</f>
        <v>0</v>
      </c>
      <c r="AG580" s="352">
        <f>IF(NFI_Expiration=1,IF($A580&lt;VLOOKUP(P$5,NFI,5,0),1,0)*Table_NFI[[#This Row],[Plastic Bucket]],Table_NFI[Plastic Bucket])</f>
        <v>0</v>
      </c>
      <c r="AH580" s="352">
        <f>IF(NFI_Expiration=1,IF($A580&lt;VLOOKUP(Q$5,NFI,5,0),1,0)*Table_NFI[[#This Row],[Plastic Mat]],Table_NFI[Plastic Mat])*IF(Table_NFI[[#This Row],[Distribution Date]]&gt;"2014-04-01",1,2.5)</f>
        <v>0</v>
      </c>
      <c r="AI580" s="352">
        <f>IF(NFI_Expiration=1,IF($A580&lt;VLOOKUP(R$5,NFI,5,0),1,0)*Table_NFI[[#This Row],[Winter Clothes Adult]],Table_NFI[Winter Clothes Adult])</f>
        <v>0</v>
      </c>
      <c r="AJ580" s="352">
        <f>IF(NFI_Expiration=1,IF($A580&lt;VLOOKUP(S$5,NFI,5,0),1,0)*Table_NFI[[#This Row],[Winter Clothes Children]],Table_NFI[Winter Clothes Children])</f>
        <v>0</v>
      </c>
      <c r="AK580" s="352">
        <f>IF(NFI_Expiration=1,IF($A580&lt;VLOOKUP(T$5,NFI,5,0),1,0)*Table_NFI[[#This Row],[Winter Items Other]],Table_NFI[Winter Items Other])</f>
        <v>0</v>
      </c>
      <c r="AL580" s="352">
        <f>IF(NFI_Expiration=1,IF($A580&lt;VLOOKUP(M$5,NFI,5,0),1,0)*Table_NFI[[#This Row],[Winter Blanket]],Table_NFI[[#This Row],[Winter Blanket]])</f>
        <v>0</v>
      </c>
      <c r="AM580" s="352">
        <f>IF(Table_NFI[[#This Row],[Winter Clothes Adult]]+Table_NFI[[#This Row],[Winter Clothes Children]]+Table_NFI[[#This Row],[Winter Items Other]]+Table_NFI[[#This Row],[Winter Blanket]]&gt;0,1,0)</f>
        <v>0</v>
      </c>
      <c r="AN580" s="392">
        <f>IF(NFI_Expiration=1,IF($A580&lt;VLOOKUP(V$5,NFI,5,0),1,0)*Table_NFI[[#This Row],[Jerry Can]],Table_NFI[Jerry Can])</f>
        <v>0</v>
      </c>
      <c r="AO580" s="540" t="str">
        <f>IFERROR(VLOOKUP(Table_NFI[[#This Row],[Camp Name]],CL,2,0),"")</f>
        <v>MMR001CMP201</v>
      </c>
      <c r="AP580" s="535">
        <f ca="1">IF(Table_NFI[[#This Row],[Pcode]]="","",IF(OFFSET(CampList[Opening Date],MATCH(Table_NFI[[#This Row],[Pcode]],CampList[CP_Pcode],0)-1,0,1,1)&gt;=NFI_Monitor_Date,1,0))</f>
        <v>0</v>
      </c>
      <c r="AQ580" s="540" t="str">
        <f>IFERROR(VLOOKUP(Table_NFI[[#This Row],[Camp Name]],CL,3,0),"")</f>
        <v>Closed</v>
      </c>
      <c r="AR580" s="352" t="str">
        <f ca="1">IF(Table_NFI[[#This Row],[Pcode]]="","",OFFSET(CampList[Priority],MATCH(Table_NFI[[#This Row],[Pcode]],CampList[CP_Pcode],0)-1,0,1,1))</f>
        <v/>
      </c>
      <c r="AS580" s="351" t="str">
        <f>IFERROR(Table_NFI[[#This Row],[Kitchen Set]]/VLOOKUP(Table_NFI[[#This Row],[Camp Name]],CL,4,0),"")</f>
        <v/>
      </c>
      <c r="AT580" s="533" t="s">
        <v>1094</v>
      </c>
      <c r="AU580" s="536"/>
    </row>
    <row r="581" spans="1:47" s="537" customFormat="1" ht="14.45" customHeight="1" x14ac:dyDescent="0.25">
      <c r="A581" s="355">
        <f t="shared" si="8"/>
        <v>41.06666666666667</v>
      </c>
      <c r="B581" s="532">
        <v>41339</v>
      </c>
      <c r="C581" s="533" t="s">
        <v>453</v>
      </c>
      <c r="D581" s="533" t="s">
        <v>453</v>
      </c>
      <c r="E581" s="533" t="s">
        <v>380</v>
      </c>
      <c r="F581" s="533" t="s">
        <v>310</v>
      </c>
      <c r="G581" s="348" t="s">
        <v>324</v>
      </c>
      <c r="H581" s="349"/>
      <c r="I581" s="349"/>
      <c r="J581" s="349">
        <v>34</v>
      </c>
      <c r="K581" s="349">
        <v>73</v>
      </c>
      <c r="L581" s="350">
        <v>38</v>
      </c>
      <c r="M581" s="350">
        <v>73</v>
      </c>
      <c r="N581" s="350">
        <v>38</v>
      </c>
      <c r="O581" s="350">
        <v>33</v>
      </c>
      <c r="P581" s="352">
        <v>33</v>
      </c>
      <c r="Q581" s="352">
        <v>33</v>
      </c>
      <c r="R581" s="352"/>
      <c r="S581" s="352"/>
      <c r="T581" s="352"/>
      <c r="U581" s="352"/>
      <c r="V581" s="497"/>
      <c r="W581" s="352"/>
      <c r="X581" s="352"/>
      <c r="Y581" s="352">
        <f>IF(NFI_Expiration=1,IF($A581&lt;VLOOKUP(H$5,NFI,5,0),1,0)*Table_NFI[[#This Row],[Hygiene Kit]],Table_NFI[Hygiene Kit])</f>
        <v>0</v>
      </c>
      <c r="Z581" s="352">
        <f>IF(NFI_Expiration=1,IF($A581&lt;VLOOKUP(I$5,NFI,5,0),1,0)*Table_NFI[[#This Row],[NFI Core Kit]],Table_NFI[NFI Core Kit])</f>
        <v>0</v>
      </c>
      <c r="AA581" s="352">
        <f>IF(NFI_Expiration=1,IF($A581&lt;VLOOKUP(J$5,NFI,5,0),1,0)*Table_NFI[[#This Row],[Sanitary Kit]],Table_NFI[Sanitary Kit])</f>
        <v>0</v>
      </c>
      <c r="AB581" s="352">
        <f>IF(NFI_Expiration=1,IF($A581&lt;VLOOKUP(K$5,NFI,5,0),1,0)*Table_NFI[[#This Row],[Mosquito net]],Table_NFI[Mosquito net])</f>
        <v>0</v>
      </c>
      <c r="AC581" s="352">
        <f>IF(NFI_Expiration=1,IF($A581&lt;VLOOKUP(L$5,NFI,5,0),1,0)*Table_NFI[[#This Row],[Tarpaulin]],Table_NFI[[#This Row],[Tarpaulin]])</f>
        <v>0</v>
      </c>
      <c r="AD581" s="352">
        <f>IF(NFI_Expiration=1,IF($A581&lt;VLOOKUP(M$5,NFI,5,0),1,0)*Table_NFI[[#This Row],[Blanket]],Table_NFI[[#This Row],[Blanket]])</f>
        <v>0</v>
      </c>
      <c r="AE581" s="352">
        <f>IF(NFI_Expiration=1,IF($A581&lt;VLOOKUP(N$5,NFI,5,0),1,0)*Table_NFI[[#This Row],[Kitchen Set]],Table_NFI[Kitchen Set])</f>
        <v>0</v>
      </c>
      <c r="AF581" s="352">
        <f>IF(NFI_Expiration=1,IF($A581&lt;VLOOKUP(O$5,NFI,5,0),1,0)*Table_NFI[[#This Row],[Clothes Kit]],Table_NFI[Clothes Kit])</f>
        <v>0</v>
      </c>
      <c r="AG581" s="352">
        <f>IF(NFI_Expiration=1,IF($A581&lt;VLOOKUP(P$5,NFI,5,0),1,0)*Table_NFI[[#This Row],[Plastic Bucket]],Table_NFI[Plastic Bucket])</f>
        <v>0</v>
      </c>
      <c r="AH581" s="352">
        <f>IF(NFI_Expiration=1,IF($A581&lt;VLOOKUP(Q$5,NFI,5,0),1,0)*Table_NFI[[#This Row],[Plastic Mat]],Table_NFI[Plastic Mat])*IF(Table_NFI[[#This Row],[Distribution Date]]&gt;"2014-04-01",1,2.5)</f>
        <v>0</v>
      </c>
      <c r="AI581" s="352">
        <f>IF(NFI_Expiration=1,IF($A581&lt;VLOOKUP(R$5,NFI,5,0),1,0)*Table_NFI[[#This Row],[Winter Clothes Adult]],Table_NFI[Winter Clothes Adult])</f>
        <v>0</v>
      </c>
      <c r="AJ581" s="352">
        <f>IF(NFI_Expiration=1,IF($A581&lt;VLOOKUP(S$5,NFI,5,0),1,0)*Table_NFI[[#This Row],[Winter Clothes Children]],Table_NFI[Winter Clothes Children])</f>
        <v>0</v>
      </c>
      <c r="AK581" s="352">
        <f>IF(NFI_Expiration=1,IF($A581&lt;VLOOKUP(T$5,NFI,5,0),1,0)*Table_NFI[[#This Row],[Winter Items Other]],Table_NFI[Winter Items Other])</f>
        <v>0</v>
      </c>
      <c r="AL581" s="352">
        <f>IF(NFI_Expiration=1,IF($A581&lt;VLOOKUP(M$5,NFI,5,0),1,0)*Table_NFI[[#This Row],[Winter Blanket]],Table_NFI[[#This Row],[Winter Blanket]])</f>
        <v>0</v>
      </c>
      <c r="AM581" s="352">
        <f>IF(Table_NFI[[#This Row],[Winter Clothes Adult]]+Table_NFI[[#This Row],[Winter Clothes Children]]+Table_NFI[[#This Row],[Winter Items Other]]+Table_NFI[[#This Row],[Winter Blanket]]&gt;0,1,0)</f>
        <v>0</v>
      </c>
      <c r="AN581" s="392">
        <f>IF(NFI_Expiration=1,IF($A581&lt;VLOOKUP(V$5,NFI,5,0),1,0)*Table_NFI[[#This Row],[Jerry Can]],Table_NFI[Jerry Can])</f>
        <v>0</v>
      </c>
      <c r="AO581" s="540" t="str">
        <f>IFERROR(VLOOKUP(Table_NFI[[#This Row],[Camp Name]],CL,2,0),"")</f>
        <v>MMR001CMP040</v>
      </c>
      <c r="AP581" s="535">
        <f ca="1">IF(Table_NFI[[#This Row],[Pcode]]="","",IF(OFFSET(CampList[Opening Date],MATCH(Table_NFI[[#This Row],[Pcode]],CampList[CP_Pcode],0)-1,0,1,1)&gt;=NFI_Monitor_Date,1,0))</f>
        <v>0</v>
      </c>
      <c r="AQ581" s="540" t="str">
        <f>IFERROR(VLOOKUP(Table_NFI[[#This Row],[Camp Name]],CL,3,0),"")</f>
        <v>Open</v>
      </c>
      <c r="AR581" s="352" t="str">
        <f ca="1">IF(Table_NFI[[#This Row],[Pcode]]="","",OFFSET(CampList[Priority],MATCH(Table_NFI[[#This Row],[Pcode]],CampList[CP_Pcode],0)-1,0,1,1))</f>
        <v>P4</v>
      </c>
      <c r="AS581" s="351">
        <f>IFERROR(Table_NFI[[#This Row],[Kitchen Set]]/VLOOKUP(Table_NFI[[#This Row],[Camp Name]],CL,4,0),"")</f>
        <v>9.5959595959595953E-2</v>
      </c>
      <c r="AT581" s="533" t="s">
        <v>1094</v>
      </c>
      <c r="AU581" s="536"/>
    </row>
    <row r="582" spans="1:47" s="537" customFormat="1" ht="14.45" customHeight="1" x14ac:dyDescent="0.25">
      <c r="A582" s="355">
        <f t="shared" ref="A582:A645" si="9">IF(ISBLANK(B582),"",(Report_Date-B582)/30)</f>
        <v>41.06666666666667</v>
      </c>
      <c r="B582" s="532">
        <v>41339</v>
      </c>
      <c r="C582" s="533" t="s">
        <v>453</v>
      </c>
      <c r="D582" s="534" t="s">
        <v>453</v>
      </c>
      <c r="E582" s="533" t="s">
        <v>380</v>
      </c>
      <c r="F582" s="348" t="s">
        <v>310</v>
      </c>
      <c r="G582" s="348" t="s">
        <v>318</v>
      </c>
      <c r="H582" s="349"/>
      <c r="I582" s="349"/>
      <c r="J582" s="349">
        <v>6</v>
      </c>
      <c r="K582" s="349">
        <v>11</v>
      </c>
      <c r="L582" s="350">
        <v>5</v>
      </c>
      <c r="M582" s="350">
        <v>11</v>
      </c>
      <c r="N582" s="350">
        <v>5</v>
      </c>
      <c r="O582" s="350">
        <v>5</v>
      </c>
      <c r="P582" s="352">
        <v>5</v>
      </c>
      <c r="Q582" s="352">
        <v>5</v>
      </c>
      <c r="R582" s="352"/>
      <c r="S582" s="352"/>
      <c r="T582" s="352"/>
      <c r="U582" s="352"/>
      <c r="V582" s="497"/>
      <c r="W582" s="352"/>
      <c r="X582" s="352"/>
      <c r="Y582" s="352">
        <f>IF(NFI_Expiration=1,IF($A582&lt;VLOOKUP(H$5,NFI,5,0),1,0)*Table_NFI[[#This Row],[Hygiene Kit]],Table_NFI[Hygiene Kit])</f>
        <v>0</v>
      </c>
      <c r="Z582" s="352">
        <f>IF(NFI_Expiration=1,IF($A582&lt;VLOOKUP(I$5,NFI,5,0),1,0)*Table_NFI[[#This Row],[NFI Core Kit]],Table_NFI[NFI Core Kit])</f>
        <v>0</v>
      </c>
      <c r="AA582" s="352">
        <f>IF(NFI_Expiration=1,IF($A582&lt;VLOOKUP(J$5,NFI,5,0),1,0)*Table_NFI[[#This Row],[Sanitary Kit]],Table_NFI[Sanitary Kit])</f>
        <v>0</v>
      </c>
      <c r="AB582" s="352">
        <f>IF(NFI_Expiration=1,IF($A582&lt;VLOOKUP(K$5,NFI,5,0),1,0)*Table_NFI[[#This Row],[Mosquito net]],Table_NFI[Mosquito net])</f>
        <v>0</v>
      </c>
      <c r="AC582" s="352">
        <f>IF(NFI_Expiration=1,IF($A582&lt;VLOOKUP(L$5,NFI,5,0),1,0)*Table_NFI[[#This Row],[Tarpaulin]],Table_NFI[[#This Row],[Tarpaulin]])</f>
        <v>0</v>
      </c>
      <c r="AD582" s="352">
        <f>IF(NFI_Expiration=1,IF($A582&lt;VLOOKUP(M$5,NFI,5,0),1,0)*Table_NFI[[#This Row],[Blanket]],Table_NFI[[#This Row],[Blanket]])</f>
        <v>0</v>
      </c>
      <c r="AE582" s="352">
        <f>IF(NFI_Expiration=1,IF($A582&lt;VLOOKUP(N$5,NFI,5,0),1,0)*Table_NFI[[#This Row],[Kitchen Set]],Table_NFI[Kitchen Set])</f>
        <v>0</v>
      </c>
      <c r="AF582" s="352">
        <f>IF(NFI_Expiration=1,IF($A582&lt;VLOOKUP(O$5,NFI,5,0),1,0)*Table_NFI[[#This Row],[Clothes Kit]],Table_NFI[Clothes Kit])</f>
        <v>0</v>
      </c>
      <c r="AG582" s="352">
        <f>IF(NFI_Expiration=1,IF($A582&lt;VLOOKUP(P$5,NFI,5,0),1,0)*Table_NFI[[#This Row],[Plastic Bucket]],Table_NFI[Plastic Bucket])</f>
        <v>0</v>
      </c>
      <c r="AH582" s="352">
        <f>IF(NFI_Expiration=1,IF($A582&lt;VLOOKUP(Q$5,NFI,5,0),1,0)*Table_NFI[[#This Row],[Plastic Mat]],Table_NFI[Plastic Mat])*IF(Table_NFI[[#This Row],[Distribution Date]]&gt;"2014-04-01",1,2.5)</f>
        <v>0</v>
      </c>
      <c r="AI582" s="352">
        <f>IF(NFI_Expiration=1,IF($A582&lt;VLOOKUP(R$5,NFI,5,0),1,0)*Table_NFI[[#This Row],[Winter Clothes Adult]],Table_NFI[Winter Clothes Adult])</f>
        <v>0</v>
      </c>
      <c r="AJ582" s="352">
        <f>IF(NFI_Expiration=1,IF($A582&lt;VLOOKUP(S$5,NFI,5,0),1,0)*Table_NFI[[#This Row],[Winter Clothes Children]],Table_NFI[Winter Clothes Children])</f>
        <v>0</v>
      </c>
      <c r="AK582" s="352">
        <f>IF(NFI_Expiration=1,IF($A582&lt;VLOOKUP(T$5,NFI,5,0),1,0)*Table_NFI[[#This Row],[Winter Items Other]],Table_NFI[Winter Items Other])</f>
        <v>0</v>
      </c>
      <c r="AL582" s="352">
        <f>IF(NFI_Expiration=1,IF($A582&lt;VLOOKUP(M$5,NFI,5,0),1,0)*Table_NFI[[#This Row],[Winter Blanket]],Table_NFI[[#This Row],[Winter Blanket]])</f>
        <v>0</v>
      </c>
      <c r="AM582" s="352">
        <f>IF(Table_NFI[[#This Row],[Winter Clothes Adult]]+Table_NFI[[#This Row],[Winter Clothes Children]]+Table_NFI[[#This Row],[Winter Items Other]]+Table_NFI[[#This Row],[Winter Blanket]]&gt;0,1,0)</f>
        <v>0</v>
      </c>
      <c r="AN582" s="392">
        <f>IF(NFI_Expiration=1,IF($A582&lt;VLOOKUP(V$5,NFI,5,0),1,0)*Table_NFI[[#This Row],[Jerry Can]],Table_NFI[Jerry Can])</f>
        <v>0</v>
      </c>
      <c r="AO582" s="540" t="str">
        <f>IFERROR(VLOOKUP(Table_NFI[[#This Row],[Camp Name]],CL,2,0),"")</f>
        <v>MMR001CMP032</v>
      </c>
      <c r="AP582" s="535">
        <f ca="1">IF(Table_NFI[[#This Row],[Pcode]]="","",IF(OFFSET(CampList[Opening Date],MATCH(Table_NFI[[#This Row],[Pcode]],CampList[CP_Pcode],0)-1,0,1,1)&gt;=NFI_Monitor_Date,1,0))</f>
        <v>0</v>
      </c>
      <c r="AQ582" s="540" t="str">
        <f>IFERROR(VLOOKUP(Table_NFI[[#This Row],[Camp Name]],CL,3,0),"")</f>
        <v>Open</v>
      </c>
      <c r="AR582" s="352" t="str">
        <f ca="1">IF(Table_NFI[[#This Row],[Pcode]]="","",OFFSET(CampList[Priority],MATCH(Table_NFI[[#This Row],[Pcode]],CampList[CP_Pcode],0)-1,0,1,1))</f>
        <v>P4</v>
      </c>
      <c r="AS582" s="351">
        <f>IFERROR(Table_NFI[[#This Row],[Kitchen Set]]/VLOOKUP(Table_NFI[[#This Row],[Camp Name]],CL,4,0),"")</f>
        <v>5.4945054945054944E-2</v>
      </c>
      <c r="AT582" s="533" t="s">
        <v>1094</v>
      </c>
      <c r="AU582" s="536"/>
    </row>
    <row r="583" spans="1:47" s="537" customFormat="1" hidden="1" x14ac:dyDescent="0.25">
      <c r="A583" s="355">
        <f t="shared" si="9"/>
        <v>49.1</v>
      </c>
      <c r="B583" s="532">
        <v>41098</v>
      </c>
      <c r="C583" s="533" t="s">
        <v>907</v>
      </c>
      <c r="D583" s="533" t="s">
        <v>907</v>
      </c>
      <c r="E583" s="533" t="s">
        <v>380</v>
      </c>
      <c r="F583" s="533" t="s">
        <v>185</v>
      </c>
      <c r="G583" s="533" t="s">
        <v>209</v>
      </c>
      <c r="H583" s="352">
        <v>64</v>
      </c>
      <c r="I583" s="349"/>
      <c r="J583" s="349"/>
      <c r="K583" s="349"/>
      <c r="L583" s="350"/>
      <c r="M583" s="350"/>
      <c r="N583" s="350"/>
      <c r="O583" s="350"/>
      <c r="P583" s="352"/>
      <c r="Q583" s="352"/>
      <c r="R583" s="352"/>
      <c r="S583" s="352"/>
      <c r="T583" s="352"/>
      <c r="U583" s="352"/>
      <c r="V583" s="497"/>
      <c r="W583" s="352"/>
      <c r="X583" s="352"/>
      <c r="Y583" s="352">
        <f>IF(NFI_Expiration=1,IF($A583&lt;VLOOKUP(H$5,NFI,5,0),1,0)*Table_NFI[[#This Row],[Hygiene Kit]],Table_NFI[Hygiene Kit])</f>
        <v>0</v>
      </c>
      <c r="Z583" s="352">
        <f>IF(NFI_Expiration=1,IF($A583&lt;VLOOKUP(I$5,NFI,5,0),1,0)*Table_NFI[[#This Row],[NFI Core Kit]],Table_NFI[NFI Core Kit])</f>
        <v>0</v>
      </c>
      <c r="AA583" s="352">
        <f>IF(NFI_Expiration=1,IF($A583&lt;VLOOKUP(J$5,NFI,5,0),1,0)*Table_NFI[[#This Row],[Sanitary Kit]],Table_NFI[Sanitary Kit])</f>
        <v>0</v>
      </c>
      <c r="AB583" s="352">
        <f>IF(NFI_Expiration=1,IF($A583&lt;VLOOKUP(K$5,NFI,5,0),1,0)*Table_NFI[[#This Row],[Mosquito net]],Table_NFI[Mosquito net])</f>
        <v>0</v>
      </c>
      <c r="AC583" s="352">
        <f>IF(NFI_Expiration=1,IF($A583&lt;VLOOKUP(L$5,NFI,5,0),1,0)*Table_NFI[[#This Row],[Tarpaulin]],Table_NFI[[#This Row],[Tarpaulin]])</f>
        <v>0</v>
      </c>
      <c r="AD583" s="352">
        <f>IF(NFI_Expiration=1,IF($A583&lt;VLOOKUP(M$5,NFI,5,0),1,0)*Table_NFI[[#This Row],[Blanket]],Table_NFI[[#This Row],[Blanket]])</f>
        <v>0</v>
      </c>
      <c r="AE583" s="352">
        <f>IF(NFI_Expiration=1,IF($A583&lt;VLOOKUP(N$5,NFI,5,0),1,0)*Table_NFI[[#This Row],[Kitchen Set]],Table_NFI[Kitchen Set])</f>
        <v>0</v>
      </c>
      <c r="AF583" s="352">
        <f>IF(NFI_Expiration=1,IF($A583&lt;VLOOKUP(O$5,NFI,5,0),1,0)*Table_NFI[[#This Row],[Clothes Kit]],Table_NFI[Clothes Kit])</f>
        <v>0</v>
      </c>
      <c r="AG583" s="352">
        <f>IF(NFI_Expiration=1,IF($A583&lt;VLOOKUP(P$5,NFI,5,0),1,0)*Table_NFI[[#This Row],[Plastic Bucket]],Table_NFI[Plastic Bucket])</f>
        <v>0</v>
      </c>
      <c r="AH583" s="352">
        <f>IF(NFI_Expiration=1,IF($A583&lt;VLOOKUP(Q$5,NFI,5,0),1,0)*Table_NFI[[#This Row],[Plastic Mat]],Table_NFI[Plastic Mat])*IF(Table_NFI[[#This Row],[Distribution Date]]&gt;"2014-04-01",1,2.5)</f>
        <v>0</v>
      </c>
      <c r="AI583" s="352">
        <f>IF(NFI_Expiration=1,IF($A583&lt;VLOOKUP(R$5,NFI,5,0),1,0)*Table_NFI[[#This Row],[Winter Clothes Adult]],Table_NFI[Winter Clothes Adult])</f>
        <v>0</v>
      </c>
      <c r="AJ583" s="352">
        <f>IF(NFI_Expiration=1,IF($A583&lt;VLOOKUP(S$5,NFI,5,0),1,0)*Table_NFI[[#This Row],[Winter Clothes Children]],Table_NFI[Winter Clothes Children])</f>
        <v>0</v>
      </c>
      <c r="AK583" s="352">
        <f>IF(NFI_Expiration=1,IF($A583&lt;VLOOKUP(T$5,NFI,5,0),1,0)*Table_NFI[[#This Row],[Winter Items Other]],Table_NFI[Winter Items Other])</f>
        <v>0</v>
      </c>
      <c r="AL583" s="352">
        <f>IF(NFI_Expiration=1,IF($A583&lt;VLOOKUP(M$5,NFI,5,0),1,0)*Table_NFI[[#This Row],[Winter Blanket]],Table_NFI[[#This Row],[Winter Blanket]])</f>
        <v>0</v>
      </c>
      <c r="AM583" s="352">
        <f>IF(Table_NFI[[#This Row],[Winter Clothes Adult]]+Table_NFI[[#This Row],[Winter Clothes Children]]+Table_NFI[[#This Row],[Winter Items Other]]+Table_NFI[[#This Row],[Winter Blanket]]&gt;0,1,0)</f>
        <v>0</v>
      </c>
      <c r="AN583" s="392">
        <f>IF(NFI_Expiration=1,IF($A583&lt;VLOOKUP(V$5,NFI,5,0),1,0)*Table_NFI[[#This Row],[Jerry Can]],Table_NFI[Jerry Can])</f>
        <v>0</v>
      </c>
      <c r="AO583" s="540" t="str">
        <f>IFERROR(VLOOKUP(Table_NFI[[#This Row],[Camp Name]],CL,2,0),"")</f>
        <v>MMR001CMP056</v>
      </c>
      <c r="AP583" s="535">
        <f ca="1">IF(Table_NFI[[#This Row],[Pcode]]="","",IF(OFFSET(CampList[Opening Date],MATCH(Table_NFI[[#This Row],[Pcode]],CampList[CP_Pcode],0)-1,0,1,1)&gt;=NFI_Monitor_Date,1,0))</f>
        <v>0</v>
      </c>
      <c r="AQ583" s="540" t="str">
        <f>IFERROR(VLOOKUP(Table_NFI[[#This Row],[Camp Name]],CL,3,0),"")</f>
        <v>Open</v>
      </c>
      <c r="AR583" s="352" t="str">
        <f ca="1">IF(Table_NFI[[#This Row],[Pcode]]="","",OFFSET(CampList[Priority],MATCH(Table_NFI[[#This Row],[Pcode]],CampList[CP_Pcode],0)-1,0,1,1))</f>
        <v>P4</v>
      </c>
      <c r="AS583" s="351">
        <f>IFERROR(Table_NFI[[#This Row],[Kitchen Set]]/VLOOKUP(Table_NFI[[#This Row],[Camp Name]],CL,4,0),"")</f>
        <v>0</v>
      </c>
      <c r="AT583" s="533"/>
      <c r="AU583" s="536"/>
    </row>
    <row r="584" spans="1:47" s="537" customFormat="1" hidden="1" x14ac:dyDescent="0.25">
      <c r="A584" s="355">
        <f t="shared" si="9"/>
        <v>54.1</v>
      </c>
      <c r="B584" s="532">
        <v>40948</v>
      </c>
      <c r="C584" s="533" t="s">
        <v>907</v>
      </c>
      <c r="D584" s="533" t="s">
        <v>907</v>
      </c>
      <c r="E584" s="533" t="s">
        <v>380</v>
      </c>
      <c r="F584" s="533" t="s">
        <v>185</v>
      </c>
      <c r="G584" s="533" t="s">
        <v>209</v>
      </c>
      <c r="H584" s="352">
        <v>138</v>
      </c>
      <c r="I584" s="349"/>
      <c r="J584" s="349"/>
      <c r="K584" s="349"/>
      <c r="L584" s="350"/>
      <c r="M584" s="350"/>
      <c r="N584" s="350"/>
      <c r="O584" s="350"/>
      <c r="P584" s="352"/>
      <c r="Q584" s="392"/>
      <c r="R584" s="392"/>
      <c r="S584" s="392"/>
      <c r="T584" s="392"/>
      <c r="U584" s="392"/>
      <c r="V584" s="497"/>
      <c r="W584" s="392"/>
      <c r="X584" s="392"/>
      <c r="Y584" s="352">
        <f>IF(NFI_Expiration=1,IF($A584&lt;VLOOKUP(H$5,NFI,5,0),1,0)*Table_NFI[[#This Row],[Hygiene Kit]],Table_NFI[Hygiene Kit])</f>
        <v>0</v>
      </c>
      <c r="Z584" s="352">
        <f>IF(NFI_Expiration=1,IF($A584&lt;VLOOKUP(I$5,NFI,5,0),1,0)*Table_NFI[[#This Row],[NFI Core Kit]],Table_NFI[NFI Core Kit])</f>
        <v>0</v>
      </c>
      <c r="AA584" s="352">
        <f>IF(NFI_Expiration=1,IF($A584&lt;VLOOKUP(J$5,NFI,5,0),1,0)*Table_NFI[[#This Row],[Sanitary Kit]],Table_NFI[Sanitary Kit])</f>
        <v>0</v>
      </c>
      <c r="AB584" s="352">
        <f>IF(NFI_Expiration=1,IF($A584&lt;VLOOKUP(K$5,NFI,5,0),1,0)*Table_NFI[[#This Row],[Mosquito net]],Table_NFI[Mosquito net])</f>
        <v>0</v>
      </c>
      <c r="AC584" s="352">
        <f>IF(NFI_Expiration=1,IF($A584&lt;VLOOKUP(L$5,NFI,5,0),1,0)*Table_NFI[[#This Row],[Tarpaulin]],Table_NFI[[#This Row],[Tarpaulin]])</f>
        <v>0</v>
      </c>
      <c r="AD584" s="352">
        <f>IF(NFI_Expiration=1,IF($A584&lt;VLOOKUP(M$5,NFI,5,0),1,0)*Table_NFI[[#This Row],[Blanket]],Table_NFI[[#This Row],[Blanket]])</f>
        <v>0</v>
      </c>
      <c r="AE584" s="352">
        <f>IF(NFI_Expiration=1,IF($A584&lt;VLOOKUP(N$5,NFI,5,0),1,0)*Table_NFI[[#This Row],[Kitchen Set]],Table_NFI[Kitchen Set])</f>
        <v>0</v>
      </c>
      <c r="AF584" s="352">
        <f>IF(NFI_Expiration=1,IF($A584&lt;VLOOKUP(O$5,NFI,5,0),1,0)*Table_NFI[[#This Row],[Clothes Kit]],Table_NFI[Clothes Kit])</f>
        <v>0</v>
      </c>
      <c r="AG584" s="352">
        <f>IF(NFI_Expiration=1,IF($A584&lt;VLOOKUP(P$5,NFI,5,0),1,0)*Table_NFI[[#This Row],[Plastic Bucket]],Table_NFI[Plastic Bucket])</f>
        <v>0</v>
      </c>
      <c r="AH584" s="352">
        <f>IF(NFI_Expiration=1,IF($A584&lt;VLOOKUP(Q$5,NFI,5,0),1,0)*Table_NFI[[#This Row],[Plastic Mat]],Table_NFI[Plastic Mat])*IF(Table_NFI[[#This Row],[Distribution Date]]&gt;"2014-04-01",1,2.5)</f>
        <v>0</v>
      </c>
      <c r="AI584" s="352">
        <f>IF(NFI_Expiration=1,IF($A584&lt;VLOOKUP(R$5,NFI,5,0),1,0)*Table_NFI[[#This Row],[Winter Clothes Adult]],Table_NFI[Winter Clothes Adult])</f>
        <v>0</v>
      </c>
      <c r="AJ584" s="352">
        <f>IF(NFI_Expiration=1,IF($A584&lt;VLOOKUP(S$5,NFI,5,0),1,0)*Table_NFI[[#This Row],[Winter Clothes Children]],Table_NFI[Winter Clothes Children])</f>
        <v>0</v>
      </c>
      <c r="AK584" s="352">
        <f>IF(NFI_Expiration=1,IF($A584&lt;VLOOKUP(T$5,NFI,5,0),1,0)*Table_NFI[[#This Row],[Winter Items Other]],Table_NFI[Winter Items Other])</f>
        <v>0</v>
      </c>
      <c r="AL584" s="352">
        <f>IF(NFI_Expiration=1,IF($A584&lt;VLOOKUP(M$5,NFI,5,0),1,0)*Table_NFI[[#This Row],[Winter Blanket]],Table_NFI[[#This Row],[Winter Blanket]])</f>
        <v>0</v>
      </c>
      <c r="AM584" s="352">
        <f>IF(Table_NFI[[#This Row],[Winter Clothes Adult]]+Table_NFI[[#This Row],[Winter Clothes Children]]+Table_NFI[[#This Row],[Winter Items Other]]+Table_NFI[[#This Row],[Winter Blanket]]&gt;0,1,0)</f>
        <v>0</v>
      </c>
      <c r="AN584" s="392">
        <f>IF(NFI_Expiration=1,IF($A584&lt;VLOOKUP(V$5,NFI,5,0),1,0)*Table_NFI[[#This Row],[Jerry Can]],Table_NFI[Jerry Can])</f>
        <v>0</v>
      </c>
      <c r="AO584" s="540" t="str">
        <f>IFERROR(VLOOKUP(Table_NFI[[#This Row],[Camp Name]],CL,2,0),"")</f>
        <v>MMR001CMP056</v>
      </c>
      <c r="AP584" s="535">
        <f ca="1">IF(Table_NFI[[#This Row],[Pcode]]="","",IF(OFFSET(CampList[Opening Date],MATCH(Table_NFI[[#This Row],[Pcode]],CampList[CP_Pcode],0)-1,0,1,1)&gt;=NFI_Monitor_Date,1,0))</f>
        <v>0</v>
      </c>
      <c r="AQ584" s="540" t="str">
        <f>IFERROR(VLOOKUP(Table_NFI[[#This Row],[Camp Name]],CL,3,0),"")</f>
        <v>Open</v>
      </c>
      <c r="AR584" s="352" t="str">
        <f ca="1">IF(Table_NFI[[#This Row],[Pcode]]="","",OFFSET(CampList[Priority],MATCH(Table_NFI[[#This Row],[Pcode]],CampList[CP_Pcode],0)-1,0,1,1))</f>
        <v>P4</v>
      </c>
      <c r="AS584" s="351">
        <f>IFERROR(Table_NFI[[#This Row],[Kitchen Set]]/VLOOKUP(Table_NFI[[#This Row],[Camp Name]],CL,4,0),"")</f>
        <v>0</v>
      </c>
      <c r="AT584" s="533"/>
      <c r="AU584" s="536"/>
    </row>
    <row r="585" spans="1:47" s="537" customFormat="1" ht="14.45" hidden="1" customHeight="1" x14ac:dyDescent="0.25">
      <c r="A585" s="355">
        <f t="shared" si="9"/>
        <v>25.2</v>
      </c>
      <c r="B585" s="532">
        <v>41815</v>
      </c>
      <c r="C585" s="533" t="s">
        <v>1106</v>
      </c>
      <c r="D585" s="533" t="s">
        <v>902</v>
      </c>
      <c r="E585" s="533" t="s">
        <v>380</v>
      </c>
      <c r="F585" s="533" t="s">
        <v>185</v>
      </c>
      <c r="G585" s="533" t="s">
        <v>209</v>
      </c>
      <c r="H585" s="349"/>
      <c r="I585" s="349"/>
      <c r="J585" s="349"/>
      <c r="K585" s="349"/>
      <c r="L585" s="350"/>
      <c r="M585" s="350"/>
      <c r="N585" s="350"/>
      <c r="O585" s="350"/>
      <c r="P585" s="352"/>
      <c r="Q585" s="352"/>
      <c r="R585" s="352"/>
      <c r="S585" s="352"/>
      <c r="T585" s="352"/>
      <c r="U585" s="352">
        <v>832</v>
      </c>
      <c r="V585" s="497"/>
      <c r="W585" s="352"/>
      <c r="X585" s="352"/>
      <c r="Y585" s="352">
        <f>IF(NFI_Expiration=1,IF($A585&lt;VLOOKUP(H$5,NFI,5,0),1,0)*Table_NFI[[#This Row],[Hygiene Kit]],Table_NFI[Hygiene Kit])</f>
        <v>0</v>
      </c>
      <c r="Z585" s="352">
        <f>IF(NFI_Expiration=1,IF($A585&lt;VLOOKUP(I$5,NFI,5,0),1,0)*Table_NFI[[#This Row],[NFI Core Kit]],Table_NFI[NFI Core Kit])</f>
        <v>0</v>
      </c>
      <c r="AA585" s="352">
        <f>IF(NFI_Expiration=1,IF($A585&lt;VLOOKUP(J$5,NFI,5,0),1,0)*Table_NFI[[#This Row],[Sanitary Kit]],Table_NFI[Sanitary Kit])</f>
        <v>0</v>
      </c>
      <c r="AB585" s="352">
        <f>IF(NFI_Expiration=1,IF($A585&lt;VLOOKUP(K$5,NFI,5,0),1,0)*Table_NFI[[#This Row],[Mosquito net]],Table_NFI[Mosquito net])</f>
        <v>0</v>
      </c>
      <c r="AC585" s="352">
        <f>IF(NFI_Expiration=1,IF($A585&lt;VLOOKUP(L$5,NFI,5,0),1,0)*Table_NFI[[#This Row],[Tarpaulin]],Table_NFI[[#This Row],[Tarpaulin]])</f>
        <v>0</v>
      </c>
      <c r="AD585" s="352">
        <f>IF(NFI_Expiration=1,IF($A585&lt;VLOOKUP(M$5,NFI,5,0),1,0)*Table_NFI[[#This Row],[Blanket]],Table_NFI[[#This Row],[Blanket]])</f>
        <v>0</v>
      </c>
      <c r="AE585" s="352">
        <f>IF(NFI_Expiration=1,IF($A585&lt;VLOOKUP(N$5,NFI,5,0),1,0)*Table_NFI[[#This Row],[Kitchen Set]],Table_NFI[Kitchen Set])</f>
        <v>0</v>
      </c>
      <c r="AF585" s="352">
        <f>IF(NFI_Expiration=1,IF($A585&lt;VLOOKUP(O$5,NFI,5,0),1,0)*Table_NFI[[#This Row],[Clothes Kit]],Table_NFI[Clothes Kit])</f>
        <v>0</v>
      </c>
      <c r="AG585" s="352">
        <f>IF(NFI_Expiration=1,IF($A585&lt;VLOOKUP(P$5,NFI,5,0),1,0)*Table_NFI[[#This Row],[Plastic Bucket]],Table_NFI[Plastic Bucket])</f>
        <v>0</v>
      </c>
      <c r="AH585" s="352">
        <f>IF(NFI_Expiration=1,IF($A585&lt;VLOOKUP(Q$5,NFI,5,0),1,0)*Table_NFI[[#This Row],[Plastic Mat]],Table_NFI[Plastic Mat])*IF(Table_NFI[[#This Row],[Distribution Date]]&gt;"2014-04-01",1,2.5)</f>
        <v>0</v>
      </c>
      <c r="AI585" s="352">
        <f>IF(NFI_Expiration=1,IF($A585&lt;VLOOKUP(R$5,NFI,5,0),1,0)*Table_NFI[[#This Row],[Winter Clothes Adult]],Table_NFI[Winter Clothes Adult])</f>
        <v>0</v>
      </c>
      <c r="AJ585" s="352">
        <f>IF(NFI_Expiration=1,IF($A585&lt;VLOOKUP(S$5,NFI,5,0),1,0)*Table_NFI[[#This Row],[Winter Clothes Children]],Table_NFI[Winter Clothes Children])</f>
        <v>0</v>
      </c>
      <c r="AK585" s="352">
        <f>IF(NFI_Expiration=1,IF($A585&lt;VLOOKUP(T$5,NFI,5,0),1,0)*Table_NFI[[#This Row],[Winter Items Other]],Table_NFI[Winter Items Other])</f>
        <v>0</v>
      </c>
      <c r="AL585" s="352">
        <f>IF(NFI_Expiration=1,IF($A585&lt;VLOOKUP(M$5,NFI,5,0),1,0)*Table_NFI[[#This Row],[Winter Blanket]],Table_NFI[[#This Row],[Winter Blanket]])</f>
        <v>0</v>
      </c>
      <c r="AM585" s="352">
        <f>IF(Table_NFI[[#This Row],[Winter Clothes Adult]]+Table_NFI[[#This Row],[Winter Clothes Children]]+Table_NFI[[#This Row],[Winter Items Other]]+Table_NFI[[#This Row],[Winter Blanket]]&gt;0,1,0)</f>
        <v>1</v>
      </c>
      <c r="AN585" s="392">
        <f>IF(NFI_Expiration=1,IF($A585&lt;VLOOKUP(V$5,NFI,5,0),1,0)*Table_NFI[[#This Row],[Jerry Can]],Table_NFI[Jerry Can])</f>
        <v>0</v>
      </c>
      <c r="AO585" s="540" t="str">
        <f>IFERROR(VLOOKUP(Table_NFI[[#This Row],[Camp Name]],CL,2,0),"")</f>
        <v>MMR001CMP056</v>
      </c>
      <c r="AP585" s="535">
        <f ca="1">IF(Table_NFI[[#This Row],[Pcode]]="","",IF(OFFSET(CampList[Opening Date],MATCH(Table_NFI[[#This Row],[Pcode]],CampList[CP_Pcode],0)-1,0,1,1)&gt;=NFI_Monitor_Date,1,0))</f>
        <v>0</v>
      </c>
      <c r="AQ585" s="540" t="str">
        <f>IFERROR(VLOOKUP(Table_NFI[[#This Row],[Camp Name]],CL,3,0),"")</f>
        <v>Open</v>
      </c>
      <c r="AR585" s="352" t="str">
        <f ca="1">IF(Table_NFI[[#This Row],[Pcode]]="","",OFFSET(CampList[Priority],MATCH(Table_NFI[[#This Row],[Pcode]],CampList[CP_Pcode],0)-1,0,1,1))</f>
        <v>P4</v>
      </c>
      <c r="AS585" s="351">
        <f>IFERROR(Table_NFI[[#This Row],[Kitchen Set]]/VLOOKUP(Table_NFI[[#This Row],[Camp Name]],CL,4,0),"")</f>
        <v>0</v>
      </c>
      <c r="AT585" s="533"/>
      <c r="AU585" s="536"/>
    </row>
    <row r="586" spans="1:47" s="537" customFormat="1" ht="14.45" customHeight="1" x14ac:dyDescent="0.25">
      <c r="A586" s="355">
        <f t="shared" si="9"/>
        <v>41.3</v>
      </c>
      <c r="B586" s="532">
        <v>41332</v>
      </c>
      <c r="C586" s="533" t="s">
        <v>453</v>
      </c>
      <c r="D586" s="534" t="s">
        <v>453</v>
      </c>
      <c r="E586" s="533" t="s">
        <v>380</v>
      </c>
      <c r="F586" s="348" t="s">
        <v>310</v>
      </c>
      <c r="G586" s="348" t="s">
        <v>328</v>
      </c>
      <c r="H586" s="349"/>
      <c r="I586" s="349"/>
      <c r="J586" s="349">
        <v>23</v>
      </c>
      <c r="K586" s="349">
        <v>40</v>
      </c>
      <c r="L586" s="350">
        <v>18</v>
      </c>
      <c r="M586" s="350">
        <v>40</v>
      </c>
      <c r="N586" s="350">
        <v>18</v>
      </c>
      <c r="O586" s="350">
        <v>18</v>
      </c>
      <c r="P586" s="352">
        <v>18</v>
      </c>
      <c r="Q586" s="352">
        <v>18</v>
      </c>
      <c r="R586" s="352"/>
      <c r="S586" s="352"/>
      <c r="T586" s="352"/>
      <c r="U586" s="352"/>
      <c r="V586" s="497"/>
      <c r="W586" s="352"/>
      <c r="X586" s="352"/>
      <c r="Y586" s="352">
        <f>IF(NFI_Expiration=1,IF($A586&lt;VLOOKUP(H$5,NFI,5,0),1,0)*Table_NFI[[#This Row],[Hygiene Kit]],Table_NFI[Hygiene Kit])</f>
        <v>0</v>
      </c>
      <c r="Z586" s="352">
        <f>IF(NFI_Expiration=1,IF($A586&lt;VLOOKUP(I$5,NFI,5,0),1,0)*Table_NFI[[#This Row],[NFI Core Kit]],Table_NFI[NFI Core Kit])</f>
        <v>0</v>
      </c>
      <c r="AA586" s="352">
        <f>IF(NFI_Expiration=1,IF($A586&lt;VLOOKUP(J$5,NFI,5,0),1,0)*Table_NFI[[#This Row],[Sanitary Kit]],Table_NFI[Sanitary Kit])</f>
        <v>0</v>
      </c>
      <c r="AB586" s="352">
        <f>IF(NFI_Expiration=1,IF($A586&lt;VLOOKUP(K$5,NFI,5,0),1,0)*Table_NFI[[#This Row],[Mosquito net]],Table_NFI[Mosquito net])</f>
        <v>0</v>
      </c>
      <c r="AC586" s="352">
        <f>IF(NFI_Expiration=1,IF($A586&lt;VLOOKUP(L$5,NFI,5,0),1,0)*Table_NFI[[#This Row],[Tarpaulin]],Table_NFI[[#This Row],[Tarpaulin]])</f>
        <v>0</v>
      </c>
      <c r="AD586" s="352">
        <f>IF(NFI_Expiration=1,IF($A586&lt;VLOOKUP(M$5,NFI,5,0),1,0)*Table_NFI[[#This Row],[Blanket]],Table_NFI[[#This Row],[Blanket]])</f>
        <v>0</v>
      </c>
      <c r="AE586" s="352">
        <f>IF(NFI_Expiration=1,IF($A586&lt;VLOOKUP(N$5,NFI,5,0),1,0)*Table_NFI[[#This Row],[Kitchen Set]],Table_NFI[Kitchen Set])</f>
        <v>0</v>
      </c>
      <c r="AF586" s="352">
        <f>IF(NFI_Expiration=1,IF($A586&lt;VLOOKUP(O$5,NFI,5,0),1,0)*Table_NFI[[#This Row],[Clothes Kit]],Table_NFI[Clothes Kit])</f>
        <v>0</v>
      </c>
      <c r="AG586" s="352">
        <f>IF(NFI_Expiration=1,IF($A586&lt;VLOOKUP(P$5,NFI,5,0),1,0)*Table_NFI[[#This Row],[Plastic Bucket]],Table_NFI[Plastic Bucket])</f>
        <v>0</v>
      </c>
      <c r="AH586" s="352">
        <f>IF(NFI_Expiration=1,IF($A586&lt;VLOOKUP(Q$5,NFI,5,0),1,0)*Table_NFI[[#This Row],[Plastic Mat]],Table_NFI[Plastic Mat])*IF(Table_NFI[[#This Row],[Distribution Date]]&gt;"2014-04-01",1,2.5)</f>
        <v>0</v>
      </c>
      <c r="AI586" s="352">
        <f>IF(NFI_Expiration=1,IF($A586&lt;VLOOKUP(R$5,NFI,5,0),1,0)*Table_NFI[[#This Row],[Winter Clothes Adult]],Table_NFI[Winter Clothes Adult])</f>
        <v>0</v>
      </c>
      <c r="AJ586" s="352">
        <f>IF(NFI_Expiration=1,IF($A586&lt;VLOOKUP(S$5,NFI,5,0),1,0)*Table_NFI[[#This Row],[Winter Clothes Children]],Table_NFI[Winter Clothes Children])</f>
        <v>0</v>
      </c>
      <c r="AK586" s="352">
        <f>IF(NFI_Expiration=1,IF($A586&lt;VLOOKUP(T$5,NFI,5,0),1,0)*Table_NFI[[#This Row],[Winter Items Other]],Table_NFI[Winter Items Other])</f>
        <v>0</v>
      </c>
      <c r="AL586" s="352">
        <f>IF(NFI_Expiration=1,IF($A586&lt;VLOOKUP(M$5,NFI,5,0),1,0)*Table_NFI[[#This Row],[Winter Blanket]],Table_NFI[[#This Row],[Winter Blanket]])</f>
        <v>0</v>
      </c>
      <c r="AM586" s="352">
        <f>IF(Table_NFI[[#This Row],[Winter Clothes Adult]]+Table_NFI[[#This Row],[Winter Clothes Children]]+Table_NFI[[#This Row],[Winter Items Other]]+Table_NFI[[#This Row],[Winter Blanket]]&gt;0,1,0)</f>
        <v>0</v>
      </c>
      <c r="AN586" s="392">
        <f>IF(NFI_Expiration=1,IF($A586&lt;VLOOKUP(V$5,NFI,5,0),1,0)*Table_NFI[[#This Row],[Jerry Can]],Table_NFI[Jerry Can])</f>
        <v>0</v>
      </c>
      <c r="AO586" s="540" t="str">
        <f>IFERROR(VLOOKUP(Table_NFI[[#This Row],[Camp Name]],CL,2,0),"")</f>
        <v>MMR001CMP031</v>
      </c>
      <c r="AP586" s="535">
        <f ca="1">IF(Table_NFI[[#This Row],[Pcode]]="","",IF(OFFSET(CampList[Opening Date],MATCH(Table_NFI[[#This Row],[Pcode]],CampList[CP_Pcode],0)-1,0,1,1)&gt;=NFI_Monitor_Date,1,0))</f>
        <v>0</v>
      </c>
      <c r="AQ586" s="540" t="str">
        <f>IFERROR(VLOOKUP(Table_NFI[[#This Row],[Camp Name]],CL,3,0),"")</f>
        <v>Open</v>
      </c>
      <c r="AR586" s="352" t="str">
        <f ca="1">IF(Table_NFI[[#This Row],[Pcode]]="","",OFFSET(CampList[Priority],MATCH(Table_NFI[[#This Row],[Pcode]],CampList[CP_Pcode],0)-1,0,1,1))</f>
        <v>P4</v>
      </c>
      <c r="AS586" s="351">
        <f>IFERROR(Table_NFI[[#This Row],[Kitchen Set]]/VLOOKUP(Table_NFI[[#This Row],[Camp Name]],CL,4,0),"")</f>
        <v>0.12587412587412589</v>
      </c>
      <c r="AT586" s="533" t="s">
        <v>1094</v>
      </c>
      <c r="AU586" s="536"/>
    </row>
    <row r="587" spans="1:47" s="537" customFormat="1" ht="14.45" customHeight="1" x14ac:dyDescent="0.25">
      <c r="A587" s="355">
        <f t="shared" si="9"/>
        <v>41.366666666666667</v>
      </c>
      <c r="B587" s="532">
        <v>41330</v>
      </c>
      <c r="C587" s="533" t="s">
        <v>453</v>
      </c>
      <c r="D587" s="534" t="s">
        <v>906</v>
      </c>
      <c r="E587" s="533" t="s">
        <v>380</v>
      </c>
      <c r="F587" s="348" t="s">
        <v>27</v>
      </c>
      <c r="G587" s="348" t="s">
        <v>28</v>
      </c>
      <c r="H587" s="349"/>
      <c r="I587" s="349"/>
      <c r="J587" s="349">
        <v>11</v>
      </c>
      <c r="K587" s="349">
        <v>17</v>
      </c>
      <c r="L587" s="350">
        <v>7</v>
      </c>
      <c r="M587" s="350">
        <v>17</v>
      </c>
      <c r="N587" s="350">
        <v>7</v>
      </c>
      <c r="O587" s="350">
        <v>7</v>
      </c>
      <c r="P587" s="352">
        <v>7</v>
      </c>
      <c r="Q587" s="352">
        <v>7</v>
      </c>
      <c r="R587" s="352"/>
      <c r="S587" s="352"/>
      <c r="T587" s="352"/>
      <c r="U587" s="352"/>
      <c r="V587" s="497"/>
      <c r="W587" s="352"/>
      <c r="X587" s="352"/>
      <c r="Y587" s="352">
        <f>IF(NFI_Expiration=1,IF($A587&lt;VLOOKUP(H$5,NFI,5,0),1,0)*Table_NFI[[#This Row],[Hygiene Kit]],Table_NFI[Hygiene Kit])</f>
        <v>0</v>
      </c>
      <c r="Z587" s="352">
        <f>IF(NFI_Expiration=1,IF($A587&lt;VLOOKUP(I$5,NFI,5,0),1,0)*Table_NFI[[#This Row],[NFI Core Kit]],Table_NFI[NFI Core Kit])</f>
        <v>0</v>
      </c>
      <c r="AA587" s="352">
        <f>IF(NFI_Expiration=1,IF($A587&lt;VLOOKUP(J$5,NFI,5,0),1,0)*Table_NFI[[#This Row],[Sanitary Kit]],Table_NFI[Sanitary Kit])</f>
        <v>0</v>
      </c>
      <c r="AB587" s="352">
        <f>IF(NFI_Expiration=1,IF($A587&lt;VLOOKUP(K$5,NFI,5,0),1,0)*Table_NFI[[#This Row],[Mosquito net]],Table_NFI[Mosquito net])</f>
        <v>0</v>
      </c>
      <c r="AC587" s="352">
        <f>IF(NFI_Expiration=1,IF($A587&lt;VLOOKUP(L$5,NFI,5,0),1,0)*Table_NFI[[#This Row],[Tarpaulin]],Table_NFI[[#This Row],[Tarpaulin]])</f>
        <v>0</v>
      </c>
      <c r="AD587" s="352">
        <f>IF(NFI_Expiration=1,IF($A587&lt;VLOOKUP(M$5,NFI,5,0),1,0)*Table_NFI[[#This Row],[Blanket]],Table_NFI[[#This Row],[Blanket]])</f>
        <v>0</v>
      </c>
      <c r="AE587" s="352">
        <f>IF(NFI_Expiration=1,IF($A587&lt;VLOOKUP(N$5,NFI,5,0),1,0)*Table_NFI[[#This Row],[Kitchen Set]],Table_NFI[Kitchen Set])</f>
        <v>0</v>
      </c>
      <c r="AF587" s="352">
        <f>IF(NFI_Expiration=1,IF($A587&lt;VLOOKUP(O$5,NFI,5,0),1,0)*Table_NFI[[#This Row],[Clothes Kit]],Table_NFI[Clothes Kit])</f>
        <v>0</v>
      </c>
      <c r="AG587" s="352">
        <f>IF(NFI_Expiration=1,IF($A587&lt;VLOOKUP(P$5,NFI,5,0),1,0)*Table_NFI[[#This Row],[Plastic Bucket]],Table_NFI[Plastic Bucket])</f>
        <v>0</v>
      </c>
      <c r="AH587" s="352">
        <f>IF(NFI_Expiration=1,IF($A587&lt;VLOOKUP(Q$5,NFI,5,0),1,0)*Table_NFI[[#This Row],[Plastic Mat]],Table_NFI[Plastic Mat])*IF(Table_NFI[[#This Row],[Distribution Date]]&gt;"2014-04-01",1,2.5)</f>
        <v>0</v>
      </c>
      <c r="AI587" s="352">
        <f>IF(NFI_Expiration=1,IF($A587&lt;VLOOKUP(R$5,NFI,5,0),1,0)*Table_NFI[[#This Row],[Winter Clothes Adult]],Table_NFI[Winter Clothes Adult])</f>
        <v>0</v>
      </c>
      <c r="AJ587" s="352">
        <f>IF(NFI_Expiration=1,IF($A587&lt;VLOOKUP(S$5,NFI,5,0),1,0)*Table_NFI[[#This Row],[Winter Clothes Children]],Table_NFI[Winter Clothes Children])</f>
        <v>0</v>
      </c>
      <c r="AK587" s="352">
        <f>IF(NFI_Expiration=1,IF($A587&lt;VLOOKUP(T$5,NFI,5,0),1,0)*Table_NFI[[#This Row],[Winter Items Other]],Table_NFI[Winter Items Other])</f>
        <v>0</v>
      </c>
      <c r="AL587" s="352">
        <f>IF(NFI_Expiration=1,IF($A587&lt;VLOOKUP(M$5,NFI,5,0),1,0)*Table_NFI[[#This Row],[Winter Blanket]],Table_NFI[[#This Row],[Winter Blanket]])</f>
        <v>0</v>
      </c>
      <c r="AM587" s="352">
        <f>IF(Table_NFI[[#This Row],[Winter Clothes Adult]]+Table_NFI[[#This Row],[Winter Clothes Children]]+Table_NFI[[#This Row],[Winter Items Other]]+Table_NFI[[#This Row],[Winter Blanket]]&gt;0,1,0)</f>
        <v>0</v>
      </c>
      <c r="AN587" s="392">
        <f>IF(NFI_Expiration=1,IF($A587&lt;VLOOKUP(V$5,NFI,5,0),1,0)*Table_NFI[[#This Row],[Jerry Can]],Table_NFI[Jerry Can])</f>
        <v>0</v>
      </c>
      <c r="AO587" s="540" t="str">
        <f>IFERROR(VLOOKUP(Table_NFI[[#This Row],[Camp Name]],CL,2,0),"")</f>
        <v>MMR001CMP042</v>
      </c>
      <c r="AP587" s="535">
        <f ca="1">IF(Table_NFI[[#This Row],[Pcode]]="","",IF(OFFSET(CampList[Opening Date],MATCH(Table_NFI[[#This Row],[Pcode]],CampList[CP_Pcode],0)-1,0,1,1)&gt;=NFI_Monitor_Date,1,0))</f>
        <v>0</v>
      </c>
      <c r="AQ587" s="540" t="str">
        <f>IFERROR(VLOOKUP(Table_NFI[[#This Row],[Camp Name]],CL,3,0),"")</f>
        <v>Open</v>
      </c>
      <c r="AR587" s="352" t="str">
        <f ca="1">IF(Table_NFI[[#This Row],[Pcode]]="","",OFFSET(CampList[Priority],MATCH(Table_NFI[[#This Row],[Pcode]],CampList[CP_Pcode],0)-1,0,1,1))</f>
        <v>P1</v>
      </c>
      <c r="AS587" s="351">
        <f>IFERROR(Table_NFI[[#This Row],[Kitchen Set]]/VLOOKUP(Table_NFI[[#This Row],[Camp Name]],CL,4,0),"")</f>
        <v>6.4220183486238536E-2</v>
      </c>
      <c r="AT587" s="533" t="s">
        <v>1094</v>
      </c>
      <c r="AU587" s="536"/>
    </row>
    <row r="588" spans="1:47" s="537" customFormat="1" ht="14.45" customHeight="1" x14ac:dyDescent="0.25">
      <c r="A588" s="355">
        <f t="shared" si="9"/>
        <v>41.366666666666667</v>
      </c>
      <c r="B588" s="532">
        <v>41330</v>
      </c>
      <c r="C588" s="533" t="s">
        <v>453</v>
      </c>
      <c r="D588" s="534" t="s">
        <v>906</v>
      </c>
      <c r="E588" s="533" t="s">
        <v>380</v>
      </c>
      <c r="F588" s="348" t="s">
        <v>27</v>
      </c>
      <c r="G588" s="348" t="s">
        <v>32</v>
      </c>
      <c r="H588" s="349"/>
      <c r="I588" s="349"/>
      <c r="J588" s="349">
        <v>11</v>
      </c>
      <c r="K588" s="349">
        <v>17</v>
      </c>
      <c r="L588" s="350">
        <v>7</v>
      </c>
      <c r="M588" s="350">
        <v>17</v>
      </c>
      <c r="N588" s="350">
        <v>7</v>
      </c>
      <c r="O588" s="350">
        <v>7</v>
      </c>
      <c r="P588" s="352">
        <v>7</v>
      </c>
      <c r="Q588" s="352">
        <v>7</v>
      </c>
      <c r="R588" s="352"/>
      <c r="S588" s="352"/>
      <c r="T588" s="352"/>
      <c r="U588" s="352"/>
      <c r="V588" s="497"/>
      <c r="W588" s="352"/>
      <c r="X588" s="352"/>
      <c r="Y588" s="352">
        <f>IF(NFI_Expiration=1,IF($A588&lt;VLOOKUP(H$5,NFI,5,0),1,0)*Table_NFI[[#This Row],[Hygiene Kit]],Table_NFI[Hygiene Kit])</f>
        <v>0</v>
      </c>
      <c r="Z588" s="352">
        <f>IF(NFI_Expiration=1,IF($A588&lt;VLOOKUP(I$5,NFI,5,0),1,0)*Table_NFI[[#This Row],[NFI Core Kit]],Table_NFI[NFI Core Kit])</f>
        <v>0</v>
      </c>
      <c r="AA588" s="352">
        <f>IF(NFI_Expiration=1,IF($A588&lt;VLOOKUP(J$5,NFI,5,0),1,0)*Table_NFI[[#This Row],[Sanitary Kit]],Table_NFI[Sanitary Kit])</f>
        <v>0</v>
      </c>
      <c r="AB588" s="352">
        <f>IF(NFI_Expiration=1,IF($A588&lt;VLOOKUP(K$5,NFI,5,0),1,0)*Table_NFI[[#This Row],[Mosquito net]],Table_NFI[Mosquito net])</f>
        <v>0</v>
      </c>
      <c r="AC588" s="352">
        <f>IF(NFI_Expiration=1,IF($A588&lt;VLOOKUP(L$5,NFI,5,0),1,0)*Table_NFI[[#This Row],[Tarpaulin]],Table_NFI[[#This Row],[Tarpaulin]])</f>
        <v>0</v>
      </c>
      <c r="AD588" s="352">
        <f>IF(NFI_Expiration=1,IF($A588&lt;VLOOKUP(M$5,NFI,5,0),1,0)*Table_NFI[[#This Row],[Blanket]],Table_NFI[[#This Row],[Blanket]])</f>
        <v>0</v>
      </c>
      <c r="AE588" s="352">
        <f>IF(NFI_Expiration=1,IF($A588&lt;VLOOKUP(N$5,NFI,5,0),1,0)*Table_NFI[[#This Row],[Kitchen Set]],Table_NFI[Kitchen Set])</f>
        <v>0</v>
      </c>
      <c r="AF588" s="352">
        <f>IF(NFI_Expiration=1,IF($A588&lt;VLOOKUP(O$5,NFI,5,0),1,0)*Table_NFI[[#This Row],[Clothes Kit]],Table_NFI[Clothes Kit])</f>
        <v>0</v>
      </c>
      <c r="AG588" s="352">
        <f>IF(NFI_Expiration=1,IF($A588&lt;VLOOKUP(P$5,NFI,5,0),1,0)*Table_NFI[[#This Row],[Plastic Bucket]],Table_NFI[Plastic Bucket])</f>
        <v>0</v>
      </c>
      <c r="AH588" s="352">
        <f>IF(NFI_Expiration=1,IF($A588&lt;VLOOKUP(Q$5,NFI,5,0),1,0)*Table_NFI[[#This Row],[Plastic Mat]],Table_NFI[Plastic Mat])*IF(Table_NFI[[#This Row],[Distribution Date]]&gt;"2014-04-01",1,2.5)</f>
        <v>0</v>
      </c>
      <c r="AI588" s="352">
        <f>IF(NFI_Expiration=1,IF($A588&lt;VLOOKUP(R$5,NFI,5,0),1,0)*Table_NFI[[#This Row],[Winter Clothes Adult]],Table_NFI[Winter Clothes Adult])</f>
        <v>0</v>
      </c>
      <c r="AJ588" s="352">
        <f>IF(NFI_Expiration=1,IF($A588&lt;VLOOKUP(S$5,NFI,5,0),1,0)*Table_NFI[[#This Row],[Winter Clothes Children]],Table_NFI[Winter Clothes Children])</f>
        <v>0</v>
      </c>
      <c r="AK588" s="352">
        <f>IF(NFI_Expiration=1,IF($A588&lt;VLOOKUP(T$5,NFI,5,0),1,0)*Table_NFI[[#This Row],[Winter Items Other]],Table_NFI[Winter Items Other])</f>
        <v>0</v>
      </c>
      <c r="AL588" s="352">
        <f>IF(NFI_Expiration=1,IF($A588&lt;VLOOKUP(M$5,NFI,5,0),1,0)*Table_NFI[[#This Row],[Winter Blanket]],Table_NFI[[#This Row],[Winter Blanket]])</f>
        <v>0</v>
      </c>
      <c r="AM588" s="352">
        <f>IF(Table_NFI[[#This Row],[Winter Clothes Adult]]+Table_NFI[[#This Row],[Winter Clothes Children]]+Table_NFI[[#This Row],[Winter Items Other]]+Table_NFI[[#This Row],[Winter Blanket]]&gt;0,1,0)</f>
        <v>0</v>
      </c>
      <c r="AN588" s="392">
        <f>IF(NFI_Expiration=1,IF($A588&lt;VLOOKUP(V$5,NFI,5,0),1,0)*Table_NFI[[#This Row],[Jerry Can]],Table_NFI[Jerry Can])</f>
        <v>0</v>
      </c>
      <c r="AO588" s="540" t="str">
        <f>IFERROR(VLOOKUP(Table_NFI[[#This Row],[Camp Name]],CL,2,0),"")</f>
        <v>MMR001CMP046</v>
      </c>
      <c r="AP588" s="535">
        <f ca="1">IF(Table_NFI[[#This Row],[Pcode]]="","",IF(OFFSET(CampList[Opening Date],MATCH(Table_NFI[[#This Row],[Pcode]],CampList[CP_Pcode],0)-1,0,1,1)&gt;=NFI_Monitor_Date,1,0))</f>
        <v>0</v>
      </c>
      <c r="AQ588" s="540" t="str">
        <f>IFERROR(VLOOKUP(Table_NFI[[#This Row],[Camp Name]],CL,3,0),"")</f>
        <v>Closed</v>
      </c>
      <c r="AR588" s="352" t="str">
        <f ca="1">IF(Table_NFI[[#This Row],[Pcode]]="","",OFFSET(CampList[Priority],MATCH(Table_NFI[[#This Row],[Pcode]],CampList[CP_Pcode],0)-1,0,1,1))</f>
        <v>P1</v>
      </c>
      <c r="AS588" s="351" t="str">
        <f>IFERROR(Table_NFI[[#This Row],[Kitchen Set]]/VLOOKUP(Table_NFI[[#This Row],[Camp Name]],CL,4,0),"")</f>
        <v/>
      </c>
      <c r="AT588" s="533" t="s">
        <v>1094</v>
      </c>
      <c r="AU588" s="536"/>
    </row>
    <row r="589" spans="1:47" s="537" customFormat="1" ht="14.45" customHeight="1" x14ac:dyDescent="0.25">
      <c r="A589" s="355">
        <f t="shared" si="9"/>
        <v>41.366666666666667</v>
      </c>
      <c r="B589" s="532">
        <v>41330</v>
      </c>
      <c r="C589" s="533" t="s">
        <v>453</v>
      </c>
      <c r="D589" s="534" t="s">
        <v>906</v>
      </c>
      <c r="E589" s="533" t="s">
        <v>380</v>
      </c>
      <c r="F589" s="348" t="s">
        <v>27</v>
      </c>
      <c r="G589" s="348" t="s">
        <v>364</v>
      </c>
      <c r="H589" s="349"/>
      <c r="I589" s="349"/>
      <c r="J589" s="349">
        <v>11</v>
      </c>
      <c r="K589" s="349">
        <v>17</v>
      </c>
      <c r="L589" s="350">
        <v>7</v>
      </c>
      <c r="M589" s="350">
        <v>17</v>
      </c>
      <c r="N589" s="350">
        <v>7</v>
      </c>
      <c r="O589" s="350">
        <v>7</v>
      </c>
      <c r="P589" s="352">
        <v>7</v>
      </c>
      <c r="Q589" s="352">
        <v>7</v>
      </c>
      <c r="R589" s="352"/>
      <c r="S589" s="352"/>
      <c r="T589" s="352"/>
      <c r="U589" s="352"/>
      <c r="V589" s="497"/>
      <c r="W589" s="352"/>
      <c r="X589" s="352"/>
      <c r="Y589" s="352">
        <f>IF(NFI_Expiration=1,IF($A589&lt;VLOOKUP(H$5,NFI,5,0),1,0)*Table_NFI[[#This Row],[Hygiene Kit]],Table_NFI[Hygiene Kit])</f>
        <v>0</v>
      </c>
      <c r="Z589" s="352">
        <f>IF(NFI_Expiration=1,IF($A589&lt;VLOOKUP(I$5,NFI,5,0),1,0)*Table_NFI[[#This Row],[NFI Core Kit]],Table_NFI[NFI Core Kit])</f>
        <v>0</v>
      </c>
      <c r="AA589" s="352">
        <f>IF(NFI_Expiration=1,IF($A589&lt;VLOOKUP(J$5,NFI,5,0),1,0)*Table_NFI[[#This Row],[Sanitary Kit]],Table_NFI[Sanitary Kit])</f>
        <v>0</v>
      </c>
      <c r="AB589" s="352">
        <f>IF(NFI_Expiration=1,IF($A589&lt;VLOOKUP(K$5,NFI,5,0),1,0)*Table_NFI[[#This Row],[Mosquito net]],Table_NFI[Mosquito net])</f>
        <v>0</v>
      </c>
      <c r="AC589" s="352">
        <f>IF(NFI_Expiration=1,IF($A589&lt;VLOOKUP(L$5,NFI,5,0),1,0)*Table_NFI[[#This Row],[Tarpaulin]],Table_NFI[[#This Row],[Tarpaulin]])</f>
        <v>0</v>
      </c>
      <c r="AD589" s="352">
        <f>IF(NFI_Expiration=1,IF($A589&lt;VLOOKUP(M$5,NFI,5,0),1,0)*Table_NFI[[#This Row],[Blanket]],Table_NFI[[#This Row],[Blanket]])</f>
        <v>0</v>
      </c>
      <c r="AE589" s="352">
        <f>IF(NFI_Expiration=1,IF($A589&lt;VLOOKUP(N$5,NFI,5,0),1,0)*Table_NFI[[#This Row],[Kitchen Set]],Table_NFI[Kitchen Set])</f>
        <v>0</v>
      </c>
      <c r="AF589" s="352">
        <f>IF(NFI_Expiration=1,IF($A589&lt;VLOOKUP(O$5,NFI,5,0),1,0)*Table_NFI[[#This Row],[Clothes Kit]],Table_NFI[Clothes Kit])</f>
        <v>0</v>
      </c>
      <c r="AG589" s="352">
        <f>IF(NFI_Expiration=1,IF($A589&lt;VLOOKUP(P$5,NFI,5,0),1,0)*Table_NFI[[#This Row],[Plastic Bucket]],Table_NFI[Plastic Bucket])</f>
        <v>0</v>
      </c>
      <c r="AH589" s="352">
        <f>IF(NFI_Expiration=1,IF($A589&lt;VLOOKUP(Q$5,NFI,5,0),1,0)*Table_NFI[[#This Row],[Plastic Mat]],Table_NFI[Plastic Mat])*IF(Table_NFI[[#This Row],[Distribution Date]]&gt;"2014-04-01",1,2.5)</f>
        <v>0</v>
      </c>
      <c r="AI589" s="352">
        <f>IF(NFI_Expiration=1,IF($A589&lt;VLOOKUP(R$5,NFI,5,0),1,0)*Table_NFI[[#This Row],[Winter Clothes Adult]],Table_NFI[Winter Clothes Adult])</f>
        <v>0</v>
      </c>
      <c r="AJ589" s="352">
        <f>IF(NFI_Expiration=1,IF($A589&lt;VLOOKUP(S$5,NFI,5,0),1,0)*Table_NFI[[#This Row],[Winter Clothes Children]],Table_NFI[Winter Clothes Children])</f>
        <v>0</v>
      </c>
      <c r="AK589" s="352">
        <f>IF(NFI_Expiration=1,IF($A589&lt;VLOOKUP(T$5,NFI,5,0),1,0)*Table_NFI[[#This Row],[Winter Items Other]],Table_NFI[Winter Items Other])</f>
        <v>0</v>
      </c>
      <c r="AL589" s="352">
        <f>IF(NFI_Expiration=1,IF($A589&lt;VLOOKUP(M$5,NFI,5,0),1,0)*Table_NFI[[#This Row],[Winter Blanket]],Table_NFI[[#This Row],[Winter Blanket]])</f>
        <v>0</v>
      </c>
      <c r="AM589" s="352">
        <f>IF(Table_NFI[[#This Row],[Winter Clothes Adult]]+Table_NFI[[#This Row],[Winter Clothes Children]]+Table_NFI[[#This Row],[Winter Items Other]]+Table_NFI[[#This Row],[Winter Blanket]]&gt;0,1,0)</f>
        <v>0</v>
      </c>
      <c r="AN589" s="392">
        <f>IF(NFI_Expiration=1,IF($A589&lt;VLOOKUP(V$5,NFI,5,0),1,0)*Table_NFI[[#This Row],[Jerry Can]],Table_NFI[Jerry Can])</f>
        <v>0</v>
      </c>
      <c r="AO589" s="540" t="str">
        <f>IFERROR(VLOOKUP(Table_NFI[[#This Row],[Camp Name]],CL,2,0),"")</f>
        <v>MMR001CMP043</v>
      </c>
      <c r="AP589" s="535">
        <f ca="1">IF(Table_NFI[[#This Row],[Pcode]]="","",IF(OFFSET(CampList[Opening Date],MATCH(Table_NFI[[#This Row],[Pcode]],CampList[CP_Pcode],0)-1,0,1,1)&gt;=NFI_Monitor_Date,1,0))</f>
        <v>0</v>
      </c>
      <c r="AQ589" s="540" t="str">
        <f>IFERROR(VLOOKUP(Table_NFI[[#This Row],[Camp Name]],CL,3,0),"")</f>
        <v>Open</v>
      </c>
      <c r="AR589" s="352" t="str">
        <f ca="1">IF(Table_NFI[[#This Row],[Pcode]]="","",OFFSET(CampList[Priority],MATCH(Table_NFI[[#This Row],[Pcode]],CampList[CP_Pcode],0)-1,0,1,1))</f>
        <v>P1</v>
      </c>
      <c r="AS589" s="351">
        <f>IFERROR(Table_NFI[[#This Row],[Kitchen Set]]/VLOOKUP(Table_NFI[[#This Row],[Camp Name]],CL,4,0),"")</f>
        <v>4.6052631578947366E-2</v>
      </c>
      <c r="AT589" s="533" t="s">
        <v>1094</v>
      </c>
      <c r="AU589" s="536"/>
    </row>
    <row r="590" spans="1:47" s="537" customFormat="1" ht="14.45" customHeight="1" x14ac:dyDescent="0.25">
      <c r="A590" s="355">
        <f t="shared" si="9"/>
        <v>41.366666666666667</v>
      </c>
      <c r="B590" s="532">
        <v>41330</v>
      </c>
      <c r="C590" s="533" t="s">
        <v>453</v>
      </c>
      <c r="D590" s="534" t="s">
        <v>906</v>
      </c>
      <c r="E590" s="533" t="s">
        <v>380</v>
      </c>
      <c r="F590" s="348" t="s">
        <v>27</v>
      </c>
      <c r="G590" s="348" t="s">
        <v>34</v>
      </c>
      <c r="H590" s="349"/>
      <c r="I590" s="349"/>
      <c r="J590" s="349">
        <v>11</v>
      </c>
      <c r="K590" s="349">
        <v>17</v>
      </c>
      <c r="L590" s="350">
        <v>7</v>
      </c>
      <c r="M590" s="350">
        <v>17</v>
      </c>
      <c r="N590" s="350">
        <v>7</v>
      </c>
      <c r="O590" s="350">
        <v>7</v>
      </c>
      <c r="P590" s="352">
        <v>7</v>
      </c>
      <c r="Q590" s="352">
        <v>7</v>
      </c>
      <c r="R590" s="352"/>
      <c r="S590" s="352"/>
      <c r="T590" s="352"/>
      <c r="U590" s="352"/>
      <c r="V590" s="497"/>
      <c r="W590" s="352"/>
      <c r="X590" s="352"/>
      <c r="Y590" s="352">
        <f>IF(NFI_Expiration=1,IF($A590&lt;VLOOKUP(H$5,NFI,5,0),1,0)*Table_NFI[[#This Row],[Hygiene Kit]],Table_NFI[Hygiene Kit])</f>
        <v>0</v>
      </c>
      <c r="Z590" s="352">
        <f>IF(NFI_Expiration=1,IF($A590&lt;VLOOKUP(I$5,NFI,5,0),1,0)*Table_NFI[[#This Row],[NFI Core Kit]],Table_NFI[NFI Core Kit])</f>
        <v>0</v>
      </c>
      <c r="AA590" s="352">
        <f>IF(NFI_Expiration=1,IF($A590&lt;VLOOKUP(J$5,NFI,5,0),1,0)*Table_NFI[[#This Row],[Sanitary Kit]],Table_NFI[Sanitary Kit])</f>
        <v>0</v>
      </c>
      <c r="AB590" s="352">
        <f>IF(NFI_Expiration=1,IF($A590&lt;VLOOKUP(K$5,NFI,5,0),1,0)*Table_NFI[[#This Row],[Mosquito net]],Table_NFI[Mosquito net])</f>
        <v>0</v>
      </c>
      <c r="AC590" s="352">
        <f>IF(NFI_Expiration=1,IF($A590&lt;VLOOKUP(L$5,NFI,5,0),1,0)*Table_NFI[[#This Row],[Tarpaulin]],Table_NFI[[#This Row],[Tarpaulin]])</f>
        <v>0</v>
      </c>
      <c r="AD590" s="352">
        <f>IF(NFI_Expiration=1,IF($A590&lt;VLOOKUP(M$5,NFI,5,0),1,0)*Table_NFI[[#This Row],[Blanket]],Table_NFI[[#This Row],[Blanket]])</f>
        <v>0</v>
      </c>
      <c r="AE590" s="352">
        <f>IF(NFI_Expiration=1,IF($A590&lt;VLOOKUP(N$5,NFI,5,0),1,0)*Table_NFI[[#This Row],[Kitchen Set]],Table_NFI[Kitchen Set])</f>
        <v>0</v>
      </c>
      <c r="AF590" s="352">
        <f>IF(NFI_Expiration=1,IF($A590&lt;VLOOKUP(O$5,NFI,5,0),1,0)*Table_NFI[[#This Row],[Clothes Kit]],Table_NFI[Clothes Kit])</f>
        <v>0</v>
      </c>
      <c r="AG590" s="352">
        <f>IF(NFI_Expiration=1,IF($A590&lt;VLOOKUP(P$5,NFI,5,0),1,0)*Table_NFI[[#This Row],[Plastic Bucket]],Table_NFI[Plastic Bucket])</f>
        <v>0</v>
      </c>
      <c r="AH590" s="352">
        <f>IF(NFI_Expiration=1,IF($A590&lt;VLOOKUP(Q$5,NFI,5,0),1,0)*Table_NFI[[#This Row],[Plastic Mat]],Table_NFI[Plastic Mat])*IF(Table_NFI[[#This Row],[Distribution Date]]&gt;"2014-04-01",1,2.5)</f>
        <v>0</v>
      </c>
      <c r="AI590" s="352">
        <f>IF(NFI_Expiration=1,IF($A590&lt;VLOOKUP(R$5,NFI,5,0),1,0)*Table_NFI[[#This Row],[Winter Clothes Adult]],Table_NFI[Winter Clothes Adult])</f>
        <v>0</v>
      </c>
      <c r="AJ590" s="352">
        <f>IF(NFI_Expiration=1,IF($A590&lt;VLOOKUP(S$5,NFI,5,0),1,0)*Table_NFI[[#This Row],[Winter Clothes Children]],Table_NFI[Winter Clothes Children])</f>
        <v>0</v>
      </c>
      <c r="AK590" s="352">
        <f>IF(NFI_Expiration=1,IF($A590&lt;VLOOKUP(T$5,NFI,5,0),1,0)*Table_NFI[[#This Row],[Winter Items Other]],Table_NFI[Winter Items Other])</f>
        <v>0</v>
      </c>
      <c r="AL590" s="352">
        <f>IF(NFI_Expiration=1,IF($A590&lt;VLOOKUP(M$5,NFI,5,0),1,0)*Table_NFI[[#This Row],[Winter Blanket]],Table_NFI[[#This Row],[Winter Blanket]])</f>
        <v>0</v>
      </c>
      <c r="AM590" s="352">
        <f>IF(Table_NFI[[#This Row],[Winter Clothes Adult]]+Table_NFI[[#This Row],[Winter Clothes Children]]+Table_NFI[[#This Row],[Winter Items Other]]+Table_NFI[[#This Row],[Winter Blanket]]&gt;0,1,0)</f>
        <v>0</v>
      </c>
      <c r="AN590" s="392">
        <f>IF(NFI_Expiration=1,IF($A590&lt;VLOOKUP(V$5,NFI,5,0),1,0)*Table_NFI[[#This Row],[Jerry Can]],Table_NFI[Jerry Can])</f>
        <v>0</v>
      </c>
      <c r="AO590" s="540" t="str">
        <f>IFERROR(VLOOKUP(Table_NFI[[#This Row],[Camp Name]],CL,2,0),"")</f>
        <v>MMR001CMP045</v>
      </c>
      <c r="AP590" s="535">
        <f ca="1">IF(Table_NFI[[#This Row],[Pcode]]="","",IF(OFFSET(CampList[Opening Date],MATCH(Table_NFI[[#This Row],[Pcode]],CampList[CP_Pcode],0)-1,0,1,1)&gt;=NFI_Monitor_Date,1,0))</f>
        <v>0</v>
      </c>
      <c r="AQ590" s="540" t="str">
        <f>IFERROR(VLOOKUP(Table_NFI[[#This Row],[Camp Name]],CL,3,0),"")</f>
        <v>Open</v>
      </c>
      <c r="AR590" s="352" t="str">
        <f ca="1">IF(Table_NFI[[#This Row],[Pcode]]="","",OFFSET(CampList[Priority],MATCH(Table_NFI[[#This Row],[Pcode]],CampList[CP_Pcode],0)-1,0,1,1))</f>
        <v>P1</v>
      </c>
      <c r="AS590" s="351" t="str">
        <f>IFERROR(Table_NFI[[#This Row],[Kitchen Set]]/VLOOKUP(Table_NFI[[#This Row],[Camp Name]],CL,4,0),"")</f>
        <v/>
      </c>
      <c r="AT590" s="533" t="s">
        <v>1094</v>
      </c>
      <c r="AU590" s="536"/>
    </row>
    <row r="591" spans="1:47" s="537" customFormat="1" ht="14.45" customHeight="1" x14ac:dyDescent="0.25">
      <c r="A591" s="355">
        <f t="shared" si="9"/>
        <v>41.366666666666667</v>
      </c>
      <c r="B591" s="532">
        <v>41330</v>
      </c>
      <c r="C591" s="533" t="s">
        <v>453</v>
      </c>
      <c r="D591" s="533" t="s">
        <v>906</v>
      </c>
      <c r="E591" s="533" t="s">
        <v>380</v>
      </c>
      <c r="F591" s="348" t="s">
        <v>27</v>
      </c>
      <c r="G591" s="348" t="s">
        <v>365</v>
      </c>
      <c r="H591" s="349"/>
      <c r="I591" s="349"/>
      <c r="J591" s="349">
        <v>12</v>
      </c>
      <c r="K591" s="349">
        <v>17</v>
      </c>
      <c r="L591" s="350">
        <v>7</v>
      </c>
      <c r="M591" s="350">
        <v>17</v>
      </c>
      <c r="N591" s="350">
        <v>7</v>
      </c>
      <c r="O591" s="350">
        <v>7</v>
      </c>
      <c r="P591" s="352">
        <v>7</v>
      </c>
      <c r="Q591" s="352">
        <v>7</v>
      </c>
      <c r="R591" s="352"/>
      <c r="S591" s="352"/>
      <c r="T591" s="352"/>
      <c r="U591" s="352"/>
      <c r="V591" s="497"/>
      <c r="W591" s="352"/>
      <c r="X591" s="352"/>
      <c r="Y591" s="352">
        <f>IF(NFI_Expiration=1,IF($A591&lt;VLOOKUP(H$5,NFI,5,0),1,0)*Table_NFI[[#This Row],[Hygiene Kit]],Table_NFI[Hygiene Kit])</f>
        <v>0</v>
      </c>
      <c r="Z591" s="352">
        <f>IF(NFI_Expiration=1,IF($A591&lt;VLOOKUP(I$5,NFI,5,0),1,0)*Table_NFI[[#This Row],[NFI Core Kit]],Table_NFI[NFI Core Kit])</f>
        <v>0</v>
      </c>
      <c r="AA591" s="352">
        <f>IF(NFI_Expiration=1,IF($A591&lt;VLOOKUP(J$5,NFI,5,0),1,0)*Table_NFI[[#This Row],[Sanitary Kit]],Table_NFI[Sanitary Kit])</f>
        <v>0</v>
      </c>
      <c r="AB591" s="352">
        <f>IF(NFI_Expiration=1,IF($A591&lt;VLOOKUP(K$5,NFI,5,0),1,0)*Table_NFI[[#This Row],[Mosquito net]],Table_NFI[Mosquito net])</f>
        <v>0</v>
      </c>
      <c r="AC591" s="352">
        <f>IF(NFI_Expiration=1,IF($A591&lt;VLOOKUP(L$5,NFI,5,0),1,0)*Table_NFI[[#This Row],[Tarpaulin]],Table_NFI[[#This Row],[Tarpaulin]])</f>
        <v>0</v>
      </c>
      <c r="AD591" s="352">
        <f>IF(NFI_Expiration=1,IF($A591&lt;VLOOKUP(M$5,NFI,5,0),1,0)*Table_NFI[[#This Row],[Blanket]],Table_NFI[[#This Row],[Blanket]])</f>
        <v>0</v>
      </c>
      <c r="AE591" s="352">
        <f>IF(NFI_Expiration=1,IF($A591&lt;VLOOKUP(N$5,NFI,5,0),1,0)*Table_NFI[[#This Row],[Kitchen Set]],Table_NFI[Kitchen Set])</f>
        <v>0</v>
      </c>
      <c r="AF591" s="352">
        <f>IF(NFI_Expiration=1,IF($A591&lt;VLOOKUP(O$5,NFI,5,0),1,0)*Table_NFI[[#This Row],[Clothes Kit]],Table_NFI[Clothes Kit])</f>
        <v>0</v>
      </c>
      <c r="AG591" s="352">
        <f>IF(NFI_Expiration=1,IF($A591&lt;VLOOKUP(P$5,NFI,5,0),1,0)*Table_NFI[[#This Row],[Plastic Bucket]],Table_NFI[Plastic Bucket])</f>
        <v>0</v>
      </c>
      <c r="AH591" s="352">
        <f>IF(NFI_Expiration=1,IF($A591&lt;VLOOKUP(Q$5,NFI,5,0),1,0)*Table_NFI[[#This Row],[Plastic Mat]],Table_NFI[Plastic Mat])*IF(Table_NFI[[#This Row],[Distribution Date]]&gt;"2014-04-01",1,2.5)</f>
        <v>0</v>
      </c>
      <c r="AI591" s="352">
        <f>IF(NFI_Expiration=1,IF($A591&lt;VLOOKUP(R$5,NFI,5,0),1,0)*Table_NFI[[#This Row],[Winter Clothes Adult]],Table_NFI[Winter Clothes Adult])</f>
        <v>0</v>
      </c>
      <c r="AJ591" s="352">
        <f>IF(NFI_Expiration=1,IF($A591&lt;VLOOKUP(S$5,NFI,5,0),1,0)*Table_NFI[[#This Row],[Winter Clothes Children]],Table_NFI[Winter Clothes Children])</f>
        <v>0</v>
      </c>
      <c r="AK591" s="352">
        <f>IF(NFI_Expiration=1,IF($A591&lt;VLOOKUP(T$5,NFI,5,0),1,0)*Table_NFI[[#This Row],[Winter Items Other]],Table_NFI[Winter Items Other])</f>
        <v>0</v>
      </c>
      <c r="AL591" s="352">
        <f>IF(NFI_Expiration=1,IF($A591&lt;VLOOKUP(M$5,NFI,5,0),1,0)*Table_NFI[[#This Row],[Winter Blanket]],Table_NFI[[#This Row],[Winter Blanket]])</f>
        <v>0</v>
      </c>
      <c r="AM591" s="352">
        <f>IF(Table_NFI[[#This Row],[Winter Clothes Adult]]+Table_NFI[[#This Row],[Winter Clothes Children]]+Table_NFI[[#This Row],[Winter Items Other]]+Table_NFI[[#This Row],[Winter Blanket]]&gt;0,1,0)</f>
        <v>0</v>
      </c>
      <c r="AN591" s="392">
        <f>IF(NFI_Expiration=1,IF($A591&lt;VLOOKUP(V$5,NFI,5,0),1,0)*Table_NFI[[#This Row],[Jerry Can]],Table_NFI[Jerry Can])</f>
        <v>0</v>
      </c>
      <c r="AO591" s="540" t="str">
        <f>IFERROR(VLOOKUP(Table_NFI[[#This Row],[Camp Name]],CL,2,0),"")</f>
        <v>MMR001CMP195</v>
      </c>
      <c r="AP591" s="535">
        <f ca="1">IF(Table_NFI[[#This Row],[Pcode]]="","",IF(OFFSET(CampList[Opening Date],MATCH(Table_NFI[[#This Row],[Pcode]],CampList[CP_Pcode],0)-1,0,1,1)&gt;=NFI_Monitor_Date,1,0))</f>
        <v>0</v>
      </c>
      <c r="AQ591" s="540" t="str">
        <f>IFERROR(VLOOKUP(Table_NFI[[#This Row],[Camp Name]],CL,3,0),"")</f>
        <v>Open</v>
      </c>
      <c r="AR591" s="352" t="str">
        <f ca="1">IF(Table_NFI[[#This Row],[Pcode]]="","",OFFSET(CampList[Priority],MATCH(Table_NFI[[#This Row],[Pcode]],CampList[CP_Pcode],0)-1,0,1,1))</f>
        <v>P1</v>
      </c>
      <c r="AS591" s="351">
        <f>IFERROR(Table_NFI[[#This Row],[Kitchen Set]]/VLOOKUP(Table_NFI[[#This Row],[Camp Name]],CL,4,0),"")</f>
        <v>4.8951048951048952E-2</v>
      </c>
      <c r="AT591" s="533" t="s">
        <v>1094</v>
      </c>
      <c r="AU591" s="536"/>
    </row>
    <row r="592" spans="1:47" s="537" customFormat="1" hidden="1" x14ac:dyDescent="0.25">
      <c r="A592" s="355">
        <f t="shared" si="9"/>
        <v>32.1</v>
      </c>
      <c r="B592" s="532">
        <v>41608</v>
      </c>
      <c r="C592" s="533" t="s">
        <v>907</v>
      </c>
      <c r="D592" s="533"/>
      <c r="E592" s="533" t="s">
        <v>380</v>
      </c>
      <c r="F592" s="348" t="s">
        <v>185</v>
      </c>
      <c r="G592" s="348" t="s">
        <v>209</v>
      </c>
      <c r="H592" s="349"/>
      <c r="I592" s="349"/>
      <c r="J592" s="349"/>
      <c r="K592" s="349"/>
      <c r="L592" s="350"/>
      <c r="M592" s="350"/>
      <c r="N592" s="350"/>
      <c r="O592" s="350"/>
      <c r="P592" s="352"/>
      <c r="Q592" s="352">
        <v>906</v>
      </c>
      <c r="R592" s="352"/>
      <c r="S592" s="352"/>
      <c r="T592" s="352"/>
      <c r="U592" s="352"/>
      <c r="V592" s="497"/>
      <c r="W592" s="352"/>
      <c r="X592" s="352"/>
      <c r="Y592" s="352">
        <f>IF(NFI_Expiration=1,IF($A592&lt;VLOOKUP(H$5,NFI,5,0),1,0)*Table_NFI[[#This Row],[Hygiene Kit]],Table_NFI[Hygiene Kit])</f>
        <v>0</v>
      </c>
      <c r="Z592" s="352">
        <f>IF(NFI_Expiration=1,IF($A592&lt;VLOOKUP(I$5,NFI,5,0),1,0)*Table_NFI[[#This Row],[NFI Core Kit]],Table_NFI[NFI Core Kit])</f>
        <v>0</v>
      </c>
      <c r="AA592" s="352">
        <f>IF(NFI_Expiration=1,IF($A592&lt;VLOOKUP(J$5,NFI,5,0),1,0)*Table_NFI[[#This Row],[Sanitary Kit]],Table_NFI[Sanitary Kit])</f>
        <v>0</v>
      </c>
      <c r="AB592" s="352">
        <f>IF(NFI_Expiration=1,IF($A592&lt;VLOOKUP(K$5,NFI,5,0),1,0)*Table_NFI[[#This Row],[Mosquito net]],Table_NFI[Mosquito net])</f>
        <v>0</v>
      </c>
      <c r="AC592" s="352">
        <f>IF(NFI_Expiration=1,IF($A592&lt;VLOOKUP(L$5,NFI,5,0),1,0)*Table_NFI[[#This Row],[Tarpaulin]],Table_NFI[[#This Row],[Tarpaulin]])</f>
        <v>0</v>
      </c>
      <c r="AD592" s="352">
        <f>IF(NFI_Expiration=1,IF($A592&lt;VLOOKUP(M$5,NFI,5,0),1,0)*Table_NFI[[#This Row],[Blanket]],Table_NFI[[#This Row],[Blanket]])</f>
        <v>0</v>
      </c>
      <c r="AE592" s="352">
        <f>IF(NFI_Expiration=1,IF($A592&lt;VLOOKUP(N$5,NFI,5,0),1,0)*Table_NFI[[#This Row],[Kitchen Set]],Table_NFI[Kitchen Set])</f>
        <v>0</v>
      </c>
      <c r="AF592" s="352">
        <f>IF(NFI_Expiration=1,IF($A592&lt;VLOOKUP(O$5,NFI,5,0),1,0)*Table_NFI[[#This Row],[Clothes Kit]],Table_NFI[Clothes Kit])</f>
        <v>0</v>
      </c>
      <c r="AG592" s="352">
        <f>IF(NFI_Expiration=1,IF($A592&lt;VLOOKUP(P$5,NFI,5,0),1,0)*Table_NFI[[#This Row],[Plastic Bucket]],Table_NFI[Plastic Bucket])</f>
        <v>0</v>
      </c>
      <c r="AH592" s="352">
        <f>IF(NFI_Expiration=1,IF($A592&lt;VLOOKUP(Q$5,NFI,5,0),1,0)*Table_NFI[[#This Row],[Plastic Mat]],Table_NFI[Plastic Mat])*IF(Table_NFI[[#This Row],[Distribution Date]]&gt;"2014-04-01",1,2.5)</f>
        <v>0</v>
      </c>
      <c r="AI592" s="352">
        <f>IF(NFI_Expiration=1,IF($A592&lt;VLOOKUP(R$5,NFI,5,0),1,0)*Table_NFI[[#This Row],[Winter Clothes Adult]],Table_NFI[Winter Clothes Adult])</f>
        <v>0</v>
      </c>
      <c r="AJ592" s="352">
        <f>IF(NFI_Expiration=1,IF($A592&lt;VLOOKUP(S$5,NFI,5,0),1,0)*Table_NFI[[#This Row],[Winter Clothes Children]],Table_NFI[Winter Clothes Children])</f>
        <v>0</v>
      </c>
      <c r="AK592" s="352">
        <f>IF(NFI_Expiration=1,IF($A592&lt;VLOOKUP(T$5,NFI,5,0),1,0)*Table_NFI[[#This Row],[Winter Items Other]],Table_NFI[Winter Items Other])</f>
        <v>0</v>
      </c>
      <c r="AL592" s="352">
        <f>IF(NFI_Expiration=1,IF($A592&lt;VLOOKUP(M$5,NFI,5,0),1,0)*Table_NFI[[#This Row],[Winter Blanket]],Table_NFI[[#This Row],[Winter Blanket]])</f>
        <v>0</v>
      </c>
      <c r="AM592" s="352">
        <f>IF(Table_NFI[[#This Row],[Winter Clothes Adult]]+Table_NFI[[#This Row],[Winter Clothes Children]]+Table_NFI[[#This Row],[Winter Items Other]]+Table_NFI[[#This Row],[Winter Blanket]]&gt;0,1,0)</f>
        <v>0</v>
      </c>
      <c r="AN592" s="392">
        <f>IF(NFI_Expiration=1,IF($A592&lt;VLOOKUP(V$5,NFI,5,0),1,0)*Table_NFI[[#This Row],[Jerry Can]],Table_NFI[Jerry Can])</f>
        <v>0</v>
      </c>
      <c r="AO592" s="540" t="str">
        <f>IFERROR(VLOOKUP(Table_NFI[[#This Row],[Camp Name]],CL,2,0),"")</f>
        <v>MMR001CMP056</v>
      </c>
      <c r="AP592" s="535">
        <f ca="1">IF(Table_NFI[[#This Row],[Pcode]]="","",IF(OFFSET(CampList[Opening Date],MATCH(Table_NFI[[#This Row],[Pcode]],CampList[CP_Pcode],0)-1,0,1,1)&gt;=NFI_Monitor_Date,1,0))</f>
        <v>0</v>
      </c>
      <c r="AQ592" s="540" t="str">
        <f>IFERROR(VLOOKUP(Table_NFI[[#This Row],[Camp Name]],CL,3,0),"")</f>
        <v>Open</v>
      </c>
      <c r="AR592" s="352" t="str">
        <f ca="1">IF(Table_NFI[[#This Row],[Pcode]]="","",OFFSET(CampList[Priority],MATCH(Table_NFI[[#This Row],[Pcode]],CampList[CP_Pcode],0)-1,0,1,1))</f>
        <v>P4</v>
      </c>
      <c r="AS592" s="351">
        <f>IFERROR(Table_NFI[[#This Row],[Kitchen Set]]/VLOOKUP(Table_NFI[[#This Row],[Camp Name]],CL,4,0),"")</f>
        <v>0</v>
      </c>
      <c r="AT592" s="533" t="s">
        <v>1094</v>
      </c>
      <c r="AU592" s="536"/>
    </row>
    <row r="593" spans="1:47" s="537" customFormat="1" hidden="1" x14ac:dyDescent="0.25">
      <c r="A593" s="355">
        <f t="shared" si="9"/>
        <v>42.7</v>
      </c>
      <c r="B593" s="532">
        <v>41290</v>
      </c>
      <c r="C593" s="533" t="s">
        <v>907</v>
      </c>
      <c r="D593" s="534" t="s">
        <v>907</v>
      </c>
      <c r="E593" s="533" t="s">
        <v>380</v>
      </c>
      <c r="F593" s="348" t="s">
        <v>185</v>
      </c>
      <c r="G593" s="348" t="s">
        <v>209</v>
      </c>
      <c r="H593" s="349">
        <v>1215</v>
      </c>
      <c r="I593" s="349"/>
      <c r="J593" s="349"/>
      <c r="K593" s="349"/>
      <c r="L593" s="350"/>
      <c r="M593" s="350"/>
      <c r="N593" s="350"/>
      <c r="O593" s="350"/>
      <c r="P593" s="352">
        <v>0</v>
      </c>
      <c r="Q593" s="352">
        <v>0</v>
      </c>
      <c r="R593" s="352"/>
      <c r="S593" s="352"/>
      <c r="T593" s="352"/>
      <c r="U593" s="352"/>
      <c r="V593" s="497"/>
      <c r="W593" s="352"/>
      <c r="X593" s="352"/>
      <c r="Y593" s="352">
        <f>IF(NFI_Expiration=1,IF($A593&lt;VLOOKUP(H$5,NFI,5,0),1,0)*Table_NFI[[#This Row],[Hygiene Kit]],Table_NFI[Hygiene Kit])</f>
        <v>0</v>
      </c>
      <c r="Z593" s="352">
        <f>IF(NFI_Expiration=1,IF($A593&lt;VLOOKUP(I$5,NFI,5,0),1,0)*Table_NFI[[#This Row],[NFI Core Kit]],Table_NFI[NFI Core Kit])</f>
        <v>0</v>
      </c>
      <c r="AA593" s="352">
        <f>IF(NFI_Expiration=1,IF($A593&lt;VLOOKUP(J$5,NFI,5,0),1,0)*Table_NFI[[#This Row],[Sanitary Kit]],Table_NFI[Sanitary Kit])</f>
        <v>0</v>
      </c>
      <c r="AB593" s="352">
        <f>IF(NFI_Expiration=1,IF($A593&lt;VLOOKUP(K$5,NFI,5,0),1,0)*Table_NFI[[#This Row],[Mosquito net]],Table_NFI[Mosquito net])</f>
        <v>0</v>
      </c>
      <c r="AC593" s="352">
        <f>IF(NFI_Expiration=1,IF($A593&lt;VLOOKUP(L$5,NFI,5,0),1,0)*Table_NFI[[#This Row],[Tarpaulin]],Table_NFI[[#This Row],[Tarpaulin]])</f>
        <v>0</v>
      </c>
      <c r="AD593" s="352">
        <f>IF(NFI_Expiration=1,IF($A593&lt;VLOOKUP(M$5,NFI,5,0),1,0)*Table_NFI[[#This Row],[Blanket]],Table_NFI[[#This Row],[Blanket]])</f>
        <v>0</v>
      </c>
      <c r="AE593" s="352">
        <f>IF(NFI_Expiration=1,IF($A593&lt;VLOOKUP(N$5,NFI,5,0),1,0)*Table_NFI[[#This Row],[Kitchen Set]],Table_NFI[Kitchen Set])</f>
        <v>0</v>
      </c>
      <c r="AF593" s="352">
        <f>IF(NFI_Expiration=1,IF($A593&lt;VLOOKUP(O$5,NFI,5,0),1,0)*Table_NFI[[#This Row],[Clothes Kit]],Table_NFI[Clothes Kit])</f>
        <v>0</v>
      </c>
      <c r="AG593" s="352">
        <f>IF(NFI_Expiration=1,IF($A593&lt;VLOOKUP(P$5,NFI,5,0),1,0)*Table_NFI[[#This Row],[Plastic Bucket]],Table_NFI[Plastic Bucket])</f>
        <v>0</v>
      </c>
      <c r="AH593" s="352">
        <f>IF(NFI_Expiration=1,IF($A593&lt;VLOOKUP(Q$5,NFI,5,0),1,0)*Table_NFI[[#This Row],[Plastic Mat]],Table_NFI[Plastic Mat])*IF(Table_NFI[[#This Row],[Distribution Date]]&gt;"2014-04-01",1,2.5)</f>
        <v>0</v>
      </c>
      <c r="AI593" s="352">
        <f>IF(NFI_Expiration=1,IF($A593&lt;VLOOKUP(R$5,NFI,5,0),1,0)*Table_NFI[[#This Row],[Winter Clothes Adult]],Table_NFI[Winter Clothes Adult])</f>
        <v>0</v>
      </c>
      <c r="AJ593" s="352">
        <f>IF(NFI_Expiration=1,IF($A593&lt;VLOOKUP(S$5,NFI,5,0),1,0)*Table_NFI[[#This Row],[Winter Clothes Children]],Table_NFI[Winter Clothes Children])</f>
        <v>0</v>
      </c>
      <c r="AK593" s="352">
        <f>IF(NFI_Expiration=1,IF($A593&lt;VLOOKUP(T$5,NFI,5,0),1,0)*Table_NFI[[#This Row],[Winter Items Other]],Table_NFI[Winter Items Other])</f>
        <v>0</v>
      </c>
      <c r="AL593" s="352">
        <f>IF(NFI_Expiration=1,IF($A593&lt;VLOOKUP(M$5,NFI,5,0),1,0)*Table_NFI[[#This Row],[Winter Blanket]],Table_NFI[[#This Row],[Winter Blanket]])</f>
        <v>0</v>
      </c>
      <c r="AM593" s="352">
        <f>IF(Table_NFI[[#This Row],[Winter Clothes Adult]]+Table_NFI[[#This Row],[Winter Clothes Children]]+Table_NFI[[#This Row],[Winter Items Other]]+Table_NFI[[#This Row],[Winter Blanket]]&gt;0,1,0)</f>
        <v>0</v>
      </c>
      <c r="AN593" s="392">
        <f>IF(NFI_Expiration=1,IF($A593&lt;VLOOKUP(V$5,NFI,5,0),1,0)*Table_NFI[[#This Row],[Jerry Can]],Table_NFI[Jerry Can])</f>
        <v>0</v>
      </c>
      <c r="AO593" s="540" t="str">
        <f>IFERROR(VLOOKUP(Table_NFI[[#This Row],[Camp Name]],CL,2,0),"")</f>
        <v>MMR001CMP056</v>
      </c>
      <c r="AP593" s="535">
        <f ca="1">IF(Table_NFI[[#This Row],[Pcode]]="","",IF(OFFSET(CampList[Opening Date],MATCH(Table_NFI[[#This Row],[Pcode]],CampList[CP_Pcode],0)-1,0,1,1)&gt;=NFI_Monitor_Date,1,0))</f>
        <v>0</v>
      </c>
      <c r="AQ593" s="540" t="str">
        <f>IFERROR(VLOOKUP(Table_NFI[[#This Row],[Camp Name]],CL,3,0),"")</f>
        <v>Open</v>
      </c>
      <c r="AR593" s="352" t="str">
        <f ca="1">IF(Table_NFI[[#This Row],[Pcode]]="","",OFFSET(CampList[Priority],MATCH(Table_NFI[[#This Row],[Pcode]],CampList[CP_Pcode],0)-1,0,1,1))</f>
        <v>P4</v>
      </c>
      <c r="AS593" s="351">
        <f>IFERROR(Table_NFI[[#This Row],[Kitchen Set]]/VLOOKUP(Table_NFI[[#This Row],[Camp Name]],CL,4,0),"")</f>
        <v>0</v>
      </c>
      <c r="AT593" s="533" t="s">
        <v>1094</v>
      </c>
      <c r="AU593" s="536"/>
    </row>
    <row r="594" spans="1:47" s="537" customFormat="1" ht="14.45" customHeight="1" x14ac:dyDescent="0.25">
      <c r="A594" s="355">
        <f t="shared" si="9"/>
        <v>41.366666666666667</v>
      </c>
      <c r="B594" s="532">
        <v>41330</v>
      </c>
      <c r="C594" s="533" t="s">
        <v>453</v>
      </c>
      <c r="D594" s="534" t="s">
        <v>906</v>
      </c>
      <c r="E594" s="533" t="s">
        <v>380</v>
      </c>
      <c r="F594" s="348" t="s">
        <v>27</v>
      </c>
      <c r="G594" s="348" t="s">
        <v>37</v>
      </c>
      <c r="H594" s="349"/>
      <c r="I594" s="349"/>
      <c r="J594" s="349">
        <v>12</v>
      </c>
      <c r="K594" s="349">
        <v>18</v>
      </c>
      <c r="L594" s="350">
        <v>8</v>
      </c>
      <c r="M594" s="350">
        <v>18</v>
      </c>
      <c r="N594" s="350">
        <v>8</v>
      </c>
      <c r="O594" s="350">
        <v>8</v>
      </c>
      <c r="P594" s="352">
        <v>8</v>
      </c>
      <c r="Q594" s="352">
        <v>8</v>
      </c>
      <c r="R594" s="352"/>
      <c r="S594" s="352"/>
      <c r="T594" s="352"/>
      <c r="U594" s="352"/>
      <c r="V594" s="497"/>
      <c r="W594" s="352"/>
      <c r="X594" s="352"/>
      <c r="Y594" s="352">
        <f>IF(NFI_Expiration=1,IF($A594&lt;VLOOKUP(H$5,NFI,5,0),1,0)*Table_NFI[[#This Row],[Hygiene Kit]],Table_NFI[Hygiene Kit])</f>
        <v>0</v>
      </c>
      <c r="Z594" s="352">
        <f>IF(NFI_Expiration=1,IF($A594&lt;VLOOKUP(I$5,NFI,5,0),1,0)*Table_NFI[[#This Row],[NFI Core Kit]],Table_NFI[NFI Core Kit])</f>
        <v>0</v>
      </c>
      <c r="AA594" s="352">
        <f>IF(NFI_Expiration=1,IF($A594&lt;VLOOKUP(J$5,NFI,5,0),1,0)*Table_NFI[[#This Row],[Sanitary Kit]],Table_NFI[Sanitary Kit])</f>
        <v>0</v>
      </c>
      <c r="AB594" s="352">
        <f>IF(NFI_Expiration=1,IF($A594&lt;VLOOKUP(K$5,NFI,5,0),1,0)*Table_NFI[[#This Row],[Mosquito net]],Table_NFI[Mosquito net])</f>
        <v>0</v>
      </c>
      <c r="AC594" s="352">
        <f>IF(NFI_Expiration=1,IF($A594&lt;VLOOKUP(L$5,NFI,5,0),1,0)*Table_NFI[[#This Row],[Tarpaulin]],Table_NFI[[#This Row],[Tarpaulin]])</f>
        <v>0</v>
      </c>
      <c r="AD594" s="352">
        <f>IF(NFI_Expiration=1,IF($A594&lt;VLOOKUP(M$5,NFI,5,0),1,0)*Table_NFI[[#This Row],[Blanket]],Table_NFI[[#This Row],[Blanket]])</f>
        <v>0</v>
      </c>
      <c r="AE594" s="352">
        <f>IF(NFI_Expiration=1,IF($A594&lt;VLOOKUP(N$5,NFI,5,0),1,0)*Table_NFI[[#This Row],[Kitchen Set]],Table_NFI[Kitchen Set])</f>
        <v>0</v>
      </c>
      <c r="AF594" s="352">
        <f>IF(NFI_Expiration=1,IF($A594&lt;VLOOKUP(O$5,NFI,5,0),1,0)*Table_NFI[[#This Row],[Clothes Kit]],Table_NFI[Clothes Kit])</f>
        <v>0</v>
      </c>
      <c r="AG594" s="352">
        <f>IF(NFI_Expiration=1,IF($A594&lt;VLOOKUP(P$5,NFI,5,0),1,0)*Table_NFI[[#This Row],[Plastic Bucket]],Table_NFI[Plastic Bucket])</f>
        <v>0</v>
      </c>
      <c r="AH594" s="352">
        <f>IF(NFI_Expiration=1,IF($A594&lt;VLOOKUP(Q$5,NFI,5,0),1,0)*Table_NFI[[#This Row],[Plastic Mat]],Table_NFI[Plastic Mat])*IF(Table_NFI[[#This Row],[Distribution Date]]&gt;"2014-04-01",1,2.5)</f>
        <v>0</v>
      </c>
      <c r="AI594" s="352">
        <f>IF(NFI_Expiration=1,IF($A594&lt;VLOOKUP(R$5,NFI,5,0),1,0)*Table_NFI[[#This Row],[Winter Clothes Adult]],Table_NFI[Winter Clothes Adult])</f>
        <v>0</v>
      </c>
      <c r="AJ594" s="352">
        <f>IF(NFI_Expiration=1,IF($A594&lt;VLOOKUP(S$5,NFI,5,0),1,0)*Table_NFI[[#This Row],[Winter Clothes Children]],Table_NFI[Winter Clothes Children])</f>
        <v>0</v>
      </c>
      <c r="AK594" s="352">
        <f>IF(NFI_Expiration=1,IF($A594&lt;VLOOKUP(T$5,NFI,5,0),1,0)*Table_NFI[[#This Row],[Winter Items Other]],Table_NFI[Winter Items Other])</f>
        <v>0</v>
      </c>
      <c r="AL594" s="352">
        <f>IF(NFI_Expiration=1,IF($A594&lt;VLOOKUP(M$5,NFI,5,0),1,0)*Table_NFI[[#This Row],[Winter Blanket]],Table_NFI[[#This Row],[Winter Blanket]])</f>
        <v>0</v>
      </c>
      <c r="AM594" s="352">
        <f>IF(Table_NFI[[#This Row],[Winter Clothes Adult]]+Table_NFI[[#This Row],[Winter Clothes Children]]+Table_NFI[[#This Row],[Winter Items Other]]+Table_NFI[[#This Row],[Winter Blanket]]&gt;0,1,0)</f>
        <v>0</v>
      </c>
      <c r="AN594" s="392">
        <f>IF(NFI_Expiration=1,IF($A594&lt;VLOOKUP(V$5,NFI,5,0),1,0)*Table_NFI[[#This Row],[Jerry Can]],Table_NFI[Jerry Can])</f>
        <v>0</v>
      </c>
      <c r="AO594" s="540" t="str">
        <f>IFERROR(VLOOKUP(Table_NFI[[#This Row],[Camp Name]],CL,2,0),"")</f>
        <v>MMR001CMP044</v>
      </c>
      <c r="AP594" s="535">
        <f ca="1">IF(Table_NFI[[#This Row],[Pcode]]="","",IF(OFFSET(CampList[Opening Date],MATCH(Table_NFI[[#This Row],[Pcode]],CampList[CP_Pcode],0)-1,0,1,1)&gt;=NFI_Monitor_Date,1,0))</f>
        <v>0</v>
      </c>
      <c r="AQ594" s="540" t="str">
        <f>IFERROR(VLOOKUP(Table_NFI[[#This Row],[Camp Name]],CL,3,0),"")</f>
        <v>Closed</v>
      </c>
      <c r="AR594" s="352" t="str">
        <f ca="1">IF(Table_NFI[[#This Row],[Pcode]]="","",OFFSET(CampList[Priority],MATCH(Table_NFI[[#This Row],[Pcode]],CampList[CP_Pcode],0)-1,0,1,1))</f>
        <v/>
      </c>
      <c r="AS594" s="351" t="str">
        <f>IFERROR(Table_NFI[[#This Row],[Kitchen Set]]/VLOOKUP(Table_NFI[[#This Row],[Camp Name]],CL,4,0),"")</f>
        <v/>
      </c>
      <c r="AT594" s="533" t="s">
        <v>1094</v>
      </c>
      <c r="AU594" s="536"/>
    </row>
    <row r="595" spans="1:47" s="537" customFormat="1" ht="14.45" hidden="1" customHeight="1" x14ac:dyDescent="0.25">
      <c r="A595" s="355">
        <f t="shared" si="9"/>
        <v>25.3</v>
      </c>
      <c r="B595" s="532">
        <v>41812</v>
      </c>
      <c r="C595" s="533" t="s">
        <v>1106</v>
      </c>
      <c r="D595" s="533" t="s">
        <v>902</v>
      </c>
      <c r="E595" s="533" t="s">
        <v>380</v>
      </c>
      <c r="F595" s="533" t="s">
        <v>185</v>
      </c>
      <c r="G595" s="533" t="s">
        <v>211</v>
      </c>
      <c r="H595" s="349"/>
      <c r="I595" s="349"/>
      <c r="J595" s="349"/>
      <c r="K595" s="349"/>
      <c r="L595" s="350"/>
      <c r="M595" s="350"/>
      <c r="N595" s="350"/>
      <c r="O595" s="350"/>
      <c r="P595" s="352"/>
      <c r="Q595" s="352"/>
      <c r="R595" s="352"/>
      <c r="S595" s="352"/>
      <c r="T595" s="352"/>
      <c r="U595" s="352">
        <v>462</v>
      </c>
      <c r="V595" s="497"/>
      <c r="W595" s="352"/>
      <c r="X595" s="352"/>
      <c r="Y595" s="352">
        <f>IF(NFI_Expiration=1,IF($A595&lt;VLOOKUP(H$5,NFI,5,0),1,0)*Table_NFI[[#This Row],[Hygiene Kit]],Table_NFI[Hygiene Kit])</f>
        <v>0</v>
      </c>
      <c r="Z595" s="352">
        <f>IF(NFI_Expiration=1,IF($A595&lt;VLOOKUP(I$5,NFI,5,0),1,0)*Table_NFI[[#This Row],[NFI Core Kit]],Table_NFI[NFI Core Kit])</f>
        <v>0</v>
      </c>
      <c r="AA595" s="352">
        <f>IF(NFI_Expiration=1,IF($A595&lt;VLOOKUP(J$5,NFI,5,0),1,0)*Table_NFI[[#This Row],[Sanitary Kit]],Table_NFI[Sanitary Kit])</f>
        <v>0</v>
      </c>
      <c r="AB595" s="352">
        <f>IF(NFI_Expiration=1,IF($A595&lt;VLOOKUP(K$5,NFI,5,0),1,0)*Table_NFI[[#This Row],[Mosquito net]],Table_NFI[Mosquito net])</f>
        <v>0</v>
      </c>
      <c r="AC595" s="352">
        <f>IF(NFI_Expiration=1,IF($A595&lt;VLOOKUP(L$5,NFI,5,0),1,0)*Table_NFI[[#This Row],[Tarpaulin]],Table_NFI[[#This Row],[Tarpaulin]])</f>
        <v>0</v>
      </c>
      <c r="AD595" s="352">
        <f>IF(NFI_Expiration=1,IF($A595&lt;VLOOKUP(M$5,NFI,5,0),1,0)*Table_NFI[[#This Row],[Blanket]],Table_NFI[[#This Row],[Blanket]])</f>
        <v>0</v>
      </c>
      <c r="AE595" s="352">
        <f>IF(NFI_Expiration=1,IF($A595&lt;VLOOKUP(N$5,NFI,5,0),1,0)*Table_NFI[[#This Row],[Kitchen Set]],Table_NFI[Kitchen Set])</f>
        <v>0</v>
      </c>
      <c r="AF595" s="352">
        <f>IF(NFI_Expiration=1,IF($A595&lt;VLOOKUP(O$5,NFI,5,0),1,0)*Table_NFI[[#This Row],[Clothes Kit]],Table_NFI[Clothes Kit])</f>
        <v>0</v>
      </c>
      <c r="AG595" s="352">
        <f>IF(NFI_Expiration=1,IF($A595&lt;VLOOKUP(P$5,NFI,5,0),1,0)*Table_NFI[[#This Row],[Plastic Bucket]],Table_NFI[Plastic Bucket])</f>
        <v>0</v>
      </c>
      <c r="AH595" s="352">
        <f>IF(NFI_Expiration=1,IF($A595&lt;VLOOKUP(Q$5,NFI,5,0),1,0)*Table_NFI[[#This Row],[Plastic Mat]],Table_NFI[Plastic Mat])*IF(Table_NFI[[#This Row],[Distribution Date]]&gt;"2014-04-01",1,2.5)</f>
        <v>0</v>
      </c>
      <c r="AI595" s="352">
        <f>IF(NFI_Expiration=1,IF($A595&lt;VLOOKUP(R$5,NFI,5,0),1,0)*Table_NFI[[#This Row],[Winter Clothes Adult]],Table_NFI[Winter Clothes Adult])</f>
        <v>0</v>
      </c>
      <c r="AJ595" s="352">
        <f>IF(NFI_Expiration=1,IF($A595&lt;VLOOKUP(S$5,NFI,5,0),1,0)*Table_NFI[[#This Row],[Winter Clothes Children]],Table_NFI[Winter Clothes Children])</f>
        <v>0</v>
      </c>
      <c r="AK595" s="352">
        <f>IF(NFI_Expiration=1,IF($A595&lt;VLOOKUP(T$5,NFI,5,0),1,0)*Table_NFI[[#This Row],[Winter Items Other]],Table_NFI[Winter Items Other])</f>
        <v>0</v>
      </c>
      <c r="AL595" s="352">
        <f>IF(NFI_Expiration=1,IF($A595&lt;VLOOKUP(M$5,NFI,5,0),1,0)*Table_NFI[[#This Row],[Winter Blanket]],Table_NFI[[#This Row],[Winter Blanket]])</f>
        <v>0</v>
      </c>
      <c r="AM595" s="352">
        <f>IF(Table_NFI[[#This Row],[Winter Clothes Adult]]+Table_NFI[[#This Row],[Winter Clothes Children]]+Table_NFI[[#This Row],[Winter Items Other]]+Table_NFI[[#This Row],[Winter Blanket]]&gt;0,1,0)</f>
        <v>1</v>
      </c>
      <c r="AN595" s="392">
        <f>IF(NFI_Expiration=1,IF($A595&lt;VLOOKUP(V$5,NFI,5,0),1,0)*Table_NFI[[#This Row],[Jerry Can]],Table_NFI[Jerry Can])</f>
        <v>0</v>
      </c>
      <c r="AO595" s="540" t="str">
        <f>IFERROR(VLOOKUP(Table_NFI[[#This Row],[Camp Name]],CL,2,0),"")</f>
        <v>MMR001CMP057</v>
      </c>
      <c r="AP595" s="535">
        <f ca="1">IF(Table_NFI[[#This Row],[Pcode]]="","",IF(OFFSET(CampList[Opening Date],MATCH(Table_NFI[[#This Row],[Pcode]],CampList[CP_Pcode],0)-1,0,1,1)&gt;=NFI_Monitor_Date,1,0))</f>
        <v>0</v>
      </c>
      <c r="AQ595" s="540" t="str">
        <f>IFERROR(VLOOKUP(Table_NFI[[#This Row],[Camp Name]],CL,3,0),"")</f>
        <v>Closed</v>
      </c>
      <c r="AR595" s="352" t="str">
        <f ca="1">IF(Table_NFI[[#This Row],[Pcode]]="","",OFFSET(CampList[Priority],MATCH(Table_NFI[[#This Row],[Pcode]],CampList[CP_Pcode],0)-1,0,1,1))</f>
        <v>P4</v>
      </c>
      <c r="AS595" s="351" t="str">
        <f>IFERROR(Table_NFI[[#This Row],[Kitchen Set]]/VLOOKUP(Table_NFI[[#This Row],[Camp Name]],CL,4,0),"")</f>
        <v/>
      </c>
      <c r="AT595" s="533"/>
      <c r="AU595" s="536"/>
    </row>
    <row r="596" spans="1:47" s="537" customFormat="1" hidden="1" x14ac:dyDescent="0.25">
      <c r="A596" s="355">
        <f t="shared" si="9"/>
        <v>32.1</v>
      </c>
      <c r="B596" s="532">
        <v>41608</v>
      </c>
      <c r="C596" s="533" t="s">
        <v>907</v>
      </c>
      <c r="D596" s="533"/>
      <c r="E596" s="533" t="s">
        <v>380</v>
      </c>
      <c r="F596" s="348" t="s">
        <v>185</v>
      </c>
      <c r="G596" s="348" t="s">
        <v>211</v>
      </c>
      <c r="H596" s="349"/>
      <c r="I596" s="349"/>
      <c r="J596" s="349"/>
      <c r="K596" s="349"/>
      <c r="L596" s="350"/>
      <c r="M596" s="350"/>
      <c r="N596" s="350"/>
      <c r="O596" s="350"/>
      <c r="P596" s="352"/>
      <c r="Q596" s="352">
        <v>543</v>
      </c>
      <c r="R596" s="352"/>
      <c r="S596" s="352"/>
      <c r="T596" s="352"/>
      <c r="U596" s="352"/>
      <c r="V596" s="497"/>
      <c r="W596" s="352"/>
      <c r="X596" s="352"/>
      <c r="Y596" s="352">
        <f>IF(NFI_Expiration=1,IF($A596&lt;VLOOKUP(H$5,NFI,5,0),1,0)*Table_NFI[[#This Row],[Hygiene Kit]],Table_NFI[Hygiene Kit])</f>
        <v>0</v>
      </c>
      <c r="Z596" s="352">
        <f>IF(NFI_Expiration=1,IF($A596&lt;VLOOKUP(I$5,NFI,5,0),1,0)*Table_NFI[[#This Row],[NFI Core Kit]],Table_NFI[NFI Core Kit])</f>
        <v>0</v>
      </c>
      <c r="AA596" s="352">
        <f>IF(NFI_Expiration=1,IF($A596&lt;VLOOKUP(J$5,NFI,5,0),1,0)*Table_NFI[[#This Row],[Sanitary Kit]],Table_NFI[Sanitary Kit])</f>
        <v>0</v>
      </c>
      <c r="AB596" s="352">
        <f>IF(NFI_Expiration=1,IF($A596&lt;VLOOKUP(K$5,NFI,5,0),1,0)*Table_NFI[[#This Row],[Mosquito net]],Table_NFI[Mosquito net])</f>
        <v>0</v>
      </c>
      <c r="AC596" s="352">
        <f>IF(NFI_Expiration=1,IF($A596&lt;VLOOKUP(L$5,NFI,5,0),1,0)*Table_NFI[[#This Row],[Tarpaulin]],Table_NFI[[#This Row],[Tarpaulin]])</f>
        <v>0</v>
      </c>
      <c r="AD596" s="352">
        <f>IF(NFI_Expiration=1,IF($A596&lt;VLOOKUP(M$5,NFI,5,0),1,0)*Table_NFI[[#This Row],[Blanket]],Table_NFI[[#This Row],[Blanket]])</f>
        <v>0</v>
      </c>
      <c r="AE596" s="352">
        <f>IF(NFI_Expiration=1,IF($A596&lt;VLOOKUP(N$5,NFI,5,0),1,0)*Table_NFI[[#This Row],[Kitchen Set]],Table_NFI[Kitchen Set])</f>
        <v>0</v>
      </c>
      <c r="AF596" s="352">
        <f>IF(NFI_Expiration=1,IF($A596&lt;VLOOKUP(O$5,NFI,5,0),1,0)*Table_NFI[[#This Row],[Clothes Kit]],Table_NFI[Clothes Kit])</f>
        <v>0</v>
      </c>
      <c r="AG596" s="352">
        <f>IF(NFI_Expiration=1,IF($A596&lt;VLOOKUP(P$5,NFI,5,0),1,0)*Table_NFI[[#This Row],[Plastic Bucket]],Table_NFI[Plastic Bucket])</f>
        <v>0</v>
      </c>
      <c r="AH596" s="352">
        <f>IF(NFI_Expiration=1,IF($A596&lt;VLOOKUP(Q$5,NFI,5,0),1,0)*Table_NFI[[#This Row],[Plastic Mat]],Table_NFI[Plastic Mat])*IF(Table_NFI[[#This Row],[Distribution Date]]&gt;"2014-04-01",1,2.5)</f>
        <v>0</v>
      </c>
      <c r="AI596" s="352">
        <f>IF(NFI_Expiration=1,IF($A596&lt;VLOOKUP(R$5,NFI,5,0),1,0)*Table_NFI[[#This Row],[Winter Clothes Adult]],Table_NFI[Winter Clothes Adult])</f>
        <v>0</v>
      </c>
      <c r="AJ596" s="352">
        <f>IF(NFI_Expiration=1,IF($A596&lt;VLOOKUP(S$5,NFI,5,0),1,0)*Table_NFI[[#This Row],[Winter Clothes Children]],Table_NFI[Winter Clothes Children])</f>
        <v>0</v>
      </c>
      <c r="AK596" s="352">
        <f>IF(NFI_Expiration=1,IF($A596&lt;VLOOKUP(T$5,NFI,5,0),1,0)*Table_NFI[[#This Row],[Winter Items Other]],Table_NFI[Winter Items Other])</f>
        <v>0</v>
      </c>
      <c r="AL596" s="352">
        <f>IF(NFI_Expiration=1,IF($A596&lt;VLOOKUP(M$5,NFI,5,0),1,0)*Table_NFI[[#This Row],[Winter Blanket]],Table_NFI[[#This Row],[Winter Blanket]])</f>
        <v>0</v>
      </c>
      <c r="AM596" s="352">
        <f>IF(Table_NFI[[#This Row],[Winter Clothes Adult]]+Table_NFI[[#This Row],[Winter Clothes Children]]+Table_NFI[[#This Row],[Winter Items Other]]+Table_NFI[[#This Row],[Winter Blanket]]&gt;0,1,0)</f>
        <v>0</v>
      </c>
      <c r="AN596" s="392">
        <f>IF(NFI_Expiration=1,IF($A596&lt;VLOOKUP(V$5,NFI,5,0),1,0)*Table_NFI[[#This Row],[Jerry Can]],Table_NFI[Jerry Can])</f>
        <v>0</v>
      </c>
      <c r="AO596" s="540" t="str">
        <f>IFERROR(VLOOKUP(Table_NFI[[#This Row],[Camp Name]],CL,2,0),"")</f>
        <v>MMR001CMP057</v>
      </c>
      <c r="AP596" s="535">
        <f ca="1">IF(Table_NFI[[#This Row],[Pcode]]="","",IF(OFFSET(CampList[Opening Date],MATCH(Table_NFI[[#This Row],[Pcode]],CampList[CP_Pcode],0)-1,0,1,1)&gt;=NFI_Monitor_Date,1,0))</f>
        <v>0</v>
      </c>
      <c r="AQ596" s="540" t="str">
        <f>IFERROR(VLOOKUP(Table_NFI[[#This Row],[Camp Name]],CL,3,0),"")</f>
        <v>Closed</v>
      </c>
      <c r="AR596" s="352" t="str">
        <f ca="1">IF(Table_NFI[[#This Row],[Pcode]]="","",OFFSET(CampList[Priority],MATCH(Table_NFI[[#This Row],[Pcode]],CampList[CP_Pcode],0)-1,0,1,1))</f>
        <v>P4</v>
      </c>
      <c r="AS596" s="351" t="str">
        <f>IFERROR(Table_NFI[[#This Row],[Kitchen Set]]/VLOOKUP(Table_NFI[[#This Row],[Camp Name]],CL,4,0),"")</f>
        <v/>
      </c>
      <c r="AT596" s="533" t="s">
        <v>1094</v>
      </c>
      <c r="AU596" s="536"/>
    </row>
    <row r="597" spans="1:47" s="537" customFormat="1" hidden="1" x14ac:dyDescent="0.25">
      <c r="A597" s="355">
        <f t="shared" si="9"/>
        <v>42.43333333333333</v>
      </c>
      <c r="B597" s="532">
        <v>41298</v>
      </c>
      <c r="C597" s="533" t="s">
        <v>907</v>
      </c>
      <c r="D597" s="534" t="s">
        <v>907</v>
      </c>
      <c r="E597" s="533" t="s">
        <v>380</v>
      </c>
      <c r="F597" s="348" t="s">
        <v>185</v>
      </c>
      <c r="G597" s="348" t="s">
        <v>211</v>
      </c>
      <c r="H597" s="349">
        <v>793</v>
      </c>
      <c r="I597" s="349"/>
      <c r="J597" s="349"/>
      <c r="K597" s="349"/>
      <c r="L597" s="350"/>
      <c r="M597" s="350"/>
      <c r="N597" s="350"/>
      <c r="O597" s="350"/>
      <c r="P597" s="352">
        <v>0</v>
      </c>
      <c r="Q597" s="352">
        <v>0</v>
      </c>
      <c r="R597" s="352"/>
      <c r="S597" s="352"/>
      <c r="T597" s="352"/>
      <c r="U597" s="352"/>
      <c r="V597" s="497"/>
      <c r="W597" s="352"/>
      <c r="X597" s="352"/>
      <c r="Y597" s="352">
        <f>IF(NFI_Expiration=1,IF($A597&lt;VLOOKUP(H$5,NFI,5,0),1,0)*Table_NFI[[#This Row],[Hygiene Kit]],Table_NFI[Hygiene Kit])</f>
        <v>0</v>
      </c>
      <c r="Z597" s="352">
        <f>IF(NFI_Expiration=1,IF($A597&lt;VLOOKUP(I$5,NFI,5,0),1,0)*Table_NFI[[#This Row],[NFI Core Kit]],Table_NFI[NFI Core Kit])</f>
        <v>0</v>
      </c>
      <c r="AA597" s="352">
        <f>IF(NFI_Expiration=1,IF($A597&lt;VLOOKUP(J$5,NFI,5,0),1,0)*Table_NFI[[#This Row],[Sanitary Kit]],Table_NFI[Sanitary Kit])</f>
        <v>0</v>
      </c>
      <c r="AB597" s="352">
        <f>IF(NFI_Expiration=1,IF($A597&lt;VLOOKUP(K$5,NFI,5,0),1,0)*Table_NFI[[#This Row],[Mosquito net]],Table_NFI[Mosquito net])</f>
        <v>0</v>
      </c>
      <c r="AC597" s="352">
        <f>IF(NFI_Expiration=1,IF($A597&lt;VLOOKUP(L$5,NFI,5,0),1,0)*Table_NFI[[#This Row],[Tarpaulin]],Table_NFI[[#This Row],[Tarpaulin]])</f>
        <v>0</v>
      </c>
      <c r="AD597" s="352">
        <f>IF(NFI_Expiration=1,IF($A597&lt;VLOOKUP(M$5,NFI,5,0),1,0)*Table_NFI[[#This Row],[Blanket]],Table_NFI[[#This Row],[Blanket]])</f>
        <v>0</v>
      </c>
      <c r="AE597" s="352">
        <f>IF(NFI_Expiration=1,IF($A597&lt;VLOOKUP(N$5,NFI,5,0),1,0)*Table_NFI[[#This Row],[Kitchen Set]],Table_NFI[Kitchen Set])</f>
        <v>0</v>
      </c>
      <c r="AF597" s="352">
        <f>IF(NFI_Expiration=1,IF($A597&lt;VLOOKUP(O$5,NFI,5,0),1,0)*Table_NFI[[#This Row],[Clothes Kit]],Table_NFI[Clothes Kit])</f>
        <v>0</v>
      </c>
      <c r="AG597" s="352">
        <f>IF(NFI_Expiration=1,IF($A597&lt;VLOOKUP(P$5,NFI,5,0),1,0)*Table_NFI[[#This Row],[Plastic Bucket]],Table_NFI[Plastic Bucket])</f>
        <v>0</v>
      </c>
      <c r="AH597" s="352">
        <f>IF(NFI_Expiration=1,IF($A597&lt;VLOOKUP(Q$5,NFI,5,0),1,0)*Table_NFI[[#This Row],[Plastic Mat]],Table_NFI[Plastic Mat])*IF(Table_NFI[[#This Row],[Distribution Date]]&gt;"2014-04-01",1,2.5)</f>
        <v>0</v>
      </c>
      <c r="AI597" s="352">
        <f>IF(NFI_Expiration=1,IF($A597&lt;VLOOKUP(R$5,NFI,5,0),1,0)*Table_NFI[[#This Row],[Winter Clothes Adult]],Table_NFI[Winter Clothes Adult])</f>
        <v>0</v>
      </c>
      <c r="AJ597" s="352">
        <f>IF(NFI_Expiration=1,IF($A597&lt;VLOOKUP(S$5,NFI,5,0),1,0)*Table_NFI[[#This Row],[Winter Clothes Children]],Table_NFI[Winter Clothes Children])</f>
        <v>0</v>
      </c>
      <c r="AK597" s="352">
        <f>IF(NFI_Expiration=1,IF($A597&lt;VLOOKUP(T$5,NFI,5,0),1,0)*Table_NFI[[#This Row],[Winter Items Other]],Table_NFI[Winter Items Other])</f>
        <v>0</v>
      </c>
      <c r="AL597" s="352">
        <f>IF(NFI_Expiration=1,IF($A597&lt;VLOOKUP(M$5,NFI,5,0),1,0)*Table_NFI[[#This Row],[Winter Blanket]],Table_NFI[[#This Row],[Winter Blanket]])</f>
        <v>0</v>
      </c>
      <c r="AM597" s="352">
        <f>IF(Table_NFI[[#This Row],[Winter Clothes Adult]]+Table_NFI[[#This Row],[Winter Clothes Children]]+Table_NFI[[#This Row],[Winter Items Other]]+Table_NFI[[#This Row],[Winter Blanket]]&gt;0,1,0)</f>
        <v>0</v>
      </c>
      <c r="AN597" s="392">
        <f>IF(NFI_Expiration=1,IF($A597&lt;VLOOKUP(V$5,NFI,5,0),1,0)*Table_NFI[[#This Row],[Jerry Can]],Table_NFI[Jerry Can])</f>
        <v>0</v>
      </c>
      <c r="AO597" s="540" t="str">
        <f>IFERROR(VLOOKUP(Table_NFI[[#This Row],[Camp Name]],CL,2,0),"")</f>
        <v>MMR001CMP057</v>
      </c>
      <c r="AP597" s="535">
        <f ca="1">IF(Table_NFI[[#This Row],[Pcode]]="","",IF(OFFSET(CampList[Opening Date],MATCH(Table_NFI[[#This Row],[Pcode]],CampList[CP_Pcode],0)-1,0,1,1)&gt;=NFI_Monitor_Date,1,0))</f>
        <v>0</v>
      </c>
      <c r="AQ597" s="540" t="str">
        <f>IFERROR(VLOOKUP(Table_NFI[[#This Row],[Camp Name]],CL,3,0),"")</f>
        <v>Closed</v>
      </c>
      <c r="AR597" s="352" t="str">
        <f ca="1">IF(Table_NFI[[#This Row],[Pcode]]="","",OFFSET(CampList[Priority],MATCH(Table_NFI[[#This Row],[Pcode]],CampList[CP_Pcode],0)-1,0,1,1))</f>
        <v>P4</v>
      </c>
      <c r="AS597" s="351" t="str">
        <f>IFERROR(Table_NFI[[#This Row],[Kitchen Set]]/VLOOKUP(Table_NFI[[#This Row],[Camp Name]],CL,4,0),"")</f>
        <v/>
      </c>
      <c r="AT597" s="533" t="s">
        <v>1094</v>
      </c>
      <c r="AU597" s="536"/>
    </row>
    <row r="598" spans="1:47" s="537" customFormat="1" ht="14.45" customHeight="1" x14ac:dyDescent="0.25">
      <c r="A598" s="355">
        <f t="shared" si="9"/>
        <v>41.533333333333331</v>
      </c>
      <c r="B598" s="532">
        <v>41325</v>
      </c>
      <c r="C598" s="533" t="s">
        <v>453</v>
      </c>
      <c r="D598" s="534" t="s">
        <v>453</v>
      </c>
      <c r="E598" s="533" t="s">
        <v>380</v>
      </c>
      <c r="F598" s="348" t="s">
        <v>528</v>
      </c>
      <c r="G598" s="348" t="s">
        <v>43</v>
      </c>
      <c r="H598" s="349"/>
      <c r="I598" s="349"/>
      <c r="J598" s="349"/>
      <c r="K598" s="349">
        <v>59</v>
      </c>
      <c r="L598" s="350">
        <v>28</v>
      </c>
      <c r="M598" s="350">
        <v>0</v>
      </c>
      <c r="N598" s="350">
        <v>28</v>
      </c>
      <c r="O598" s="350">
        <v>28</v>
      </c>
      <c r="P598" s="352">
        <v>28</v>
      </c>
      <c r="Q598" s="352">
        <v>28</v>
      </c>
      <c r="R598" s="352"/>
      <c r="S598" s="352"/>
      <c r="T598" s="352"/>
      <c r="U598" s="352"/>
      <c r="V598" s="497"/>
      <c r="W598" s="352"/>
      <c r="X598" s="352"/>
      <c r="Y598" s="352">
        <f>IF(NFI_Expiration=1,IF($A598&lt;VLOOKUP(H$5,NFI,5,0),1,0)*Table_NFI[[#This Row],[Hygiene Kit]],Table_NFI[Hygiene Kit])</f>
        <v>0</v>
      </c>
      <c r="Z598" s="352">
        <f>IF(NFI_Expiration=1,IF($A598&lt;VLOOKUP(I$5,NFI,5,0),1,0)*Table_NFI[[#This Row],[NFI Core Kit]],Table_NFI[NFI Core Kit])</f>
        <v>0</v>
      </c>
      <c r="AA598" s="352">
        <f>IF(NFI_Expiration=1,IF($A598&lt;VLOOKUP(J$5,NFI,5,0),1,0)*Table_NFI[[#This Row],[Sanitary Kit]],Table_NFI[Sanitary Kit])</f>
        <v>0</v>
      </c>
      <c r="AB598" s="352">
        <f>IF(NFI_Expiration=1,IF($A598&lt;VLOOKUP(K$5,NFI,5,0),1,0)*Table_NFI[[#This Row],[Mosquito net]],Table_NFI[Mosquito net])</f>
        <v>0</v>
      </c>
      <c r="AC598" s="352">
        <f>IF(NFI_Expiration=1,IF($A598&lt;VLOOKUP(L$5,NFI,5,0),1,0)*Table_NFI[[#This Row],[Tarpaulin]],Table_NFI[[#This Row],[Tarpaulin]])</f>
        <v>0</v>
      </c>
      <c r="AD598" s="352">
        <f>IF(NFI_Expiration=1,IF($A598&lt;VLOOKUP(M$5,NFI,5,0),1,0)*Table_NFI[[#This Row],[Blanket]],Table_NFI[[#This Row],[Blanket]])</f>
        <v>0</v>
      </c>
      <c r="AE598" s="352">
        <f>IF(NFI_Expiration=1,IF($A598&lt;VLOOKUP(N$5,NFI,5,0),1,0)*Table_NFI[[#This Row],[Kitchen Set]],Table_NFI[Kitchen Set])</f>
        <v>0</v>
      </c>
      <c r="AF598" s="352">
        <f>IF(NFI_Expiration=1,IF($A598&lt;VLOOKUP(O$5,NFI,5,0),1,0)*Table_NFI[[#This Row],[Clothes Kit]],Table_NFI[Clothes Kit])</f>
        <v>0</v>
      </c>
      <c r="AG598" s="352">
        <f>IF(NFI_Expiration=1,IF($A598&lt;VLOOKUP(P$5,NFI,5,0),1,0)*Table_NFI[[#This Row],[Plastic Bucket]],Table_NFI[Plastic Bucket])</f>
        <v>0</v>
      </c>
      <c r="AH598" s="352">
        <f>IF(NFI_Expiration=1,IF($A598&lt;VLOOKUP(Q$5,NFI,5,0),1,0)*Table_NFI[[#This Row],[Plastic Mat]],Table_NFI[Plastic Mat])*IF(Table_NFI[[#This Row],[Distribution Date]]&gt;"2014-04-01",1,2.5)</f>
        <v>0</v>
      </c>
      <c r="AI598" s="352">
        <f>IF(NFI_Expiration=1,IF($A598&lt;VLOOKUP(R$5,NFI,5,0),1,0)*Table_NFI[[#This Row],[Winter Clothes Adult]],Table_NFI[Winter Clothes Adult])</f>
        <v>0</v>
      </c>
      <c r="AJ598" s="352">
        <f>IF(NFI_Expiration=1,IF($A598&lt;VLOOKUP(S$5,NFI,5,0),1,0)*Table_NFI[[#This Row],[Winter Clothes Children]],Table_NFI[Winter Clothes Children])</f>
        <v>0</v>
      </c>
      <c r="AK598" s="352">
        <f>IF(NFI_Expiration=1,IF($A598&lt;VLOOKUP(T$5,NFI,5,0),1,0)*Table_NFI[[#This Row],[Winter Items Other]],Table_NFI[Winter Items Other])</f>
        <v>0</v>
      </c>
      <c r="AL598" s="352">
        <f>IF(NFI_Expiration=1,IF($A598&lt;VLOOKUP(M$5,NFI,5,0),1,0)*Table_NFI[[#This Row],[Winter Blanket]],Table_NFI[[#This Row],[Winter Blanket]])</f>
        <v>0</v>
      </c>
      <c r="AM598" s="352">
        <f>IF(Table_NFI[[#This Row],[Winter Clothes Adult]]+Table_NFI[[#This Row],[Winter Clothes Children]]+Table_NFI[[#This Row],[Winter Items Other]]+Table_NFI[[#This Row],[Winter Blanket]]&gt;0,1,0)</f>
        <v>0</v>
      </c>
      <c r="AN598" s="392">
        <f>IF(NFI_Expiration=1,IF($A598&lt;VLOOKUP(V$5,NFI,5,0),1,0)*Table_NFI[[#This Row],[Jerry Can]],Table_NFI[Jerry Can])</f>
        <v>0</v>
      </c>
      <c r="AO598" s="540" t="str">
        <f>IFERROR(VLOOKUP(Table_NFI[[#This Row],[Camp Name]],CL,2,0),"")</f>
        <v>MMR001CMP190</v>
      </c>
      <c r="AP598" s="535">
        <f ca="1">IF(Table_NFI[[#This Row],[Pcode]]="","",IF(OFFSET(CampList[Opening Date],MATCH(Table_NFI[[#This Row],[Pcode]],CampList[CP_Pcode],0)-1,0,1,1)&gt;=NFI_Monitor_Date,1,0))</f>
        <v>0</v>
      </c>
      <c r="AQ598" s="540" t="str">
        <f>IFERROR(VLOOKUP(Table_NFI[[#This Row],[Camp Name]],CL,3,0),"")</f>
        <v>Open</v>
      </c>
      <c r="AR598" s="352" t="str">
        <f ca="1">IF(Table_NFI[[#This Row],[Pcode]]="","",OFFSET(CampList[Priority],MATCH(Table_NFI[[#This Row],[Pcode]],CampList[CP_Pcode],0)-1,0,1,1))</f>
        <v>P4</v>
      </c>
      <c r="AS598" s="351">
        <f>IFERROR(Table_NFI[[#This Row],[Kitchen Set]]/VLOOKUP(Table_NFI[[#This Row],[Camp Name]],CL,4,0),"")</f>
        <v>2</v>
      </c>
      <c r="AT598" s="533" t="s">
        <v>1094</v>
      </c>
      <c r="AU598" s="536"/>
    </row>
    <row r="599" spans="1:47" s="537" customFormat="1" ht="14.45" customHeight="1" x14ac:dyDescent="0.25">
      <c r="A599" s="355">
        <f t="shared" si="9"/>
        <v>41.533333333333331</v>
      </c>
      <c r="B599" s="532">
        <v>41325</v>
      </c>
      <c r="C599" s="533" t="s">
        <v>453</v>
      </c>
      <c r="D599" s="533" t="s">
        <v>453</v>
      </c>
      <c r="E599" s="533" t="s">
        <v>380</v>
      </c>
      <c r="F599" s="533" t="s">
        <v>528</v>
      </c>
      <c r="G599" s="348" t="s">
        <v>50</v>
      </c>
      <c r="H599" s="349"/>
      <c r="I599" s="349"/>
      <c r="J599" s="349">
        <v>18</v>
      </c>
      <c r="K599" s="349">
        <v>0</v>
      </c>
      <c r="L599" s="350">
        <v>0</v>
      </c>
      <c r="M599" s="350">
        <v>0</v>
      </c>
      <c r="N599" s="350">
        <v>0</v>
      </c>
      <c r="O599" s="350">
        <v>0</v>
      </c>
      <c r="P599" s="352"/>
      <c r="Q599" s="352"/>
      <c r="R599" s="352"/>
      <c r="S599" s="352"/>
      <c r="T599" s="352"/>
      <c r="U599" s="352"/>
      <c r="V599" s="497"/>
      <c r="W599" s="352"/>
      <c r="X599" s="352"/>
      <c r="Y599" s="352">
        <f>IF(NFI_Expiration=1,IF($A599&lt;VLOOKUP(H$5,NFI,5,0),1,0)*Table_NFI[[#This Row],[Hygiene Kit]],Table_NFI[Hygiene Kit])</f>
        <v>0</v>
      </c>
      <c r="Z599" s="352">
        <f>IF(NFI_Expiration=1,IF($A599&lt;VLOOKUP(I$5,NFI,5,0),1,0)*Table_NFI[[#This Row],[NFI Core Kit]],Table_NFI[NFI Core Kit])</f>
        <v>0</v>
      </c>
      <c r="AA599" s="352">
        <f>IF(NFI_Expiration=1,IF($A599&lt;VLOOKUP(J$5,NFI,5,0),1,0)*Table_NFI[[#This Row],[Sanitary Kit]],Table_NFI[Sanitary Kit])</f>
        <v>0</v>
      </c>
      <c r="AB599" s="352">
        <f>IF(NFI_Expiration=1,IF($A599&lt;VLOOKUP(K$5,NFI,5,0),1,0)*Table_NFI[[#This Row],[Mosquito net]],Table_NFI[Mosquito net])</f>
        <v>0</v>
      </c>
      <c r="AC599" s="352">
        <f>IF(NFI_Expiration=1,IF($A599&lt;VLOOKUP(L$5,NFI,5,0),1,0)*Table_NFI[[#This Row],[Tarpaulin]],Table_NFI[[#This Row],[Tarpaulin]])</f>
        <v>0</v>
      </c>
      <c r="AD599" s="352">
        <f>IF(NFI_Expiration=1,IF($A599&lt;VLOOKUP(M$5,NFI,5,0),1,0)*Table_NFI[[#This Row],[Blanket]],Table_NFI[[#This Row],[Blanket]])</f>
        <v>0</v>
      </c>
      <c r="AE599" s="352">
        <f>IF(NFI_Expiration=1,IF($A599&lt;VLOOKUP(N$5,NFI,5,0),1,0)*Table_NFI[[#This Row],[Kitchen Set]],Table_NFI[Kitchen Set])</f>
        <v>0</v>
      </c>
      <c r="AF599" s="352">
        <f>IF(NFI_Expiration=1,IF($A599&lt;VLOOKUP(O$5,NFI,5,0),1,0)*Table_NFI[[#This Row],[Clothes Kit]],Table_NFI[Clothes Kit])</f>
        <v>0</v>
      </c>
      <c r="AG599" s="352">
        <f>IF(NFI_Expiration=1,IF($A599&lt;VLOOKUP(P$5,NFI,5,0),1,0)*Table_NFI[[#This Row],[Plastic Bucket]],Table_NFI[Plastic Bucket])</f>
        <v>0</v>
      </c>
      <c r="AH599" s="352">
        <f>IF(NFI_Expiration=1,IF($A599&lt;VLOOKUP(Q$5,NFI,5,0),1,0)*Table_NFI[[#This Row],[Plastic Mat]],Table_NFI[Plastic Mat])*IF(Table_NFI[[#This Row],[Distribution Date]]&gt;"2014-04-01",1,2.5)</f>
        <v>0</v>
      </c>
      <c r="AI599" s="352">
        <f>IF(NFI_Expiration=1,IF($A599&lt;VLOOKUP(R$5,NFI,5,0),1,0)*Table_NFI[[#This Row],[Winter Clothes Adult]],Table_NFI[Winter Clothes Adult])</f>
        <v>0</v>
      </c>
      <c r="AJ599" s="352">
        <f>IF(NFI_Expiration=1,IF($A599&lt;VLOOKUP(S$5,NFI,5,0),1,0)*Table_NFI[[#This Row],[Winter Clothes Children]],Table_NFI[Winter Clothes Children])</f>
        <v>0</v>
      </c>
      <c r="AK599" s="352">
        <f>IF(NFI_Expiration=1,IF($A599&lt;VLOOKUP(T$5,NFI,5,0),1,0)*Table_NFI[[#This Row],[Winter Items Other]],Table_NFI[Winter Items Other])</f>
        <v>0</v>
      </c>
      <c r="AL599" s="352">
        <f>IF(NFI_Expiration=1,IF($A599&lt;VLOOKUP(M$5,NFI,5,0),1,0)*Table_NFI[[#This Row],[Winter Blanket]],Table_NFI[[#This Row],[Winter Blanket]])</f>
        <v>0</v>
      </c>
      <c r="AM599" s="352">
        <f>IF(Table_NFI[[#This Row],[Winter Clothes Adult]]+Table_NFI[[#This Row],[Winter Clothes Children]]+Table_NFI[[#This Row],[Winter Items Other]]+Table_NFI[[#This Row],[Winter Blanket]]&gt;0,1,0)</f>
        <v>0</v>
      </c>
      <c r="AN599" s="392">
        <f>IF(NFI_Expiration=1,IF($A599&lt;VLOOKUP(V$5,NFI,5,0),1,0)*Table_NFI[[#This Row],[Jerry Can]],Table_NFI[Jerry Can])</f>
        <v>0</v>
      </c>
      <c r="AO599" s="540" t="str">
        <f>IFERROR(VLOOKUP(Table_NFI[[#This Row],[Camp Name]],CL,2,0),"")</f>
        <v>MMR001CMP092</v>
      </c>
      <c r="AP599" s="535">
        <f ca="1">IF(Table_NFI[[#This Row],[Pcode]]="","",IF(OFFSET(CampList[Opening Date],MATCH(Table_NFI[[#This Row],[Pcode]],CampList[CP_Pcode],0)-1,0,1,1)&gt;=NFI_Monitor_Date,1,0))</f>
        <v>0</v>
      </c>
      <c r="AQ599" s="540" t="str">
        <f>IFERROR(VLOOKUP(Table_NFI[[#This Row],[Camp Name]],CL,3,0),"")</f>
        <v>Closed</v>
      </c>
      <c r="AR599" s="352" t="str">
        <f ca="1">IF(Table_NFI[[#This Row],[Pcode]]="","",OFFSET(CampList[Priority],MATCH(Table_NFI[[#This Row],[Pcode]],CampList[CP_Pcode],0)-1,0,1,1))</f>
        <v/>
      </c>
      <c r="AS599" s="351" t="str">
        <f>IFERROR(Table_NFI[[#This Row],[Kitchen Set]]/VLOOKUP(Table_NFI[[#This Row],[Camp Name]],CL,4,0),"")</f>
        <v/>
      </c>
      <c r="AT599" s="533" t="s">
        <v>1094</v>
      </c>
      <c r="AU599" s="536"/>
    </row>
    <row r="600" spans="1:47" s="537" customFormat="1" ht="14.45" customHeight="1" x14ac:dyDescent="0.25">
      <c r="A600" s="355">
        <f t="shared" si="9"/>
        <v>41.533333333333331</v>
      </c>
      <c r="B600" s="532">
        <v>41325</v>
      </c>
      <c r="C600" s="533" t="s">
        <v>453</v>
      </c>
      <c r="D600" s="533" t="s">
        <v>453</v>
      </c>
      <c r="E600" s="533" t="s">
        <v>380</v>
      </c>
      <c r="F600" s="348" t="s">
        <v>528</v>
      </c>
      <c r="G600" s="348" t="s">
        <v>70</v>
      </c>
      <c r="H600" s="349"/>
      <c r="I600" s="349"/>
      <c r="J600" s="349">
        <v>13</v>
      </c>
      <c r="K600" s="349">
        <v>28</v>
      </c>
      <c r="L600" s="350">
        <v>15</v>
      </c>
      <c r="M600" s="350">
        <v>28</v>
      </c>
      <c r="N600" s="350">
        <v>15</v>
      </c>
      <c r="O600" s="350">
        <v>15</v>
      </c>
      <c r="P600" s="352">
        <v>15</v>
      </c>
      <c r="Q600" s="352">
        <v>15</v>
      </c>
      <c r="R600" s="352"/>
      <c r="S600" s="352"/>
      <c r="T600" s="352"/>
      <c r="U600" s="352"/>
      <c r="V600" s="497"/>
      <c r="W600" s="352"/>
      <c r="X600" s="352"/>
      <c r="Y600" s="352">
        <f>IF(NFI_Expiration=1,IF($A600&lt;VLOOKUP(H$5,NFI,5,0),1,0)*Table_NFI[[#This Row],[Hygiene Kit]],Table_NFI[Hygiene Kit])</f>
        <v>0</v>
      </c>
      <c r="Z600" s="352">
        <f>IF(NFI_Expiration=1,IF($A600&lt;VLOOKUP(I$5,NFI,5,0),1,0)*Table_NFI[[#This Row],[NFI Core Kit]],Table_NFI[NFI Core Kit])</f>
        <v>0</v>
      </c>
      <c r="AA600" s="352">
        <f>IF(NFI_Expiration=1,IF($A600&lt;VLOOKUP(J$5,NFI,5,0),1,0)*Table_NFI[[#This Row],[Sanitary Kit]],Table_NFI[Sanitary Kit])</f>
        <v>0</v>
      </c>
      <c r="AB600" s="352">
        <f>IF(NFI_Expiration=1,IF($A600&lt;VLOOKUP(K$5,NFI,5,0),1,0)*Table_NFI[[#This Row],[Mosquito net]],Table_NFI[Mosquito net])</f>
        <v>0</v>
      </c>
      <c r="AC600" s="352">
        <f>IF(NFI_Expiration=1,IF($A600&lt;VLOOKUP(L$5,NFI,5,0),1,0)*Table_NFI[[#This Row],[Tarpaulin]],Table_NFI[[#This Row],[Tarpaulin]])</f>
        <v>0</v>
      </c>
      <c r="AD600" s="352">
        <f>IF(NFI_Expiration=1,IF($A600&lt;VLOOKUP(M$5,NFI,5,0),1,0)*Table_NFI[[#This Row],[Blanket]],Table_NFI[[#This Row],[Blanket]])</f>
        <v>0</v>
      </c>
      <c r="AE600" s="352">
        <f>IF(NFI_Expiration=1,IF($A600&lt;VLOOKUP(N$5,NFI,5,0),1,0)*Table_NFI[[#This Row],[Kitchen Set]],Table_NFI[Kitchen Set])</f>
        <v>0</v>
      </c>
      <c r="AF600" s="352">
        <f>IF(NFI_Expiration=1,IF($A600&lt;VLOOKUP(O$5,NFI,5,0),1,0)*Table_NFI[[#This Row],[Clothes Kit]],Table_NFI[Clothes Kit])</f>
        <v>0</v>
      </c>
      <c r="AG600" s="352">
        <f>IF(NFI_Expiration=1,IF($A600&lt;VLOOKUP(P$5,NFI,5,0),1,0)*Table_NFI[[#This Row],[Plastic Bucket]],Table_NFI[Plastic Bucket])</f>
        <v>0</v>
      </c>
      <c r="AH600" s="352">
        <f>IF(NFI_Expiration=1,IF($A600&lt;VLOOKUP(Q$5,NFI,5,0),1,0)*Table_NFI[[#This Row],[Plastic Mat]],Table_NFI[Plastic Mat])*IF(Table_NFI[[#This Row],[Distribution Date]]&gt;"2014-04-01",1,2.5)</f>
        <v>0</v>
      </c>
      <c r="AI600" s="352">
        <f>IF(NFI_Expiration=1,IF($A600&lt;VLOOKUP(R$5,NFI,5,0),1,0)*Table_NFI[[#This Row],[Winter Clothes Adult]],Table_NFI[Winter Clothes Adult])</f>
        <v>0</v>
      </c>
      <c r="AJ600" s="352">
        <f>IF(NFI_Expiration=1,IF($A600&lt;VLOOKUP(S$5,NFI,5,0),1,0)*Table_NFI[[#This Row],[Winter Clothes Children]],Table_NFI[Winter Clothes Children])</f>
        <v>0</v>
      </c>
      <c r="AK600" s="352">
        <f>IF(NFI_Expiration=1,IF($A600&lt;VLOOKUP(T$5,NFI,5,0),1,0)*Table_NFI[[#This Row],[Winter Items Other]],Table_NFI[Winter Items Other])</f>
        <v>0</v>
      </c>
      <c r="AL600" s="352">
        <f>IF(NFI_Expiration=1,IF($A600&lt;VLOOKUP(M$5,NFI,5,0),1,0)*Table_NFI[[#This Row],[Winter Blanket]],Table_NFI[[#This Row],[Winter Blanket]])</f>
        <v>0</v>
      </c>
      <c r="AM600" s="352">
        <f>IF(Table_NFI[[#This Row],[Winter Clothes Adult]]+Table_NFI[[#This Row],[Winter Clothes Children]]+Table_NFI[[#This Row],[Winter Items Other]]+Table_NFI[[#This Row],[Winter Blanket]]&gt;0,1,0)</f>
        <v>0</v>
      </c>
      <c r="AN600" s="392">
        <f>IF(NFI_Expiration=1,IF($A600&lt;VLOOKUP(V$5,NFI,5,0),1,0)*Table_NFI[[#This Row],[Jerry Can]],Table_NFI[Jerry Can])</f>
        <v>0</v>
      </c>
      <c r="AO600" s="540" t="str">
        <f>IFERROR(VLOOKUP(Table_NFI[[#This Row],[Camp Name]],CL,2,0),"")</f>
        <v>MMR001CMP086</v>
      </c>
      <c r="AP600" s="535">
        <f ca="1">IF(Table_NFI[[#This Row],[Pcode]]="","",IF(OFFSET(CampList[Opening Date],MATCH(Table_NFI[[#This Row],[Pcode]],CampList[CP_Pcode],0)-1,0,1,1)&gt;=NFI_Monitor_Date,1,0))</f>
        <v>0</v>
      </c>
      <c r="AQ600" s="540" t="str">
        <f>IFERROR(VLOOKUP(Table_NFI[[#This Row],[Camp Name]],CL,3,0),"")</f>
        <v>Closed</v>
      </c>
      <c r="AR600" s="352" t="str">
        <f ca="1">IF(Table_NFI[[#This Row],[Pcode]]="","",OFFSET(CampList[Priority],MATCH(Table_NFI[[#This Row],[Pcode]],CampList[CP_Pcode],0)-1,0,1,1))</f>
        <v/>
      </c>
      <c r="AS600" s="351" t="str">
        <f>IFERROR(Table_NFI[[#This Row],[Kitchen Set]]/VLOOKUP(Table_NFI[[#This Row],[Camp Name]],CL,4,0),"")</f>
        <v/>
      </c>
      <c r="AT600" s="533" t="s">
        <v>1094</v>
      </c>
      <c r="AU600" s="536"/>
    </row>
    <row r="601" spans="1:47" s="537" customFormat="1" hidden="1" x14ac:dyDescent="0.25">
      <c r="A601" s="355">
        <f t="shared" si="9"/>
        <v>54.06666666666667</v>
      </c>
      <c r="B601" s="532">
        <v>40949</v>
      </c>
      <c r="C601" s="533" t="s">
        <v>907</v>
      </c>
      <c r="D601" s="534" t="s">
        <v>907</v>
      </c>
      <c r="E601" s="533" t="s">
        <v>380</v>
      </c>
      <c r="F601" s="348" t="s">
        <v>185</v>
      </c>
      <c r="G601" s="348" t="s">
        <v>211</v>
      </c>
      <c r="H601" s="352">
        <v>192</v>
      </c>
      <c r="I601" s="349"/>
      <c r="J601" s="349"/>
      <c r="K601" s="349"/>
      <c r="L601" s="350"/>
      <c r="M601" s="350"/>
      <c r="N601" s="350"/>
      <c r="O601" s="350"/>
      <c r="P601" s="352"/>
      <c r="Q601" s="392"/>
      <c r="R601" s="392"/>
      <c r="S601" s="392"/>
      <c r="T601" s="392"/>
      <c r="U601" s="392"/>
      <c r="V601" s="497"/>
      <c r="W601" s="392"/>
      <c r="X601" s="392"/>
      <c r="Y601" s="352">
        <f>IF(NFI_Expiration=1,IF($A601&lt;VLOOKUP(H$5,NFI,5,0),1,0)*Table_NFI[[#This Row],[Hygiene Kit]],Table_NFI[Hygiene Kit])</f>
        <v>0</v>
      </c>
      <c r="Z601" s="352">
        <f>IF(NFI_Expiration=1,IF($A601&lt;VLOOKUP(I$5,NFI,5,0),1,0)*Table_NFI[[#This Row],[NFI Core Kit]],Table_NFI[NFI Core Kit])</f>
        <v>0</v>
      </c>
      <c r="AA601" s="352">
        <f>IF(NFI_Expiration=1,IF($A601&lt;VLOOKUP(J$5,NFI,5,0),1,0)*Table_NFI[[#This Row],[Sanitary Kit]],Table_NFI[Sanitary Kit])</f>
        <v>0</v>
      </c>
      <c r="AB601" s="352">
        <f>IF(NFI_Expiration=1,IF($A601&lt;VLOOKUP(K$5,NFI,5,0),1,0)*Table_NFI[[#This Row],[Mosquito net]],Table_NFI[Mosquito net])</f>
        <v>0</v>
      </c>
      <c r="AC601" s="352">
        <f>IF(NFI_Expiration=1,IF($A601&lt;VLOOKUP(L$5,NFI,5,0),1,0)*Table_NFI[[#This Row],[Tarpaulin]],Table_NFI[[#This Row],[Tarpaulin]])</f>
        <v>0</v>
      </c>
      <c r="AD601" s="352">
        <f>IF(NFI_Expiration=1,IF($A601&lt;VLOOKUP(M$5,NFI,5,0),1,0)*Table_NFI[[#This Row],[Blanket]],Table_NFI[[#This Row],[Blanket]])</f>
        <v>0</v>
      </c>
      <c r="AE601" s="352">
        <f>IF(NFI_Expiration=1,IF($A601&lt;VLOOKUP(N$5,NFI,5,0),1,0)*Table_NFI[[#This Row],[Kitchen Set]],Table_NFI[Kitchen Set])</f>
        <v>0</v>
      </c>
      <c r="AF601" s="352">
        <f>IF(NFI_Expiration=1,IF($A601&lt;VLOOKUP(O$5,NFI,5,0),1,0)*Table_NFI[[#This Row],[Clothes Kit]],Table_NFI[Clothes Kit])</f>
        <v>0</v>
      </c>
      <c r="AG601" s="352">
        <f>IF(NFI_Expiration=1,IF($A601&lt;VLOOKUP(P$5,NFI,5,0),1,0)*Table_NFI[[#This Row],[Plastic Bucket]],Table_NFI[Plastic Bucket])</f>
        <v>0</v>
      </c>
      <c r="AH601" s="352">
        <f>IF(NFI_Expiration=1,IF($A601&lt;VLOOKUP(Q$5,NFI,5,0),1,0)*Table_NFI[[#This Row],[Plastic Mat]],Table_NFI[Plastic Mat])*IF(Table_NFI[[#This Row],[Distribution Date]]&gt;"2014-04-01",1,2.5)</f>
        <v>0</v>
      </c>
      <c r="AI601" s="352">
        <f>IF(NFI_Expiration=1,IF($A601&lt;VLOOKUP(R$5,NFI,5,0),1,0)*Table_NFI[[#This Row],[Winter Clothes Adult]],Table_NFI[Winter Clothes Adult])</f>
        <v>0</v>
      </c>
      <c r="AJ601" s="352">
        <f>IF(NFI_Expiration=1,IF($A601&lt;VLOOKUP(S$5,NFI,5,0),1,0)*Table_NFI[[#This Row],[Winter Clothes Children]],Table_NFI[Winter Clothes Children])</f>
        <v>0</v>
      </c>
      <c r="AK601" s="352">
        <f>IF(NFI_Expiration=1,IF($A601&lt;VLOOKUP(T$5,NFI,5,0),1,0)*Table_NFI[[#This Row],[Winter Items Other]],Table_NFI[Winter Items Other])</f>
        <v>0</v>
      </c>
      <c r="AL601" s="352">
        <f>IF(NFI_Expiration=1,IF($A601&lt;VLOOKUP(M$5,NFI,5,0),1,0)*Table_NFI[[#This Row],[Winter Blanket]],Table_NFI[[#This Row],[Winter Blanket]])</f>
        <v>0</v>
      </c>
      <c r="AM601" s="352">
        <f>IF(Table_NFI[[#This Row],[Winter Clothes Adult]]+Table_NFI[[#This Row],[Winter Clothes Children]]+Table_NFI[[#This Row],[Winter Items Other]]+Table_NFI[[#This Row],[Winter Blanket]]&gt;0,1,0)</f>
        <v>0</v>
      </c>
      <c r="AN601" s="392">
        <f>IF(NFI_Expiration=1,IF($A601&lt;VLOOKUP(V$5,NFI,5,0),1,0)*Table_NFI[[#This Row],[Jerry Can]],Table_NFI[Jerry Can])</f>
        <v>0</v>
      </c>
      <c r="AO601" s="540" t="str">
        <f>IFERROR(VLOOKUP(Table_NFI[[#This Row],[Camp Name]],CL,2,0),"")</f>
        <v>MMR001CMP057</v>
      </c>
      <c r="AP601" s="535">
        <f ca="1">IF(Table_NFI[[#This Row],[Pcode]]="","",IF(OFFSET(CampList[Opening Date],MATCH(Table_NFI[[#This Row],[Pcode]],CampList[CP_Pcode],0)-1,0,1,1)&gt;=NFI_Monitor_Date,1,0))</f>
        <v>0</v>
      </c>
      <c r="AQ601" s="540" t="str">
        <f>IFERROR(VLOOKUP(Table_NFI[[#This Row],[Camp Name]],CL,3,0),"")</f>
        <v>Closed</v>
      </c>
      <c r="AR601" s="352" t="str">
        <f ca="1">IF(Table_NFI[[#This Row],[Pcode]]="","",OFFSET(CampList[Priority],MATCH(Table_NFI[[#This Row],[Pcode]],CampList[CP_Pcode],0)-1,0,1,1))</f>
        <v>P4</v>
      </c>
      <c r="AS601" s="351" t="str">
        <f>IFERROR(Table_NFI[[#This Row],[Kitchen Set]]/VLOOKUP(Table_NFI[[#This Row],[Camp Name]],CL,4,0),"")</f>
        <v/>
      </c>
      <c r="AT601" s="533"/>
      <c r="AU601" s="536"/>
    </row>
    <row r="602" spans="1:47" s="537" customFormat="1" ht="14.45" customHeight="1" x14ac:dyDescent="0.25">
      <c r="A602" s="355">
        <f t="shared" si="9"/>
        <v>41.533333333333331</v>
      </c>
      <c r="B602" s="532">
        <v>41325</v>
      </c>
      <c r="C602" s="533" t="s">
        <v>453</v>
      </c>
      <c r="D602" s="533" t="s">
        <v>453</v>
      </c>
      <c r="E602" s="533" t="s">
        <v>380</v>
      </c>
      <c r="F602" s="348" t="s">
        <v>528</v>
      </c>
      <c r="G602" s="348" t="s">
        <v>92</v>
      </c>
      <c r="H602" s="349"/>
      <c r="I602" s="349"/>
      <c r="J602" s="349">
        <v>12</v>
      </c>
      <c r="K602" s="349">
        <v>20</v>
      </c>
      <c r="L602" s="350">
        <v>8</v>
      </c>
      <c r="M602" s="350">
        <v>20</v>
      </c>
      <c r="N602" s="350">
        <v>8</v>
      </c>
      <c r="O602" s="350">
        <v>8</v>
      </c>
      <c r="P602" s="352">
        <v>8</v>
      </c>
      <c r="Q602" s="352">
        <v>8</v>
      </c>
      <c r="R602" s="352"/>
      <c r="S602" s="352"/>
      <c r="T602" s="352"/>
      <c r="U602" s="352"/>
      <c r="V602" s="497"/>
      <c r="W602" s="352"/>
      <c r="X602" s="352"/>
      <c r="Y602" s="352">
        <f>IF(NFI_Expiration=1,IF($A602&lt;VLOOKUP(H$5,NFI,5,0),1,0)*Table_NFI[[#This Row],[Hygiene Kit]],Table_NFI[Hygiene Kit])</f>
        <v>0</v>
      </c>
      <c r="Z602" s="352">
        <f>IF(NFI_Expiration=1,IF($A602&lt;VLOOKUP(I$5,NFI,5,0),1,0)*Table_NFI[[#This Row],[NFI Core Kit]],Table_NFI[NFI Core Kit])</f>
        <v>0</v>
      </c>
      <c r="AA602" s="352">
        <f>IF(NFI_Expiration=1,IF($A602&lt;VLOOKUP(J$5,NFI,5,0),1,0)*Table_NFI[[#This Row],[Sanitary Kit]],Table_NFI[Sanitary Kit])</f>
        <v>0</v>
      </c>
      <c r="AB602" s="352">
        <f>IF(NFI_Expiration=1,IF($A602&lt;VLOOKUP(K$5,NFI,5,0),1,0)*Table_NFI[[#This Row],[Mosquito net]],Table_NFI[Mosquito net])</f>
        <v>0</v>
      </c>
      <c r="AC602" s="352">
        <f>IF(NFI_Expiration=1,IF($A602&lt;VLOOKUP(L$5,NFI,5,0),1,0)*Table_NFI[[#This Row],[Tarpaulin]],Table_NFI[[#This Row],[Tarpaulin]])</f>
        <v>0</v>
      </c>
      <c r="AD602" s="352">
        <f>IF(NFI_Expiration=1,IF($A602&lt;VLOOKUP(M$5,NFI,5,0),1,0)*Table_NFI[[#This Row],[Blanket]],Table_NFI[[#This Row],[Blanket]])</f>
        <v>0</v>
      </c>
      <c r="AE602" s="352">
        <f>IF(NFI_Expiration=1,IF($A602&lt;VLOOKUP(N$5,NFI,5,0),1,0)*Table_NFI[[#This Row],[Kitchen Set]],Table_NFI[Kitchen Set])</f>
        <v>0</v>
      </c>
      <c r="AF602" s="352">
        <f>IF(NFI_Expiration=1,IF($A602&lt;VLOOKUP(O$5,NFI,5,0),1,0)*Table_NFI[[#This Row],[Clothes Kit]],Table_NFI[Clothes Kit])</f>
        <v>0</v>
      </c>
      <c r="AG602" s="352">
        <f>IF(NFI_Expiration=1,IF($A602&lt;VLOOKUP(P$5,NFI,5,0),1,0)*Table_NFI[[#This Row],[Plastic Bucket]],Table_NFI[Plastic Bucket])</f>
        <v>0</v>
      </c>
      <c r="AH602" s="352">
        <f>IF(NFI_Expiration=1,IF($A602&lt;VLOOKUP(Q$5,NFI,5,0),1,0)*Table_NFI[[#This Row],[Plastic Mat]],Table_NFI[Plastic Mat])*IF(Table_NFI[[#This Row],[Distribution Date]]&gt;"2014-04-01",1,2.5)</f>
        <v>0</v>
      </c>
      <c r="AI602" s="352">
        <f>IF(NFI_Expiration=1,IF($A602&lt;VLOOKUP(R$5,NFI,5,0),1,0)*Table_NFI[[#This Row],[Winter Clothes Adult]],Table_NFI[Winter Clothes Adult])</f>
        <v>0</v>
      </c>
      <c r="AJ602" s="352">
        <f>IF(NFI_Expiration=1,IF($A602&lt;VLOOKUP(S$5,NFI,5,0),1,0)*Table_NFI[[#This Row],[Winter Clothes Children]],Table_NFI[Winter Clothes Children])</f>
        <v>0</v>
      </c>
      <c r="AK602" s="352">
        <f>IF(NFI_Expiration=1,IF($A602&lt;VLOOKUP(T$5,NFI,5,0),1,0)*Table_NFI[[#This Row],[Winter Items Other]],Table_NFI[Winter Items Other])</f>
        <v>0</v>
      </c>
      <c r="AL602" s="352">
        <f>IF(NFI_Expiration=1,IF($A602&lt;VLOOKUP(M$5,NFI,5,0),1,0)*Table_NFI[[#This Row],[Winter Blanket]],Table_NFI[[#This Row],[Winter Blanket]])</f>
        <v>0</v>
      </c>
      <c r="AM602" s="352">
        <f>IF(Table_NFI[[#This Row],[Winter Clothes Adult]]+Table_NFI[[#This Row],[Winter Clothes Children]]+Table_NFI[[#This Row],[Winter Items Other]]+Table_NFI[[#This Row],[Winter Blanket]]&gt;0,1,0)</f>
        <v>0</v>
      </c>
      <c r="AN602" s="392">
        <f>IF(NFI_Expiration=1,IF($A602&lt;VLOOKUP(V$5,NFI,5,0),1,0)*Table_NFI[[#This Row],[Jerry Can]],Table_NFI[Jerry Can])</f>
        <v>0</v>
      </c>
      <c r="AO602" s="540" t="str">
        <f>IFERROR(VLOOKUP(Table_NFI[[#This Row],[Camp Name]],CL,2,0),"")</f>
        <v>MMR001CMP167</v>
      </c>
      <c r="AP602" s="535">
        <f ca="1">IF(Table_NFI[[#This Row],[Pcode]]="","",IF(OFFSET(CampList[Opening Date],MATCH(Table_NFI[[#This Row],[Pcode]],CampList[CP_Pcode],0)-1,0,1,1)&gt;=NFI_Monitor_Date,1,0))</f>
        <v>0</v>
      </c>
      <c r="AQ602" s="540" t="str">
        <f>IFERROR(VLOOKUP(Table_NFI[[#This Row],[Camp Name]],CL,3,0),"")</f>
        <v>Open</v>
      </c>
      <c r="AR602" s="352" t="str">
        <f ca="1">IF(Table_NFI[[#This Row],[Pcode]]="","",OFFSET(CampList[Priority],MATCH(Table_NFI[[#This Row],[Pcode]],CampList[CP_Pcode],0)-1,0,1,1))</f>
        <v>P4</v>
      </c>
      <c r="AS602" s="351">
        <f>IFERROR(Table_NFI[[#This Row],[Kitchen Set]]/VLOOKUP(Table_NFI[[#This Row],[Camp Name]],CL,4,0),"")</f>
        <v>0.53333333333333333</v>
      </c>
      <c r="AT602" s="533" t="s">
        <v>1094</v>
      </c>
      <c r="AU602" s="536"/>
    </row>
    <row r="603" spans="1:47" s="537" customFormat="1" ht="14.45" customHeight="1" x14ac:dyDescent="0.25">
      <c r="A603" s="355">
        <f t="shared" si="9"/>
        <v>41.533333333333331</v>
      </c>
      <c r="B603" s="532">
        <v>41325</v>
      </c>
      <c r="C603" s="533" t="s">
        <v>453</v>
      </c>
      <c r="D603" s="534" t="s">
        <v>453</v>
      </c>
      <c r="E603" s="533" t="s">
        <v>380</v>
      </c>
      <c r="F603" s="348" t="s">
        <v>528</v>
      </c>
      <c r="G603" s="348" t="s">
        <v>54</v>
      </c>
      <c r="H603" s="349"/>
      <c r="I603" s="349"/>
      <c r="J603" s="349">
        <v>74</v>
      </c>
      <c r="K603" s="349">
        <v>0</v>
      </c>
      <c r="L603" s="350">
        <v>0</v>
      </c>
      <c r="M603" s="350">
        <v>0</v>
      </c>
      <c r="N603" s="350">
        <v>0</v>
      </c>
      <c r="O603" s="350">
        <v>0</v>
      </c>
      <c r="P603" s="352"/>
      <c r="Q603" s="352"/>
      <c r="R603" s="352"/>
      <c r="S603" s="352"/>
      <c r="T603" s="352"/>
      <c r="U603" s="352"/>
      <c r="V603" s="497"/>
      <c r="W603" s="352"/>
      <c r="X603" s="352"/>
      <c r="Y603" s="352">
        <f>IF(NFI_Expiration=1,IF($A603&lt;VLOOKUP(H$5,NFI,5,0),1,0)*Table_NFI[[#This Row],[Hygiene Kit]],Table_NFI[Hygiene Kit])</f>
        <v>0</v>
      </c>
      <c r="Z603" s="352">
        <f>IF(NFI_Expiration=1,IF($A603&lt;VLOOKUP(I$5,NFI,5,0),1,0)*Table_NFI[[#This Row],[NFI Core Kit]],Table_NFI[NFI Core Kit])</f>
        <v>0</v>
      </c>
      <c r="AA603" s="352">
        <f>IF(NFI_Expiration=1,IF($A603&lt;VLOOKUP(J$5,NFI,5,0),1,0)*Table_NFI[[#This Row],[Sanitary Kit]],Table_NFI[Sanitary Kit])</f>
        <v>0</v>
      </c>
      <c r="AB603" s="352">
        <f>IF(NFI_Expiration=1,IF($A603&lt;VLOOKUP(K$5,NFI,5,0),1,0)*Table_NFI[[#This Row],[Mosquito net]],Table_NFI[Mosquito net])</f>
        <v>0</v>
      </c>
      <c r="AC603" s="352">
        <f>IF(NFI_Expiration=1,IF($A603&lt;VLOOKUP(L$5,NFI,5,0),1,0)*Table_NFI[[#This Row],[Tarpaulin]],Table_NFI[[#This Row],[Tarpaulin]])</f>
        <v>0</v>
      </c>
      <c r="AD603" s="352">
        <f>IF(NFI_Expiration=1,IF($A603&lt;VLOOKUP(M$5,NFI,5,0),1,0)*Table_NFI[[#This Row],[Blanket]],Table_NFI[[#This Row],[Blanket]])</f>
        <v>0</v>
      </c>
      <c r="AE603" s="352">
        <f>IF(NFI_Expiration=1,IF($A603&lt;VLOOKUP(N$5,NFI,5,0),1,0)*Table_NFI[[#This Row],[Kitchen Set]],Table_NFI[Kitchen Set])</f>
        <v>0</v>
      </c>
      <c r="AF603" s="352">
        <f>IF(NFI_Expiration=1,IF($A603&lt;VLOOKUP(O$5,NFI,5,0),1,0)*Table_NFI[[#This Row],[Clothes Kit]],Table_NFI[Clothes Kit])</f>
        <v>0</v>
      </c>
      <c r="AG603" s="352">
        <f>IF(NFI_Expiration=1,IF($A603&lt;VLOOKUP(P$5,NFI,5,0),1,0)*Table_NFI[[#This Row],[Plastic Bucket]],Table_NFI[Plastic Bucket])</f>
        <v>0</v>
      </c>
      <c r="AH603" s="352">
        <f>IF(NFI_Expiration=1,IF($A603&lt;VLOOKUP(Q$5,NFI,5,0),1,0)*Table_NFI[[#This Row],[Plastic Mat]],Table_NFI[Plastic Mat])*IF(Table_NFI[[#This Row],[Distribution Date]]&gt;"2014-04-01",1,2.5)</f>
        <v>0</v>
      </c>
      <c r="AI603" s="352">
        <f>IF(NFI_Expiration=1,IF($A603&lt;VLOOKUP(R$5,NFI,5,0),1,0)*Table_NFI[[#This Row],[Winter Clothes Adult]],Table_NFI[Winter Clothes Adult])</f>
        <v>0</v>
      </c>
      <c r="AJ603" s="352">
        <f>IF(NFI_Expiration=1,IF($A603&lt;VLOOKUP(S$5,NFI,5,0),1,0)*Table_NFI[[#This Row],[Winter Clothes Children]],Table_NFI[Winter Clothes Children])</f>
        <v>0</v>
      </c>
      <c r="AK603" s="352">
        <f>IF(NFI_Expiration=1,IF($A603&lt;VLOOKUP(T$5,NFI,5,0),1,0)*Table_NFI[[#This Row],[Winter Items Other]],Table_NFI[Winter Items Other])</f>
        <v>0</v>
      </c>
      <c r="AL603" s="352">
        <f>IF(NFI_Expiration=1,IF($A603&lt;VLOOKUP(M$5,NFI,5,0),1,0)*Table_NFI[[#This Row],[Winter Blanket]],Table_NFI[[#This Row],[Winter Blanket]])</f>
        <v>0</v>
      </c>
      <c r="AM603" s="352">
        <f>IF(Table_NFI[[#This Row],[Winter Clothes Adult]]+Table_NFI[[#This Row],[Winter Clothes Children]]+Table_NFI[[#This Row],[Winter Items Other]]+Table_NFI[[#This Row],[Winter Blanket]]&gt;0,1,0)</f>
        <v>0</v>
      </c>
      <c r="AN603" s="392">
        <f>IF(NFI_Expiration=1,IF($A603&lt;VLOOKUP(V$5,NFI,5,0),1,0)*Table_NFI[[#This Row],[Jerry Can]],Table_NFI[Jerry Can])</f>
        <v>0</v>
      </c>
      <c r="AO603" s="540" t="str">
        <f>IFERROR(VLOOKUP(Table_NFI[[#This Row],[Camp Name]],CL,2,0),"")</f>
        <v>MMR001CMP094</v>
      </c>
      <c r="AP603" s="535">
        <f ca="1">IF(Table_NFI[[#This Row],[Pcode]]="","",IF(OFFSET(CampList[Opening Date],MATCH(Table_NFI[[#This Row],[Pcode]],CampList[CP_Pcode],0)-1,0,1,1)&gt;=NFI_Monitor_Date,1,0))</f>
        <v>0</v>
      </c>
      <c r="AQ603" s="540" t="str">
        <f>IFERROR(VLOOKUP(Table_NFI[[#This Row],[Camp Name]],CL,3,0),"")</f>
        <v>Closed</v>
      </c>
      <c r="AR603" s="352" t="str">
        <f ca="1">IF(Table_NFI[[#This Row],[Pcode]]="","",OFFSET(CampList[Priority],MATCH(Table_NFI[[#This Row],[Pcode]],CampList[CP_Pcode],0)-1,0,1,1))</f>
        <v/>
      </c>
      <c r="AS603" s="351" t="str">
        <f>IFERROR(Table_NFI[[#This Row],[Kitchen Set]]/VLOOKUP(Table_NFI[[#This Row],[Camp Name]],CL,4,0),"")</f>
        <v/>
      </c>
      <c r="AT603" s="533" t="s">
        <v>1094</v>
      </c>
      <c r="AU603" s="536"/>
    </row>
    <row r="604" spans="1:47" s="537" customFormat="1" ht="14.45" customHeight="1" x14ac:dyDescent="0.25">
      <c r="A604" s="355">
        <f t="shared" si="9"/>
        <v>41.533333333333331</v>
      </c>
      <c r="B604" s="532">
        <v>41325</v>
      </c>
      <c r="C604" s="533" t="s">
        <v>453</v>
      </c>
      <c r="D604" s="534" t="s">
        <v>453</v>
      </c>
      <c r="E604" s="533" t="s">
        <v>380</v>
      </c>
      <c r="F604" s="348" t="s">
        <v>528</v>
      </c>
      <c r="G604" s="348" t="s">
        <v>66</v>
      </c>
      <c r="H604" s="349"/>
      <c r="I604" s="349"/>
      <c r="J604" s="349">
        <v>16</v>
      </c>
      <c r="K604" s="349">
        <v>26</v>
      </c>
      <c r="L604" s="350">
        <v>13</v>
      </c>
      <c r="M604" s="350">
        <v>26</v>
      </c>
      <c r="N604" s="350">
        <v>13</v>
      </c>
      <c r="O604" s="350">
        <v>13</v>
      </c>
      <c r="P604" s="352">
        <v>13</v>
      </c>
      <c r="Q604" s="352">
        <v>13</v>
      </c>
      <c r="R604" s="352"/>
      <c r="S604" s="352"/>
      <c r="T604" s="352"/>
      <c r="U604" s="352"/>
      <c r="V604" s="497"/>
      <c r="W604" s="352"/>
      <c r="X604" s="352"/>
      <c r="Y604" s="352">
        <f>IF(NFI_Expiration=1,IF($A604&lt;VLOOKUP(H$5,NFI,5,0),1,0)*Table_NFI[[#This Row],[Hygiene Kit]],Table_NFI[Hygiene Kit])</f>
        <v>0</v>
      </c>
      <c r="Z604" s="352">
        <f>IF(NFI_Expiration=1,IF($A604&lt;VLOOKUP(I$5,NFI,5,0),1,0)*Table_NFI[[#This Row],[NFI Core Kit]],Table_NFI[NFI Core Kit])</f>
        <v>0</v>
      </c>
      <c r="AA604" s="352">
        <f>IF(NFI_Expiration=1,IF($A604&lt;VLOOKUP(J$5,NFI,5,0),1,0)*Table_NFI[[#This Row],[Sanitary Kit]],Table_NFI[Sanitary Kit])</f>
        <v>0</v>
      </c>
      <c r="AB604" s="352">
        <f>IF(NFI_Expiration=1,IF($A604&lt;VLOOKUP(K$5,NFI,5,0),1,0)*Table_NFI[[#This Row],[Mosquito net]],Table_NFI[Mosquito net])</f>
        <v>0</v>
      </c>
      <c r="AC604" s="352">
        <f>IF(NFI_Expiration=1,IF($A604&lt;VLOOKUP(L$5,NFI,5,0),1,0)*Table_NFI[[#This Row],[Tarpaulin]],Table_NFI[[#This Row],[Tarpaulin]])</f>
        <v>0</v>
      </c>
      <c r="AD604" s="352">
        <f>IF(NFI_Expiration=1,IF($A604&lt;VLOOKUP(M$5,NFI,5,0),1,0)*Table_NFI[[#This Row],[Blanket]],Table_NFI[[#This Row],[Blanket]])</f>
        <v>0</v>
      </c>
      <c r="AE604" s="352">
        <f>IF(NFI_Expiration=1,IF($A604&lt;VLOOKUP(N$5,NFI,5,0),1,0)*Table_NFI[[#This Row],[Kitchen Set]],Table_NFI[Kitchen Set])</f>
        <v>0</v>
      </c>
      <c r="AF604" s="352">
        <f>IF(NFI_Expiration=1,IF($A604&lt;VLOOKUP(O$5,NFI,5,0),1,0)*Table_NFI[[#This Row],[Clothes Kit]],Table_NFI[Clothes Kit])</f>
        <v>0</v>
      </c>
      <c r="AG604" s="352">
        <f>IF(NFI_Expiration=1,IF($A604&lt;VLOOKUP(P$5,NFI,5,0),1,0)*Table_NFI[[#This Row],[Plastic Bucket]],Table_NFI[Plastic Bucket])</f>
        <v>0</v>
      </c>
      <c r="AH604" s="352">
        <f>IF(NFI_Expiration=1,IF($A604&lt;VLOOKUP(Q$5,NFI,5,0),1,0)*Table_NFI[[#This Row],[Plastic Mat]],Table_NFI[Plastic Mat])*IF(Table_NFI[[#This Row],[Distribution Date]]&gt;"2014-04-01",1,2.5)</f>
        <v>0</v>
      </c>
      <c r="AI604" s="352">
        <f>IF(NFI_Expiration=1,IF($A604&lt;VLOOKUP(R$5,NFI,5,0),1,0)*Table_NFI[[#This Row],[Winter Clothes Adult]],Table_NFI[Winter Clothes Adult])</f>
        <v>0</v>
      </c>
      <c r="AJ604" s="352">
        <f>IF(NFI_Expiration=1,IF($A604&lt;VLOOKUP(S$5,NFI,5,0),1,0)*Table_NFI[[#This Row],[Winter Clothes Children]],Table_NFI[Winter Clothes Children])</f>
        <v>0</v>
      </c>
      <c r="AK604" s="352">
        <f>IF(NFI_Expiration=1,IF($A604&lt;VLOOKUP(T$5,NFI,5,0),1,0)*Table_NFI[[#This Row],[Winter Items Other]],Table_NFI[Winter Items Other])</f>
        <v>0</v>
      </c>
      <c r="AL604" s="352">
        <f>IF(NFI_Expiration=1,IF($A604&lt;VLOOKUP(M$5,NFI,5,0),1,0)*Table_NFI[[#This Row],[Winter Blanket]],Table_NFI[[#This Row],[Winter Blanket]])</f>
        <v>0</v>
      </c>
      <c r="AM604" s="352">
        <f>IF(Table_NFI[[#This Row],[Winter Clothes Adult]]+Table_NFI[[#This Row],[Winter Clothes Children]]+Table_NFI[[#This Row],[Winter Items Other]]+Table_NFI[[#This Row],[Winter Blanket]]&gt;0,1,0)</f>
        <v>0</v>
      </c>
      <c r="AN604" s="392">
        <f>IF(NFI_Expiration=1,IF($A604&lt;VLOOKUP(V$5,NFI,5,0),1,0)*Table_NFI[[#This Row],[Jerry Can]],Table_NFI[Jerry Can])</f>
        <v>0</v>
      </c>
      <c r="AO604" s="540" t="str">
        <f>IFERROR(VLOOKUP(Table_NFI[[#This Row],[Camp Name]],CL,2,0),"")</f>
        <v>MMR001CMP093</v>
      </c>
      <c r="AP604" s="535">
        <f ca="1">IF(Table_NFI[[#This Row],[Pcode]]="","",IF(OFFSET(CampList[Opening Date],MATCH(Table_NFI[[#This Row],[Pcode]],CampList[CP_Pcode],0)-1,0,1,1)&gt;=NFI_Monitor_Date,1,0))</f>
        <v>0</v>
      </c>
      <c r="AQ604" s="540" t="str">
        <f>IFERROR(VLOOKUP(Table_NFI[[#This Row],[Camp Name]],CL,3,0),"")</f>
        <v>Closed</v>
      </c>
      <c r="AR604" s="352" t="str">
        <f ca="1">IF(Table_NFI[[#This Row],[Pcode]]="","",OFFSET(CampList[Priority],MATCH(Table_NFI[[#This Row],[Pcode]],CampList[CP_Pcode],0)-1,0,1,1))</f>
        <v/>
      </c>
      <c r="AS604" s="351" t="str">
        <f>IFERROR(Table_NFI[[#This Row],[Kitchen Set]]/VLOOKUP(Table_NFI[[#This Row],[Camp Name]],CL,4,0),"")</f>
        <v/>
      </c>
      <c r="AT604" s="533" t="s">
        <v>1094</v>
      </c>
      <c r="AU604" s="536"/>
    </row>
    <row r="605" spans="1:47" s="537" customFormat="1" ht="14.45" customHeight="1" x14ac:dyDescent="0.25">
      <c r="A605" s="355">
        <f t="shared" si="9"/>
        <v>41.533333333333331</v>
      </c>
      <c r="B605" s="532">
        <v>41325</v>
      </c>
      <c r="C605" s="533" t="s">
        <v>453</v>
      </c>
      <c r="D605" s="533" t="s">
        <v>453</v>
      </c>
      <c r="E605" s="533" t="s">
        <v>380</v>
      </c>
      <c r="F605" s="533" t="s">
        <v>528</v>
      </c>
      <c r="G605" s="348" t="s">
        <v>84</v>
      </c>
      <c r="H605" s="349"/>
      <c r="I605" s="349"/>
      <c r="J605" s="349">
        <v>85</v>
      </c>
      <c r="K605" s="349">
        <v>138</v>
      </c>
      <c r="L605" s="350">
        <v>65</v>
      </c>
      <c r="M605" s="350">
        <v>138</v>
      </c>
      <c r="N605" s="350">
        <v>65</v>
      </c>
      <c r="O605" s="350">
        <v>65</v>
      </c>
      <c r="P605" s="352">
        <v>65</v>
      </c>
      <c r="Q605" s="352">
        <v>65</v>
      </c>
      <c r="R605" s="352"/>
      <c r="S605" s="352"/>
      <c r="T605" s="352"/>
      <c r="U605" s="352"/>
      <c r="V605" s="497"/>
      <c r="W605" s="352"/>
      <c r="X605" s="352"/>
      <c r="Y605" s="352">
        <f>IF(NFI_Expiration=1,IF($A605&lt;VLOOKUP(H$5,NFI,5,0),1,0)*Table_NFI[[#This Row],[Hygiene Kit]],Table_NFI[Hygiene Kit])</f>
        <v>0</v>
      </c>
      <c r="Z605" s="352">
        <f>IF(NFI_Expiration=1,IF($A605&lt;VLOOKUP(I$5,NFI,5,0),1,0)*Table_NFI[[#This Row],[NFI Core Kit]],Table_NFI[NFI Core Kit])</f>
        <v>0</v>
      </c>
      <c r="AA605" s="352">
        <f>IF(NFI_Expiration=1,IF($A605&lt;VLOOKUP(J$5,NFI,5,0),1,0)*Table_NFI[[#This Row],[Sanitary Kit]],Table_NFI[Sanitary Kit])</f>
        <v>0</v>
      </c>
      <c r="AB605" s="352">
        <f>IF(NFI_Expiration=1,IF($A605&lt;VLOOKUP(K$5,NFI,5,0),1,0)*Table_NFI[[#This Row],[Mosquito net]],Table_NFI[Mosquito net])</f>
        <v>0</v>
      </c>
      <c r="AC605" s="352">
        <f>IF(NFI_Expiration=1,IF($A605&lt;VLOOKUP(L$5,NFI,5,0),1,0)*Table_NFI[[#This Row],[Tarpaulin]],Table_NFI[[#This Row],[Tarpaulin]])</f>
        <v>0</v>
      </c>
      <c r="AD605" s="352">
        <f>IF(NFI_Expiration=1,IF($A605&lt;VLOOKUP(M$5,NFI,5,0),1,0)*Table_NFI[[#This Row],[Blanket]],Table_NFI[[#This Row],[Blanket]])</f>
        <v>0</v>
      </c>
      <c r="AE605" s="352">
        <f>IF(NFI_Expiration=1,IF($A605&lt;VLOOKUP(N$5,NFI,5,0),1,0)*Table_NFI[[#This Row],[Kitchen Set]],Table_NFI[Kitchen Set])</f>
        <v>0</v>
      </c>
      <c r="AF605" s="352">
        <f>IF(NFI_Expiration=1,IF($A605&lt;VLOOKUP(O$5,NFI,5,0),1,0)*Table_NFI[[#This Row],[Clothes Kit]],Table_NFI[Clothes Kit])</f>
        <v>0</v>
      </c>
      <c r="AG605" s="352">
        <f>IF(NFI_Expiration=1,IF($A605&lt;VLOOKUP(P$5,NFI,5,0),1,0)*Table_NFI[[#This Row],[Plastic Bucket]],Table_NFI[Plastic Bucket])</f>
        <v>0</v>
      </c>
      <c r="AH605" s="352">
        <f>IF(NFI_Expiration=1,IF($A605&lt;VLOOKUP(Q$5,NFI,5,0),1,0)*Table_NFI[[#This Row],[Plastic Mat]],Table_NFI[Plastic Mat])*IF(Table_NFI[[#This Row],[Distribution Date]]&gt;"2014-04-01",1,2.5)</f>
        <v>0</v>
      </c>
      <c r="AI605" s="352">
        <f>IF(NFI_Expiration=1,IF($A605&lt;VLOOKUP(R$5,NFI,5,0),1,0)*Table_NFI[[#This Row],[Winter Clothes Adult]],Table_NFI[Winter Clothes Adult])</f>
        <v>0</v>
      </c>
      <c r="AJ605" s="352">
        <f>IF(NFI_Expiration=1,IF($A605&lt;VLOOKUP(S$5,NFI,5,0),1,0)*Table_NFI[[#This Row],[Winter Clothes Children]],Table_NFI[Winter Clothes Children])</f>
        <v>0</v>
      </c>
      <c r="AK605" s="352">
        <f>IF(NFI_Expiration=1,IF($A605&lt;VLOOKUP(T$5,NFI,5,0),1,0)*Table_NFI[[#This Row],[Winter Items Other]],Table_NFI[Winter Items Other])</f>
        <v>0</v>
      </c>
      <c r="AL605" s="352">
        <f>IF(NFI_Expiration=1,IF($A605&lt;VLOOKUP(M$5,NFI,5,0),1,0)*Table_NFI[[#This Row],[Winter Blanket]],Table_NFI[[#This Row],[Winter Blanket]])</f>
        <v>0</v>
      </c>
      <c r="AM605" s="352">
        <f>IF(Table_NFI[[#This Row],[Winter Clothes Adult]]+Table_NFI[[#This Row],[Winter Clothes Children]]+Table_NFI[[#This Row],[Winter Items Other]]+Table_NFI[[#This Row],[Winter Blanket]]&gt;0,1,0)</f>
        <v>0</v>
      </c>
      <c r="AN605" s="392">
        <f>IF(NFI_Expiration=1,IF($A605&lt;VLOOKUP(V$5,NFI,5,0),1,0)*Table_NFI[[#This Row],[Jerry Can]],Table_NFI[Jerry Can])</f>
        <v>0</v>
      </c>
      <c r="AO605" s="540" t="str">
        <f>IFERROR(VLOOKUP(Table_NFI[[#This Row],[Camp Name]],CL,2,0),"")</f>
        <v>MMR001CMP085</v>
      </c>
      <c r="AP605" s="535">
        <f ca="1">IF(Table_NFI[[#This Row],[Pcode]]="","",IF(OFFSET(CampList[Opening Date],MATCH(Table_NFI[[#This Row],[Pcode]],CampList[CP_Pcode],0)-1,0,1,1)&gt;=NFI_Monitor_Date,1,0))</f>
        <v>0</v>
      </c>
      <c r="AQ605" s="540" t="str">
        <f>IFERROR(VLOOKUP(Table_NFI[[#This Row],[Camp Name]],CL,3,0),"")</f>
        <v>Closed</v>
      </c>
      <c r="AR605" s="352" t="str">
        <f ca="1">IF(Table_NFI[[#This Row],[Pcode]]="","",OFFSET(CampList[Priority],MATCH(Table_NFI[[#This Row],[Pcode]],CampList[CP_Pcode],0)-1,0,1,1))</f>
        <v/>
      </c>
      <c r="AS605" s="351" t="str">
        <f>IFERROR(Table_NFI[[#This Row],[Kitchen Set]]/VLOOKUP(Table_NFI[[#This Row],[Camp Name]],CL,4,0),"")</f>
        <v/>
      </c>
      <c r="AT605" s="533" t="s">
        <v>1094</v>
      </c>
      <c r="AU605" s="536"/>
    </row>
    <row r="606" spans="1:47" s="537" customFormat="1" ht="14.45" customHeight="1" x14ac:dyDescent="0.25">
      <c r="A606" s="355">
        <f t="shared" si="9"/>
        <v>41.533333333333331</v>
      </c>
      <c r="B606" s="532">
        <v>41325</v>
      </c>
      <c r="C606" s="533" t="s">
        <v>453</v>
      </c>
      <c r="D606" s="534" t="s">
        <v>453</v>
      </c>
      <c r="E606" s="533" t="s">
        <v>380</v>
      </c>
      <c r="F606" s="348" t="s">
        <v>528</v>
      </c>
      <c r="G606" s="348" t="s">
        <v>108</v>
      </c>
      <c r="H606" s="349"/>
      <c r="I606" s="354"/>
      <c r="J606" s="347">
        <v>35</v>
      </c>
      <c r="K606" s="347">
        <v>0</v>
      </c>
      <c r="L606" s="347">
        <v>0</v>
      </c>
      <c r="M606" s="347">
        <v>0</v>
      </c>
      <c r="N606" s="347">
        <v>0</v>
      </c>
      <c r="O606" s="347">
        <v>0</v>
      </c>
      <c r="P606" s="352"/>
      <c r="Q606" s="352"/>
      <c r="R606" s="352"/>
      <c r="S606" s="352"/>
      <c r="T606" s="352"/>
      <c r="U606" s="352"/>
      <c r="V606" s="497"/>
      <c r="W606" s="352"/>
      <c r="X606" s="352"/>
      <c r="Y606" s="352">
        <f>IF(NFI_Expiration=1,IF($A606&lt;VLOOKUP(H$5,NFI,5,0),1,0)*Table_NFI[[#This Row],[Hygiene Kit]],Table_NFI[Hygiene Kit])</f>
        <v>0</v>
      </c>
      <c r="Z606" s="352">
        <f>IF(NFI_Expiration=1,IF($A606&lt;VLOOKUP(I$5,NFI,5,0),1,0)*Table_NFI[[#This Row],[NFI Core Kit]],Table_NFI[NFI Core Kit])</f>
        <v>0</v>
      </c>
      <c r="AA606" s="352">
        <f>IF(NFI_Expiration=1,IF($A606&lt;VLOOKUP(J$5,NFI,5,0),1,0)*Table_NFI[[#This Row],[Sanitary Kit]],Table_NFI[Sanitary Kit])</f>
        <v>0</v>
      </c>
      <c r="AB606" s="352">
        <f>IF(NFI_Expiration=1,IF($A606&lt;VLOOKUP(K$5,NFI,5,0),1,0)*Table_NFI[[#This Row],[Mosquito net]],Table_NFI[Mosquito net])</f>
        <v>0</v>
      </c>
      <c r="AC606" s="352">
        <f>IF(NFI_Expiration=1,IF($A606&lt;VLOOKUP(L$5,NFI,5,0),1,0)*Table_NFI[[#This Row],[Tarpaulin]],Table_NFI[[#This Row],[Tarpaulin]])</f>
        <v>0</v>
      </c>
      <c r="AD606" s="352">
        <f>IF(NFI_Expiration=1,IF($A606&lt;VLOOKUP(M$5,NFI,5,0),1,0)*Table_NFI[[#This Row],[Blanket]],Table_NFI[[#This Row],[Blanket]])</f>
        <v>0</v>
      </c>
      <c r="AE606" s="352">
        <f>IF(NFI_Expiration=1,IF($A606&lt;VLOOKUP(N$5,NFI,5,0),1,0)*Table_NFI[[#This Row],[Kitchen Set]],Table_NFI[Kitchen Set])</f>
        <v>0</v>
      </c>
      <c r="AF606" s="352">
        <f>IF(NFI_Expiration=1,IF($A606&lt;VLOOKUP(O$5,NFI,5,0),1,0)*Table_NFI[[#This Row],[Clothes Kit]],Table_NFI[Clothes Kit])</f>
        <v>0</v>
      </c>
      <c r="AG606" s="352">
        <f>IF(NFI_Expiration=1,IF($A606&lt;VLOOKUP(P$5,NFI,5,0),1,0)*Table_NFI[[#This Row],[Plastic Bucket]],Table_NFI[Plastic Bucket])</f>
        <v>0</v>
      </c>
      <c r="AH606" s="352">
        <f>IF(NFI_Expiration=1,IF($A606&lt;VLOOKUP(Q$5,NFI,5,0),1,0)*Table_NFI[[#This Row],[Plastic Mat]],Table_NFI[Plastic Mat])*IF(Table_NFI[[#This Row],[Distribution Date]]&gt;"2014-04-01",1,2.5)</f>
        <v>0</v>
      </c>
      <c r="AI606" s="352">
        <f>IF(NFI_Expiration=1,IF($A606&lt;VLOOKUP(R$5,NFI,5,0),1,0)*Table_NFI[[#This Row],[Winter Clothes Adult]],Table_NFI[Winter Clothes Adult])</f>
        <v>0</v>
      </c>
      <c r="AJ606" s="352">
        <f>IF(NFI_Expiration=1,IF($A606&lt;VLOOKUP(S$5,NFI,5,0),1,0)*Table_NFI[[#This Row],[Winter Clothes Children]],Table_NFI[Winter Clothes Children])</f>
        <v>0</v>
      </c>
      <c r="AK606" s="352">
        <f>IF(NFI_Expiration=1,IF($A606&lt;VLOOKUP(T$5,NFI,5,0),1,0)*Table_NFI[[#This Row],[Winter Items Other]],Table_NFI[Winter Items Other])</f>
        <v>0</v>
      </c>
      <c r="AL606" s="352">
        <f>IF(NFI_Expiration=1,IF($A606&lt;VLOOKUP(M$5,NFI,5,0),1,0)*Table_NFI[[#This Row],[Winter Blanket]],Table_NFI[[#This Row],[Winter Blanket]])</f>
        <v>0</v>
      </c>
      <c r="AM606" s="352">
        <f>IF(Table_NFI[[#This Row],[Winter Clothes Adult]]+Table_NFI[[#This Row],[Winter Clothes Children]]+Table_NFI[[#This Row],[Winter Items Other]]+Table_NFI[[#This Row],[Winter Blanket]]&gt;0,1,0)</f>
        <v>0</v>
      </c>
      <c r="AN606" s="392">
        <f>IF(NFI_Expiration=1,IF($A606&lt;VLOOKUP(V$5,NFI,5,0),1,0)*Table_NFI[[#This Row],[Jerry Can]],Table_NFI[Jerry Can])</f>
        <v>0</v>
      </c>
      <c r="AO606" s="540" t="str">
        <f>IFERROR(VLOOKUP(Table_NFI[[#This Row],[Camp Name]],CL,2,0),"")</f>
        <v>MMR001CMP103</v>
      </c>
      <c r="AP606" s="535">
        <f ca="1">IF(Table_NFI[[#This Row],[Pcode]]="","",IF(OFFSET(CampList[Opening Date],MATCH(Table_NFI[[#This Row],[Pcode]],CampList[CP_Pcode],0)-1,0,1,1)&gt;=NFI_Monitor_Date,1,0))</f>
        <v>0</v>
      </c>
      <c r="AQ606" s="540" t="str">
        <f>IFERROR(VLOOKUP(Table_NFI[[#This Row],[Camp Name]],CL,3,0),"")</f>
        <v>Open</v>
      </c>
      <c r="AR606" s="352" t="str">
        <f ca="1">IF(Table_NFI[[#This Row],[Pcode]]="","",OFFSET(CampList[Priority],MATCH(Table_NFI[[#This Row],[Pcode]],CampList[CP_Pcode],0)-1,0,1,1))</f>
        <v>P4</v>
      </c>
      <c r="AS606" s="351">
        <f>IFERROR(Table_NFI[[#This Row],[Kitchen Set]]/VLOOKUP(Table_NFI[[#This Row],[Camp Name]],CL,4,0),"")</f>
        <v>0</v>
      </c>
      <c r="AT606" s="533" t="s">
        <v>1094</v>
      </c>
      <c r="AU606" s="536"/>
    </row>
    <row r="607" spans="1:47" s="537" customFormat="1" ht="14.45" customHeight="1" x14ac:dyDescent="0.25">
      <c r="A607" s="355">
        <f t="shared" si="9"/>
        <v>41.533333333333331</v>
      </c>
      <c r="B607" s="532">
        <v>41325</v>
      </c>
      <c r="C607" s="533" t="s">
        <v>453</v>
      </c>
      <c r="D607" s="534" t="s">
        <v>453</v>
      </c>
      <c r="E607" s="533" t="s">
        <v>380</v>
      </c>
      <c r="F607" s="348" t="s">
        <v>528</v>
      </c>
      <c r="G607" s="348" t="s">
        <v>108</v>
      </c>
      <c r="H607" s="349"/>
      <c r="I607" s="354"/>
      <c r="J607" s="347">
        <v>32</v>
      </c>
      <c r="K607" s="347">
        <v>64</v>
      </c>
      <c r="L607" s="347">
        <v>33</v>
      </c>
      <c r="M607" s="347">
        <v>64</v>
      </c>
      <c r="N607" s="347">
        <v>33</v>
      </c>
      <c r="O607" s="347">
        <v>33</v>
      </c>
      <c r="P607" s="352">
        <v>33</v>
      </c>
      <c r="Q607" s="352">
        <v>33</v>
      </c>
      <c r="R607" s="352"/>
      <c r="S607" s="352"/>
      <c r="T607" s="352"/>
      <c r="U607" s="352"/>
      <c r="V607" s="497"/>
      <c r="W607" s="352"/>
      <c r="X607" s="352"/>
      <c r="Y607" s="352">
        <f>IF(NFI_Expiration=1,IF($A607&lt;VLOOKUP(H$5,NFI,5,0),1,0)*Table_NFI[[#This Row],[Hygiene Kit]],Table_NFI[Hygiene Kit])</f>
        <v>0</v>
      </c>
      <c r="Z607" s="352">
        <f>IF(NFI_Expiration=1,IF($A607&lt;VLOOKUP(I$5,NFI,5,0),1,0)*Table_NFI[[#This Row],[NFI Core Kit]],Table_NFI[NFI Core Kit])</f>
        <v>0</v>
      </c>
      <c r="AA607" s="352">
        <f>IF(NFI_Expiration=1,IF($A607&lt;VLOOKUP(J$5,NFI,5,0),1,0)*Table_NFI[[#This Row],[Sanitary Kit]],Table_NFI[Sanitary Kit])</f>
        <v>0</v>
      </c>
      <c r="AB607" s="352">
        <f>IF(NFI_Expiration=1,IF($A607&lt;VLOOKUP(K$5,NFI,5,0),1,0)*Table_NFI[[#This Row],[Mosquito net]],Table_NFI[Mosquito net])</f>
        <v>0</v>
      </c>
      <c r="AC607" s="352">
        <f>IF(NFI_Expiration=1,IF($A607&lt;VLOOKUP(L$5,NFI,5,0),1,0)*Table_NFI[[#This Row],[Tarpaulin]],Table_NFI[[#This Row],[Tarpaulin]])</f>
        <v>0</v>
      </c>
      <c r="AD607" s="352">
        <f>IF(NFI_Expiration=1,IF($A607&lt;VLOOKUP(M$5,NFI,5,0),1,0)*Table_NFI[[#This Row],[Blanket]],Table_NFI[[#This Row],[Blanket]])</f>
        <v>0</v>
      </c>
      <c r="AE607" s="352">
        <f>IF(NFI_Expiration=1,IF($A607&lt;VLOOKUP(N$5,NFI,5,0),1,0)*Table_NFI[[#This Row],[Kitchen Set]],Table_NFI[Kitchen Set])</f>
        <v>0</v>
      </c>
      <c r="AF607" s="352">
        <f>IF(NFI_Expiration=1,IF($A607&lt;VLOOKUP(O$5,NFI,5,0),1,0)*Table_NFI[[#This Row],[Clothes Kit]],Table_NFI[Clothes Kit])</f>
        <v>0</v>
      </c>
      <c r="AG607" s="352">
        <f>IF(NFI_Expiration=1,IF($A607&lt;VLOOKUP(P$5,NFI,5,0),1,0)*Table_NFI[[#This Row],[Plastic Bucket]],Table_NFI[Plastic Bucket])</f>
        <v>0</v>
      </c>
      <c r="AH607" s="352">
        <f>IF(NFI_Expiration=1,IF($A607&lt;VLOOKUP(Q$5,NFI,5,0),1,0)*Table_NFI[[#This Row],[Plastic Mat]],Table_NFI[Plastic Mat])*IF(Table_NFI[[#This Row],[Distribution Date]]&gt;"2014-04-01",1,2.5)</f>
        <v>0</v>
      </c>
      <c r="AI607" s="352">
        <f>IF(NFI_Expiration=1,IF($A607&lt;VLOOKUP(R$5,NFI,5,0),1,0)*Table_NFI[[#This Row],[Winter Clothes Adult]],Table_NFI[Winter Clothes Adult])</f>
        <v>0</v>
      </c>
      <c r="AJ607" s="352">
        <f>IF(NFI_Expiration=1,IF($A607&lt;VLOOKUP(S$5,NFI,5,0),1,0)*Table_NFI[[#This Row],[Winter Clothes Children]],Table_NFI[Winter Clothes Children])</f>
        <v>0</v>
      </c>
      <c r="AK607" s="352">
        <f>IF(NFI_Expiration=1,IF($A607&lt;VLOOKUP(T$5,NFI,5,0),1,0)*Table_NFI[[#This Row],[Winter Items Other]],Table_NFI[Winter Items Other])</f>
        <v>0</v>
      </c>
      <c r="AL607" s="352">
        <f>IF(NFI_Expiration=1,IF($A607&lt;VLOOKUP(M$5,NFI,5,0),1,0)*Table_NFI[[#This Row],[Winter Blanket]],Table_NFI[[#This Row],[Winter Blanket]])</f>
        <v>0</v>
      </c>
      <c r="AM607" s="352">
        <f>IF(Table_NFI[[#This Row],[Winter Clothes Adult]]+Table_NFI[[#This Row],[Winter Clothes Children]]+Table_NFI[[#This Row],[Winter Items Other]]+Table_NFI[[#This Row],[Winter Blanket]]&gt;0,1,0)</f>
        <v>0</v>
      </c>
      <c r="AN607" s="392">
        <f>IF(NFI_Expiration=1,IF($A607&lt;VLOOKUP(V$5,NFI,5,0),1,0)*Table_NFI[[#This Row],[Jerry Can]],Table_NFI[Jerry Can])</f>
        <v>0</v>
      </c>
      <c r="AO607" s="540" t="str">
        <f>IFERROR(VLOOKUP(Table_NFI[[#This Row],[Camp Name]],CL,2,0),"")</f>
        <v>MMR001CMP103</v>
      </c>
      <c r="AP607" s="535">
        <f ca="1">IF(Table_NFI[[#This Row],[Pcode]]="","",IF(OFFSET(CampList[Opening Date],MATCH(Table_NFI[[#This Row],[Pcode]],CampList[CP_Pcode],0)-1,0,1,1)&gt;=NFI_Monitor_Date,1,0))</f>
        <v>0</v>
      </c>
      <c r="AQ607" s="540" t="str">
        <f>IFERROR(VLOOKUP(Table_NFI[[#This Row],[Camp Name]],CL,3,0),"")</f>
        <v>Open</v>
      </c>
      <c r="AR607" s="352" t="str">
        <f ca="1">IF(Table_NFI[[#This Row],[Pcode]]="","",OFFSET(CampList[Priority],MATCH(Table_NFI[[#This Row],[Pcode]],CampList[CP_Pcode],0)-1,0,1,1))</f>
        <v>P4</v>
      </c>
      <c r="AS607" s="351">
        <f>IFERROR(Table_NFI[[#This Row],[Kitchen Set]]/VLOOKUP(Table_NFI[[#This Row],[Camp Name]],CL,4,0),"")</f>
        <v>0.63461538461538458</v>
      </c>
      <c r="AT607" s="533" t="s">
        <v>1094</v>
      </c>
      <c r="AU607" s="536"/>
    </row>
    <row r="608" spans="1:47" s="537" customFormat="1" ht="14.45" customHeight="1" x14ac:dyDescent="0.25">
      <c r="A608" s="355">
        <f t="shared" si="9"/>
        <v>41.533333333333331</v>
      </c>
      <c r="B608" s="532">
        <v>41325</v>
      </c>
      <c r="C608" s="533" t="s">
        <v>453</v>
      </c>
      <c r="D608" s="534" t="s">
        <v>453</v>
      </c>
      <c r="E608" s="533" t="s">
        <v>380</v>
      </c>
      <c r="F608" s="348" t="s">
        <v>528</v>
      </c>
      <c r="G608" s="348" t="s">
        <v>110</v>
      </c>
      <c r="H608" s="349"/>
      <c r="I608" s="349"/>
      <c r="J608" s="349">
        <v>175</v>
      </c>
      <c r="K608" s="349">
        <v>0</v>
      </c>
      <c r="L608" s="350">
        <v>0</v>
      </c>
      <c r="M608" s="350">
        <v>0</v>
      </c>
      <c r="N608" s="350">
        <v>0</v>
      </c>
      <c r="O608" s="350">
        <v>0</v>
      </c>
      <c r="P608" s="352"/>
      <c r="Q608" s="352"/>
      <c r="R608" s="352"/>
      <c r="S608" s="352"/>
      <c r="T608" s="352"/>
      <c r="U608" s="352"/>
      <c r="V608" s="497"/>
      <c r="W608" s="352"/>
      <c r="X608" s="352"/>
      <c r="Y608" s="352">
        <f>IF(NFI_Expiration=1,IF($A608&lt;VLOOKUP(H$5,NFI,5,0),1,0)*Table_NFI[[#This Row],[Hygiene Kit]],Table_NFI[Hygiene Kit])</f>
        <v>0</v>
      </c>
      <c r="Z608" s="352">
        <f>IF(NFI_Expiration=1,IF($A608&lt;VLOOKUP(I$5,NFI,5,0),1,0)*Table_NFI[[#This Row],[NFI Core Kit]],Table_NFI[NFI Core Kit])</f>
        <v>0</v>
      </c>
      <c r="AA608" s="352">
        <f>IF(NFI_Expiration=1,IF($A608&lt;VLOOKUP(J$5,NFI,5,0),1,0)*Table_NFI[[#This Row],[Sanitary Kit]],Table_NFI[Sanitary Kit])</f>
        <v>0</v>
      </c>
      <c r="AB608" s="352">
        <f>IF(NFI_Expiration=1,IF($A608&lt;VLOOKUP(K$5,NFI,5,0),1,0)*Table_NFI[[#This Row],[Mosquito net]],Table_NFI[Mosquito net])</f>
        <v>0</v>
      </c>
      <c r="AC608" s="352">
        <f>IF(NFI_Expiration=1,IF($A608&lt;VLOOKUP(L$5,NFI,5,0),1,0)*Table_NFI[[#This Row],[Tarpaulin]],Table_NFI[[#This Row],[Tarpaulin]])</f>
        <v>0</v>
      </c>
      <c r="AD608" s="352">
        <f>IF(NFI_Expiration=1,IF($A608&lt;VLOOKUP(M$5,NFI,5,0),1,0)*Table_NFI[[#This Row],[Blanket]],Table_NFI[[#This Row],[Blanket]])</f>
        <v>0</v>
      </c>
      <c r="AE608" s="352">
        <f>IF(NFI_Expiration=1,IF($A608&lt;VLOOKUP(N$5,NFI,5,0),1,0)*Table_NFI[[#This Row],[Kitchen Set]],Table_NFI[Kitchen Set])</f>
        <v>0</v>
      </c>
      <c r="AF608" s="352">
        <f>IF(NFI_Expiration=1,IF($A608&lt;VLOOKUP(O$5,NFI,5,0),1,0)*Table_NFI[[#This Row],[Clothes Kit]],Table_NFI[Clothes Kit])</f>
        <v>0</v>
      </c>
      <c r="AG608" s="352">
        <f>IF(NFI_Expiration=1,IF($A608&lt;VLOOKUP(P$5,NFI,5,0),1,0)*Table_NFI[[#This Row],[Plastic Bucket]],Table_NFI[Plastic Bucket])</f>
        <v>0</v>
      </c>
      <c r="AH608" s="352">
        <f>IF(NFI_Expiration=1,IF($A608&lt;VLOOKUP(Q$5,NFI,5,0),1,0)*Table_NFI[[#This Row],[Plastic Mat]],Table_NFI[Plastic Mat])*IF(Table_NFI[[#This Row],[Distribution Date]]&gt;"2014-04-01",1,2.5)</f>
        <v>0</v>
      </c>
      <c r="AI608" s="352">
        <f>IF(NFI_Expiration=1,IF($A608&lt;VLOOKUP(R$5,NFI,5,0),1,0)*Table_NFI[[#This Row],[Winter Clothes Adult]],Table_NFI[Winter Clothes Adult])</f>
        <v>0</v>
      </c>
      <c r="AJ608" s="352">
        <f>IF(NFI_Expiration=1,IF($A608&lt;VLOOKUP(S$5,NFI,5,0),1,0)*Table_NFI[[#This Row],[Winter Clothes Children]],Table_NFI[Winter Clothes Children])</f>
        <v>0</v>
      </c>
      <c r="AK608" s="352">
        <f>IF(NFI_Expiration=1,IF($A608&lt;VLOOKUP(T$5,NFI,5,0),1,0)*Table_NFI[[#This Row],[Winter Items Other]],Table_NFI[Winter Items Other])</f>
        <v>0</v>
      </c>
      <c r="AL608" s="352">
        <f>IF(NFI_Expiration=1,IF($A608&lt;VLOOKUP(M$5,NFI,5,0),1,0)*Table_NFI[[#This Row],[Winter Blanket]],Table_NFI[[#This Row],[Winter Blanket]])</f>
        <v>0</v>
      </c>
      <c r="AM608" s="352">
        <f>IF(Table_NFI[[#This Row],[Winter Clothes Adult]]+Table_NFI[[#This Row],[Winter Clothes Children]]+Table_NFI[[#This Row],[Winter Items Other]]+Table_NFI[[#This Row],[Winter Blanket]]&gt;0,1,0)</f>
        <v>0</v>
      </c>
      <c r="AN608" s="392">
        <f>IF(NFI_Expiration=1,IF($A608&lt;VLOOKUP(V$5,NFI,5,0),1,0)*Table_NFI[[#This Row],[Jerry Can]],Table_NFI[Jerry Can])</f>
        <v>0</v>
      </c>
      <c r="AO608" s="540" t="str">
        <f>IFERROR(VLOOKUP(Table_NFI[[#This Row],[Camp Name]],CL,2,0),"")</f>
        <v>MMR001CMP082</v>
      </c>
      <c r="AP608" s="535">
        <f ca="1">IF(Table_NFI[[#This Row],[Pcode]]="","",IF(OFFSET(CampList[Opening Date],MATCH(Table_NFI[[#This Row],[Pcode]],CampList[CP_Pcode],0)-1,0,1,1)&gt;=NFI_Monitor_Date,1,0))</f>
        <v>0</v>
      </c>
      <c r="AQ608" s="540" t="str">
        <f>IFERROR(VLOOKUP(Table_NFI[[#This Row],[Camp Name]],CL,3,0),"")</f>
        <v>Closed</v>
      </c>
      <c r="AR608" s="352" t="str">
        <f ca="1">IF(Table_NFI[[#This Row],[Pcode]]="","",OFFSET(CampList[Priority],MATCH(Table_NFI[[#This Row],[Pcode]],CampList[CP_Pcode],0)-1,0,1,1))</f>
        <v/>
      </c>
      <c r="AS608" s="351" t="str">
        <f>IFERROR(Table_NFI[[#This Row],[Kitchen Set]]/VLOOKUP(Table_NFI[[#This Row],[Camp Name]],CL,4,0),"")</f>
        <v/>
      </c>
      <c r="AT608" s="533" t="s">
        <v>1094</v>
      </c>
      <c r="AU608" s="536"/>
    </row>
    <row r="609" spans="1:47" s="537" customFormat="1" ht="14.45" hidden="1" customHeight="1" x14ac:dyDescent="0.25">
      <c r="A609" s="355">
        <f t="shared" si="9"/>
        <v>43.233333333333334</v>
      </c>
      <c r="B609" s="532">
        <v>41274</v>
      </c>
      <c r="C609" s="533" t="s">
        <v>454</v>
      </c>
      <c r="D609" s="533" t="s">
        <v>454</v>
      </c>
      <c r="E609" s="533" t="s">
        <v>380</v>
      </c>
      <c r="F609" s="348" t="s">
        <v>528</v>
      </c>
      <c r="G609" s="348" t="s">
        <v>142</v>
      </c>
      <c r="H609" s="349">
        <v>1</v>
      </c>
      <c r="I609" s="349"/>
      <c r="J609" s="349"/>
      <c r="K609" s="349"/>
      <c r="L609" s="350"/>
      <c r="M609" s="350"/>
      <c r="N609" s="350"/>
      <c r="O609" s="350"/>
      <c r="P609" s="352">
        <v>0</v>
      </c>
      <c r="Q609" s="352">
        <v>0</v>
      </c>
      <c r="R609" s="352"/>
      <c r="S609" s="352"/>
      <c r="T609" s="352"/>
      <c r="U609" s="352"/>
      <c r="V609" s="497"/>
      <c r="W609" s="352"/>
      <c r="X609" s="352"/>
      <c r="Y609" s="352">
        <f>IF(NFI_Expiration=1,IF($A609&lt;VLOOKUP(H$5,NFI,5,0),1,0)*Table_NFI[[#This Row],[Hygiene Kit]],Table_NFI[Hygiene Kit])</f>
        <v>0</v>
      </c>
      <c r="Z609" s="352">
        <f>IF(NFI_Expiration=1,IF($A609&lt;VLOOKUP(I$5,NFI,5,0),1,0)*Table_NFI[[#This Row],[NFI Core Kit]],Table_NFI[NFI Core Kit])</f>
        <v>0</v>
      </c>
      <c r="AA609" s="352">
        <f>IF(NFI_Expiration=1,IF($A609&lt;VLOOKUP(J$5,NFI,5,0),1,0)*Table_NFI[[#This Row],[Sanitary Kit]],Table_NFI[Sanitary Kit])</f>
        <v>0</v>
      </c>
      <c r="AB609" s="352">
        <f>IF(NFI_Expiration=1,IF($A609&lt;VLOOKUP(K$5,NFI,5,0),1,0)*Table_NFI[[#This Row],[Mosquito net]],Table_NFI[Mosquito net])</f>
        <v>0</v>
      </c>
      <c r="AC609" s="352">
        <f>IF(NFI_Expiration=1,IF($A609&lt;VLOOKUP(L$5,NFI,5,0),1,0)*Table_NFI[[#This Row],[Tarpaulin]],Table_NFI[[#This Row],[Tarpaulin]])</f>
        <v>0</v>
      </c>
      <c r="AD609" s="352">
        <f>IF(NFI_Expiration=1,IF($A609&lt;VLOOKUP(M$5,NFI,5,0),1,0)*Table_NFI[[#This Row],[Blanket]],Table_NFI[[#This Row],[Blanket]])</f>
        <v>0</v>
      </c>
      <c r="AE609" s="352">
        <f>IF(NFI_Expiration=1,IF($A609&lt;VLOOKUP(N$5,NFI,5,0),1,0)*Table_NFI[[#This Row],[Kitchen Set]],Table_NFI[Kitchen Set])</f>
        <v>0</v>
      </c>
      <c r="AF609" s="352">
        <f>IF(NFI_Expiration=1,IF($A609&lt;VLOOKUP(O$5,NFI,5,0),1,0)*Table_NFI[[#This Row],[Clothes Kit]],Table_NFI[Clothes Kit])</f>
        <v>0</v>
      </c>
      <c r="AG609" s="352">
        <f>IF(NFI_Expiration=1,IF($A609&lt;VLOOKUP(P$5,NFI,5,0),1,0)*Table_NFI[[#This Row],[Plastic Bucket]],Table_NFI[Plastic Bucket])</f>
        <v>0</v>
      </c>
      <c r="AH609" s="352">
        <f>IF(NFI_Expiration=1,IF($A609&lt;VLOOKUP(Q$5,NFI,5,0),1,0)*Table_NFI[[#This Row],[Plastic Mat]],Table_NFI[Plastic Mat])*IF(Table_NFI[[#This Row],[Distribution Date]]&gt;"2014-04-01",1,2.5)</f>
        <v>0</v>
      </c>
      <c r="AI609" s="352">
        <f>IF(NFI_Expiration=1,IF($A609&lt;VLOOKUP(R$5,NFI,5,0),1,0)*Table_NFI[[#This Row],[Winter Clothes Adult]],Table_NFI[Winter Clothes Adult])</f>
        <v>0</v>
      </c>
      <c r="AJ609" s="352">
        <f>IF(NFI_Expiration=1,IF($A609&lt;VLOOKUP(S$5,NFI,5,0),1,0)*Table_NFI[[#This Row],[Winter Clothes Children]],Table_NFI[Winter Clothes Children])</f>
        <v>0</v>
      </c>
      <c r="AK609" s="352">
        <f>IF(NFI_Expiration=1,IF($A609&lt;VLOOKUP(T$5,NFI,5,0),1,0)*Table_NFI[[#This Row],[Winter Items Other]],Table_NFI[Winter Items Other])</f>
        <v>0</v>
      </c>
      <c r="AL609" s="352">
        <f>IF(NFI_Expiration=1,IF($A609&lt;VLOOKUP(M$5,NFI,5,0),1,0)*Table_NFI[[#This Row],[Winter Blanket]],Table_NFI[[#This Row],[Winter Blanket]])</f>
        <v>0</v>
      </c>
      <c r="AM609" s="352">
        <f>IF(Table_NFI[[#This Row],[Winter Clothes Adult]]+Table_NFI[[#This Row],[Winter Clothes Children]]+Table_NFI[[#This Row],[Winter Items Other]]+Table_NFI[[#This Row],[Winter Blanket]]&gt;0,1,0)</f>
        <v>0</v>
      </c>
      <c r="AN609" s="392">
        <f>IF(NFI_Expiration=1,IF($A609&lt;VLOOKUP(V$5,NFI,5,0),1,0)*Table_NFI[[#This Row],[Jerry Can]],Table_NFI[Jerry Can])</f>
        <v>0</v>
      </c>
      <c r="AO609" s="540" t="str">
        <f>IFERROR(VLOOKUP(Table_NFI[[#This Row],[Camp Name]],CL,2,0),"")</f>
        <v>MMR001CMP177</v>
      </c>
      <c r="AP609" s="535">
        <f ca="1">IF(Table_NFI[[#This Row],[Pcode]]="","",IF(OFFSET(CampList[Opening Date],MATCH(Table_NFI[[#This Row],[Pcode]],CampList[CP_Pcode],0)-1,0,1,1)&gt;=NFI_Monitor_Date,1,0))</f>
        <v>0</v>
      </c>
      <c r="AQ609" s="540" t="str">
        <f>IFERROR(VLOOKUP(Table_NFI[[#This Row],[Camp Name]],CL,3,0),"")</f>
        <v>Closed</v>
      </c>
      <c r="AR609" s="352" t="str">
        <f ca="1">IF(Table_NFI[[#This Row],[Pcode]]="","",OFFSET(CampList[Priority],MATCH(Table_NFI[[#This Row],[Pcode]],CampList[CP_Pcode],0)-1,0,1,1))</f>
        <v/>
      </c>
      <c r="AS609" s="351" t="str">
        <f>IFERROR(Table_NFI[[#This Row],[Kitchen Set]]/VLOOKUP(Table_NFI[[#This Row],[Camp Name]],CL,4,0),"")</f>
        <v/>
      </c>
      <c r="AT609" s="533" t="s">
        <v>1094</v>
      </c>
      <c r="AU609" s="536"/>
    </row>
    <row r="610" spans="1:47" s="537" customFormat="1" ht="14.45" customHeight="1" x14ac:dyDescent="0.25">
      <c r="A610" s="355">
        <f t="shared" si="9"/>
        <v>41.533333333333331</v>
      </c>
      <c r="B610" s="532">
        <v>41325</v>
      </c>
      <c r="C610" s="533" t="s">
        <v>453</v>
      </c>
      <c r="D610" s="533" t="s">
        <v>453</v>
      </c>
      <c r="E610" s="533" t="s">
        <v>380</v>
      </c>
      <c r="F610" s="533" t="s">
        <v>528</v>
      </c>
      <c r="G610" s="348" t="s">
        <v>112</v>
      </c>
      <c r="H610" s="349"/>
      <c r="I610" s="349"/>
      <c r="J610" s="349">
        <v>38</v>
      </c>
      <c r="K610" s="349">
        <v>89</v>
      </c>
      <c r="L610" s="350">
        <v>44</v>
      </c>
      <c r="M610" s="350">
        <v>89</v>
      </c>
      <c r="N610" s="350">
        <v>44</v>
      </c>
      <c r="O610" s="350">
        <v>44</v>
      </c>
      <c r="P610" s="352">
        <v>44</v>
      </c>
      <c r="Q610" s="352">
        <v>44</v>
      </c>
      <c r="R610" s="352"/>
      <c r="S610" s="352"/>
      <c r="T610" s="352"/>
      <c r="U610" s="352"/>
      <c r="V610" s="497"/>
      <c r="W610" s="352"/>
      <c r="X610" s="352"/>
      <c r="Y610" s="352">
        <f>IF(NFI_Expiration=1,IF($A610&lt;VLOOKUP(H$5,NFI,5,0),1,0)*Table_NFI[[#This Row],[Hygiene Kit]],Table_NFI[Hygiene Kit])</f>
        <v>0</v>
      </c>
      <c r="Z610" s="352">
        <f>IF(NFI_Expiration=1,IF($A610&lt;VLOOKUP(I$5,NFI,5,0),1,0)*Table_NFI[[#This Row],[NFI Core Kit]],Table_NFI[NFI Core Kit])</f>
        <v>0</v>
      </c>
      <c r="AA610" s="352">
        <f>IF(NFI_Expiration=1,IF($A610&lt;VLOOKUP(J$5,NFI,5,0),1,0)*Table_NFI[[#This Row],[Sanitary Kit]],Table_NFI[Sanitary Kit])</f>
        <v>0</v>
      </c>
      <c r="AB610" s="352">
        <f>IF(NFI_Expiration=1,IF($A610&lt;VLOOKUP(K$5,NFI,5,0),1,0)*Table_NFI[[#This Row],[Mosquito net]],Table_NFI[Mosquito net])</f>
        <v>0</v>
      </c>
      <c r="AC610" s="352">
        <f>IF(NFI_Expiration=1,IF($A610&lt;VLOOKUP(L$5,NFI,5,0),1,0)*Table_NFI[[#This Row],[Tarpaulin]],Table_NFI[[#This Row],[Tarpaulin]])</f>
        <v>0</v>
      </c>
      <c r="AD610" s="352">
        <f>IF(NFI_Expiration=1,IF($A610&lt;VLOOKUP(M$5,NFI,5,0),1,0)*Table_NFI[[#This Row],[Blanket]],Table_NFI[[#This Row],[Blanket]])</f>
        <v>0</v>
      </c>
      <c r="AE610" s="352">
        <f>IF(NFI_Expiration=1,IF($A610&lt;VLOOKUP(N$5,NFI,5,0),1,0)*Table_NFI[[#This Row],[Kitchen Set]],Table_NFI[Kitchen Set])</f>
        <v>0</v>
      </c>
      <c r="AF610" s="352">
        <f>IF(NFI_Expiration=1,IF($A610&lt;VLOOKUP(O$5,NFI,5,0),1,0)*Table_NFI[[#This Row],[Clothes Kit]],Table_NFI[Clothes Kit])</f>
        <v>0</v>
      </c>
      <c r="AG610" s="352">
        <f>IF(NFI_Expiration=1,IF($A610&lt;VLOOKUP(P$5,NFI,5,0),1,0)*Table_NFI[[#This Row],[Plastic Bucket]],Table_NFI[Plastic Bucket])</f>
        <v>0</v>
      </c>
      <c r="AH610" s="352">
        <f>IF(NFI_Expiration=1,IF($A610&lt;VLOOKUP(Q$5,NFI,5,0),1,0)*Table_NFI[[#This Row],[Plastic Mat]],Table_NFI[Plastic Mat])*IF(Table_NFI[[#This Row],[Distribution Date]]&gt;"2014-04-01",1,2.5)</f>
        <v>0</v>
      </c>
      <c r="AI610" s="352">
        <f>IF(NFI_Expiration=1,IF($A610&lt;VLOOKUP(R$5,NFI,5,0),1,0)*Table_NFI[[#This Row],[Winter Clothes Adult]],Table_NFI[Winter Clothes Adult])</f>
        <v>0</v>
      </c>
      <c r="AJ610" s="352">
        <f>IF(NFI_Expiration=1,IF($A610&lt;VLOOKUP(S$5,NFI,5,0),1,0)*Table_NFI[[#This Row],[Winter Clothes Children]],Table_NFI[Winter Clothes Children])</f>
        <v>0</v>
      </c>
      <c r="AK610" s="352">
        <f>IF(NFI_Expiration=1,IF($A610&lt;VLOOKUP(T$5,NFI,5,0),1,0)*Table_NFI[[#This Row],[Winter Items Other]],Table_NFI[Winter Items Other])</f>
        <v>0</v>
      </c>
      <c r="AL610" s="352">
        <f>IF(NFI_Expiration=1,IF($A610&lt;VLOOKUP(M$5,NFI,5,0),1,0)*Table_NFI[[#This Row],[Winter Blanket]],Table_NFI[[#This Row],[Winter Blanket]])</f>
        <v>0</v>
      </c>
      <c r="AM610" s="352">
        <f>IF(Table_NFI[[#This Row],[Winter Clothes Adult]]+Table_NFI[[#This Row],[Winter Clothes Children]]+Table_NFI[[#This Row],[Winter Items Other]]+Table_NFI[[#This Row],[Winter Blanket]]&gt;0,1,0)</f>
        <v>0</v>
      </c>
      <c r="AN610" s="392">
        <f>IF(NFI_Expiration=1,IF($A610&lt;VLOOKUP(V$5,NFI,5,0),1,0)*Table_NFI[[#This Row],[Jerry Can]],Table_NFI[Jerry Can])</f>
        <v>0</v>
      </c>
      <c r="AO610" s="540" t="str">
        <f>IFERROR(VLOOKUP(Table_NFI[[#This Row],[Camp Name]],CL,2,0),"")</f>
        <v>MMR001CMP083</v>
      </c>
      <c r="AP610" s="535">
        <f ca="1">IF(Table_NFI[[#This Row],[Pcode]]="","",IF(OFFSET(CampList[Opening Date],MATCH(Table_NFI[[#This Row],[Pcode]],CampList[CP_Pcode],0)-1,0,1,1)&gt;=NFI_Monitor_Date,1,0))</f>
        <v>0</v>
      </c>
      <c r="AQ610" s="540" t="str">
        <f>IFERROR(VLOOKUP(Table_NFI[[#This Row],[Camp Name]],CL,3,0),"")</f>
        <v>Closed</v>
      </c>
      <c r="AR610" s="352" t="str">
        <f ca="1">IF(Table_NFI[[#This Row],[Pcode]]="","",OFFSET(CampList[Priority],MATCH(Table_NFI[[#This Row],[Pcode]],CampList[CP_Pcode],0)-1,0,1,1))</f>
        <v/>
      </c>
      <c r="AS610" s="351" t="str">
        <f>IFERROR(Table_NFI[[#This Row],[Kitchen Set]]/VLOOKUP(Table_NFI[[#This Row],[Camp Name]],CL,4,0),"")</f>
        <v/>
      </c>
      <c r="AT610" s="533" t="s">
        <v>1094</v>
      </c>
      <c r="AU610" s="536"/>
    </row>
    <row r="611" spans="1:47" s="537" customFormat="1" ht="14.45" customHeight="1" x14ac:dyDescent="0.25">
      <c r="A611" s="355">
        <f t="shared" si="9"/>
        <v>41.533333333333331</v>
      </c>
      <c r="B611" s="532">
        <v>41325</v>
      </c>
      <c r="C611" s="533" t="s">
        <v>453</v>
      </c>
      <c r="D611" s="533" t="s">
        <v>453</v>
      </c>
      <c r="E611" s="533" t="s">
        <v>380</v>
      </c>
      <c r="F611" s="533" t="s">
        <v>528</v>
      </c>
      <c r="G611" s="348" t="s">
        <v>140</v>
      </c>
      <c r="H611" s="349"/>
      <c r="I611" s="349"/>
      <c r="J611" s="349">
        <v>46</v>
      </c>
      <c r="K611" s="349">
        <v>0</v>
      </c>
      <c r="L611" s="350">
        <v>0</v>
      </c>
      <c r="M611" s="350">
        <v>0</v>
      </c>
      <c r="N611" s="350">
        <v>0</v>
      </c>
      <c r="O611" s="350">
        <v>0</v>
      </c>
      <c r="P611" s="352"/>
      <c r="Q611" s="352"/>
      <c r="R611" s="352"/>
      <c r="S611" s="352"/>
      <c r="T611" s="352"/>
      <c r="U611" s="352"/>
      <c r="V611" s="497"/>
      <c r="W611" s="352"/>
      <c r="X611" s="352"/>
      <c r="Y611" s="352">
        <f>IF(NFI_Expiration=1,IF($A611&lt;VLOOKUP(H$5,NFI,5,0),1,0)*Table_NFI[[#This Row],[Hygiene Kit]],Table_NFI[Hygiene Kit])</f>
        <v>0</v>
      </c>
      <c r="Z611" s="352">
        <f>IF(NFI_Expiration=1,IF($A611&lt;VLOOKUP(I$5,NFI,5,0),1,0)*Table_NFI[[#This Row],[NFI Core Kit]],Table_NFI[NFI Core Kit])</f>
        <v>0</v>
      </c>
      <c r="AA611" s="352">
        <f>IF(NFI_Expiration=1,IF($A611&lt;VLOOKUP(J$5,NFI,5,0),1,0)*Table_NFI[[#This Row],[Sanitary Kit]],Table_NFI[Sanitary Kit])</f>
        <v>0</v>
      </c>
      <c r="AB611" s="352">
        <f>IF(NFI_Expiration=1,IF($A611&lt;VLOOKUP(K$5,NFI,5,0),1,0)*Table_NFI[[#This Row],[Mosquito net]],Table_NFI[Mosquito net])</f>
        <v>0</v>
      </c>
      <c r="AC611" s="352">
        <f>IF(NFI_Expiration=1,IF($A611&lt;VLOOKUP(L$5,NFI,5,0),1,0)*Table_NFI[[#This Row],[Tarpaulin]],Table_NFI[[#This Row],[Tarpaulin]])</f>
        <v>0</v>
      </c>
      <c r="AD611" s="352">
        <f>IF(NFI_Expiration=1,IF($A611&lt;VLOOKUP(M$5,NFI,5,0),1,0)*Table_NFI[[#This Row],[Blanket]],Table_NFI[[#This Row],[Blanket]])</f>
        <v>0</v>
      </c>
      <c r="AE611" s="352">
        <f>IF(NFI_Expiration=1,IF($A611&lt;VLOOKUP(N$5,NFI,5,0),1,0)*Table_NFI[[#This Row],[Kitchen Set]],Table_NFI[Kitchen Set])</f>
        <v>0</v>
      </c>
      <c r="AF611" s="352">
        <f>IF(NFI_Expiration=1,IF($A611&lt;VLOOKUP(O$5,NFI,5,0),1,0)*Table_NFI[[#This Row],[Clothes Kit]],Table_NFI[Clothes Kit])</f>
        <v>0</v>
      </c>
      <c r="AG611" s="352">
        <f>IF(NFI_Expiration=1,IF($A611&lt;VLOOKUP(P$5,NFI,5,0),1,0)*Table_NFI[[#This Row],[Plastic Bucket]],Table_NFI[Plastic Bucket])</f>
        <v>0</v>
      </c>
      <c r="AH611" s="352">
        <f>IF(NFI_Expiration=1,IF($A611&lt;VLOOKUP(Q$5,NFI,5,0),1,0)*Table_NFI[[#This Row],[Plastic Mat]],Table_NFI[Plastic Mat])*IF(Table_NFI[[#This Row],[Distribution Date]]&gt;"2014-04-01",1,2.5)</f>
        <v>0</v>
      </c>
      <c r="AI611" s="352">
        <f>IF(NFI_Expiration=1,IF($A611&lt;VLOOKUP(R$5,NFI,5,0),1,0)*Table_NFI[[#This Row],[Winter Clothes Adult]],Table_NFI[Winter Clothes Adult])</f>
        <v>0</v>
      </c>
      <c r="AJ611" s="352">
        <f>IF(NFI_Expiration=1,IF($A611&lt;VLOOKUP(S$5,NFI,5,0),1,0)*Table_NFI[[#This Row],[Winter Clothes Children]],Table_NFI[Winter Clothes Children])</f>
        <v>0</v>
      </c>
      <c r="AK611" s="352">
        <f>IF(NFI_Expiration=1,IF($A611&lt;VLOOKUP(T$5,NFI,5,0),1,0)*Table_NFI[[#This Row],[Winter Items Other]],Table_NFI[Winter Items Other])</f>
        <v>0</v>
      </c>
      <c r="AL611" s="352">
        <f>IF(NFI_Expiration=1,IF($A611&lt;VLOOKUP(M$5,NFI,5,0),1,0)*Table_NFI[[#This Row],[Winter Blanket]],Table_NFI[[#This Row],[Winter Blanket]])</f>
        <v>0</v>
      </c>
      <c r="AM611" s="352">
        <f>IF(Table_NFI[[#This Row],[Winter Clothes Adult]]+Table_NFI[[#This Row],[Winter Clothes Children]]+Table_NFI[[#This Row],[Winter Items Other]]+Table_NFI[[#This Row],[Winter Blanket]]&gt;0,1,0)</f>
        <v>0</v>
      </c>
      <c r="AN611" s="392">
        <f>IF(NFI_Expiration=1,IF($A611&lt;VLOOKUP(V$5,NFI,5,0),1,0)*Table_NFI[[#This Row],[Jerry Can]],Table_NFI[Jerry Can])</f>
        <v>0</v>
      </c>
      <c r="AO611" s="540" t="str">
        <f>IFERROR(VLOOKUP(Table_NFI[[#This Row],[Camp Name]],CL,2,0),"")</f>
        <v>MMR001CMP105</v>
      </c>
      <c r="AP611" s="535">
        <f ca="1">IF(Table_NFI[[#This Row],[Pcode]]="","",IF(OFFSET(CampList[Opening Date],MATCH(Table_NFI[[#This Row],[Pcode]],CampList[CP_Pcode],0)-1,0,1,1)&gt;=NFI_Monitor_Date,1,0))</f>
        <v>0</v>
      </c>
      <c r="AQ611" s="540" t="str">
        <f>IFERROR(VLOOKUP(Table_NFI[[#This Row],[Camp Name]],CL,3,0),"")</f>
        <v>Open</v>
      </c>
      <c r="AR611" s="352" t="str">
        <f ca="1">IF(Table_NFI[[#This Row],[Pcode]]="","",OFFSET(CampList[Priority],MATCH(Table_NFI[[#This Row],[Pcode]],CampList[CP_Pcode],0)-1,0,1,1))</f>
        <v>P4</v>
      </c>
      <c r="AS611" s="351">
        <f>IFERROR(Table_NFI[[#This Row],[Kitchen Set]]/VLOOKUP(Table_NFI[[#This Row],[Camp Name]],CL,4,0),"")</f>
        <v>0</v>
      </c>
      <c r="AT611" s="533" t="s">
        <v>1094</v>
      </c>
      <c r="AU611" s="536"/>
    </row>
    <row r="612" spans="1:47" s="537" customFormat="1" ht="14.45" customHeight="1" x14ac:dyDescent="0.25">
      <c r="A612" s="355">
        <f t="shared" si="9"/>
        <v>41.533333333333331</v>
      </c>
      <c r="B612" s="532">
        <v>41325</v>
      </c>
      <c r="C612" s="533" t="s">
        <v>453</v>
      </c>
      <c r="D612" s="534" t="s">
        <v>453</v>
      </c>
      <c r="E612" s="533" t="s">
        <v>380</v>
      </c>
      <c r="F612" s="348" t="s">
        <v>528</v>
      </c>
      <c r="G612" s="348" t="s">
        <v>515</v>
      </c>
      <c r="H612" s="349"/>
      <c r="I612" s="349"/>
      <c r="J612" s="349"/>
      <c r="K612" s="349">
        <v>11</v>
      </c>
      <c r="L612" s="350">
        <v>6</v>
      </c>
      <c r="M612" s="350">
        <v>0</v>
      </c>
      <c r="N612" s="350">
        <v>6</v>
      </c>
      <c r="O612" s="350">
        <v>6</v>
      </c>
      <c r="P612" s="352">
        <v>6</v>
      </c>
      <c r="Q612" s="352">
        <v>6</v>
      </c>
      <c r="R612" s="352"/>
      <c r="S612" s="352"/>
      <c r="T612" s="352"/>
      <c r="U612" s="352"/>
      <c r="V612" s="497"/>
      <c r="W612" s="352"/>
      <c r="X612" s="352"/>
      <c r="Y612" s="352">
        <f>IF(NFI_Expiration=1,IF($A612&lt;VLOOKUP(H$5,NFI,5,0),1,0)*Table_NFI[[#This Row],[Hygiene Kit]],Table_NFI[Hygiene Kit])</f>
        <v>0</v>
      </c>
      <c r="Z612" s="352">
        <f>IF(NFI_Expiration=1,IF($A612&lt;VLOOKUP(I$5,NFI,5,0),1,0)*Table_NFI[[#This Row],[NFI Core Kit]],Table_NFI[NFI Core Kit])</f>
        <v>0</v>
      </c>
      <c r="AA612" s="352">
        <f>IF(NFI_Expiration=1,IF($A612&lt;VLOOKUP(J$5,NFI,5,0),1,0)*Table_NFI[[#This Row],[Sanitary Kit]],Table_NFI[Sanitary Kit])</f>
        <v>0</v>
      </c>
      <c r="AB612" s="352">
        <f>IF(NFI_Expiration=1,IF($A612&lt;VLOOKUP(K$5,NFI,5,0),1,0)*Table_NFI[[#This Row],[Mosquito net]],Table_NFI[Mosquito net])</f>
        <v>0</v>
      </c>
      <c r="AC612" s="352">
        <f>IF(NFI_Expiration=1,IF($A612&lt;VLOOKUP(L$5,NFI,5,0),1,0)*Table_NFI[[#This Row],[Tarpaulin]],Table_NFI[[#This Row],[Tarpaulin]])</f>
        <v>0</v>
      </c>
      <c r="AD612" s="352">
        <f>IF(NFI_Expiration=1,IF($A612&lt;VLOOKUP(M$5,NFI,5,0),1,0)*Table_NFI[[#This Row],[Blanket]],Table_NFI[[#This Row],[Blanket]])</f>
        <v>0</v>
      </c>
      <c r="AE612" s="352">
        <f>IF(NFI_Expiration=1,IF($A612&lt;VLOOKUP(N$5,NFI,5,0),1,0)*Table_NFI[[#This Row],[Kitchen Set]],Table_NFI[Kitchen Set])</f>
        <v>0</v>
      </c>
      <c r="AF612" s="352">
        <f>IF(NFI_Expiration=1,IF($A612&lt;VLOOKUP(O$5,NFI,5,0),1,0)*Table_NFI[[#This Row],[Clothes Kit]],Table_NFI[Clothes Kit])</f>
        <v>0</v>
      </c>
      <c r="AG612" s="352">
        <f>IF(NFI_Expiration=1,IF($A612&lt;VLOOKUP(P$5,NFI,5,0),1,0)*Table_NFI[[#This Row],[Plastic Bucket]],Table_NFI[Plastic Bucket])</f>
        <v>0</v>
      </c>
      <c r="AH612" s="352">
        <f>IF(NFI_Expiration=1,IF($A612&lt;VLOOKUP(Q$5,NFI,5,0),1,0)*Table_NFI[[#This Row],[Plastic Mat]],Table_NFI[Plastic Mat])*IF(Table_NFI[[#This Row],[Distribution Date]]&gt;"2014-04-01",1,2.5)</f>
        <v>0</v>
      </c>
      <c r="AI612" s="352">
        <f>IF(NFI_Expiration=1,IF($A612&lt;VLOOKUP(R$5,NFI,5,0),1,0)*Table_NFI[[#This Row],[Winter Clothes Adult]],Table_NFI[Winter Clothes Adult])</f>
        <v>0</v>
      </c>
      <c r="AJ612" s="352">
        <f>IF(NFI_Expiration=1,IF($A612&lt;VLOOKUP(S$5,NFI,5,0),1,0)*Table_NFI[[#This Row],[Winter Clothes Children]],Table_NFI[Winter Clothes Children])</f>
        <v>0</v>
      </c>
      <c r="AK612" s="352">
        <f>IF(NFI_Expiration=1,IF($A612&lt;VLOOKUP(T$5,NFI,5,0),1,0)*Table_NFI[[#This Row],[Winter Items Other]],Table_NFI[Winter Items Other])</f>
        <v>0</v>
      </c>
      <c r="AL612" s="352">
        <f>IF(NFI_Expiration=1,IF($A612&lt;VLOOKUP(M$5,NFI,5,0),1,0)*Table_NFI[[#This Row],[Winter Blanket]],Table_NFI[[#This Row],[Winter Blanket]])</f>
        <v>0</v>
      </c>
      <c r="AM612" s="352">
        <f>IF(Table_NFI[[#This Row],[Winter Clothes Adult]]+Table_NFI[[#This Row],[Winter Clothes Children]]+Table_NFI[[#This Row],[Winter Items Other]]+Table_NFI[[#This Row],[Winter Blanket]]&gt;0,1,0)</f>
        <v>0</v>
      </c>
      <c r="AN612" s="392">
        <f>IF(NFI_Expiration=1,IF($A612&lt;VLOOKUP(V$5,NFI,5,0),1,0)*Table_NFI[[#This Row],[Jerry Can]],Table_NFI[Jerry Can])</f>
        <v>0</v>
      </c>
      <c r="AO612" s="540" t="str">
        <f>IFERROR(VLOOKUP(Table_NFI[[#This Row],[Camp Name]],CL,2,0),"")</f>
        <v>MMR001CMP201</v>
      </c>
      <c r="AP612" s="535">
        <f ca="1">IF(Table_NFI[[#This Row],[Pcode]]="","",IF(OFFSET(CampList[Opening Date],MATCH(Table_NFI[[#This Row],[Pcode]],CampList[CP_Pcode],0)-1,0,1,1)&gt;=NFI_Monitor_Date,1,0))</f>
        <v>0</v>
      </c>
      <c r="AQ612" s="540" t="str">
        <f>IFERROR(VLOOKUP(Table_NFI[[#This Row],[Camp Name]],CL,3,0),"")</f>
        <v>Closed</v>
      </c>
      <c r="AR612" s="352" t="str">
        <f ca="1">IF(Table_NFI[[#This Row],[Pcode]]="","",OFFSET(CampList[Priority],MATCH(Table_NFI[[#This Row],[Pcode]],CampList[CP_Pcode],0)-1,0,1,1))</f>
        <v/>
      </c>
      <c r="AS612" s="351" t="str">
        <f>IFERROR(Table_NFI[[#This Row],[Kitchen Set]]/VLOOKUP(Table_NFI[[#This Row],[Camp Name]],CL,4,0),"")</f>
        <v/>
      </c>
      <c r="AT612" s="533" t="s">
        <v>1094</v>
      </c>
      <c r="AU612" s="536"/>
    </row>
    <row r="613" spans="1:47" s="537" customFormat="1" ht="14.45" customHeight="1" x14ac:dyDescent="0.25">
      <c r="A613" s="355">
        <f t="shared" si="9"/>
        <v>41.56666666666667</v>
      </c>
      <c r="B613" s="532">
        <v>41324</v>
      </c>
      <c r="C613" s="533" t="s">
        <v>453</v>
      </c>
      <c r="D613" s="533" t="s">
        <v>453</v>
      </c>
      <c r="E613" s="533" t="s">
        <v>380</v>
      </c>
      <c r="F613" s="533" t="s">
        <v>528</v>
      </c>
      <c r="G613" s="348" t="s">
        <v>128</v>
      </c>
      <c r="H613" s="349"/>
      <c r="I613" s="349"/>
      <c r="J613" s="349">
        <v>3</v>
      </c>
      <c r="K613" s="349">
        <v>7</v>
      </c>
      <c r="L613" s="350">
        <v>4</v>
      </c>
      <c r="M613" s="350">
        <v>7</v>
      </c>
      <c r="N613" s="350">
        <v>4</v>
      </c>
      <c r="O613" s="350">
        <v>4</v>
      </c>
      <c r="P613" s="352">
        <v>4</v>
      </c>
      <c r="Q613" s="352">
        <v>4</v>
      </c>
      <c r="R613" s="352"/>
      <c r="S613" s="352"/>
      <c r="T613" s="352"/>
      <c r="U613" s="352"/>
      <c r="V613" s="497"/>
      <c r="W613" s="352"/>
      <c r="X613" s="352"/>
      <c r="Y613" s="352">
        <f>IF(NFI_Expiration=1,IF($A613&lt;VLOOKUP(H$5,NFI,5,0),1,0)*Table_NFI[[#This Row],[Hygiene Kit]],Table_NFI[Hygiene Kit])</f>
        <v>0</v>
      </c>
      <c r="Z613" s="352">
        <f>IF(NFI_Expiration=1,IF($A613&lt;VLOOKUP(I$5,NFI,5,0),1,0)*Table_NFI[[#This Row],[NFI Core Kit]],Table_NFI[NFI Core Kit])</f>
        <v>0</v>
      </c>
      <c r="AA613" s="352">
        <f>IF(NFI_Expiration=1,IF($A613&lt;VLOOKUP(J$5,NFI,5,0),1,0)*Table_NFI[[#This Row],[Sanitary Kit]],Table_NFI[Sanitary Kit])</f>
        <v>0</v>
      </c>
      <c r="AB613" s="352">
        <f>IF(NFI_Expiration=1,IF($A613&lt;VLOOKUP(K$5,NFI,5,0),1,0)*Table_NFI[[#This Row],[Mosquito net]],Table_NFI[Mosquito net])</f>
        <v>0</v>
      </c>
      <c r="AC613" s="352">
        <f>IF(NFI_Expiration=1,IF($A613&lt;VLOOKUP(L$5,NFI,5,0),1,0)*Table_NFI[[#This Row],[Tarpaulin]],Table_NFI[[#This Row],[Tarpaulin]])</f>
        <v>0</v>
      </c>
      <c r="AD613" s="352">
        <f>IF(NFI_Expiration=1,IF($A613&lt;VLOOKUP(M$5,NFI,5,0),1,0)*Table_NFI[[#This Row],[Blanket]],Table_NFI[[#This Row],[Blanket]])</f>
        <v>0</v>
      </c>
      <c r="AE613" s="352">
        <f>IF(NFI_Expiration=1,IF($A613&lt;VLOOKUP(N$5,NFI,5,0),1,0)*Table_NFI[[#This Row],[Kitchen Set]],Table_NFI[Kitchen Set])</f>
        <v>0</v>
      </c>
      <c r="AF613" s="352">
        <f>IF(NFI_Expiration=1,IF($A613&lt;VLOOKUP(O$5,NFI,5,0),1,0)*Table_NFI[[#This Row],[Clothes Kit]],Table_NFI[Clothes Kit])</f>
        <v>0</v>
      </c>
      <c r="AG613" s="352">
        <f>IF(NFI_Expiration=1,IF($A613&lt;VLOOKUP(P$5,NFI,5,0),1,0)*Table_NFI[[#This Row],[Plastic Bucket]],Table_NFI[Plastic Bucket])</f>
        <v>0</v>
      </c>
      <c r="AH613" s="352">
        <f>IF(NFI_Expiration=1,IF($A613&lt;VLOOKUP(Q$5,NFI,5,0),1,0)*Table_NFI[[#This Row],[Plastic Mat]],Table_NFI[Plastic Mat])*IF(Table_NFI[[#This Row],[Distribution Date]]&gt;"2014-04-01",1,2.5)</f>
        <v>0</v>
      </c>
      <c r="AI613" s="352">
        <f>IF(NFI_Expiration=1,IF($A613&lt;VLOOKUP(R$5,NFI,5,0),1,0)*Table_NFI[[#This Row],[Winter Clothes Adult]],Table_NFI[Winter Clothes Adult])</f>
        <v>0</v>
      </c>
      <c r="AJ613" s="352">
        <f>IF(NFI_Expiration=1,IF($A613&lt;VLOOKUP(S$5,NFI,5,0),1,0)*Table_NFI[[#This Row],[Winter Clothes Children]],Table_NFI[Winter Clothes Children])</f>
        <v>0</v>
      </c>
      <c r="AK613" s="352">
        <f>IF(NFI_Expiration=1,IF($A613&lt;VLOOKUP(T$5,NFI,5,0),1,0)*Table_NFI[[#This Row],[Winter Items Other]],Table_NFI[Winter Items Other])</f>
        <v>0</v>
      </c>
      <c r="AL613" s="352">
        <f>IF(NFI_Expiration=1,IF($A613&lt;VLOOKUP(M$5,NFI,5,0),1,0)*Table_NFI[[#This Row],[Winter Blanket]],Table_NFI[[#This Row],[Winter Blanket]])</f>
        <v>0</v>
      </c>
      <c r="AM613" s="352">
        <f>IF(Table_NFI[[#This Row],[Winter Clothes Adult]]+Table_NFI[[#This Row],[Winter Clothes Children]]+Table_NFI[[#This Row],[Winter Items Other]]+Table_NFI[[#This Row],[Winter Blanket]]&gt;0,1,0)</f>
        <v>0</v>
      </c>
      <c r="AN613" s="392">
        <f>IF(NFI_Expiration=1,IF($A613&lt;VLOOKUP(V$5,NFI,5,0),1,0)*Table_NFI[[#This Row],[Jerry Can]],Table_NFI[Jerry Can])</f>
        <v>0</v>
      </c>
      <c r="AO613" s="540" t="str">
        <f>IFERROR(VLOOKUP(Table_NFI[[#This Row],[Camp Name]],CL,2,0),"")</f>
        <v>MMR001CMP171</v>
      </c>
      <c r="AP613" s="535">
        <f ca="1">IF(Table_NFI[[#This Row],[Pcode]]="","",IF(OFFSET(CampList[Opening Date],MATCH(Table_NFI[[#This Row],[Pcode]],CampList[CP_Pcode],0)-1,0,1,1)&gt;=NFI_Monitor_Date,1,0))</f>
        <v>0</v>
      </c>
      <c r="AQ613" s="540" t="str">
        <f>IFERROR(VLOOKUP(Table_NFI[[#This Row],[Camp Name]],CL,3,0),"")</f>
        <v>Closed</v>
      </c>
      <c r="AR613" s="352" t="str">
        <f ca="1">IF(Table_NFI[[#This Row],[Pcode]]="","",OFFSET(CampList[Priority],MATCH(Table_NFI[[#This Row],[Pcode]],CampList[CP_Pcode],0)-1,0,1,1))</f>
        <v/>
      </c>
      <c r="AS613" s="351" t="str">
        <f>IFERROR(Table_NFI[[#This Row],[Kitchen Set]]/VLOOKUP(Table_NFI[[#This Row],[Camp Name]],CL,4,0),"")</f>
        <v/>
      </c>
      <c r="AT613" s="533" t="s">
        <v>1094</v>
      </c>
      <c r="AU613" s="536"/>
    </row>
    <row r="614" spans="1:47" s="537" customFormat="1" ht="14.45" customHeight="1" x14ac:dyDescent="0.25">
      <c r="A614" s="355">
        <f t="shared" si="9"/>
        <v>41.56666666666667</v>
      </c>
      <c r="B614" s="532">
        <v>41324</v>
      </c>
      <c r="C614" s="533" t="s">
        <v>453</v>
      </c>
      <c r="D614" s="534" t="s">
        <v>453</v>
      </c>
      <c r="E614" s="533" t="s">
        <v>380</v>
      </c>
      <c r="F614" s="348" t="s">
        <v>528</v>
      </c>
      <c r="G614" s="348" t="s">
        <v>62</v>
      </c>
      <c r="H614" s="349"/>
      <c r="I614" s="349"/>
      <c r="J614" s="349">
        <v>18</v>
      </c>
      <c r="K614" s="349">
        <v>30</v>
      </c>
      <c r="L614" s="350">
        <v>17</v>
      </c>
      <c r="M614" s="350">
        <v>64</v>
      </c>
      <c r="N614" s="350">
        <v>17</v>
      </c>
      <c r="O614" s="350">
        <v>17</v>
      </c>
      <c r="P614" s="352">
        <v>17</v>
      </c>
      <c r="Q614" s="352">
        <v>17</v>
      </c>
      <c r="R614" s="352"/>
      <c r="S614" s="352"/>
      <c r="T614" s="352"/>
      <c r="U614" s="352"/>
      <c r="V614" s="497"/>
      <c r="W614" s="352"/>
      <c r="X614" s="352"/>
      <c r="Y614" s="352">
        <f>IF(NFI_Expiration=1,IF($A614&lt;VLOOKUP(H$5,NFI,5,0),1,0)*Table_NFI[[#This Row],[Hygiene Kit]],Table_NFI[Hygiene Kit])</f>
        <v>0</v>
      </c>
      <c r="Z614" s="352">
        <f>IF(NFI_Expiration=1,IF($A614&lt;VLOOKUP(I$5,NFI,5,0),1,0)*Table_NFI[[#This Row],[NFI Core Kit]],Table_NFI[NFI Core Kit])</f>
        <v>0</v>
      </c>
      <c r="AA614" s="352">
        <f>IF(NFI_Expiration=1,IF($A614&lt;VLOOKUP(J$5,NFI,5,0),1,0)*Table_NFI[[#This Row],[Sanitary Kit]],Table_NFI[Sanitary Kit])</f>
        <v>0</v>
      </c>
      <c r="AB614" s="352">
        <f>IF(NFI_Expiration=1,IF($A614&lt;VLOOKUP(K$5,NFI,5,0),1,0)*Table_NFI[[#This Row],[Mosquito net]],Table_NFI[Mosquito net])</f>
        <v>0</v>
      </c>
      <c r="AC614" s="352">
        <f>IF(NFI_Expiration=1,IF($A614&lt;VLOOKUP(L$5,NFI,5,0),1,0)*Table_NFI[[#This Row],[Tarpaulin]],Table_NFI[[#This Row],[Tarpaulin]])</f>
        <v>0</v>
      </c>
      <c r="AD614" s="352">
        <f>IF(NFI_Expiration=1,IF($A614&lt;VLOOKUP(M$5,NFI,5,0),1,0)*Table_NFI[[#This Row],[Blanket]],Table_NFI[[#This Row],[Blanket]])</f>
        <v>0</v>
      </c>
      <c r="AE614" s="352">
        <f>IF(NFI_Expiration=1,IF($A614&lt;VLOOKUP(N$5,NFI,5,0),1,0)*Table_NFI[[#This Row],[Kitchen Set]],Table_NFI[Kitchen Set])</f>
        <v>0</v>
      </c>
      <c r="AF614" s="352">
        <f>IF(NFI_Expiration=1,IF($A614&lt;VLOOKUP(O$5,NFI,5,0),1,0)*Table_NFI[[#This Row],[Clothes Kit]],Table_NFI[Clothes Kit])</f>
        <v>0</v>
      </c>
      <c r="AG614" s="352">
        <f>IF(NFI_Expiration=1,IF($A614&lt;VLOOKUP(P$5,NFI,5,0),1,0)*Table_NFI[[#This Row],[Plastic Bucket]],Table_NFI[Plastic Bucket])</f>
        <v>0</v>
      </c>
      <c r="AH614" s="352">
        <f>IF(NFI_Expiration=1,IF($A614&lt;VLOOKUP(Q$5,NFI,5,0),1,0)*Table_NFI[[#This Row],[Plastic Mat]],Table_NFI[Plastic Mat])*IF(Table_NFI[[#This Row],[Distribution Date]]&gt;"2014-04-01",1,2.5)</f>
        <v>0</v>
      </c>
      <c r="AI614" s="352">
        <f>IF(NFI_Expiration=1,IF($A614&lt;VLOOKUP(R$5,NFI,5,0),1,0)*Table_NFI[[#This Row],[Winter Clothes Adult]],Table_NFI[Winter Clothes Adult])</f>
        <v>0</v>
      </c>
      <c r="AJ614" s="352">
        <f>IF(NFI_Expiration=1,IF($A614&lt;VLOOKUP(S$5,NFI,5,0),1,0)*Table_NFI[[#This Row],[Winter Clothes Children]],Table_NFI[Winter Clothes Children])</f>
        <v>0</v>
      </c>
      <c r="AK614" s="352">
        <f>IF(NFI_Expiration=1,IF($A614&lt;VLOOKUP(T$5,NFI,5,0),1,0)*Table_NFI[[#This Row],[Winter Items Other]],Table_NFI[Winter Items Other])</f>
        <v>0</v>
      </c>
      <c r="AL614" s="352">
        <f>IF(NFI_Expiration=1,IF($A614&lt;VLOOKUP(M$5,NFI,5,0),1,0)*Table_NFI[[#This Row],[Winter Blanket]],Table_NFI[[#This Row],[Winter Blanket]])</f>
        <v>0</v>
      </c>
      <c r="AM614" s="352">
        <f>IF(Table_NFI[[#This Row],[Winter Clothes Adult]]+Table_NFI[[#This Row],[Winter Clothes Children]]+Table_NFI[[#This Row],[Winter Items Other]]+Table_NFI[[#This Row],[Winter Blanket]]&gt;0,1,0)</f>
        <v>0</v>
      </c>
      <c r="AN614" s="392">
        <f>IF(NFI_Expiration=1,IF($A614&lt;VLOOKUP(V$5,NFI,5,0),1,0)*Table_NFI[[#This Row],[Jerry Can]],Table_NFI[Jerry Can])</f>
        <v>0</v>
      </c>
      <c r="AO614" s="540" t="str">
        <f>IFERROR(VLOOKUP(Table_NFI[[#This Row],[Camp Name]],CL,2,0),"")</f>
        <v>MMR001CMP179</v>
      </c>
      <c r="AP614" s="535">
        <f ca="1">IF(Table_NFI[[#This Row],[Pcode]]="","",IF(OFFSET(CampList[Opening Date],MATCH(Table_NFI[[#This Row],[Pcode]],CampList[CP_Pcode],0)-1,0,1,1)&gt;=NFI_Monitor_Date,1,0))</f>
        <v>0</v>
      </c>
      <c r="AQ614" s="540" t="str">
        <f>IFERROR(VLOOKUP(Table_NFI[[#This Row],[Camp Name]],CL,3,0),"")</f>
        <v>Open</v>
      </c>
      <c r="AR614" s="352" t="str">
        <f ca="1">IF(Table_NFI[[#This Row],[Pcode]]="","",OFFSET(CampList[Priority],MATCH(Table_NFI[[#This Row],[Pcode]],CampList[CP_Pcode],0)-1,0,1,1))</f>
        <v>P4</v>
      </c>
      <c r="AS614" s="351">
        <f>IFERROR(Table_NFI[[#This Row],[Kitchen Set]]/VLOOKUP(Table_NFI[[#This Row],[Camp Name]],CL,4,0),"")</f>
        <v>0.23287671232876711</v>
      </c>
      <c r="AT614" s="533" t="s">
        <v>1094</v>
      </c>
      <c r="AU614" s="536"/>
    </row>
    <row r="615" spans="1:47" s="537" customFormat="1" ht="14.45" customHeight="1" x14ac:dyDescent="0.25">
      <c r="A615" s="355">
        <f t="shared" si="9"/>
        <v>41.56666666666667</v>
      </c>
      <c r="B615" s="532">
        <v>41324</v>
      </c>
      <c r="C615" s="533" t="s">
        <v>453</v>
      </c>
      <c r="D615" s="533" t="s">
        <v>453</v>
      </c>
      <c r="E615" s="533" t="s">
        <v>380</v>
      </c>
      <c r="F615" s="348" t="s">
        <v>528</v>
      </c>
      <c r="G615" s="348" t="s">
        <v>39</v>
      </c>
      <c r="H615" s="349"/>
      <c r="I615" s="349"/>
      <c r="J615" s="349">
        <v>1</v>
      </c>
      <c r="K615" s="349">
        <v>6</v>
      </c>
      <c r="L615" s="350">
        <v>3</v>
      </c>
      <c r="M615" s="350">
        <v>15</v>
      </c>
      <c r="N615" s="350">
        <v>4</v>
      </c>
      <c r="O615" s="350">
        <v>4</v>
      </c>
      <c r="P615" s="352">
        <v>4</v>
      </c>
      <c r="Q615" s="352">
        <v>4</v>
      </c>
      <c r="R615" s="352"/>
      <c r="S615" s="352"/>
      <c r="T615" s="352"/>
      <c r="U615" s="352"/>
      <c r="V615" s="497"/>
      <c r="W615" s="352"/>
      <c r="X615" s="352"/>
      <c r="Y615" s="352">
        <f>IF(NFI_Expiration=1,IF($A615&lt;VLOOKUP(H$5,NFI,5,0),1,0)*Table_NFI[[#This Row],[Hygiene Kit]],Table_NFI[Hygiene Kit])</f>
        <v>0</v>
      </c>
      <c r="Z615" s="352">
        <f>IF(NFI_Expiration=1,IF($A615&lt;VLOOKUP(I$5,NFI,5,0),1,0)*Table_NFI[[#This Row],[NFI Core Kit]],Table_NFI[NFI Core Kit])</f>
        <v>0</v>
      </c>
      <c r="AA615" s="352">
        <f>IF(NFI_Expiration=1,IF($A615&lt;VLOOKUP(J$5,NFI,5,0),1,0)*Table_NFI[[#This Row],[Sanitary Kit]],Table_NFI[Sanitary Kit])</f>
        <v>0</v>
      </c>
      <c r="AB615" s="352">
        <f>IF(NFI_Expiration=1,IF($A615&lt;VLOOKUP(K$5,NFI,5,0),1,0)*Table_NFI[[#This Row],[Mosquito net]],Table_NFI[Mosquito net])</f>
        <v>0</v>
      </c>
      <c r="AC615" s="352">
        <f>IF(NFI_Expiration=1,IF($A615&lt;VLOOKUP(L$5,NFI,5,0),1,0)*Table_NFI[[#This Row],[Tarpaulin]],Table_NFI[[#This Row],[Tarpaulin]])</f>
        <v>0</v>
      </c>
      <c r="AD615" s="352">
        <f>IF(NFI_Expiration=1,IF($A615&lt;VLOOKUP(M$5,NFI,5,0),1,0)*Table_NFI[[#This Row],[Blanket]],Table_NFI[[#This Row],[Blanket]])</f>
        <v>0</v>
      </c>
      <c r="AE615" s="352">
        <f>IF(NFI_Expiration=1,IF($A615&lt;VLOOKUP(N$5,NFI,5,0),1,0)*Table_NFI[[#This Row],[Kitchen Set]],Table_NFI[Kitchen Set])</f>
        <v>0</v>
      </c>
      <c r="AF615" s="352">
        <f>IF(NFI_Expiration=1,IF($A615&lt;VLOOKUP(O$5,NFI,5,0),1,0)*Table_NFI[[#This Row],[Clothes Kit]],Table_NFI[Clothes Kit])</f>
        <v>0</v>
      </c>
      <c r="AG615" s="352">
        <f>IF(NFI_Expiration=1,IF($A615&lt;VLOOKUP(P$5,NFI,5,0),1,0)*Table_NFI[[#This Row],[Plastic Bucket]],Table_NFI[Plastic Bucket])</f>
        <v>0</v>
      </c>
      <c r="AH615" s="352">
        <f>IF(NFI_Expiration=1,IF($A615&lt;VLOOKUP(Q$5,NFI,5,0),1,0)*Table_NFI[[#This Row],[Plastic Mat]],Table_NFI[Plastic Mat])*IF(Table_NFI[[#This Row],[Distribution Date]]&gt;"2014-04-01",1,2.5)</f>
        <v>0</v>
      </c>
      <c r="AI615" s="352">
        <f>IF(NFI_Expiration=1,IF($A615&lt;VLOOKUP(R$5,NFI,5,0),1,0)*Table_NFI[[#This Row],[Winter Clothes Adult]],Table_NFI[Winter Clothes Adult])</f>
        <v>0</v>
      </c>
      <c r="AJ615" s="352">
        <f>IF(NFI_Expiration=1,IF($A615&lt;VLOOKUP(S$5,NFI,5,0),1,0)*Table_NFI[[#This Row],[Winter Clothes Children]],Table_NFI[Winter Clothes Children])</f>
        <v>0</v>
      </c>
      <c r="AK615" s="352">
        <f>IF(NFI_Expiration=1,IF($A615&lt;VLOOKUP(T$5,NFI,5,0),1,0)*Table_NFI[[#This Row],[Winter Items Other]],Table_NFI[Winter Items Other])</f>
        <v>0</v>
      </c>
      <c r="AL615" s="352">
        <f>IF(NFI_Expiration=1,IF($A615&lt;VLOOKUP(M$5,NFI,5,0),1,0)*Table_NFI[[#This Row],[Winter Blanket]],Table_NFI[[#This Row],[Winter Blanket]])</f>
        <v>0</v>
      </c>
      <c r="AM615" s="352">
        <f>IF(Table_NFI[[#This Row],[Winter Clothes Adult]]+Table_NFI[[#This Row],[Winter Clothes Children]]+Table_NFI[[#This Row],[Winter Items Other]]+Table_NFI[[#This Row],[Winter Blanket]]&gt;0,1,0)</f>
        <v>0</v>
      </c>
      <c r="AN615" s="392">
        <f>IF(NFI_Expiration=1,IF($A615&lt;VLOOKUP(V$5,NFI,5,0),1,0)*Table_NFI[[#This Row],[Jerry Can]],Table_NFI[Jerry Can])</f>
        <v>0</v>
      </c>
      <c r="AO615" s="540" t="str">
        <f>IFERROR(VLOOKUP(Table_NFI[[#This Row],[Camp Name]],CL,2,0),"")</f>
        <v>MMR001CMP173</v>
      </c>
      <c r="AP615" s="535">
        <f ca="1">IF(Table_NFI[[#This Row],[Pcode]]="","",IF(OFFSET(CampList[Opening Date],MATCH(Table_NFI[[#This Row],[Pcode]],CampList[CP_Pcode],0)-1,0,1,1)&gt;=NFI_Monitor_Date,1,0))</f>
        <v>0</v>
      </c>
      <c r="AQ615" s="540" t="str">
        <f>IFERROR(VLOOKUP(Table_NFI[[#This Row],[Camp Name]],CL,3,0),"")</f>
        <v>Closed</v>
      </c>
      <c r="AR615" s="352" t="str">
        <f ca="1">IF(Table_NFI[[#This Row],[Pcode]]="","",OFFSET(CampList[Priority],MATCH(Table_NFI[[#This Row],[Pcode]],CampList[CP_Pcode],0)-1,0,1,1))</f>
        <v/>
      </c>
      <c r="AS615" s="351" t="str">
        <f>IFERROR(Table_NFI[[#This Row],[Kitchen Set]]/VLOOKUP(Table_NFI[[#This Row],[Camp Name]],CL,4,0),"")</f>
        <v/>
      </c>
      <c r="AT615" s="533" t="s">
        <v>1094</v>
      </c>
      <c r="AU615" s="536"/>
    </row>
    <row r="616" spans="1:47" s="537" customFormat="1" ht="14.45" customHeight="1" x14ac:dyDescent="0.25">
      <c r="A616" s="355">
        <f t="shared" si="9"/>
        <v>41.56666666666667</v>
      </c>
      <c r="B616" s="532">
        <v>41324</v>
      </c>
      <c r="C616" s="533" t="s">
        <v>453</v>
      </c>
      <c r="D616" s="533" t="s">
        <v>453</v>
      </c>
      <c r="E616" s="533" t="s">
        <v>380</v>
      </c>
      <c r="F616" s="348" t="s">
        <v>528</v>
      </c>
      <c r="G616" s="348" t="s">
        <v>39</v>
      </c>
      <c r="H616" s="349"/>
      <c r="I616" s="349"/>
      <c r="J616" s="349">
        <v>92</v>
      </c>
      <c r="K616" s="349">
        <v>130</v>
      </c>
      <c r="L616" s="350">
        <v>67</v>
      </c>
      <c r="M616" s="350">
        <v>130</v>
      </c>
      <c r="N616" s="350">
        <v>67</v>
      </c>
      <c r="O616" s="350">
        <v>67</v>
      </c>
      <c r="P616" s="352">
        <v>67</v>
      </c>
      <c r="Q616" s="352">
        <v>67</v>
      </c>
      <c r="R616" s="352"/>
      <c r="S616" s="352"/>
      <c r="T616" s="352"/>
      <c r="U616" s="352"/>
      <c r="V616" s="497"/>
      <c r="W616" s="352"/>
      <c r="X616" s="352"/>
      <c r="Y616" s="352">
        <f>IF(NFI_Expiration=1,IF($A616&lt;VLOOKUP(H$5,NFI,5,0),1,0)*Table_NFI[[#This Row],[Hygiene Kit]],Table_NFI[Hygiene Kit])</f>
        <v>0</v>
      </c>
      <c r="Z616" s="352">
        <f>IF(NFI_Expiration=1,IF($A616&lt;VLOOKUP(I$5,NFI,5,0),1,0)*Table_NFI[[#This Row],[NFI Core Kit]],Table_NFI[NFI Core Kit])</f>
        <v>0</v>
      </c>
      <c r="AA616" s="352">
        <f>IF(NFI_Expiration=1,IF($A616&lt;VLOOKUP(J$5,NFI,5,0),1,0)*Table_NFI[[#This Row],[Sanitary Kit]],Table_NFI[Sanitary Kit])</f>
        <v>0</v>
      </c>
      <c r="AB616" s="352">
        <f>IF(NFI_Expiration=1,IF($A616&lt;VLOOKUP(K$5,NFI,5,0),1,0)*Table_NFI[[#This Row],[Mosquito net]],Table_NFI[Mosquito net])</f>
        <v>0</v>
      </c>
      <c r="AC616" s="352">
        <f>IF(NFI_Expiration=1,IF($A616&lt;VLOOKUP(L$5,NFI,5,0),1,0)*Table_NFI[[#This Row],[Tarpaulin]],Table_NFI[[#This Row],[Tarpaulin]])</f>
        <v>0</v>
      </c>
      <c r="AD616" s="352">
        <f>IF(NFI_Expiration=1,IF($A616&lt;VLOOKUP(M$5,NFI,5,0),1,0)*Table_NFI[[#This Row],[Blanket]],Table_NFI[[#This Row],[Blanket]])</f>
        <v>0</v>
      </c>
      <c r="AE616" s="352">
        <f>IF(NFI_Expiration=1,IF($A616&lt;VLOOKUP(N$5,NFI,5,0),1,0)*Table_NFI[[#This Row],[Kitchen Set]],Table_NFI[Kitchen Set])</f>
        <v>0</v>
      </c>
      <c r="AF616" s="352">
        <f>IF(NFI_Expiration=1,IF($A616&lt;VLOOKUP(O$5,NFI,5,0),1,0)*Table_NFI[[#This Row],[Clothes Kit]],Table_NFI[Clothes Kit])</f>
        <v>0</v>
      </c>
      <c r="AG616" s="352">
        <f>IF(NFI_Expiration=1,IF($A616&lt;VLOOKUP(P$5,NFI,5,0),1,0)*Table_NFI[[#This Row],[Plastic Bucket]],Table_NFI[Plastic Bucket])</f>
        <v>0</v>
      </c>
      <c r="AH616" s="352">
        <f>IF(NFI_Expiration=1,IF($A616&lt;VLOOKUP(Q$5,NFI,5,0),1,0)*Table_NFI[[#This Row],[Plastic Mat]],Table_NFI[Plastic Mat])*IF(Table_NFI[[#This Row],[Distribution Date]]&gt;"2014-04-01",1,2.5)</f>
        <v>0</v>
      </c>
      <c r="AI616" s="352">
        <f>IF(NFI_Expiration=1,IF($A616&lt;VLOOKUP(R$5,NFI,5,0),1,0)*Table_NFI[[#This Row],[Winter Clothes Adult]],Table_NFI[Winter Clothes Adult])</f>
        <v>0</v>
      </c>
      <c r="AJ616" s="352">
        <f>IF(NFI_Expiration=1,IF($A616&lt;VLOOKUP(S$5,NFI,5,0),1,0)*Table_NFI[[#This Row],[Winter Clothes Children]],Table_NFI[Winter Clothes Children])</f>
        <v>0</v>
      </c>
      <c r="AK616" s="352">
        <f>IF(NFI_Expiration=1,IF($A616&lt;VLOOKUP(T$5,NFI,5,0),1,0)*Table_NFI[[#This Row],[Winter Items Other]],Table_NFI[Winter Items Other])</f>
        <v>0</v>
      </c>
      <c r="AL616" s="352">
        <f>IF(NFI_Expiration=1,IF($A616&lt;VLOOKUP(M$5,NFI,5,0),1,0)*Table_NFI[[#This Row],[Winter Blanket]],Table_NFI[[#This Row],[Winter Blanket]])</f>
        <v>0</v>
      </c>
      <c r="AM616" s="352">
        <f>IF(Table_NFI[[#This Row],[Winter Clothes Adult]]+Table_NFI[[#This Row],[Winter Clothes Children]]+Table_NFI[[#This Row],[Winter Items Other]]+Table_NFI[[#This Row],[Winter Blanket]]&gt;0,1,0)</f>
        <v>0</v>
      </c>
      <c r="AN616" s="392">
        <f>IF(NFI_Expiration=1,IF($A616&lt;VLOOKUP(V$5,NFI,5,0),1,0)*Table_NFI[[#This Row],[Jerry Can]],Table_NFI[Jerry Can])</f>
        <v>0</v>
      </c>
      <c r="AO616" s="540" t="str">
        <f>IFERROR(VLOOKUP(Table_NFI[[#This Row],[Camp Name]],CL,2,0),"")</f>
        <v>MMR001CMP173</v>
      </c>
      <c r="AP616" s="535">
        <f ca="1">IF(Table_NFI[[#This Row],[Pcode]]="","",IF(OFFSET(CampList[Opening Date],MATCH(Table_NFI[[#This Row],[Pcode]],CampList[CP_Pcode],0)-1,0,1,1)&gt;=NFI_Monitor_Date,1,0))</f>
        <v>0</v>
      </c>
      <c r="AQ616" s="540" t="str">
        <f>IFERROR(VLOOKUP(Table_NFI[[#This Row],[Camp Name]],CL,3,0),"")</f>
        <v>Closed</v>
      </c>
      <c r="AR616" s="352" t="str">
        <f ca="1">IF(Table_NFI[[#This Row],[Pcode]]="","",OFFSET(CampList[Priority],MATCH(Table_NFI[[#This Row],[Pcode]],CampList[CP_Pcode],0)-1,0,1,1))</f>
        <v/>
      </c>
      <c r="AS616" s="351" t="str">
        <f>IFERROR(Table_NFI[[#This Row],[Kitchen Set]]/VLOOKUP(Table_NFI[[#This Row],[Camp Name]],CL,4,0),"")</f>
        <v/>
      </c>
      <c r="AT616" s="533" t="s">
        <v>1094</v>
      </c>
      <c r="AU616" s="536"/>
    </row>
    <row r="617" spans="1:47" s="537" customFormat="1" ht="14.45" customHeight="1" x14ac:dyDescent="0.25">
      <c r="A617" s="355">
        <f t="shared" si="9"/>
        <v>41.56666666666667</v>
      </c>
      <c r="B617" s="532">
        <v>41324</v>
      </c>
      <c r="C617" s="533" t="s">
        <v>453</v>
      </c>
      <c r="D617" s="534" t="s">
        <v>453</v>
      </c>
      <c r="E617" s="533" t="s">
        <v>380</v>
      </c>
      <c r="F617" s="348" t="s">
        <v>528</v>
      </c>
      <c r="G617" s="348" t="s">
        <v>48</v>
      </c>
      <c r="H617" s="349"/>
      <c r="I617" s="349"/>
      <c r="J617" s="349">
        <v>8</v>
      </c>
      <c r="K617" s="349">
        <v>16</v>
      </c>
      <c r="L617" s="350">
        <v>8</v>
      </c>
      <c r="M617" s="350">
        <v>16</v>
      </c>
      <c r="N617" s="350">
        <v>8</v>
      </c>
      <c r="O617" s="350">
        <v>8</v>
      </c>
      <c r="P617" s="352">
        <v>8</v>
      </c>
      <c r="Q617" s="352">
        <v>8</v>
      </c>
      <c r="R617" s="352"/>
      <c r="S617" s="352"/>
      <c r="T617" s="352"/>
      <c r="U617" s="352"/>
      <c r="V617" s="497"/>
      <c r="W617" s="352"/>
      <c r="X617" s="352"/>
      <c r="Y617" s="352">
        <f>IF(NFI_Expiration=1,IF($A617&lt;VLOOKUP(H$5,NFI,5,0),1,0)*Table_NFI[[#This Row],[Hygiene Kit]],Table_NFI[Hygiene Kit])</f>
        <v>0</v>
      </c>
      <c r="Z617" s="352">
        <f>IF(NFI_Expiration=1,IF($A617&lt;VLOOKUP(I$5,NFI,5,0),1,0)*Table_NFI[[#This Row],[NFI Core Kit]],Table_NFI[NFI Core Kit])</f>
        <v>0</v>
      </c>
      <c r="AA617" s="352">
        <f>IF(NFI_Expiration=1,IF($A617&lt;VLOOKUP(J$5,NFI,5,0),1,0)*Table_NFI[[#This Row],[Sanitary Kit]],Table_NFI[Sanitary Kit])</f>
        <v>0</v>
      </c>
      <c r="AB617" s="352">
        <f>IF(NFI_Expiration=1,IF($A617&lt;VLOOKUP(K$5,NFI,5,0),1,0)*Table_NFI[[#This Row],[Mosquito net]],Table_NFI[Mosquito net])</f>
        <v>0</v>
      </c>
      <c r="AC617" s="352">
        <f>IF(NFI_Expiration=1,IF($A617&lt;VLOOKUP(L$5,NFI,5,0),1,0)*Table_NFI[[#This Row],[Tarpaulin]],Table_NFI[[#This Row],[Tarpaulin]])</f>
        <v>0</v>
      </c>
      <c r="AD617" s="352">
        <f>IF(NFI_Expiration=1,IF($A617&lt;VLOOKUP(M$5,NFI,5,0),1,0)*Table_NFI[[#This Row],[Blanket]],Table_NFI[[#This Row],[Blanket]])</f>
        <v>0</v>
      </c>
      <c r="AE617" s="352">
        <f>IF(NFI_Expiration=1,IF($A617&lt;VLOOKUP(N$5,NFI,5,0),1,0)*Table_NFI[[#This Row],[Kitchen Set]],Table_NFI[Kitchen Set])</f>
        <v>0</v>
      </c>
      <c r="AF617" s="352">
        <f>IF(NFI_Expiration=1,IF($A617&lt;VLOOKUP(O$5,NFI,5,0),1,0)*Table_NFI[[#This Row],[Clothes Kit]],Table_NFI[Clothes Kit])</f>
        <v>0</v>
      </c>
      <c r="AG617" s="352">
        <f>IF(NFI_Expiration=1,IF($A617&lt;VLOOKUP(P$5,NFI,5,0),1,0)*Table_NFI[[#This Row],[Plastic Bucket]],Table_NFI[Plastic Bucket])</f>
        <v>0</v>
      </c>
      <c r="AH617" s="352">
        <f>IF(NFI_Expiration=1,IF($A617&lt;VLOOKUP(Q$5,NFI,5,0),1,0)*Table_NFI[[#This Row],[Plastic Mat]],Table_NFI[Plastic Mat])*IF(Table_NFI[[#This Row],[Distribution Date]]&gt;"2014-04-01",1,2.5)</f>
        <v>0</v>
      </c>
      <c r="AI617" s="352">
        <f>IF(NFI_Expiration=1,IF($A617&lt;VLOOKUP(R$5,NFI,5,0),1,0)*Table_NFI[[#This Row],[Winter Clothes Adult]],Table_NFI[Winter Clothes Adult])</f>
        <v>0</v>
      </c>
      <c r="AJ617" s="352">
        <f>IF(NFI_Expiration=1,IF($A617&lt;VLOOKUP(S$5,NFI,5,0),1,0)*Table_NFI[[#This Row],[Winter Clothes Children]],Table_NFI[Winter Clothes Children])</f>
        <v>0</v>
      </c>
      <c r="AK617" s="352">
        <f>IF(NFI_Expiration=1,IF($A617&lt;VLOOKUP(T$5,NFI,5,0),1,0)*Table_NFI[[#This Row],[Winter Items Other]],Table_NFI[Winter Items Other])</f>
        <v>0</v>
      </c>
      <c r="AL617" s="352">
        <f>IF(NFI_Expiration=1,IF($A617&lt;VLOOKUP(M$5,NFI,5,0),1,0)*Table_NFI[[#This Row],[Winter Blanket]],Table_NFI[[#This Row],[Winter Blanket]])</f>
        <v>0</v>
      </c>
      <c r="AM617" s="352">
        <f>IF(Table_NFI[[#This Row],[Winter Clothes Adult]]+Table_NFI[[#This Row],[Winter Clothes Children]]+Table_NFI[[#This Row],[Winter Items Other]]+Table_NFI[[#This Row],[Winter Blanket]]&gt;0,1,0)</f>
        <v>0</v>
      </c>
      <c r="AN617" s="392">
        <f>IF(NFI_Expiration=1,IF($A617&lt;VLOOKUP(V$5,NFI,5,0),1,0)*Table_NFI[[#This Row],[Jerry Can]],Table_NFI[Jerry Can])</f>
        <v>0</v>
      </c>
      <c r="AO617" s="540" t="str">
        <f>IFERROR(VLOOKUP(Table_NFI[[#This Row],[Camp Name]],CL,2,0),"")</f>
        <v>MMR001CMP170</v>
      </c>
      <c r="AP617" s="535">
        <f ca="1">IF(Table_NFI[[#This Row],[Pcode]]="","",IF(OFFSET(CampList[Opening Date],MATCH(Table_NFI[[#This Row],[Pcode]],CampList[CP_Pcode],0)-1,0,1,1)&gt;=NFI_Monitor_Date,1,0))</f>
        <v>0</v>
      </c>
      <c r="AQ617" s="540" t="str">
        <f>IFERROR(VLOOKUP(Table_NFI[[#This Row],[Camp Name]],CL,3,0),"")</f>
        <v>Closed</v>
      </c>
      <c r="AR617" s="352" t="str">
        <f ca="1">IF(Table_NFI[[#This Row],[Pcode]]="","",OFFSET(CampList[Priority],MATCH(Table_NFI[[#This Row],[Pcode]],CampList[CP_Pcode],0)-1,0,1,1))</f>
        <v/>
      </c>
      <c r="AS617" s="351" t="str">
        <f>IFERROR(Table_NFI[[#This Row],[Kitchen Set]]/VLOOKUP(Table_NFI[[#This Row],[Camp Name]],CL,4,0),"")</f>
        <v/>
      </c>
      <c r="AT617" s="533" t="s">
        <v>1094</v>
      </c>
      <c r="AU617" s="536"/>
    </row>
    <row r="618" spans="1:47" s="537" customFormat="1" ht="14.45" customHeight="1" x14ac:dyDescent="0.25">
      <c r="A618" s="355">
        <f t="shared" si="9"/>
        <v>41.56666666666667</v>
      </c>
      <c r="B618" s="532">
        <v>41324</v>
      </c>
      <c r="C618" s="533" t="s">
        <v>453</v>
      </c>
      <c r="D618" s="534" t="s">
        <v>453</v>
      </c>
      <c r="E618" s="533" t="s">
        <v>380</v>
      </c>
      <c r="F618" s="348" t="s">
        <v>528</v>
      </c>
      <c r="G618" s="348" t="s">
        <v>76</v>
      </c>
      <c r="H618" s="349"/>
      <c r="I618" s="349"/>
      <c r="J618" s="349">
        <v>74</v>
      </c>
      <c r="K618" s="349">
        <v>105</v>
      </c>
      <c r="L618" s="350">
        <v>59</v>
      </c>
      <c r="M618" s="350">
        <v>105</v>
      </c>
      <c r="N618" s="350">
        <v>59</v>
      </c>
      <c r="O618" s="350">
        <v>59</v>
      </c>
      <c r="P618" s="352">
        <v>59</v>
      </c>
      <c r="Q618" s="352">
        <v>59</v>
      </c>
      <c r="R618" s="352"/>
      <c r="S618" s="352"/>
      <c r="T618" s="352"/>
      <c r="U618" s="352"/>
      <c r="V618" s="497"/>
      <c r="W618" s="352"/>
      <c r="X618" s="352"/>
      <c r="Y618" s="352">
        <f>IF(NFI_Expiration=1,IF($A618&lt;VLOOKUP(H$5,NFI,5,0),1,0)*Table_NFI[[#This Row],[Hygiene Kit]],Table_NFI[Hygiene Kit])</f>
        <v>0</v>
      </c>
      <c r="Z618" s="352">
        <f>IF(NFI_Expiration=1,IF($A618&lt;VLOOKUP(I$5,NFI,5,0),1,0)*Table_NFI[[#This Row],[NFI Core Kit]],Table_NFI[NFI Core Kit])</f>
        <v>0</v>
      </c>
      <c r="AA618" s="352">
        <f>IF(NFI_Expiration=1,IF($A618&lt;VLOOKUP(J$5,NFI,5,0),1,0)*Table_NFI[[#This Row],[Sanitary Kit]],Table_NFI[Sanitary Kit])</f>
        <v>0</v>
      </c>
      <c r="AB618" s="352">
        <f>IF(NFI_Expiration=1,IF($A618&lt;VLOOKUP(K$5,NFI,5,0),1,0)*Table_NFI[[#This Row],[Mosquito net]],Table_NFI[Mosquito net])</f>
        <v>0</v>
      </c>
      <c r="AC618" s="352">
        <f>IF(NFI_Expiration=1,IF($A618&lt;VLOOKUP(L$5,NFI,5,0),1,0)*Table_NFI[[#This Row],[Tarpaulin]],Table_NFI[[#This Row],[Tarpaulin]])</f>
        <v>0</v>
      </c>
      <c r="AD618" s="352">
        <f>IF(NFI_Expiration=1,IF($A618&lt;VLOOKUP(M$5,NFI,5,0),1,0)*Table_NFI[[#This Row],[Blanket]],Table_NFI[[#This Row],[Blanket]])</f>
        <v>0</v>
      </c>
      <c r="AE618" s="352">
        <f>IF(NFI_Expiration=1,IF($A618&lt;VLOOKUP(N$5,NFI,5,0),1,0)*Table_NFI[[#This Row],[Kitchen Set]],Table_NFI[Kitchen Set])</f>
        <v>0</v>
      </c>
      <c r="AF618" s="352">
        <f>IF(NFI_Expiration=1,IF($A618&lt;VLOOKUP(O$5,NFI,5,0),1,0)*Table_NFI[[#This Row],[Clothes Kit]],Table_NFI[Clothes Kit])</f>
        <v>0</v>
      </c>
      <c r="AG618" s="352">
        <f>IF(NFI_Expiration=1,IF($A618&lt;VLOOKUP(P$5,NFI,5,0),1,0)*Table_NFI[[#This Row],[Plastic Bucket]],Table_NFI[Plastic Bucket])</f>
        <v>0</v>
      </c>
      <c r="AH618" s="352">
        <f>IF(NFI_Expiration=1,IF($A618&lt;VLOOKUP(Q$5,NFI,5,0),1,0)*Table_NFI[[#This Row],[Plastic Mat]],Table_NFI[Plastic Mat])*IF(Table_NFI[[#This Row],[Distribution Date]]&gt;"2014-04-01",1,2.5)</f>
        <v>0</v>
      </c>
      <c r="AI618" s="352">
        <f>IF(NFI_Expiration=1,IF($A618&lt;VLOOKUP(R$5,NFI,5,0),1,0)*Table_NFI[[#This Row],[Winter Clothes Adult]],Table_NFI[Winter Clothes Adult])</f>
        <v>0</v>
      </c>
      <c r="AJ618" s="352">
        <f>IF(NFI_Expiration=1,IF($A618&lt;VLOOKUP(S$5,NFI,5,0),1,0)*Table_NFI[[#This Row],[Winter Clothes Children]],Table_NFI[Winter Clothes Children])</f>
        <v>0</v>
      </c>
      <c r="AK618" s="352">
        <f>IF(NFI_Expiration=1,IF($A618&lt;VLOOKUP(T$5,NFI,5,0),1,0)*Table_NFI[[#This Row],[Winter Items Other]],Table_NFI[Winter Items Other])</f>
        <v>0</v>
      </c>
      <c r="AL618" s="352">
        <f>IF(NFI_Expiration=1,IF($A618&lt;VLOOKUP(M$5,NFI,5,0),1,0)*Table_NFI[[#This Row],[Winter Blanket]],Table_NFI[[#This Row],[Winter Blanket]])</f>
        <v>0</v>
      </c>
      <c r="AM618" s="352">
        <f>IF(Table_NFI[[#This Row],[Winter Clothes Adult]]+Table_NFI[[#This Row],[Winter Clothes Children]]+Table_NFI[[#This Row],[Winter Items Other]]+Table_NFI[[#This Row],[Winter Blanket]]&gt;0,1,0)</f>
        <v>0</v>
      </c>
      <c r="AN618" s="392">
        <f>IF(NFI_Expiration=1,IF($A618&lt;VLOOKUP(V$5,NFI,5,0),1,0)*Table_NFI[[#This Row],[Jerry Can]],Table_NFI[Jerry Can])</f>
        <v>0</v>
      </c>
      <c r="AO618" s="540" t="str">
        <f>IFERROR(VLOOKUP(Table_NFI[[#This Row],[Camp Name]],CL,2,0),"")</f>
        <v>MMR001CMP174</v>
      </c>
      <c r="AP618" s="535">
        <f ca="1">IF(Table_NFI[[#This Row],[Pcode]]="","",IF(OFFSET(CampList[Opening Date],MATCH(Table_NFI[[#This Row],[Pcode]],CampList[CP_Pcode],0)-1,0,1,1)&gt;=NFI_Monitor_Date,1,0))</f>
        <v>0</v>
      </c>
      <c r="AQ618" s="540" t="str">
        <f>IFERROR(VLOOKUP(Table_NFI[[#This Row],[Camp Name]],CL,3,0),"")</f>
        <v>Open</v>
      </c>
      <c r="AR618" s="352" t="str">
        <f ca="1">IF(Table_NFI[[#This Row],[Pcode]]="","",OFFSET(CampList[Priority],MATCH(Table_NFI[[#This Row],[Pcode]],CampList[CP_Pcode],0)-1,0,1,1))</f>
        <v>P4</v>
      </c>
      <c r="AS618" s="351">
        <f>IFERROR(Table_NFI[[#This Row],[Kitchen Set]]/VLOOKUP(Table_NFI[[#This Row],[Camp Name]],CL,4,0),"")</f>
        <v>0.89393939393939392</v>
      </c>
      <c r="AT618" s="533" t="s">
        <v>1094</v>
      </c>
      <c r="AU618" s="536"/>
    </row>
    <row r="619" spans="1:47" s="537" customFormat="1" ht="14.45" customHeight="1" x14ac:dyDescent="0.25">
      <c r="A619" s="355">
        <f t="shared" si="9"/>
        <v>41.56666666666667</v>
      </c>
      <c r="B619" s="532">
        <v>41324</v>
      </c>
      <c r="C619" s="533" t="s">
        <v>453</v>
      </c>
      <c r="D619" s="534" t="s">
        <v>453</v>
      </c>
      <c r="E619" s="533" t="s">
        <v>380</v>
      </c>
      <c r="F619" s="348" t="s">
        <v>528</v>
      </c>
      <c r="G619" s="348" t="s">
        <v>98</v>
      </c>
      <c r="H619" s="349"/>
      <c r="I619" s="349"/>
      <c r="J619" s="349">
        <v>9</v>
      </c>
      <c r="K619" s="349">
        <v>21</v>
      </c>
      <c r="L619" s="350">
        <v>9</v>
      </c>
      <c r="M619" s="350">
        <v>21</v>
      </c>
      <c r="N619" s="350">
        <v>9</v>
      </c>
      <c r="O619" s="350">
        <v>9</v>
      </c>
      <c r="P619" s="352">
        <v>9</v>
      </c>
      <c r="Q619" s="352">
        <v>9</v>
      </c>
      <c r="R619" s="352"/>
      <c r="S619" s="352"/>
      <c r="T619" s="352"/>
      <c r="U619" s="352"/>
      <c r="V619" s="497"/>
      <c r="W619" s="352"/>
      <c r="X619" s="352"/>
      <c r="Y619" s="352">
        <f>IF(NFI_Expiration=1,IF($A619&lt;VLOOKUP(H$5,NFI,5,0),1,0)*Table_NFI[[#This Row],[Hygiene Kit]],Table_NFI[Hygiene Kit])</f>
        <v>0</v>
      </c>
      <c r="Z619" s="352">
        <f>IF(NFI_Expiration=1,IF($A619&lt;VLOOKUP(I$5,NFI,5,0),1,0)*Table_NFI[[#This Row],[NFI Core Kit]],Table_NFI[NFI Core Kit])</f>
        <v>0</v>
      </c>
      <c r="AA619" s="352">
        <f>IF(NFI_Expiration=1,IF($A619&lt;VLOOKUP(J$5,NFI,5,0),1,0)*Table_NFI[[#This Row],[Sanitary Kit]],Table_NFI[Sanitary Kit])</f>
        <v>0</v>
      </c>
      <c r="AB619" s="352">
        <f>IF(NFI_Expiration=1,IF($A619&lt;VLOOKUP(K$5,NFI,5,0),1,0)*Table_NFI[[#This Row],[Mosquito net]],Table_NFI[Mosquito net])</f>
        <v>0</v>
      </c>
      <c r="AC619" s="352">
        <f>IF(NFI_Expiration=1,IF($A619&lt;VLOOKUP(L$5,NFI,5,0),1,0)*Table_NFI[[#This Row],[Tarpaulin]],Table_NFI[[#This Row],[Tarpaulin]])</f>
        <v>0</v>
      </c>
      <c r="AD619" s="352">
        <f>IF(NFI_Expiration=1,IF($A619&lt;VLOOKUP(M$5,NFI,5,0),1,0)*Table_NFI[[#This Row],[Blanket]],Table_NFI[[#This Row],[Blanket]])</f>
        <v>0</v>
      </c>
      <c r="AE619" s="352">
        <f>IF(NFI_Expiration=1,IF($A619&lt;VLOOKUP(N$5,NFI,5,0),1,0)*Table_NFI[[#This Row],[Kitchen Set]],Table_NFI[Kitchen Set])</f>
        <v>0</v>
      </c>
      <c r="AF619" s="352">
        <f>IF(NFI_Expiration=1,IF($A619&lt;VLOOKUP(O$5,NFI,5,0),1,0)*Table_NFI[[#This Row],[Clothes Kit]],Table_NFI[Clothes Kit])</f>
        <v>0</v>
      </c>
      <c r="AG619" s="352">
        <f>IF(NFI_Expiration=1,IF($A619&lt;VLOOKUP(P$5,NFI,5,0),1,0)*Table_NFI[[#This Row],[Plastic Bucket]],Table_NFI[Plastic Bucket])</f>
        <v>0</v>
      </c>
      <c r="AH619" s="352">
        <f>IF(NFI_Expiration=1,IF($A619&lt;VLOOKUP(Q$5,NFI,5,0),1,0)*Table_NFI[[#This Row],[Plastic Mat]],Table_NFI[Plastic Mat])*IF(Table_NFI[[#This Row],[Distribution Date]]&gt;"2014-04-01",1,2.5)</f>
        <v>0</v>
      </c>
      <c r="AI619" s="352">
        <f>IF(NFI_Expiration=1,IF($A619&lt;VLOOKUP(R$5,NFI,5,0),1,0)*Table_NFI[[#This Row],[Winter Clothes Adult]],Table_NFI[Winter Clothes Adult])</f>
        <v>0</v>
      </c>
      <c r="AJ619" s="352">
        <f>IF(NFI_Expiration=1,IF($A619&lt;VLOOKUP(S$5,NFI,5,0),1,0)*Table_NFI[[#This Row],[Winter Clothes Children]],Table_NFI[Winter Clothes Children])</f>
        <v>0</v>
      </c>
      <c r="AK619" s="352">
        <f>IF(NFI_Expiration=1,IF($A619&lt;VLOOKUP(T$5,NFI,5,0),1,0)*Table_NFI[[#This Row],[Winter Items Other]],Table_NFI[Winter Items Other])</f>
        <v>0</v>
      </c>
      <c r="AL619" s="352">
        <f>IF(NFI_Expiration=1,IF($A619&lt;VLOOKUP(M$5,NFI,5,0),1,0)*Table_NFI[[#This Row],[Winter Blanket]],Table_NFI[[#This Row],[Winter Blanket]])</f>
        <v>0</v>
      </c>
      <c r="AM619" s="352">
        <f>IF(Table_NFI[[#This Row],[Winter Clothes Adult]]+Table_NFI[[#This Row],[Winter Clothes Children]]+Table_NFI[[#This Row],[Winter Items Other]]+Table_NFI[[#This Row],[Winter Blanket]]&gt;0,1,0)</f>
        <v>0</v>
      </c>
      <c r="AN619" s="392">
        <f>IF(NFI_Expiration=1,IF($A619&lt;VLOOKUP(V$5,NFI,5,0),1,0)*Table_NFI[[#This Row],[Jerry Can]],Table_NFI[Jerry Can])</f>
        <v>0</v>
      </c>
      <c r="AO619" s="540" t="str">
        <f>IFERROR(VLOOKUP(Table_NFI[[#This Row],[Camp Name]],CL,2,0),"")</f>
        <v>MMR001CMP178</v>
      </c>
      <c r="AP619" s="535">
        <f ca="1">IF(Table_NFI[[#This Row],[Pcode]]="","",IF(OFFSET(CampList[Opening Date],MATCH(Table_NFI[[#This Row],[Pcode]],CampList[CP_Pcode],0)-1,0,1,1)&gt;=NFI_Monitor_Date,1,0))</f>
        <v>0</v>
      </c>
      <c r="AQ619" s="540" t="str">
        <f>IFERROR(VLOOKUP(Table_NFI[[#This Row],[Camp Name]],CL,3,0),"")</f>
        <v>Closed</v>
      </c>
      <c r="AR619" s="352" t="str">
        <f ca="1">IF(Table_NFI[[#This Row],[Pcode]]="","",OFFSET(CampList[Priority],MATCH(Table_NFI[[#This Row],[Pcode]],CampList[CP_Pcode],0)-1,0,1,1))</f>
        <v/>
      </c>
      <c r="AS619" s="351" t="str">
        <f>IFERROR(Table_NFI[[#This Row],[Kitchen Set]]/VLOOKUP(Table_NFI[[#This Row],[Camp Name]],CL,4,0),"")</f>
        <v/>
      </c>
      <c r="AT619" s="533" t="s">
        <v>1094</v>
      </c>
      <c r="AU619" s="536"/>
    </row>
    <row r="620" spans="1:47" s="537" customFormat="1" ht="14.45" hidden="1" customHeight="1" x14ac:dyDescent="0.25">
      <c r="A620" s="355">
        <f t="shared" si="9"/>
        <v>26.366666666666667</v>
      </c>
      <c r="B620" s="532">
        <v>41780</v>
      </c>
      <c r="C620" s="533" t="s">
        <v>1106</v>
      </c>
      <c r="D620" s="533" t="s">
        <v>902</v>
      </c>
      <c r="E620" s="533" t="s">
        <v>380</v>
      </c>
      <c r="F620" s="533" t="s">
        <v>237</v>
      </c>
      <c r="G620" s="533" t="s">
        <v>267</v>
      </c>
      <c r="H620" s="349"/>
      <c r="I620" s="349"/>
      <c r="J620" s="349"/>
      <c r="K620" s="349"/>
      <c r="L620" s="350"/>
      <c r="M620" s="350"/>
      <c r="N620" s="350"/>
      <c r="O620" s="350"/>
      <c r="P620" s="352"/>
      <c r="Q620" s="352"/>
      <c r="R620" s="352"/>
      <c r="S620" s="352"/>
      <c r="T620" s="352"/>
      <c r="U620" s="352">
        <v>24</v>
      </c>
      <c r="V620" s="497"/>
      <c r="W620" s="352"/>
      <c r="X620" s="352"/>
      <c r="Y620" s="352">
        <f>IF(NFI_Expiration=1,IF($A620&lt;VLOOKUP(H$5,NFI,5,0),1,0)*Table_NFI[[#This Row],[Hygiene Kit]],Table_NFI[Hygiene Kit])</f>
        <v>0</v>
      </c>
      <c r="Z620" s="352">
        <f>IF(NFI_Expiration=1,IF($A620&lt;VLOOKUP(I$5,NFI,5,0),1,0)*Table_NFI[[#This Row],[NFI Core Kit]],Table_NFI[NFI Core Kit])</f>
        <v>0</v>
      </c>
      <c r="AA620" s="352">
        <f>IF(NFI_Expiration=1,IF($A620&lt;VLOOKUP(J$5,NFI,5,0),1,0)*Table_NFI[[#This Row],[Sanitary Kit]],Table_NFI[Sanitary Kit])</f>
        <v>0</v>
      </c>
      <c r="AB620" s="352">
        <f>IF(NFI_Expiration=1,IF($A620&lt;VLOOKUP(K$5,NFI,5,0),1,0)*Table_NFI[[#This Row],[Mosquito net]],Table_NFI[Mosquito net])</f>
        <v>0</v>
      </c>
      <c r="AC620" s="352">
        <f>IF(NFI_Expiration=1,IF($A620&lt;VLOOKUP(L$5,NFI,5,0),1,0)*Table_NFI[[#This Row],[Tarpaulin]],Table_NFI[[#This Row],[Tarpaulin]])</f>
        <v>0</v>
      </c>
      <c r="AD620" s="352">
        <f>IF(NFI_Expiration=1,IF($A620&lt;VLOOKUP(M$5,NFI,5,0),1,0)*Table_NFI[[#This Row],[Blanket]],Table_NFI[[#This Row],[Blanket]])</f>
        <v>0</v>
      </c>
      <c r="AE620" s="352">
        <f>IF(NFI_Expiration=1,IF($A620&lt;VLOOKUP(N$5,NFI,5,0),1,0)*Table_NFI[[#This Row],[Kitchen Set]],Table_NFI[Kitchen Set])</f>
        <v>0</v>
      </c>
      <c r="AF620" s="352">
        <f>IF(NFI_Expiration=1,IF($A620&lt;VLOOKUP(O$5,NFI,5,0),1,0)*Table_NFI[[#This Row],[Clothes Kit]],Table_NFI[Clothes Kit])</f>
        <v>0</v>
      </c>
      <c r="AG620" s="352">
        <f>IF(NFI_Expiration=1,IF($A620&lt;VLOOKUP(P$5,NFI,5,0),1,0)*Table_NFI[[#This Row],[Plastic Bucket]],Table_NFI[Plastic Bucket])</f>
        <v>0</v>
      </c>
      <c r="AH620" s="352">
        <f>IF(NFI_Expiration=1,IF($A620&lt;VLOOKUP(Q$5,NFI,5,0),1,0)*Table_NFI[[#This Row],[Plastic Mat]],Table_NFI[Plastic Mat])*IF(Table_NFI[[#This Row],[Distribution Date]]&gt;"2014-04-01",1,2.5)</f>
        <v>0</v>
      </c>
      <c r="AI620" s="352">
        <f>IF(NFI_Expiration=1,IF($A620&lt;VLOOKUP(R$5,NFI,5,0),1,0)*Table_NFI[[#This Row],[Winter Clothes Adult]],Table_NFI[Winter Clothes Adult])</f>
        <v>0</v>
      </c>
      <c r="AJ620" s="352">
        <f>IF(NFI_Expiration=1,IF($A620&lt;VLOOKUP(S$5,NFI,5,0),1,0)*Table_NFI[[#This Row],[Winter Clothes Children]],Table_NFI[Winter Clothes Children])</f>
        <v>0</v>
      </c>
      <c r="AK620" s="352">
        <f>IF(NFI_Expiration=1,IF($A620&lt;VLOOKUP(T$5,NFI,5,0),1,0)*Table_NFI[[#This Row],[Winter Items Other]],Table_NFI[Winter Items Other])</f>
        <v>0</v>
      </c>
      <c r="AL620" s="352">
        <f>IF(NFI_Expiration=1,IF($A620&lt;VLOOKUP(M$5,NFI,5,0),1,0)*Table_NFI[[#This Row],[Winter Blanket]],Table_NFI[[#This Row],[Winter Blanket]])</f>
        <v>0</v>
      </c>
      <c r="AM620" s="352">
        <f>IF(Table_NFI[[#This Row],[Winter Clothes Adult]]+Table_NFI[[#This Row],[Winter Clothes Children]]+Table_NFI[[#This Row],[Winter Items Other]]+Table_NFI[[#This Row],[Winter Blanket]]&gt;0,1,0)</f>
        <v>1</v>
      </c>
      <c r="AN620" s="392">
        <f>IF(NFI_Expiration=1,IF($A620&lt;VLOOKUP(V$5,NFI,5,0),1,0)*Table_NFI[[#This Row],[Jerry Can]],Table_NFI[Jerry Can])</f>
        <v>0</v>
      </c>
      <c r="AO620" s="540" t="str">
        <f>IFERROR(VLOOKUP(Table_NFI[[#This Row],[Camp Name]],CL,2,0),"")</f>
        <v>MMR001CMP017</v>
      </c>
      <c r="AP620" s="535">
        <f ca="1">IF(Table_NFI[[#This Row],[Pcode]]="","",IF(OFFSET(CampList[Opening Date],MATCH(Table_NFI[[#This Row],[Pcode]],CampList[CP_Pcode],0)-1,0,1,1)&gt;=NFI_Monitor_Date,1,0))</f>
        <v>0</v>
      </c>
      <c r="AQ620" s="540" t="str">
        <f>IFERROR(VLOOKUP(Table_NFI[[#This Row],[Camp Name]],CL,3,0),"")</f>
        <v>Closed</v>
      </c>
      <c r="AR620" s="352" t="str">
        <f ca="1">IF(Table_NFI[[#This Row],[Pcode]]="","",OFFSET(CampList[Priority],MATCH(Table_NFI[[#This Row],[Pcode]],CampList[CP_Pcode],0)-1,0,1,1))</f>
        <v>P4</v>
      </c>
      <c r="AS620" s="351" t="str">
        <f>IFERROR(Table_NFI[[#This Row],[Kitchen Set]]/VLOOKUP(Table_NFI[[#This Row],[Camp Name]],CL,4,0),"")</f>
        <v/>
      </c>
      <c r="AT620" s="533"/>
      <c r="AU620" s="536"/>
    </row>
    <row r="621" spans="1:47" s="537" customFormat="1" ht="14.45" hidden="1" customHeight="1" x14ac:dyDescent="0.25">
      <c r="A621" s="355">
        <f t="shared" si="9"/>
        <v>43.233333333333334</v>
      </c>
      <c r="B621" s="532">
        <v>41274</v>
      </c>
      <c r="C621" s="533" t="s">
        <v>454</v>
      </c>
      <c r="D621" s="534" t="s">
        <v>454</v>
      </c>
      <c r="E621" s="533" t="s">
        <v>380</v>
      </c>
      <c r="F621" s="348" t="s">
        <v>237</v>
      </c>
      <c r="G621" s="348" t="s">
        <v>267</v>
      </c>
      <c r="H621" s="349">
        <v>12</v>
      </c>
      <c r="I621" s="349"/>
      <c r="J621" s="349"/>
      <c r="K621" s="349"/>
      <c r="L621" s="350"/>
      <c r="M621" s="350"/>
      <c r="N621" s="350"/>
      <c r="O621" s="350"/>
      <c r="P621" s="352">
        <v>0</v>
      </c>
      <c r="Q621" s="352">
        <v>0</v>
      </c>
      <c r="R621" s="352"/>
      <c r="S621" s="352"/>
      <c r="T621" s="352"/>
      <c r="U621" s="352"/>
      <c r="V621" s="497"/>
      <c r="W621" s="352"/>
      <c r="X621" s="352"/>
      <c r="Y621" s="352">
        <f>IF(NFI_Expiration=1,IF($A621&lt;VLOOKUP(H$5,NFI,5,0),1,0)*Table_NFI[[#This Row],[Hygiene Kit]],Table_NFI[Hygiene Kit])</f>
        <v>0</v>
      </c>
      <c r="Z621" s="352">
        <f>IF(NFI_Expiration=1,IF($A621&lt;VLOOKUP(I$5,NFI,5,0),1,0)*Table_NFI[[#This Row],[NFI Core Kit]],Table_NFI[NFI Core Kit])</f>
        <v>0</v>
      </c>
      <c r="AA621" s="352">
        <f>IF(NFI_Expiration=1,IF($A621&lt;VLOOKUP(J$5,NFI,5,0),1,0)*Table_NFI[[#This Row],[Sanitary Kit]],Table_NFI[Sanitary Kit])</f>
        <v>0</v>
      </c>
      <c r="AB621" s="352">
        <f>IF(NFI_Expiration=1,IF($A621&lt;VLOOKUP(K$5,NFI,5,0),1,0)*Table_NFI[[#This Row],[Mosquito net]],Table_NFI[Mosquito net])</f>
        <v>0</v>
      </c>
      <c r="AC621" s="352">
        <f>IF(NFI_Expiration=1,IF($A621&lt;VLOOKUP(L$5,NFI,5,0),1,0)*Table_NFI[[#This Row],[Tarpaulin]],Table_NFI[[#This Row],[Tarpaulin]])</f>
        <v>0</v>
      </c>
      <c r="AD621" s="352">
        <f>IF(NFI_Expiration=1,IF($A621&lt;VLOOKUP(M$5,NFI,5,0),1,0)*Table_NFI[[#This Row],[Blanket]],Table_NFI[[#This Row],[Blanket]])</f>
        <v>0</v>
      </c>
      <c r="AE621" s="352">
        <f>IF(NFI_Expiration=1,IF($A621&lt;VLOOKUP(N$5,NFI,5,0),1,0)*Table_NFI[[#This Row],[Kitchen Set]],Table_NFI[Kitchen Set])</f>
        <v>0</v>
      </c>
      <c r="AF621" s="352">
        <f>IF(NFI_Expiration=1,IF($A621&lt;VLOOKUP(O$5,NFI,5,0),1,0)*Table_NFI[[#This Row],[Clothes Kit]],Table_NFI[Clothes Kit])</f>
        <v>0</v>
      </c>
      <c r="AG621" s="352">
        <f>IF(NFI_Expiration=1,IF($A621&lt;VLOOKUP(P$5,NFI,5,0),1,0)*Table_NFI[[#This Row],[Plastic Bucket]],Table_NFI[Plastic Bucket])</f>
        <v>0</v>
      </c>
      <c r="AH621" s="352">
        <f>IF(NFI_Expiration=1,IF($A621&lt;VLOOKUP(Q$5,NFI,5,0),1,0)*Table_NFI[[#This Row],[Plastic Mat]],Table_NFI[Plastic Mat])*IF(Table_NFI[[#This Row],[Distribution Date]]&gt;"2014-04-01",1,2.5)</f>
        <v>0</v>
      </c>
      <c r="AI621" s="352">
        <f>IF(NFI_Expiration=1,IF($A621&lt;VLOOKUP(R$5,NFI,5,0),1,0)*Table_NFI[[#This Row],[Winter Clothes Adult]],Table_NFI[Winter Clothes Adult])</f>
        <v>0</v>
      </c>
      <c r="AJ621" s="352">
        <f>IF(NFI_Expiration=1,IF($A621&lt;VLOOKUP(S$5,NFI,5,0),1,0)*Table_NFI[[#This Row],[Winter Clothes Children]],Table_NFI[Winter Clothes Children])</f>
        <v>0</v>
      </c>
      <c r="AK621" s="352">
        <f>IF(NFI_Expiration=1,IF($A621&lt;VLOOKUP(T$5,NFI,5,0),1,0)*Table_NFI[[#This Row],[Winter Items Other]],Table_NFI[Winter Items Other])</f>
        <v>0</v>
      </c>
      <c r="AL621" s="352">
        <f>IF(NFI_Expiration=1,IF($A621&lt;VLOOKUP(M$5,NFI,5,0),1,0)*Table_NFI[[#This Row],[Winter Blanket]],Table_NFI[[#This Row],[Winter Blanket]])</f>
        <v>0</v>
      </c>
      <c r="AM621" s="352">
        <f>IF(Table_NFI[[#This Row],[Winter Clothes Adult]]+Table_NFI[[#This Row],[Winter Clothes Children]]+Table_NFI[[#This Row],[Winter Items Other]]+Table_NFI[[#This Row],[Winter Blanket]]&gt;0,1,0)</f>
        <v>0</v>
      </c>
      <c r="AN621" s="392">
        <f>IF(NFI_Expiration=1,IF($A621&lt;VLOOKUP(V$5,NFI,5,0),1,0)*Table_NFI[[#This Row],[Jerry Can]],Table_NFI[Jerry Can])</f>
        <v>0</v>
      </c>
      <c r="AO621" s="540" t="str">
        <f>IFERROR(VLOOKUP(Table_NFI[[#This Row],[Camp Name]],CL,2,0),"")</f>
        <v>MMR001CMP017</v>
      </c>
      <c r="AP621" s="535">
        <f ca="1">IF(Table_NFI[[#This Row],[Pcode]]="","",IF(OFFSET(CampList[Opening Date],MATCH(Table_NFI[[#This Row],[Pcode]],CampList[CP_Pcode],0)-1,0,1,1)&gt;=NFI_Monitor_Date,1,0))</f>
        <v>0</v>
      </c>
      <c r="AQ621" s="540" t="str">
        <f>IFERROR(VLOOKUP(Table_NFI[[#This Row],[Camp Name]],CL,3,0),"")</f>
        <v>Closed</v>
      </c>
      <c r="AR621" s="352" t="str">
        <f ca="1">IF(Table_NFI[[#This Row],[Pcode]]="","",OFFSET(CampList[Priority],MATCH(Table_NFI[[#This Row],[Pcode]],CampList[CP_Pcode],0)-1,0,1,1))</f>
        <v>P4</v>
      </c>
      <c r="AS621" s="351" t="str">
        <f>IFERROR(Table_NFI[[#This Row],[Kitchen Set]]/VLOOKUP(Table_NFI[[#This Row],[Camp Name]],CL,4,0),"")</f>
        <v/>
      </c>
      <c r="AT621" s="533" t="s">
        <v>1094</v>
      </c>
      <c r="AU621" s="536"/>
    </row>
    <row r="622" spans="1:47" s="537" customFormat="1" ht="14.45" customHeight="1" x14ac:dyDescent="0.25">
      <c r="A622" s="355">
        <f t="shared" si="9"/>
        <v>41.56666666666667</v>
      </c>
      <c r="B622" s="532">
        <v>41324</v>
      </c>
      <c r="C622" s="533" t="s">
        <v>453</v>
      </c>
      <c r="D622" s="534" t="s">
        <v>453</v>
      </c>
      <c r="E622" s="533" t="s">
        <v>380</v>
      </c>
      <c r="F622" s="348" t="s">
        <v>528</v>
      </c>
      <c r="G622" s="348" t="s">
        <v>612</v>
      </c>
      <c r="H622" s="349"/>
      <c r="I622" s="349"/>
      <c r="J622" s="349">
        <v>19</v>
      </c>
      <c r="K622" s="349">
        <v>30</v>
      </c>
      <c r="L622" s="350">
        <v>18</v>
      </c>
      <c r="M622" s="350">
        <v>68</v>
      </c>
      <c r="N622" s="350">
        <v>18</v>
      </c>
      <c r="O622" s="350">
        <v>18</v>
      </c>
      <c r="P622" s="352">
        <v>18</v>
      </c>
      <c r="Q622" s="352">
        <v>18</v>
      </c>
      <c r="R622" s="352"/>
      <c r="S622" s="352"/>
      <c r="T622" s="352"/>
      <c r="U622" s="352"/>
      <c r="V622" s="497"/>
      <c r="W622" s="352"/>
      <c r="X622" s="352"/>
      <c r="Y622" s="352">
        <f>IF(NFI_Expiration=1,IF($A622&lt;VLOOKUP(H$5,NFI,5,0),1,0)*Table_NFI[[#This Row],[Hygiene Kit]],Table_NFI[Hygiene Kit])</f>
        <v>0</v>
      </c>
      <c r="Z622" s="352">
        <f>IF(NFI_Expiration=1,IF($A622&lt;VLOOKUP(I$5,NFI,5,0),1,0)*Table_NFI[[#This Row],[NFI Core Kit]],Table_NFI[NFI Core Kit])</f>
        <v>0</v>
      </c>
      <c r="AA622" s="352">
        <f>IF(NFI_Expiration=1,IF($A622&lt;VLOOKUP(J$5,NFI,5,0),1,0)*Table_NFI[[#This Row],[Sanitary Kit]],Table_NFI[Sanitary Kit])</f>
        <v>0</v>
      </c>
      <c r="AB622" s="352">
        <f>IF(NFI_Expiration=1,IF($A622&lt;VLOOKUP(K$5,NFI,5,0),1,0)*Table_NFI[[#This Row],[Mosquito net]],Table_NFI[Mosquito net])</f>
        <v>0</v>
      </c>
      <c r="AC622" s="352">
        <f>IF(NFI_Expiration=1,IF($A622&lt;VLOOKUP(L$5,NFI,5,0),1,0)*Table_NFI[[#This Row],[Tarpaulin]],Table_NFI[[#This Row],[Tarpaulin]])</f>
        <v>0</v>
      </c>
      <c r="AD622" s="352">
        <f>IF(NFI_Expiration=1,IF($A622&lt;VLOOKUP(M$5,NFI,5,0),1,0)*Table_NFI[[#This Row],[Blanket]],Table_NFI[[#This Row],[Blanket]])</f>
        <v>0</v>
      </c>
      <c r="AE622" s="352">
        <f>IF(NFI_Expiration=1,IF($A622&lt;VLOOKUP(N$5,NFI,5,0),1,0)*Table_NFI[[#This Row],[Kitchen Set]],Table_NFI[Kitchen Set])</f>
        <v>0</v>
      </c>
      <c r="AF622" s="352">
        <f>IF(NFI_Expiration=1,IF($A622&lt;VLOOKUP(O$5,NFI,5,0),1,0)*Table_NFI[[#This Row],[Clothes Kit]],Table_NFI[Clothes Kit])</f>
        <v>0</v>
      </c>
      <c r="AG622" s="352">
        <f>IF(NFI_Expiration=1,IF($A622&lt;VLOOKUP(P$5,NFI,5,0),1,0)*Table_NFI[[#This Row],[Plastic Bucket]],Table_NFI[Plastic Bucket])</f>
        <v>0</v>
      </c>
      <c r="AH622" s="352">
        <f>IF(NFI_Expiration=1,IF($A622&lt;VLOOKUP(Q$5,NFI,5,0),1,0)*Table_NFI[[#This Row],[Plastic Mat]],Table_NFI[Plastic Mat])*IF(Table_NFI[[#This Row],[Distribution Date]]&gt;"2014-04-01",1,2.5)</f>
        <v>0</v>
      </c>
      <c r="AI622" s="352">
        <f>IF(NFI_Expiration=1,IF($A622&lt;VLOOKUP(R$5,NFI,5,0),1,0)*Table_NFI[[#This Row],[Winter Clothes Adult]],Table_NFI[Winter Clothes Adult])</f>
        <v>0</v>
      </c>
      <c r="AJ622" s="352">
        <f>IF(NFI_Expiration=1,IF($A622&lt;VLOOKUP(S$5,NFI,5,0),1,0)*Table_NFI[[#This Row],[Winter Clothes Children]],Table_NFI[Winter Clothes Children])</f>
        <v>0</v>
      </c>
      <c r="AK622" s="352">
        <f>IF(NFI_Expiration=1,IF($A622&lt;VLOOKUP(T$5,NFI,5,0),1,0)*Table_NFI[[#This Row],[Winter Items Other]],Table_NFI[Winter Items Other])</f>
        <v>0</v>
      </c>
      <c r="AL622" s="352">
        <f>IF(NFI_Expiration=1,IF($A622&lt;VLOOKUP(M$5,NFI,5,0),1,0)*Table_NFI[[#This Row],[Winter Blanket]],Table_NFI[[#This Row],[Winter Blanket]])</f>
        <v>0</v>
      </c>
      <c r="AM622" s="352">
        <f>IF(Table_NFI[[#This Row],[Winter Clothes Adult]]+Table_NFI[[#This Row],[Winter Clothes Children]]+Table_NFI[[#This Row],[Winter Items Other]]+Table_NFI[[#This Row],[Winter Blanket]]&gt;0,1,0)</f>
        <v>0</v>
      </c>
      <c r="AN622" s="392">
        <f>IF(NFI_Expiration=1,IF($A622&lt;VLOOKUP(V$5,NFI,5,0),1,0)*Table_NFI[[#This Row],[Jerry Can]],Table_NFI[Jerry Can])</f>
        <v>0</v>
      </c>
      <c r="AO622" s="540" t="str">
        <f>IFERROR(VLOOKUP(Table_NFI[[#This Row],[Camp Name]],CL,2,0),"")</f>
        <v>MMR001CMP192</v>
      </c>
      <c r="AP622" s="535">
        <f ca="1">IF(Table_NFI[[#This Row],[Pcode]]="","",IF(OFFSET(CampList[Opening Date],MATCH(Table_NFI[[#This Row],[Pcode]],CampList[CP_Pcode],0)-1,0,1,1)&gt;=NFI_Monitor_Date,1,0))</f>
        <v>0</v>
      </c>
      <c r="AQ622" s="540" t="str">
        <f>IFERROR(VLOOKUP(Table_NFI[[#This Row],[Camp Name]],CL,3,0),"")</f>
        <v>Open</v>
      </c>
      <c r="AR622" s="352" t="str">
        <f ca="1">IF(Table_NFI[[#This Row],[Pcode]]="","",OFFSET(CampList[Priority],MATCH(Table_NFI[[#This Row],[Pcode]],CampList[CP_Pcode],0)-1,0,1,1))</f>
        <v>P4</v>
      </c>
      <c r="AS622" s="351">
        <f>IFERROR(Table_NFI[[#This Row],[Kitchen Set]]/VLOOKUP(Table_NFI[[#This Row],[Camp Name]],CL,4,0),"")</f>
        <v>1.0588235294117647</v>
      </c>
      <c r="AT622" s="533" t="s">
        <v>1094</v>
      </c>
      <c r="AU622" s="536"/>
    </row>
    <row r="623" spans="1:47" s="537" customFormat="1" ht="14.45" customHeight="1" x14ac:dyDescent="0.25">
      <c r="A623" s="355">
        <f t="shared" si="9"/>
        <v>41.56666666666667</v>
      </c>
      <c r="B623" s="532">
        <v>41324</v>
      </c>
      <c r="C623" s="533" t="s">
        <v>453</v>
      </c>
      <c r="D623" s="534" t="s">
        <v>453</v>
      </c>
      <c r="E623" s="533" t="s">
        <v>380</v>
      </c>
      <c r="F623" s="348" t="s">
        <v>528</v>
      </c>
      <c r="G623" s="348" t="s">
        <v>74</v>
      </c>
      <c r="H623" s="349"/>
      <c r="I623" s="349"/>
      <c r="J623" s="349">
        <v>2</v>
      </c>
      <c r="K623" s="349">
        <v>3</v>
      </c>
      <c r="L623" s="350">
        <v>2</v>
      </c>
      <c r="M623" s="350">
        <v>7</v>
      </c>
      <c r="N623" s="350">
        <v>2</v>
      </c>
      <c r="O623" s="350">
        <v>2</v>
      </c>
      <c r="P623" s="352">
        <v>2</v>
      </c>
      <c r="Q623" s="352">
        <v>2</v>
      </c>
      <c r="R623" s="352"/>
      <c r="S623" s="352"/>
      <c r="T623" s="352"/>
      <c r="U623" s="352"/>
      <c r="V623" s="497"/>
      <c r="W623" s="352"/>
      <c r="X623" s="352"/>
      <c r="Y623" s="352">
        <f>IF(NFI_Expiration=1,IF($A623&lt;VLOOKUP(H$5,NFI,5,0),1,0)*Table_NFI[[#This Row],[Hygiene Kit]],Table_NFI[Hygiene Kit])</f>
        <v>0</v>
      </c>
      <c r="Z623" s="352">
        <f>IF(NFI_Expiration=1,IF($A623&lt;VLOOKUP(I$5,NFI,5,0),1,0)*Table_NFI[[#This Row],[NFI Core Kit]],Table_NFI[NFI Core Kit])</f>
        <v>0</v>
      </c>
      <c r="AA623" s="352">
        <f>IF(NFI_Expiration=1,IF($A623&lt;VLOOKUP(J$5,NFI,5,0),1,0)*Table_NFI[[#This Row],[Sanitary Kit]],Table_NFI[Sanitary Kit])</f>
        <v>0</v>
      </c>
      <c r="AB623" s="352">
        <f>IF(NFI_Expiration=1,IF($A623&lt;VLOOKUP(K$5,NFI,5,0),1,0)*Table_NFI[[#This Row],[Mosquito net]],Table_NFI[Mosquito net])</f>
        <v>0</v>
      </c>
      <c r="AC623" s="352">
        <f>IF(NFI_Expiration=1,IF($A623&lt;VLOOKUP(L$5,NFI,5,0),1,0)*Table_NFI[[#This Row],[Tarpaulin]],Table_NFI[[#This Row],[Tarpaulin]])</f>
        <v>0</v>
      </c>
      <c r="AD623" s="352">
        <f>IF(NFI_Expiration=1,IF($A623&lt;VLOOKUP(M$5,NFI,5,0),1,0)*Table_NFI[[#This Row],[Blanket]],Table_NFI[[#This Row],[Blanket]])</f>
        <v>0</v>
      </c>
      <c r="AE623" s="352">
        <f>IF(NFI_Expiration=1,IF($A623&lt;VLOOKUP(N$5,NFI,5,0),1,0)*Table_NFI[[#This Row],[Kitchen Set]],Table_NFI[Kitchen Set])</f>
        <v>0</v>
      </c>
      <c r="AF623" s="352">
        <f>IF(NFI_Expiration=1,IF($A623&lt;VLOOKUP(O$5,NFI,5,0),1,0)*Table_NFI[[#This Row],[Clothes Kit]],Table_NFI[Clothes Kit])</f>
        <v>0</v>
      </c>
      <c r="AG623" s="352">
        <f>IF(NFI_Expiration=1,IF($A623&lt;VLOOKUP(P$5,NFI,5,0),1,0)*Table_NFI[[#This Row],[Plastic Bucket]],Table_NFI[Plastic Bucket])</f>
        <v>0</v>
      </c>
      <c r="AH623" s="352">
        <f>IF(NFI_Expiration=1,IF($A623&lt;VLOOKUP(Q$5,NFI,5,0),1,0)*Table_NFI[[#This Row],[Plastic Mat]],Table_NFI[Plastic Mat])*IF(Table_NFI[[#This Row],[Distribution Date]]&gt;"2014-04-01",1,2.5)</f>
        <v>0</v>
      </c>
      <c r="AI623" s="352">
        <f>IF(NFI_Expiration=1,IF($A623&lt;VLOOKUP(R$5,NFI,5,0),1,0)*Table_NFI[[#This Row],[Winter Clothes Adult]],Table_NFI[Winter Clothes Adult])</f>
        <v>0</v>
      </c>
      <c r="AJ623" s="352">
        <f>IF(NFI_Expiration=1,IF($A623&lt;VLOOKUP(S$5,NFI,5,0),1,0)*Table_NFI[[#This Row],[Winter Clothes Children]],Table_NFI[Winter Clothes Children])</f>
        <v>0</v>
      </c>
      <c r="AK623" s="352">
        <f>IF(NFI_Expiration=1,IF($A623&lt;VLOOKUP(T$5,NFI,5,0),1,0)*Table_NFI[[#This Row],[Winter Items Other]],Table_NFI[Winter Items Other])</f>
        <v>0</v>
      </c>
      <c r="AL623" s="352">
        <f>IF(NFI_Expiration=1,IF($A623&lt;VLOOKUP(M$5,NFI,5,0),1,0)*Table_NFI[[#This Row],[Winter Blanket]],Table_NFI[[#This Row],[Winter Blanket]])</f>
        <v>0</v>
      </c>
      <c r="AM623" s="352">
        <f>IF(Table_NFI[[#This Row],[Winter Clothes Adult]]+Table_NFI[[#This Row],[Winter Clothes Children]]+Table_NFI[[#This Row],[Winter Items Other]]+Table_NFI[[#This Row],[Winter Blanket]]&gt;0,1,0)</f>
        <v>0</v>
      </c>
      <c r="AN623" s="392">
        <f>IF(NFI_Expiration=1,IF($A623&lt;VLOOKUP(V$5,NFI,5,0),1,0)*Table_NFI[[#This Row],[Jerry Can]],Table_NFI[Jerry Can])</f>
        <v>0</v>
      </c>
      <c r="AO623" s="540" t="str">
        <f>IFERROR(VLOOKUP(Table_NFI[[#This Row],[Camp Name]],CL,2,0),"")</f>
        <v>MMR001CMP175</v>
      </c>
      <c r="AP623" s="535">
        <f ca="1">IF(Table_NFI[[#This Row],[Pcode]]="","",IF(OFFSET(CampList[Opening Date],MATCH(Table_NFI[[#This Row],[Pcode]],CampList[CP_Pcode],0)-1,0,1,1)&gt;=NFI_Monitor_Date,1,0))</f>
        <v>0</v>
      </c>
      <c r="AQ623" s="540" t="str">
        <f>IFERROR(VLOOKUP(Table_NFI[[#This Row],[Camp Name]],CL,3,0),"")</f>
        <v>Closed</v>
      </c>
      <c r="AR623" s="352" t="str">
        <f ca="1">IF(Table_NFI[[#This Row],[Pcode]]="","",OFFSET(CampList[Priority],MATCH(Table_NFI[[#This Row],[Pcode]],CampList[CP_Pcode],0)-1,0,1,1))</f>
        <v/>
      </c>
      <c r="AS623" s="351" t="str">
        <f>IFERROR(Table_NFI[[#This Row],[Kitchen Set]]/VLOOKUP(Table_NFI[[#This Row],[Camp Name]],CL,4,0),"")</f>
        <v/>
      </c>
      <c r="AT623" s="533" t="s">
        <v>1094</v>
      </c>
      <c r="AU623" s="536"/>
    </row>
    <row r="624" spans="1:47" s="537" customFormat="1" ht="14.45" customHeight="1" x14ac:dyDescent="0.25">
      <c r="A624" s="355">
        <f t="shared" si="9"/>
        <v>41.6</v>
      </c>
      <c r="B624" s="532">
        <v>41323</v>
      </c>
      <c r="C624" s="533" t="s">
        <v>453</v>
      </c>
      <c r="D624" s="534" t="s">
        <v>453</v>
      </c>
      <c r="E624" s="533" t="s">
        <v>380</v>
      </c>
      <c r="F624" s="348" t="s">
        <v>528</v>
      </c>
      <c r="G624" s="348" t="s">
        <v>88</v>
      </c>
      <c r="H624" s="349"/>
      <c r="I624" s="349"/>
      <c r="J624" s="349">
        <v>30</v>
      </c>
      <c r="K624" s="349">
        <v>0</v>
      </c>
      <c r="L624" s="350">
        <v>0</v>
      </c>
      <c r="M624" s="350">
        <v>0</v>
      </c>
      <c r="N624" s="350">
        <v>0</v>
      </c>
      <c r="O624" s="350">
        <v>0</v>
      </c>
      <c r="P624" s="352"/>
      <c r="Q624" s="352"/>
      <c r="R624" s="352"/>
      <c r="S624" s="352"/>
      <c r="T624" s="352"/>
      <c r="U624" s="352"/>
      <c r="V624" s="497"/>
      <c r="W624" s="352"/>
      <c r="X624" s="352"/>
      <c r="Y624" s="352">
        <f>IF(NFI_Expiration=1,IF($A624&lt;VLOOKUP(H$5,NFI,5,0),1,0)*Table_NFI[[#This Row],[Hygiene Kit]],Table_NFI[Hygiene Kit])</f>
        <v>0</v>
      </c>
      <c r="Z624" s="352">
        <f>IF(NFI_Expiration=1,IF($A624&lt;VLOOKUP(I$5,NFI,5,0),1,0)*Table_NFI[[#This Row],[NFI Core Kit]],Table_NFI[NFI Core Kit])</f>
        <v>0</v>
      </c>
      <c r="AA624" s="352">
        <f>IF(NFI_Expiration=1,IF($A624&lt;VLOOKUP(J$5,NFI,5,0),1,0)*Table_NFI[[#This Row],[Sanitary Kit]],Table_NFI[Sanitary Kit])</f>
        <v>0</v>
      </c>
      <c r="AB624" s="352">
        <f>IF(NFI_Expiration=1,IF($A624&lt;VLOOKUP(K$5,NFI,5,0),1,0)*Table_NFI[[#This Row],[Mosquito net]],Table_NFI[Mosquito net])</f>
        <v>0</v>
      </c>
      <c r="AC624" s="352">
        <f>IF(NFI_Expiration=1,IF($A624&lt;VLOOKUP(L$5,NFI,5,0),1,0)*Table_NFI[[#This Row],[Tarpaulin]],Table_NFI[[#This Row],[Tarpaulin]])</f>
        <v>0</v>
      </c>
      <c r="AD624" s="352">
        <f>IF(NFI_Expiration=1,IF($A624&lt;VLOOKUP(M$5,NFI,5,0),1,0)*Table_NFI[[#This Row],[Blanket]],Table_NFI[[#This Row],[Blanket]])</f>
        <v>0</v>
      </c>
      <c r="AE624" s="352">
        <f>IF(NFI_Expiration=1,IF($A624&lt;VLOOKUP(N$5,NFI,5,0),1,0)*Table_NFI[[#This Row],[Kitchen Set]],Table_NFI[Kitchen Set])</f>
        <v>0</v>
      </c>
      <c r="AF624" s="352">
        <f>IF(NFI_Expiration=1,IF($A624&lt;VLOOKUP(O$5,NFI,5,0),1,0)*Table_NFI[[#This Row],[Clothes Kit]],Table_NFI[Clothes Kit])</f>
        <v>0</v>
      </c>
      <c r="AG624" s="352">
        <f>IF(NFI_Expiration=1,IF($A624&lt;VLOOKUP(P$5,NFI,5,0),1,0)*Table_NFI[[#This Row],[Plastic Bucket]],Table_NFI[Plastic Bucket])</f>
        <v>0</v>
      </c>
      <c r="AH624" s="352">
        <f>IF(NFI_Expiration=1,IF($A624&lt;VLOOKUP(Q$5,NFI,5,0),1,0)*Table_NFI[[#This Row],[Plastic Mat]],Table_NFI[Plastic Mat])*IF(Table_NFI[[#This Row],[Distribution Date]]&gt;"2014-04-01",1,2.5)</f>
        <v>0</v>
      </c>
      <c r="AI624" s="352">
        <f>IF(NFI_Expiration=1,IF($A624&lt;VLOOKUP(R$5,NFI,5,0),1,0)*Table_NFI[[#This Row],[Winter Clothes Adult]],Table_NFI[Winter Clothes Adult])</f>
        <v>0</v>
      </c>
      <c r="AJ624" s="352">
        <f>IF(NFI_Expiration=1,IF($A624&lt;VLOOKUP(S$5,NFI,5,0),1,0)*Table_NFI[[#This Row],[Winter Clothes Children]],Table_NFI[Winter Clothes Children])</f>
        <v>0</v>
      </c>
      <c r="AK624" s="352">
        <f>IF(NFI_Expiration=1,IF($A624&lt;VLOOKUP(T$5,NFI,5,0),1,0)*Table_NFI[[#This Row],[Winter Items Other]],Table_NFI[Winter Items Other])</f>
        <v>0</v>
      </c>
      <c r="AL624" s="352">
        <f>IF(NFI_Expiration=1,IF($A624&lt;VLOOKUP(M$5,NFI,5,0),1,0)*Table_NFI[[#This Row],[Winter Blanket]],Table_NFI[[#This Row],[Winter Blanket]])</f>
        <v>0</v>
      </c>
      <c r="AM624" s="352">
        <f>IF(Table_NFI[[#This Row],[Winter Clothes Adult]]+Table_NFI[[#This Row],[Winter Clothes Children]]+Table_NFI[[#This Row],[Winter Items Other]]+Table_NFI[[#This Row],[Winter Blanket]]&gt;0,1,0)</f>
        <v>0</v>
      </c>
      <c r="AN624" s="392">
        <f>IF(NFI_Expiration=1,IF($A624&lt;VLOOKUP(V$5,NFI,5,0),1,0)*Table_NFI[[#This Row],[Jerry Can]],Table_NFI[Jerry Can])</f>
        <v>0</v>
      </c>
      <c r="AO624" s="540" t="str">
        <f>IFERROR(VLOOKUP(Table_NFI[[#This Row],[Camp Name]],CL,2,0),"")</f>
        <v>MMR001CMP148</v>
      </c>
      <c r="AP624" s="535">
        <f ca="1">IF(Table_NFI[[#This Row],[Pcode]]="","",IF(OFFSET(CampList[Opening Date],MATCH(Table_NFI[[#This Row],[Pcode]],CampList[CP_Pcode],0)-1,0,1,1)&gt;=NFI_Monitor_Date,1,0))</f>
        <v>0</v>
      </c>
      <c r="AQ624" s="540" t="str">
        <f>IFERROR(VLOOKUP(Table_NFI[[#This Row],[Camp Name]],CL,3,0),"")</f>
        <v>Open</v>
      </c>
      <c r="AR624" s="352" t="str">
        <f ca="1">IF(Table_NFI[[#This Row],[Pcode]]="","",OFFSET(CampList[Priority],MATCH(Table_NFI[[#This Row],[Pcode]],CampList[CP_Pcode],0)-1,0,1,1))</f>
        <v>P4</v>
      </c>
      <c r="AS624" s="351">
        <f>IFERROR(Table_NFI[[#This Row],[Kitchen Set]]/VLOOKUP(Table_NFI[[#This Row],[Camp Name]],CL,4,0),"")</f>
        <v>0</v>
      </c>
      <c r="AT624" s="533" t="s">
        <v>1094</v>
      </c>
      <c r="AU624" s="536"/>
    </row>
    <row r="625" spans="1:47" s="537" customFormat="1" ht="14.45" customHeight="1" x14ac:dyDescent="0.25">
      <c r="A625" s="355">
        <f t="shared" si="9"/>
        <v>41.6</v>
      </c>
      <c r="B625" s="532">
        <v>41323</v>
      </c>
      <c r="C625" s="533" t="s">
        <v>453</v>
      </c>
      <c r="D625" s="534" t="s">
        <v>461</v>
      </c>
      <c r="E625" s="533" t="s">
        <v>554</v>
      </c>
      <c r="F625" s="348" t="s">
        <v>146</v>
      </c>
      <c r="G625" s="348" t="s">
        <v>369</v>
      </c>
      <c r="H625" s="349"/>
      <c r="I625" s="349"/>
      <c r="J625" s="349">
        <v>120</v>
      </c>
      <c r="K625" s="349">
        <v>120</v>
      </c>
      <c r="L625" s="350">
        <v>60</v>
      </c>
      <c r="M625" s="350">
        <v>120</v>
      </c>
      <c r="N625" s="350">
        <v>60</v>
      </c>
      <c r="O625" s="350">
        <v>60</v>
      </c>
      <c r="P625" s="352">
        <v>60</v>
      </c>
      <c r="Q625" s="352">
        <v>60</v>
      </c>
      <c r="R625" s="352"/>
      <c r="S625" s="352"/>
      <c r="T625" s="352"/>
      <c r="U625" s="352"/>
      <c r="V625" s="497"/>
      <c r="W625" s="352"/>
      <c r="X625" s="352"/>
      <c r="Y625" s="352">
        <f>IF(NFI_Expiration=1,IF($A625&lt;VLOOKUP(H$5,NFI,5,0),1,0)*Table_NFI[[#This Row],[Hygiene Kit]],Table_NFI[Hygiene Kit])</f>
        <v>0</v>
      </c>
      <c r="Z625" s="352">
        <f>IF(NFI_Expiration=1,IF($A625&lt;VLOOKUP(I$5,NFI,5,0),1,0)*Table_NFI[[#This Row],[NFI Core Kit]],Table_NFI[NFI Core Kit])</f>
        <v>0</v>
      </c>
      <c r="AA625" s="352">
        <f>IF(NFI_Expiration=1,IF($A625&lt;VLOOKUP(J$5,NFI,5,0),1,0)*Table_NFI[[#This Row],[Sanitary Kit]],Table_NFI[Sanitary Kit])</f>
        <v>0</v>
      </c>
      <c r="AB625" s="352">
        <f>IF(NFI_Expiration=1,IF($A625&lt;VLOOKUP(K$5,NFI,5,0),1,0)*Table_NFI[[#This Row],[Mosquito net]],Table_NFI[Mosquito net])</f>
        <v>0</v>
      </c>
      <c r="AC625" s="352">
        <f>IF(NFI_Expiration=1,IF($A625&lt;VLOOKUP(L$5,NFI,5,0),1,0)*Table_NFI[[#This Row],[Tarpaulin]],Table_NFI[[#This Row],[Tarpaulin]])</f>
        <v>0</v>
      </c>
      <c r="AD625" s="352">
        <f>IF(NFI_Expiration=1,IF($A625&lt;VLOOKUP(M$5,NFI,5,0),1,0)*Table_NFI[[#This Row],[Blanket]],Table_NFI[[#This Row],[Blanket]])</f>
        <v>0</v>
      </c>
      <c r="AE625" s="352">
        <f>IF(NFI_Expiration=1,IF($A625&lt;VLOOKUP(N$5,NFI,5,0),1,0)*Table_NFI[[#This Row],[Kitchen Set]],Table_NFI[Kitchen Set])</f>
        <v>0</v>
      </c>
      <c r="AF625" s="352">
        <f>IF(NFI_Expiration=1,IF($A625&lt;VLOOKUP(O$5,NFI,5,0),1,0)*Table_NFI[[#This Row],[Clothes Kit]],Table_NFI[Clothes Kit])</f>
        <v>0</v>
      </c>
      <c r="AG625" s="352">
        <f>IF(NFI_Expiration=1,IF($A625&lt;VLOOKUP(P$5,NFI,5,0),1,0)*Table_NFI[[#This Row],[Plastic Bucket]],Table_NFI[Plastic Bucket])</f>
        <v>0</v>
      </c>
      <c r="AH625" s="352">
        <f>IF(NFI_Expiration=1,IF($A625&lt;VLOOKUP(Q$5,NFI,5,0),1,0)*Table_NFI[[#This Row],[Plastic Mat]],Table_NFI[Plastic Mat])*IF(Table_NFI[[#This Row],[Distribution Date]]&gt;"2014-04-01",1,2.5)</f>
        <v>0</v>
      </c>
      <c r="AI625" s="352">
        <f>IF(NFI_Expiration=1,IF($A625&lt;VLOOKUP(R$5,NFI,5,0),1,0)*Table_NFI[[#This Row],[Winter Clothes Adult]],Table_NFI[Winter Clothes Adult])</f>
        <v>0</v>
      </c>
      <c r="AJ625" s="352">
        <f>IF(NFI_Expiration=1,IF($A625&lt;VLOOKUP(S$5,NFI,5,0),1,0)*Table_NFI[[#This Row],[Winter Clothes Children]],Table_NFI[Winter Clothes Children])</f>
        <v>0</v>
      </c>
      <c r="AK625" s="352">
        <f>IF(NFI_Expiration=1,IF($A625&lt;VLOOKUP(T$5,NFI,5,0),1,0)*Table_NFI[[#This Row],[Winter Items Other]],Table_NFI[Winter Items Other])</f>
        <v>0</v>
      </c>
      <c r="AL625" s="352">
        <f>IF(NFI_Expiration=1,IF($A625&lt;VLOOKUP(M$5,NFI,5,0),1,0)*Table_NFI[[#This Row],[Winter Blanket]],Table_NFI[[#This Row],[Winter Blanket]])</f>
        <v>0</v>
      </c>
      <c r="AM625" s="352">
        <f>IF(Table_NFI[[#This Row],[Winter Clothes Adult]]+Table_NFI[[#This Row],[Winter Clothes Children]]+Table_NFI[[#This Row],[Winter Items Other]]+Table_NFI[[#This Row],[Winter Blanket]]&gt;0,1,0)</f>
        <v>0</v>
      </c>
      <c r="AN625" s="392">
        <f>IF(NFI_Expiration=1,IF($A625&lt;VLOOKUP(V$5,NFI,5,0),1,0)*Table_NFI[[#This Row],[Jerry Can]],Table_NFI[Jerry Can])</f>
        <v>0</v>
      </c>
      <c r="AO625" s="540" t="str">
        <f>IFERROR(VLOOKUP(Table_NFI[[#This Row],[Camp Name]],CL,2,0),"")</f>
        <v>MMR015CMP016</v>
      </c>
      <c r="AP625" s="535">
        <f ca="1">IF(Table_NFI[[#This Row],[Pcode]]="","",IF(OFFSET(CampList[Opening Date],MATCH(Table_NFI[[#This Row],[Pcode]],CampList[CP_Pcode],0)-1,0,1,1)&gt;=NFI_Monitor_Date,1,0))</f>
        <v>0</v>
      </c>
      <c r="AQ625" s="540" t="str">
        <f>IFERROR(VLOOKUP(Table_NFI[[#This Row],[Camp Name]],CL,3,0),"")</f>
        <v>Open</v>
      </c>
      <c r="AR625" s="352" t="str">
        <f ca="1">IF(Table_NFI[[#This Row],[Pcode]]="","",OFFSET(CampList[Priority],MATCH(Table_NFI[[#This Row],[Pcode]],CampList[CP_Pcode],0)-1,0,1,1))</f>
        <v>P3</v>
      </c>
      <c r="AS625" s="351">
        <f>IFERROR(Table_NFI[[#This Row],[Kitchen Set]]/VLOOKUP(Table_NFI[[#This Row],[Camp Name]],CL,4,0),"")</f>
        <v>0.95238095238095233</v>
      </c>
      <c r="AT625" s="533" t="s">
        <v>1094</v>
      </c>
      <c r="AU625" s="536"/>
    </row>
    <row r="626" spans="1:47" s="537" customFormat="1" ht="14.45" customHeight="1" x14ac:dyDescent="0.25">
      <c r="A626" s="355">
        <f t="shared" si="9"/>
        <v>41.6</v>
      </c>
      <c r="B626" s="532">
        <v>41323</v>
      </c>
      <c r="C626" s="533" t="s">
        <v>453</v>
      </c>
      <c r="D626" s="533" t="s">
        <v>461</v>
      </c>
      <c r="E626" s="533" t="s">
        <v>380</v>
      </c>
      <c r="F626" s="348" t="s">
        <v>151</v>
      </c>
      <c r="G626" s="348" t="s">
        <v>160</v>
      </c>
      <c r="H626" s="349"/>
      <c r="I626" s="349"/>
      <c r="J626" s="349">
        <v>221</v>
      </c>
      <c r="K626" s="349">
        <v>221</v>
      </c>
      <c r="L626" s="350">
        <v>110</v>
      </c>
      <c r="M626" s="350">
        <v>221</v>
      </c>
      <c r="N626" s="350">
        <v>110</v>
      </c>
      <c r="O626" s="350">
        <v>110</v>
      </c>
      <c r="P626" s="352">
        <v>110</v>
      </c>
      <c r="Q626" s="352">
        <v>110</v>
      </c>
      <c r="R626" s="352"/>
      <c r="S626" s="352"/>
      <c r="T626" s="352"/>
      <c r="U626" s="352"/>
      <c r="V626" s="497"/>
      <c r="W626" s="352"/>
      <c r="X626" s="352"/>
      <c r="Y626" s="352">
        <f>IF(NFI_Expiration=1,IF($A626&lt;VLOOKUP(H$5,NFI,5,0),1,0)*Table_NFI[[#This Row],[Hygiene Kit]],Table_NFI[Hygiene Kit])</f>
        <v>0</v>
      </c>
      <c r="Z626" s="352">
        <f>IF(NFI_Expiration=1,IF($A626&lt;VLOOKUP(I$5,NFI,5,0),1,0)*Table_NFI[[#This Row],[NFI Core Kit]],Table_NFI[NFI Core Kit])</f>
        <v>0</v>
      </c>
      <c r="AA626" s="352">
        <f>IF(NFI_Expiration=1,IF($A626&lt;VLOOKUP(J$5,NFI,5,0),1,0)*Table_NFI[[#This Row],[Sanitary Kit]],Table_NFI[Sanitary Kit])</f>
        <v>0</v>
      </c>
      <c r="AB626" s="352">
        <f>IF(NFI_Expiration=1,IF($A626&lt;VLOOKUP(K$5,NFI,5,0),1,0)*Table_NFI[[#This Row],[Mosquito net]],Table_NFI[Mosquito net])</f>
        <v>0</v>
      </c>
      <c r="AC626" s="352">
        <f>IF(NFI_Expiration=1,IF($A626&lt;VLOOKUP(L$5,NFI,5,0),1,0)*Table_NFI[[#This Row],[Tarpaulin]],Table_NFI[[#This Row],[Tarpaulin]])</f>
        <v>0</v>
      </c>
      <c r="AD626" s="352">
        <f>IF(NFI_Expiration=1,IF($A626&lt;VLOOKUP(M$5,NFI,5,0),1,0)*Table_NFI[[#This Row],[Blanket]],Table_NFI[[#This Row],[Blanket]])</f>
        <v>0</v>
      </c>
      <c r="AE626" s="352">
        <f>IF(NFI_Expiration=1,IF($A626&lt;VLOOKUP(N$5,NFI,5,0),1,0)*Table_NFI[[#This Row],[Kitchen Set]],Table_NFI[Kitchen Set])</f>
        <v>0</v>
      </c>
      <c r="AF626" s="352">
        <f>IF(NFI_Expiration=1,IF($A626&lt;VLOOKUP(O$5,NFI,5,0),1,0)*Table_NFI[[#This Row],[Clothes Kit]],Table_NFI[Clothes Kit])</f>
        <v>0</v>
      </c>
      <c r="AG626" s="352">
        <f>IF(NFI_Expiration=1,IF($A626&lt;VLOOKUP(P$5,NFI,5,0),1,0)*Table_NFI[[#This Row],[Plastic Bucket]],Table_NFI[Plastic Bucket])</f>
        <v>0</v>
      </c>
      <c r="AH626" s="352">
        <f>IF(NFI_Expiration=1,IF($A626&lt;VLOOKUP(Q$5,NFI,5,0),1,0)*Table_NFI[[#This Row],[Plastic Mat]],Table_NFI[Plastic Mat])*IF(Table_NFI[[#This Row],[Distribution Date]]&gt;"2014-04-01",1,2.5)</f>
        <v>0</v>
      </c>
      <c r="AI626" s="352">
        <f>IF(NFI_Expiration=1,IF($A626&lt;VLOOKUP(R$5,NFI,5,0),1,0)*Table_NFI[[#This Row],[Winter Clothes Adult]],Table_NFI[Winter Clothes Adult])</f>
        <v>0</v>
      </c>
      <c r="AJ626" s="352">
        <f>IF(NFI_Expiration=1,IF($A626&lt;VLOOKUP(S$5,NFI,5,0),1,0)*Table_NFI[[#This Row],[Winter Clothes Children]],Table_NFI[Winter Clothes Children])</f>
        <v>0</v>
      </c>
      <c r="AK626" s="352">
        <f>IF(NFI_Expiration=1,IF($A626&lt;VLOOKUP(T$5,NFI,5,0),1,0)*Table_NFI[[#This Row],[Winter Items Other]],Table_NFI[Winter Items Other])</f>
        <v>0</v>
      </c>
      <c r="AL626" s="352">
        <f>IF(NFI_Expiration=1,IF($A626&lt;VLOOKUP(M$5,NFI,5,0),1,0)*Table_NFI[[#This Row],[Winter Blanket]],Table_NFI[[#This Row],[Winter Blanket]])</f>
        <v>0</v>
      </c>
      <c r="AM626" s="352">
        <f>IF(Table_NFI[[#This Row],[Winter Clothes Adult]]+Table_NFI[[#This Row],[Winter Clothes Children]]+Table_NFI[[#This Row],[Winter Items Other]]+Table_NFI[[#This Row],[Winter Blanket]]&gt;0,1,0)</f>
        <v>0</v>
      </c>
      <c r="AN626" s="392">
        <f>IF(NFI_Expiration=1,IF($A626&lt;VLOOKUP(V$5,NFI,5,0),1,0)*Table_NFI[[#This Row],[Jerry Can]],Table_NFI[Jerry Can])</f>
        <v>0</v>
      </c>
      <c r="AO626" s="540" t="str">
        <f>IFERROR(VLOOKUP(Table_NFI[[#This Row],[Camp Name]],CL,2,0),"")</f>
        <v>MMR001CMP133</v>
      </c>
      <c r="AP626" s="535">
        <f ca="1">IF(Table_NFI[[#This Row],[Pcode]]="","",IF(OFFSET(CampList[Opening Date],MATCH(Table_NFI[[#This Row],[Pcode]],CampList[CP_Pcode],0)-1,0,1,1)&gt;=NFI_Monitor_Date,1,0))</f>
        <v>0</v>
      </c>
      <c r="AQ626" s="540" t="str">
        <f>IFERROR(VLOOKUP(Table_NFI[[#This Row],[Camp Name]],CL,3,0),"")</f>
        <v>Open</v>
      </c>
      <c r="AR626" s="352" t="str">
        <f ca="1">IF(Table_NFI[[#This Row],[Pcode]]="","",OFFSET(CampList[Priority],MATCH(Table_NFI[[#This Row],[Pcode]],CampList[CP_Pcode],0)-1,0,1,1))</f>
        <v>P4</v>
      </c>
      <c r="AS626" s="351">
        <f>IFERROR(Table_NFI[[#This Row],[Kitchen Set]]/VLOOKUP(Table_NFI[[#This Row],[Camp Name]],CL,4,0),"")</f>
        <v>1.02803738317757</v>
      </c>
      <c r="AT626" s="533" t="s">
        <v>1094</v>
      </c>
      <c r="AU626" s="536"/>
    </row>
    <row r="627" spans="1:47" s="537" customFormat="1" ht="14.45" customHeight="1" x14ac:dyDescent="0.25">
      <c r="A627" s="355">
        <f t="shared" si="9"/>
        <v>41.6</v>
      </c>
      <c r="B627" s="532">
        <v>41323</v>
      </c>
      <c r="C627" s="533" t="s">
        <v>453</v>
      </c>
      <c r="D627" s="534" t="s">
        <v>461</v>
      </c>
      <c r="E627" s="533" t="s">
        <v>554</v>
      </c>
      <c r="F627" s="348" t="s">
        <v>166</v>
      </c>
      <c r="G627" s="348" t="s">
        <v>167</v>
      </c>
      <c r="H627" s="349"/>
      <c r="I627" s="349"/>
      <c r="J627" s="349">
        <v>57</v>
      </c>
      <c r="K627" s="349">
        <v>57</v>
      </c>
      <c r="L627" s="350">
        <v>29</v>
      </c>
      <c r="M627" s="350">
        <v>57</v>
      </c>
      <c r="N627" s="350">
        <v>29</v>
      </c>
      <c r="O627" s="350">
        <v>29</v>
      </c>
      <c r="P627" s="352">
        <v>29</v>
      </c>
      <c r="Q627" s="352">
        <v>29</v>
      </c>
      <c r="R627" s="352"/>
      <c r="S627" s="352"/>
      <c r="T627" s="352"/>
      <c r="U627" s="352"/>
      <c r="V627" s="497"/>
      <c r="W627" s="352"/>
      <c r="X627" s="352"/>
      <c r="Y627" s="352">
        <f>IF(NFI_Expiration=1,IF($A627&lt;VLOOKUP(H$5,NFI,5,0),1,0)*Table_NFI[[#This Row],[Hygiene Kit]],Table_NFI[Hygiene Kit])</f>
        <v>0</v>
      </c>
      <c r="Z627" s="352">
        <f>IF(NFI_Expiration=1,IF($A627&lt;VLOOKUP(I$5,NFI,5,0),1,0)*Table_NFI[[#This Row],[NFI Core Kit]],Table_NFI[NFI Core Kit])</f>
        <v>0</v>
      </c>
      <c r="AA627" s="352">
        <f>IF(NFI_Expiration=1,IF($A627&lt;VLOOKUP(J$5,NFI,5,0),1,0)*Table_NFI[[#This Row],[Sanitary Kit]],Table_NFI[Sanitary Kit])</f>
        <v>0</v>
      </c>
      <c r="AB627" s="352">
        <f>IF(NFI_Expiration=1,IF($A627&lt;VLOOKUP(K$5,NFI,5,0),1,0)*Table_NFI[[#This Row],[Mosquito net]],Table_NFI[Mosquito net])</f>
        <v>0</v>
      </c>
      <c r="AC627" s="352">
        <f>IF(NFI_Expiration=1,IF($A627&lt;VLOOKUP(L$5,NFI,5,0),1,0)*Table_NFI[[#This Row],[Tarpaulin]],Table_NFI[[#This Row],[Tarpaulin]])</f>
        <v>0</v>
      </c>
      <c r="AD627" s="352">
        <f>IF(NFI_Expiration=1,IF($A627&lt;VLOOKUP(M$5,NFI,5,0),1,0)*Table_NFI[[#This Row],[Blanket]],Table_NFI[[#This Row],[Blanket]])</f>
        <v>0</v>
      </c>
      <c r="AE627" s="352">
        <f>IF(NFI_Expiration=1,IF($A627&lt;VLOOKUP(N$5,NFI,5,0),1,0)*Table_NFI[[#This Row],[Kitchen Set]],Table_NFI[Kitchen Set])</f>
        <v>0</v>
      </c>
      <c r="AF627" s="352">
        <f>IF(NFI_Expiration=1,IF($A627&lt;VLOOKUP(O$5,NFI,5,0),1,0)*Table_NFI[[#This Row],[Clothes Kit]],Table_NFI[Clothes Kit])</f>
        <v>0</v>
      </c>
      <c r="AG627" s="352">
        <f>IF(NFI_Expiration=1,IF($A627&lt;VLOOKUP(P$5,NFI,5,0),1,0)*Table_NFI[[#This Row],[Plastic Bucket]],Table_NFI[Plastic Bucket])</f>
        <v>0</v>
      </c>
      <c r="AH627" s="352">
        <f>IF(NFI_Expiration=1,IF($A627&lt;VLOOKUP(Q$5,NFI,5,0),1,0)*Table_NFI[[#This Row],[Plastic Mat]],Table_NFI[Plastic Mat])*IF(Table_NFI[[#This Row],[Distribution Date]]&gt;"2014-04-01",1,2.5)</f>
        <v>0</v>
      </c>
      <c r="AI627" s="352">
        <f>IF(NFI_Expiration=1,IF($A627&lt;VLOOKUP(R$5,NFI,5,0),1,0)*Table_NFI[[#This Row],[Winter Clothes Adult]],Table_NFI[Winter Clothes Adult])</f>
        <v>0</v>
      </c>
      <c r="AJ627" s="352">
        <f>IF(NFI_Expiration=1,IF($A627&lt;VLOOKUP(S$5,NFI,5,0),1,0)*Table_NFI[[#This Row],[Winter Clothes Children]],Table_NFI[Winter Clothes Children])</f>
        <v>0</v>
      </c>
      <c r="AK627" s="352">
        <f>IF(NFI_Expiration=1,IF($A627&lt;VLOOKUP(T$5,NFI,5,0),1,0)*Table_NFI[[#This Row],[Winter Items Other]],Table_NFI[Winter Items Other])</f>
        <v>0</v>
      </c>
      <c r="AL627" s="352">
        <f>IF(NFI_Expiration=1,IF($A627&lt;VLOOKUP(M$5,NFI,5,0),1,0)*Table_NFI[[#This Row],[Winter Blanket]],Table_NFI[[#This Row],[Winter Blanket]])</f>
        <v>0</v>
      </c>
      <c r="AM627" s="352">
        <f>IF(Table_NFI[[#This Row],[Winter Clothes Adult]]+Table_NFI[[#This Row],[Winter Clothes Children]]+Table_NFI[[#This Row],[Winter Items Other]]+Table_NFI[[#This Row],[Winter Blanket]]&gt;0,1,0)</f>
        <v>0</v>
      </c>
      <c r="AN627" s="392">
        <f>IF(NFI_Expiration=1,IF($A627&lt;VLOOKUP(V$5,NFI,5,0),1,0)*Table_NFI[[#This Row],[Jerry Can]],Table_NFI[Jerry Can])</f>
        <v>0</v>
      </c>
      <c r="AO627" s="540" t="str">
        <f>IFERROR(VLOOKUP(Table_NFI[[#This Row],[Camp Name]],CL,2,0),"")</f>
        <v>MMR015CMP009</v>
      </c>
      <c r="AP627" s="535">
        <f ca="1">IF(Table_NFI[[#This Row],[Pcode]]="","",IF(OFFSET(CampList[Opening Date],MATCH(Table_NFI[[#This Row],[Pcode]],CampList[CP_Pcode],0)-1,0,1,1)&gt;=NFI_Monitor_Date,1,0))</f>
        <v>0</v>
      </c>
      <c r="AQ627" s="540" t="str">
        <f>IFERROR(VLOOKUP(Table_NFI[[#This Row],[Camp Name]],CL,3,0),"")</f>
        <v>Open</v>
      </c>
      <c r="AR627" s="352" t="str">
        <f ca="1">IF(Table_NFI[[#This Row],[Pcode]]="","",OFFSET(CampList[Priority],MATCH(Table_NFI[[#This Row],[Pcode]],CampList[CP_Pcode],0)-1,0,1,1))</f>
        <v>P2</v>
      </c>
      <c r="AS627" s="351">
        <f>IFERROR(Table_NFI[[#This Row],[Kitchen Set]]/VLOOKUP(Table_NFI[[#This Row],[Camp Name]],CL,4,0),"")</f>
        <v>0.78378378378378377</v>
      </c>
      <c r="AT627" s="533" t="s">
        <v>1094</v>
      </c>
      <c r="AU627" s="536"/>
    </row>
    <row r="628" spans="1:47" s="537" customFormat="1" ht="14.45" customHeight="1" x14ac:dyDescent="0.25">
      <c r="A628" s="355">
        <f t="shared" si="9"/>
        <v>41.6</v>
      </c>
      <c r="B628" s="532">
        <v>41323</v>
      </c>
      <c r="C628" s="533" t="s">
        <v>453</v>
      </c>
      <c r="D628" s="534" t="s">
        <v>461</v>
      </c>
      <c r="E628" s="533" t="s">
        <v>554</v>
      </c>
      <c r="F628" s="348" t="s">
        <v>230</v>
      </c>
      <c r="G628" s="348" t="s">
        <v>233</v>
      </c>
      <c r="H628" s="349"/>
      <c r="I628" s="349"/>
      <c r="J628" s="349">
        <v>60</v>
      </c>
      <c r="K628" s="349">
        <v>60</v>
      </c>
      <c r="L628" s="350">
        <v>30</v>
      </c>
      <c r="M628" s="350">
        <v>60</v>
      </c>
      <c r="N628" s="350">
        <v>30</v>
      </c>
      <c r="O628" s="350">
        <v>30</v>
      </c>
      <c r="P628" s="352">
        <v>30</v>
      </c>
      <c r="Q628" s="352">
        <v>30</v>
      </c>
      <c r="R628" s="352"/>
      <c r="S628" s="352"/>
      <c r="T628" s="352"/>
      <c r="U628" s="352"/>
      <c r="V628" s="497"/>
      <c r="W628" s="352"/>
      <c r="X628" s="352"/>
      <c r="Y628" s="352">
        <f>IF(NFI_Expiration=1,IF($A628&lt;VLOOKUP(H$5,NFI,5,0),1,0)*Table_NFI[[#This Row],[Hygiene Kit]],Table_NFI[Hygiene Kit])</f>
        <v>0</v>
      </c>
      <c r="Z628" s="352">
        <f>IF(NFI_Expiration=1,IF($A628&lt;VLOOKUP(I$5,NFI,5,0),1,0)*Table_NFI[[#This Row],[NFI Core Kit]],Table_NFI[NFI Core Kit])</f>
        <v>0</v>
      </c>
      <c r="AA628" s="352">
        <f>IF(NFI_Expiration=1,IF($A628&lt;VLOOKUP(J$5,NFI,5,0),1,0)*Table_NFI[[#This Row],[Sanitary Kit]],Table_NFI[Sanitary Kit])</f>
        <v>0</v>
      </c>
      <c r="AB628" s="352">
        <f>IF(NFI_Expiration=1,IF($A628&lt;VLOOKUP(K$5,NFI,5,0),1,0)*Table_NFI[[#This Row],[Mosquito net]],Table_NFI[Mosquito net])</f>
        <v>0</v>
      </c>
      <c r="AC628" s="352">
        <f>IF(NFI_Expiration=1,IF($A628&lt;VLOOKUP(L$5,NFI,5,0),1,0)*Table_NFI[[#This Row],[Tarpaulin]],Table_NFI[[#This Row],[Tarpaulin]])</f>
        <v>0</v>
      </c>
      <c r="AD628" s="352">
        <f>IF(NFI_Expiration=1,IF($A628&lt;VLOOKUP(M$5,NFI,5,0),1,0)*Table_NFI[[#This Row],[Blanket]],Table_NFI[[#This Row],[Blanket]])</f>
        <v>0</v>
      </c>
      <c r="AE628" s="352">
        <f>IF(NFI_Expiration=1,IF($A628&lt;VLOOKUP(N$5,NFI,5,0),1,0)*Table_NFI[[#This Row],[Kitchen Set]],Table_NFI[Kitchen Set])</f>
        <v>0</v>
      </c>
      <c r="AF628" s="352">
        <f>IF(NFI_Expiration=1,IF($A628&lt;VLOOKUP(O$5,NFI,5,0),1,0)*Table_NFI[[#This Row],[Clothes Kit]],Table_NFI[Clothes Kit])</f>
        <v>0</v>
      </c>
      <c r="AG628" s="352">
        <f>IF(NFI_Expiration=1,IF($A628&lt;VLOOKUP(P$5,NFI,5,0),1,0)*Table_NFI[[#This Row],[Plastic Bucket]],Table_NFI[Plastic Bucket])</f>
        <v>0</v>
      </c>
      <c r="AH628" s="352">
        <f>IF(NFI_Expiration=1,IF($A628&lt;VLOOKUP(Q$5,NFI,5,0),1,0)*Table_NFI[[#This Row],[Plastic Mat]],Table_NFI[Plastic Mat])*IF(Table_NFI[[#This Row],[Distribution Date]]&gt;"2014-04-01",1,2.5)</f>
        <v>0</v>
      </c>
      <c r="AI628" s="352">
        <f>IF(NFI_Expiration=1,IF($A628&lt;VLOOKUP(R$5,NFI,5,0),1,0)*Table_NFI[[#This Row],[Winter Clothes Adult]],Table_NFI[Winter Clothes Adult])</f>
        <v>0</v>
      </c>
      <c r="AJ628" s="352">
        <f>IF(NFI_Expiration=1,IF($A628&lt;VLOOKUP(S$5,NFI,5,0),1,0)*Table_NFI[[#This Row],[Winter Clothes Children]],Table_NFI[Winter Clothes Children])</f>
        <v>0</v>
      </c>
      <c r="AK628" s="352">
        <f>IF(NFI_Expiration=1,IF($A628&lt;VLOOKUP(T$5,NFI,5,0),1,0)*Table_NFI[[#This Row],[Winter Items Other]],Table_NFI[Winter Items Other])</f>
        <v>0</v>
      </c>
      <c r="AL628" s="352">
        <f>IF(NFI_Expiration=1,IF($A628&lt;VLOOKUP(M$5,NFI,5,0),1,0)*Table_NFI[[#This Row],[Winter Blanket]],Table_NFI[[#This Row],[Winter Blanket]])</f>
        <v>0</v>
      </c>
      <c r="AM628" s="352">
        <f>IF(Table_NFI[[#This Row],[Winter Clothes Adult]]+Table_NFI[[#This Row],[Winter Clothes Children]]+Table_NFI[[#This Row],[Winter Items Other]]+Table_NFI[[#This Row],[Winter Blanket]]&gt;0,1,0)</f>
        <v>0</v>
      </c>
      <c r="AN628" s="392">
        <f>IF(NFI_Expiration=1,IF($A628&lt;VLOOKUP(V$5,NFI,5,0),1,0)*Table_NFI[[#This Row],[Jerry Can]],Table_NFI[Jerry Can])</f>
        <v>0</v>
      </c>
      <c r="AO628" s="540" t="str">
        <f>IFERROR(VLOOKUP(Table_NFI[[#This Row],[Camp Name]],CL,2,0),"")</f>
        <v>MMR015CMP012</v>
      </c>
      <c r="AP628" s="535">
        <f ca="1">IF(Table_NFI[[#This Row],[Pcode]]="","",IF(OFFSET(CampList[Opening Date],MATCH(Table_NFI[[#This Row],[Pcode]],CampList[CP_Pcode],0)-1,0,1,1)&gt;=NFI_Monitor_Date,1,0))</f>
        <v>0</v>
      </c>
      <c r="AQ628" s="540" t="str">
        <f>IFERROR(VLOOKUP(Table_NFI[[#This Row],[Camp Name]],CL,3,0),"")</f>
        <v>Closed</v>
      </c>
      <c r="AR628" s="352" t="str">
        <f ca="1">IF(Table_NFI[[#This Row],[Pcode]]="","",OFFSET(CampList[Priority],MATCH(Table_NFI[[#This Row],[Pcode]],CampList[CP_Pcode],0)-1,0,1,1))</f>
        <v>P1</v>
      </c>
      <c r="AS628" s="351" t="str">
        <f>IFERROR(Table_NFI[[#This Row],[Kitchen Set]]/VLOOKUP(Table_NFI[[#This Row],[Camp Name]],CL,4,0),"")</f>
        <v/>
      </c>
      <c r="AT628" s="533" t="s">
        <v>1094</v>
      </c>
      <c r="AU628" s="536"/>
    </row>
    <row r="629" spans="1:47" s="537" customFormat="1" ht="14.45" customHeight="1" x14ac:dyDescent="0.25">
      <c r="A629" s="355">
        <f t="shared" si="9"/>
        <v>41.6</v>
      </c>
      <c r="B629" s="532">
        <v>41323</v>
      </c>
      <c r="C629" s="533" t="s">
        <v>453</v>
      </c>
      <c r="D629" s="534" t="s">
        <v>461</v>
      </c>
      <c r="E629" s="533" t="s">
        <v>554</v>
      </c>
      <c r="F629" s="348" t="s">
        <v>146</v>
      </c>
      <c r="G629" s="348" t="s">
        <v>371</v>
      </c>
      <c r="H629" s="349"/>
      <c r="I629" s="349"/>
      <c r="J629" s="349">
        <v>93</v>
      </c>
      <c r="K629" s="349">
        <v>93</v>
      </c>
      <c r="L629" s="350">
        <v>46</v>
      </c>
      <c r="M629" s="350">
        <v>93</v>
      </c>
      <c r="N629" s="350">
        <v>46</v>
      </c>
      <c r="O629" s="350">
        <v>46</v>
      </c>
      <c r="P629" s="352">
        <v>46</v>
      </c>
      <c r="Q629" s="352">
        <v>46</v>
      </c>
      <c r="R629" s="352"/>
      <c r="S629" s="352"/>
      <c r="T629" s="352"/>
      <c r="U629" s="352"/>
      <c r="V629" s="497"/>
      <c r="W629" s="352"/>
      <c r="X629" s="352"/>
      <c r="Y629" s="352">
        <f>IF(NFI_Expiration=1,IF($A629&lt;VLOOKUP(H$5,NFI,5,0),1,0)*Table_NFI[[#This Row],[Hygiene Kit]],Table_NFI[Hygiene Kit])</f>
        <v>0</v>
      </c>
      <c r="Z629" s="352">
        <f>IF(NFI_Expiration=1,IF($A629&lt;VLOOKUP(I$5,NFI,5,0),1,0)*Table_NFI[[#This Row],[NFI Core Kit]],Table_NFI[NFI Core Kit])</f>
        <v>0</v>
      </c>
      <c r="AA629" s="352">
        <f>IF(NFI_Expiration=1,IF($A629&lt;VLOOKUP(J$5,NFI,5,0),1,0)*Table_NFI[[#This Row],[Sanitary Kit]],Table_NFI[Sanitary Kit])</f>
        <v>0</v>
      </c>
      <c r="AB629" s="352">
        <f>IF(NFI_Expiration=1,IF($A629&lt;VLOOKUP(K$5,NFI,5,0),1,0)*Table_NFI[[#This Row],[Mosquito net]],Table_NFI[Mosquito net])</f>
        <v>0</v>
      </c>
      <c r="AC629" s="352">
        <f>IF(NFI_Expiration=1,IF($A629&lt;VLOOKUP(L$5,NFI,5,0),1,0)*Table_NFI[[#This Row],[Tarpaulin]],Table_NFI[[#This Row],[Tarpaulin]])</f>
        <v>0</v>
      </c>
      <c r="AD629" s="352">
        <f>IF(NFI_Expiration=1,IF($A629&lt;VLOOKUP(M$5,NFI,5,0),1,0)*Table_NFI[[#This Row],[Blanket]],Table_NFI[[#This Row],[Blanket]])</f>
        <v>0</v>
      </c>
      <c r="AE629" s="352">
        <f>IF(NFI_Expiration=1,IF($A629&lt;VLOOKUP(N$5,NFI,5,0),1,0)*Table_NFI[[#This Row],[Kitchen Set]],Table_NFI[Kitchen Set])</f>
        <v>0</v>
      </c>
      <c r="AF629" s="352">
        <f>IF(NFI_Expiration=1,IF($A629&lt;VLOOKUP(O$5,NFI,5,0),1,0)*Table_NFI[[#This Row],[Clothes Kit]],Table_NFI[Clothes Kit])</f>
        <v>0</v>
      </c>
      <c r="AG629" s="352">
        <f>IF(NFI_Expiration=1,IF($A629&lt;VLOOKUP(P$5,NFI,5,0),1,0)*Table_NFI[[#This Row],[Plastic Bucket]],Table_NFI[Plastic Bucket])</f>
        <v>0</v>
      </c>
      <c r="AH629" s="352">
        <f>IF(NFI_Expiration=1,IF($A629&lt;VLOOKUP(Q$5,NFI,5,0),1,0)*Table_NFI[[#This Row],[Plastic Mat]],Table_NFI[Plastic Mat])*IF(Table_NFI[[#This Row],[Distribution Date]]&gt;"2014-04-01",1,2.5)</f>
        <v>0</v>
      </c>
      <c r="AI629" s="352">
        <f>IF(NFI_Expiration=1,IF($A629&lt;VLOOKUP(R$5,NFI,5,0),1,0)*Table_NFI[[#This Row],[Winter Clothes Adult]],Table_NFI[Winter Clothes Adult])</f>
        <v>0</v>
      </c>
      <c r="AJ629" s="352">
        <f>IF(NFI_Expiration=1,IF($A629&lt;VLOOKUP(S$5,NFI,5,0),1,0)*Table_NFI[[#This Row],[Winter Clothes Children]],Table_NFI[Winter Clothes Children])</f>
        <v>0</v>
      </c>
      <c r="AK629" s="352">
        <f>IF(NFI_Expiration=1,IF($A629&lt;VLOOKUP(T$5,NFI,5,0),1,0)*Table_NFI[[#This Row],[Winter Items Other]],Table_NFI[Winter Items Other])</f>
        <v>0</v>
      </c>
      <c r="AL629" s="352">
        <f>IF(NFI_Expiration=1,IF($A629&lt;VLOOKUP(M$5,NFI,5,0),1,0)*Table_NFI[[#This Row],[Winter Blanket]],Table_NFI[[#This Row],[Winter Blanket]])</f>
        <v>0</v>
      </c>
      <c r="AM629" s="352">
        <f>IF(Table_NFI[[#This Row],[Winter Clothes Adult]]+Table_NFI[[#This Row],[Winter Clothes Children]]+Table_NFI[[#This Row],[Winter Items Other]]+Table_NFI[[#This Row],[Winter Blanket]]&gt;0,1,0)</f>
        <v>0</v>
      </c>
      <c r="AN629" s="392">
        <f>IF(NFI_Expiration=1,IF($A629&lt;VLOOKUP(V$5,NFI,5,0),1,0)*Table_NFI[[#This Row],[Jerry Can]],Table_NFI[Jerry Can])</f>
        <v>0</v>
      </c>
      <c r="AO629" s="540" t="str">
        <f>IFERROR(VLOOKUP(Table_NFI[[#This Row],[Camp Name]],CL,2,0),"")</f>
        <v>MMR015CMP006</v>
      </c>
      <c r="AP629" s="535">
        <f ca="1">IF(Table_NFI[[#This Row],[Pcode]]="","",IF(OFFSET(CampList[Opening Date],MATCH(Table_NFI[[#This Row],[Pcode]],CampList[CP_Pcode],0)-1,0,1,1)&gt;=NFI_Monitor_Date,1,0))</f>
        <v>0</v>
      </c>
      <c r="AQ629" s="540" t="str">
        <f>IFERROR(VLOOKUP(Table_NFI[[#This Row],[Camp Name]],CL,3,0),"")</f>
        <v>Open</v>
      </c>
      <c r="AR629" s="352" t="str">
        <f ca="1">IF(Table_NFI[[#This Row],[Pcode]]="","",OFFSET(CampList[Priority],MATCH(Table_NFI[[#This Row],[Pcode]],CampList[CP_Pcode],0)-1,0,1,1))</f>
        <v>P1</v>
      </c>
      <c r="AS629" s="351">
        <f>IFERROR(Table_NFI[[#This Row],[Kitchen Set]]/VLOOKUP(Table_NFI[[#This Row],[Camp Name]],CL,4,0),"")</f>
        <v>0.74193548387096775</v>
      </c>
      <c r="AT629" s="533" t="s">
        <v>1094</v>
      </c>
      <c r="AU629" s="536"/>
    </row>
    <row r="630" spans="1:47" s="537" customFormat="1" ht="14.45" customHeight="1" x14ac:dyDescent="0.25">
      <c r="A630" s="355">
        <f t="shared" si="9"/>
        <v>41.6</v>
      </c>
      <c r="B630" s="532">
        <v>41323</v>
      </c>
      <c r="C630" s="533" t="s">
        <v>453</v>
      </c>
      <c r="D630" s="534" t="s">
        <v>461</v>
      </c>
      <c r="E630" s="533" t="s">
        <v>554</v>
      </c>
      <c r="F630" s="348" t="s">
        <v>289</v>
      </c>
      <c r="G630" s="348" t="s">
        <v>292</v>
      </c>
      <c r="H630" s="349"/>
      <c r="I630" s="349"/>
      <c r="J630" s="349">
        <v>118</v>
      </c>
      <c r="K630" s="349">
        <v>118</v>
      </c>
      <c r="L630" s="350">
        <v>59</v>
      </c>
      <c r="M630" s="350">
        <v>118</v>
      </c>
      <c r="N630" s="350">
        <v>59</v>
      </c>
      <c r="O630" s="350">
        <v>59</v>
      </c>
      <c r="P630" s="352">
        <v>59</v>
      </c>
      <c r="Q630" s="352">
        <v>59</v>
      </c>
      <c r="R630" s="352"/>
      <c r="S630" s="352"/>
      <c r="T630" s="352"/>
      <c r="U630" s="352"/>
      <c r="V630" s="497"/>
      <c r="W630" s="352"/>
      <c r="X630" s="352"/>
      <c r="Y630" s="352">
        <f>IF(NFI_Expiration=1,IF($A630&lt;VLOOKUP(H$5,NFI,5,0),1,0)*Table_NFI[[#This Row],[Hygiene Kit]],Table_NFI[Hygiene Kit])</f>
        <v>0</v>
      </c>
      <c r="Z630" s="352">
        <f>IF(NFI_Expiration=1,IF($A630&lt;VLOOKUP(I$5,NFI,5,0),1,0)*Table_NFI[[#This Row],[NFI Core Kit]],Table_NFI[NFI Core Kit])</f>
        <v>0</v>
      </c>
      <c r="AA630" s="352">
        <f>IF(NFI_Expiration=1,IF($A630&lt;VLOOKUP(J$5,NFI,5,0),1,0)*Table_NFI[[#This Row],[Sanitary Kit]],Table_NFI[Sanitary Kit])</f>
        <v>0</v>
      </c>
      <c r="AB630" s="352">
        <f>IF(NFI_Expiration=1,IF($A630&lt;VLOOKUP(K$5,NFI,5,0),1,0)*Table_NFI[[#This Row],[Mosquito net]],Table_NFI[Mosquito net])</f>
        <v>0</v>
      </c>
      <c r="AC630" s="352">
        <f>IF(NFI_Expiration=1,IF($A630&lt;VLOOKUP(L$5,NFI,5,0),1,0)*Table_NFI[[#This Row],[Tarpaulin]],Table_NFI[[#This Row],[Tarpaulin]])</f>
        <v>0</v>
      </c>
      <c r="AD630" s="352">
        <f>IF(NFI_Expiration=1,IF($A630&lt;VLOOKUP(M$5,NFI,5,0),1,0)*Table_NFI[[#This Row],[Blanket]],Table_NFI[[#This Row],[Blanket]])</f>
        <v>0</v>
      </c>
      <c r="AE630" s="352">
        <f>IF(NFI_Expiration=1,IF($A630&lt;VLOOKUP(N$5,NFI,5,0),1,0)*Table_NFI[[#This Row],[Kitchen Set]],Table_NFI[Kitchen Set])</f>
        <v>0</v>
      </c>
      <c r="AF630" s="352">
        <f>IF(NFI_Expiration=1,IF($A630&lt;VLOOKUP(O$5,NFI,5,0),1,0)*Table_NFI[[#This Row],[Clothes Kit]],Table_NFI[Clothes Kit])</f>
        <v>0</v>
      </c>
      <c r="AG630" s="352">
        <f>IF(NFI_Expiration=1,IF($A630&lt;VLOOKUP(P$5,NFI,5,0),1,0)*Table_NFI[[#This Row],[Plastic Bucket]],Table_NFI[Plastic Bucket])</f>
        <v>0</v>
      </c>
      <c r="AH630" s="352">
        <f>IF(NFI_Expiration=1,IF($A630&lt;VLOOKUP(Q$5,NFI,5,0),1,0)*Table_NFI[[#This Row],[Plastic Mat]],Table_NFI[Plastic Mat])*IF(Table_NFI[[#This Row],[Distribution Date]]&gt;"2014-04-01",1,2.5)</f>
        <v>0</v>
      </c>
      <c r="AI630" s="352">
        <f>IF(NFI_Expiration=1,IF($A630&lt;VLOOKUP(R$5,NFI,5,0),1,0)*Table_NFI[[#This Row],[Winter Clothes Adult]],Table_NFI[Winter Clothes Adult])</f>
        <v>0</v>
      </c>
      <c r="AJ630" s="352">
        <f>IF(NFI_Expiration=1,IF($A630&lt;VLOOKUP(S$5,NFI,5,0),1,0)*Table_NFI[[#This Row],[Winter Clothes Children]],Table_NFI[Winter Clothes Children])</f>
        <v>0</v>
      </c>
      <c r="AK630" s="352">
        <f>IF(NFI_Expiration=1,IF($A630&lt;VLOOKUP(T$5,NFI,5,0),1,0)*Table_NFI[[#This Row],[Winter Items Other]],Table_NFI[Winter Items Other])</f>
        <v>0</v>
      </c>
      <c r="AL630" s="352">
        <f>IF(NFI_Expiration=1,IF($A630&lt;VLOOKUP(M$5,NFI,5,0),1,0)*Table_NFI[[#This Row],[Winter Blanket]],Table_NFI[[#This Row],[Winter Blanket]])</f>
        <v>0</v>
      </c>
      <c r="AM630" s="352">
        <f>IF(Table_NFI[[#This Row],[Winter Clothes Adult]]+Table_NFI[[#This Row],[Winter Clothes Children]]+Table_NFI[[#This Row],[Winter Items Other]]+Table_NFI[[#This Row],[Winter Blanket]]&gt;0,1,0)</f>
        <v>0</v>
      </c>
      <c r="AN630" s="392">
        <f>IF(NFI_Expiration=1,IF($A630&lt;VLOOKUP(V$5,NFI,5,0),1,0)*Table_NFI[[#This Row],[Jerry Can]],Table_NFI[Jerry Can])</f>
        <v>0</v>
      </c>
      <c r="AO630" s="540" t="str">
        <f>IFERROR(VLOOKUP(Table_NFI[[#This Row],[Camp Name]],CL,2,0),"")</f>
        <v>MMR015CMP004</v>
      </c>
      <c r="AP630" s="535">
        <f ca="1">IF(Table_NFI[[#This Row],[Pcode]]="","",IF(OFFSET(CampList[Opening Date],MATCH(Table_NFI[[#This Row],[Pcode]],CampList[CP_Pcode],0)-1,0,1,1)&gt;=NFI_Monitor_Date,1,0))</f>
        <v>0</v>
      </c>
      <c r="AQ630" s="540" t="str">
        <f>IFERROR(VLOOKUP(Table_NFI[[#This Row],[Camp Name]],CL,3,0),"")</f>
        <v>Open</v>
      </c>
      <c r="AR630" s="352" t="str">
        <f ca="1">IF(Table_NFI[[#This Row],[Pcode]]="","",OFFSET(CampList[Priority],MATCH(Table_NFI[[#This Row],[Pcode]],CampList[CP_Pcode],0)-1,0,1,1))</f>
        <v>P3</v>
      </c>
      <c r="AS630" s="351">
        <f>IFERROR(Table_NFI[[#This Row],[Kitchen Set]]/VLOOKUP(Table_NFI[[#This Row],[Camp Name]],CL,4,0),"")</f>
        <v>0.84285714285714286</v>
      </c>
      <c r="AT630" s="533" t="s">
        <v>1094</v>
      </c>
      <c r="AU630" s="536"/>
    </row>
    <row r="631" spans="1:47" s="129" customFormat="1" ht="14.45" customHeight="1" x14ac:dyDescent="0.25">
      <c r="A631" s="355">
        <f t="shared" si="9"/>
        <v>41.6</v>
      </c>
      <c r="B631" s="532">
        <v>41323</v>
      </c>
      <c r="C631" s="533" t="s">
        <v>453</v>
      </c>
      <c r="D631" s="534" t="s">
        <v>461</v>
      </c>
      <c r="E631" s="533" t="s">
        <v>554</v>
      </c>
      <c r="F631" s="348" t="s">
        <v>289</v>
      </c>
      <c r="G631" s="348" t="s">
        <v>290</v>
      </c>
      <c r="H631" s="349"/>
      <c r="I631" s="349"/>
      <c r="J631" s="349">
        <v>139</v>
      </c>
      <c r="K631" s="349">
        <v>139</v>
      </c>
      <c r="L631" s="350">
        <v>70</v>
      </c>
      <c r="M631" s="350">
        <v>139</v>
      </c>
      <c r="N631" s="350">
        <v>70</v>
      </c>
      <c r="O631" s="350">
        <v>70</v>
      </c>
      <c r="P631" s="352">
        <v>70</v>
      </c>
      <c r="Q631" s="352">
        <v>70</v>
      </c>
      <c r="R631" s="352"/>
      <c r="S631" s="352"/>
      <c r="T631" s="352"/>
      <c r="U631" s="352"/>
      <c r="V631" s="497"/>
      <c r="W631" s="352"/>
      <c r="X631" s="352"/>
      <c r="Y631" s="352">
        <f>IF(NFI_Expiration=1,IF($A631&lt;VLOOKUP(H$5,NFI,5,0),1,0)*Table_NFI[[#This Row],[Hygiene Kit]],Table_NFI[Hygiene Kit])</f>
        <v>0</v>
      </c>
      <c r="Z631" s="352">
        <f>IF(NFI_Expiration=1,IF($A631&lt;VLOOKUP(I$5,NFI,5,0),1,0)*Table_NFI[[#This Row],[NFI Core Kit]],Table_NFI[NFI Core Kit])</f>
        <v>0</v>
      </c>
      <c r="AA631" s="352">
        <f>IF(NFI_Expiration=1,IF($A631&lt;VLOOKUP(J$5,NFI,5,0),1,0)*Table_NFI[[#This Row],[Sanitary Kit]],Table_NFI[Sanitary Kit])</f>
        <v>0</v>
      </c>
      <c r="AB631" s="352">
        <f>IF(NFI_Expiration=1,IF($A631&lt;VLOOKUP(K$5,NFI,5,0),1,0)*Table_NFI[[#This Row],[Mosquito net]],Table_NFI[Mosquito net])</f>
        <v>0</v>
      </c>
      <c r="AC631" s="352">
        <f>IF(NFI_Expiration=1,IF($A631&lt;VLOOKUP(L$5,NFI,5,0),1,0)*Table_NFI[[#This Row],[Tarpaulin]],Table_NFI[[#This Row],[Tarpaulin]])</f>
        <v>0</v>
      </c>
      <c r="AD631" s="352">
        <f>IF(NFI_Expiration=1,IF($A631&lt;VLOOKUP(M$5,NFI,5,0),1,0)*Table_NFI[[#This Row],[Blanket]],Table_NFI[[#This Row],[Blanket]])</f>
        <v>0</v>
      </c>
      <c r="AE631" s="352">
        <f>IF(NFI_Expiration=1,IF($A631&lt;VLOOKUP(N$5,NFI,5,0),1,0)*Table_NFI[[#This Row],[Kitchen Set]],Table_NFI[Kitchen Set])</f>
        <v>0</v>
      </c>
      <c r="AF631" s="352">
        <f>IF(NFI_Expiration=1,IF($A631&lt;VLOOKUP(O$5,NFI,5,0),1,0)*Table_NFI[[#This Row],[Clothes Kit]],Table_NFI[Clothes Kit])</f>
        <v>0</v>
      </c>
      <c r="AG631" s="352">
        <f>IF(NFI_Expiration=1,IF($A631&lt;VLOOKUP(P$5,NFI,5,0),1,0)*Table_NFI[[#This Row],[Plastic Bucket]],Table_NFI[Plastic Bucket])</f>
        <v>0</v>
      </c>
      <c r="AH631" s="352">
        <f>IF(NFI_Expiration=1,IF($A631&lt;VLOOKUP(Q$5,NFI,5,0),1,0)*Table_NFI[[#This Row],[Plastic Mat]],Table_NFI[Plastic Mat])*IF(Table_NFI[[#This Row],[Distribution Date]]&gt;"2014-04-01",1,2.5)</f>
        <v>0</v>
      </c>
      <c r="AI631" s="352">
        <f>IF(NFI_Expiration=1,IF($A631&lt;VLOOKUP(R$5,NFI,5,0),1,0)*Table_NFI[[#This Row],[Winter Clothes Adult]],Table_NFI[Winter Clothes Adult])</f>
        <v>0</v>
      </c>
      <c r="AJ631" s="352">
        <f>IF(NFI_Expiration=1,IF($A631&lt;VLOOKUP(S$5,NFI,5,0),1,0)*Table_NFI[[#This Row],[Winter Clothes Children]],Table_NFI[Winter Clothes Children])</f>
        <v>0</v>
      </c>
      <c r="AK631" s="352">
        <f>IF(NFI_Expiration=1,IF($A631&lt;VLOOKUP(T$5,NFI,5,0),1,0)*Table_NFI[[#This Row],[Winter Items Other]],Table_NFI[Winter Items Other])</f>
        <v>0</v>
      </c>
      <c r="AL631" s="352">
        <f>IF(NFI_Expiration=1,IF($A631&lt;VLOOKUP(M$5,NFI,5,0),1,0)*Table_NFI[[#This Row],[Winter Blanket]],Table_NFI[[#This Row],[Winter Blanket]])</f>
        <v>0</v>
      </c>
      <c r="AM631" s="352">
        <f>IF(Table_NFI[[#This Row],[Winter Clothes Adult]]+Table_NFI[[#This Row],[Winter Clothes Children]]+Table_NFI[[#This Row],[Winter Items Other]]+Table_NFI[[#This Row],[Winter Blanket]]&gt;0,1,0)</f>
        <v>0</v>
      </c>
      <c r="AN631" s="392">
        <f>IF(NFI_Expiration=1,IF($A631&lt;VLOOKUP(V$5,NFI,5,0),1,0)*Table_NFI[[#This Row],[Jerry Can]],Table_NFI[Jerry Can])</f>
        <v>0</v>
      </c>
      <c r="AO631" s="540" t="str">
        <f>IFERROR(VLOOKUP(Table_NFI[[#This Row],[Camp Name]],CL,2,0),"")</f>
        <v>MMR015CMP001</v>
      </c>
      <c r="AP631" s="535">
        <f ca="1">IF(Table_NFI[[#This Row],[Pcode]]="","",IF(OFFSET(CampList[Opening Date],MATCH(Table_NFI[[#This Row],[Pcode]],CampList[CP_Pcode],0)-1,0,1,1)&gt;=NFI_Monitor_Date,1,0))</f>
        <v>0</v>
      </c>
      <c r="AQ631" s="540" t="str">
        <f>IFERROR(VLOOKUP(Table_NFI[[#This Row],[Camp Name]],CL,3,0),"")</f>
        <v>Open</v>
      </c>
      <c r="AR631" s="352" t="str">
        <f ca="1">IF(Table_NFI[[#This Row],[Pcode]]="","",OFFSET(CampList[Priority],MATCH(Table_NFI[[#This Row],[Pcode]],CampList[CP_Pcode],0)-1,0,1,1))</f>
        <v>P3</v>
      </c>
      <c r="AS631" s="351">
        <f>IFERROR(Table_NFI[[#This Row],[Kitchen Set]]/VLOOKUP(Table_NFI[[#This Row],[Camp Name]],CL,4,0),"")</f>
        <v>1.0294117647058822</v>
      </c>
      <c r="AT631" s="533" t="s">
        <v>1094</v>
      </c>
      <c r="AU631" s="536"/>
    </row>
    <row r="632" spans="1:47" s="129" customFormat="1" ht="14.45" customHeight="1" x14ac:dyDescent="0.25">
      <c r="A632" s="355">
        <f t="shared" si="9"/>
        <v>41.6</v>
      </c>
      <c r="B632" s="532">
        <v>41323</v>
      </c>
      <c r="C632" s="533" t="s">
        <v>453</v>
      </c>
      <c r="D632" s="534" t="s">
        <v>461</v>
      </c>
      <c r="E632" s="533" t="s">
        <v>554</v>
      </c>
      <c r="F632" s="348" t="s">
        <v>289</v>
      </c>
      <c r="G632" s="348" t="s">
        <v>361</v>
      </c>
      <c r="H632" s="349"/>
      <c r="I632" s="349"/>
      <c r="J632" s="349">
        <v>16</v>
      </c>
      <c r="K632" s="349">
        <v>16</v>
      </c>
      <c r="L632" s="350">
        <v>8</v>
      </c>
      <c r="M632" s="350">
        <v>16</v>
      </c>
      <c r="N632" s="350">
        <v>8</v>
      </c>
      <c r="O632" s="350">
        <v>8</v>
      </c>
      <c r="P632" s="352">
        <v>8</v>
      </c>
      <c r="Q632" s="352">
        <v>8</v>
      </c>
      <c r="R632" s="352"/>
      <c r="S632" s="352"/>
      <c r="T632" s="352"/>
      <c r="U632" s="352"/>
      <c r="V632" s="497"/>
      <c r="W632" s="352"/>
      <c r="X632" s="352"/>
      <c r="Y632" s="352">
        <f>IF(NFI_Expiration=1,IF($A632&lt;VLOOKUP(H$5,NFI,5,0),1,0)*Table_NFI[[#This Row],[Hygiene Kit]],Table_NFI[Hygiene Kit])</f>
        <v>0</v>
      </c>
      <c r="Z632" s="352">
        <f>IF(NFI_Expiration=1,IF($A632&lt;VLOOKUP(I$5,NFI,5,0),1,0)*Table_NFI[[#This Row],[NFI Core Kit]],Table_NFI[NFI Core Kit])</f>
        <v>0</v>
      </c>
      <c r="AA632" s="352">
        <f>IF(NFI_Expiration=1,IF($A632&lt;VLOOKUP(J$5,NFI,5,0),1,0)*Table_NFI[[#This Row],[Sanitary Kit]],Table_NFI[Sanitary Kit])</f>
        <v>0</v>
      </c>
      <c r="AB632" s="352">
        <f>IF(NFI_Expiration=1,IF($A632&lt;VLOOKUP(K$5,NFI,5,0),1,0)*Table_NFI[[#This Row],[Mosquito net]],Table_NFI[Mosquito net])</f>
        <v>0</v>
      </c>
      <c r="AC632" s="352">
        <f>IF(NFI_Expiration=1,IF($A632&lt;VLOOKUP(L$5,NFI,5,0),1,0)*Table_NFI[[#This Row],[Tarpaulin]],Table_NFI[[#This Row],[Tarpaulin]])</f>
        <v>0</v>
      </c>
      <c r="AD632" s="352">
        <f>IF(NFI_Expiration=1,IF($A632&lt;VLOOKUP(M$5,NFI,5,0),1,0)*Table_NFI[[#This Row],[Blanket]],Table_NFI[[#This Row],[Blanket]])</f>
        <v>0</v>
      </c>
      <c r="AE632" s="352">
        <f>IF(NFI_Expiration=1,IF($A632&lt;VLOOKUP(N$5,NFI,5,0),1,0)*Table_NFI[[#This Row],[Kitchen Set]],Table_NFI[Kitchen Set])</f>
        <v>0</v>
      </c>
      <c r="AF632" s="352">
        <f>IF(NFI_Expiration=1,IF($A632&lt;VLOOKUP(O$5,NFI,5,0),1,0)*Table_NFI[[#This Row],[Clothes Kit]],Table_NFI[Clothes Kit])</f>
        <v>0</v>
      </c>
      <c r="AG632" s="352">
        <f>IF(NFI_Expiration=1,IF($A632&lt;VLOOKUP(P$5,NFI,5,0),1,0)*Table_NFI[[#This Row],[Plastic Bucket]],Table_NFI[Plastic Bucket])</f>
        <v>0</v>
      </c>
      <c r="AH632" s="352">
        <f>IF(NFI_Expiration=1,IF($A632&lt;VLOOKUP(Q$5,NFI,5,0),1,0)*Table_NFI[[#This Row],[Plastic Mat]],Table_NFI[Plastic Mat])*IF(Table_NFI[[#This Row],[Distribution Date]]&gt;"2014-04-01",1,2.5)</f>
        <v>0</v>
      </c>
      <c r="AI632" s="352">
        <f>IF(NFI_Expiration=1,IF($A632&lt;VLOOKUP(R$5,NFI,5,0),1,0)*Table_NFI[[#This Row],[Winter Clothes Adult]],Table_NFI[Winter Clothes Adult])</f>
        <v>0</v>
      </c>
      <c r="AJ632" s="352">
        <f>IF(NFI_Expiration=1,IF($A632&lt;VLOOKUP(S$5,NFI,5,0),1,0)*Table_NFI[[#This Row],[Winter Clothes Children]],Table_NFI[Winter Clothes Children])</f>
        <v>0</v>
      </c>
      <c r="AK632" s="352">
        <f>IF(NFI_Expiration=1,IF($A632&lt;VLOOKUP(T$5,NFI,5,0),1,0)*Table_NFI[[#This Row],[Winter Items Other]],Table_NFI[Winter Items Other])</f>
        <v>0</v>
      </c>
      <c r="AL632" s="352">
        <f>IF(NFI_Expiration=1,IF($A632&lt;VLOOKUP(M$5,NFI,5,0),1,0)*Table_NFI[[#This Row],[Winter Blanket]],Table_NFI[[#This Row],[Winter Blanket]])</f>
        <v>0</v>
      </c>
      <c r="AM632" s="352">
        <f>IF(Table_NFI[[#This Row],[Winter Clothes Adult]]+Table_NFI[[#This Row],[Winter Clothes Children]]+Table_NFI[[#This Row],[Winter Items Other]]+Table_NFI[[#This Row],[Winter Blanket]]&gt;0,1,0)</f>
        <v>0</v>
      </c>
      <c r="AN632" s="392">
        <f>IF(NFI_Expiration=1,IF($A632&lt;VLOOKUP(V$5,NFI,5,0),1,0)*Table_NFI[[#This Row],[Jerry Can]],Table_NFI[Jerry Can])</f>
        <v>0</v>
      </c>
      <c r="AO632" s="540" t="str">
        <f>IFERROR(VLOOKUP(Table_NFI[[#This Row],[Camp Name]],CL,2,0),"")</f>
        <v>MMR015CMP139</v>
      </c>
      <c r="AP632" s="535">
        <f ca="1">IF(Table_NFI[[#This Row],[Pcode]]="","",IF(OFFSET(CampList[Opening Date],MATCH(Table_NFI[[#This Row],[Pcode]],CampList[CP_Pcode],0)-1,0,1,1)&gt;=NFI_Monitor_Date,1,0))</f>
        <v>0</v>
      </c>
      <c r="AQ632" s="540" t="str">
        <f>IFERROR(VLOOKUP(Table_NFI[[#This Row],[Camp Name]],CL,3,0),"")</f>
        <v>Closed</v>
      </c>
      <c r="AR632" s="352" t="str">
        <f ca="1">IF(Table_NFI[[#This Row],[Pcode]]="","",OFFSET(CampList[Priority],MATCH(Table_NFI[[#This Row],[Pcode]],CampList[CP_Pcode],0)-1,0,1,1))</f>
        <v>P2</v>
      </c>
      <c r="AS632" s="351" t="str">
        <f>IFERROR(Table_NFI[[#This Row],[Kitchen Set]]/VLOOKUP(Table_NFI[[#This Row],[Camp Name]],CL,4,0),"")</f>
        <v/>
      </c>
      <c r="AT632" s="533" t="s">
        <v>1094</v>
      </c>
      <c r="AU632" s="536"/>
    </row>
    <row r="633" spans="1:47" ht="14.45" customHeight="1" x14ac:dyDescent="0.25">
      <c r="A633" s="355">
        <f t="shared" si="9"/>
        <v>41.6</v>
      </c>
      <c r="B633" s="532">
        <v>41323</v>
      </c>
      <c r="C633" s="533" t="s">
        <v>453</v>
      </c>
      <c r="D633" s="534" t="s">
        <v>461</v>
      </c>
      <c r="E633" s="533" t="s">
        <v>554</v>
      </c>
      <c r="F633" s="348" t="s">
        <v>146</v>
      </c>
      <c r="G633" s="348" t="s">
        <v>149</v>
      </c>
      <c r="H633" s="349"/>
      <c r="I633" s="349"/>
      <c r="J633" s="349">
        <v>86</v>
      </c>
      <c r="K633" s="349">
        <v>86</v>
      </c>
      <c r="L633" s="350">
        <v>43</v>
      </c>
      <c r="M633" s="350">
        <v>86</v>
      </c>
      <c r="N633" s="350">
        <v>43</v>
      </c>
      <c r="O633" s="350">
        <v>43</v>
      </c>
      <c r="P633" s="352">
        <v>43</v>
      </c>
      <c r="Q633" s="352">
        <v>43</v>
      </c>
      <c r="R633" s="352"/>
      <c r="S633" s="352"/>
      <c r="T633" s="352"/>
      <c r="U633" s="352"/>
      <c r="V633" s="497"/>
      <c r="W633" s="352"/>
      <c r="X633" s="352"/>
      <c r="Y633" s="352">
        <f>IF(NFI_Expiration=1,IF($A633&lt;VLOOKUP(H$5,NFI,5,0),1,0)*Table_NFI[[#This Row],[Hygiene Kit]],Table_NFI[Hygiene Kit])</f>
        <v>0</v>
      </c>
      <c r="Z633" s="352">
        <f>IF(NFI_Expiration=1,IF($A633&lt;VLOOKUP(I$5,NFI,5,0),1,0)*Table_NFI[[#This Row],[NFI Core Kit]],Table_NFI[NFI Core Kit])</f>
        <v>0</v>
      </c>
      <c r="AA633" s="352">
        <f>IF(NFI_Expiration=1,IF($A633&lt;VLOOKUP(J$5,NFI,5,0),1,0)*Table_NFI[[#This Row],[Sanitary Kit]],Table_NFI[Sanitary Kit])</f>
        <v>0</v>
      </c>
      <c r="AB633" s="352">
        <f>IF(NFI_Expiration=1,IF($A633&lt;VLOOKUP(K$5,NFI,5,0),1,0)*Table_NFI[[#This Row],[Mosquito net]],Table_NFI[Mosquito net])</f>
        <v>0</v>
      </c>
      <c r="AC633" s="352">
        <f>IF(NFI_Expiration=1,IF($A633&lt;VLOOKUP(L$5,NFI,5,0),1,0)*Table_NFI[[#This Row],[Tarpaulin]],Table_NFI[[#This Row],[Tarpaulin]])</f>
        <v>0</v>
      </c>
      <c r="AD633" s="352">
        <f>IF(NFI_Expiration=1,IF($A633&lt;VLOOKUP(M$5,NFI,5,0),1,0)*Table_NFI[[#This Row],[Blanket]],Table_NFI[[#This Row],[Blanket]])</f>
        <v>0</v>
      </c>
      <c r="AE633" s="352">
        <f>IF(NFI_Expiration=1,IF($A633&lt;VLOOKUP(N$5,NFI,5,0),1,0)*Table_NFI[[#This Row],[Kitchen Set]],Table_NFI[Kitchen Set])</f>
        <v>0</v>
      </c>
      <c r="AF633" s="352">
        <f>IF(NFI_Expiration=1,IF($A633&lt;VLOOKUP(O$5,NFI,5,0),1,0)*Table_NFI[[#This Row],[Clothes Kit]],Table_NFI[Clothes Kit])</f>
        <v>0</v>
      </c>
      <c r="AG633" s="352">
        <f>IF(NFI_Expiration=1,IF($A633&lt;VLOOKUP(P$5,NFI,5,0),1,0)*Table_NFI[[#This Row],[Plastic Bucket]],Table_NFI[Plastic Bucket])</f>
        <v>0</v>
      </c>
      <c r="AH633" s="352">
        <f>IF(NFI_Expiration=1,IF($A633&lt;VLOOKUP(Q$5,NFI,5,0),1,0)*Table_NFI[[#This Row],[Plastic Mat]],Table_NFI[Plastic Mat])*IF(Table_NFI[[#This Row],[Distribution Date]]&gt;"2014-04-01",1,2.5)</f>
        <v>0</v>
      </c>
      <c r="AI633" s="352">
        <f>IF(NFI_Expiration=1,IF($A633&lt;VLOOKUP(R$5,NFI,5,0),1,0)*Table_NFI[[#This Row],[Winter Clothes Adult]],Table_NFI[Winter Clothes Adult])</f>
        <v>0</v>
      </c>
      <c r="AJ633" s="352">
        <f>IF(NFI_Expiration=1,IF($A633&lt;VLOOKUP(S$5,NFI,5,0),1,0)*Table_NFI[[#This Row],[Winter Clothes Children]],Table_NFI[Winter Clothes Children])</f>
        <v>0</v>
      </c>
      <c r="AK633" s="352">
        <f>IF(NFI_Expiration=1,IF($A633&lt;VLOOKUP(T$5,NFI,5,0),1,0)*Table_NFI[[#This Row],[Winter Items Other]],Table_NFI[Winter Items Other])</f>
        <v>0</v>
      </c>
      <c r="AL633" s="352">
        <f>IF(NFI_Expiration=1,IF($A633&lt;VLOOKUP(M$5,NFI,5,0),1,0)*Table_NFI[[#This Row],[Winter Blanket]],Table_NFI[[#This Row],[Winter Blanket]])</f>
        <v>0</v>
      </c>
      <c r="AM633" s="352">
        <f>IF(Table_NFI[[#This Row],[Winter Clothes Adult]]+Table_NFI[[#This Row],[Winter Clothes Children]]+Table_NFI[[#This Row],[Winter Items Other]]+Table_NFI[[#This Row],[Winter Blanket]]&gt;0,1,0)</f>
        <v>0</v>
      </c>
      <c r="AN633" s="392">
        <f>IF(NFI_Expiration=1,IF($A633&lt;VLOOKUP(V$5,NFI,5,0),1,0)*Table_NFI[[#This Row],[Jerry Can]],Table_NFI[Jerry Can])</f>
        <v>0</v>
      </c>
      <c r="AO633" s="540" t="str">
        <f>IFERROR(VLOOKUP(Table_NFI[[#This Row],[Camp Name]],CL,2,0),"")</f>
        <v>MMR015CMP007</v>
      </c>
      <c r="AP633" s="535">
        <f ca="1">IF(Table_NFI[[#This Row],[Pcode]]="","",IF(OFFSET(CampList[Opening Date],MATCH(Table_NFI[[#This Row],[Pcode]],CampList[CP_Pcode],0)-1,0,1,1)&gt;=NFI_Monitor_Date,1,0))</f>
        <v>0</v>
      </c>
      <c r="AQ633" s="540" t="str">
        <f>IFERROR(VLOOKUP(Table_NFI[[#This Row],[Camp Name]],CL,3,0),"")</f>
        <v>Open</v>
      </c>
      <c r="AR633" s="352" t="str">
        <f ca="1">IF(Table_NFI[[#This Row],[Pcode]]="","",OFFSET(CampList[Priority],MATCH(Table_NFI[[#This Row],[Pcode]],CampList[CP_Pcode],0)-1,0,1,1))</f>
        <v>P3</v>
      </c>
      <c r="AS633" s="351">
        <f>IFERROR(Table_NFI[[#This Row],[Kitchen Set]]/VLOOKUP(Table_NFI[[#This Row],[Camp Name]],CL,4,0),"")</f>
        <v>0.69354838709677424</v>
      </c>
      <c r="AT633" s="533" t="s">
        <v>1094</v>
      </c>
      <c r="AU633" s="536"/>
    </row>
    <row r="634" spans="1:47" ht="14.45" customHeight="1" x14ac:dyDescent="0.25">
      <c r="A634" s="355">
        <f t="shared" si="9"/>
        <v>41.6</v>
      </c>
      <c r="B634" s="532">
        <v>41323</v>
      </c>
      <c r="C634" s="533" t="s">
        <v>453</v>
      </c>
      <c r="D634" s="534" t="s">
        <v>461</v>
      </c>
      <c r="E634" s="533" t="s">
        <v>554</v>
      </c>
      <c r="F634" s="348" t="s">
        <v>298</v>
      </c>
      <c r="G634" s="348" t="s">
        <v>594</v>
      </c>
      <c r="H634" s="349"/>
      <c r="I634" s="349"/>
      <c r="J634" s="349">
        <v>90</v>
      </c>
      <c r="K634" s="349">
        <v>90</v>
      </c>
      <c r="L634" s="350">
        <v>45</v>
      </c>
      <c r="M634" s="350">
        <v>90</v>
      </c>
      <c r="N634" s="350">
        <v>45</v>
      </c>
      <c r="O634" s="350">
        <v>45</v>
      </c>
      <c r="P634" s="352">
        <v>45</v>
      </c>
      <c r="Q634" s="352">
        <v>45</v>
      </c>
      <c r="R634" s="352"/>
      <c r="S634" s="352"/>
      <c r="T634" s="352"/>
      <c r="U634" s="352"/>
      <c r="V634" s="497"/>
      <c r="W634" s="352"/>
      <c r="X634" s="352"/>
      <c r="Y634" s="352">
        <f>IF(NFI_Expiration=1,IF($A634&lt;VLOOKUP(H$5,NFI,5,0),1,0)*Table_NFI[[#This Row],[Hygiene Kit]],Table_NFI[Hygiene Kit])</f>
        <v>0</v>
      </c>
      <c r="Z634" s="352">
        <f>IF(NFI_Expiration=1,IF($A634&lt;VLOOKUP(I$5,NFI,5,0),1,0)*Table_NFI[[#This Row],[NFI Core Kit]],Table_NFI[NFI Core Kit])</f>
        <v>0</v>
      </c>
      <c r="AA634" s="352">
        <f>IF(NFI_Expiration=1,IF($A634&lt;VLOOKUP(J$5,NFI,5,0),1,0)*Table_NFI[[#This Row],[Sanitary Kit]],Table_NFI[Sanitary Kit])</f>
        <v>0</v>
      </c>
      <c r="AB634" s="352">
        <f>IF(NFI_Expiration=1,IF($A634&lt;VLOOKUP(K$5,NFI,5,0),1,0)*Table_NFI[[#This Row],[Mosquito net]],Table_NFI[Mosquito net])</f>
        <v>0</v>
      </c>
      <c r="AC634" s="352">
        <f>IF(NFI_Expiration=1,IF($A634&lt;VLOOKUP(L$5,NFI,5,0),1,0)*Table_NFI[[#This Row],[Tarpaulin]],Table_NFI[[#This Row],[Tarpaulin]])</f>
        <v>0</v>
      </c>
      <c r="AD634" s="352">
        <f>IF(NFI_Expiration=1,IF($A634&lt;VLOOKUP(M$5,NFI,5,0),1,0)*Table_NFI[[#This Row],[Blanket]],Table_NFI[[#This Row],[Blanket]])</f>
        <v>0</v>
      </c>
      <c r="AE634" s="352">
        <f>IF(NFI_Expiration=1,IF($A634&lt;VLOOKUP(N$5,NFI,5,0),1,0)*Table_NFI[[#This Row],[Kitchen Set]],Table_NFI[Kitchen Set])</f>
        <v>0</v>
      </c>
      <c r="AF634" s="352">
        <f>IF(NFI_Expiration=1,IF($A634&lt;VLOOKUP(O$5,NFI,5,0),1,0)*Table_NFI[[#This Row],[Clothes Kit]],Table_NFI[Clothes Kit])</f>
        <v>0</v>
      </c>
      <c r="AG634" s="352">
        <f>IF(NFI_Expiration=1,IF($A634&lt;VLOOKUP(P$5,NFI,5,0),1,0)*Table_NFI[[#This Row],[Plastic Bucket]],Table_NFI[Plastic Bucket])</f>
        <v>0</v>
      </c>
      <c r="AH634" s="352">
        <f>IF(NFI_Expiration=1,IF($A634&lt;VLOOKUP(Q$5,NFI,5,0),1,0)*Table_NFI[[#This Row],[Plastic Mat]],Table_NFI[Plastic Mat])*IF(Table_NFI[[#This Row],[Distribution Date]]&gt;"2014-04-01",1,2.5)</f>
        <v>0</v>
      </c>
      <c r="AI634" s="352">
        <f>IF(NFI_Expiration=1,IF($A634&lt;VLOOKUP(R$5,NFI,5,0),1,0)*Table_NFI[[#This Row],[Winter Clothes Adult]],Table_NFI[Winter Clothes Adult])</f>
        <v>0</v>
      </c>
      <c r="AJ634" s="352">
        <f>IF(NFI_Expiration=1,IF($A634&lt;VLOOKUP(S$5,NFI,5,0),1,0)*Table_NFI[[#This Row],[Winter Clothes Children]],Table_NFI[Winter Clothes Children])</f>
        <v>0</v>
      </c>
      <c r="AK634" s="352">
        <f>IF(NFI_Expiration=1,IF($A634&lt;VLOOKUP(T$5,NFI,5,0),1,0)*Table_NFI[[#This Row],[Winter Items Other]],Table_NFI[Winter Items Other])</f>
        <v>0</v>
      </c>
      <c r="AL634" s="352">
        <f>IF(NFI_Expiration=1,IF($A634&lt;VLOOKUP(M$5,NFI,5,0),1,0)*Table_NFI[[#This Row],[Winter Blanket]],Table_NFI[[#This Row],[Winter Blanket]])</f>
        <v>0</v>
      </c>
      <c r="AM634" s="352">
        <f>IF(Table_NFI[[#This Row],[Winter Clothes Adult]]+Table_NFI[[#This Row],[Winter Clothes Children]]+Table_NFI[[#This Row],[Winter Items Other]]+Table_NFI[[#This Row],[Winter Blanket]]&gt;0,1,0)</f>
        <v>0</v>
      </c>
      <c r="AN634" s="392">
        <f>IF(NFI_Expiration=1,IF($A634&lt;VLOOKUP(V$5,NFI,5,0),1,0)*Table_NFI[[#This Row],[Jerry Can]],Table_NFI[Jerry Can])</f>
        <v>0</v>
      </c>
      <c r="AO634" s="540" t="str">
        <f>IFERROR(VLOOKUP(Table_NFI[[#This Row],[Camp Name]],CL,2,0),"")</f>
        <v>MMR015CMP210</v>
      </c>
      <c r="AP634" s="535">
        <f ca="1">IF(Table_NFI[[#This Row],[Pcode]]="","",IF(OFFSET(CampList[Opening Date],MATCH(Table_NFI[[#This Row],[Pcode]],CampList[CP_Pcode],0)-1,0,1,1)&gt;=NFI_Monitor_Date,1,0))</f>
        <v>0</v>
      </c>
      <c r="AQ634" s="540" t="str">
        <f>IFERROR(VLOOKUP(Table_NFI[[#This Row],[Camp Name]],CL,3,0),"")</f>
        <v>Open</v>
      </c>
      <c r="AR634" s="352" t="str">
        <f ca="1">IF(Table_NFI[[#This Row],[Pcode]]="","",OFFSET(CampList[Priority],MATCH(Table_NFI[[#This Row],[Pcode]],CampList[CP_Pcode],0)-1,0,1,1))</f>
        <v>P3</v>
      </c>
      <c r="AS634" s="351">
        <f>IFERROR(Table_NFI[[#This Row],[Kitchen Set]]/VLOOKUP(Table_NFI[[#This Row],[Camp Name]],CL,4,0),"")</f>
        <v>0.38135593220338981</v>
      </c>
      <c r="AT634" s="533" t="s">
        <v>1094</v>
      </c>
      <c r="AU634" s="536"/>
    </row>
    <row r="635" spans="1:47" ht="14.45" customHeight="1" x14ac:dyDescent="0.25">
      <c r="A635" s="355">
        <f t="shared" si="9"/>
        <v>42</v>
      </c>
      <c r="B635" s="532">
        <v>41311</v>
      </c>
      <c r="C635" s="533" t="s">
        <v>453</v>
      </c>
      <c r="D635" s="534" t="s">
        <v>453</v>
      </c>
      <c r="E635" s="533" t="s">
        <v>380</v>
      </c>
      <c r="F635" s="348" t="s">
        <v>310</v>
      </c>
      <c r="G635" s="348" t="s">
        <v>318</v>
      </c>
      <c r="H635" s="349"/>
      <c r="I635" s="349"/>
      <c r="J635" s="349">
        <v>17</v>
      </c>
      <c r="K635" s="349">
        <v>20</v>
      </c>
      <c r="L635" s="350">
        <v>15</v>
      </c>
      <c r="M635" s="350">
        <v>20</v>
      </c>
      <c r="N635" s="350">
        <v>14</v>
      </c>
      <c r="O635" s="350">
        <v>11</v>
      </c>
      <c r="P635" s="352">
        <v>11</v>
      </c>
      <c r="Q635" s="352">
        <v>11</v>
      </c>
      <c r="R635" s="352"/>
      <c r="S635" s="352"/>
      <c r="T635" s="352"/>
      <c r="U635" s="352"/>
      <c r="V635" s="497"/>
      <c r="W635" s="352"/>
      <c r="X635" s="352"/>
      <c r="Y635" s="352">
        <f>IF(NFI_Expiration=1,IF($A635&lt;VLOOKUP(H$5,NFI,5,0),1,0)*Table_NFI[[#This Row],[Hygiene Kit]],Table_NFI[Hygiene Kit])</f>
        <v>0</v>
      </c>
      <c r="Z635" s="352">
        <f>IF(NFI_Expiration=1,IF($A635&lt;VLOOKUP(I$5,NFI,5,0),1,0)*Table_NFI[[#This Row],[NFI Core Kit]],Table_NFI[NFI Core Kit])</f>
        <v>0</v>
      </c>
      <c r="AA635" s="352">
        <f>IF(NFI_Expiration=1,IF($A635&lt;VLOOKUP(J$5,NFI,5,0),1,0)*Table_NFI[[#This Row],[Sanitary Kit]],Table_NFI[Sanitary Kit])</f>
        <v>0</v>
      </c>
      <c r="AB635" s="352">
        <f>IF(NFI_Expiration=1,IF($A635&lt;VLOOKUP(K$5,NFI,5,0),1,0)*Table_NFI[[#This Row],[Mosquito net]],Table_NFI[Mosquito net])</f>
        <v>0</v>
      </c>
      <c r="AC635" s="352">
        <f>IF(NFI_Expiration=1,IF($A635&lt;VLOOKUP(L$5,NFI,5,0),1,0)*Table_NFI[[#This Row],[Tarpaulin]],Table_NFI[[#This Row],[Tarpaulin]])</f>
        <v>0</v>
      </c>
      <c r="AD635" s="352">
        <f>IF(NFI_Expiration=1,IF($A635&lt;VLOOKUP(M$5,NFI,5,0),1,0)*Table_NFI[[#This Row],[Blanket]],Table_NFI[[#This Row],[Blanket]])</f>
        <v>0</v>
      </c>
      <c r="AE635" s="352">
        <f>IF(NFI_Expiration=1,IF($A635&lt;VLOOKUP(N$5,NFI,5,0),1,0)*Table_NFI[[#This Row],[Kitchen Set]],Table_NFI[Kitchen Set])</f>
        <v>0</v>
      </c>
      <c r="AF635" s="352">
        <f>IF(NFI_Expiration=1,IF($A635&lt;VLOOKUP(O$5,NFI,5,0),1,0)*Table_NFI[[#This Row],[Clothes Kit]],Table_NFI[Clothes Kit])</f>
        <v>0</v>
      </c>
      <c r="AG635" s="352">
        <f>IF(NFI_Expiration=1,IF($A635&lt;VLOOKUP(P$5,NFI,5,0),1,0)*Table_NFI[[#This Row],[Plastic Bucket]],Table_NFI[Plastic Bucket])</f>
        <v>0</v>
      </c>
      <c r="AH635" s="352">
        <f>IF(NFI_Expiration=1,IF($A635&lt;VLOOKUP(Q$5,NFI,5,0),1,0)*Table_NFI[[#This Row],[Plastic Mat]],Table_NFI[Plastic Mat])*IF(Table_NFI[[#This Row],[Distribution Date]]&gt;"2014-04-01",1,2.5)</f>
        <v>0</v>
      </c>
      <c r="AI635" s="352">
        <f>IF(NFI_Expiration=1,IF($A635&lt;VLOOKUP(R$5,NFI,5,0),1,0)*Table_NFI[[#This Row],[Winter Clothes Adult]],Table_NFI[Winter Clothes Adult])</f>
        <v>0</v>
      </c>
      <c r="AJ635" s="352">
        <f>IF(NFI_Expiration=1,IF($A635&lt;VLOOKUP(S$5,NFI,5,0),1,0)*Table_NFI[[#This Row],[Winter Clothes Children]],Table_NFI[Winter Clothes Children])</f>
        <v>0</v>
      </c>
      <c r="AK635" s="352">
        <f>IF(NFI_Expiration=1,IF($A635&lt;VLOOKUP(T$5,NFI,5,0),1,0)*Table_NFI[[#This Row],[Winter Items Other]],Table_NFI[Winter Items Other])</f>
        <v>0</v>
      </c>
      <c r="AL635" s="352">
        <f>IF(NFI_Expiration=1,IF($A635&lt;VLOOKUP(M$5,NFI,5,0),1,0)*Table_NFI[[#This Row],[Winter Blanket]],Table_NFI[[#This Row],[Winter Blanket]])</f>
        <v>0</v>
      </c>
      <c r="AM635" s="352">
        <f>IF(Table_NFI[[#This Row],[Winter Clothes Adult]]+Table_NFI[[#This Row],[Winter Clothes Children]]+Table_NFI[[#This Row],[Winter Items Other]]+Table_NFI[[#This Row],[Winter Blanket]]&gt;0,1,0)</f>
        <v>0</v>
      </c>
      <c r="AN635" s="392">
        <f>IF(NFI_Expiration=1,IF($A635&lt;VLOOKUP(V$5,NFI,5,0),1,0)*Table_NFI[[#This Row],[Jerry Can]],Table_NFI[Jerry Can])</f>
        <v>0</v>
      </c>
      <c r="AO635" s="540" t="str">
        <f>IFERROR(VLOOKUP(Table_NFI[[#This Row],[Camp Name]],CL,2,0),"")</f>
        <v>MMR001CMP032</v>
      </c>
      <c r="AP635" s="535">
        <f ca="1">IF(Table_NFI[[#This Row],[Pcode]]="","",IF(OFFSET(CampList[Opening Date],MATCH(Table_NFI[[#This Row],[Pcode]],CampList[CP_Pcode],0)-1,0,1,1)&gt;=NFI_Monitor_Date,1,0))</f>
        <v>0</v>
      </c>
      <c r="AQ635" s="540" t="str">
        <f>IFERROR(VLOOKUP(Table_NFI[[#This Row],[Camp Name]],CL,3,0),"")</f>
        <v>Open</v>
      </c>
      <c r="AR635" s="352" t="str">
        <f ca="1">IF(Table_NFI[[#This Row],[Pcode]]="","",OFFSET(CampList[Priority],MATCH(Table_NFI[[#This Row],[Pcode]],CampList[CP_Pcode],0)-1,0,1,1))</f>
        <v>P4</v>
      </c>
      <c r="AS635" s="351">
        <f>IFERROR(Table_NFI[[#This Row],[Kitchen Set]]/VLOOKUP(Table_NFI[[#This Row],[Camp Name]],CL,4,0),"")</f>
        <v>0.15384615384615385</v>
      </c>
      <c r="AT635" s="533" t="s">
        <v>1094</v>
      </c>
      <c r="AU635" s="536"/>
    </row>
    <row r="636" spans="1:47" ht="14.45" customHeight="1" x14ac:dyDescent="0.25">
      <c r="A636" s="355">
        <f t="shared" si="9"/>
        <v>42.033333333333331</v>
      </c>
      <c r="B636" s="532">
        <v>41310</v>
      </c>
      <c r="C636" s="533" t="s">
        <v>453</v>
      </c>
      <c r="D636" s="533" t="s">
        <v>453</v>
      </c>
      <c r="E636" s="533" t="s">
        <v>380</v>
      </c>
      <c r="F636" s="348" t="s">
        <v>310</v>
      </c>
      <c r="G636" s="348" t="s">
        <v>328</v>
      </c>
      <c r="H636" s="349"/>
      <c r="I636" s="349"/>
      <c r="J636" s="349">
        <v>37</v>
      </c>
      <c r="K636" s="349">
        <v>70</v>
      </c>
      <c r="L636" s="350">
        <v>34</v>
      </c>
      <c r="M636" s="350">
        <v>70</v>
      </c>
      <c r="N636" s="350">
        <v>34</v>
      </c>
      <c r="O636" s="350">
        <v>34</v>
      </c>
      <c r="P636" s="352">
        <v>34</v>
      </c>
      <c r="Q636" s="352">
        <v>34</v>
      </c>
      <c r="R636" s="352"/>
      <c r="S636" s="352"/>
      <c r="T636" s="352"/>
      <c r="U636" s="352"/>
      <c r="V636" s="497"/>
      <c r="W636" s="352"/>
      <c r="X636" s="352"/>
      <c r="Y636" s="352">
        <f>IF(NFI_Expiration=1,IF($A636&lt;VLOOKUP(H$5,NFI,5,0),1,0)*Table_NFI[[#This Row],[Hygiene Kit]],Table_NFI[Hygiene Kit])</f>
        <v>0</v>
      </c>
      <c r="Z636" s="352">
        <f>IF(NFI_Expiration=1,IF($A636&lt;VLOOKUP(I$5,NFI,5,0),1,0)*Table_NFI[[#This Row],[NFI Core Kit]],Table_NFI[NFI Core Kit])</f>
        <v>0</v>
      </c>
      <c r="AA636" s="352">
        <f>IF(NFI_Expiration=1,IF($A636&lt;VLOOKUP(J$5,NFI,5,0),1,0)*Table_NFI[[#This Row],[Sanitary Kit]],Table_NFI[Sanitary Kit])</f>
        <v>0</v>
      </c>
      <c r="AB636" s="352">
        <f>IF(NFI_Expiration=1,IF($A636&lt;VLOOKUP(K$5,NFI,5,0),1,0)*Table_NFI[[#This Row],[Mosquito net]],Table_NFI[Mosquito net])</f>
        <v>0</v>
      </c>
      <c r="AC636" s="352">
        <f>IF(NFI_Expiration=1,IF($A636&lt;VLOOKUP(L$5,NFI,5,0),1,0)*Table_NFI[[#This Row],[Tarpaulin]],Table_NFI[[#This Row],[Tarpaulin]])</f>
        <v>0</v>
      </c>
      <c r="AD636" s="352">
        <f>IF(NFI_Expiration=1,IF($A636&lt;VLOOKUP(M$5,NFI,5,0),1,0)*Table_NFI[[#This Row],[Blanket]],Table_NFI[[#This Row],[Blanket]])</f>
        <v>0</v>
      </c>
      <c r="AE636" s="352">
        <f>IF(NFI_Expiration=1,IF($A636&lt;VLOOKUP(N$5,NFI,5,0),1,0)*Table_NFI[[#This Row],[Kitchen Set]],Table_NFI[Kitchen Set])</f>
        <v>0</v>
      </c>
      <c r="AF636" s="352">
        <f>IF(NFI_Expiration=1,IF($A636&lt;VLOOKUP(O$5,NFI,5,0),1,0)*Table_NFI[[#This Row],[Clothes Kit]],Table_NFI[Clothes Kit])</f>
        <v>0</v>
      </c>
      <c r="AG636" s="352">
        <f>IF(NFI_Expiration=1,IF($A636&lt;VLOOKUP(P$5,NFI,5,0),1,0)*Table_NFI[[#This Row],[Plastic Bucket]],Table_NFI[Plastic Bucket])</f>
        <v>0</v>
      </c>
      <c r="AH636" s="352">
        <f>IF(NFI_Expiration=1,IF($A636&lt;VLOOKUP(Q$5,NFI,5,0),1,0)*Table_NFI[[#This Row],[Plastic Mat]],Table_NFI[Plastic Mat])*IF(Table_NFI[[#This Row],[Distribution Date]]&gt;"2014-04-01",1,2.5)</f>
        <v>0</v>
      </c>
      <c r="AI636" s="352">
        <f>IF(NFI_Expiration=1,IF($A636&lt;VLOOKUP(R$5,NFI,5,0),1,0)*Table_NFI[[#This Row],[Winter Clothes Adult]],Table_NFI[Winter Clothes Adult])</f>
        <v>0</v>
      </c>
      <c r="AJ636" s="352">
        <f>IF(NFI_Expiration=1,IF($A636&lt;VLOOKUP(S$5,NFI,5,0),1,0)*Table_NFI[[#This Row],[Winter Clothes Children]],Table_NFI[Winter Clothes Children])</f>
        <v>0</v>
      </c>
      <c r="AK636" s="352">
        <f>IF(NFI_Expiration=1,IF($A636&lt;VLOOKUP(T$5,NFI,5,0),1,0)*Table_NFI[[#This Row],[Winter Items Other]],Table_NFI[Winter Items Other])</f>
        <v>0</v>
      </c>
      <c r="AL636" s="352">
        <f>IF(NFI_Expiration=1,IF($A636&lt;VLOOKUP(M$5,NFI,5,0),1,0)*Table_NFI[[#This Row],[Winter Blanket]],Table_NFI[[#This Row],[Winter Blanket]])</f>
        <v>0</v>
      </c>
      <c r="AM636" s="352">
        <f>IF(Table_NFI[[#This Row],[Winter Clothes Adult]]+Table_NFI[[#This Row],[Winter Clothes Children]]+Table_NFI[[#This Row],[Winter Items Other]]+Table_NFI[[#This Row],[Winter Blanket]]&gt;0,1,0)</f>
        <v>0</v>
      </c>
      <c r="AN636" s="392">
        <f>IF(NFI_Expiration=1,IF($A636&lt;VLOOKUP(V$5,NFI,5,0),1,0)*Table_NFI[[#This Row],[Jerry Can]],Table_NFI[Jerry Can])</f>
        <v>0</v>
      </c>
      <c r="AO636" s="540" t="str">
        <f>IFERROR(VLOOKUP(Table_NFI[[#This Row],[Camp Name]],CL,2,0),"")</f>
        <v>MMR001CMP031</v>
      </c>
      <c r="AP636" s="535">
        <f ca="1">IF(Table_NFI[[#This Row],[Pcode]]="","",IF(OFFSET(CampList[Opening Date],MATCH(Table_NFI[[#This Row],[Pcode]],CampList[CP_Pcode],0)-1,0,1,1)&gt;=NFI_Monitor_Date,1,0))</f>
        <v>0</v>
      </c>
      <c r="AQ636" s="540" t="str">
        <f>IFERROR(VLOOKUP(Table_NFI[[#This Row],[Camp Name]],CL,3,0),"")</f>
        <v>Open</v>
      </c>
      <c r="AR636" s="352" t="str">
        <f ca="1">IF(Table_NFI[[#This Row],[Pcode]]="","",OFFSET(CampList[Priority],MATCH(Table_NFI[[#This Row],[Pcode]],CampList[CP_Pcode],0)-1,0,1,1))</f>
        <v>P4</v>
      </c>
      <c r="AS636" s="351">
        <f>IFERROR(Table_NFI[[#This Row],[Kitchen Set]]/VLOOKUP(Table_NFI[[#This Row],[Camp Name]],CL,4,0),"")</f>
        <v>0.23776223776223776</v>
      </c>
      <c r="AT636" s="533" t="s">
        <v>1094</v>
      </c>
      <c r="AU636" s="536"/>
    </row>
    <row r="637" spans="1:47" hidden="1" x14ac:dyDescent="0.25">
      <c r="A637" s="355">
        <f t="shared" si="9"/>
        <v>32.1</v>
      </c>
      <c r="B637" s="532">
        <v>41608</v>
      </c>
      <c r="C637" s="533" t="s">
        <v>907</v>
      </c>
      <c r="D637" s="533" t="s">
        <v>461</v>
      </c>
      <c r="E637" s="533" t="s">
        <v>380</v>
      </c>
      <c r="F637" s="348" t="s">
        <v>151</v>
      </c>
      <c r="G637" s="348" t="s">
        <v>164</v>
      </c>
      <c r="H637" s="349"/>
      <c r="I637" s="349"/>
      <c r="J637" s="349"/>
      <c r="K637" s="349"/>
      <c r="L637" s="350"/>
      <c r="M637" s="350"/>
      <c r="N637" s="350"/>
      <c r="O637" s="350"/>
      <c r="P637" s="352"/>
      <c r="Q637" s="352"/>
      <c r="R637" s="352"/>
      <c r="S637" s="352"/>
      <c r="T637" s="352"/>
      <c r="U637" s="352"/>
      <c r="V637" s="497"/>
      <c r="W637" s="352"/>
      <c r="X637" s="352"/>
      <c r="Y637" s="352">
        <f>IF(NFI_Expiration=1,IF($A637&lt;VLOOKUP(H$5,NFI,5,0),1,0)*Table_NFI[[#This Row],[Hygiene Kit]],Table_NFI[Hygiene Kit])</f>
        <v>0</v>
      </c>
      <c r="Z637" s="352">
        <f>IF(NFI_Expiration=1,IF($A637&lt;VLOOKUP(I$5,NFI,5,0),1,0)*Table_NFI[[#This Row],[NFI Core Kit]],Table_NFI[NFI Core Kit])</f>
        <v>0</v>
      </c>
      <c r="AA637" s="352">
        <f>IF(NFI_Expiration=1,IF($A637&lt;VLOOKUP(J$5,NFI,5,0),1,0)*Table_NFI[[#This Row],[Sanitary Kit]],Table_NFI[Sanitary Kit])</f>
        <v>0</v>
      </c>
      <c r="AB637" s="352">
        <f>IF(NFI_Expiration=1,IF($A637&lt;VLOOKUP(K$5,NFI,5,0),1,0)*Table_NFI[[#This Row],[Mosquito net]],Table_NFI[Mosquito net])</f>
        <v>0</v>
      </c>
      <c r="AC637" s="352">
        <f>IF(NFI_Expiration=1,IF($A637&lt;VLOOKUP(L$5,NFI,5,0),1,0)*Table_NFI[[#This Row],[Tarpaulin]],Table_NFI[[#This Row],[Tarpaulin]])</f>
        <v>0</v>
      </c>
      <c r="AD637" s="352">
        <f>IF(NFI_Expiration=1,IF($A637&lt;VLOOKUP(M$5,NFI,5,0),1,0)*Table_NFI[[#This Row],[Blanket]],Table_NFI[[#This Row],[Blanket]])</f>
        <v>0</v>
      </c>
      <c r="AE637" s="352">
        <f>IF(NFI_Expiration=1,IF($A637&lt;VLOOKUP(N$5,NFI,5,0),1,0)*Table_NFI[[#This Row],[Kitchen Set]],Table_NFI[Kitchen Set])</f>
        <v>0</v>
      </c>
      <c r="AF637" s="352">
        <f>IF(NFI_Expiration=1,IF($A637&lt;VLOOKUP(O$5,NFI,5,0),1,0)*Table_NFI[[#This Row],[Clothes Kit]],Table_NFI[Clothes Kit])</f>
        <v>0</v>
      </c>
      <c r="AG637" s="352">
        <f>IF(NFI_Expiration=1,IF($A637&lt;VLOOKUP(P$5,NFI,5,0),1,0)*Table_NFI[[#This Row],[Plastic Bucket]],Table_NFI[Plastic Bucket])</f>
        <v>0</v>
      </c>
      <c r="AH637" s="352">
        <f>IF(NFI_Expiration=1,IF($A637&lt;VLOOKUP(Q$5,NFI,5,0),1,0)*Table_NFI[[#This Row],[Plastic Mat]],Table_NFI[Plastic Mat])*IF(Table_NFI[[#This Row],[Distribution Date]]&gt;"2014-04-01",1,2.5)</f>
        <v>0</v>
      </c>
      <c r="AI637" s="352">
        <f>IF(NFI_Expiration=1,IF($A637&lt;VLOOKUP(R$5,NFI,5,0),1,0)*Table_NFI[[#This Row],[Winter Clothes Adult]],Table_NFI[Winter Clothes Adult])</f>
        <v>0</v>
      </c>
      <c r="AJ637" s="352">
        <f>IF(NFI_Expiration=1,IF($A637&lt;VLOOKUP(S$5,NFI,5,0),1,0)*Table_NFI[[#This Row],[Winter Clothes Children]],Table_NFI[Winter Clothes Children])</f>
        <v>0</v>
      </c>
      <c r="AK637" s="352">
        <f>IF(NFI_Expiration=1,IF($A637&lt;VLOOKUP(T$5,NFI,5,0),1,0)*Table_NFI[[#This Row],[Winter Items Other]],Table_NFI[Winter Items Other])</f>
        <v>0</v>
      </c>
      <c r="AL637" s="352">
        <f>IF(NFI_Expiration=1,IF($A637&lt;VLOOKUP(M$5,NFI,5,0),1,0)*Table_NFI[[#This Row],[Winter Blanket]],Table_NFI[[#This Row],[Winter Blanket]])</f>
        <v>0</v>
      </c>
      <c r="AM637" s="352">
        <f>IF(Table_NFI[[#This Row],[Winter Clothes Adult]]+Table_NFI[[#This Row],[Winter Clothes Children]]+Table_NFI[[#This Row],[Winter Items Other]]+Table_NFI[[#This Row],[Winter Blanket]]&gt;0,1,0)</f>
        <v>0</v>
      </c>
      <c r="AN637" s="392">
        <f>IF(NFI_Expiration=1,IF($A637&lt;VLOOKUP(V$5,NFI,5,0),1,0)*Table_NFI[[#This Row],[Jerry Can]],Table_NFI[Jerry Can])</f>
        <v>0</v>
      </c>
      <c r="AO637" s="540" t="str">
        <f>IFERROR(VLOOKUP(Table_NFI[[#This Row],[Camp Name]],CL,2,0),"")</f>
        <v>MMR001CMP137</v>
      </c>
      <c r="AP637" s="535">
        <f ca="1">IF(Table_NFI[[#This Row],[Pcode]]="","",IF(OFFSET(CampList[Opening Date],MATCH(Table_NFI[[#This Row],[Pcode]],CampList[CP_Pcode],0)-1,0,1,1)&gt;=NFI_Monitor_Date,1,0))</f>
        <v>0</v>
      </c>
      <c r="AQ637" s="540" t="str">
        <f>IFERROR(VLOOKUP(Table_NFI[[#This Row],[Camp Name]],CL,3,0),"")</f>
        <v>Closed</v>
      </c>
      <c r="AR637" s="352" t="str">
        <f ca="1">IF(Table_NFI[[#This Row],[Pcode]]="","",OFFSET(CampList[Priority],MATCH(Table_NFI[[#This Row],[Pcode]],CampList[CP_Pcode],0)-1,0,1,1))</f>
        <v/>
      </c>
      <c r="AS637" s="351" t="str">
        <f>IFERROR(Table_NFI[[#This Row],[Kitchen Set]]/VLOOKUP(Table_NFI[[#This Row],[Camp Name]],CL,4,0),"")</f>
        <v/>
      </c>
      <c r="AT637" s="533" t="s">
        <v>1094</v>
      </c>
      <c r="AU637" s="536"/>
    </row>
    <row r="638" spans="1:47" ht="14.45" customHeight="1" x14ac:dyDescent="0.25">
      <c r="A638" s="355">
        <f t="shared" si="9"/>
        <v>42.033333333333331</v>
      </c>
      <c r="B638" s="532">
        <v>41310</v>
      </c>
      <c r="C638" s="533" t="s">
        <v>453</v>
      </c>
      <c r="D638" s="534" t="s">
        <v>453</v>
      </c>
      <c r="E638" s="533" t="s">
        <v>380</v>
      </c>
      <c r="F638" s="348" t="s">
        <v>237</v>
      </c>
      <c r="G638" s="348" t="s">
        <v>265</v>
      </c>
      <c r="H638" s="349"/>
      <c r="I638" s="349"/>
      <c r="J638" s="349">
        <v>10</v>
      </c>
      <c r="K638" s="349">
        <v>16</v>
      </c>
      <c r="L638" s="350">
        <v>7</v>
      </c>
      <c r="M638" s="350">
        <v>16</v>
      </c>
      <c r="N638" s="350">
        <v>7</v>
      </c>
      <c r="O638" s="350">
        <v>7</v>
      </c>
      <c r="P638" s="352">
        <v>7</v>
      </c>
      <c r="Q638" s="352">
        <v>7</v>
      </c>
      <c r="R638" s="352"/>
      <c r="S638" s="352"/>
      <c r="T638" s="352"/>
      <c r="U638" s="352"/>
      <c r="V638" s="497"/>
      <c r="W638" s="352"/>
      <c r="X638" s="352"/>
      <c r="Y638" s="352">
        <f>IF(NFI_Expiration=1,IF($A638&lt;VLOOKUP(H$5,NFI,5,0),1,0)*Table_NFI[[#This Row],[Hygiene Kit]],Table_NFI[Hygiene Kit])</f>
        <v>0</v>
      </c>
      <c r="Z638" s="352">
        <f>IF(NFI_Expiration=1,IF($A638&lt;VLOOKUP(I$5,NFI,5,0),1,0)*Table_NFI[[#This Row],[NFI Core Kit]],Table_NFI[NFI Core Kit])</f>
        <v>0</v>
      </c>
      <c r="AA638" s="352">
        <f>IF(NFI_Expiration=1,IF($A638&lt;VLOOKUP(J$5,NFI,5,0),1,0)*Table_NFI[[#This Row],[Sanitary Kit]],Table_NFI[Sanitary Kit])</f>
        <v>0</v>
      </c>
      <c r="AB638" s="352">
        <f>IF(NFI_Expiration=1,IF($A638&lt;VLOOKUP(K$5,NFI,5,0),1,0)*Table_NFI[[#This Row],[Mosquito net]],Table_NFI[Mosquito net])</f>
        <v>0</v>
      </c>
      <c r="AC638" s="352">
        <f>IF(NFI_Expiration=1,IF($A638&lt;VLOOKUP(L$5,NFI,5,0),1,0)*Table_NFI[[#This Row],[Tarpaulin]],Table_NFI[[#This Row],[Tarpaulin]])</f>
        <v>0</v>
      </c>
      <c r="AD638" s="352">
        <f>IF(NFI_Expiration=1,IF($A638&lt;VLOOKUP(M$5,NFI,5,0),1,0)*Table_NFI[[#This Row],[Blanket]],Table_NFI[[#This Row],[Blanket]])</f>
        <v>0</v>
      </c>
      <c r="AE638" s="352">
        <f>IF(NFI_Expiration=1,IF($A638&lt;VLOOKUP(N$5,NFI,5,0),1,0)*Table_NFI[[#This Row],[Kitchen Set]],Table_NFI[Kitchen Set])</f>
        <v>0</v>
      </c>
      <c r="AF638" s="352">
        <f>IF(NFI_Expiration=1,IF($A638&lt;VLOOKUP(O$5,NFI,5,0),1,0)*Table_NFI[[#This Row],[Clothes Kit]],Table_NFI[Clothes Kit])</f>
        <v>0</v>
      </c>
      <c r="AG638" s="352">
        <f>IF(NFI_Expiration=1,IF($A638&lt;VLOOKUP(P$5,NFI,5,0),1,0)*Table_NFI[[#This Row],[Plastic Bucket]],Table_NFI[Plastic Bucket])</f>
        <v>0</v>
      </c>
      <c r="AH638" s="352">
        <f>IF(NFI_Expiration=1,IF($A638&lt;VLOOKUP(Q$5,NFI,5,0),1,0)*Table_NFI[[#This Row],[Plastic Mat]],Table_NFI[Plastic Mat])*IF(Table_NFI[[#This Row],[Distribution Date]]&gt;"2014-04-01",1,2.5)</f>
        <v>0</v>
      </c>
      <c r="AI638" s="352">
        <f>IF(NFI_Expiration=1,IF($A638&lt;VLOOKUP(R$5,NFI,5,0),1,0)*Table_NFI[[#This Row],[Winter Clothes Adult]],Table_NFI[Winter Clothes Adult])</f>
        <v>0</v>
      </c>
      <c r="AJ638" s="352">
        <f>IF(NFI_Expiration=1,IF($A638&lt;VLOOKUP(S$5,NFI,5,0),1,0)*Table_NFI[[#This Row],[Winter Clothes Children]],Table_NFI[Winter Clothes Children])</f>
        <v>0</v>
      </c>
      <c r="AK638" s="352">
        <f>IF(NFI_Expiration=1,IF($A638&lt;VLOOKUP(T$5,NFI,5,0),1,0)*Table_NFI[[#This Row],[Winter Items Other]],Table_NFI[Winter Items Other])</f>
        <v>0</v>
      </c>
      <c r="AL638" s="352">
        <f>IF(NFI_Expiration=1,IF($A638&lt;VLOOKUP(M$5,NFI,5,0),1,0)*Table_NFI[[#This Row],[Winter Blanket]],Table_NFI[[#This Row],[Winter Blanket]])</f>
        <v>0</v>
      </c>
      <c r="AM638" s="352">
        <f>IF(Table_NFI[[#This Row],[Winter Clothes Adult]]+Table_NFI[[#This Row],[Winter Clothes Children]]+Table_NFI[[#This Row],[Winter Items Other]]+Table_NFI[[#This Row],[Winter Blanket]]&gt;0,1,0)</f>
        <v>0</v>
      </c>
      <c r="AN638" s="392">
        <f>IF(NFI_Expiration=1,IF($A638&lt;VLOOKUP(V$5,NFI,5,0),1,0)*Table_NFI[[#This Row],[Jerry Can]],Table_NFI[Jerry Can])</f>
        <v>0</v>
      </c>
      <c r="AO638" s="540" t="str">
        <f>IFERROR(VLOOKUP(Table_NFI[[#This Row],[Camp Name]],CL,2,0),"")</f>
        <v>MMR001CMP021</v>
      </c>
      <c r="AP638" s="535">
        <f ca="1">IF(Table_NFI[[#This Row],[Pcode]]="","",IF(OFFSET(CampList[Opening Date],MATCH(Table_NFI[[#This Row],[Pcode]],CampList[CP_Pcode],0)-1,0,1,1)&gt;=NFI_Monitor_Date,1,0))</f>
        <v>0</v>
      </c>
      <c r="AQ638" s="540" t="str">
        <f>IFERROR(VLOOKUP(Table_NFI[[#This Row],[Camp Name]],CL,3,0),"")</f>
        <v>Open</v>
      </c>
      <c r="AR638" s="352" t="str">
        <f ca="1">IF(Table_NFI[[#This Row],[Pcode]]="","",OFFSET(CampList[Priority],MATCH(Table_NFI[[#This Row],[Pcode]],CampList[CP_Pcode],0)-1,0,1,1))</f>
        <v>P4</v>
      </c>
      <c r="AS638" s="351">
        <f>IFERROR(Table_NFI[[#This Row],[Kitchen Set]]/VLOOKUP(Table_NFI[[#This Row],[Camp Name]],CL,4,0),"")</f>
        <v>0.5</v>
      </c>
      <c r="AT638" s="533" t="s">
        <v>1094</v>
      </c>
      <c r="AU638" s="536"/>
    </row>
    <row r="639" spans="1:47" ht="14.45" hidden="1" customHeight="1" x14ac:dyDescent="0.25">
      <c r="A639" s="355">
        <f t="shared" si="9"/>
        <v>20.6</v>
      </c>
      <c r="B639" s="532">
        <v>41953</v>
      </c>
      <c r="C639" s="533" t="s">
        <v>1096</v>
      </c>
      <c r="D639" s="533" t="s">
        <v>902</v>
      </c>
      <c r="E639" s="533" t="s">
        <v>380</v>
      </c>
      <c r="F639" s="533" t="s">
        <v>528</v>
      </c>
      <c r="G639" s="533" t="s">
        <v>612</v>
      </c>
      <c r="H639" s="349"/>
      <c r="I639" s="349"/>
      <c r="J639" s="349"/>
      <c r="K639" s="349"/>
      <c r="L639" s="350"/>
      <c r="M639" s="350"/>
      <c r="N639" s="350"/>
      <c r="O639" s="350"/>
      <c r="P639" s="352"/>
      <c r="Q639" s="352"/>
      <c r="R639" s="352">
        <v>50</v>
      </c>
      <c r="S639" s="352">
        <v>17</v>
      </c>
      <c r="T639" s="352"/>
      <c r="U639" s="352"/>
      <c r="V639" s="497"/>
      <c r="W639" s="352"/>
      <c r="X639" s="352"/>
      <c r="Y639" s="352">
        <f>IF(NFI_Expiration=1,IF($A639&lt;VLOOKUP(H$5,NFI,5,0),1,0)*Table_NFI[[#This Row],[Hygiene Kit]],Table_NFI[Hygiene Kit])</f>
        <v>0</v>
      </c>
      <c r="Z639" s="352">
        <f>IF(NFI_Expiration=1,IF($A639&lt;VLOOKUP(I$5,NFI,5,0),1,0)*Table_NFI[[#This Row],[NFI Core Kit]],Table_NFI[NFI Core Kit])</f>
        <v>0</v>
      </c>
      <c r="AA639" s="352">
        <f>IF(NFI_Expiration=1,IF($A639&lt;VLOOKUP(J$5,NFI,5,0),1,0)*Table_NFI[[#This Row],[Sanitary Kit]],Table_NFI[Sanitary Kit])</f>
        <v>0</v>
      </c>
      <c r="AB639" s="352">
        <f>IF(NFI_Expiration=1,IF($A639&lt;VLOOKUP(K$5,NFI,5,0),1,0)*Table_NFI[[#This Row],[Mosquito net]],Table_NFI[Mosquito net])</f>
        <v>0</v>
      </c>
      <c r="AC639" s="352">
        <f>IF(NFI_Expiration=1,IF($A639&lt;VLOOKUP(L$5,NFI,5,0),1,0)*Table_NFI[[#This Row],[Tarpaulin]],Table_NFI[[#This Row],[Tarpaulin]])</f>
        <v>0</v>
      </c>
      <c r="AD639" s="352">
        <f>IF(NFI_Expiration=1,IF($A639&lt;VLOOKUP(M$5,NFI,5,0),1,0)*Table_NFI[[#This Row],[Blanket]],Table_NFI[[#This Row],[Blanket]])</f>
        <v>0</v>
      </c>
      <c r="AE639" s="352">
        <f>IF(NFI_Expiration=1,IF($A639&lt;VLOOKUP(N$5,NFI,5,0),1,0)*Table_NFI[[#This Row],[Kitchen Set]],Table_NFI[Kitchen Set])</f>
        <v>0</v>
      </c>
      <c r="AF639" s="352">
        <f>IF(NFI_Expiration=1,IF($A639&lt;VLOOKUP(O$5,NFI,5,0),1,0)*Table_NFI[[#This Row],[Clothes Kit]],Table_NFI[Clothes Kit])</f>
        <v>0</v>
      </c>
      <c r="AG639" s="352">
        <f>IF(NFI_Expiration=1,IF($A639&lt;VLOOKUP(P$5,NFI,5,0),1,0)*Table_NFI[[#This Row],[Plastic Bucket]],Table_NFI[Plastic Bucket])</f>
        <v>0</v>
      </c>
      <c r="AH639" s="352">
        <f>IF(NFI_Expiration=1,IF($A639&lt;VLOOKUP(Q$5,NFI,5,0),1,0)*Table_NFI[[#This Row],[Plastic Mat]],Table_NFI[Plastic Mat])*IF(Table_NFI[[#This Row],[Distribution Date]]&gt;"2014-04-01",1,2.5)</f>
        <v>0</v>
      </c>
      <c r="AI639" s="352">
        <f>IF(NFI_Expiration=1,IF($A639&lt;VLOOKUP(R$5,NFI,5,0),1,0)*Table_NFI[[#This Row],[Winter Clothes Adult]],Table_NFI[Winter Clothes Adult])</f>
        <v>0</v>
      </c>
      <c r="AJ639" s="352">
        <f>IF(NFI_Expiration=1,IF($A639&lt;VLOOKUP(S$5,NFI,5,0),1,0)*Table_NFI[[#This Row],[Winter Clothes Children]],Table_NFI[Winter Clothes Children])</f>
        <v>0</v>
      </c>
      <c r="AK639" s="352">
        <f>IF(NFI_Expiration=1,IF($A639&lt;VLOOKUP(T$5,NFI,5,0),1,0)*Table_NFI[[#This Row],[Winter Items Other]],Table_NFI[Winter Items Other])</f>
        <v>0</v>
      </c>
      <c r="AL639" s="352">
        <f>IF(NFI_Expiration=1,IF($A639&lt;VLOOKUP(M$5,NFI,5,0),1,0)*Table_NFI[[#This Row],[Winter Blanket]],Table_NFI[[#This Row],[Winter Blanket]])</f>
        <v>0</v>
      </c>
      <c r="AM639" s="352">
        <f>IF(Table_NFI[[#This Row],[Winter Clothes Adult]]+Table_NFI[[#This Row],[Winter Clothes Children]]+Table_NFI[[#This Row],[Winter Items Other]]+Table_NFI[[#This Row],[Winter Blanket]]&gt;0,1,0)</f>
        <v>1</v>
      </c>
      <c r="AN639" s="392">
        <f>IF(NFI_Expiration=1,IF($A639&lt;VLOOKUP(V$5,NFI,5,0),1,0)*Table_NFI[[#This Row],[Jerry Can]],Table_NFI[Jerry Can])</f>
        <v>0</v>
      </c>
      <c r="AO639" s="540" t="str">
        <f>IFERROR(VLOOKUP(Table_NFI[[#This Row],[Camp Name]],CL,2,0),"")</f>
        <v>MMR001CMP192</v>
      </c>
      <c r="AP639" s="535">
        <f ca="1">IF(Table_NFI[[#This Row],[Pcode]]="","",IF(OFFSET(CampList[Opening Date],MATCH(Table_NFI[[#This Row],[Pcode]],CampList[CP_Pcode],0)-1,0,1,1)&gt;=NFI_Monitor_Date,1,0))</f>
        <v>0</v>
      </c>
      <c r="AQ639" s="540" t="str">
        <f>IFERROR(VLOOKUP(Table_NFI[[#This Row],[Camp Name]],CL,3,0),"")</f>
        <v>Open</v>
      </c>
      <c r="AR639" s="352" t="str">
        <f ca="1">IF(Table_NFI[[#This Row],[Pcode]]="","",OFFSET(CampList[Priority],MATCH(Table_NFI[[#This Row],[Pcode]],CampList[CP_Pcode],0)-1,0,1,1))</f>
        <v>P4</v>
      </c>
      <c r="AS639" s="351">
        <f>IFERROR(Table_NFI[[#This Row],[Kitchen Set]]/VLOOKUP(Table_NFI[[#This Row],[Camp Name]],CL,4,0),"")</f>
        <v>0</v>
      </c>
      <c r="AT639" s="533"/>
      <c r="AU639" s="536"/>
    </row>
    <row r="640" spans="1:47" ht="14.45" customHeight="1" x14ac:dyDescent="0.25">
      <c r="A640" s="355">
        <f t="shared" si="9"/>
        <v>42.06666666666667</v>
      </c>
      <c r="B640" s="532">
        <v>41309</v>
      </c>
      <c r="C640" s="533" t="s">
        <v>453</v>
      </c>
      <c r="D640" s="534" t="s">
        <v>453</v>
      </c>
      <c r="E640" s="533" t="s">
        <v>380</v>
      </c>
      <c r="F640" s="348" t="s">
        <v>237</v>
      </c>
      <c r="G640" s="348" t="s">
        <v>273</v>
      </c>
      <c r="H640" s="349"/>
      <c r="I640" s="349"/>
      <c r="J640" s="349">
        <v>5</v>
      </c>
      <c r="K640" s="349">
        <v>8</v>
      </c>
      <c r="L640" s="350">
        <v>5</v>
      </c>
      <c r="M640" s="350">
        <v>8</v>
      </c>
      <c r="N640" s="350">
        <v>5</v>
      </c>
      <c r="O640" s="350">
        <v>5</v>
      </c>
      <c r="P640" s="352">
        <v>5</v>
      </c>
      <c r="Q640" s="352">
        <v>5</v>
      </c>
      <c r="R640" s="352"/>
      <c r="S640" s="352"/>
      <c r="T640" s="352"/>
      <c r="U640" s="352"/>
      <c r="V640" s="497"/>
      <c r="W640" s="352"/>
      <c r="X640" s="352"/>
      <c r="Y640" s="352">
        <f>IF(NFI_Expiration=1,IF($A640&lt;VLOOKUP(H$5,NFI,5,0),1,0)*Table_NFI[[#This Row],[Hygiene Kit]],Table_NFI[Hygiene Kit])</f>
        <v>0</v>
      </c>
      <c r="Z640" s="352">
        <f>IF(NFI_Expiration=1,IF($A640&lt;VLOOKUP(I$5,NFI,5,0),1,0)*Table_NFI[[#This Row],[NFI Core Kit]],Table_NFI[NFI Core Kit])</f>
        <v>0</v>
      </c>
      <c r="AA640" s="352">
        <f>IF(NFI_Expiration=1,IF($A640&lt;VLOOKUP(J$5,NFI,5,0),1,0)*Table_NFI[[#This Row],[Sanitary Kit]],Table_NFI[Sanitary Kit])</f>
        <v>0</v>
      </c>
      <c r="AB640" s="352">
        <f>IF(NFI_Expiration=1,IF($A640&lt;VLOOKUP(K$5,NFI,5,0),1,0)*Table_NFI[[#This Row],[Mosquito net]],Table_NFI[Mosquito net])</f>
        <v>0</v>
      </c>
      <c r="AC640" s="352">
        <f>IF(NFI_Expiration=1,IF($A640&lt;VLOOKUP(L$5,NFI,5,0),1,0)*Table_NFI[[#This Row],[Tarpaulin]],Table_NFI[[#This Row],[Tarpaulin]])</f>
        <v>0</v>
      </c>
      <c r="AD640" s="352">
        <f>IF(NFI_Expiration=1,IF($A640&lt;VLOOKUP(M$5,NFI,5,0),1,0)*Table_NFI[[#This Row],[Blanket]],Table_NFI[[#This Row],[Blanket]])</f>
        <v>0</v>
      </c>
      <c r="AE640" s="352">
        <f>IF(NFI_Expiration=1,IF($A640&lt;VLOOKUP(N$5,NFI,5,0),1,0)*Table_NFI[[#This Row],[Kitchen Set]],Table_NFI[Kitchen Set])</f>
        <v>0</v>
      </c>
      <c r="AF640" s="352">
        <f>IF(NFI_Expiration=1,IF($A640&lt;VLOOKUP(O$5,NFI,5,0),1,0)*Table_NFI[[#This Row],[Clothes Kit]],Table_NFI[Clothes Kit])</f>
        <v>0</v>
      </c>
      <c r="AG640" s="352">
        <f>IF(NFI_Expiration=1,IF($A640&lt;VLOOKUP(P$5,NFI,5,0),1,0)*Table_NFI[[#This Row],[Plastic Bucket]],Table_NFI[Plastic Bucket])</f>
        <v>0</v>
      </c>
      <c r="AH640" s="352">
        <f>IF(NFI_Expiration=1,IF($A640&lt;VLOOKUP(Q$5,NFI,5,0),1,0)*Table_NFI[[#This Row],[Plastic Mat]],Table_NFI[Plastic Mat])*IF(Table_NFI[[#This Row],[Distribution Date]]&gt;"2014-04-01",1,2.5)</f>
        <v>0</v>
      </c>
      <c r="AI640" s="352">
        <f>IF(NFI_Expiration=1,IF($A640&lt;VLOOKUP(R$5,NFI,5,0),1,0)*Table_NFI[[#This Row],[Winter Clothes Adult]],Table_NFI[Winter Clothes Adult])</f>
        <v>0</v>
      </c>
      <c r="AJ640" s="352">
        <f>IF(NFI_Expiration=1,IF($A640&lt;VLOOKUP(S$5,NFI,5,0),1,0)*Table_NFI[[#This Row],[Winter Clothes Children]],Table_NFI[Winter Clothes Children])</f>
        <v>0</v>
      </c>
      <c r="AK640" s="352">
        <f>IF(NFI_Expiration=1,IF($A640&lt;VLOOKUP(T$5,NFI,5,0),1,0)*Table_NFI[[#This Row],[Winter Items Other]],Table_NFI[Winter Items Other])</f>
        <v>0</v>
      </c>
      <c r="AL640" s="352">
        <f>IF(NFI_Expiration=1,IF($A640&lt;VLOOKUP(M$5,NFI,5,0),1,0)*Table_NFI[[#This Row],[Winter Blanket]],Table_NFI[[#This Row],[Winter Blanket]])</f>
        <v>0</v>
      </c>
      <c r="AM640" s="352">
        <f>IF(Table_NFI[[#This Row],[Winter Clothes Adult]]+Table_NFI[[#This Row],[Winter Clothes Children]]+Table_NFI[[#This Row],[Winter Items Other]]+Table_NFI[[#This Row],[Winter Blanket]]&gt;0,1,0)</f>
        <v>0</v>
      </c>
      <c r="AN640" s="392">
        <f>IF(NFI_Expiration=1,IF($A640&lt;VLOOKUP(V$5,NFI,5,0),1,0)*Table_NFI[[#This Row],[Jerry Can]],Table_NFI[Jerry Can])</f>
        <v>0</v>
      </c>
      <c r="AO640" s="540" t="str">
        <f>IFERROR(VLOOKUP(Table_NFI[[#This Row],[Camp Name]],CL,2,0),"")</f>
        <v>MMR001CMP162</v>
      </c>
      <c r="AP640" s="535">
        <f ca="1">IF(Table_NFI[[#This Row],[Pcode]]="","",IF(OFFSET(CampList[Opening Date],MATCH(Table_NFI[[#This Row],[Pcode]],CampList[CP_Pcode],0)-1,0,1,1)&gt;=NFI_Monitor_Date,1,0))</f>
        <v>0</v>
      </c>
      <c r="AQ640" s="540" t="str">
        <f>IFERROR(VLOOKUP(Table_NFI[[#This Row],[Camp Name]],CL,3,0),"")</f>
        <v>Open</v>
      </c>
      <c r="AR640" s="352" t="str">
        <f ca="1">IF(Table_NFI[[#This Row],[Pcode]]="","",OFFSET(CampList[Priority],MATCH(Table_NFI[[#This Row],[Pcode]],CampList[CP_Pcode],0)-1,0,1,1))</f>
        <v>P4</v>
      </c>
      <c r="AS640" s="351">
        <f>IFERROR(Table_NFI[[#This Row],[Kitchen Set]]/VLOOKUP(Table_NFI[[#This Row],[Camp Name]],CL,4,0),"")</f>
        <v>0.11363636363636363</v>
      </c>
      <c r="AT640" s="533" t="s">
        <v>1094</v>
      </c>
      <c r="AU640" s="536"/>
    </row>
    <row r="641" spans="1:47" ht="14.45" customHeight="1" x14ac:dyDescent="0.25">
      <c r="A641" s="355">
        <f t="shared" si="9"/>
        <v>43.56666666666667</v>
      </c>
      <c r="B641" s="532">
        <v>41264</v>
      </c>
      <c r="C641" s="533" t="s">
        <v>453</v>
      </c>
      <c r="D641" s="533" t="s">
        <v>453</v>
      </c>
      <c r="E641" s="533" t="s">
        <v>380</v>
      </c>
      <c r="F641" s="533" t="s">
        <v>5</v>
      </c>
      <c r="G641" s="348" t="s">
        <v>18</v>
      </c>
      <c r="H641" s="349"/>
      <c r="I641" s="349"/>
      <c r="J641" s="349"/>
      <c r="K641" s="349">
        <v>0</v>
      </c>
      <c r="L641" s="350">
        <v>12</v>
      </c>
      <c r="M641" s="350">
        <v>0</v>
      </c>
      <c r="N641" s="350">
        <v>12</v>
      </c>
      <c r="O641" s="350">
        <v>12</v>
      </c>
      <c r="P641" s="352">
        <v>12</v>
      </c>
      <c r="Q641" s="352">
        <v>12</v>
      </c>
      <c r="R641" s="352"/>
      <c r="S641" s="352"/>
      <c r="T641" s="352"/>
      <c r="U641" s="352"/>
      <c r="V641" s="497"/>
      <c r="W641" s="352"/>
      <c r="X641" s="352"/>
      <c r="Y641" s="352">
        <f>IF(NFI_Expiration=1,IF($A641&lt;VLOOKUP(H$5,NFI,5,0),1,0)*Table_NFI[[#This Row],[Hygiene Kit]],Table_NFI[Hygiene Kit])</f>
        <v>0</v>
      </c>
      <c r="Z641" s="352">
        <f>IF(NFI_Expiration=1,IF($A641&lt;VLOOKUP(I$5,NFI,5,0),1,0)*Table_NFI[[#This Row],[NFI Core Kit]],Table_NFI[NFI Core Kit])</f>
        <v>0</v>
      </c>
      <c r="AA641" s="352">
        <f>IF(NFI_Expiration=1,IF($A641&lt;VLOOKUP(J$5,NFI,5,0),1,0)*Table_NFI[[#This Row],[Sanitary Kit]],Table_NFI[Sanitary Kit])</f>
        <v>0</v>
      </c>
      <c r="AB641" s="352">
        <f>IF(NFI_Expiration=1,IF($A641&lt;VLOOKUP(K$5,NFI,5,0),1,0)*Table_NFI[[#This Row],[Mosquito net]],Table_NFI[Mosquito net])</f>
        <v>0</v>
      </c>
      <c r="AC641" s="352">
        <f>IF(NFI_Expiration=1,IF($A641&lt;VLOOKUP(L$5,NFI,5,0),1,0)*Table_NFI[[#This Row],[Tarpaulin]],Table_NFI[[#This Row],[Tarpaulin]])</f>
        <v>0</v>
      </c>
      <c r="AD641" s="352">
        <f>IF(NFI_Expiration=1,IF($A641&lt;VLOOKUP(M$5,NFI,5,0),1,0)*Table_NFI[[#This Row],[Blanket]],Table_NFI[[#This Row],[Blanket]])</f>
        <v>0</v>
      </c>
      <c r="AE641" s="352">
        <f>IF(NFI_Expiration=1,IF($A641&lt;VLOOKUP(N$5,NFI,5,0),1,0)*Table_NFI[[#This Row],[Kitchen Set]],Table_NFI[Kitchen Set])</f>
        <v>0</v>
      </c>
      <c r="AF641" s="352">
        <f>IF(NFI_Expiration=1,IF($A641&lt;VLOOKUP(O$5,NFI,5,0),1,0)*Table_NFI[[#This Row],[Clothes Kit]],Table_NFI[Clothes Kit])</f>
        <v>0</v>
      </c>
      <c r="AG641" s="352">
        <f>IF(NFI_Expiration=1,IF($A641&lt;VLOOKUP(P$5,NFI,5,0),1,0)*Table_NFI[[#This Row],[Plastic Bucket]],Table_NFI[Plastic Bucket])</f>
        <v>0</v>
      </c>
      <c r="AH641" s="352">
        <f>IF(NFI_Expiration=1,IF($A641&lt;VLOOKUP(Q$5,NFI,5,0),1,0)*Table_NFI[[#This Row],[Plastic Mat]],Table_NFI[Plastic Mat])*IF(Table_NFI[[#This Row],[Distribution Date]]&gt;"2014-04-01",1,2.5)</f>
        <v>0</v>
      </c>
      <c r="AI641" s="352">
        <f>IF(NFI_Expiration=1,IF($A641&lt;VLOOKUP(R$5,NFI,5,0),1,0)*Table_NFI[[#This Row],[Winter Clothes Adult]],Table_NFI[Winter Clothes Adult])</f>
        <v>0</v>
      </c>
      <c r="AJ641" s="352">
        <f>IF(NFI_Expiration=1,IF($A641&lt;VLOOKUP(S$5,NFI,5,0),1,0)*Table_NFI[[#This Row],[Winter Clothes Children]],Table_NFI[Winter Clothes Children])</f>
        <v>0</v>
      </c>
      <c r="AK641" s="352">
        <f>IF(NFI_Expiration=1,IF($A641&lt;VLOOKUP(T$5,NFI,5,0),1,0)*Table_NFI[[#This Row],[Winter Items Other]],Table_NFI[Winter Items Other])</f>
        <v>0</v>
      </c>
      <c r="AL641" s="352">
        <f>IF(NFI_Expiration=1,IF($A641&lt;VLOOKUP(M$5,NFI,5,0),1,0)*Table_NFI[[#This Row],[Winter Blanket]],Table_NFI[[#This Row],[Winter Blanket]])</f>
        <v>0</v>
      </c>
      <c r="AM641" s="352">
        <f>IF(Table_NFI[[#This Row],[Winter Clothes Adult]]+Table_NFI[[#This Row],[Winter Clothes Children]]+Table_NFI[[#This Row],[Winter Items Other]]+Table_NFI[[#This Row],[Winter Blanket]]&gt;0,1,0)</f>
        <v>0</v>
      </c>
      <c r="AN641" s="392">
        <f>IF(NFI_Expiration=1,IF($A641&lt;VLOOKUP(V$5,NFI,5,0),1,0)*Table_NFI[[#This Row],[Jerry Can]],Table_NFI[Jerry Can])</f>
        <v>0</v>
      </c>
      <c r="AO641" s="540" t="str">
        <f>IFERROR(VLOOKUP(Table_NFI[[#This Row],[Camp Name]],CL,2,0),"")</f>
        <v>MMR001CMP049</v>
      </c>
      <c r="AP641" s="535">
        <f ca="1">IF(Table_NFI[[#This Row],[Pcode]]="","",IF(OFFSET(CampList[Opening Date],MATCH(Table_NFI[[#This Row],[Pcode]],CampList[CP_Pcode],0)-1,0,1,1)&gt;=NFI_Monitor_Date,1,0))</f>
        <v>0</v>
      </c>
      <c r="AQ641" s="540" t="str">
        <f>IFERROR(VLOOKUP(Table_NFI[[#This Row],[Camp Name]],CL,3,0),"")</f>
        <v>Open</v>
      </c>
      <c r="AR641" s="352" t="str">
        <f ca="1">IF(Table_NFI[[#This Row],[Pcode]]="","",OFFSET(CampList[Priority],MATCH(Table_NFI[[#This Row],[Pcode]],CampList[CP_Pcode],0)-1,0,1,1))</f>
        <v>P4</v>
      </c>
      <c r="AS641" s="351">
        <f>IFERROR(Table_NFI[[#This Row],[Kitchen Set]]/VLOOKUP(Table_NFI[[#This Row],[Camp Name]],CL,4,0),"")</f>
        <v>0.10344827586206896</v>
      </c>
      <c r="AT641" s="533" t="s">
        <v>1094</v>
      </c>
      <c r="AU641" s="536"/>
    </row>
    <row r="642" spans="1:47" ht="14.45" customHeight="1" x14ac:dyDescent="0.25">
      <c r="A642" s="355">
        <f t="shared" si="9"/>
        <v>43.56666666666667</v>
      </c>
      <c r="B642" s="532">
        <v>41264</v>
      </c>
      <c r="C642" s="533" t="s">
        <v>453</v>
      </c>
      <c r="D642" s="534" t="s">
        <v>453</v>
      </c>
      <c r="E642" s="533" t="s">
        <v>380</v>
      </c>
      <c r="F642" s="348" t="s">
        <v>5</v>
      </c>
      <c r="G642" s="348" t="s">
        <v>22</v>
      </c>
      <c r="H642" s="349"/>
      <c r="I642" s="349"/>
      <c r="J642" s="349"/>
      <c r="K642" s="349">
        <v>0</v>
      </c>
      <c r="L642" s="350">
        <v>0</v>
      </c>
      <c r="M642" s="350">
        <v>73</v>
      </c>
      <c r="N642" s="350">
        <v>0</v>
      </c>
      <c r="O642" s="350">
        <v>0</v>
      </c>
      <c r="P642" s="352"/>
      <c r="Q642" s="352"/>
      <c r="R642" s="352"/>
      <c r="S642" s="352"/>
      <c r="T642" s="352"/>
      <c r="U642" s="352"/>
      <c r="V642" s="497"/>
      <c r="W642" s="352"/>
      <c r="X642" s="352"/>
      <c r="Y642" s="352">
        <f>IF(NFI_Expiration=1,IF($A642&lt;VLOOKUP(H$5,NFI,5,0),1,0)*Table_NFI[[#This Row],[Hygiene Kit]],Table_NFI[Hygiene Kit])</f>
        <v>0</v>
      </c>
      <c r="Z642" s="352">
        <f>IF(NFI_Expiration=1,IF($A642&lt;VLOOKUP(I$5,NFI,5,0),1,0)*Table_NFI[[#This Row],[NFI Core Kit]],Table_NFI[NFI Core Kit])</f>
        <v>0</v>
      </c>
      <c r="AA642" s="352">
        <f>IF(NFI_Expiration=1,IF($A642&lt;VLOOKUP(J$5,NFI,5,0),1,0)*Table_NFI[[#This Row],[Sanitary Kit]],Table_NFI[Sanitary Kit])</f>
        <v>0</v>
      </c>
      <c r="AB642" s="352">
        <f>IF(NFI_Expiration=1,IF($A642&lt;VLOOKUP(K$5,NFI,5,0),1,0)*Table_NFI[[#This Row],[Mosquito net]],Table_NFI[Mosquito net])</f>
        <v>0</v>
      </c>
      <c r="AC642" s="352">
        <f>IF(NFI_Expiration=1,IF($A642&lt;VLOOKUP(L$5,NFI,5,0),1,0)*Table_NFI[[#This Row],[Tarpaulin]],Table_NFI[[#This Row],[Tarpaulin]])</f>
        <v>0</v>
      </c>
      <c r="AD642" s="352">
        <f>IF(NFI_Expiration=1,IF($A642&lt;VLOOKUP(M$5,NFI,5,0),1,0)*Table_NFI[[#This Row],[Blanket]],Table_NFI[[#This Row],[Blanket]])</f>
        <v>0</v>
      </c>
      <c r="AE642" s="352">
        <f>IF(NFI_Expiration=1,IF($A642&lt;VLOOKUP(N$5,NFI,5,0),1,0)*Table_NFI[[#This Row],[Kitchen Set]],Table_NFI[Kitchen Set])</f>
        <v>0</v>
      </c>
      <c r="AF642" s="352">
        <f>IF(NFI_Expiration=1,IF($A642&lt;VLOOKUP(O$5,NFI,5,0),1,0)*Table_NFI[[#This Row],[Clothes Kit]],Table_NFI[Clothes Kit])</f>
        <v>0</v>
      </c>
      <c r="AG642" s="352">
        <f>IF(NFI_Expiration=1,IF($A642&lt;VLOOKUP(P$5,NFI,5,0),1,0)*Table_NFI[[#This Row],[Plastic Bucket]],Table_NFI[Plastic Bucket])</f>
        <v>0</v>
      </c>
      <c r="AH642" s="352">
        <f>IF(NFI_Expiration=1,IF($A642&lt;VLOOKUP(Q$5,NFI,5,0),1,0)*Table_NFI[[#This Row],[Plastic Mat]],Table_NFI[Plastic Mat])*IF(Table_NFI[[#This Row],[Distribution Date]]&gt;"2014-04-01",1,2.5)</f>
        <v>0</v>
      </c>
      <c r="AI642" s="352">
        <f>IF(NFI_Expiration=1,IF($A642&lt;VLOOKUP(R$5,NFI,5,0),1,0)*Table_NFI[[#This Row],[Winter Clothes Adult]],Table_NFI[Winter Clothes Adult])</f>
        <v>0</v>
      </c>
      <c r="AJ642" s="352">
        <f>IF(NFI_Expiration=1,IF($A642&lt;VLOOKUP(S$5,NFI,5,0),1,0)*Table_NFI[[#This Row],[Winter Clothes Children]],Table_NFI[Winter Clothes Children])</f>
        <v>0</v>
      </c>
      <c r="AK642" s="352">
        <f>IF(NFI_Expiration=1,IF($A642&lt;VLOOKUP(T$5,NFI,5,0),1,0)*Table_NFI[[#This Row],[Winter Items Other]],Table_NFI[Winter Items Other])</f>
        <v>0</v>
      </c>
      <c r="AL642" s="352">
        <f>IF(NFI_Expiration=1,IF($A642&lt;VLOOKUP(M$5,NFI,5,0),1,0)*Table_NFI[[#This Row],[Winter Blanket]],Table_NFI[[#This Row],[Winter Blanket]])</f>
        <v>0</v>
      </c>
      <c r="AM642" s="352">
        <f>IF(Table_NFI[[#This Row],[Winter Clothes Adult]]+Table_NFI[[#This Row],[Winter Clothes Children]]+Table_NFI[[#This Row],[Winter Items Other]]+Table_NFI[[#This Row],[Winter Blanket]]&gt;0,1,0)</f>
        <v>0</v>
      </c>
      <c r="AN642" s="392">
        <f>IF(NFI_Expiration=1,IF($A642&lt;VLOOKUP(V$5,NFI,5,0),1,0)*Table_NFI[[#This Row],[Jerry Can]],Table_NFI[Jerry Can])</f>
        <v>0</v>
      </c>
      <c r="AO642" s="540" t="str">
        <f>IFERROR(VLOOKUP(Table_NFI[[#This Row],[Camp Name]],CL,2,0),"")</f>
        <v>MMR001CMP047</v>
      </c>
      <c r="AP642" s="535">
        <f ca="1">IF(Table_NFI[[#This Row],[Pcode]]="","",IF(OFFSET(CampList[Opening Date],MATCH(Table_NFI[[#This Row],[Pcode]],CampList[CP_Pcode],0)-1,0,1,1)&gt;=NFI_Monitor_Date,1,0))</f>
        <v>0</v>
      </c>
      <c r="AQ642" s="540" t="str">
        <f>IFERROR(VLOOKUP(Table_NFI[[#This Row],[Camp Name]],CL,3,0),"")</f>
        <v>Open</v>
      </c>
      <c r="AR642" s="352" t="str">
        <f ca="1">IF(Table_NFI[[#This Row],[Pcode]]="","",OFFSET(CampList[Priority],MATCH(Table_NFI[[#This Row],[Pcode]],CampList[CP_Pcode],0)-1,0,1,1))</f>
        <v>P4</v>
      </c>
      <c r="AS642" s="351">
        <f>IFERROR(Table_NFI[[#This Row],[Kitchen Set]]/VLOOKUP(Table_NFI[[#This Row],[Camp Name]],CL,4,0),"")</f>
        <v>0</v>
      </c>
      <c r="AT642" s="533" t="s">
        <v>1094</v>
      </c>
      <c r="AU642" s="536"/>
    </row>
    <row r="643" spans="1:47" ht="14.45" customHeight="1" x14ac:dyDescent="0.25">
      <c r="A643" s="355">
        <f t="shared" si="9"/>
        <v>43.56666666666667</v>
      </c>
      <c r="B643" s="532">
        <v>41264</v>
      </c>
      <c r="C643" s="533" t="s">
        <v>453</v>
      </c>
      <c r="D643" s="534" t="s">
        <v>453</v>
      </c>
      <c r="E643" s="533" t="s">
        <v>380</v>
      </c>
      <c r="F643" s="348" t="s">
        <v>5</v>
      </c>
      <c r="G643" s="348" t="s">
        <v>22</v>
      </c>
      <c r="H643" s="349"/>
      <c r="I643" s="349"/>
      <c r="J643" s="349"/>
      <c r="K643" s="349">
        <v>24</v>
      </c>
      <c r="L643" s="350">
        <v>12</v>
      </c>
      <c r="M643" s="350">
        <v>24</v>
      </c>
      <c r="N643" s="350">
        <v>12</v>
      </c>
      <c r="O643" s="350">
        <v>12</v>
      </c>
      <c r="P643" s="352">
        <v>12</v>
      </c>
      <c r="Q643" s="352">
        <v>12</v>
      </c>
      <c r="R643" s="352"/>
      <c r="S643" s="352"/>
      <c r="T643" s="352"/>
      <c r="U643" s="352"/>
      <c r="V643" s="497"/>
      <c r="W643" s="352"/>
      <c r="X643" s="352"/>
      <c r="Y643" s="352">
        <f>IF(NFI_Expiration=1,IF($A643&lt;VLOOKUP(H$5,NFI,5,0),1,0)*Table_NFI[[#This Row],[Hygiene Kit]],Table_NFI[Hygiene Kit])</f>
        <v>0</v>
      </c>
      <c r="Z643" s="352">
        <f>IF(NFI_Expiration=1,IF($A643&lt;VLOOKUP(I$5,NFI,5,0),1,0)*Table_NFI[[#This Row],[NFI Core Kit]],Table_NFI[NFI Core Kit])</f>
        <v>0</v>
      </c>
      <c r="AA643" s="352">
        <f>IF(NFI_Expiration=1,IF($A643&lt;VLOOKUP(J$5,NFI,5,0),1,0)*Table_NFI[[#This Row],[Sanitary Kit]],Table_NFI[Sanitary Kit])</f>
        <v>0</v>
      </c>
      <c r="AB643" s="352">
        <f>IF(NFI_Expiration=1,IF($A643&lt;VLOOKUP(K$5,NFI,5,0),1,0)*Table_NFI[[#This Row],[Mosquito net]],Table_NFI[Mosquito net])</f>
        <v>0</v>
      </c>
      <c r="AC643" s="352">
        <f>IF(NFI_Expiration=1,IF($A643&lt;VLOOKUP(L$5,NFI,5,0),1,0)*Table_NFI[[#This Row],[Tarpaulin]],Table_NFI[[#This Row],[Tarpaulin]])</f>
        <v>0</v>
      </c>
      <c r="AD643" s="352">
        <f>IF(NFI_Expiration=1,IF($A643&lt;VLOOKUP(M$5,NFI,5,0),1,0)*Table_NFI[[#This Row],[Blanket]],Table_NFI[[#This Row],[Blanket]])</f>
        <v>0</v>
      </c>
      <c r="AE643" s="352">
        <f>IF(NFI_Expiration=1,IF($A643&lt;VLOOKUP(N$5,NFI,5,0),1,0)*Table_NFI[[#This Row],[Kitchen Set]],Table_NFI[Kitchen Set])</f>
        <v>0</v>
      </c>
      <c r="AF643" s="352">
        <f>IF(NFI_Expiration=1,IF($A643&lt;VLOOKUP(O$5,NFI,5,0),1,0)*Table_NFI[[#This Row],[Clothes Kit]],Table_NFI[Clothes Kit])</f>
        <v>0</v>
      </c>
      <c r="AG643" s="352">
        <f>IF(NFI_Expiration=1,IF($A643&lt;VLOOKUP(P$5,NFI,5,0),1,0)*Table_NFI[[#This Row],[Plastic Bucket]],Table_NFI[Plastic Bucket])</f>
        <v>0</v>
      </c>
      <c r="AH643" s="352">
        <f>IF(NFI_Expiration=1,IF($A643&lt;VLOOKUP(Q$5,NFI,5,0),1,0)*Table_NFI[[#This Row],[Plastic Mat]],Table_NFI[Plastic Mat])*IF(Table_NFI[[#This Row],[Distribution Date]]&gt;"2014-04-01",1,2.5)</f>
        <v>0</v>
      </c>
      <c r="AI643" s="352">
        <f>IF(NFI_Expiration=1,IF($A643&lt;VLOOKUP(R$5,NFI,5,0),1,0)*Table_NFI[[#This Row],[Winter Clothes Adult]],Table_NFI[Winter Clothes Adult])</f>
        <v>0</v>
      </c>
      <c r="AJ643" s="352">
        <f>IF(NFI_Expiration=1,IF($A643&lt;VLOOKUP(S$5,NFI,5,0),1,0)*Table_NFI[[#This Row],[Winter Clothes Children]],Table_NFI[Winter Clothes Children])</f>
        <v>0</v>
      </c>
      <c r="AK643" s="352">
        <f>IF(NFI_Expiration=1,IF($A643&lt;VLOOKUP(T$5,NFI,5,0),1,0)*Table_NFI[[#This Row],[Winter Items Other]],Table_NFI[Winter Items Other])</f>
        <v>0</v>
      </c>
      <c r="AL643" s="352">
        <f>IF(NFI_Expiration=1,IF($A643&lt;VLOOKUP(M$5,NFI,5,0),1,0)*Table_NFI[[#This Row],[Winter Blanket]],Table_NFI[[#This Row],[Winter Blanket]])</f>
        <v>0</v>
      </c>
      <c r="AM643" s="352">
        <f>IF(Table_NFI[[#This Row],[Winter Clothes Adult]]+Table_NFI[[#This Row],[Winter Clothes Children]]+Table_NFI[[#This Row],[Winter Items Other]]+Table_NFI[[#This Row],[Winter Blanket]]&gt;0,1,0)</f>
        <v>0</v>
      </c>
      <c r="AN643" s="392">
        <f>IF(NFI_Expiration=1,IF($A643&lt;VLOOKUP(V$5,NFI,5,0),1,0)*Table_NFI[[#This Row],[Jerry Can]],Table_NFI[Jerry Can])</f>
        <v>0</v>
      </c>
      <c r="AO643" s="540" t="str">
        <f>IFERROR(VLOOKUP(Table_NFI[[#This Row],[Camp Name]],CL,2,0),"")</f>
        <v>MMR001CMP047</v>
      </c>
      <c r="AP643" s="535">
        <f ca="1">IF(Table_NFI[[#This Row],[Pcode]]="","",IF(OFFSET(CampList[Opening Date],MATCH(Table_NFI[[#This Row],[Pcode]],CampList[CP_Pcode],0)-1,0,1,1)&gt;=NFI_Monitor_Date,1,0))</f>
        <v>0</v>
      </c>
      <c r="AQ643" s="540" t="str">
        <f>IFERROR(VLOOKUP(Table_NFI[[#This Row],[Camp Name]],CL,3,0),"")</f>
        <v>Open</v>
      </c>
      <c r="AR643" s="352" t="str">
        <f ca="1">IF(Table_NFI[[#This Row],[Pcode]]="","",OFFSET(CampList[Priority],MATCH(Table_NFI[[#This Row],[Pcode]],CampList[CP_Pcode],0)-1,0,1,1))</f>
        <v>P4</v>
      </c>
      <c r="AS643" s="351">
        <f>IFERROR(Table_NFI[[#This Row],[Kitchen Set]]/VLOOKUP(Table_NFI[[#This Row],[Camp Name]],CL,4,0),"")</f>
        <v>1.9077901430842606E-2</v>
      </c>
      <c r="AT643" s="533" t="s">
        <v>1094</v>
      </c>
      <c r="AU643" s="536"/>
    </row>
    <row r="644" spans="1:47" ht="14.45" hidden="1" customHeight="1" x14ac:dyDescent="0.25">
      <c r="A644" s="355">
        <f t="shared" si="9"/>
        <v>43.233333333333334</v>
      </c>
      <c r="B644" s="532">
        <v>41274</v>
      </c>
      <c r="C644" s="533" t="s">
        <v>454</v>
      </c>
      <c r="D644" s="534" t="s">
        <v>454</v>
      </c>
      <c r="E644" s="533" t="s">
        <v>380</v>
      </c>
      <c r="F644" s="348" t="s">
        <v>528</v>
      </c>
      <c r="G644" s="348" t="s">
        <v>612</v>
      </c>
      <c r="H644" s="349">
        <v>32</v>
      </c>
      <c r="I644" s="349"/>
      <c r="J644" s="349"/>
      <c r="K644" s="349"/>
      <c r="L644" s="350"/>
      <c r="M644" s="350"/>
      <c r="N644" s="350"/>
      <c r="O644" s="350"/>
      <c r="P644" s="352">
        <v>0</v>
      </c>
      <c r="Q644" s="352">
        <v>0</v>
      </c>
      <c r="R644" s="352"/>
      <c r="S644" s="352"/>
      <c r="T644" s="352"/>
      <c r="U644" s="352"/>
      <c r="V644" s="497"/>
      <c r="W644" s="352"/>
      <c r="X644" s="352"/>
      <c r="Y644" s="352">
        <f>IF(NFI_Expiration=1,IF($A644&lt;VLOOKUP(H$5,NFI,5,0),1,0)*Table_NFI[[#This Row],[Hygiene Kit]],Table_NFI[Hygiene Kit])</f>
        <v>0</v>
      </c>
      <c r="Z644" s="352">
        <f>IF(NFI_Expiration=1,IF($A644&lt;VLOOKUP(I$5,NFI,5,0),1,0)*Table_NFI[[#This Row],[NFI Core Kit]],Table_NFI[NFI Core Kit])</f>
        <v>0</v>
      </c>
      <c r="AA644" s="352">
        <f>IF(NFI_Expiration=1,IF($A644&lt;VLOOKUP(J$5,NFI,5,0),1,0)*Table_NFI[[#This Row],[Sanitary Kit]],Table_NFI[Sanitary Kit])</f>
        <v>0</v>
      </c>
      <c r="AB644" s="352">
        <f>IF(NFI_Expiration=1,IF($A644&lt;VLOOKUP(K$5,NFI,5,0),1,0)*Table_NFI[[#This Row],[Mosquito net]],Table_NFI[Mosquito net])</f>
        <v>0</v>
      </c>
      <c r="AC644" s="352">
        <f>IF(NFI_Expiration=1,IF($A644&lt;VLOOKUP(L$5,NFI,5,0),1,0)*Table_NFI[[#This Row],[Tarpaulin]],Table_NFI[[#This Row],[Tarpaulin]])</f>
        <v>0</v>
      </c>
      <c r="AD644" s="352">
        <f>IF(NFI_Expiration=1,IF($A644&lt;VLOOKUP(M$5,NFI,5,0),1,0)*Table_NFI[[#This Row],[Blanket]],Table_NFI[[#This Row],[Blanket]])</f>
        <v>0</v>
      </c>
      <c r="AE644" s="352">
        <f>IF(NFI_Expiration=1,IF($A644&lt;VLOOKUP(N$5,NFI,5,0),1,0)*Table_NFI[[#This Row],[Kitchen Set]],Table_NFI[Kitchen Set])</f>
        <v>0</v>
      </c>
      <c r="AF644" s="352">
        <f>IF(NFI_Expiration=1,IF($A644&lt;VLOOKUP(O$5,NFI,5,0),1,0)*Table_NFI[[#This Row],[Clothes Kit]],Table_NFI[Clothes Kit])</f>
        <v>0</v>
      </c>
      <c r="AG644" s="352">
        <f>IF(NFI_Expiration=1,IF($A644&lt;VLOOKUP(P$5,NFI,5,0),1,0)*Table_NFI[[#This Row],[Plastic Bucket]],Table_NFI[Plastic Bucket])</f>
        <v>0</v>
      </c>
      <c r="AH644" s="352">
        <f>IF(NFI_Expiration=1,IF($A644&lt;VLOOKUP(Q$5,NFI,5,0),1,0)*Table_NFI[[#This Row],[Plastic Mat]],Table_NFI[Plastic Mat])*IF(Table_NFI[[#This Row],[Distribution Date]]&gt;"2014-04-01",1,2.5)</f>
        <v>0</v>
      </c>
      <c r="AI644" s="352">
        <f>IF(NFI_Expiration=1,IF($A644&lt;VLOOKUP(R$5,NFI,5,0),1,0)*Table_NFI[[#This Row],[Winter Clothes Adult]],Table_NFI[Winter Clothes Adult])</f>
        <v>0</v>
      </c>
      <c r="AJ644" s="352">
        <f>IF(NFI_Expiration=1,IF($A644&lt;VLOOKUP(S$5,NFI,5,0),1,0)*Table_NFI[[#This Row],[Winter Clothes Children]],Table_NFI[Winter Clothes Children])</f>
        <v>0</v>
      </c>
      <c r="AK644" s="352">
        <f>IF(NFI_Expiration=1,IF($A644&lt;VLOOKUP(T$5,NFI,5,0),1,0)*Table_NFI[[#This Row],[Winter Items Other]],Table_NFI[Winter Items Other])</f>
        <v>0</v>
      </c>
      <c r="AL644" s="352">
        <f>IF(NFI_Expiration=1,IF($A644&lt;VLOOKUP(M$5,NFI,5,0),1,0)*Table_NFI[[#This Row],[Winter Blanket]],Table_NFI[[#This Row],[Winter Blanket]])</f>
        <v>0</v>
      </c>
      <c r="AM644" s="352">
        <f>IF(Table_NFI[[#This Row],[Winter Clothes Adult]]+Table_NFI[[#This Row],[Winter Clothes Children]]+Table_NFI[[#This Row],[Winter Items Other]]+Table_NFI[[#This Row],[Winter Blanket]]&gt;0,1,0)</f>
        <v>0</v>
      </c>
      <c r="AN644" s="392">
        <f>IF(NFI_Expiration=1,IF($A644&lt;VLOOKUP(V$5,NFI,5,0),1,0)*Table_NFI[[#This Row],[Jerry Can]],Table_NFI[Jerry Can])</f>
        <v>0</v>
      </c>
      <c r="AO644" s="540" t="str">
        <f>IFERROR(VLOOKUP(Table_NFI[[#This Row],[Camp Name]],CL,2,0),"")</f>
        <v>MMR001CMP192</v>
      </c>
      <c r="AP644" s="535">
        <f ca="1">IF(Table_NFI[[#This Row],[Pcode]]="","",IF(OFFSET(CampList[Opening Date],MATCH(Table_NFI[[#This Row],[Pcode]],CampList[CP_Pcode],0)-1,0,1,1)&gt;=NFI_Monitor_Date,1,0))</f>
        <v>0</v>
      </c>
      <c r="AQ644" s="540" t="str">
        <f>IFERROR(VLOOKUP(Table_NFI[[#This Row],[Camp Name]],CL,3,0),"")</f>
        <v>Open</v>
      </c>
      <c r="AR644" s="352" t="str">
        <f ca="1">IF(Table_NFI[[#This Row],[Pcode]]="","",OFFSET(CampList[Priority],MATCH(Table_NFI[[#This Row],[Pcode]],CampList[CP_Pcode],0)-1,0,1,1))</f>
        <v>P4</v>
      </c>
      <c r="AS644" s="351">
        <f>IFERROR(Table_NFI[[#This Row],[Kitchen Set]]/VLOOKUP(Table_NFI[[#This Row],[Camp Name]],CL,4,0),"")</f>
        <v>0</v>
      </c>
      <c r="AT644" s="533" t="s">
        <v>1094</v>
      </c>
      <c r="AU644" s="536"/>
    </row>
    <row r="645" spans="1:47" ht="14.45" customHeight="1" x14ac:dyDescent="0.25">
      <c r="A645" s="355">
        <f t="shared" si="9"/>
        <v>43.56666666666667</v>
      </c>
      <c r="B645" s="532">
        <v>41264</v>
      </c>
      <c r="C645" s="533" t="s">
        <v>453</v>
      </c>
      <c r="D645" s="534" t="s">
        <v>453</v>
      </c>
      <c r="E645" s="533" t="s">
        <v>380</v>
      </c>
      <c r="F645" s="348" t="s">
        <v>302</v>
      </c>
      <c r="G645" s="348" t="s">
        <v>306</v>
      </c>
      <c r="H645" s="349"/>
      <c r="I645" s="349"/>
      <c r="J645" s="349"/>
      <c r="K645" s="349">
        <v>0</v>
      </c>
      <c r="L645" s="350">
        <v>0</v>
      </c>
      <c r="M645" s="350">
        <v>83</v>
      </c>
      <c r="N645" s="350">
        <v>0</v>
      </c>
      <c r="O645" s="350">
        <v>0</v>
      </c>
      <c r="P645" s="352"/>
      <c r="Q645" s="352"/>
      <c r="R645" s="352"/>
      <c r="S645" s="352"/>
      <c r="T645" s="352"/>
      <c r="U645" s="352"/>
      <c r="V645" s="497"/>
      <c r="W645" s="352"/>
      <c r="X645" s="352"/>
      <c r="Y645" s="352">
        <f>IF(NFI_Expiration=1,IF($A645&lt;VLOOKUP(H$5,NFI,5,0),1,0)*Table_NFI[[#This Row],[Hygiene Kit]],Table_NFI[Hygiene Kit])</f>
        <v>0</v>
      </c>
      <c r="Z645" s="352">
        <f>IF(NFI_Expiration=1,IF($A645&lt;VLOOKUP(I$5,NFI,5,0),1,0)*Table_NFI[[#This Row],[NFI Core Kit]],Table_NFI[NFI Core Kit])</f>
        <v>0</v>
      </c>
      <c r="AA645" s="352">
        <f>IF(NFI_Expiration=1,IF($A645&lt;VLOOKUP(J$5,NFI,5,0),1,0)*Table_NFI[[#This Row],[Sanitary Kit]],Table_NFI[Sanitary Kit])</f>
        <v>0</v>
      </c>
      <c r="AB645" s="352">
        <f>IF(NFI_Expiration=1,IF($A645&lt;VLOOKUP(K$5,NFI,5,0),1,0)*Table_NFI[[#This Row],[Mosquito net]],Table_NFI[Mosquito net])</f>
        <v>0</v>
      </c>
      <c r="AC645" s="352">
        <f>IF(NFI_Expiration=1,IF($A645&lt;VLOOKUP(L$5,NFI,5,0),1,0)*Table_NFI[[#This Row],[Tarpaulin]],Table_NFI[[#This Row],[Tarpaulin]])</f>
        <v>0</v>
      </c>
      <c r="AD645" s="352">
        <f>IF(NFI_Expiration=1,IF($A645&lt;VLOOKUP(M$5,NFI,5,0),1,0)*Table_NFI[[#This Row],[Blanket]],Table_NFI[[#This Row],[Blanket]])</f>
        <v>0</v>
      </c>
      <c r="AE645" s="352">
        <f>IF(NFI_Expiration=1,IF($A645&lt;VLOOKUP(N$5,NFI,5,0),1,0)*Table_NFI[[#This Row],[Kitchen Set]],Table_NFI[Kitchen Set])</f>
        <v>0</v>
      </c>
      <c r="AF645" s="352">
        <f>IF(NFI_Expiration=1,IF($A645&lt;VLOOKUP(O$5,NFI,5,0),1,0)*Table_NFI[[#This Row],[Clothes Kit]],Table_NFI[Clothes Kit])</f>
        <v>0</v>
      </c>
      <c r="AG645" s="352">
        <f>IF(NFI_Expiration=1,IF($A645&lt;VLOOKUP(P$5,NFI,5,0),1,0)*Table_NFI[[#This Row],[Plastic Bucket]],Table_NFI[Plastic Bucket])</f>
        <v>0</v>
      </c>
      <c r="AH645" s="352">
        <f>IF(NFI_Expiration=1,IF($A645&lt;VLOOKUP(Q$5,NFI,5,0),1,0)*Table_NFI[[#This Row],[Plastic Mat]],Table_NFI[Plastic Mat])*IF(Table_NFI[[#This Row],[Distribution Date]]&gt;"2014-04-01",1,2.5)</f>
        <v>0</v>
      </c>
      <c r="AI645" s="352">
        <f>IF(NFI_Expiration=1,IF($A645&lt;VLOOKUP(R$5,NFI,5,0),1,0)*Table_NFI[[#This Row],[Winter Clothes Adult]],Table_NFI[Winter Clothes Adult])</f>
        <v>0</v>
      </c>
      <c r="AJ645" s="352">
        <f>IF(NFI_Expiration=1,IF($A645&lt;VLOOKUP(S$5,NFI,5,0),1,0)*Table_NFI[[#This Row],[Winter Clothes Children]],Table_NFI[Winter Clothes Children])</f>
        <v>0</v>
      </c>
      <c r="AK645" s="352">
        <f>IF(NFI_Expiration=1,IF($A645&lt;VLOOKUP(T$5,NFI,5,0),1,0)*Table_NFI[[#This Row],[Winter Items Other]],Table_NFI[Winter Items Other])</f>
        <v>0</v>
      </c>
      <c r="AL645" s="352">
        <f>IF(NFI_Expiration=1,IF($A645&lt;VLOOKUP(M$5,NFI,5,0),1,0)*Table_NFI[[#This Row],[Winter Blanket]],Table_NFI[[#This Row],[Winter Blanket]])</f>
        <v>0</v>
      </c>
      <c r="AM645" s="352">
        <f>IF(Table_NFI[[#This Row],[Winter Clothes Adult]]+Table_NFI[[#This Row],[Winter Clothes Children]]+Table_NFI[[#This Row],[Winter Items Other]]+Table_NFI[[#This Row],[Winter Blanket]]&gt;0,1,0)</f>
        <v>0</v>
      </c>
      <c r="AN645" s="392">
        <f>IF(NFI_Expiration=1,IF($A645&lt;VLOOKUP(V$5,NFI,5,0),1,0)*Table_NFI[[#This Row],[Jerry Can]],Table_NFI[Jerry Can])</f>
        <v>0</v>
      </c>
      <c r="AO645" s="540" t="str">
        <f>IFERROR(VLOOKUP(Table_NFI[[#This Row],[Camp Name]],CL,2,0),"")</f>
        <v>MMR001CMP067</v>
      </c>
      <c r="AP645" s="535">
        <f ca="1">IF(Table_NFI[[#This Row],[Pcode]]="","",IF(OFFSET(CampList[Opening Date],MATCH(Table_NFI[[#This Row],[Pcode]],CampList[CP_Pcode],0)-1,0,1,1)&gt;=NFI_Monitor_Date,1,0))</f>
        <v>0</v>
      </c>
      <c r="AQ645" s="540" t="str">
        <f>IFERROR(VLOOKUP(Table_NFI[[#This Row],[Camp Name]],CL,3,0),"")</f>
        <v>Open</v>
      </c>
      <c r="AR645" s="352" t="str">
        <f ca="1">IF(Table_NFI[[#This Row],[Pcode]]="","",OFFSET(CampList[Priority],MATCH(Table_NFI[[#This Row],[Pcode]],CampList[CP_Pcode],0)-1,0,1,1))</f>
        <v>P4</v>
      </c>
      <c r="AS645" s="351">
        <f>IFERROR(Table_NFI[[#This Row],[Kitchen Set]]/VLOOKUP(Table_NFI[[#This Row],[Camp Name]],CL,4,0),"")</f>
        <v>0</v>
      </c>
      <c r="AT645" s="533" t="s">
        <v>1094</v>
      </c>
      <c r="AU645" s="536"/>
    </row>
    <row r="646" spans="1:47" ht="14.45" customHeight="1" x14ac:dyDescent="0.25">
      <c r="A646" s="355">
        <f t="shared" ref="A646:A709" si="10">IF(ISBLANK(B646),"",(Report_Date-B646)/30)</f>
        <v>43.56666666666667</v>
      </c>
      <c r="B646" s="532">
        <v>41264</v>
      </c>
      <c r="C646" s="533" t="s">
        <v>453</v>
      </c>
      <c r="D646" s="534" t="s">
        <v>453</v>
      </c>
      <c r="E646" s="533" t="s">
        <v>380</v>
      </c>
      <c r="F646" s="348" t="s">
        <v>5</v>
      </c>
      <c r="G646" s="348" t="s">
        <v>26</v>
      </c>
      <c r="H646" s="349"/>
      <c r="I646" s="349"/>
      <c r="J646" s="349"/>
      <c r="K646" s="349">
        <v>0</v>
      </c>
      <c r="L646" s="350">
        <v>3</v>
      </c>
      <c r="M646" s="350">
        <v>0</v>
      </c>
      <c r="N646" s="350">
        <v>3</v>
      </c>
      <c r="O646" s="350">
        <v>3</v>
      </c>
      <c r="P646" s="352">
        <v>3</v>
      </c>
      <c r="Q646" s="352">
        <v>3</v>
      </c>
      <c r="R646" s="352"/>
      <c r="S646" s="352"/>
      <c r="T646" s="352"/>
      <c r="U646" s="352"/>
      <c r="V646" s="497"/>
      <c r="W646" s="352"/>
      <c r="X646" s="352"/>
      <c r="Y646" s="352">
        <f>IF(NFI_Expiration=1,IF($A646&lt;VLOOKUP(H$5,NFI,5,0),1,0)*Table_NFI[[#This Row],[Hygiene Kit]],Table_NFI[Hygiene Kit])</f>
        <v>0</v>
      </c>
      <c r="Z646" s="352">
        <f>IF(NFI_Expiration=1,IF($A646&lt;VLOOKUP(I$5,NFI,5,0),1,0)*Table_NFI[[#This Row],[NFI Core Kit]],Table_NFI[NFI Core Kit])</f>
        <v>0</v>
      </c>
      <c r="AA646" s="352">
        <f>IF(NFI_Expiration=1,IF($A646&lt;VLOOKUP(J$5,NFI,5,0),1,0)*Table_NFI[[#This Row],[Sanitary Kit]],Table_NFI[Sanitary Kit])</f>
        <v>0</v>
      </c>
      <c r="AB646" s="352">
        <f>IF(NFI_Expiration=1,IF($A646&lt;VLOOKUP(K$5,NFI,5,0),1,0)*Table_NFI[[#This Row],[Mosquito net]],Table_NFI[Mosquito net])</f>
        <v>0</v>
      </c>
      <c r="AC646" s="352">
        <f>IF(NFI_Expiration=1,IF($A646&lt;VLOOKUP(L$5,NFI,5,0),1,0)*Table_NFI[[#This Row],[Tarpaulin]],Table_NFI[[#This Row],[Tarpaulin]])</f>
        <v>0</v>
      </c>
      <c r="AD646" s="352">
        <f>IF(NFI_Expiration=1,IF($A646&lt;VLOOKUP(M$5,NFI,5,0),1,0)*Table_NFI[[#This Row],[Blanket]],Table_NFI[[#This Row],[Blanket]])</f>
        <v>0</v>
      </c>
      <c r="AE646" s="352">
        <f>IF(NFI_Expiration=1,IF($A646&lt;VLOOKUP(N$5,NFI,5,0),1,0)*Table_NFI[[#This Row],[Kitchen Set]],Table_NFI[Kitchen Set])</f>
        <v>0</v>
      </c>
      <c r="AF646" s="352">
        <f>IF(NFI_Expiration=1,IF($A646&lt;VLOOKUP(O$5,NFI,5,0),1,0)*Table_NFI[[#This Row],[Clothes Kit]],Table_NFI[Clothes Kit])</f>
        <v>0</v>
      </c>
      <c r="AG646" s="352">
        <f>IF(NFI_Expiration=1,IF($A646&lt;VLOOKUP(P$5,NFI,5,0),1,0)*Table_NFI[[#This Row],[Plastic Bucket]],Table_NFI[Plastic Bucket])</f>
        <v>0</v>
      </c>
      <c r="AH646" s="352">
        <f>IF(NFI_Expiration=1,IF($A646&lt;VLOOKUP(Q$5,NFI,5,0),1,0)*Table_NFI[[#This Row],[Plastic Mat]],Table_NFI[Plastic Mat])*IF(Table_NFI[[#This Row],[Distribution Date]]&gt;"2014-04-01",1,2.5)</f>
        <v>0</v>
      </c>
      <c r="AI646" s="352">
        <f>IF(NFI_Expiration=1,IF($A646&lt;VLOOKUP(R$5,NFI,5,0),1,0)*Table_NFI[[#This Row],[Winter Clothes Adult]],Table_NFI[Winter Clothes Adult])</f>
        <v>0</v>
      </c>
      <c r="AJ646" s="352">
        <f>IF(NFI_Expiration=1,IF($A646&lt;VLOOKUP(S$5,NFI,5,0),1,0)*Table_NFI[[#This Row],[Winter Clothes Children]],Table_NFI[Winter Clothes Children])</f>
        <v>0</v>
      </c>
      <c r="AK646" s="352">
        <f>IF(NFI_Expiration=1,IF($A646&lt;VLOOKUP(T$5,NFI,5,0),1,0)*Table_NFI[[#This Row],[Winter Items Other]],Table_NFI[Winter Items Other])</f>
        <v>0</v>
      </c>
      <c r="AL646" s="352">
        <f>IF(NFI_Expiration=1,IF($A646&lt;VLOOKUP(M$5,NFI,5,0),1,0)*Table_NFI[[#This Row],[Winter Blanket]],Table_NFI[[#This Row],[Winter Blanket]])</f>
        <v>0</v>
      </c>
      <c r="AM646" s="352">
        <f>IF(Table_NFI[[#This Row],[Winter Clothes Adult]]+Table_NFI[[#This Row],[Winter Clothes Children]]+Table_NFI[[#This Row],[Winter Items Other]]+Table_NFI[[#This Row],[Winter Blanket]]&gt;0,1,0)</f>
        <v>0</v>
      </c>
      <c r="AN646" s="392">
        <f>IF(NFI_Expiration=1,IF($A646&lt;VLOOKUP(V$5,NFI,5,0),1,0)*Table_NFI[[#This Row],[Jerry Can]],Table_NFI[Jerry Can])</f>
        <v>0</v>
      </c>
      <c r="AO646" s="540" t="str">
        <f>IFERROR(VLOOKUP(Table_NFI[[#This Row],[Camp Name]],CL,2,0),"")</f>
        <v>MMR001CMP053</v>
      </c>
      <c r="AP646" s="535">
        <f ca="1">IF(Table_NFI[[#This Row],[Pcode]]="","",IF(OFFSET(CampList[Opening Date],MATCH(Table_NFI[[#This Row],[Pcode]],CampList[CP_Pcode],0)-1,0,1,1)&gt;=NFI_Monitor_Date,1,0))</f>
        <v>0</v>
      </c>
      <c r="AQ646" s="540" t="str">
        <f>IFERROR(VLOOKUP(Table_NFI[[#This Row],[Camp Name]],CL,3,0),"")</f>
        <v>Open</v>
      </c>
      <c r="AR646" s="352" t="str">
        <f ca="1">IF(Table_NFI[[#This Row],[Pcode]]="","",OFFSET(CampList[Priority],MATCH(Table_NFI[[#This Row],[Pcode]],CampList[CP_Pcode],0)-1,0,1,1))</f>
        <v>P4</v>
      </c>
      <c r="AS646" s="351">
        <f>IFERROR(Table_NFI[[#This Row],[Kitchen Set]]/VLOOKUP(Table_NFI[[#This Row],[Camp Name]],CL,4,0),"")</f>
        <v>0.2</v>
      </c>
      <c r="AT646" s="533" t="s">
        <v>1094</v>
      </c>
      <c r="AU646" s="536"/>
    </row>
    <row r="647" spans="1:47" ht="14.45" customHeight="1" x14ac:dyDescent="0.25">
      <c r="A647" s="355">
        <f t="shared" si="10"/>
        <v>43.6</v>
      </c>
      <c r="B647" s="532">
        <v>41263</v>
      </c>
      <c r="C647" s="533" t="s">
        <v>453</v>
      </c>
      <c r="D647" s="534" t="s">
        <v>461</v>
      </c>
      <c r="E647" s="533" t="s">
        <v>380</v>
      </c>
      <c r="F647" s="348" t="s">
        <v>528</v>
      </c>
      <c r="G647" s="348" t="s">
        <v>88</v>
      </c>
      <c r="H647" s="349"/>
      <c r="I647" s="354"/>
      <c r="J647" s="347"/>
      <c r="K647" s="347">
        <v>12</v>
      </c>
      <c r="L647" s="347">
        <v>0</v>
      </c>
      <c r="M647" s="347">
        <v>12</v>
      </c>
      <c r="N647" s="347">
        <v>0</v>
      </c>
      <c r="O647" s="347">
        <v>0</v>
      </c>
      <c r="P647" s="352"/>
      <c r="Q647" s="352"/>
      <c r="R647" s="352"/>
      <c r="S647" s="352"/>
      <c r="T647" s="352"/>
      <c r="U647" s="352"/>
      <c r="V647" s="497"/>
      <c r="W647" s="352"/>
      <c r="X647" s="352"/>
      <c r="Y647" s="352">
        <f>IF(NFI_Expiration=1,IF($A647&lt;VLOOKUP(H$5,NFI,5,0),1,0)*Table_NFI[[#This Row],[Hygiene Kit]],Table_NFI[Hygiene Kit])</f>
        <v>0</v>
      </c>
      <c r="Z647" s="352">
        <f>IF(NFI_Expiration=1,IF($A647&lt;VLOOKUP(I$5,NFI,5,0),1,0)*Table_NFI[[#This Row],[NFI Core Kit]],Table_NFI[NFI Core Kit])</f>
        <v>0</v>
      </c>
      <c r="AA647" s="352">
        <f>IF(NFI_Expiration=1,IF($A647&lt;VLOOKUP(J$5,NFI,5,0),1,0)*Table_NFI[[#This Row],[Sanitary Kit]],Table_NFI[Sanitary Kit])</f>
        <v>0</v>
      </c>
      <c r="AB647" s="352">
        <f>IF(NFI_Expiration=1,IF($A647&lt;VLOOKUP(K$5,NFI,5,0),1,0)*Table_NFI[[#This Row],[Mosquito net]],Table_NFI[Mosquito net])</f>
        <v>0</v>
      </c>
      <c r="AC647" s="352">
        <f>IF(NFI_Expiration=1,IF($A647&lt;VLOOKUP(L$5,NFI,5,0),1,0)*Table_NFI[[#This Row],[Tarpaulin]],Table_NFI[[#This Row],[Tarpaulin]])</f>
        <v>0</v>
      </c>
      <c r="AD647" s="352">
        <f>IF(NFI_Expiration=1,IF($A647&lt;VLOOKUP(M$5,NFI,5,0),1,0)*Table_NFI[[#This Row],[Blanket]],Table_NFI[[#This Row],[Blanket]])</f>
        <v>0</v>
      </c>
      <c r="AE647" s="352">
        <f>IF(NFI_Expiration=1,IF($A647&lt;VLOOKUP(N$5,NFI,5,0),1,0)*Table_NFI[[#This Row],[Kitchen Set]],Table_NFI[Kitchen Set])</f>
        <v>0</v>
      </c>
      <c r="AF647" s="352">
        <f>IF(NFI_Expiration=1,IF($A647&lt;VLOOKUP(O$5,NFI,5,0),1,0)*Table_NFI[[#This Row],[Clothes Kit]],Table_NFI[Clothes Kit])</f>
        <v>0</v>
      </c>
      <c r="AG647" s="352">
        <f>IF(NFI_Expiration=1,IF($A647&lt;VLOOKUP(P$5,NFI,5,0),1,0)*Table_NFI[[#This Row],[Plastic Bucket]],Table_NFI[Plastic Bucket])</f>
        <v>0</v>
      </c>
      <c r="AH647" s="352">
        <f>IF(NFI_Expiration=1,IF($A647&lt;VLOOKUP(Q$5,NFI,5,0),1,0)*Table_NFI[[#This Row],[Plastic Mat]],Table_NFI[Plastic Mat])*IF(Table_NFI[[#This Row],[Distribution Date]]&gt;"2014-04-01",1,2.5)</f>
        <v>0</v>
      </c>
      <c r="AI647" s="352">
        <f>IF(NFI_Expiration=1,IF($A647&lt;VLOOKUP(R$5,NFI,5,0),1,0)*Table_NFI[[#This Row],[Winter Clothes Adult]],Table_NFI[Winter Clothes Adult])</f>
        <v>0</v>
      </c>
      <c r="AJ647" s="352">
        <f>IF(NFI_Expiration=1,IF($A647&lt;VLOOKUP(S$5,NFI,5,0),1,0)*Table_NFI[[#This Row],[Winter Clothes Children]],Table_NFI[Winter Clothes Children])</f>
        <v>0</v>
      </c>
      <c r="AK647" s="352">
        <f>IF(NFI_Expiration=1,IF($A647&lt;VLOOKUP(T$5,NFI,5,0),1,0)*Table_NFI[[#This Row],[Winter Items Other]],Table_NFI[Winter Items Other])</f>
        <v>0</v>
      </c>
      <c r="AL647" s="352">
        <f>IF(NFI_Expiration=1,IF($A647&lt;VLOOKUP(M$5,NFI,5,0),1,0)*Table_NFI[[#This Row],[Winter Blanket]],Table_NFI[[#This Row],[Winter Blanket]])</f>
        <v>0</v>
      </c>
      <c r="AM647" s="352">
        <f>IF(Table_NFI[[#This Row],[Winter Clothes Adult]]+Table_NFI[[#This Row],[Winter Clothes Children]]+Table_NFI[[#This Row],[Winter Items Other]]+Table_NFI[[#This Row],[Winter Blanket]]&gt;0,1,0)</f>
        <v>0</v>
      </c>
      <c r="AN647" s="392">
        <f>IF(NFI_Expiration=1,IF($A647&lt;VLOOKUP(V$5,NFI,5,0),1,0)*Table_NFI[[#This Row],[Jerry Can]],Table_NFI[Jerry Can])</f>
        <v>0</v>
      </c>
      <c r="AO647" s="540" t="str">
        <f>IFERROR(VLOOKUP(Table_NFI[[#This Row],[Camp Name]],CL,2,0),"")</f>
        <v>MMR001CMP148</v>
      </c>
      <c r="AP647" s="535">
        <f ca="1">IF(Table_NFI[[#This Row],[Pcode]]="","",IF(OFFSET(CampList[Opening Date],MATCH(Table_NFI[[#This Row],[Pcode]],CampList[CP_Pcode],0)-1,0,1,1)&gt;=NFI_Monitor_Date,1,0))</f>
        <v>0</v>
      </c>
      <c r="AQ647" s="540" t="str">
        <f>IFERROR(VLOOKUP(Table_NFI[[#This Row],[Camp Name]],CL,3,0),"")</f>
        <v>Open</v>
      </c>
      <c r="AR647" s="352" t="str">
        <f ca="1">IF(Table_NFI[[#This Row],[Pcode]]="","",OFFSET(CampList[Priority],MATCH(Table_NFI[[#This Row],[Pcode]],CampList[CP_Pcode],0)-1,0,1,1))</f>
        <v>P4</v>
      </c>
      <c r="AS647" s="351">
        <f>IFERROR(Table_NFI[[#This Row],[Kitchen Set]]/VLOOKUP(Table_NFI[[#This Row],[Camp Name]],CL,4,0),"")</f>
        <v>0</v>
      </c>
      <c r="AT647" s="533" t="s">
        <v>1094</v>
      </c>
      <c r="AU647" s="536"/>
    </row>
    <row r="648" spans="1:47" ht="14.45" customHeight="1" x14ac:dyDescent="0.25">
      <c r="A648" s="355">
        <f t="shared" si="10"/>
        <v>43.6</v>
      </c>
      <c r="B648" s="532">
        <v>41263</v>
      </c>
      <c r="C648" s="533" t="s">
        <v>453</v>
      </c>
      <c r="D648" s="533" t="s">
        <v>453</v>
      </c>
      <c r="E648" s="533" t="s">
        <v>380</v>
      </c>
      <c r="F648" s="533" t="s">
        <v>237</v>
      </c>
      <c r="G648" s="348" t="s">
        <v>253</v>
      </c>
      <c r="H648" s="349"/>
      <c r="I648" s="349"/>
      <c r="J648" s="349"/>
      <c r="K648" s="349">
        <v>19</v>
      </c>
      <c r="L648" s="350">
        <v>10</v>
      </c>
      <c r="M648" s="350">
        <v>19</v>
      </c>
      <c r="N648" s="350">
        <v>10</v>
      </c>
      <c r="O648" s="350">
        <v>10</v>
      </c>
      <c r="P648" s="352">
        <v>10</v>
      </c>
      <c r="Q648" s="352">
        <v>10</v>
      </c>
      <c r="R648" s="352"/>
      <c r="S648" s="352"/>
      <c r="T648" s="352"/>
      <c r="U648" s="352"/>
      <c r="V648" s="497"/>
      <c r="W648" s="352"/>
      <c r="X648" s="352"/>
      <c r="Y648" s="352">
        <f>IF(NFI_Expiration=1,IF($A648&lt;VLOOKUP(H$5,NFI,5,0),1,0)*Table_NFI[[#This Row],[Hygiene Kit]],Table_NFI[Hygiene Kit])</f>
        <v>0</v>
      </c>
      <c r="Z648" s="352">
        <f>IF(NFI_Expiration=1,IF($A648&lt;VLOOKUP(I$5,NFI,5,0),1,0)*Table_NFI[[#This Row],[NFI Core Kit]],Table_NFI[NFI Core Kit])</f>
        <v>0</v>
      </c>
      <c r="AA648" s="352">
        <f>IF(NFI_Expiration=1,IF($A648&lt;VLOOKUP(J$5,NFI,5,0),1,0)*Table_NFI[[#This Row],[Sanitary Kit]],Table_NFI[Sanitary Kit])</f>
        <v>0</v>
      </c>
      <c r="AB648" s="352">
        <f>IF(NFI_Expiration=1,IF($A648&lt;VLOOKUP(K$5,NFI,5,0),1,0)*Table_NFI[[#This Row],[Mosquito net]],Table_NFI[Mosquito net])</f>
        <v>0</v>
      </c>
      <c r="AC648" s="352">
        <f>IF(NFI_Expiration=1,IF($A648&lt;VLOOKUP(L$5,NFI,5,0),1,0)*Table_NFI[[#This Row],[Tarpaulin]],Table_NFI[[#This Row],[Tarpaulin]])</f>
        <v>0</v>
      </c>
      <c r="AD648" s="352">
        <f>IF(NFI_Expiration=1,IF($A648&lt;VLOOKUP(M$5,NFI,5,0),1,0)*Table_NFI[[#This Row],[Blanket]],Table_NFI[[#This Row],[Blanket]])</f>
        <v>0</v>
      </c>
      <c r="AE648" s="352">
        <f>IF(NFI_Expiration=1,IF($A648&lt;VLOOKUP(N$5,NFI,5,0),1,0)*Table_NFI[[#This Row],[Kitchen Set]],Table_NFI[Kitchen Set])</f>
        <v>0</v>
      </c>
      <c r="AF648" s="352">
        <f>IF(NFI_Expiration=1,IF($A648&lt;VLOOKUP(O$5,NFI,5,0),1,0)*Table_NFI[[#This Row],[Clothes Kit]],Table_NFI[Clothes Kit])</f>
        <v>0</v>
      </c>
      <c r="AG648" s="352">
        <f>IF(NFI_Expiration=1,IF($A648&lt;VLOOKUP(P$5,NFI,5,0),1,0)*Table_NFI[[#This Row],[Plastic Bucket]],Table_NFI[Plastic Bucket])</f>
        <v>0</v>
      </c>
      <c r="AH648" s="352">
        <f>IF(NFI_Expiration=1,IF($A648&lt;VLOOKUP(Q$5,NFI,5,0),1,0)*Table_NFI[[#This Row],[Plastic Mat]],Table_NFI[Plastic Mat])*IF(Table_NFI[[#This Row],[Distribution Date]]&gt;"2014-04-01",1,2.5)</f>
        <v>0</v>
      </c>
      <c r="AI648" s="352">
        <f>IF(NFI_Expiration=1,IF($A648&lt;VLOOKUP(R$5,NFI,5,0),1,0)*Table_NFI[[#This Row],[Winter Clothes Adult]],Table_NFI[Winter Clothes Adult])</f>
        <v>0</v>
      </c>
      <c r="AJ648" s="352">
        <f>IF(NFI_Expiration=1,IF($A648&lt;VLOOKUP(S$5,NFI,5,0),1,0)*Table_NFI[[#This Row],[Winter Clothes Children]],Table_NFI[Winter Clothes Children])</f>
        <v>0</v>
      </c>
      <c r="AK648" s="352">
        <f>IF(NFI_Expiration=1,IF($A648&lt;VLOOKUP(T$5,NFI,5,0),1,0)*Table_NFI[[#This Row],[Winter Items Other]],Table_NFI[Winter Items Other])</f>
        <v>0</v>
      </c>
      <c r="AL648" s="352">
        <f>IF(NFI_Expiration=1,IF($A648&lt;VLOOKUP(M$5,NFI,5,0),1,0)*Table_NFI[[#This Row],[Winter Blanket]],Table_NFI[[#This Row],[Winter Blanket]])</f>
        <v>0</v>
      </c>
      <c r="AM648" s="352">
        <f>IF(Table_NFI[[#This Row],[Winter Clothes Adult]]+Table_NFI[[#This Row],[Winter Clothes Children]]+Table_NFI[[#This Row],[Winter Items Other]]+Table_NFI[[#This Row],[Winter Blanket]]&gt;0,1,0)</f>
        <v>0</v>
      </c>
      <c r="AN648" s="392">
        <f>IF(NFI_Expiration=1,IF($A648&lt;VLOOKUP(V$5,NFI,5,0),1,0)*Table_NFI[[#This Row],[Jerry Can]],Table_NFI[Jerry Can])</f>
        <v>0</v>
      </c>
      <c r="AO648" s="540" t="str">
        <f>IFERROR(VLOOKUP(Table_NFI[[#This Row],[Camp Name]],CL,2,0),"")</f>
        <v>MMR001CMP018</v>
      </c>
      <c r="AP648" s="535">
        <f ca="1">IF(Table_NFI[[#This Row],[Pcode]]="","",IF(OFFSET(CampList[Opening Date],MATCH(Table_NFI[[#This Row],[Pcode]],CampList[CP_Pcode],0)-1,0,1,1)&gt;=NFI_Monitor_Date,1,0))</f>
        <v>0</v>
      </c>
      <c r="AQ648" s="540" t="str">
        <f>IFERROR(VLOOKUP(Table_NFI[[#This Row],[Camp Name]],CL,3,0),"")</f>
        <v>Open</v>
      </c>
      <c r="AR648" s="352" t="str">
        <f ca="1">IF(Table_NFI[[#This Row],[Pcode]]="","",OFFSET(CampList[Priority],MATCH(Table_NFI[[#This Row],[Pcode]],CampList[CP_Pcode],0)-1,0,1,1))</f>
        <v>P4</v>
      </c>
      <c r="AS648" s="351">
        <f>IFERROR(Table_NFI[[#This Row],[Kitchen Set]]/VLOOKUP(Table_NFI[[#This Row],[Camp Name]],CL,4,0),"")</f>
        <v>5.0505050505050504E-2</v>
      </c>
      <c r="AT648" s="533" t="s">
        <v>1094</v>
      </c>
      <c r="AU648" s="536"/>
    </row>
    <row r="649" spans="1:47" ht="14.45" hidden="1" customHeight="1" x14ac:dyDescent="0.25">
      <c r="A649" s="355">
        <f t="shared" si="10"/>
        <v>26.533333333333335</v>
      </c>
      <c r="B649" s="532">
        <v>41775</v>
      </c>
      <c r="C649" s="533" t="s">
        <v>1106</v>
      </c>
      <c r="D649" s="533" t="s">
        <v>902</v>
      </c>
      <c r="E649" s="533" t="s">
        <v>380</v>
      </c>
      <c r="F649" s="533" t="s">
        <v>237</v>
      </c>
      <c r="G649" s="533" t="s">
        <v>271</v>
      </c>
      <c r="H649" s="349"/>
      <c r="I649" s="349"/>
      <c r="J649" s="349"/>
      <c r="K649" s="349"/>
      <c r="L649" s="350"/>
      <c r="M649" s="350"/>
      <c r="N649" s="350"/>
      <c r="O649" s="350"/>
      <c r="P649" s="352"/>
      <c r="Q649" s="352"/>
      <c r="R649" s="352"/>
      <c r="S649" s="352"/>
      <c r="T649" s="352"/>
      <c r="U649" s="352">
        <v>142</v>
      </c>
      <c r="V649" s="497"/>
      <c r="W649" s="352"/>
      <c r="X649" s="352"/>
      <c r="Y649" s="352">
        <f>IF(NFI_Expiration=1,IF($A649&lt;VLOOKUP(H$5,NFI,5,0),1,0)*Table_NFI[[#This Row],[Hygiene Kit]],Table_NFI[Hygiene Kit])</f>
        <v>0</v>
      </c>
      <c r="Z649" s="352">
        <f>IF(NFI_Expiration=1,IF($A649&lt;VLOOKUP(I$5,NFI,5,0),1,0)*Table_NFI[[#This Row],[NFI Core Kit]],Table_NFI[NFI Core Kit])</f>
        <v>0</v>
      </c>
      <c r="AA649" s="352">
        <f>IF(NFI_Expiration=1,IF($A649&lt;VLOOKUP(J$5,NFI,5,0),1,0)*Table_NFI[[#This Row],[Sanitary Kit]],Table_NFI[Sanitary Kit])</f>
        <v>0</v>
      </c>
      <c r="AB649" s="352">
        <f>IF(NFI_Expiration=1,IF($A649&lt;VLOOKUP(K$5,NFI,5,0),1,0)*Table_NFI[[#This Row],[Mosquito net]],Table_NFI[Mosquito net])</f>
        <v>0</v>
      </c>
      <c r="AC649" s="352">
        <f>IF(NFI_Expiration=1,IF($A649&lt;VLOOKUP(L$5,NFI,5,0),1,0)*Table_NFI[[#This Row],[Tarpaulin]],Table_NFI[[#This Row],[Tarpaulin]])</f>
        <v>0</v>
      </c>
      <c r="AD649" s="352">
        <f>IF(NFI_Expiration=1,IF($A649&lt;VLOOKUP(M$5,NFI,5,0),1,0)*Table_NFI[[#This Row],[Blanket]],Table_NFI[[#This Row],[Blanket]])</f>
        <v>0</v>
      </c>
      <c r="AE649" s="352">
        <f>IF(NFI_Expiration=1,IF($A649&lt;VLOOKUP(N$5,NFI,5,0),1,0)*Table_NFI[[#This Row],[Kitchen Set]],Table_NFI[Kitchen Set])</f>
        <v>0</v>
      </c>
      <c r="AF649" s="352">
        <f>IF(NFI_Expiration=1,IF($A649&lt;VLOOKUP(O$5,NFI,5,0),1,0)*Table_NFI[[#This Row],[Clothes Kit]],Table_NFI[Clothes Kit])</f>
        <v>0</v>
      </c>
      <c r="AG649" s="352">
        <f>IF(NFI_Expiration=1,IF($A649&lt;VLOOKUP(P$5,NFI,5,0),1,0)*Table_NFI[[#This Row],[Plastic Bucket]],Table_NFI[Plastic Bucket])</f>
        <v>0</v>
      </c>
      <c r="AH649" s="352">
        <f>IF(NFI_Expiration=1,IF($A649&lt;VLOOKUP(Q$5,NFI,5,0),1,0)*Table_NFI[[#This Row],[Plastic Mat]],Table_NFI[Plastic Mat])*IF(Table_NFI[[#This Row],[Distribution Date]]&gt;"2014-04-01",1,2.5)</f>
        <v>0</v>
      </c>
      <c r="AI649" s="352">
        <f>IF(NFI_Expiration=1,IF($A649&lt;VLOOKUP(R$5,NFI,5,0),1,0)*Table_NFI[[#This Row],[Winter Clothes Adult]],Table_NFI[Winter Clothes Adult])</f>
        <v>0</v>
      </c>
      <c r="AJ649" s="352">
        <f>IF(NFI_Expiration=1,IF($A649&lt;VLOOKUP(S$5,NFI,5,0),1,0)*Table_NFI[[#This Row],[Winter Clothes Children]],Table_NFI[Winter Clothes Children])</f>
        <v>0</v>
      </c>
      <c r="AK649" s="352">
        <f>IF(NFI_Expiration=1,IF($A649&lt;VLOOKUP(T$5,NFI,5,0),1,0)*Table_NFI[[#This Row],[Winter Items Other]],Table_NFI[Winter Items Other])</f>
        <v>0</v>
      </c>
      <c r="AL649" s="352">
        <f>IF(NFI_Expiration=1,IF($A649&lt;VLOOKUP(M$5,NFI,5,0),1,0)*Table_NFI[[#This Row],[Winter Blanket]],Table_NFI[[#This Row],[Winter Blanket]])</f>
        <v>0</v>
      </c>
      <c r="AM649" s="352">
        <f>IF(Table_NFI[[#This Row],[Winter Clothes Adult]]+Table_NFI[[#This Row],[Winter Clothes Children]]+Table_NFI[[#This Row],[Winter Items Other]]+Table_NFI[[#This Row],[Winter Blanket]]&gt;0,1,0)</f>
        <v>1</v>
      </c>
      <c r="AN649" s="392">
        <f>IF(NFI_Expiration=1,IF($A649&lt;VLOOKUP(V$5,NFI,5,0),1,0)*Table_NFI[[#This Row],[Jerry Can]],Table_NFI[Jerry Can])</f>
        <v>0</v>
      </c>
      <c r="AO649" s="540" t="str">
        <f>IFERROR(VLOOKUP(Table_NFI[[#This Row],[Camp Name]],CL,2,0),"")</f>
        <v>MMR001CMP024</v>
      </c>
      <c r="AP649" s="535">
        <f ca="1">IF(Table_NFI[[#This Row],[Pcode]]="","",IF(OFFSET(CampList[Opening Date],MATCH(Table_NFI[[#This Row],[Pcode]],CampList[CP_Pcode],0)-1,0,1,1)&gt;=NFI_Monitor_Date,1,0))</f>
        <v>0</v>
      </c>
      <c r="AQ649" s="540" t="str">
        <f>IFERROR(VLOOKUP(Table_NFI[[#This Row],[Camp Name]],CL,3,0),"")</f>
        <v>Open</v>
      </c>
      <c r="AR649" s="352" t="str">
        <f ca="1">IF(Table_NFI[[#This Row],[Pcode]]="","",OFFSET(CampList[Priority],MATCH(Table_NFI[[#This Row],[Pcode]],CampList[CP_Pcode],0)-1,0,1,1))</f>
        <v>P4</v>
      </c>
      <c r="AS649" s="351">
        <f>IFERROR(Table_NFI[[#This Row],[Kitchen Set]]/VLOOKUP(Table_NFI[[#This Row],[Camp Name]],CL,4,0),"")</f>
        <v>0</v>
      </c>
      <c r="AT649" s="533"/>
      <c r="AU649" s="536"/>
    </row>
    <row r="650" spans="1:47" ht="14.45" customHeight="1" x14ac:dyDescent="0.25">
      <c r="A650" s="355">
        <f t="shared" si="10"/>
        <v>43.633333333333333</v>
      </c>
      <c r="B650" s="532">
        <v>41262</v>
      </c>
      <c r="C650" s="533" t="s">
        <v>453</v>
      </c>
      <c r="D650" s="534" t="s">
        <v>453</v>
      </c>
      <c r="E650" s="533" t="s">
        <v>380</v>
      </c>
      <c r="F650" s="348" t="s">
        <v>237</v>
      </c>
      <c r="G650" s="348" t="s">
        <v>273</v>
      </c>
      <c r="H650" s="349"/>
      <c r="I650" s="354"/>
      <c r="J650" s="347"/>
      <c r="K650" s="347">
        <v>37</v>
      </c>
      <c r="L650" s="347">
        <v>10</v>
      </c>
      <c r="M650" s="347">
        <v>37</v>
      </c>
      <c r="N650" s="347">
        <v>10</v>
      </c>
      <c r="O650" s="347">
        <v>10</v>
      </c>
      <c r="P650" s="352">
        <v>10</v>
      </c>
      <c r="Q650" s="352">
        <v>10</v>
      </c>
      <c r="R650" s="352"/>
      <c r="S650" s="352"/>
      <c r="T650" s="352"/>
      <c r="U650" s="352"/>
      <c r="V650" s="497"/>
      <c r="W650" s="352"/>
      <c r="X650" s="352"/>
      <c r="Y650" s="352">
        <f>IF(NFI_Expiration=1,IF($A650&lt;VLOOKUP(H$5,NFI,5,0),1,0)*Table_NFI[[#This Row],[Hygiene Kit]],Table_NFI[Hygiene Kit])</f>
        <v>0</v>
      </c>
      <c r="Z650" s="352">
        <f>IF(NFI_Expiration=1,IF($A650&lt;VLOOKUP(I$5,NFI,5,0),1,0)*Table_NFI[[#This Row],[NFI Core Kit]],Table_NFI[NFI Core Kit])</f>
        <v>0</v>
      </c>
      <c r="AA650" s="352">
        <f>IF(NFI_Expiration=1,IF($A650&lt;VLOOKUP(J$5,NFI,5,0),1,0)*Table_NFI[[#This Row],[Sanitary Kit]],Table_NFI[Sanitary Kit])</f>
        <v>0</v>
      </c>
      <c r="AB650" s="352">
        <f>IF(NFI_Expiration=1,IF($A650&lt;VLOOKUP(K$5,NFI,5,0),1,0)*Table_NFI[[#This Row],[Mosquito net]],Table_NFI[Mosquito net])</f>
        <v>0</v>
      </c>
      <c r="AC650" s="352">
        <f>IF(NFI_Expiration=1,IF($A650&lt;VLOOKUP(L$5,NFI,5,0),1,0)*Table_NFI[[#This Row],[Tarpaulin]],Table_NFI[[#This Row],[Tarpaulin]])</f>
        <v>0</v>
      </c>
      <c r="AD650" s="352">
        <f>IF(NFI_Expiration=1,IF($A650&lt;VLOOKUP(M$5,NFI,5,0),1,0)*Table_NFI[[#This Row],[Blanket]],Table_NFI[[#This Row],[Blanket]])</f>
        <v>0</v>
      </c>
      <c r="AE650" s="352">
        <f>IF(NFI_Expiration=1,IF($A650&lt;VLOOKUP(N$5,NFI,5,0),1,0)*Table_NFI[[#This Row],[Kitchen Set]],Table_NFI[Kitchen Set])</f>
        <v>0</v>
      </c>
      <c r="AF650" s="352">
        <f>IF(NFI_Expiration=1,IF($A650&lt;VLOOKUP(O$5,NFI,5,0),1,0)*Table_NFI[[#This Row],[Clothes Kit]],Table_NFI[Clothes Kit])</f>
        <v>0</v>
      </c>
      <c r="AG650" s="352">
        <f>IF(NFI_Expiration=1,IF($A650&lt;VLOOKUP(P$5,NFI,5,0),1,0)*Table_NFI[[#This Row],[Plastic Bucket]],Table_NFI[Plastic Bucket])</f>
        <v>0</v>
      </c>
      <c r="AH650" s="352">
        <f>IF(NFI_Expiration=1,IF($A650&lt;VLOOKUP(Q$5,NFI,5,0),1,0)*Table_NFI[[#This Row],[Plastic Mat]],Table_NFI[Plastic Mat])*IF(Table_NFI[[#This Row],[Distribution Date]]&gt;"2014-04-01",1,2.5)</f>
        <v>0</v>
      </c>
      <c r="AI650" s="352">
        <f>IF(NFI_Expiration=1,IF($A650&lt;VLOOKUP(R$5,NFI,5,0),1,0)*Table_NFI[[#This Row],[Winter Clothes Adult]],Table_NFI[Winter Clothes Adult])</f>
        <v>0</v>
      </c>
      <c r="AJ650" s="352">
        <f>IF(NFI_Expiration=1,IF($A650&lt;VLOOKUP(S$5,NFI,5,0),1,0)*Table_NFI[[#This Row],[Winter Clothes Children]],Table_NFI[Winter Clothes Children])</f>
        <v>0</v>
      </c>
      <c r="AK650" s="352">
        <f>IF(NFI_Expiration=1,IF($A650&lt;VLOOKUP(T$5,NFI,5,0),1,0)*Table_NFI[[#This Row],[Winter Items Other]],Table_NFI[Winter Items Other])</f>
        <v>0</v>
      </c>
      <c r="AL650" s="352">
        <f>IF(NFI_Expiration=1,IF($A650&lt;VLOOKUP(M$5,NFI,5,0),1,0)*Table_NFI[[#This Row],[Winter Blanket]],Table_NFI[[#This Row],[Winter Blanket]])</f>
        <v>0</v>
      </c>
      <c r="AM650" s="352">
        <f>IF(Table_NFI[[#This Row],[Winter Clothes Adult]]+Table_NFI[[#This Row],[Winter Clothes Children]]+Table_NFI[[#This Row],[Winter Items Other]]+Table_NFI[[#This Row],[Winter Blanket]]&gt;0,1,0)</f>
        <v>0</v>
      </c>
      <c r="AN650" s="392">
        <f>IF(NFI_Expiration=1,IF($A650&lt;VLOOKUP(V$5,NFI,5,0),1,0)*Table_NFI[[#This Row],[Jerry Can]],Table_NFI[Jerry Can])</f>
        <v>0</v>
      </c>
      <c r="AO650" s="540" t="str">
        <f>IFERROR(VLOOKUP(Table_NFI[[#This Row],[Camp Name]],CL,2,0),"")</f>
        <v>MMR001CMP162</v>
      </c>
      <c r="AP650" s="535">
        <f ca="1">IF(Table_NFI[[#This Row],[Pcode]]="","",IF(OFFSET(CampList[Opening Date],MATCH(Table_NFI[[#This Row],[Pcode]],CampList[CP_Pcode],0)-1,0,1,1)&gt;=NFI_Monitor_Date,1,0))</f>
        <v>0</v>
      </c>
      <c r="AQ650" s="540" t="str">
        <f>IFERROR(VLOOKUP(Table_NFI[[#This Row],[Camp Name]],CL,3,0),"")</f>
        <v>Open</v>
      </c>
      <c r="AR650" s="352" t="str">
        <f ca="1">IF(Table_NFI[[#This Row],[Pcode]]="","",OFFSET(CampList[Priority],MATCH(Table_NFI[[#This Row],[Pcode]],CampList[CP_Pcode],0)-1,0,1,1))</f>
        <v>P4</v>
      </c>
      <c r="AS650" s="351">
        <f>IFERROR(Table_NFI[[#This Row],[Kitchen Set]]/VLOOKUP(Table_NFI[[#This Row],[Camp Name]],CL,4,0),"")</f>
        <v>0.22727272727272727</v>
      </c>
      <c r="AT650" s="533" t="s">
        <v>1094</v>
      </c>
      <c r="AU650" s="536"/>
    </row>
    <row r="651" spans="1:47" ht="14.45" hidden="1" customHeight="1" x14ac:dyDescent="0.25">
      <c r="A651" s="355">
        <f t="shared" si="10"/>
        <v>38.93333333333333</v>
      </c>
      <c r="B651" s="532">
        <v>41403</v>
      </c>
      <c r="C651" s="533" t="s">
        <v>903</v>
      </c>
      <c r="D651" s="533" t="s">
        <v>507</v>
      </c>
      <c r="E651" s="533" t="s">
        <v>380</v>
      </c>
      <c r="F651" s="348" t="s">
        <v>237</v>
      </c>
      <c r="G651" s="348" t="s">
        <v>271</v>
      </c>
      <c r="H651" s="349">
        <v>324</v>
      </c>
      <c r="I651" s="349"/>
      <c r="J651" s="349"/>
      <c r="K651" s="349"/>
      <c r="L651" s="350"/>
      <c r="M651" s="350"/>
      <c r="N651" s="350"/>
      <c r="O651" s="350"/>
      <c r="P651" s="352"/>
      <c r="Q651" s="352"/>
      <c r="R651" s="352"/>
      <c r="S651" s="352"/>
      <c r="T651" s="352"/>
      <c r="U651" s="352"/>
      <c r="V651" s="497"/>
      <c r="W651" s="352"/>
      <c r="X651" s="352"/>
      <c r="Y651" s="352">
        <f>IF(NFI_Expiration=1,IF($A651&lt;VLOOKUP(H$5,NFI,5,0),1,0)*Table_NFI[[#This Row],[Hygiene Kit]],Table_NFI[Hygiene Kit])</f>
        <v>0</v>
      </c>
      <c r="Z651" s="352">
        <f>IF(NFI_Expiration=1,IF($A651&lt;VLOOKUP(I$5,NFI,5,0),1,0)*Table_NFI[[#This Row],[NFI Core Kit]],Table_NFI[NFI Core Kit])</f>
        <v>0</v>
      </c>
      <c r="AA651" s="352">
        <f>IF(NFI_Expiration=1,IF($A651&lt;VLOOKUP(J$5,NFI,5,0),1,0)*Table_NFI[[#This Row],[Sanitary Kit]],Table_NFI[Sanitary Kit])</f>
        <v>0</v>
      </c>
      <c r="AB651" s="352">
        <f>IF(NFI_Expiration=1,IF($A651&lt;VLOOKUP(K$5,NFI,5,0),1,0)*Table_NFI[[#This Row],[Mosquito net]],Table_NFI[Mosquito net])</f>
        <v>0</v>
      </c>
      <c r="AC651" s="352">
        <f>IF(NFI_Expiration=1,IF($A651&lt;VLOOKUP(L$5,NFI,5,0),1,0)*Table_NFI[[#This Row],[Tarpaulin]],Table_NFI[[#This Row],[Tarpaulin]])</f>
        <v>0</v>
      </c>
      <c r="AD651" s="352">
        <f>IF(NFI_Expiration=1,IF($A651&lt;VLOOKUP(M$5,NFI,5,0),1,0)*Table_NFI[[#This Row],[Blanket]],Table_NFI[[#This Row],[Blanket]])</f>
        <v>0</v>
      </c>
      <c r="AE651" s="352">
        <f>IF(NFI_Expiration=1,IF($A651&lt;VLOOKUP(N$5,NFI,5,0),1,0)*Table_NFI[[#This Row],[Kitchen Set]],Table_NFI[Kitchen Set])</f>
        <v>0</v>
      </c>
      <c r="AF651" s="352">
        <f>IF(NFI_Expiration=1,IF($A651&lt;VLOOKUP(O$5,NFI,5,0),1,0)*Table_NFI[[#This Row],[Clothes Kit]],Table_NFI[Clothes Kit])</f>
        <v>0</v>
      </c>
      <c r="AG651" s="352">
        <f>IF(NFI_Expiration=1,IF($A651&lt;VLOOKUP(P$5,NFI,5,0),1,0)*Table_NFI[[#This Row],[Plastic Bucket]],Table_NFI[Plastic Bucket])</f>
        <v>0</v>
      </c>
      <c r="AH651" s="352">
        <f>IF(NFI_Expiration=1,IF($A651&lt;VLOOKUP(Q$5,NFI,5,0),1,0)*Table_NFI[[#This Row],[Plastic Mat]],Table_NFI[Plastic Mat])*IF(Table_NFI[[#This Row],[Distribution Date]]&gt;"2014-04-01",1,2.5)</f>
        <v>0</v>
      </c>
      <c r="AI651" s="352">
        <f>IF(NFI_Expiration=1,IF($A651&lt;VLOOKUP(R$5,NFI,5,0),1,0)*Table_NFI[[#This Row],[Winter Clothes Adult]],Table_NFI[Winter Clothes Adult])</f>
        <v>0</v>
      </c>
      <c r="AJ651" s="352">
        <f>IF(NFI_Expiration=1,IF($A651&lt;VLOOKUP(S$5,NFI,5,0),1,0)*Table_NFI[[#This Row],[Winter Clothes Children]],Table_NFI[Winter Clothes Children])</f>
        <v>0</v>
      </c>
      <c r="AK651" s="352">
        <f>IF(NFI_Expiration=1,IF($A651&lt;VLOOKUP(T$5,NFI,5,0),1,0)*Table_NFI[[#This Row],[Winter Items Other]],Table_NFI[Winter Items Other])</f>
        <v>0</v>
      </c>
      <c r="AL651" s="352">
        <f>IF(NFI_Expiration=1,IF($A651&lt;VLOOKUP(M$5,NFI,5,0),1,0)*Table_NFI[[#This Row],[Winter Blanket]],Table_NFI[[#This Row],[Winter Blanket]])</f>
        <v>0</v>
      </c>
      <c r="AM651" s="352">
        <f>IF(Table_NFI[[#This Row],[Winter Clothes Adult]]+Table_NFI[[#This Row],[Winter Clothes Children]]+Table_NFI[[#This Row],[Winter Items Other]]+Table_NFI[[#This Row],[Winter Blanket]]&gt;0,1,0)</f>
        <v>0</v>
      </c>
      <c r="AN651" s="392">
        <f>IF(NFI_Expiration=1,IF($A651&lt;VLOOKUP(V$5,NFI,5,0),1,0)*Table_NFI[[#This Row],[Jerry Can]],Table_NFI[Jerry Can])</f>
        <v>0</v>
      </c>
      <c r="AO651" s="540" t="str">
        <f>IFERROR(VLOOKUP(Table_NFI[[#This Row],[Camp Name]],CL,2,0),"")</f>
        <v>MMR001CMP024</v>
      </c>
      <c r="AP651" s="535">
        <f ca="1">IF(Table_NFI[[#This Row],[Pcode]]="","",IF(OFFSET(CampList[Opening Date],MATCH(Table_NFI[[#This Row],[Pcode]],CampList[CP_Pcode],0)-1,0,1,1)&gt;=NFI_Monitor_Date,1,0))</f>
        <v>0</v>
      </c>
      <c r="AQ651" s="540" t="str">
        <f>IFERROR(VLOOKUP(Table_NFI[[#This Row],[Camp Name]],CL,3,0),"")</f>
        <v>Open</v>
      </c>
      <c r="AR651" s="352" t="str">
        <f ca="1">IF(Table_NFI[[#This Row],[Pcode]]="","",OFFSET(CampList[Priority],MATCH(Table_NFI[[#This Row],[Pcode]],CampList[CP_Pcode],0)-1,0,1,1))</f>
        <v>P4</v>
      </c>
      <c r="AS651" s="351">
        <f>IFERROR(Table_NFI[[#This Row],[Kitchen Set]]/VLOOKUP(Table_NFI[[#This Row],[Camp Name]],CL,4,0),"")</f>
        <v>0</v>
      </c>
      <c r="AT651" s="533" t="s">
        <v>1094</v>
      </c>
      <c r="AU651" s="536"/>
    </row>
    <row r="652" spans="1:47" ht="14.45" customHeight="1" x14ac:dyDescent="0.25">
      <c r="A652" s="355">
        <f t="shared" si="10"/>
        <v>43.666666666666664</v>
      </c>
      <c r="B652" s="532">
        <v>41261</v>
      </c>
      <c r="C652" s="533" t="s">
        <v>453</v>
      </c>
      <c r="D652" s="534" t="s">
        <v>453</v>
      </c>
      <c r="E652" s="533" t="s">
        <v>380</v>
      </c>
      <c r="F652" s="348" t="s">
        <v>237</v>
      </c>
      <c r="G652" s="348" t="s">
        <v>281</v>
      </c>
      <c r="H652" s="349"/>
      <c r="I652" s="349"/>
      <c r="J652" s="349"/>
      <c r="K652" s="349">
        <v>30</v>
      </c>
      <c r="L652" s="350">
        <v>20</v>
      </c>
      <c r="M652" s="350">
        <v>30</v>
      </c>
      <c r="N652" s="350">
        <v>20</v>
      </c>
      <c r="O652" s="350">
        <v>20</v>
      </c>
      <c r="P652" s="352">
        <v>20</v>
      </c>
      <c r="Q652" s="352">
        <v>20</v>
      </c>
      <c r="R652" s="352"/>
      <c r="S652" s="352"/>
      <c r="T652" s="352"/>
      <c r="U652" s="352"/>
      <c r="V652" s="497"/>
      <c r="W652" s="352"/>
      <c r="X652" s="352"/>
      <c r="Y652" s="352">
        <f>IF(NFI_Expiration=1,IF($A652&lt;VLOOKUP(H$5,NFI,5,0),1,0)*Table_NFI[[#This Row],[Hygiene Kit]],Table_NFI[Hygiene Kit])</f>
        <v>0</v>
      </c>
      <c r="Z652" s="352">
        <f>IF(NFI_Expiration=1,IF($A652&lt;VLOOKUP(I$5,NFI,5,0),1,0)*Table_NFI[[#This Row],[NFI Core Kit]],Table_NFI[NFI Core Kit])</f>
        <v>0</v>
      </c>
      <c r="AA652" s="352">
        <f>IF(NFI_Expiration=1,IF($A652&lt;VLOOKUP(J$5,NFI,5,0),1,0)*Table_NFI[[#This Row],[Sanitary Kit]],Table_NFI[Sanitary Kit])</f>
        <v>0</v>
      </c>
      <c r="AB652" s="352">
        <f>IF(NFI_Expiration=1,IF($A652&lt;VLOOKUP(K$5,NFI,5,0),1,0)*Table_NFI[[#This Row],[Mosquito net]],Table_NFI[Mosquito net])</f>
        <v>0</v>
      </c>
      <c r="AC652" s="352">
        <f>IF(NFI_Expiration=1,IF($A652&lt;VLOOKUP(L$5,NFI,5,0),1,0)*Table_NFI[[#This Row],[Tarpaulin]],Table_NFI[[#This Row],[Tarpaulin]])</f>
        <v>0</v>
      </c>
      <c r="AD652" s="352">
        <f>IF(NFI_Expiration=1,IF($A652&lt;VLOOKUP(M$5,NFI,5,0),1,0)*Table_NFI[[#This Row],[Blanket]],Table_NFI[[#This Row],[Blanket]])</f>
        <v>0</v>
      </c>
      <c r="AE652" s="352">
        <f>IF(NFI_Expiration=1,IF($A652&lt;VLOOKUP(N$5,NFI,5,0),1,0)*Table_NFI[[#This Row],[Kitchen Set]],Table_NFI[Kitchen Set])</f>
        <v>0</v>
      </c>
      <c r="AF652" s="352">
        <f>IF(NFI_Expiration=1,IF($A652&lt;VLOOKUP(O$5,NFI,5,0),1,0)*Table_NFI[[#This Row],[Clothes Kit]],Table_NFI[Clothes Kit])</f>
        <v>0</v>
      </c>
      <c r="AG652" s="352">
        <f>IF(NFI_Expiration=1,IF($A652&lt;VLOOKUP(P$5,NFI,5,0),1,0)*Table_NFI[[#This Row],[Plastic Bucket]],Table_NFI[Plastic Bucket])</f>
        <v>0</v>
      </c>
      <c r="AH652" s="352">
        <f>IF(NFI_Expiration=1,IF($A652&lt;VLOOKUP(Q$5,NFI,5,0),1,0)*Table_NFI[[#This Row],[Plastic Mat]],Table_NFI[Plastic Mat])*IF(Table_NFI[[#This Row],[Distribution Date]]&gt;"2014-04-01",1,2.5)</f>
        <v>0</v>
      </c>
      <c r="AI652" s="352">
        <f>IF(NFI_Expiration=1,IF($A652&lt;VLOOKUP(R$5,NFI,5,0),1,0)*Table_NFI[[#This Row],[Winter Clothes Adult]],Table_NFI[Winter Clothes Adult])</f>
        <v>0</v>
      </c>
      <c r="AJ652" s="352">
        <f>IF(NFI_Expiration=1,IF($A652&lt;VLOOKUP(S$5,NFI,5,0),1,0)*Table_NFI[[#This Row],[Winter Clothes Children]],Table_NFI[Winter Clothes Children])</f>
        <v>0</v>
      </c>
      <c r="AK652" s="352">
        <f>IF(NFI_Expiration=1,IF($A652&lt;VLOOKUP(T$5,NFI,5,0),1,0)*Table_NFI[[#This Row],[Winter Items Other]],Table_NFI[Winter Items Other])</f>
        <v>0</v>
      </c>
      <c r="AL652" s="352">
        <f>IF(NFI_Expiration=1,IF($A652&lt;VLOOKUP(M$5,NFI,5,0),1,0)*Table_NFI[[#This Row],[Winter Blanket]],Table_NFI[[#This Row],[Winter Blanket]])</f>
        <v>0</v>
      </c>
      <c r="AM652" s="352">
        <f>IF(Table_NFI[[#This Row],[Winter Clothes Adult]]+Table_NFI[[#This Row],[Winter Clothes Children]]+Table_NFI[[#This Row],[Winter Items Other]]+Table_NFI[[#This Row],[Winter Blanket]]&gt;0,1,0)</f>
        <v>0</v>
      </c>
      <c r="AN652" s="392">
        <f>IF(NFI_Expiration=1,IF($A652&lt;VLOOKUP(V$5,NFI,5,0),1,0)*Table_NFI[[#This Row],[Jerry Can]],Table_NFI[Jerry Can])</f>
        <v>0</v>
      </c>
      <c r="AO652" s="540" t="str">
        <f>IFERROR(VLOOKUP(Table_NFI[[#This Row],[Camp Name]],CL,2,0),"")</f>
        <v>MMR001CMP009</v>
      </c>
      <c r="AP652" s="535">
        <f ca="1">IF(Table_NFI[[#This Row],[Pcode]]="","",IF(OFFSET(CampList[Opening Date],MATCH(Table_NFI[[#This Row],[Pcode]],CampList[CP_Pcode],0)-1,0,1,1)&gt;=NFI_Monitor_Date,1,0))</f>
        <v>0</v>
      </c>
      <c r="AQ652" s="540" t="str">
        <f>IFERROR(VLOOKUP(Table_NFI[[#This Row],[Camp Name]],CL,3,0),"")</f>
        <v>Open</v>
      </c>
      <c r="AR652" s="352" t="str">
        <f ca="1">IF(Table_NFI[[#This Row],[Pcode]]="","",OFFSET(CampList[Priority],MATCH(Table_NFI[[#This Row],[Pcode]],CampList[CP_Pcode],0)-1,0,1,1))</f>
        <v>P4</v>
      </c>
      <c r="AS652" s="351">
        <f>IFERROR(Table_NFI[[#This Row],[Kitchen Set]]/VLOOKUP(Table_NFI[[#This Row],[Camp Name]],CL,4,0),"")</f>
        <v>0.2247191011235955</v>
      </c>
      <c r="AT652" s="533" t="s">
        <v>1094</v>
      </c>
      <c r="AU652" s="536"/>
    </row>
    <row r="653" spans="1:47" ht="14.45" customHeight="1" x14ac:dyDescent="0.25">
      <c r="A653" s="355">
        <f t="shared" si="10"/>
        <v>43.833333333333336</v>
      </c>
      <c r="B653" s="532">
        <v>41256</v>
      </c>
      <c r="C653" s="533" t="s">
        <v>453</v>
      </c>
      <c r="D653" s="534" t="s">
        <v>453</v>
      </c>
      <c r="E653" s="533" t="s">
        <v>380</v>
      </c>
      <c r="F653" s="348" t="s">
        <v>237</v>
      </c>
      <c r="G653" s="348" t="s">
        <v>271</v>
      </c>
      <c r="H653" s="349"/>
      <c r="I653" s="349"/>
      <c r="J653" s="349"/>
      <c r="K653" s="349">
        <v>16</v>
      </c>
      <c r="L653" s="350">
        <v>7</v>
      </c>
      <c r="M653" s="350">
        <v>16</v>
      </c>
      <c r="N653" s="350">
        <v>7</v>
      </c>
      <c r="O653" s="350">
        <v>7</v>
      </c>
      <c r="P653" s="352">
        <v>7</v>
      </c>
      <c r="Q653" s="352">
        <v>7</v>
      </c>
      <c r="R653" s="352"/>
      <c r="S653" s="352"/>
      <c r="T653" s="352"/>
      <c r="U653" s="352"/>
      <c r="V653" s="497"/>
      <c r="W653" s="352"/>
      <c r="X653" s="352"/>
      <c r="Y653" s="352">
        <f>IF(NFI_Expiration=1,IF($A653&lt;VLOOKUP(H$5,NFI,5,0),1,0)*Table_NFI[[#This Row],[Hygiene Kit]],Table_NFI[Hygiene Kit])</f>
        <v>0</v>
      </c>
      <c r="Z653" s="352">
        <f>IF(NFI_Expiration=1,IF($A653&lt;VLOOKUP(I$5,NFI,5,0),1,0)*Table_NFI[[#This Row],[NFI Core Kit]],Table_NFI[NFI Core Kit])</f>
        <v>0</v>
      </c>
      <c r="AA653" s="352">
        <f>IF(NFI_Expiration=1,IF($A653&lt;VLOOKUP(J$5,NFI,5,0),1,0)*Table_NFI[[#This Row],[Sanitary Kit]],Table_NFI[Sanitary Kit])</f>
        <v>0</v>
      </c>
      <c r="AB653" s="352">
        <f>IF(NFI_Expiration=1,IF($A653&lt;VLOOKUP(K$5,NFI,5,0),1,0)*Table_NFI[[#This Row],[Mosquito net]],Table_NFI[Mosquito net])</f>
        <v>0</v>
      </c>
      <c r="AC653" s="352">
        <f>IF(NFI_Expiration=1,IF($A653&lt;VLOOKUP(L$5,NFI,5,0),1,0)*Table_NFI[[#This Row],[Tarpaulin]],Table_NFI[[#This Row],[Tarpaulin]])</f>
        <v>0</v>
      </c>
      <c r="AD653" s="352">
        <f>IF(NFI_Expiration=1,IF($A653&lt;VLOOKUP(M$5,NFI,5,0),1,0)*Table_NFI[[#This Row],[Blanket]],Table_NFI[[#This Row],[Blanket]])</f>
        <v>0</v>
      </c>
      <c r="AE653" s="352">
        <f>IF(NFI_Expiration=1,IF($A653&lt;VLOOKUP(N$5,NFI,5,0),1,0)*Table_NFI[[#This Row],[Kitchen Set]],Table_NFI[Kitchen Set])</f>
        <v>0</v>
      </c>
      <c r="AF653" s="352">
        <f>IF(NFI_Expiration=1,IF($A653&lt;VLOOKUP(O$5,NFI,5,0),1,0)*Table_NFI[[#This Row],[Clothes Kit]],Table_NFI[Clothes Kit])</f>
        <v>0</v>
      </c>
      <c r="AG653" s="352">
        <f>IF(NFI_Expiration=1,IF($A653&lt;VLOOKUP(P$5,NFI,5,0),1,0)*Table_NFI[[#This Row],[Plastic Bucket]],Table_NFI[Plastic Bucket])</f>
        <v>0</v>
      </c>
      <c r="AH653" s="352">
        <f>IF(NFI_Expiration=1,IF($A653&lt;VLOOKUP(Q$5,NFI,5,0),1,0)*Table_NFI[[#This Row],[Plastic Mat]],Table_NFI[Plastic Mat])*IF(Table_NFI[[#This Row],[Distribution Date]]&gt;"2014-04-01",1,2.5)</f>
        <v>0</v>
      </c>
      <c r="AI653" s="352">
        <f>IF(NFI_Expiration=1,IF($A653&lt;VLOOKUP(R$5,NFI,5,0),1,0)*Table_NFI[[#This Row],[Winter Clothes Adult]],Table_NFI[Winter Clothes Adult])</f>
        <v>0</v>
      </c>
      <c r="AJ653" s="352">
        <f>IF(NFI_Expiration=1,IF($A653&lt;VLOOKUP(S$5,NFI,5,0),1,0)*Table_NFI[[#This Row],[Winter Clothes Children]],Table_NFI[Winter Clothes Children])</f>
        <v>0</v>
      </c>
      <c r="AK653" s="352">
        <f>IF(NFI_Expiration=1,IF($A653&lt;VLOOKUP(T$5,NFI,5,0),1,0)*Table_NFI[[#This Row],[Winter Items Other]],Table_NFI[Winter Items Other])</f>
        <v>0</v>
      </c>
      <c r="AL653" s="352">
        <f>IF(NFI_Expiration=1,IF($A653&lt;VLOOKUP(M$5,NFI,5,0),1,0)*Table_NFI[[#This Row],[Winter Blanket]],Table_NFI[[#This Row],[Winter Blanket]])</f>
        <v>0</v>
      </c>
      <c r="AM653" s="352">
        <f>IF(Table_NFI[[#This Row],[Winter Clothes Adult]]+Table_NFI[[#This Row],[Winter Clothes Children]]+Table_NFI[[#This Row],[Winter Items Other]]+Table_NFI[[#This Row],[Winter Blanket]]&gt;0,1,0)</f>
        <v>0</v>
      </c>
      <c r="AN653" s="392">
        <f>IF(NFI_Expiration=1,IF($A653&lt;VLOOKUP(V$5,NFI,5,0),1,0)*Table_NFI[[#This Row],[Jerry Can]],Table_NFI[Jerry Can])</f>
        <v>0</v>
      </c>
      <c r="AO653" s="540" t="str">
        <f>IFERROR(VLOOKUP(Table_NFI[[#This Row],[Camp Name]],CL,2,0),"")</f>
        <v>MMR001CMP024</v>
      </c>
      <c r="AP653" s="535">
        <f ca="1">IF(Table_NFI[[#This Row],[Pcode]]="","",IF(OFFSET(CampList[Opening Date],MATCH(Table_NFI[[#This Row],[Pcode]],CampList[CP_Pcode],0)-1,0,1,1)&gt;=NFI_Monitor_Date,1,0))</f>
        <v>0</v>
      </c>
      <c r="AQ653" s="540" t="str">
        <f>IFERROR(VLOOKUP(Table_NFI[[#This Row],[Camp Name]],CL,3,0),"")</f>
        <v>Open</v>
      </c>
      <c r="AR653" s="352" t="str">
        <f ca="1">IF(Table_NFI[[#This Row],[Pcode]]="","",OFFSET(CampList[Priority],MATCH(Table_NFI[[#This Row],[Pcode]],CampList[CP_Pcode],0)-1,0,1,1))</f>
        <v>P4</v>
      </c>
      <c r="AS653" s="351">
        <f>IFERROR(Table_NFI[[#This Row],[Kitchen Set]]/VLOOKUP(Table_NFI[[#This Row],[Camp Name]],CL,4,0),"")</f>
        <v>0.10294117647058823</v>
      </c>
      <c r="AT653" s="533" t="s">
        <v>1094</v>
      </c>
      <c r="AU653" s="536"/>
    </row>
    <row r="654" spans="1:47" ht="14.45" customHeight="1" x14ac:dyDescent="0.25">
      <c r="A654" s="355">
        <f t="shared" si="10"/>
        <v>44.866666666666667</v>
      </c>
      <c r="B654" s="532">
        <v>41225</v>
      </c>
      <c r="C654" s="533" t="s">
        <v>453</v>
      </c>
      <c r="D654" s="534" t="s">
        <v>453</v>
      </c>
      <c r="E654" s="533" t="s">
        <v>380</v>
      </c>
      <c r="F654" s="348" t="s">
        <v>310</v>
      </c>
      <c r="G654" s="348" t="s">
        <v>318</v>
      </c>
      <c r="H654" s="349"/>
      <c r="I654" s="349"/>
      <c r="J654" s="349"/>
      <c r="K654" s="349">
        <v>12</v>
      </c>
      <c r="L654" s="350">
        <v>12</v>
      </c>
      <c r="M654" s="350">
        <v>12</v>
      </c>
      <c r="N654" s="350">
        <v>5</v>
      </c>
      <c r="O654" s="350">
        <v>5</v>
      </c>
      <c r="P654" s="352">
        <v>5</v>
      </c>
      <c r="Q654" s="352">
        <v>5</v>
      </c>
      <c r="R654" s="352"/>
      <c r="S654" s="352"/>
      <c r="T654" s="352"/>
      <c r="U654" s="352"/>
      <c r="V654" s="497"/>
      <c r="W654" s="352"/>
      <c r="X654" s="352"/>
      <c r="Y654" s="352">
        <f>IF(NFI_Expiration=1,IF($A654&lt;VLOOKUP(H$5,NFI,5,0),1,0)*Table_NFI[[#This Row],[Hygiene Kit]],Table_NFI[Hygiene Kit])</f>
        <v>0</v>
      </c>
      <c r="Z654" s="352">
        <f>IF(NFI_Expiration=1,IF($A654&lt;VLOOKUP(I$5,NFI,5,0),1,0)*Table_NFI[[#This Row],[NFI Core Kit]],Table_NFI[NFI Core Kit])</f>
        <v>0</v>
      </c>
      <c r="AA654" s="352">
        <f>IF(NFI_Expiration=1,IF($A654&lt;VLOOKUP(J$5,NFI,5,0),1,0)*Table_NFI[[#This Row],[Sanitary Kit]],Table_NFI[Sanitary Kit])</f>
        <v>0</v>
      </c>
      <c r="AB654" s="352">
        <f>IF(NFI_Expiration=1,IF($A654&lt;VLOOKUP(K$5,NFI,5,0),1,0)*Table_NFI[[#This Row],[Mosquito net]],Table_NFI[Mosquito net])</f>
        <v>0</v>
      </c>
      <c r="AC654" s="352">
        <f>IF(NFI_Expiration=1,IF($A654&lt;VLOOKUP(L$5,NFI,5,0),1,0)*Table_NFI[[#This Row],[Tarpaulin]],Table_NFI[[#This Row],[Tarpaulin]])</f>
        <v>0</v>
      </c>
      <c r="AD654" s="352">
        <f>IF(NFI_Expiration=1,IF($A654&lt;VLOOKUP(M$5,NFI,5,0),1,0)*Table_NFI[[#This Row],[Blanket]],Table_NFI[[#This Row],[Blanket]])</f>
        <v>0</v>
      </c>
      <c r="AE654" s="352">
        <f>IF(NFI_Expiration=1,IF($A654&lt;VLOOKUP(N$5,NFI,5,0),1,0)*Table_NFI[[#This Row],[Kitchen Set]],Table_NFI[Kitchen Set])</f>
        <v>0</v>
      </c>
      <c r="AF654" s="352">
        <f>IF(NFI_Expiration=1,IF($A654&lt;VLOOKUP(O$5,NFI,5,0),1,0)*Table_NFI[[#This Row],[Clothes Kit]],Table_NFI[Clothes Kit])</f>
        <v>0</v>
      </c>
      <c r="AG654" s="352">
        <f>IF(NFI_Expiration=1,IF($A654&lt;VLOOKUP(P$5,NFI,5,0),1,0)*Table_NFI[[#This Row],[Plastic Bucket]],Table_NFI[Plastic Bucket])</f>
        <v>0</v>
      </c>
      <c r="AH654" s="352">
        <f>IF(NFI_Expiration=1,IF($A654&lt;VLOOKUP(Q$5,NFI,5,0),1,0)*Table_NFI[[#This Row],[Plastic Mat]],Table_NFI[Plastic Mat])*IF(Table_NFI[[#This Row],[Distribution Date]]&gt;"2014-04-01",1,2.5)</f>
        <v>0</v>
      </c>
      <c r="AI654" s="352">
        <f>IF(NFI_Expiration=1,IF($A654&lt;VLOOKUP(R$5,NFI,5,0),1,0)*Table_NFI[[#This Row],[Winter Clothes Adult]],Table_NFI[Winter Clothes Adult])</f>
        <v>0</v>
      </c>
      <c r="AJ654" s="352">
        <f>IF(NFI_Expiration=1,IF($A654&lt;VLOOKUP(S$5,NFI,5,0),1,0)*Table_NFI[[#This Row],[Winter Clothes Children]],Table_NFI[Winter Clothes Children])</f>
        <v>0</v>
      </c>
      <c r="AK654" s="352">
        <f>IF(NFI_Expiration=1,IF($A654&lt;VLOOKUP(T$5,NFI,5,0),1,0)*Table_NFI[[#This Row],[Winter Items Other]],Table_NFI[Winter Items Other])</f>
        <v>0</v>
      </c>
      <c r="AL654" s="352">
        <f>IF(NFI_Expiration=1,IF($A654&lt;VLOOKUP(M$5,NFI,5,0),1,0)*Table_NFI[[#This Row],[Winter Blanket]],Table_NFI[[#This Row],[Winter Blanket]])</f>
        <v>0</v>
      </c>
      <c r="AM654" s="352">
        <f>IF(Table_NFI[[#This Row],[Winter Clothes Adult]]+Table_NFI[[#This Row],[Winter Clothes Children]]+Table_NFI[[#This Row],[Winter Items Other]]+Table_NFI[[#This Row],[Winter Blanket]]&gt;0,1,0)</f>
        <v>0</v>
      </c>
      <c r="AN654" s="392">
        <f>IF(NFI_Expiration=1,IF($A654&lt;VLOOKUP(V$5,NFI,5,0),1,0)*Table_NFI[[#This Row],[Jerry Can]],Table_NFI[Jerry Can])</f>
        <v>0</v>
      </c>
      <c r="AO654" s="540" t="str">
        <f>IFERROR(VLOOKUP(Table_NFI[[#This Row],[Camp Name]],CL,2,0),"")</f>
        <v>MMR001CMP032</v>
      </c>
      <c r="AP654" s="535">
        <f ca="1">IF(Table_NFI[[#This Row],[Pcode]]="","",IF(OFFSET(CampList[Opening Date],MATCH(Table_NFI[[#This Row],[Pcode]],CampList[CP_Pcode],0)-1,0,1,1)&gt;=NFI_Monitor_Date,1,0))</f>
        <v>0</v>
      </c>
      <c r="AQ654" s="540" t="str">
        <f>IFERROR(VLOOKUP(Table_NFI[[#This Row],[Camp Name]],CL,3,0),"")</f>
        <v>Open</v>
      </c>
      <c r="AR654" s="352" t="str">
        <f ca="1">IF(Table_NFI[[#This Row],[Pcode]]="","",OFFSET(CampList[Priority],MATCH(Table_NFI[[#This Row],[Pcode]],CampList[CP_Pcode],0)-1,0,1,1))</f>
        <v>P4</v>
      </c>
      <c r="AS654" s="351">
        <f>IFERROR(Table_NFI[[#This Row],[Kitchen Set]]/VLOOKUP(Table_NFI[[#This Row],[Camp Name]],CL,4,0),"")</f>
        <v>5.4945054945054944E-2</v>
      </c>
      <c r="AT654" s="533" t="s">
        <v>1094</v>
      </c>
      <c r="AU654" s="536"/>
    </row>
    <row r="655" spans="1:47" ht="14.45" customHeight="1" x14ac:dyDescent="0.25">
      <c r="A655" s="355">
        <f t="shared" si="10"/>
        <v>44.93333333333333</v>
      </c>
      <c r="B655" s="532">
        <v>41223</v>
      </c>
      <c r="C655" s="533" t="s">
        <v>453</v>
      </c>
      <c r="D655" s="533" t="s">
        <v>453</v>
      </c>
      <c r="E655" s="533" t="s">
        <v>380</v>
      </c>
      <c r="F655" s="533" t="s">
        <v>528</v>
      </c>
      <c r="G655" s="348" t="s">
        <v>88</v>
      </c>
      <c r="H655" s="349"/>
      <c r="I655" s="349"/>
      <c r="J655" s="349"/>
      <c r="K655" s="349">
        <v>12</v>
      </c>
      <c r="L655" s="350">
        <v>0</v>
      </c>
      <c r="M655" s="350">
        <v>12</v>
      </c>
      <c r="N655" s="350">
        <v>0</v>
      </c>
      <c r="O655" s="350">
        <v>0</v>
      </c>
      <c r="P655" s="352"/>
      <c r="Q655" s="352"/>
      <c r="R655" s="352"/>
      <c r="S655" s="352"/>
      <c r="T655" s="352"/>
      <c r="U655" s="352"/>
      <c r="V655" s="497"/>
      <c r="W655" s="352"/>
      <c r="X655" s="352"/>
      <c r="Y655" s="352">
        <f>IF(NFI_Expiration=1,IF($A655&lt;VLOOKUP(H$5,NFI,5,0),1,0)*Table_NFI[[#This Row],[Hygiene Kit]],Table_NFI[Hygiene Kit])</f>
        <v>0</v>
      </c>
      <c r="Z655" s="352">
        <f>IF(NFI_Expiration=1,IF($A655&lt;VLOOKUP(I$5,NFI,5,0),1,0)*Table_NFI[[#This Row],[NFI Core Kit]],Table_NFI[NFI Core Kit])</f>
        <v>0</v>
      </c>
      <c r="AA655" s="352">
        <f>IF(NFI_Expiration=1,IF($A655&lt;VLOOKUP(J$5,NFI,5,0),1,0)*Table_NFI[[#This Row],[Sanitary Kit]],Table_NFI[Sanitary Kit])</f>
        <v>0</v>
      </c>
      <c r="AB655" s="352">
        <f>IF(NFI_Expiration=1,IF($A655&lt;VLOOKUP(K$5,NFI,5,0),1,0)*Table_NFI[[#This Row],[Mosquito net]],Table_NFI[Mosquito net])</f>
        <v>0</v>
      </c>
      <c r="AC655" s="352">
        <f>IF(NFI_Expiration=1,IF($A655&lt;VLOOKUP(L$5,NFI,5,0),1,0)*Table_NFI[[#This Row],[Tarpaulin]],Table_NFI[[#This Row],[Tarpaulin]])</f>
        <v>0</v>
      </c>
      <c r="AD655" s="352">
        <f>IF(NFI_Expiration=1,IF($A655&lt;VLOOKUP(M$5,NFI,5,0),1,0)*Table_NFI[[#This Row],[Blanket]],Table_NFI[[#This Row],[Blanket]])</f>
        <v>0</v>
      </c>
      <c r="AE655" s="352">
        <f>IF(NFI_Expiration=1,IF($A655&lt;VLOOKUP(N$5,NFI,5,0),1,0)*Table_NFI[[#This Row],[Kitchen Set]],Table_NFI[Kitchen Set])</f>
        <v>0</v>
      </c>
      <c r="AF655" s="352">
        <f>IF(NFI_Expiration=1,IF($A655&lt;VLOOKUP(O$5,NFI,5,0),1,0)*Table_NFI[[#This Row],[Clothes Kit]],Table_NFI[Clothes Kit])</f>
        <v>0</v>
      </c>
      <c r="AG655" s="352">
        <f>IF(NFI_Expiration=1,IF($A655&lt;VLOOKUP(P$5,NFI,5,0),1,0)*Table_NFI[[#This Row],[Plastic Bucket]],Table_NFI[Plastic Bucket])</f>
        <v>0</v>
      </c>
      <c r="AH655" s="352">
        <f>IF(NFI_Expiration=1,IF($A655&lt;VLOOKUP(Q$5,NFI,5,0),1,0)*Table_NFI[[#This Row],[Plastic Mat]],Table_NFI[Plastic Mat])*IF(Table_NFI[[#This Row],[Distribution Date]]&gt;"2014-04-01",1,2.5)</f>
        <v>0</v>
      </c>
      <c r="AI655" s="352">
        <f>IF(NFI_Expiration=1,IF($A655&lt;VLOOKUP(R$5,NFI,5,0),1,0)*Table_NFI[[#This Row],[Winter Clothes Adult]],Table_NFI[Winter Clothes Adult])</f>
        <v>0</v>
      </c>
      <c r="AJ655" s="352">
        <f>IF(NFI_Expiration=1,IF($A655&lt;VLOOKUP(S$5,NFI,5,0),1,0)*Table_NFI[[#This Row],[Winter Clothes Children]],Table_NFI[Winter Clothes Children])</f>
        <v>0</v>
      </c>
      <c r="AK655" s="352">
        <f>IF(NFI_Expiration=1,IF($A655&lt;VLOOKUP(T$5,NFI,5,0),1,0)*Table_NFI[[#This Row],[Winter Items Other]],Table_NFI[Winter Items Other])</f>
        <v>0</v>
      </c>
      <c r="AL655" s="352">
        <f>IF(NFI_Expiration=1,IF($A655&lt;VLOOKUP(M$5,NFI,5,0),1,0)*Table_NFI[[#This Row],[Winter Blanket]],Table_NFI[[#This Row],[Winter Blanket]])</f>
        <v>0</v>
      </c>
      <c r="AM655" s="352">
        <f>IF(Table_NFI[[#This Row],[Winter Clothes Adult]]+Table_NFI[[#This Row],[Winter Clothes Children]]+Table_NFI[[#This Row],[Winter Items Other]]+Table_NFI[[#This Row],[Winter Blanket]]&gt;0,1,0)</f>
        <v>0</v>
      </c>
      <c r="AN655" s="392">
        <f>IF(NFI_Expiration=1,IF($A655&lt;VLOOKUP(V$5,NFI,5,0),1,0)*Table_NFI[[#This Row],[Jerry Can]],Table_NFI[Jerry Can])</f>
        <v>0</v>
      </c>
      <c r="AO655" s="540" t="str">
        <f>IFERROR(VLOOKUP(Table_NFI[[#This Row],[Camp Name]],CL,2,0),"")</f>
        <v>MMR001CMP148</v>
      </c>
      <c r="AP655" s="535">
        <f ca="1">IF(Table_NFI[[#This Row],[Pcode]]="","",IF(OFFSET(CampList[Opening Date],MATCH(Table_NFI[[#This Row],[Pcode]],CampList[CP_Pcode],0)-1,0,1,1)&gt;=NFI_Monitor_Date,1,0))</f>
        <v>0</v>
      </c>
      <c r="AQ655" s="540" t="str">
        <f>IFERROR(VLOOKUP(Table_NFI[[#This Row],[Camp Name]],CL,3,0),"")</f>
        <v>Open</v>
      </c>
      <c r="AR655" s="352" t="str">
        <f ca="1">IF(Table_NFI[[#This Row],[Pcode]]="","",OFFSET(CampList[Priority],MATCH(Table_NFI[[#This Row],[Pcode]],CampList[CP_Pcode],0)-1,0,1,1))</f>
        <v>P4</v>
      </c>
      <c r="AS655" s="351">
        <f>IFERROR(Table_NFI[[#This Row],[Kitchen Set]]/VLOOKUP(Table_NFI[[#This Row],[Camp Name]],CL,4,0),"")</f>
        <v>0</v>
      </c>
      <c r="AT655" s="533" t="s">
        <v>1094</v>
      </c>
      <c r="AU655" s="536"/>
    </row>
    <row r="656" spans="1:47" hidden="1" x14ac:dyDescent="0.25">
      <c r="A656" s="355">
        <f t="shared" si="10"/>
        <v>32.1</v>
      </c>
      <c r="B656" s="532">
        <v>41608</v>
      </c>
      <c r="C656" s="533" t="s">
        <v>907</v>
      </c>
      <c r="D656" s="533"/>
      <c r="E656" s="533" t="s">
        <v>380</v>
      </c>
      <c r="F656" s="348" t="s">
        <v>5</v>
      </c>
      <c r="G656" s="348" t="s">
        <v>20</v>
      </c>
      <c r="H656" s="349"/>
      <c r="I656" s="349"/>
      <c r="J656" s="349"/>
      <c r="K656" s="349"/>
      <c r="L656" s="350"/>
      <c r="M656" s="350"/>
      <c r="N656" s="350"/>
      <c r="O656" s="350"/>
      <c r="P656" s="352"/>
      <c r="Q656" s="352">
        <v>57</v>
      </c>
      <c r="R656" s="352"/>
      <c r="S656" s="352"/>
      <c r="T656" s="352"/>
      <c r="U656" s="352"/>
      <c r="V656" s="497"/>
      <c r="W656" s="352"/>
      <c r="X656" s="352"/>
      <c r="Y656" s="352">
        <f>IF(NFI_Expiration=1,IF($A656&lt;VLOOKUP(H$5,NFI,5,0),1,0)*Table_NFI[[#This Row],[Hygiene Kit]],Table_NFI[Hygiene Kit])</f>
        <v>0</v>
      </c>
      <c r="Z656" s="352">
        <f>IF(NFI_Expiration=1,IF($A656&lt;VLOOKUP(I$5,NFI,5,0),1,0)*Table_NFI[[#This Row],[NFI Core Kit]],Table_NFI[NFI Core Kit])</f>
        <v>0</v>
      </c>
      <c r="AA656" s="352">
        <f>IF(NFI_Expiration=1,IF($A656&lt;VLOOKUP(J$5,NFI,5,0),1,0)*Table_NFI[[#This Row],[Sanitary Kit]],Table_NFI[Sanitary Kit])</f>
        <v>0</v>
      </c>
      <c r="AB656" s="352">
        <f>IF(NFI_Expiration=1,IF($A656&lt;VLOOKUP(K$5,NFI,5,0),1,0)*Table_NFI[[#This Row],[Mosquito net]],Table_NFI[Mosquito net])</f>
        <v>0</v>
      </c>
      <c r="AC656" s="352">
        <f>IF(NFI_Expiration=1,IF($A656&lt;VLOOKUP(L$5,NFI,5,0),1,0)*Table_NFI[[#This Row],[Tarpaulin]],Table_NFI[[#This Row],[Tarpaulin]])</f>
        <v>0</v>
      </c>
      <c r="AD656" s="352">
        <f>IF(NFI_Expiration=1,IF($A656&lt;VLOOKUP(M$5,NFI,5,0),1,0)*Table_NFI[[#This Row],[Blanket]],Table_NFI[[#This Row],[Blanket]])</f>
        <v>0</v>
      </c>
      <c r="AE656" s="352">
        <f>IF(NFI_Expiration=1,IF($A656&lt;VLOOKUP(N$5,NFI,5,0),1,0)*Table_NFI[[#This Row],[Kitchen Set]],Table_NFI[Kitchen Set])</f>
        <v>0</v>
      </c>
      <c r="AF656" s="352">
        <f>IF(NFI_Expiration=1,IF($A656&lt;VLOOKUP(O$5,NFI,5,0),1,0)*Table_NFI[[#This Row],[Clothes Kit]],Table_NFI[Clothes Kit])</f>
        <v>0</v>
      </c>
      <c r="AG656" s="352">
        <f>IF(NFI_Expiration=1,IF($A656&lt;VLOOKUP(P$5,NFI,5,0),1,0)*Table_NFI[[#This Row],[Plastic Bucket]],Table_NFI[Plastic Bucket])</f>
        <v>0</v>
      </c>
      <c r="AH656" s="352">
        <f>IF(NFI_Expiration=1,IF($A656&lt;VLOOKUP(Q$5,NFI,5,0),1,0)*Table_NFI[[#This Row],[Plastic Mat]],Table_NFI[Plastic Mat])*IF(Table_NFI[[#This Row],[Distribution Date]]&gt;"2014-04-01",1,2.5)</f>
        <v>0</v>
      </c>
      <c r="AI656" s="352">
        <f>IF(NFI_Expiration=1,IF($A656&lt;VLOOKUP(R$5,NFI,5,0),1,0)*Table_NFI[[#This Row],[Winter Clothes Adult]],Table_NFI[Winter Clothes Adult])</f>
        <v>0</v>
      </c>
      <c r="AJ656" s="352">
        <f>IF(NFI_Expiration=1,IF($A656&lt;VLOOKUP(S$5,NFI,5,0),1,0)*Table_NFI[[#This Row],[Winter Clothes Children]],Table_NFI[Winter Clothes Children])</f>
        <v>0</v>
      </c>
      <c r="AK656" s="352">
        <f>IF(NFI_Expiration=1,IF($A656&lt;VLOOKUP(T$5,NFI,5,0),1,0)*Table_NFI[[#This Row],[Winter Items Other]],Table_NFI[Winter Items Other])</f>
        <v>0</v>
      </c>
      <c r="AL656" s="352">
        <f>IF(NFI_Expiration=1,IF($A656&lt;VLOOKUP(M$5,NFI,5,0),1,0)*Table_NFI[[#This Row],[Winter Blanket]],Table_NFI[[#This Row],[Winter Blanket]])</f>
        <v>0</v>
      </c>
      <c r="AM656" s="352">
        <f>IF(Table_NFI[[#This Row],[Winter Clothes Adult]]+Table_NFI[[#This Row],[Winter Clothes Children]]+Table_NFI[[#This Row],[Winter Items Other]]+Table_NFI[[#This Row],[Winter Blanket]]&gt;0,1,0)</f>
        <v>0</v>
      </c>
      <c r="AN656" s="392">
        <f>IF(NFI_Expiration=1,IF($A656&lt;VLOOKUP(V$5,NFI,5,0),1,0)*Table_NFI[[#This Row],[Jerry Can]],Table_NFI[Jerry Can])</f>
        <v>0</v>
      </c>
      <c r="AO656" s="540" t="str">
        <f>IFERROR(VLOOKUP(Table_NFI[[#This Row],[Camp Name]],CL,2,0),"")</f>
        <v>MMR001CMP054</v>
      </c>
      <c r="AP656" s="535">
        <f ca="1">IF(Table_NFI[[#This Row],[Pcode]]="","",IF(OFFSET(CampList[Opening Date],MATCH(Table_NFI[[#This Row],[Pcode]],CampList[CP_Pcode],0)-1,0,1,1)&gt;=NFI_Monitor_Date,1,0))</f>
        <v>0</v>
      </c>
      <c r="AQ656" s="540" t="str">
        <f>IFERROR(VLOOKUP(Table_NFI[[#This Row],[Camp Name]],CL,3,0),"")</f>
        <v>Open</v>
      </c>
      <c r="AR656" s="352" t="str">
        <f ca="1">IF(Table_NFI[[#This Row],[Pcode]]="","",OFFSET(CampList[Priority],MATCH(Table_NFI[[#This Row],[Pcode]],CampList[CP_Pcode],0)-1,0,1,1))</f>
        <v>P4</v>
      </c>
      <c r="AS656" s="351">
        <f>IFERROR(Table_NFI[[#This Row],[Kitchen Set]]/VLOOKUP(Table_NFI[[#This Row],[Camp Name]],CL,4,0),"")</f>
        <v>0</v>
      </c>
      <c r="AT656" s="533" t="s">
        <v>1094</v>
      </c>
      <c r="AU656" s="536"/>
    </row>
    <row r="657" spans="1:47" hidden="1" x14ac:dyDescent="0.25">
      <c r="A657" s="355">
        <f t="shared" si="10"/>
        <v>50.1</v>
      </c>
      <c r="B657" s="532">
        <v>41068</v>
      </c>
      <c r="C657" s="533" t="s">
        <v>907</v>
      </c>
      <c r="D657" s="533" t="s">
        <v>907</v>
      </c>
      <c r="E657" s="533" t="s">
        <v>380</v>
      </c>
      <c r="F657" s="348" t="s">
        <v>5</v>
      </c>
      <c r="G657" s="348" t="s">
        <v>20</v>
      </c>
      <c r="H657" s="352">
        <v>21</v>
      </c>
      <c r="I657" s="349"/>
      <c r="J657" s="349"/>
      <c r="K657" s="349"/>
      <c r="L657" s="350"/>
      <c r="M657" s="350"/>
      <c r="N657" s="350"/>
      <c r="O657" s="350"/>
      <c r="P657" s="352"/>
      <c r="Q657" s="392"/>
      <c r="R657" s="392"/>
      <c r="S657" s="392"/>
      <c r="T657" s="392"/>
      <c r="U657" s="392"/>
      <c r="V657" s="497"/>
      <c r="W657" s="392"/>
      <c r="X657" s="392"/>
      <c r="Y657" s="352">
        <f>IF(NFI_Expiration=1,IF($A657&lt;VLOOKUP(H$5,NFI,5,0),1,0)*Table_NFI[[#This Row],[Hygiene Kit]],Table_NFI[Hygiene Kit])</f>
        <v>0</v>
      </c>
      <c r="Z657" s="352">
        <f>IF(NFI_Expiration=1,IF($A657&lt;VLOOKUP(I$5,NFI,5,0),1,0)*Table_NFI[[#This Row],[NFI Core Kit]],Table_NFI[NFI Core Kit])</f>
        <v>0</v>
      </c>
      <c r="AA657" s="352">
        <f>IF(NFI_Expiration=1,IF($A657&lt;VLOOKUP(J$5,NFI,5,0),1,0)*Table_NFI[[#This Row],[Sanitary Kit]],Table_NFI[Sanitary Kit])</f>
        <v>0</v>
      </c>
      <c r="AB657" s="352">
        <f>IF(NFI_Expiration=1,IF($A657&lt;VLOOKUP(K$5,NFI,5,0),1,0)*Table_NFI[[#This Row],[Mosquito net]],Table_NFI[Mosquito net])</f>
        <v>0</v>
      </c>
      <c r="AC657" s="352">
        <f>IF(NFI_Expiration=1,IF($A657&lt;VLOOKUP(L$5,NFI,5,0),1,0)*Table_NFI[[#This Row],[Tarpaulin]],Table_NFI[[#This Row],[Tarpaulin]])</f>
        <v>0</v>
      </c>
      <c r="AD657" s="352">
        <f>IF(NFI_Expiration=1,IF($A657&lt;VLOOKUP(M$5,NFI,5,0),1,0)*Table_NFI[[#This Row],[Blanket]],Table_NFI[[#This Row],[Blanket]])</f>
        <v>0</v>
      </c>
      <c r="AE657" s="352">
        <f>IF(NFI_Expiration=1,IF($A657&lt;VLOOKUP(N$5,NFI,5,0),1,0)*Table_NFI[[#This Row],[Kitchen Set]],Table_NFI[Kitchen Set])</f>
        <v>0</v>
      </c>
      <c r="AF657" s="352">
        <f>IF(NFI_Expiration=1,IF($A657&lt;VLOOKUP(O$5,NFI,5,0),1,0)*Table_NFI[[#This Row],[Clothes Kit]],Table_NFI[Clothes Kit])</f>
        <v>0</v>
      </c>
      <c r="AG657" s="352">
        <f>IF(NFI_Expiration=1,IF($A657&lt;VLOOKUP(P$5,NFI,5,0),1,0)*Table_NFI[[#This Row],[Plastic Bucket]],Table_NFI[Plastic Bucket])</f>
        <v>0</v>
      </c>
      <c r="AH657" s="352">
        <f>IF(NFI_Expiration=1,IF($A657&lt;VLOOKUP(Q$5,NFI,5,0),1,0)*Table_NFI[[#This Row],[Plastic Mat]],Table_NFI[Plastic Mat])*IF(Table_NFI[[#This Row],[Distribution Date]]&gt;"2014-04-01",1,2.5)</f>
        <v>0</v>
      </c>
      <c r="AI657" s="352">
        <f>IF(NFI_Expiration=1,IF($A657&lt;VLOOKUP(R$5,NFI,5,0),1,0)*Table_NFI[[#This Row],[Winter Clothes Adult]],Table_NFI[Winter Clothes Adult])</f>
        <v>0</v>
      </c>
      <c r="AJ657" s="352">
        <f>IF(NFI_Expiration=1,IF($A657&lt;VLOOKUP(S$5,NFI,5,0),1,0)*Table_NFI[[#This Row],[Winter Clothes Children]],Table_NFI[Winter Clothes Children])</f>
        <v>0</v>
      </c>
      <c r="AK657" s="352">
        <f>IF(NFI_Expiration=1,IF($A657&lt;VLOOKUP(T$5,NFI,5,0),1,0)*Table_NFI[[#This Row],[Winter Items Other]],Table_NFI[Winter Items Other])</f>
        <v>0</v>
      </c>
      <c r="AL657" s="352">
        <f>IF(NFI_Expiration=1,IF($A657&lt;VLOOKUP(M$5,NFI,5,0),1,0)*Table_NFI[[#This Row],[Winter Blanket]],Table_NFI[[#This Row],[Winter Blanket]])</f>
        <v>0</v>
      </c>
      <c r="AM657" s="352">
        <f>IF(Table_NFI[[#This Row],[Winter Clothes Adult]]+Table_NFI[[#This Row],[Winter Clothes Children]]+Table_NFI[[#This Row],[Winter Items Other]]+Table_NFI[[#This Row],[Winter Blanket]]&gt;0,1,0)</f>
        <v>0</v>
      </c>
      <c r="AN657" s="392">
        <f>IF(NFI_Expiration=1,IF($A657&lt;VLOOKUP(V$5,NFI,5,0),1,0)*Table_NFI[[#This Row],[Jerry Can]],Table_NFI[Jerry Can])</f>
        <v>0</v>
      </c>
      <c r="AO657" s="540" t="str">
        <f>IFERROR(VLOOKUP(Table_NFI[[#This Row],[Camp Name]],CL,2,0),"")</f>
        <v>MMR001CMP054</v>
      </c>
      <c r="AP657" s="535">
        <f ca="1">IF(Table_NFI[[#This Row],[Pcode]]="","",IF(OFFSET(CampList[Opening Date],MATCH(Table_NFI[[#This Row],[Pcode]],CampList[CP_Pcode],0)-1,0,1,1)&gt;=NFI_Monitor_Date,1,0))</f>
        <v>0</v>
      </c>
      <c r="AQ657" s="540" t="str">
        <f>IFERROR(VLOOKUP(Table_NFI[[#This Row],[Camp Name]],CL,3,0),"")</f>
        <v>Open</v>
      </c>
      <c r="AR657" s="352" t="str">
        <f ca="1">IF(Table_NFI[[#This Row],[Pcode]]="","",OFFSET(CampList[Priority],MATCH(Table_NFI[[#This Row],[Pcode]],CampList[CP_Pcode],0)-1,0,1,1))</f>
        <v>P4</v>
      </c>
      <c r="AS657" s="351">
        <f>IFERROR(Table_NFI[[#This Row],[Kitchen Set]]/VLOOKUP(Table_NFI[[#This Row],[Camp Name]],CL,4,0),"")</f>
        <v>0</v>
      </c>
      <c r="AT657" s="533"/>
      <c r="AU657" s="536"/>
    </row>
    <row r="658" spans="1:47" hidden="1" x14ac:dyDescent="0.25">
      <c r="A658" s="355">
        <f t="shared" si="10"/>
        <v>54.166666666666664</v>
      </c>
      <c r="B658" s="532">
        <v>40946</v>
      </c>
      <c r="C658" s="533" t="s">
        <v>907</v>
      </c>
      <c r="D658" s="533" t="s">
        <v>907</v>
      </c>
      <c r="E658" s="533" t="s">
        <v>380</v>
      </c>
      <c r="F658" s="348" t="s">
        <v>5</v>
      </c>
      <c r="G658" s="348" t="s">
        <v>20</v>
      </c>
      <c r="H658" s="352">
        <v>90</v>
      </c>
      <c r="I658" s="349"/>
      <c r="J658" s="349"/>
      <c r="K658" s="349"/>
      <c r="L658" s="350"/>
      <c r="M658" s="350"/>
      <c r="N658" s="350"/>
      <c r="O658" s="350"/>
      <c r="P658" s="352"/>
      <c r="Q658" s="392"/>
      <c r="R658" s="392"/>
      <c r="S658" s="392"/>
      <c r="T658" s="392"/>
      <c r="U658" s="392"/>
      <c r="V658" s="497"/>
      <c r="W658" s="392"/>
      <c r="X658" s="392"/>
      <c r="Y658" s="352">
        <f>IF(NFI_Expiration=1,IF($A658&lt;VLOOKUP(H$5,NFI,5,0),1,0)*Table_NFI[[#This Row],[Hygiene Kit]],Table_NFI[Hygiene Kit])</f>
        <v>0</v>
      </c>
      <c r="Z658" s="352">
        <f>IF(NFI_Expiration=1,IF($A658&lt;VLOOKUP(I$5,NFI,5,0),1,0)*Table_NFI[[#This Row],[NFI Core Kit]],Table_NFI[NFI Core Kit])</f>
        <v>0</v>
      </c>
      <c r="AA658" s="352">
        <f>IF(NFI_Expiration=1,IF($A658&lt;VLOOKUP(J$5,NFI,5,0),1,0)*Table_NFI[[#This Row],[Sanitary Kit]],Table_NFI[Sanitary Kit])</f>
        <v>0</v>
      </c>
      <c r="AB658" s="352">
        <f>IF(NFI_Expiration=1,IF($A658&lt;VLOOKUP(K$5,NFI,5,0),1,0)*Table_NFI[[#This Row],[Mosquito net]],Table_NFI[Mosquito net])</f>
        <v>0</v>
      </c>
      <c r="AC658" s="352">
        <f>IF(NFI_Expiration=1,IF($A658&lt;VLOOKUP(L$5,NFI,5,0),1,0)*Table_NFI[[#This Row],[Tarpaulin]],Table_NFI[[#This Row],[Tarpaulin]])</f>
        <v>0</v>
      </c>
      <c r="AD658" s="352">
        <f>IF(NFI_Expiration=1,IF($A658&lt;VLOOKUP(M$5,NFI,5,0),1,0)*Table_NFI[[#This Row],[Blanket]],Table_NFI[[#This Row],[Blanket]])</f>
        <v>0</v>
      </c>
      <c r="AE658" s="352">
        <f>IF(NFI_Expiration=1,IF($A658&lt;VLOOKUP(N$5,NFI,5,0),1,0)*Table_NFI[[#This Row],[Kitchen Set]],Table_NFI[Kitchen Set])</f>
        <v>0</v>
      </c>
      <c r="AF658" s="352">
        <f>IF(NFI_Expiration=1,IF($A658&lt;VLOOKUP(O$5,NFI,5,0),1,0)*Table_NFI[[#This Row],[Clothes Kit]],Table_NFI[Clothes Kit])</f>
        <v>0</v>
      </c>
      <c r="AG658" s="352">
        <f>IF(NFI_Expiration=1,IF($A658&lt;VLOOKUP(P$5,NFI,5,0),1,0)*Table_NFI[[#This Row],[Plastic Bucket]],Table_NFI[Plastic Bucket])</f>
        <v>0</v>
      </c>
      <c r="AH658" s="352">
        <f>IF(NFI_Expiration=1,IF($A658&lt;VLOOKUP(Q$5,NFI,5,0),1,0)*Table_NFI[[#This Row],[Plastic Mat]],Table_NFI[Plastic Mat])*IF(Table_NFI[[#This Row],[Distribution Date]]&gt;"2014-04-01",1,2.5)</f>
        <v>0</v>
      </c>
      <c r="AI658" s="352">
        <f>IF(NFI_Expiration=1,IF($A658&lt;VLOOKUP(R$5,NFI,5,0),1,0)*Table_NFI[[#This Row],[Winter Clothes Adult]],Table_NFI[Winter Clothes Adult])</f>
        <v>0</v>
      </c>
      <c r="AJ658" s="352">
        <f>IF(NFI_Expiration=1,IF($A658&lt;VLOOKUP(S$5,NFI,5,0),1,0)*Table_NFI[[#This Row],[Winter Clothes Children]],Table_NFI[Winter Clothes Children])</f>
        <v>0</v>
      </c>
      <c r="AK658" s="352">
        <f>IF(NFI_Expiration=1,IF($A658&lt;VLOOKUP(T$5,NFI,5,0),1,0)*Table_NFI[[#This Row],[Winter Items Other]],Table_NFI[Winter Items Other])</f>
        <v>0</v>
      </c>
      <c r="AL658" s="352">
        <f>IF(NFI_Expiration=1,IF($A658&lt;VLOOKUP(M$5,NFI,5,0),1,0)*Table_NFI[[#This Row],[Winter Blanket]],Table_NFI[[#This Row],[Winter Blanket]])</f>
        <v>0</v>
      </c>
      <c r="AM658" s="352">
        <f>IF(Table_NFI[[#This Row],[Winter Clothes Adult]]+Table_NFI[[#This Row],[Winter Clothes Children]]+Table_NFI[[#This Row],[Winter Items Other]]+Table_NFI[[#This Row],[Winter Blanket]]&gt;0,1,0)</f>
        <v>0</v>
      </c>
      <c r="AN658" s="392">
        <f>IF(NFI_Expiration=1,IF($A658&lt;VLOOKUP(V$5,NFI,5,0),1,0)*Table_NFI[[#This Row],[Jerry Can]],Table_NFI[Jerry Can])</f>
        <v>0</v>
      </c>
      <c r="AO658" s="540" t="str">
        <f>IFERROR(VLOOKUP(Table_NFI[[#This Row],[Camp Name]],CL,2,0),"")</f>
        <v>MMR001CMP054</v>
      </c>
      <c r="AP658" s="535">
        <f ca="1">IF(Table_NFI[[#This Row],[Pcode]]="","",IF(OFFSET(CampList[Opening Date],MATCH(Table_NFI[[#This Row],[Pcode]],CampList[CP_Pcode],0)-1,0,1,1)&gt;=NFI_Monitor_Date,1,0))</f>
        <v>0</v>
      </c>
      <c r="AQ658" s="540" t="str">
        <f>IFERROR(VLOOKUP(Table_NFI[[#This Row],[Camp Name]],CL,3,0),"")</f>
        <v>Open</v>
      </c>
      <c r="AR658" s="352" t="str">
        <f ca="1">IF(Table_NFI[[#This Row],[Pcode]]="","",OFFSET(CampList[Priority],MATCH(Table_NFI[[#This Row],[Pcode]],CampList[CP_Pcode],0)-1,0,1,1))</f>
        <v>P4</v>
      </c>
      <c r="AS658" s="351">
        <f>IFERROR(Table_NFI[[#This Row],[Kitchen Set]]/VLOOKUP(Table_NFI[[#This Row],[Camp Name]],CL,4,0),"")</f>
        <v>0</v>
      </c>
      <c r="AT658" s="533"/>
      <c r="AU658" s="536"/>
    </row>
    <row r="659" spans="1:47" hidden="1" x14ac:dyDescent="0.25">
      <c r="A659" s="355">
        <f t="shared" si="10"/>
        <v>42.533333333333331</v>
      </c>
      <c r="B659" s="532">
        <v>41295</v>
      </c>
      <c r="C659" s="533" t="s">
        <v>907</v>
      </c>
      <c r="D659" s="533" t="s">
        <v>907</v>
      </c>
      <c r="E659" s="533" t="s">
        <v>380</v>
      </c>
      <c r="F659" s="348" t="s">
        <v>5</v>
      </c>
      <c r="G659" s="348" t="s">
        <v>20</v>
      </c>
      <c r="H659" s="349">
        <v>85</v>
      </c>
      <c r="I659" s="349"/>
      <c r="J659" s="349"/>
      <c r="K659" s="349"/>
      <c r="L659" s="350"/>
      <c r="M659" s="350"/>
      <c r="N659" s="350"/>
      <c r="O659" s="350"/>
      <c r="P659" s="352">
        <v>0</v>
      </c>
      <c r="Q659" s="352">
        <v>0</v>
      </c>
      <c r="R659" s="352"/>
      <c r="S659" s="352"/>
      <c r="T659" s="352"/>
      <c r="U659" s="352"/>
      <c r="V659" s="497"/>
      <c r="W659" s="352"/>
      <c r="X659" s="352"/>
      <c r="Y659" s="352">
        <f>IF(NFI_Expiration=1,IF($A659&lt;VLOOKUP(H$5,NFI,5,0),1,0)*Table_NFI[[#This Row],[Hygiene Kit]],Table_NFI[Hygiene Kit])</f>
        <v>0</v>
      </c>
      <c r="Z659" s="352">
        <f>IF(NFI_Expiration=1,IF($A659&lt;VLOOKUP(I$5,NFI,5,0),1,0)*Table_NFI[[#This Row],[NFI Core Kit]],Table_NFI[NFI Core Kit])</f>
        <v>0</v>
      </c>
      <c r="AA659" s="352">
        <f>IF(NFI_Expiration=1,IF($A659&lt;VLOOKUP(J$5,NFI,5,0),1,0)*Table_NFI[[#This Row],[Sanitary Kit]],Table_NFI[Sanitary Kit])</f>
        <v>0</v>
      </c>
      <c r="AB659" s="352">
        <f>IF(NFI_Expiration=1,IF($A659&lt;VLOOKUP(K$5,NFI,5,0),1,0)*Table_NFI[[#This Row],[Mosquito net]],Table_NFI[Mosquito net])</f>
        <v>0</v>
      </c>
      <c r="AC659" s="352">
        <f>IF(NFI_Expiration=1,IF($A659&lt;VLOOKUP(L$5,NFI,5,0),1,0)*Table_NFI[[#This Row],[Tarpaulin]],Table_NFI[[#This Row],[Tarpaulin]])</f>
        <v>0</v>
      </c>
      <c r="AD659" s="352">
        <f>IF(NFI_Expiration=1,IF($A659&lt;VLOOKUP(M$5,NFI,5,0),1,0)*Table_NFI[[#This Row],[Blanket]],Table_NFI[[#This Row],[Blanket]])</f>
        <v>0</v>
      </c>
      <c r="AE659" s="352">
        <f>IF(NFI_Expiration=1,IF($A659&lt;VLOOKUP(N$5,NFI,5,0),1,0)*Table_NFI[[#This Row],[Kitchen Set]],Table_NFI[Kitchen Set])</f>
        <v>0</v>
      </c>
      <c r="AF659" s="352">
        <f>IF(NFI_Expiration=1,IF($A659&lt;VLOOKUP(O$5,NFI,5,0),1,0)*Table_NFI[[#This Row],[Clothes Kit]],Table_NFI[Clothes Kit])</f>
        <v>0</v>
      </c>
      <c r="AG659" s="352">
        <f>IF(NFI_Expiration=1,IF($A659&lt;VLOOKUP(P$5,NFI,5,0),1,0)*Table_NFI[[#This Row],[Plastic Bucket]],Table_NFI[Plastic Bucket])</f>
        <v>0</v>
      </c>
      <c r="AH659" s="352">
        <f>IF(NFI_Expiration=1,IF($A659&lt;VLOOKUP(Q$5,NFI,5,0),1,0)*Table_NFI[[#This Row],[Plastic Mat]],Table_NFI[Plastic Mat])*IF(Table_NFI[[#This Row],[Distribution Date]]&gt;"2014-04-01",1,2.5)</f>
        <v>0</v>
      </c>
      <c r="AI659" s="352">
        <f>IF(NFI_Expiration=1,IF($A659&lt;VLOOKUP(R$5,NFI,5,0),1,0)*Table_NFI[[#This Row],[Winter Clothes Adult]],Table_NFI[Winter Clothes Adult])</f>
        <v>0</v>
      </c>
      <c r="AJ659" s="352">
        <f>IF(NFI_Expiration=1,IF($A659&lt;VLOOKUP(S$5,NFI,5,0),1,0)*Table_NFI[[#This Row],[Winter Clothes Children]],Table_NFI[Winter Clothes Children])</f>
        <v>0</v>
      </c>
      <c r="AK659" s="352">
        <f>IF(NFI_Expiration=1,IF($A659&lt;VLOOKUP(T$5,NFI,5,0),1,0)*Table_NFI[[#This Row],[Winter Items Other]],Table_NFI[Winter Items Other])</f>
        <v>0</v>
      </c>
      <c r="AL659" s="352">
        <f>IF(NFI_Expiration=1,IF($A659&lt;VLOOKUP(M$5,NFI,5,0),1,0)*Table_NFI[[#This Row],[Winter Blanket]],Table_NFI[[#This Row],[Winter Blanket]])</f>
        <v>0</v>
      </c>
      <c r="AM659" s="352">
        <f>IF(Table_NFI[[#This Row],[Winter Clothes Adult]]+Table_NFI[[#This Row],[Winter Clothes Children]]+Table_NFI[[#This Row],[Winter Items Other]]+Table_NFI[[#This Row],[Winter Blanket]]&gt;0,1,0)</f>
        <v>0</v>
      </c>
      <c r="AN659" s="392">
        <f>IF(NFI_Expiration=1,IF($A659&lt;VLOOKUP(V$5,NFI,5,0),1,0)*Table_NFI[[#This Row],[Jerry Can]],Table_NFI[Jerry Can])</f>
        <v>0</v>
      </c>
      <c r="AO659" s="540" t="str">
        <f>IFERROR(VLOOKUP(Table_NFI[[#This Row],[Camp Name]],CL,2,0),"")</f>
        <v>MMR001CMP054</v>
      </c>
      <c r="AP659" s="535">
        <f ca="1">IF(Table_NFI[[#This Row],[Pcode]]="","",IF(OFFSET(CampList[Opening Date],MATCH(Table_NFI[[#This Row],[Pcode]],CampList[CP_Pcode],0)-1,0,1,1)&gt;=NFI_Monitor_Date,1,0))</f>
        <v>0</v>
      </c>
      <c r="AQ659" s="540" t="str">
        <f>IFERROR(VLOOKUP(Table_NFI[[#This Row],[Camp Name]],CL,3,0),"")</f>
        <v>Open</v>
      </c>
      <c r="AR659" s="352" t="str">
        <f ca="1">IF(Table_NFI[[#This Row],[Pcode]]="","",OFFSET(CampList[Priority],MATCH(Table_NFI[[#This Row],[Pcode]],CampList[CP_Pcode],0)-1,0,1,1))</f>
        <v>P4</v>
      </c>
      <c r="AS659" s="351">
        <f>IFERROR(Table_NFI[[#This Row],[Kitchen Set]]/VLOOKUP(Table_NFI[[#This Row],[Camp Name]],CL,4,0),"")</f>
        <v>0</v>
      </c>
      <c r="AT659" s="533" t="s">
        <v>1094</v>
      </c>
      <c r="AU659" s="536"/>
    </row>
    <row r="660" spans="1:47" ht="14.45" customHeight="1" x14ac:dyDescent="0.25">
      <c r="A660" s="355">
        <f t="shared" si="10"/>
        <v>45.1</v>
      </c>
      <c r="B660" s="532">
        <v>41218</v>
      </c>
      <c r="C660" s="533" t="s">
        <v>453</v>
      </c>
      <c r="D660" s="534" t="s">
        <v>453</v>
      </c>
      <c r="E660" s="533" t="s">
        <v>380</v>
      </c>
      <c r="F660" s="348" t="s">
        <v>528</v>
      </c>
      <c r="G660" s="348" t="s">
        <v>88</v>
      </c>
      <c r="H660" s="349"/>
      <c r="I660" s="349"/>
      <c r="J660" s="349"/>
      <c r="K660" s="349">
        <v>70</v>
      </c>
      <c r="L660" s="350">
        <v>40</v>
      </c>
      <c r="M660" s="350">
        <v>70</v>
      </c>
      <c r="N660" s="350">
        <v>40</v>
      </c>
      <c r="O660" s="350">
        <v>40</v>
      </c>
      <c r="P660" s="352">
        <v>40</v>
      </c>
      <c r="Q660" s="352">
        <v>40</v>
      </c>
      <c r="R660" s="352"/>
      <c r="S660" s="352"/>
      <c r="T660" s="352"/>
      <c r="U660" s="352"/>
      <c r="V660" s="497"/>
      <c r="W660" s="352"/>
      <c r="X660" s="352"/>
      <c r="Y660" s="352">
        <f>IF(NFI_Expiration=1,IF($A660&lt;VLOOKUP(H$5,NFI,5,0),1,0)*Table_NFI[[#This Row],[Hygiene Kit]],Table_NFI[Hygiene Kit])</f>
        <v>0</v>
      </c>
      <c r="Z660" s="352">
        <f>IF(NFI_Expiration=1,IF($A660&lt;VLOOKUP(I$5,NFI,5,0),1,0)*Table_NFI[[#This Row],[NFI Core Kit]],Table_NFI[NFI Core Kit])</f>
        <v>0</v>
      </c>
      <c r="AA660" s="352">
        <f>IF(NFI_Expiration=1,IF($A660&lt;VLOOKUP(J$5,NFI,5,0),1,0)*Table_NFI[[#This Row],[Sanitary Kit]],Table_NFI[Sanitary Kit])</f>
        <v>0</v>
      </c>
      <c r="AB660" s="352">
        <f>IF(NFI_Expiration=1,IF($A660&lt;VLOOKUP(K$5,NFI,5,0),1,0)*Table_NFI[[#This Row],[Mosquito net]],Table_NFI[Mosquito net])</f>
        <v>0</v>
      </c>
      <c r="AC660" s="352">
        <f>IF(NFI_Expiration=1,IF($A660&lt;VLOOKUP(L$5,NFI,5,0),1,0)*Table_NFI[[#This Row],[Tarpaulin]],Table_NFI[[#This Row],[Tarpaulin]])</f>
        <v>0</v>
      </c>
      <c r="AD660" s="352">
        <f>IF(NFI_Expiration=1,IF($A660&lt;VLOOKUP(M$5,NFI,5,0),1,0)*Table_NFI[[#This Row],[Blanket]],Table_NFI[[#This Row],[Blanket]])</f>
        <v>0</v>
      </c>
      <c r="AE660" s="352">
        <f>IF(NFI_Expiration=1,IF($A660&lt;VLOOKUP(N$5,NFI,5,0),1,0)*Table_NFI[[#This Row],[Kitchen Set]],Table_NFI[Kitchen Set])</f>
        <v>0</v>
      </c>
      <c r="AF660" s="352">
        <f>IF(NFI_Expiration=1,IF($A660&lt;VLOOKUP(O$5,NFI,5,0),1,0)*Table_NFI[[#This Row],[Clothes Kit]],Table_NFI[Clothes Kit])</f>
        <v>0</v>
      </c>
      <c r="AG660" s="352">
        <f>IF(NFI_Expiration=1,IF($A660&lt;VLOOKUP(P$5,NFI,5,0),1,0)*Table_NFI[[#This Row],[Plastic Bucket]],Table_NFI[Plastic Bucket])</f>
        <v>0</v>
      </c>
      <c r="AH660" s="352">
        <f>IF(NFI_Expiration=1,IF($A660&lt;VLOOKUP(Q$5,NFI,5,0),1,0)*Table_NFI[[#This Row],[Plastic Mat]],Table_NFI[Plastic Mat])*IF(Table_NFI[[#This Row],[Distribution Date]]&gt;"2014-04-01",1,2.5)</f>
        <v>0</v>
      </c>
      <c r="AI660" s="352">
        <f>IF(NFI_Expiration=1,IF($A660&lt;VLOOKUP(R$5,NFI,5,0),1,0)*Table_NFI[[#This Row],[Winter Clothes Adult]],Table_NFI[Winter Clothes Adult])</f>
        <v>0</v>
      </c>
      <c r="AJ660" s="352">
        <f>IF(NFI_Expiration=1,IF($A660&lt;VLOOKUP(S$5,NFI,5,0),1,0)*Table_NFI[[#This Row],[Winter Clothes Children]],Table_NFI[Winter Clothes Children])</f>
        <v>0</v>
      </c>
      <c r="AK660" s="352">
        <f>IF(NFI_Expiration=1,IF($A660&lt;VLOOKUP(T$5,NFI,5,0),1,0)*Table_NFI[[#This Row],[Winter Items Other]],Table_NFI[Winter Items Other])</f>
        <v>0</v>
      </c>
      <c r="AL660" s="352">
        <f>IF(NFI_Expiration=1,IF($A660&lt;VLOOKUP(M$5,NFI,5,0),1,0)*Table_NFI[[#This Row],[Winter Blanket]],Table_NFI[[#This Row],[Winter Blanket]])</f>
        <v>0</v>
      </c>
      <c r="AM660" s="352">
        <f>IF(Table_NFI[[#This Row],[Winter Clothes Adult]]+Table_NFI[[#This Row],[Winter Clothes Children]]+Table_NFI[[#This Row],[Winter Items Other]]+Table_NFI[[#This Row],[Winter Blanket]]&gt;0,1,0)</f>
        <v>0</v>
      </c>
      <c r="AN660" s="392">
        <f>IF(NFI_Expiration=1,IF($A660&lt;VLOOKUP(V$5,NFI,5,0),1,0)*Table_NFI[[#This Row],[Jerry Can]],Table_NFI[Jerry Can])</f>
        <v>0</v>
      </c>
      <c r="AO660" s="540" t="str">
        <f>IFERROR(VLOOKUP(Table_NFI[[#This Row],[Camp Name]],CL,2,0),"")</f>
        <v>MMR001CMP148</v>
      </c>
      <c r="AP660" s="535">
        <f ca="1">IF(Table_NFI[[#This Row],[Pcode]]="","",IF(OFFSET(CampList[Opening Date],MATCH(Table_NFI[[#This Row],[Pcode]],CampList[CP_Pcode],0)-1,0,1,1)&gt;=NFI_Monitor_Date,1,0))</f>
        <v>0</v>
      </c>
      <c r="AQ660" s="540" t="str">
        <f>IFERROR(VLOOKUP(Table_NFI[[#This Row],[Camp Name]],CL,3,0),"")</f>
        <v>Open</v>
      </c>
      <c r="AR660" s="352" t="str">
        <f ca="1">IF(Table_NFI[[#This Row],[Pcode]]="","",OFFSET(CampList[Priority],MATCH(Table_NFI[[#This Row],[Pcode]],CampList[CP_Pcode],0)-1,0,1,1))</f>
        <v>P4</v>
      </c>
      <c r="AS660" s="351">
        <f>IFERROR(Table_NFI[[#This Row],[Kitchen Set]]/VLOOKUP(Table_NFI[[#This Row],[Camp Name]],CL,4,0),"")</f>
        <v>2.8571428571428572</v>
      </c>
      <c r="AT660" s="533" t="s">
        <v>1094</v>
      </c>
      <c r="AU660" s="536"/>
    </row>
    <row r="661" spans="1:47" ht="14.45" hidden="1" customHeight="1" x14ac:dyDescent="0.25">
      <c r="A661" s="355">
        <f t="shared" si="10"/>
        <v>20.6</v>
      </c>
      <c r="B661" s="532">
        <v>41953</v>
      </c>
      <c r="C661" s="533" t="s">
        <v>1096</v>
      </c>
      <c r="D661" s="533" t="s">
        <v>902</v>
      </c>
      <c r="E661" s="533" t="s">
        <v>380</v>
      </c>
      <c r="F661" s="533" t="s">
        <v>528</v>
      </c>
      <c r="G661" s="533" t="s">
        <v>108</v>
      </c>
      <c r="H661" s="349"/>
      <c r="I661" s="349"/>
      <c r="J661" s="349"/>
      <c r="K661" s="349"/>
      <c r="L661" s="350"/>
      <c r="M661" s="350"/>
      <c r="N661" s="350"/>
      <c r="O661" s="350"/>
      <c r="P661" s="352"/>
      <c r="Q661" s="352"/>
      <c r="R661" s="352">
        <v>117</v>
      </c>
      <c r="S661" s="352">
        <v>65</v>
      </c>
      <c r="T661" s="352"/>
      <c r="U661" s="352"/>
      <c r="V661" s="497"/>
      <c r="W661" s="352"/>
      <c r="X661" s="352"/>
      <c r="Y661" s="352">
        <f>IF(NFI_Expiration=1,IF($A661&lt;VLOOKUP(H$5,NFI,5,0),1,0)*Table_NFI[[#This Row],[Hygiene Kit]],Table_NFI[Hygiene Kit])</f>
        <v>0</v>
      </c>
      <c r="Z661" s="352">
        <f>IF(NFI_Expiration=1,IF($A661&lt;VLOOKUP(I$5,NFI,5,0),1,0)*Table_NFI[[#This Row],[NFI Core Kit]],Table_NFI[NFI Core Kit])</f>
        <v>0</v>
      </c>
      <c r="AA661" s="352">
        <f>IF(NFI_Expiration=1,IF($A661&lt;VLOOKUP(J$5,NFI,5,0),1,0)*Table_NFI[[#This Row],[Sanitary Kit]],Table_NFI[Sanitary Kit])</f>
        <v>0</v>
      </c>
      <c r="AB661" s="352">
        <f>IF(NFI_Expiration=1,IF($A661&lt;VLOOKUP(K$5,NFI,5,0),1,0)*Table_NFI[[#This Row],[Mosquito net]],Table_NFI[Mosquito net])</f>
        <v>0</v>
      </c>
      <c r="AC661" s="352">
        <f>IF(NFI_Expiration=1,IF($A661&lt;VLOOKUP(L$5,NFI,5,0),1,0)*Table_NFI[[#This Row],[Tarpaulin]],Table_NFI[[#This Row],[Tarpaulin]])</f>
        <v>0</v>
      </c>
      <c r="AD661" s="352">
        <f>IF(NFI_Expiration=1,IF($A661&lt;VLOOKUP(M$5,NFI,5,0),1,0)*Table_NFI[[#This Row],[Blanket]],Table_NFI[[#This Row],[Blanket]])</f>
        <v>0</v>
      </c>
      <c r="AE661" s="352">
        <f>IF(NFI_Expiration=1,IF($A661&lt;VLOOKUP(N$5,NFI,5,0),1,0)*Table_NFI[[#This Row],[Kitchen Set]],Table_NFI[Kitchen Set])</f>
        <v>0</v>
      </c>
      <c r="AF661" s="352">
        <f>IF(NFI_Expiration=1,IF($A661&lt;VLOOKUP(O$5,NFI,5,0),1,0)*Table_NFI[[#This Row],[Clothes Kit]],Table_NFI[Clothes Kit])</f>
        <v>0</v>
      </c>
      <c r="AG661" s="352">
        <f>IF(NFI_Expiration=1,IF($A661&lt;VLOOKUP(P$5,NFI,5,0),1,0)*Table_NFI[[#This Row],[Plastic Bucket]],Table_NFI[Plastic Bucket])</f>
        <v>0</v>
      </c>
      <c r="AH661" s="352">
        <f>IF(NFI_Expiration=1,IF($A661&lt;VLOOKUP(Q$5,NFI,5,0),1,0)*Table_NFI[[#This Row],[Plastic Mat]],Table_NFI[Plastic Mat])*IF(Table_NFI[[#This Row],[Distribution Date]]&gt;"2014-04-01",1,2.5)</f>
        <v>0</v>
      </c>
      <c r="AI661" s="352">
        <f>IF(NFI_Expiration=1,IF($A661&lt;VLOOKUP(R$5,NFI,5,0),1,0)*Table_NFI[[#This Row],[Winter Clothes Adult]],Table_NFI[Winter Clothes Adult])</f>
        <v>0</v>
      </c>
      <c r="AJ661" s="352">
        <f>IF(NFI_Expiration=1,IF($A661&lt;VLOOKUP(S$5,NFI,5,0),1,0)*Table_NFI[[#This Row],[Winter Clothes Children]],Table_NFI[Winter Clothes Children])</f>
        <v>0</v>
      </c>
      <c r="AK661" s="352">
        <f>IF(NFI_Expiration=1,IF($A661&lt;VLOOKUP(T$5,NFI,5,0),1,0)*Table_NFI[[#This Row],[Winter Items Other]],Table_NFI[Winter Items Other])</f>
        <v>0</v>
      </c>
      <c r="AL661" s="352">
        <f>IF(NFI_Expiration=1,IF($A661&lt;VLOOKUP(M$5,NFI,5,0),1,0)*Table_NFI[[#This Row],[Winter Blanket]],Table_NFI[[#This Row],[Winter Blanket]])</f>
        <v>0</v>
      </c>
      <c r="AM661" s="352">
        <f>IF(Table_NFI[[#This Row],[Winter Clothes Adult]]+Table_NFI[[#This Row],[Winter Clothes Children]]+Table_NFI[[#This Row],[Winter Items Other]]+Table_NFI[[#This Row],[Winter Blanket]]&gt;0,1,0)</f>
        <v>1</v>
      </c>
      <c r="AN661" s="392">
        <f>IF(NFI_Expiration=1,IF($A661&lt;VLOOKUP(V$5,NFI,5,0),1,0)*Table_NFI[[#This Row],[Jerry Can]],Table_NFI[Jerry Can])</f>
        <v>0</v>
      </c>
      <c r="AO661" s="540" t="str">
        <f>IFERROR(VLOOKUP(Table_NFI[[#This Row],[Camp Name]],CL,2,0),"")</f>
        <v>MMR001CMP103</v>
      </c>
      <c r="AP661" s="535">
        <f ca="1">IF(Table_NFI[[#This Row],[Pcode]]="","",IF(OFFSET(CampList[Opening Date],MATCH(Table_NFI[[#This Row],[Pcode]],CampList[CP_Pcode],0)-1,0,1,1)&gt;=NFI_Monitor_Date,1,0))</f>
        <v>0</v>
      </c>
      <c r="AQ661" s="540" t="str">
        <f>IFERROR(VLOOKUP(Table_NFI[[#This Row],[Camp Name]],CL,3,0),"")</f>
        <v>Open</v>
      </c>
      <c r="AR661" s="352" t="str">
        <f ca="1">IF(Table_NFI[[#This Row],[Pcode]]="","",OFFSET(CampList[Priority],MATCH(Table_NFI[[#This Row],[Pcode]],CampList[CP_Pcode],0)-1,0,1,1))</f>
        <v>P4</v>
      </c>
      <c r="AS661" s="351">
        <f>IFERROR(Table_NFI[[#This Row],[Kitchen Set]]/VLOOKUP(Table_NFI[[#This Row],[Camp Name]],CL,4,0),"")</f>
        <v>0</v>
      </c>
      <c r="AT661" s="533"/>
      <c r="AU661" s="536"/>
    </row>
    <row r="662" spans="1:47" ht="14.45" customHeight="1" x14ac:dyDescent="0.25">
      <c r="A662" s="355">
        <f t="shared" si="10"/>
        <v>45.93333333333333</v>
      </c>
      <c r="B662" s="532">
        <v>41193</v>
      </c>
      <c r="C662" s="533" t="s">
        <v>453</v>
      </c>
      <c r="D662" s="534" t="s">
        <v>453</v>
      </c>
      <c r="E662" s="533" t="s">
        <v>380</v>
      </c>
      <c r="F662" s="348" t="s">
        <v>185</v>
      </c>
      <c r="G662" s="348" t="s">
        <v>225</v>
      </c>
      <c r="H662" s="349"/>
      <c r="I662" s="349"/>
      <c r="J662" s="349"/>
      <c r="K662" s="349">
        <v>28</v>
      </c>
      <c r="L662" s="350">
        <v>17</v>
      </c>
      <c r="M662" s="350">
        <v>28</v>
      </c>
      <c r="N662" s="350">
        <v>17</v>
      </c>
      <c r="O662" s="350">
        <v>17</v>
      </c>
      <c r="P662" s="352">
        <v>17</v>
      </c>
      <c r="Q662" s="352">
        <v>17</v>
      </c>
      <c r="R662" s="352"/>
      <c r="S662" s="352"/>
      <c r="T662" s="352"/>
      <c r="U662" s="352"/>
      <c r="V662" s="497"/>
      <c r="W662" s="352"/>
      <c r="X662" s="352"/>
      <c r="Y662" s="352">
        <f>IF(NFI_Expiration=1,IF($A662&lt;VLOOKUP(H$5,NFI,5,0),1,0)*Table_NFI[[#This Row],[Hygiene Kit]],Table_NFI[Hygiene Kit])</f>
        <v>0</v>
      </c>
      <c r="Z662" s="352">
        <f>IF(NFI_Expiration=1,IF($A662&lt;VLOOKUP(I$5,NFI,5,0),1,0)*Table_NFI[[#This Row],[NFI Core Kit]],Table_NFI[NFI Core Kit])</f>
        <v>0</v>
      </c>
      <c r="AA662" s="352">
        <f>IF(NFI_Expiration=1,IF($A662&lt;VLOOKUP(J$5,NFI,5,0),1,0)*Table_NFI[[#This Row],[Sanitary Kit]],Table_NFI[Sanitary Kit])</f>
        <v>0</v>
      </c>
      <c r="AB662" s="352">
        <f>IF(NFI_Expiration=1,IF($A662&lt;VLOOKUP(K$5,NFI,5,0),1,0)*Table_NFI[[#This Row],[Mosquito net]],Table_NFI[Mosquito net])</f>
        <v>0</v>
      </c>
      <c r="AC662" s="352">
        <f>IF(NFI_Expiration=1,IF($A662&lt;VLOOKUP(L$5,NFI,5,0),1,0)*Table_NFI[[#This Row],[Tarpaulin]],Table_NFI[[#This Row],[Tarpaulin]])</f>
        <v>0</v>
      </c>
      <c r="AD662" s="352">
        <f>IF(NFI_Expiration=1,IF($A662&lt;VLOOKUP(M$5,NFI,5,0),1,0)*Table_NFI[[#This Row],[Blanket]],Table_NFI[[#This Row],[Blanket]])</f>
        <v>0</v>
      </c>
      <c r="AE662" s="352">
        <f>IF(NFI_Expiration=1,IF($A662&lt;VLOOKUP(N$5,NFI,5,0),1,0)*Table_NFI[[#This Row],[Kitchen Set]],Table_NFI[Kitchen Set])</f>
        <v>0</v>
      </c>
      <c r="AF662" s="352">
        <f>IF(NFI_Expiration=1,IF($A662&lt;VLOOKUP(O$5,NFI,5,0),1,0)*Table_NFI[[#This Row],[Clothes Kit]],Table_NFI[Clothes Kit])</f>
        <v>0</v>
      </c>
      <c r="AG662" s="352">
        <f>IF(NFI_Expiration=1,IF($A662&lt;VLOOKUP(P$5,NFI,5,0),1,0)*Table_NFI[[#This Row],[Plastic Bucket]],Table_NFI[Plastic Bucket])</f>
        <v>0</v>
      </c>
      <c r="AH662" s="352">
        <f>IF(NFI_Expiration=1,IF($A662&lt;VLOOKUP(Q$5,NFI,5,0),1,0)*Table_NFI[[#This Row],[Plastic Mat]],Table_NFI[Plastic Mat])*IF(Table_NFI[[#This Row],[Distribution Date]]&gt;"2014-04-01",1,2.5)</f>
        <v>0</v>
      </c>
      <c r="AI662" s="352">
        <f>IF(NFI_Expiration=1,IF($A662&lt;VLOOKUP(R$5,NFI,5,0),1,0)*Table_NFI[[#This Row],[Winter Clothes Adult]],Table_NFI[Winter Clothes Adult])</f>
        <v>0</v>
      </c>
      <c r="AJ662" s="352">
        <f>IF(NFI_Expiration=1,IF($A662&lt;VLOOKUP(S$5,NFI,5,0),1,0)*Table_NFI[[#This Row],[Winter Clothes Children]],Table_NFI[Winter Clothes Children])</f>
        <v>0</v>
      </c>
      <c r="AK662" s="352">
        <f>IF(NFI_Expiration=1,IF($A662&lt;VLOOKUP(T$5,NFI,5,0),1,0)*Table_NFI[[#This Row],[Winter Items Other]],Table_NFI[Winter Items Other])</f>
        <v>0</v>
      </c>
      <c r="AL662" s="352">
        <f>IF(NFI_Expiration=1,IF($A662&lt;VLOOKUP(M$5,NFI,5,0),1,0)*Table_NFI[[#This Row],[Winter Blanket]],Table_NFI[[#This Row],[Winter Blanket]])</f>
        <v>0</v>
      </c>
      <c r="AM662" s="352">
        <f>IF(Table_NFI[[#This Row],[Winter Clothes Adult]]+Table_NFI[[#This Row],[Winter Clothes Children]]+Table_NFI[[#This Row],[Winter Items Other]]+Table_NFI[[#This Row],[Winter Blanket]]&gt;0,1,0)</f>
        <v>0</v>
      </c>
      <c r="AN662" s="392">
        <f>IF(NFI_Expiration=1,IF($A662&lt;VLOOKUP(V$5,NFI,5,0),1,0)*Table_NFI[[#This Row],[Jerry Can]],Table_NFI[Jerry Can])</f>
        <v>0</v>
      </c>
      <c r="AO662" s="540" t="str">
        <f>IFERROR(VLOOKUP(Table_NFI[[#This Row],[Camp Name]],CL,2,0),"")</f>
        <v>MMR001CMP073</v>
      </c>
      <c r="AP662" s="535">
        <f ca="1">IF(Table_NFI[[#This Row],[Pcode]]="","",IF(OFFSET(CampList[Opening Date],MATCH(Table_NFI[[#This Row],[Pcode]],CampList[CP_Pcode],0)-1,0,1,1)&gt;=NFI_Monitor_Date,1,0))</f>
        <v>0</v>
      </c>
      <c r="AQ662" s="540" t="str">
        <f>IFERROR(VLOOKUP(Table_NFI[[#This Row],[Camp Name]],CL,3,0),"")</f>
        <v>Open</v>
      </c>
      <c r="AR662" s="352" t="str">
        <f ca="1">IF(Table_NFI[[#This Row],[Pcode]]="","",OFFSET(CampList[Priority],MATCH(Table_NFI[[#This Row],[Pcode]],CampList[CP_Pcode],0)-1,0,1,1))</f>
        <v>P3</v>
      </c>
      <c r="AS662" s="351">
        <f>IFERROR(Table_NFI[[#This Row],[Kitchen Set]]/VLOOKUP(Table_NFI[[#This Row],[Camp Name]],CL,4,0),"")</f>
        <v>0.4358974358974359</v>
      </c>
      <c r="AT662" s="533" t="s">
        <v>1094</v>
      </c>
      <c r="AU662" s="536"/>
    </row>
    <row r="663" spans="1:47" ht="14.45" customHeight="1" x14ac:dyDescent="0.25">
      <c r="A663" s="355">
        <f t="shared" si="10"/>
        <v>46.3</v>
      </c>
      <c r="B663" s="532">
        <v>41182</v>
      </c>
      <c r="C663" s="533" t="s">
        <v>453</v>
      </c>
      <c r="D663" s="533" t="s">
        <v>906</v>
      </c>
      <c r="E663" s="533" t="s">
        <v>380</v>
      </c>
      <c r="F663" s="533" t="s">
        <v>27</v>
      </c>
      <c r="G663" s="348" t="s">
        <v>37</v>
      </c>
      <c r="H663" s="349"/>
      <c r="I663" s="349"/>
      <c r="J663" s="349"/>
      <c r="K663" s="349">
        <v>34</v>
      </c>
      <c r="L663" s="350">
        <v>12</v>
      </c>
      <c r="M663" s="350">
        <v>34</v>
      </c>
      <c r="N663" s="350">
        <v>12</v>
      </c>
      <c r="O663" s="350">
        <v>12</v>
      </c>
      <c r="P663" s="352">
        <v>12</v>
      </c>
      <c r="Q663" s="352">
        <v>12</v>
      </c>
      <c r="R663" s="352"/>
      <c r="S663" s="352"/>
      <c r="T663" s="352"/>
      <c r="U663" s="352"/>
      <c r="V663" s="497"/>
      <c r="W663" s="352"/>
      <c r="X663" s="352"/>
      <c r="Y663" s="352">
        <f>IF(NFI_Expiration=1,IF($A663&lt;VLOOKUP(H$5,NFI,5,0),1,0)*Table_NFI[[#This Row],[Hygiene Kit]],Table_NFI[Hygiene Kit])</f>
        <v>0</v>
      </c>
      <c r="Z663" s="352">
        <f>IF(NFI_Expiration=1,IF($A663&lt;VLOOKUP(I$5,NFI,5,0),1,0)*Table_NFI[[#This Row],[NFI Core Kit]],Table_NFI[NFI Core Kit])</f>
        <v>0</v>
      </c>
      <c r="AA663" s="352">
        <f>IF(NFI_Expiration=1,IF($A663&lt;VLOOKUP(J$5,NFI,5,0),1,0)*Table_NFI[[#This Row],[Sanitary Kit]],Table_NFI[Sanitary Kit])</f>
        <v>0</v>
      </c>
      <c r="AB663" s="352">
        <f>IF(NFI_Expiration=1,IF($A663&lt;VLOOKUP(K$5,NFI,5,0),1,0)*Table_NFI[[#This Row],[Mosquito net]],Table_NFI[Mosquito net])</f>
        <v>0</v>
      </c>
      <c r="AC663" s="352">
        <f>IF(NFI_Expiration=1,IF($A663&lt;VLOOKUP(L$5,NFI,5,0),1,0)*Table_NFI[[#This Row],[Tarpaulin]],Table_NFI[[#This Row],[Tarpaulin]])</f>
        <v>0</v>
      </c>
      <c r="AD663" s="352">
        <f>IF(NFI_Expiration=1,IF($A663&lt;VLOOKUP(M$5,NFI,5,0),1,0)*Table_NFI[[#This Row],[Blanket]],Table_NFI[[#This Row],[Blanket]])</f>
        <v>0</v>
      </c>
      <c r="AE663" s="352">
        <f>IF(NFI_Expiration=1,IF($A663&lt;VLOOKUP(N$5,NFI,5,0),1,0)*Table_NFI[[#This Row],[Kitchen Set]],Table_NFI[Kitchen Set])</f>
        <v>0</v>
      </c>
      <c r="AF663" s="352">
        <f>IF(NFI_Expiration=1,IF($A663&lt;VLOOKUP(O$5,NFI,5,0),1,0)*Table_NFI[[#This Row],[Clothes Kit]],Table_NFI[Clothes Kit])</f>
        <v>0</v>
      </c>
      <c r="AG663" s="352">
        <f>IF(NFI_Expiration=1,IF($A663&lt;VLOOKUP(P$5,NFI,5,0),1,0)*Table_NFI[[#This Row],[Plastic Bucket]],Table_NFI[Plastic Bucket])</f>
        <v>0</v>
      </c>
      <c r="AH663" s="352">
        <f>IF(NFI_Expiration=1,IF($A663&lt;VLOOKUP(Q$5,NFI,5,0),1,0)*Table_NFI[[#This Row],[Plastic Mat]],Table_NFI[Plastic Mat])*IF(Table_NFI[[#This Row],[Distribution Date]]&gt;"2014-04-01",1,2.5)</f>
        <v>0</v>
      </c>
      <c r="AI663" s="352">
        <f>IF(NFI_Expiration=1,IF($A663&lt;VLOOKUP(R$5,NFI,5,0),1,0)*Table_NFI[[#This Row],[Winter Clothes Adult]],Table_NFI[Winter Clothes Adult])</f>
        <v>0</v>
      </c>
      <c r="AJ663" s="352">
        <f>IF(NFI_Expiration=1,IF($A663&lt;VLOOKUP(S$5,NFI,5,0),1,0)*Table_NFI[[#This Row],[Winter Clothes Children]],Table_NFI[Winter Clothes Children])</f>
        <v>0</v>
      </c>
      <c r="AK663" s="352">
        <f>IF(NFI_Expiration=1,IF($A663&lt;VLOOKUP(T$5,NFI,5,0),1,0)*Table_NFI[[#This Row],[Winter Items Other]],Table_NFI[Winter Items Other])</f>
        <v>0</v>
      </c>
      <c r="AL663" s="352">
        <f>IF(NFI_Expiration=1,IF($A663&lt;VLOOKUP(M$5,NFI,5,0),1,0)*Table_NFI[[#This Row],[Winter Blanket]],Table_NFI[[#This Row],[Winter Blanket]])</f>
        <v>0</v>
      </c>
      <c r="AM663" s="352">
        <f>IF(Table_NFI[[#This Row],[Winter Clothes Adult]]+Table_NFI[[#This Row],[Winter Clothes Children]]+Table_NFI[[#This Row],[Winter Items Other]]+Table_NFI[[#This Row],[Winter Blanket]]&gt;0,1,0)</f>
        <v>0</v>
      </c>
      <c r="AN663" s="392">
        <f>IF(NFI_Expiration=1,IF($A663&lt;VLOOKUP(V$5,NFI,5,0),1,0)*Table_NFI[[#This Row],[Jerry Can]],Table_NFI[Jerry Can])</f>
        <v>0</v>
      </c>
      <c r="AO663" s="540" t="str">
        <f>IFERROR(VLOOKUP(Table_NFI[[#This Row],[Camp Name]],CL,2,0),"")</f>
        <v>MMR001CMP044</v>
      </c>
      <c r="AP663" s="535">
        <f ca="1">IF(Table_NFI[[#This Row],[Pcode]]="","",IF(OFFSET(CampList[Opening Date],MATCH(Table_NFI[[#This Row],[Pcode]],CampList[CP_Pcode],0)-1,0,1,1)&gt;=NFI_Monitor_Date,1,0))</f>
        <v>0</v>
      </c>
      <c r="AQ663" s="540" t="str">
        <f>IFERROR(VLOOKUP(Table_NFI[[#This Row],[Camp Name]],CL,3,0),"")</f>
        <v>Closed</v>
      </c>
      <c r="AR663" s="352" t="str">
        <f ca="1">IF(Table_NFI[[#This Row],[Pcode]]="","",OFFSET(CampList[Priority],MATCH(Table_NFI[[#This Row],[Pcode]],CampList[CP_Pcode],0)-1,0,1,1))</f>
        <v/>
      </c>
      <c r="AS663" s="351" t="str">
        <f>IFERROR(Table_NFI[[#This Row],[Kitchen Set]]/VLOOKUP(Table_NFI[[#This Row],[Camp Name]],CL,4,0),"")</f>
        <v/>
      </c>
      <c r="AT663" s="533" t="s">
        <v>1094</v>
      </c>
      <c r="AU663" s="536"/>
    </row>
    <row r="664" spans="1:47" ht="14.45" customHeight="1" x14ac:dyDescent="0.25">
      <c r="A664" s="355">
        <f t="shared" si="10"/>
        <v>46.333333333333336</v>
      </c>
      <c r="B664" s="532">
        <v>41181</v>
      </c>
      <c r="C664" s="533" t="s">
        <v>453</v>
      </c>
      <c r="D664" s="533" t="s">
        <v>906</v>
      </c>
      <c r="E664" s="533" t="s">
        <v>380</v>
      </c>
      <c r="F664" s="533" t="s">
        <v>27</v>
      </c>
      <c r="G664" s="348" t="s">
        <v>365</v>
      </c>
      <c r="H664" s="349"/>
      <c r="I664" s="349"/>
      <c r="J664" s="349"/>
      <c r="K664" s="349">
        <v>34</v>
      </c>
      <c r="L664" s="350">
        <v>12</v>
      </c>
      <c r="M664" s="350">
        <v>34</v>
      </c>
      <c r="N664" s="350">
        <v>12</v>
      </c>
      <c r="O664" s="350">
        <v>12</v>
      </c>
      <c r="P664" s="352">
        <v>12</v>
      </c>
      <c r="Q664" s="352">
        <v>12</v>
      </c>
      <c r="R664" s="352"/>
      <c r="S664" s="352"/>
      <c r="T664" s="352"/>
      <c r="U664" s="352"/>
      <c r="V664" s="497"/>
      <c r="W664" s="352"/>
      <c r="X664" s="352"/>
      <c r="Y664" s="352">
        <f>IF(NFI_Expiration=1,IF($A664&lt;VLOOKUP(H$5,NFI,5,0),1,0)*Table_NFI[[#This Row],[Hygiene Kit]],Table_NFI[Hygiene Kit])</f>
        <v>0</v>
      </c>
      <c r="Z664" s="352">
        <f>IF(NFI_Expiration=1,IF($A664&lt;VLOOKUP(I$5,NFI,5,0),1,0)*Table_NFI[[#This Row],[NFI Core Kit]],Table_NFI[NFI Core Kit])</f>
        <v>0</v>
      </c>
      <c r="AA664" s="352">
        <f>IF(NFI_Expiration=1,IF($A664&lt;VLOOKUP(J$5,NFI,5,0),1,0)*Table_NFI[[#This Row],[Sanitary Kit]],Table_NFI[Sanitary Kit])</f>
        <v>0</v>
      </c>
      <c r="AB664" s="352">
        <f>IF(NFI_Expiration=1,IF($A664&lt;VLOOKUP(K$5,NFI,5,0),1,0)*Table_NFI[[#This Row],[Mosquito net]],Table_NFI[Mosquito net])</f>
        <v>0</v>
      </c>
      <c r="AC664" s="352">
        <f>IF(NFI_Expiration=1,IF($A664&lt;VLOOKUP(L$5,NFI,5,0),1,0)*Table_NFI[[#This Row],[Tarpaulin]],Table_NFI[[#This Row],[Tarpaulin]])</f>
        <v>0</v>
      </c>
      <c r="AD664" s="352">
        <f>IF(NFI_Expiration=1,IF($A664&lt;VLOOKUP(M$5,NFI,5,0),1,0)*Table_NFI[[#This Row],[Blanket]],Table_NFI[[#This Row],[Blanket]])</f>
        <v>0</v>
      </c>
      <c r="AE664" s="352">
        <f>IF(NFI_Expiration=1,IF($A664&lt;VLOOKUP(N$5,NFI,5,0),1,0)*Table_NFI[[#This Row],[Kitchen Set]],Table_NFI[Kitchen Set])</f>
        <v>0</v>
      </c>
      <c r="AF664" s="352">
        <f>IF(NFI_Expiration=1,IF($A664&lt;VLOOKUP(O$5,NFI,5,0),1,0)*Table_NFI[[#This Row],[Clothes Kit]],Table_NFI[Clothes Kit])</f>
        <v>0</v>
      </c>
      <c r="AG664" s="352">
        <f>IF(NFI_Expiration=1,IF($A664&lt;VLOOKUP(P$5,NFI,5,0),1,0)*Table_NFI[[#This Row],[Plastic Bucket]],Table_NFI[Plastic Bucket])</f>
        <v>0</v>
      </c>
      <c r="AH664" s="352">
        <f>IF(NFI_Expiration=1,IF($A664&lt;VLOOKUP(Q$5,NFI,5,0),1,0)*Table_NFI[[#This Row],[Plastic Mat]],Table_NFI[Plastic Mat])*IF(Table_NFI[[#This Row],[Distribution Date]]&gt;"2014-04-01",1,2.5)</f>
        <v>0</v>
      </c>
      <c r="AI664" s="352">
        <f>IF(NFI_Expiration=1,IF($A664&lt;VLOOKUP(R$5,NFI,5,0),1,0)*Table_NFI[[#This Row],[Winter Clothes Adult]],Table_NFI[Winter Clothes Adult])</f>
        <v>0</v>
      </c>
      <c r="AJ664" s="352">
        <f>IF(NFI_Expiration=1,IF($A664&lt;VLOOKUP(S$5,NFI,5,0),1,0)*Table_NFI[[#This Row],[Winter Clothes Children]],Table_NFI[Winter Clothes Children])</f>
        <v>0</v>
      </c>
      <c r="AK664" s="352">
        <f>IF(NFI_Expiration=1,IF($A664&lt;VLOOKUP(T$5,NFI,5,0),1,0)*Table_NFI[[#This Row],[Winter Items Other]],Table_NFI[Winter Items Other])</f>
        <v>0</v>
      </c>
      <c r="AL664" s="352">
        <f>IF(NFI_Expiration=1,IF($A664&lt;VLOOKUP(M$5,NFI,5,0),1,0)*Table_NFI[[#This Row],[Winter Blanket]],Table_NFI[[#This Row],[Winter Blanket]])</f>
        <v>0</v>
      </c>
      <c r="AM664" s="352">
        <f>IF(Table_NFI[[#This Row],[Winter Clothes Adult]]+Table_NFI[[#This Row],[Winter Clothes Children]]+Table_NFI[[#This Row],[Winter Items Other]]+Table_NFI[[#This Row],[Winter Blanket]]&gt;0,1,0)</f>
        <v>0</v>
      </c>
      <c r="AN664" s="392">
        <f>IF(NFI_Expiration=1,IF($A664&lt;VLOOKUP(V$5,NFI,5,0),1,0)*Table_NFI[[#This Row],[Jerry Can]],Table_NFI[Jerry Can])</f>
        <v>0</v>
      </c>
      <c r="AO664" s="540" t="str">
        <f>IFERROR(VLOOKUP(Table_NFI[[#This Row],[Camp Name]],CL,2,0),"")</f>
        <v>MMR001CMP195</v>
      </c>
      <c r="AP664" s="535">
        <f ca="1">IF(Table_NFI[[#This Row],[Pcode]]="","",IF(OFFSET(CampList[Opening Date],MATCH(Table_NFI[[#This Row],[Pcode]],CampList[CP_Pcode],0)-1,0,1,1)&gt;=NFI_Monitor_Date,1,0))</f>
        <v>0</v>
      </c>
      <c r="AQ664" s="540" t="str">
        <f>IFERROR(VLOOKUP(Table_NFI[[#This Row],[Camp Name]],CL,3,0),"")</f>
        <v>Open</v>
      </c>
      <c r="AR664" s="352" t="str">
        <f ca="1">IF(Table_NFI[[#This Row],[Pcode]]="","",OFFSET(CampList[Priority],MATCH(Table_NFI[[#This Row],[Pcode]],CampList[CP_Pcode],0)-1,0,1,1))</f>
        <v>P1</v>
      </c>
      <c r="AS664" s="351">
        <f>IFERROR(Table_NFI[[#This Row],[Kitchen Set]]/VLOOKUP(Table_NFI[[#This Row],[Camp Name]],CL,4,0),"")</f>
        <v>8.3916083916083919E-2</v>
      </c>
      <c r="AT664" s="533" t="s">
        <v>1094</v>
      </c>
      <c r="AU664" s="536"/>
    </row>
    <row r="665" spans="1:47" ht="14.45" hidden="1" customHeight="1" x14ac:dyDescent="0.25">
      <c r="A665" s="355">
        <f t="shared" si="10"/>
        <v>38.700000000000003</v>
      </c>
      <c r="B665" s="532">
        <v>41410</v>
      </c>
      <c r="C665" s="533" t="s">
        <v>903</v>
      </c>
      <c r="D665" s="533" t="s">
        <v>507</v>
      </c>
      <c r="E665" s="533" t="s">
        <v>380</v>
      </c>
      <c r="F665" s="348" t="s">
        <v>528</v>
      </c>
      <c r="G665" s="348" t="s">
        <v>108</v>
      </c>
      <c r="H665" s="349">
        <v>423</v>
      </c>
      <c r="I665" s="349"/>
      <c r="J665" s="349"/>
      <c r="K665" s="349"/>
      <c r="L665" s="350"/>
      <c r="M665" s="350"/>
      <c r="N665" s="350"/>
      <c r="O665" s="350"/>
      <c r="P665" s="352"/>
      <c r="Q665" s="352"/>
      <c r="R665" s="352"/>
      <c r="S665" s="352"/>
      <c r="T665" s="352"/>
      <c r="U665" s="352"/>
      <c r="V665" s="497"/>
      <c r="W665" s="352"/>
      <c r="X665" s="352"/>
      <c r="Y665" s="352">
        <f>IF(NFI_Expiration=1,IF($A665&lt;VLOOKUP(H$5,NFI,5,0),1,0)*Table_NFI[[#This Row],[Hygiene Kit]],Table_NFI[Hygiene Kit])</f>
        <v>0</v>
      </c>
      <c r="Z665" s="352">
        <f>IF(NFI_Expiration=1,IF($A665&lt;VLOOKUP(I$5,NFI,5,0),1,0)*Table_NFI[[#This Row],[NFI Core Kit]],Table_NFI[NFI Core Kit])</f>
        <v>0</v>
      </c>
      <c r="AA665" s="352">
        <f>IF(NFI_Expiration=1,IF($A665&lt;VLOOKUP(J$5,NFI,5,0),1,0)*Table_NFI[[#This Row],[Sanitary Kit]],Table_NFI[Sanitary Kit])</f>
        <v>0</v>
      </c>
      <c r="AB665" s="352">
        <f>IF(NFI_Expiration=1,IF($A665&lt;VLOOKUP(K$5,NFI,5,0),1,0)*Table_NFI[[#This Row],[Mosquito net]],Table_NFI[Mosquito net])</f>
        <v>0</v>
      </c>
      <c r="AC665" s="352">
        <f>IF(NFI_Expiration=1,IF($A665&lt;VLOOKUP(L$5,NFI,5,0),1,0)*Table_NFI[[#This Row],[Tarpaulin]],Table_NFI[[#This Row],[Tarpaulin]])</f>
        <v>0</v>
      </c>
      <c r="AD665" s="352">
        <f>IF(NFI_Expiration=1,IF($A665&lt;VLOOKUP(M$5,NFI,5,0),1,0)*Table_NFI[[#This Row],[Blanket]],Table_NFI[[#This Row],[Blanket]])</f>
        <v>0</v>
      </c>
      <c r="AE665" s="352">
        <f>IF(NFI_Expiration=1,IF($A665&lt;VLOOKUP(N$5,NFI,5,0),1,0)*Table_NFI[[#This Row],[Kitchen Set]],Table_NFI[Kitchen Set])</f>
        <v>0</v>
      </c>
      <c r="AF665" s="352">
        <f>IF(NFI_Expiration=1,IF($A665&lt;VLOOKUP(O$5,NFI,5,0),1,0)*Table_NFI[[#This Row],[Clothes Kit]],Table_NFI[Clothes Kit])</f>
        <v>0</v>
      </c>
      <c r="AG665" s="352">
        <f>IF(NFI_Expiration=1,IF($A665&lt;VLOOKUP(P$5,NFI,5,0),1,0)*Table_NFI[[#This Row],[Plastic Bucket]],Table_NFI[Plastic Bucket])</f>
        <v>0</v>
      </c>
      <c r="AH665" s="352">
        <f>IF(NFI_Expiration=1,IF($A665&lt;VLOOKUP(Q$5,NFI,5,0),1,0)*Table_NFI[[#This Row],[Plastic Mat]],Table_NFI[Plastic Mat])*IF(Table_NFI[[#This Row],[Distribution Date]]&gt;"2014-04-01",1,2.5)</f>
        <v>0</v>
      </c>
      <c r="AI665" s="352">
        <f>IF(NFI_Expiration=1,IF($A665&lt;VLOOKUP(R$5,NFI,5,0),1,0)*Table_NFI[[#This Row],[Winter Clothes Adult]],Table_NFI[Winter Clothes Adult])</f>
        <v>0</v>
      </c>
      <c r="AJ665" s="352">
        <f>IF(NFI_Expiration=1,IF($A665&lt;VLOOKUP(S$5,NFI,5,0),1,0)*Table_NFI[[#This Row],[Winter Clothes Children]],Table_NFI[Winter Clothes Children])</f>
        <v>0</v>
      </c>
      <c r="AK665" s="352">
        <f>IF(NFI_Expiration=1,IF($A665&lt;VLOOKUP(T$5,NFI,5,0),1,0)*Table_NFI[[#This Row],[Winter Items Other]],Table_NFI[Winter Items Other])</f>
        <v>0</v>
      </c>
      <c r="AL665" s="352">
        <f>IF(NFI_Expiration=1,IF($A665&lt;VLOOKUP(M$5,NFI,5,0),1,0)*Table_NFI[[#This Row],[Winter Blanket]],Table_NFI[[#This Row],[Winter Blanket]])</f>
        <v>0</v>
      </c>
      <c r="AM665" s="352">
        <f>IF(Table_NFI[[#This Row],[Winter Clothes Adult]]+Table_NFI[[#This Row],[Winter Clothes Children]]+Table_NFI[[#This Row],[Winter Items Other]]+Table_NFI[[#This Row],[Winter Blanket]]&gt;0,1,0)</f>
        <v>0</v>
      </c>
      <c r="AN665" s="392">
        <f>IF(NFI_Expiration=1,IF($A665&lt;VLOOKUP(V$5,NFI,5,0),1,0)*Table_NFI[[#This Row],[Jerry Can]],Table_NFI[Jerry Can])</f>
        <v>0</v>
      </c>
      <c r="AO665" s="540" t="str">
        <f>IFERROR(VLOOKUP(Table_NFI[[#This Row],[Camp Name]],CL,2,0),"")</f>
        <v>MMR001CMP103</v>
      </c>
      <c r="AP665" s="535">
        <f ca="1">IF(Table_NFI[[#This Row],[Pcode]]="","",IF(OFFSET(CampList[Opening Date],MATCH(Table_NFI[[#This Row],[Pcode]],CampList[CP_Pcode],0)-1,0,1,1)&gt;=NFI_Monitor_Date,1,0))</f>
        <v>0</v>
      </c>
      <c r="AQ665" s="540" t="str">
        <f>IFERROR(VLOOKUP(Table_NFI[[#This Row],[Camp Name]],CL,3,0),"")</f>
        <v>Open</v>
      </c>
      <c r="AR665" s="352" t="str">
        <f ca="1">IF(Table_NFI[[#This Row],[Pcode]]="","",OFFSET(CampList[Priority],MATCH(Table_NFI[[#This Row],[Pcode]],CampList[CP_Pcode],0)-1,0,1,1))</f>
        <v>P4</v>
      </c>
      <c r="AS665" s="351">
        <f>IFERROR(Table_NFI[[#This Row],[Kitchen Set]]/VLOOKUP(Table_NFI[[#This Row],[Camp Name]],CL,4,0),"")</f>
        <v>0</v>
      </c>
      <c r="AT665" s="533" t="s">
        <v>1094</v>
      </c>
      <c r="AU665" s="536"/>
    </row>
    <row r="666" spans="1:47" ht="14.45" customHeight="1" x14ac:dyDescent="0.25">
      <c r="A666" s="355">
        <f t="shared" si="10"/>
        <v>46.333333333333336</v>
      </c>
      <c r="B666" s="532">
        <v>41181</v>
      </c>
      <c r="C666" s="533" t="s">
        <v>453</v>
      </c>
      <c r="D666" s="533" t="s">
        <v>453</v>
      </c>
      <c r="E666" s="533" t="s">
        <v>380</v>
      </c>
      <c r="F666" s="348" t="s">
        <v>185</v>
      </c>
      <c r="G666" s="348" t="s">
        <v>190</v>
      </c>
      <c r="H666" s="349"/>
      <c r="I666" s="349"/>
      <c r="J666" s="349"/>
      <c r="K666" s="349">
        <v>151</v>
      </c>
      <c r="L666" s="352">
        <v>59</v>
      </c>
      <c r="M666" s="352">
        <v>151</v>
      </c>
      <c r="N666" s="352">
        <v>59</v>
      </c>
      <c r="O666" s="352">
        <v>59</v>
      </c>
      <c r="P666" s="352">
        <v>59</v>
      </c>
      <c r="Q666" s="352">
        <v>59</v>
      </c>
      <c r="R666" s="352"/>
      <c r="S666" s="352"/>
      <c r="T666" s="352"/>
      <c r="U666" s="352"/>
      <c r="V666" s="497"/>
      <c r="W666" s="352"/>
      <c r="X666" s="352"/>
      <c r="Y666" s="352">
        <f>IF(NFI_Expiration=1,IF($A666&lt;VLOOKUP(H$5,NFI,5,0),1,0)*Table_NFI[[#This Row],[Hygiene Kit]],Table_NFI[Hygiene Kit])</f>
        <v>0</v>
      </c>
      <c r="Z666" s="352">
        <f>IF(NFI_Expiration=1,IF($A666&lt;VLOOKUP(I$5,NFI,5,0),1,0)*Table_NFI[[#This Row],[NFI Core Kit]],Table_NFI[NFI Core Kit])</f>
        <v>0</v>
      </c>
      <c r="AA666" s="352">
        <f>IF(NFI_Expiration=1,IF($A666&lt;VLOOKUP(J$5,NFI,5,0),1,0)*Table_NFI[[#This Row],[Sanitary Kit]],Table_NFI[Sanitary Kit])</f>
        <v>0</v>
      </c>
      <c r="AB666" s="352">
        <f>IF(NFI_Expiration=1,IF($A666&lt;VLOOKUP(K$5,NFI,5,0),1,0)*Table_NFI[[#This Row],[Mosquito net]],Table_NFI[Mosquito net])</f>
        <v>0</v>
      </c>
      <c r="AC666" s="352">
        <f>IF(NFI_Expiration=1,IF($A666&lt;VLOOKUP(L$5,NFI,5,0),1,0)*Table_NFI[[#This Row],[Tarpaulin]],Table_NFI[[#This Row],[Tarpaulin]])</f>
        <v>0</v>
      </c>
      <c r="AD666" s="352">
        <f>IF(NFI_Expiration=1,IF($A666&lt;VLOOKUP(M$5,NFI,5,0),1,0)*Table_NFI[[#This Row],[Blanket]],Table_NFI[[#This Row],[Blanket]])</f>
        <v>0</v>
      </c>
      <c r="AE666" s="352">
        <f>IF(NFI_Expiration=1,IF($A666&lt;VLOOKUP(N$5,NFI,5,0),1,0)*Table_NFI[[#This Row],[Kitchen Set]],Table_NFI[Kitchen Set])</f>
        <v>0</v>
      </c>
      <c r="AF666" s="352">
        <f>IF(NFI_Expiration=1,IF($A666&lt;VLOOKUP(O$5,NFI,5,0),1,0)*Table_NFI[[#This Row],[Clothes Kit]],Table_NFI[Clothes Kit])</f>
        <v>0</v>
      </c>
      <c r="AG666" s="352">
        <f>IF(NFI_Expiration=1,IF($A666&lt;VLOOKUP(P$5,NFI,5,0),1,0)*Table_NFI[[#This Row],[Plastic Bucket]],Table_NFI[Plastic Bucket])</f>
        <v>0</v>
      </c>
      <c r="AH666" s="352">
        <f>IF(NFI_Expiration=1,IF($A666&lt;VLOOKUP(Q$5,NFI,5,0),1,0)*Table_NFI[[#This Row],[Plastic Mat]],Table_NFI[Plastic Mat])*IF(Table_NFI[[#This Row],[Distribution Date]]&gt;"2014-04-01",1,2.5)</f>
        <v>0</v>
      </c>
      <c r="AI666" s="352">
        <f>IF(NFI_Expiration=1,IF($A666&lt;VLOOKUP(R$5,NFI,5,0),1,0)*Table_NFI[[#This Row],[Winter Clothes Adult]],Table_NFI[Winter Clothes Adult])</f>
        <v>0</v>
      </c>
      <c r="AJ666" s="352">
        <f>IF(NFI_Expiration=1,IF($A666&lt;VLOOKUP(S$5,NFI,5,0),1,0)*Table_NFI[[#This Row],[Winter Clothes Children]],Table_NFI[Winter Clothes Children])</f>
        <v>0</v>
      </c>
      <c r="AK666" s="352">
        <f>IF(NFI_Expiration=1,IF($A666&lt;VLOOKUP(T$5,NFI,5,0),1,0)*Table_NFI[[#This Row],[Winter Items Other]],Table_NFI[Winter Items Other])</f>
        <v>0</v>
      </c>
      <c r="AL666" s="352">
        <f>IF(NFI_Expiration=1,IF($A666&lt;VLOOKUP(M$5,NFI,5,0),1,0)*Table_NFI[[#This Row],[Winter Blanket]],Table_NFI[[#This Row],[Winter Blanket]])</f>
        <v>0</v>
      </c>
      <c r="AM666" s="352">
        <f>IF(Table_NFI[[#This Row],[Winter Clothes Adult]]+Table_NFI[[#This Row],[Winter Clothes Children]]+Table_NFI[[#This Row],[Winter Items Other]]+Table_NFI[[#This Row],[Winter Blanket]]&gt;0,1,0)</f>
        <v>0</v>
      </c>
      <c r="AN666" s="392">
        <f>IF(NFI_Expiration=1,IF($A666&lt;VLOOKUP(V$5,NFI,5,0),1,0)*Table_NFI[[#This Row],[Jerry Can]],Table_NFI[Jerry Can])</f>
        <v>0</v>
      </c>
      <c r="AO666" s="540" t="str">
        <f>IFERROR(VLOOKUP(Table_NFI[[#This Row],[Camp Name]],CL,2,0),"")</f>
        <v>MMR001CMP070</v>
      </c>
      <c r="AP666" s="535">
        <f ca="1">IF(Table_NFI[[#This Row],[Pcode]]="","",IF(OFFSET(CampList[Opening Date],MATCH(Table_NFI[[#This Row],[Pcode]],CampList[CP_Pcode],0)-1,0,1,1)&gt;=NFI_Monitor_Date,1,0))</f>
        <v>0</v>
      </c>
      <c r="AQ666" s="540" t="str">
        <f>IFERROR(VLOOKUP(Table_NFI[[#This Row],[Camp Name]],CL,3,0),"")</f>
        <v>Open</v>
      </c>
      <c r="AR666" s="352" t="str">
        <f ca="1">IF(Table_NFI[[#This Row],[Pcode]]="","",OFFSET(CampList[Priority],MATCH(Table_NFI[[#This Row],[Pcode]],CampList[CP_Pcode],0)-1,0,1,1))</f>
        <v>P3</v>
      </c>
      <c r="AS666" s="351">
        <f>IFERROR(Table_NFI[[#This Row],[Kitchen Set]]/VLOOKUP(Table_NFI[[#This Row],[Camp Name]],CL,4,0),"")</f>
        <v>0.31052631578947371</v>
      </c>
      <c r="AT666" s="533" t="s">
        <v>1094</v>
      </c>
      <c r="AU666" s="536"/>
    </row>
    <row r="667" spans="1:47" ht="14.45" customHeight="1" x14ac:dyDescent="0.25">
      <c r="A667" s="355">
        <f t="shared" si="10"/>
        <v>46.366666666666667</v>
      </c>
      <c r="B667" s="532">
        <v>41180</v>
      </c>
      <c r="C667" s="533" t="s">
        <v>453</v>
      </c>
      <c r="D667" s="534" t="s">
        <v>906</v>
      </c>
      <c r="E667" s="533" t="s">
        <v>380</v>
      </c>
      <c r="F667" s="348" t="s">
        <v>27</v>
      </c>
      <c r="G667" s="348" t="s">
        <v>34</v>
      </c>
      <c r="H667" s="349"/>
      <c r="I667" s="349"/>
      <c r="J667" s="349"/>
      <c r="K667" s="349">
        <v>33</v>
      </c>
      <c r="L667" s="350">
        <v>11</v>
      </c>
      <c r="M667" s="350">
        <v>33</v>
      </c>
      <c r="N667" s="350">
        <v>11</v>
      </c>
      <c r="O667" s="350">
        <v>11</v>
      </c>
      <c r="P667" s="352">
        <v>11</v>
      </c>
      <c r="Q667" s="352">
        <v>11</v>
      </c>
      <c r="R667" s="352"/>
      <c r="S667" s="352"/>
      <c r="T667" s="352"/>
      <c r="U667" s="352"/>
      <c r="V667" s="497"/>
      <c r="W667" s="352"/>
      <c r="X667" s="352"/>
      <c r="Y667" s="352">
        <f>IF(NFI_Expiration=1,IF($A667&lt;VLOOKUP(H$5,NFI,5,0),1,0)*Table_NFI[[#This Row],[Hygiene Kit]],Table_NFI[Hygiene Kit])</f>
        <v>0</v>
      </c>
      <c r="Z667" s="352">
        <f>IF(NFI_Expiration=1,IF($A667&lt;VLOOKUP(I$5,NFI,5,0),1,0)*Table_NFI[[#This Row],[NFI Core Kit]],Table_NFI[NFI Core Kit])</f>
        <v>0</v>
      </c>
      <c r="AA667" s="352">
        <f>IF(NFI_Expiration=1,IF($A667&lt;VLOOKUP(J$5,NFI,5,0),1,0)*Table_NFI[[#This Row],[Sanitary Kit]],Table_NFI[Sanitary Kit])</f>
        <v>0</v>
      </c>
      <c r="AB667" s="352">
        <f>IF(NFI_Expiration=1,IF($A667&lt;VLOOKUP(K$5,NFI,5,0),1,0)*Table_NFI[[#This Row],[Mosquito net]],Table_NFI[Mosquito net])</f>
        <v>0</v>
      </c>
      <c r="AC667" s="352">
        <f>IF(NFI_Expiration=1,IF($A667&lt;VLOOKUP(L$5,NFI,5,0),1,0)*Table_NFI[[#This Row],[Tarpaulin]],Table_NFI[[#This Row],[Tarpaulin]])</f>
        <v>0</v>
      </c>
      <c r="AD667" s="352">
        <f>IF(NFI_Expiration=1,IF($A667&lt;VLOOKUP(M$5,NFI,5,0),1,0)*Table_NFI[[#This Row],[Blanket]],Table_NFI[[#This Row],[Blanket]])</f>
        <v>0</v>
      </c>
      <c r="AE667" s="352">
        <f>IF(NFI_Expiration=1,IF($A667&lt;VLOOKUP(N$5,NFI,5,0),1,0)*Table_NFI[[#This Row],[Kitchen Set]],Table_NFI[Kitchen Set])</f>
        <v>0</v>
      </c>
      <c r="AF667" s="352">
        <f>IF(NFI_Expiration=1,IF($A667&lt;VLOOKUP(O$5,NFI,5,0),1,0)*Table_NFI[[#This Row],[Clothes Kit]],Table_NFI[Clothes Kit])</f>
        <v>0</v>
      </c>
      <c r="AG667" s="352">
        <f>IF(NFI_Expiration=1,IF($A667&lt;VLOOKUP(P$5,NFI,5,0),1,0)*Table_NFI[[#This Row],[Plastic Bucket]],Table_NFI[Plastic Bucket])</f>
        <v>0</v>
      </c>
      <c r="AH667" s="352">
        <f>IF(NFI_Expiration=1,IF($A667&lt;VLOOKUP(Q$5,NFI,5,0),1,0)*Table_NFI[[#This Row],[Plastic Mat]],Table_NFI[Plastic Mat])*IF(Table_NFI[[#This Row],[Distribution Date]]&gt;"2014-04-01",1,2.5)</f>
        <v>0</v>
      </c>
      <c r="AI667" s="352">
        <f>IF(NFI_Expiration=1,IF($A667&lt;VLOOKUP(R$5,NFI,5,0),1,0)*Table_NFI[[#This Row],[Winter Clothes Adult]],Table_NFI[Winter Clothes Adult])</f>
        <v>0</v>
      </c>
      <c r="AJ667" s="352">
        <f>IF(NFI_Expiration=1,IF($A667&lt;VLOOKUP(S$5,NFI,5,0),1,0)*Table_NFI[[#This Row],[Winter Clothes Children]],Table_NFI[Winter Clothes Children])</f>
        <v>0</v>
      </c>
      <c r="AK667" s="352">
        <f>IF(NFI_Expiration=1,IF($A667&lt;VLOOKUP(T$5,NFI,5,0),1,0)*Table_NFI[[#This Row],[Winter Items Other]],Table_NFI[Winter Items Other])</f>
        <v>0</v>
      </c>
      <c r="AL667" s="352">
        <f>IF(NFI_Expiration=1,IF($A667&lt;VLOOKUP(M$5,NFI,5,0),1,0)*Table_NFI[[#This Row],[Winter Blanket]],Table_NFI[[#This Row],[Winter Blanket]])</f>
        <v>0</v>
      </c>
      <c r="AM667" s="352">
        <f>IF(Table_NFI[[#This Row],[Winter Clothes Adult]]+Table_NFI[[#This Row],[Winter Clothes Children]]+Table_NFI[[#This Row],[Winter Items Other]]+Table_NFI[[#This Row],[Winter Blanket]]&gt;0,1,0)</f>
        <v>0</v>
      </c>
      <c r="AN667" s="392">
        <f>IF(NFI_Expiration=1,IF($A667&lt;VLOOKUP(V$5,NFI,5,0),1,0)*Table_NFI[[#This Row],[Jerry Can]],Table_NFI[Jerry Can])</f>
        <v>0</v>
      </c>
      <c r="AO667" s="540" t="str">
        <f>IFERROR(VLOOKUP(Table_NFI[[#This Row],[Camp Name]],CL,2,0),"")</f>
        <v>MMR001CMP045</v>
      </c>
      <c r="AP667" s="535">
        <f ca="1">IF(Table_NFI[[#This Row],[Pcode]]="","",IF(OFFSET(CampList[Opening Date],MATCH(Table_NFI[[#This Row],[Pcode]],CampList[CP_Pcode],0)-1,0,1,1)&gt;=NFI_Monitor_Date,1,0))</f>
        <v>0</v>
      </c>
      <c r="AQ667" s="540" t="str">
        <f>IFERROR(VLOOKUP(Table_NFI[[#This Row],[Camp Name]],CL,3,0),"")</f>
        <v>Open</v>
      </c>
      <c r="AR667" s="352" t="str">
        <f ca="1">IF(Table_NFI[[#This Row],[Pcode]]="","",OFFSET(CampList[Priority],MATCH(Table_NFI[[#This Row],[Pcode]],CampList[CP_Pcode],0)-1,0,1,1))</f>
        <v>P1</v>
      </c>
      <c r="AS667" s="351" t="str">
        <f>IFERROR(Table_NFI[[#This Row],[Kitchen Set]]/VLOOKUP(Table_NFI[[#This Row],[Camp Name]],CL,4,0),"")</f>
        <v/>
      </c>
      <c r="AT667" s="533" t="s">
        <v>1094</v>
      </c>
      <c r="AU667" s="536"/>
    </row>
    <row r="668" spans="1:47" ht="14.45" hidden="1" customHeight="1" x14ac:dyDescent="0.25">
      <c r="A668" s="355">
        <f t="shared" si="10"/>
        <v>43.233333333333334</v>
      </c>
      <c r="B668" s="532">
        <v>41274</v>
      </c>
      <c r="C668" s="533" t="s">
        <v>454</v>
      </c>
      <c r="D668" s="534" t="s">
        <v>454</v>
      </c>
      <c r="E668" s="533" t="s">
        <v>380</v>
      </c>
      <c r="F668" s="348" t="s">
        <v>528</v>
      </c>
      <c r="G668" s="348" t="s">
        <v>108</v>
      </c>
      <c r="H668" s="349">
        <v>4</v>
      </c>
      <c r="I668" s="349"/>
      <c r="J668" s="349"/>
      <c r="K668" s="349"/>
      <c r="L668" s="350"/>
      <c r="M668" s="350"/>
      <c r="N668" s="350"/>
      <c r="O668" s="350"/>
      <c r="P668" s="352">
        <v>0</v>
      </c>
      <c r="Q668" s="352">
        <v>0</v>
      </c>
      <c r="R668" s="352"/>
      <c r="S668" s="352"/>
      <c r="T668" s="352"/>
      <c r="U668" s="352"/>
      <c r="V668" s="497"/>
      <c r="W668" s="352"/>
      <c r="X668" s="352"/>
      <c r="Y668" s="352">
        <f>IF(NFI_Expiration=1,IF($A668&lt;VLOOKUP(H$5,NFI,5,0),1,0)*Table_NFI[[#This Row],[Hygiene Kit]],Table_NFI[Hygiene Kit])</f>
        <v>0</v>
      </c>
      <c r="Z668" s="352">
        <f>IF(NFI_Expiration=1,IF($A668&lt;VLOOKUP(I$5,NFI,5,0),1,0)*Table_NFI[[#This Row],[NFI Core Kit]],Table_NFI[NFI Core Kit])</f>
        <v>0</v>
      </c>
      <c r="AA668" s="352">
        <f>IF(NFI_Expiration=1,IF($A668&lt;VLOOKUP(J$5,NFI,5,0),1,0)*Table_NFI[[#This Row],[Sanitary Kit]],Table_NFI[Sanitary Kit])</f>
        <v>0</v>
      </c>
      <c r="AB668" s="352">
        <f>IF(NFI_Expiration=1,IF($A668&lt;VLOOKUP(K$5,NFI,5,0),1,0)*Table_NFI[[#This Row],[Mosquito net]],Table_NFI[Mosquito net])</f>
        <v>0</v>
      </c>
      <c r="AC668" s="352">
        <f>IF(NFI_Expiration=1,IF($A668&lt;VLOOKUP(L$5,NFI,5,0),1,0)*Table_NFI[[#This Row],[Tarpaulin]],Table_NFI[[#This Row],[Tarpaulin]])</f>
        <v>0</v>
      </c>
      <c r="AD668" s="352">
        <f>IF(NFI_Expiration=1,IF($A668&lt;VLOOKUP(M$5,NFI,5,0),1,0)*Table_NFI[[#This Row],[Blanket]],Table_NFI[[#This Row],[Blanket]])</f>
        <v>0</v>
      </c>
      <c r="AE668" s="352">
        <f>IF(NFI_Expiration=1,IF($A668&lt;VLOOKUP(N$5,NFI,5,0),1,0)*Table_NFI[[#This Row],[Kitchen Set]],Table_NFI[Kitchen Set])</f>
        <v>0</v>
      </c>
      <c r="AF668" s="352">
        <f>IF(NFI_Expiration=1,IF($A668&lt;VLOOKUP(O$5,NFI,5,0),1,0)*Table_NFI[[#This Row],[Clothes Kit]],Table_NFI[Clothes Kit])</f>
        <v>0</v>
      </c>
      <c r="AG668" s="352">
        <f>IF(NFI_Expiration=1,IF($A668&lt;VLOOKUP(P$5,NFI,5,0),1,0)*Table_NFI[[#This Row],[Plastic Bucket]],Table_NFI[Plastic Bucket])</f>
        <v>0</v>
      </c>
      <c r="AH668" s="352">
        <f>IF(NFI_Expiration=1,IF($A668&lt;VLOOKUP(Q$5,NFI,5,0),1,0)*Table_NFI[[#This Row],[Plastic Mat]],Table_NFI[Plastic Mat])*IF(Table_NFI[[#This Row],[Distribution Date]]&gt;"2014-04-01",1,2.5)</f>
        <v>0</v>
      </c>
      <c r="AI668" s="352">
        <f>IF(NFI_Expiration=1,IF($A668&lt;VLOOKUP(R$5,NFI,5,0),1,0)*Table_NFI[[#This Row],[Winter Clothes Adult]],Table_NFI[Winter Clothes Adult])</f>
        <v>0</v>
      </c>
      <c r="AJ668" s="352">
        <f>IF(NFI_Expiration=1,IF($A668&lt;VLOOKUP(S$5,NFI,5,0),1,0)*Table_NFI[[#This Row],[Winter Clothes Children]],Table_NFI[Winter Clothes Children])</f>
        <v>0</v>
      </c>
      <c r="AK668" s="352">
        <f>IF(NFI_Expiration=1,IF($A668&lt;VLOOKUP(T$5,NFI,5,0),1,0)*Table_NFI[[#This Row],[Winter Items Other]],Table_NFI[Winter Items Other])</f>
        <v>0</v>
      </c>
      <c r="AL668" s="352">
        <f>IF(NFI_Expiration=1,IF($A668&lt;VLOOKUP(M$5,NFI,5,0),1,0)*Table_NFI[[#This Row],[Winter Blanket]],Table_NFI[[#This Row],[Winter Blanket]])</f>
        <v>0</v>
      </c>
      <c r="AM668" s="352">
        <f>IF(Table_NFI[[#This Row],[Winter Clothes Adult]]+Table_NFI[[#This Row],[Winter Clothes Children]]+Table_NFI[[#This Row],[Winter Items Other]]+Table_NFI[[#This Row],[Winter Blanket]]&gt;0,1,0)</f>
        <v>0</v>
      </c>
      <c r="AN668" s="392">
        <f>IF(NFI_Expiration=1,IF($A668&lt;VLOOKUP(V$5,NFI,5,0),1,0)*Table_NFI[[#This Row],[Jerry Can]],Table_NFI[Jerry Can])</f>
        <v>0</v>
      </c>
      <c r="AO668" s="540" t="str">
        <f>IFERROR(VLOOKUP(Table_NFI[[#This Row],[Camp Name]],CL,2,0),"")</f>
        <v>MMR001CMP103</v>
      </c>
      <c r="AP668" s="535">
        <f ca="1">IF(Table_NFI[[#This Row],[Pcode]]="","",IF(OFFSET(CampList[Opening Date],MATCH(Table_NFI[[#This Row],[Pcode]],CampList[CP_Pcode],0)-1,0,1,1)&gt;=NFI_Monitor_Date,1,0))</f>
        <v>0</v>
      </c>
      <c r="AQ668" s="540" t="str">
        <f>IFERROR(VLOOKUP(Table_NFI[[#This Row],[Camp Name]],CL,3,0),"")</f>
        <v>Open</v>
      </c>
      <c r="AR668" s="352" t="str">
        <f ca="1">IF(Table_NFI[[#This Row],[Pcode]]="","",OFFSET(CampList[Priority],MATCH(Table_NFI[[#This Row],[Pcode]],CampList[CP_Pcode],0)-1,0,1,1))</f>
        <v>P4</v>
      </c>
      <c r="AS668" s="351">
        <f>IFERROR(Table_NFI[[#This Row],[Kitchen Set]]/VLOOKUP(Table_NFI[[#This Row],[Camp Name]],CL,4,0),"")</f>
        <v>0</v>
      </c>
      <c r="AT668" s="533" t="s">
        <v>1094</v>
      </c>
      <c r="AU668" s="536"/>
    </row>
    <row r="669" spans="1:47" ht="14.45" hidden="1" customHeight="1" x14ac:dyDescent="0.25">
      <c r="A669" s="355">
        <f t="shared" si="10"/>
        <v>31.033333333333335</v>
      </c>
      <c r="B669" s="532">
        <v>41640</v>
      </c>
      <c r="C669" s="533" t="s">
        <v>1039</v>
      </c>
      <c r="D669" s="533" t="s">
        <v>902</v>
      </c>
      <c r="E669" s="533" t="s">
        <v>380</v>
      </c>
      <c r="F669" s="348" t="s">
        <v>180</v>
      </c>
      <c r="G669" s="533" t="s">
        <v>183</v>
      </c>
      <c r="H669" s="349"/>
      <c r="I669" s="349"/>
      <c r="J669" s="349"/>
      <c r="K669" s="349"/>
      <c r="L669" s="350"/>
      <c r="M669" s="350"/>
      <c r="N669" s="350">
        <v>12</v>
      </c>
      <c r="O669" s="350"/>
      <c r="P669" s="352"/>
      <c r="Q669" s="352"/>
      <c r="R669" s="352"/>
      <c r="S669" s="352"/>
      <c r="T669" s="352"/>
      <c r="U669" s="352"/>
      <c r="V669" s="497"/>
      <c r="W669" s="352"/>
      <c r="X669" s="352"/>
      <c r="Y669" s="352">
        <f>IF(NFI_Expiration=1,IF($A669&lt;VLOOKUP(H$5,NFI,5,0),1,0)*Table_NFI[[#This Row],[Hygiene Kit]],Table_NFI[Hygiene Kit])</f>
        <v>0</v>
      </c>
      <c r="Z669" s="352">
        <f>IF(NFI_Expiration=1,IF($A669&lt;VLOOKUP(I$5,NFI,5,0),1,0)*Table_NFI[[#This Row],[NFI Core Kit]],Table_NFI[NFI Core Kit])</f>
        <v>0</v>
      </c>
      <c r="AA669" s="352">
        <f>IF(NFI_Expiration=1,IF($A669&lt;VLOOKUP(J$5,NFI,5,0),1,0)*Table_NFI[[#This Row],[Sanitary Kit]],Table_NFI[Sanitary Kit])</f>
        <v>0</v>
      </c>
      <c r="AB669" s="352">
        <f>IF(NFI_Expiration=1,IF($A669&lt;VLOOKUP(K$5,NFI,5,0),1,0)*Table_NFI[[#This Row],[Mosquito net]],Table_NFI[Mosquito net])</f>
        <v>0</v>
      </c>
      <c r="AC669" s="352">
        <f>IF(NFI_Expiration=1,IF($A669&lt;VLOOKUP(L$5,NFI,5,0),1,0)*Table_NFI[[#This Row],[Tarpaulin]],Table_NFI[[#This Row],[Tarpaulin]])</f>
        <v>0</v>
      </c>
      <c r="AD669" s="352">
        <f>IF(NFI_Expiration=1,IF($A669&lt;VLOOKUP(M$5,NFI,5,0),1,0)*Table_NFI[[#This Row],[Blanket]],Table_NFI[[#This Row],[Blanket]])</f>
        <v>0</v>
      </c>
      <c r="AE669" s="352">
        <f>IF(NFI_Expiration=1,IF($A669&lt;VLOOKUP(N$5,NFI,5,0),1,0)*Table_NFI[[#This Row],[Kitchen Set]],Table_NFI[Kitchen Set])</f>
        <v>0</v>
      </c>
      <c r="AF669" s="352">
        <f>IF(NFI_Expiration=1,IF($A669&lt;VLOOKUP(O$5,NFI,5,0),1,0)*Table_NFI[[#This Row],[Clothes Kit]],Table_NFI[Clothes Kit])</f>
        <v>0</v>
      </c>
      <c r="AG669" s="352">
        <f>IF(NFI_Expiration=1,IF($A669&lt;VLOOKUP(P$5,NFI,5,0),1,0)*Table_NFI[[#This Row],[Plastic Bucket]],Table_NFI[Plastic Bucket])</f>
        <v>0</v>
      </c>
      <c r="AH669" s="352">
        <f>IF(NFI_Expiration=1,IF($A669&lt;VLOOKUP(Q$5,NFI,5,0),1,0)*Table_NFI[[#This Row],[Plastic Mat]],Table_NFI[Plastic Mat])*IF(Table_NFI[[#This Row],[Distribution Date]]&gt;"2014-04-01",1,2.5)</f>
        <v>0</v>
      </c>
      <c r="AI669" s="352">
        <f>IF(NFI_Expiration=1,IF($A669&lt;VLOOKUP(R$5,NFI,5,0),1,0)*Table_NFI[[#This Row],[Winter Clothes Adult]],Table_NFI[Winter Clothes Adult])</f>
        <v>0</v>
      </c>
      <c r="AJ669" s="352">
        <f>IF(NFI_Expiration=1,IF($A669&lt;VLOOKUP(S$5,NFI,5,0),1,0)*Table_NFI[[#This Row],[Winter Clothes Children]],Table_NFI[Winter Clothes Children])</f>
        <v>0</v>
      </c>
      <c r="AK669" s="352">
        <f>IF(NFI_Expiration=1,IF($A669&lt;VLOOKUP(T$5,NFI,5,0),1,0)*Table_NFI[[#This Row],[Winter Items Other]],Table_NFI[Winter Items Other])</f>
        <v>0</v>
      </c>
      <c r="AL669" s="352">
        <f>IF(NFI_Expiration=1,IF($A669&lt;VLOOKUP(M$5,NFI,5,0),1,0)*Table_NFI[[#This Row],[Winter Blanket]],Table_NFI[[#This Row],[Winter Blanket]])</f>
        <v>0</v>
      </c>
      <c r="AM669" s="352">
        <f>IF(Table_NFI[[#This Row],[Winter Clothes Adult]]+Table_NFI[[#This Row],[Winter Clothes Children]]+Table_NFI[[#This Row],[Winter Items Other]]+Table_NFI[[#This Row],[Winter Blanket]]&gt;0,1,0)</f>
        <v>0</v>
      </c>
      <c r="AN669" s="392">
        <f>IF(NFI_Expiration=1,IF($A669&lt;VLOOKUP(V$5,NFI,5,0),1,0)*Table_NFI[[#This Row],[Jerry Can]],Table_NFI[Jerry Can])</f>
        <v>0</v>
      </c>
      <c r="AO669" s="540" t="str">
        <f>IFERROR(VLOOKUP(Table_NFI[[#This Row],[Camp Name]],CL,2,0),"")</f>
        <v>MMR001CMP081</v>
      </c>
      <c r="AP669" s="535">
        <f ca="1">IF(Table_NFI[[#This Row],[Pcode]]="","",IF(OFFSET(CampList[Opening Date],MATCH(Table_NFI[[#This Row],[Pcode]],CampList[CP_Pcode],0)-1,0,1,1)&gt;=NFI_Monitor_Date,1,0))</f>
        <v>0</v>
      </c>
      <c r="AQ669" s="540" t="str">
        <f>IFERROR(VLOOKUP(Table_NFI[[#This Row],[Camp Name]],CL,3,0),"")</f>
        <v>Closed</v>
      </c>
      <c r="AR669" s="352" t="str">
        <f ca="1">IF(Table_NFI[[#This Row],[Pcode]]="","",OFFSET(CampList[Priority],MATCH(Table_NFI[[#This Row],[Pcode]],CampList[CP_Pcode],0)-1,0,1,1))</f>
        <v>P4</v>
      </c>
      <c r="AS669" s="351" t="str">
        <f>IFERROR(Table_NFI[[#This Row],[Kitchen Set]]/VLOOKUP(Table_NFI[[#This Row],[Camp Name]],CL,4,0),"")</f>
        <v/>
      </c>
      <c r="AT669" s="533" t="s">
        <v>1094</v>
      </c>
      <c r="AU669" s="536"/>
    </row>
    <row r="670" spans="1:47" ht="14.45" hidden="1" customHeight="1" x14ac:dyDescent="0.25">
      <c r="A670" s="355">
        <f t="shared" si="10"/>
        <v>41.866666666666667</v>
      </c>
      <c r="B670" s="532">
        <v>41315</v>
      </c>
      <c r="C670" s="533" t="s">
        <v>902</v>
      </c>
      <c r="D670" s="533" t="s">
        <v>902</v>
      </c>
      <c r="E670" s="533" t="s">
        <v>380</v>
      </c>
      <c r="F670" s="348" t="s">
        <v>180</v>
      </c>
      <c r="G670" s="348" t="s">
        <v>183</v>
      </c>
      <c r="H670" s="349"/>
      <c r="I670" s="349"/>
      <c r="J670" s="349"/>
      <c r="K670" s="349"/>
      <c r="L670" s="350">
        <v>36</v>
      </c>
      <c r="M670" s="350"/>
      <c r="N670" s="350">
        <v>22</v>
      </c>
      <c r="O670" s="350"/>
      <c r="P670" s="352">
        <v>0</v>
      </c>
      <c r="Q670" s="352">
        <v>0</v>
      </c>
      <c r="R670" s="352"/>
      <c r="S670" s="352"/>
      <c r="T670" s="352"/>
      <c r="U670" s="352"/>
      <c r="V670" s="497"/>
      <c r="W670" s="352"/>
      <c r="X670" s="352"/>
      <c r="Y670" s="352">
        <f>IF(NFI_Expiration=1,IF($A670&lt;VLOOKUP(H$5,NFI,5,0),1,0)*Table_NFI[[#This Row],[Hygiene Kit]],Table_NFI[Hygiene Kit])</f>
        <v>0</v>
      </c>
      <c r="Z670" s="352">
        <f>IF(NFI_Expiration=1,IF($A670&lt;VLOOKUP(I$5,NFI,5,0),1,0)*Table_NFI[[#This Row],[NFI Core Kit]],Table_NFI[NFI Core Kit])</f>
        <v>0</v>
      </c>
      <c r="AA670" s="352">
        <f>IF(NFI_Expiration=1,IF($A670&lt;VLOOKUP(J$5,NFI,5,0),1,0)*Table_NFI[[#This Row],[Sanitary Kit]],Table_NFI[Sanitary Kit])</f>
        <v>0</v>
      </c>
      <c r="AB670" s="352">
        <f>IF(NFI_Expiration=1,IF($A670&lt;VLOOKUP(K$5,NFI,5,0),1,0)*Table_NFI[[#This Row],[Mosquito net]],Table_NFI[Mosquito net])</f>
        <v>0</v>
      </c>
      <c r="AC670" s="352">
        <f>IF(NFI_Expiration=1,IF($A670&lt;VLOOKUP(L$5,NFI,5,0),1,0)*Table_NFI[[#This Row],[Tarpaulin]],Table_NFI[[#This Row],[Tarpaulin]])</f>
        <v>0</v>
      </c>
      <c r="AD670" s="352">
        <f>IF(NFI_Expiration=1,IF($A670&lt;VLOOKUP(M$5,NFI,5,0),1,0)*Table_NFI[[#This Row],[Blanket]],Table_NFI[[#This Row],[Blanket]])</f>
        <v>0</v>
      </c>
      <c r="AE670" s="352">
        <f>IF(NFI_Expiration=1,IF($A670&lt;VLOOKUP(N$5,NFI,5,0),1,0)*Table_NFI[[#This Row],[Kitchen Set]],Table_NFI[Kitchen Set])</f>
        <v>0</v>
      </c>
      <c r="AF670" s="352">
        <f>IF(NFI_Expiration=1,IF($A670&lt;VLOOKUP(O$5,NFI,5,0),1,0)*Table_NFI[[#This Row],[Clothes Kit]],Table_NFI[Clothes Kit])</f>
        <v>0</v>
      </c>
      <c r="AG670" s="352">
        <f>IF(NFI_Expiration=1,IF($A670&lt;VLOOKUP(P$5,NFI,5,0),1,0)*Table_NFI[[#This Row],[Plastic Bucket]],Table_NFI[Plastic Bucket])</f>
        <v>0</v>
      </c>
      <c r="AH670" s="352">
        <f>IF(NFI_Expiration=1,IF($A670&lt;VLOOKUP(Q$5,NFI,5,0),1,0)*Table_NFI[[#This Row],[Plastic Mat]],Table_NFI[Plastic Mat])*IF(Table_NFI[[#This Row],[Distribution Date]]&gt;"2014-04-01",1,2.5)</f>
        <v>0</v>
      </c>
      <c r="AI670" s="352">
        <f>IF(NFI_Expiration=1,IF($A670&lt;VLOOKUP(R$5,NFI,5,0),1,0)*Table_NFI[[#This Row],[Winter Clothes Adult]],Table_NFI[Winter Clothes Adult])</f>
        <v>0</v>
      </c>
      <c r="AJ670" s="352">
        <f>IF(NFI_Expiration=1,IF($A670&lt;VLOOKUP(S$5,NFI,5,0),1,0)*Table_NFI[[#This Row],[Winter Clothes Children]],Table_NFI[Winter Clothes Children])</f>
        <v>0</v>
      </c>
      <c r="AK670" s="352">
        <f>IF(NFI_Expiration=1,IF($A670&lt;VLOOKUP(T$5,NFI,5,0),1,0)*Table_NFI[[#This Row],[Winter Items Other]],Table_NFI[Winter Items Other])</f>
        <v>0</v>
      </c>
      <c r="AL670" s="352">
        <f>IF(NFI_Expiration=1,IF($A670&lt;VLOOKUP(M$5,NFI,5,0),1,0)*Table_NFI[[#This Row],[Winter Blanket]],Table_NFI[[#This Row],[Winter Blanket]])</f>
        <v>0</v>
      </c>
      <c r="AM670" s="352">
        <f>IF(Table_NFI[[#This Row],[Winter Clothes Adult]]+Table_NFI[[#This Row],[Winter Clothes Children]]+Table_NFI[[#This Row],[Winter Items Other]]+Table_NFI[[#This Row],[Winter Blanket]]&gt;0,1,0)</f>
        <v>0</v>
      </c>
      <c r="AN670" s="392">
        <f>IF(NFI_Expiration=1,IF($A670&lt;VLOOKUP(V$5,NFI,5,0),1,0)*Table_NFI[[#This Row],[Jerry Can]],Table_NFI[Jerry Can])</f>
        <v>0</v>
      </c>
      <c r="AO670" s="540" t="str">
        <f>IFERROR(VLOOKUP(Table_NFI[[#This Row],[Camp Name]],CL,2,0),"")</f>
        <v>MMR001CMP081</v>
      </c>
      <c r="AP670" s="535">
        <f ca="1">IF(Table_NFI[[#This Row],[Pcode]]="","",IF(OFFSET(CampList[Opening Date],MATCH(Table_NFI[[#This Row],[Pcode]],CampList[CP_Pcode],0)-1,0,1,1)&gt;=NFI_Monitor_Date,1,0))</f>
        <v>0</v>
      </c>
      <c r="AQ670" s="540" t="str">
        <f>IFERROR(VLOOKUP(Table_NFI[[#This Row],[Camp Name]],CL,3,0),"")</f>
        <v>Closed</v>
      </c>
      <c r="AR670" s="352" t="str">
        <f ca="1">IF(Table_NFI[[#This Row],[Pcode]]="","",OFFSET(CampList[Priority],MATCH(Table_NFI[[#This Row],[Pcode]],CampList[CP_Pcode],0)-1,0,1,1))</f>
        <v>P4</v>
      </c>
      <c r="AS670" s="351" t="str">
        <f>IFERROR(Table_NFI[[#This Row],[Kitchen Set]]/VLOOKUP(Table_NFI[[#This Row],[Camp Name]],CL,4,0),"")</f>
        <v/>
      </c>
      <c r="AT670" s="533" t="s">
        <v>1094</v>
      </c>
      <c r="AU670" s="536"/>
    </row>
    <row r="671" spans="1:47" ht="14.45" customHeight="1" x14ac:dyDescent="0.25">
      <c r="A671" s="355">
        <f t="shared" si="10"/>
        <v>46.4</v>
      </c>
      <c r="B671" s="532">
        <v>41179</v>
      </c>
      <c r="C671" s="533" t="s">
        <v>453</v>
      </c>
      <c r="D671" s="533" t="s">
        <v>906</v>
      </c>
      <c r="E671" s="533" t="s">
        <v>380</v>
      </c>
      <c r="F671" s="348" t="s">
        <v>27</v>
      </c>
      <c r="G671" s="348" t="s">
        <v>364</v>
      </c>
      <c r="H671" s="349"/>
      <c r="I671" s="349"/>
      <c r="J671" s="349"/>
      <c r="K671" s="349">
        <v>33</v>
      </c>
      <c r="L671" s="352">
        <v>11</v>
      </c>
      <c r="M671" s="352">
        <v>33</v>
      </c>
      <c r="N671" s="352">
        <v>11</v>
      </c>
      <c r="O671" s="350">
        <v>11</v>
      </c>
      <c r="P671" s="352">
        <v>11</v>
      </c>
      <c r="Q671" s="352">
        <v>11</v>
      </c>
      <c r="R671" s="352"/>
      <c r="S671" s="352"/>
      <c r="T671" s="352"/>
      <c r="U671" s="352"/>
      <c r="V671" s="497"/>
      <c r="W671" s="352"/>
      <c r="X671" s="352"/>
      <c r="Y671" s="352">
        <f>IF(NFI_Expiration=1,IF($A671&lt;VLOOKUP(H$5,NFI,5,0),1,0)*Table_NFI[[#This Row],[Hygiene Kit]],Table_NFI[Hygiene Kit])</f>
        <v>0</v>
      </c>
      <c r="Z671" s="352">
        <f>IF(NFI_Expiration=1,IF($A671&lt;VLOOKUP(I$5,NFI,5,0),1,0)*Table_NFI[[#This Row],[NFI Core Kit]],Table_NFI[NFI Core Kit])</f>
        <v>0</v>
      </c>
      <c r="AA671" s="352">
        <f>IF(NFI_Expiration=1,IF($A671&lt;VLOOKUP(J$5,NFI,5,0),1,0)*Table_NFI[[#This Row],[Sanitary Kit]],Table_NFI[Sanitary Kit])</f>
        <v>0</v>
      </c>
      <c r="AB671" s="352">
        <f>IF(NFI_Expiration=1,IF($A671&lt;VLOOKUP(K$5,NFI,5,0),1,0)*Table_NFI[[#This Row],[Mosquito net]],Table_NFI[Mosquito net])</f>
        <v>0</v>
      </c>
      <c r="AC671" s="352">
        <f>IF(NFI_Expiration=1,IF($A671&lt;VLOOKUP(L$5,NFI,5,0),1,0)*Table_NFI[[#This Row],[Tarpaulin]],Table_NFI[[#This Row],[Tarpaulin]])</f>
        <v>0</v>
      </c>
      <c r="AD671" s="352">
        <f>IF(NFI_Expiration=1,IF($A671&lt;VLOOKUP(M$5,NFI,5,0),1,0)*Table_NFI[[#This Row],[Blanket]],Table_NFI[[#This Row],[Blanket]])</f>
        <v>0</v>
      </c>
      <c r="AE671" s="352">
        <f>IF(NFI_Expiration=1,IF($A671&lt;VLOOKUP(N$5,NFI,5,0),1,0)*Table_NFI[[#This Row],[Kitchen Set]],Table_NFI[Kitchen Set])</f>
        <v>0</v>
      </c>
      <c r="AF671" s="352">
        <f>IF(NFI_Expiration=1,IF($A671&lt;VLOOKUP(O$5,NFI,5,0),1,0)*Table_NFI[[#This Row],[Clothes Kit]],Table_NFI[Clothes Kit])</f>
        <v>0</v>
      </c>
      <c r="AG671" s="352">
        <f>IF(NFI_Expiration=1,IF($A671&lt;VLOOKUP(P$5,NFI,5,0),1,0)*Table_NFI[[#This Row],[Plastic Bucket]],Table_NFI[Plastic Bucket])</f>
        <v>0</v>
      </c>
      <c r="AH671" s="352">
        <f>IF(NFI_Expiration=1,IF($A671&lt;VLOOKUP(Q$5,NFI,5,0),1,0)*Table_NFI[[#This Row],[Plastic Mat]],Table_NFI[Plastic Mat])*IF(Table_NFI[[#This Row],[Distribution Date]]&gt;"2014-04-01",1,2.5)</f>
        <v>0</v>
      </c>
      <c r="AI671" s="352">
        <f>IF(NFI_Expiration=1,IF($A671&lt;VLOOKUP(R$5,NFI,5,0),1,0)*Table_NFI[[#This Row],[Winter Clothes Adult]],Table_NFI[Winter Clothes Adult])</f>
        <v>0</v>
      </c>
      <c r="AJ671" s="352">
        <f>IF(NFI_Expiration=1,IF($A671&lt;VLOOKUP(S$5,NFI,5,0),1,0)*Table_NFI[[#This Row],[Winter Clothes Children]],Table_NFI[Winter Clothes Children])</f>
        <v>0</v>
      </c>
      <c r="AK671" s="352">
        <f>IF(NFI_Expiration=1,IF($A671&lt;VLOOKUP(T$5,NFI,5,0),1,0)*Table_NFI[[#This Row],[Winter Items Other]],Table_NFI[Winter Items Other])</f>
        <v>0</v>
      </c>
      <c r="AL671" s="352">
        <f>IF(NFI_Expiration=1,IF($A671&lt;VLOOKUP(M$5,NFI,5,0),1,0)*Table_NFI[[#This Row],[Winter Blanket]],Table_NFI[[#This Row],[Winter Blanket]])</f>
        <v>0</v>
      </c>
      <c r="AM671" s="352">
        <f>IF(Table_NFI[[#This Row],[Winter Clothes Adult]]+Table_NFI[[#This Row],[Winter Clothes Children]]+Table_NFI[[#This Row],[Winter Items Other]]+Table_NFI[[#This Row],[Winter Blanket]]&gt;0,1,0)</f>
        <v>0</v>
      </c>
      <c r="AN671" s="392">
        <f>IF(NFI_Expiration=1,IF($A671&lt;VLOOKUP(V$5,NFI,5,0),1,0)*Table_NFI[[#This Row],[Jerry Can]],Table_NFI[Jerry Can])</f>
        <v>0</v>
      </c>
      <c r="AO671" s="540" t="str">
        <f>IFERROR(VLOOKUP(Table_NFI[[#This Row],[Camp Name]],CL,2,0),"")</f>
        <v>MMR001CMP043</v>
      </c>
      <c r="AP671" s="535">
        <f ca="1">IF(Table_NFI[[#This Row],[Pcode]]="","",IF(OFFSET(CampList[Opening Date],MATCH(Table_NFI[[#This Row],[Pcode]],CampList[CP_Pcode],0)-1,0,1,1)&gt;=NFI_Monitor_Date,1,0))</f>
        <v>0</v>
      </c>
      <c r="AQ671" s="540" t="str">
        <f>IFERROR(VLOOKUP(Table_NFI[[#This Row],[Camp Name]],CL,3,0),"")</f>
        <v>Open</v>
      </c>
      <c r="AR671" s="352" t="str">
        <f ca="1">IF(Table_NFI[[#This Row],[Pcode]]="","",OFFSET(CampList[Priority],MATCH(Table_NFI[[#This Row],[Pcode]],CampList[CP_Pcode],0)-1,0,1,1))</f>
        <v>P1</v>
      </c>
      <c r="AS671" s="351">
        <f>IFERROR(Table_NFI[[#This Row],[Kitchen Set]]/VLOOKUP(Table_NFI[[#This Row],[Camp Name]],CL,4,0),"")</f>
        <v>7.2368421052631582E-2</v>
      </c>
      <c r="AT671" s="533" t="s">
        <v>1094</v>
      </c>
      <c r="AU671" s="536"/>
    </row>
    <row r="672" spans="1:47" ht="14.45" hidden="1" customHeight="1" x14ac:dyDescent="0.25">
      <c r="A672" s="355">
        <f t="shared" si="10"/>
        <v>32.1</v>
      </c>
      <c r="B672" s="532">
        <v>41608</v>
      </c>
      <c r="C672" s="533" t="s">
        <v>1099</v>
      </c>
      <c r="D672" s="534" t="s">
        <v>946</v>
      </c>
      <c r="E672" s="533" t="s">
        <v>554</v>
      </c>
      <c r="F672" s="348" t="s">
        <v>780</v>
      </c>
      <c r="G672" s="348" t="s">
        <v>595</v>
      </c>
      <c r="H672" s="349"/>
      <c r="I672" s="349"/>
      <c r="J672" s="349"/>
      <c r="K672" s="349"/>
      <c r="L672" s="350"/>
      <c r="M672" s="350">
        <v>201</v>
      </c>
      <c r="N672" s="350"/>
      <c r="O672" s="350"/>
      <c r="P672" s="352"/>
      <c r="Q672" s="352"/>
      <c r="R672" s="352">
        <v>266</v>
      </c>
      <c r="S672" s="352">
        <v>126</v>
      </c>
      <c r="T672" s="352">
        <v>0</v>
      </c>
      <c r="U672" s="352"/>
      <c r="V672" s="497"/>
      <c r="W672" s="352"/>
      <c r="X672" s="352"/>
      <c r="Y672" s="352">
        <f>IF(NFI_Expiration=1,IF($A672&lt;VLOOKUP(H$5,NFI,5,0),1,0)*Table_NFI[[#This Row],[Hygiene Kit]],Table_NFI[Hygiene Kit])</f>
        <v>0</v>
      </c>
      <c r="Z672" s="352">
        <f>IF(NFI_Expiration=1,IF($A672&lt;VLOOKUP(I$5,NFI,5,0),1,0)*Table_NFI[[#This Row],[NFI Core Kit]],Table_NFI[NFI Core Kit])</f>
        <v>0</v>
      </c>
      <c r="AA672" s="352">
        <f>IF(NFI_Expiration=1,IF($A672&lt;VLOOKUP(J$5,NFI,5,0),1,0)*Table_NFI[[#This Row],[Sanitary Kit]],Table_NFI[Sanitary Kit])</f>
        <v>0</v>
      </c>
      <c r="AB672" s="352">
        <f>IF(NFI_Expiration=1,IF($A672&lt;VLOOKUP(K$5,NFI,5,0),1,0)*Table_NFI[[#This Row],[Mosquito net]],Table_NFI[Mosquito net])</f>
        <v>0</v>
      </c>
      <c r="AC672" s="352">
        <f>IF(NFI_Expiration=1,IF($A672&lt;VLOOKUP(L$5,NFI,5,0),1,0)*Table_NFI[[#This Row],[Tarpaulin]],Table_NFI[[#This Row],[Tarpaulin]])</f>
        <v>0</v>
      </c>
      <c r="AD672" s="352">
        <f>IF(NFI_Expiration=1,IF($A672&lt;VLOOKUP(M$5,NFI,5,0),1,0)*Table_NFI[[#This Row],[Blanket]],Table_NFI[[#This Row],[Blanket]])</f>
        <v>0</v>
      </c>
      <c r="AE672" s="352">
        <f>IF(NFI_Expiration=1,IF($A672&lt;VLOOKUP(N$5,NFI,5,0),1,0)*Table_NFI[[#This Row],[Kitchen Set]],Table_NFI[Kitchen Set])</f>
        <v>0</v>
      </c>
      <c r="AF672" s="352">
        <f>IF(NFI_Expiration=1,IF($A672&lt;VLOOKUP(O$5,NFI,5,0),1,0)*Table_NFI[[#This Row],[Clothes Kit]],Table_NFI[Clothes Kit])</f>
        <v>0</v>
      </c>
      <c r="AG672" s="352">
        <f>IF(NFI_Expiration=1,IF($A672&lt;VLOOKUP(P$5,NFI,5,0),1,0)*Table_NFI[[#This Row],[Plastic Bucket]],Table_NFI[Plastic Bucket])</f>
        <v>0</v>
      </c>
      <c r="AH672" s="352">
        <f>IF(NFI_Expiration=1,IF($A672&lt;VLOOKUP(Q$5,NFI,5,0),1,0)*Table_NFI[[#This Row],[Plastic Mat]],Table_NFI[Plastic Mat])*IF(Table_NFI[[#This Row],[Distribution Date]]&gt;"2014-04-01",1,2.5)</f>
        <v>0</v>
      </c>
      <c r="AI672" s="352">
        <f>IF(NFI_Expiration=1,IF($A672&lt;VLOOKUP(R$5,NFI,5,0),1,0)*Table_NFI[[#This Row],[Winter Clothes Adult]],Table_NFI[Winter Clothes Adult])</f>
        <v>0</v>
      </c>
      <c r="AJ672" s="352">
        <f>IF(NFI_Expiration=1,IF($A672&lt;VLOOKUP(S$5,NFI,5,0),1,0)*Table_NFI[[#This Row],[Winter Clothes Children]],Table_NFI[Winter Clothes Children])</f>
        <v>0</v>
      </c>
      <c r="AK672" s="352">
        <f>IF(NFI_Expiration=1,IF($A672&lt;VLOOKUP(T$5,NFI,5,0),1,0)*Table_NFI[[#This Row],[Winter Items Other]],Table_NFI[Winter Items Other])</f>
        <v>0</v>
      </c>
      <c r="AL672" s="352">
        <f>IF(NFI_Expiration=1,IF($A672&lt;VLOOKUP(M$5,NFI,5,0),1,0)*Table_NFI[[#This Row],[Winter Blanket]],Table_NFI[[#This Row],[Winter Blanket]])</f>
        <v>0</v>
      </c>
      <c r="AM672" s="352">
        <f>IF(Table_NFI[[#This Row],[Winter Clothes Adult]]+Table_NFI[[#This Row],[Winter Clothes Children]]+Table_NFI[[#This Row],[Winter Items Other]]+Table_NFI[[#This Row],[Winter Blanket]]&gt;0,1,0)</f>
        <v>1</v>
      </c>
      <c r="AN672" s="392">
        <f>IF(NFI_Expiration=1,IF($A672&lt;VLOOKUP(V$5,NFI,5,0),1,0)*Table_NFI[[#This Row],[Jerry Can]],Table_NFI[Jerry Can])</f>
        <v>0</v>
      </c>
      <c r="AO672" s="540" t="str">
        <f>IFERROR(VLOOKUP(Table_NFI[[#This Row],[Camp Name]],CL,2,0),"")</f>
        <v>MMR015CMP207</v>
      </c>
      <c r="AP672" s="535">
        <f ca="1">IF(Table_NFI[[#This Row],[Pcode]]="","",IF(OFFSET(CampList[Opening Date],MATCH(Table_NFI[[#This Row],[Pcode]],CampList[CP_Pcode],0)-1,0,1,1)&gt;=NFI_Monitor_Date,1,0))</f>
        <v>0</v>
      </c>
      <c r="AQ672" s="540" t="str">
        <f>IFERROR(VLOOKUP(Table_NFI[[#This Row],[Camp Name]],CL,3,0),"")</f>
        <v>Open</v>
      </c>
      <c r="AR672" s="352" t="str">
        <f ca="1">IF(Table_NFI[[#This Row],[Pcode]]="","",OFFSET(CampList[Priority],MATCH(Table_NFI[[#This Row],[Pcode]],CampList[CP_Pcode],0)-1,0,1,1))</f>
        <v>P4</v>
      </c>
      <c r="AS672" s="351">
        <f>IFERROR(Table_NFI[[#This Row],[Kitchen Set]]/VLOOKUP(Table_NFI[[#This Row],[Camp Name]],CL,4,0),"")</f>
        <v>0</v>
      </c>
      <c r="AT672" s="533" t="s">
        <v>1094</v>
      </c>
      <c r="AU672" s="536"/>
    </row>
    <row r="673" spans="1:47" ht="14.45" customHeight="1" x14ac:dyDescent="0.25">
      <c r="A673" s="355">
        <f t="shared" si="10"/>
        <v>46.43333333333333</v>
      </c>
      <c r="B673" s="532">
        <v>41178</v>
      </c>
      <c r="C673" s="533" t="s">
        <v>453</v>
      </c>
      <c r="D673" s="533" t="s">
        <v>906</v>
      </c>
      <c r="E673" s="533" t="s">
        <v>380</v>
      </c>
      <c r="F673" s="348" t="s">
        <v>27</v>
      </c>
      <c r="G673" s="348" t="s">
        <v>32</v>
      </c>
      <c r="H673" s="349"/>
      <c r="I673" s="349"/>
      <c r="J673" s="349"/>
      <c r="K673" s="349">
        <v>33</v>
      </c>
      <c r="L673" s="352">
        <v>11</v>
      </c>
      <c r="M673" s="352">
        <v>33</v>
      </c>
      <c r="N673" s="352">
        <v>11</v>
      </c>
      <c r="O673" s="352">
        <v>11</v>
      </c>
      <c r="P673" s="352">
        <v>11</v>
      </c>
      <c r="Q673" s="352">
        <v>11</v>
      </c>
      <c r="R673" s="352"/>
      <c r="S673" s="352"/>
      <c r="T673" s="352"/>
      <c r="U673" s="352"/>
      <c r="V673" s="497"/>
      <c r="W673" s="352"/>
      <c r="X673" s="352"/>
      <c r="Y673" s="352">
        <f>IF(NFI_Expiration=1,IF($A673&lt;VLOOKUP(H$5,NFI,5,0),1,0)*Table_NFI[[#This Row],[Hygiene Kit]],Table_NFI[Hygiene Kit])</f>
        <v>0</v>
      </c>
      <c r="Z673" s="352">
        <f>IF(NFI_Expiration=1,IF($A673&lt;VLOOKUP(I$5,NFI,5,0),1,0)*Table_NFI[[#This Row],[NFI Core Kit]],Table_NFI[NFI Core Kit])</f>
        <v>0</v>
      </c>
      <c r="AA673" s="352">
        <f>IF(NFI_Expiration=1,IF($A673&lt;VLOOKUP(J$5,NFI,5,0),1,0)*Table_NFI[[#This Row],[Sanitary Kit]],Table_NFI[Sanitary Kit])</f>
        <v>0</v>
      </c>
      <c r="AB673" s="352">
        <f>IF(NFI_Expiration=1,IF($A673&lt;VLOOKUP(K$5,NFI,5,0),1,0)*Table_NFI[[#This Row],[Mosquito net]],Table_NFI[Mosquito net])</f>
        <v>0</v>
      </c>
      <c r="AC673" s="352">
        <f>IF(NFI_Expiration=1,IF($A673&lt;VLOOKUP(L$5,NFI,5,0),1,0)*Table_NFI[[#This Row],[Tarpaulin]],Table_NFI[[#This Row],[Tarpaulin]])</f>
        <v>0</v>
      </c>
      <c r="AD673" s="352">
        <f>IF(NFI_Expiration=1,IF($A673&lt;VLOOKUP(M$5,NFI,5,0),1,0)*Table_NFI[[#This Row],[Blanket]],Table_NFI[[#This Row],[Blanket]])</f>
        <v>0</v>
      </c>
      <c r="AE673" s="352">
        <f>IF(NFI_Expiration=1,IF($A673&lt;VLOOKUP(N$5,NFI,5,0),1,0)*Table_NFI[[#This Row],[Kitchen Set]],Table_NFI[Kitchen Set])</f>
        <v>0</v>
      </c>
      <c r="AF673" s="352">
        <f>IF(NFI_Expiration=1,IF($A673&lt;VLOOKUP(O$5,NFI,5,0),1,0)*Table_NFI[[#This Row],[Clothes Kit]],Table_NFI[Clothes Kit])</f>
        <v>0</v>
      </c>
      <c r="AG673" s="352">
        <f>IF(NFI_Expiration=1,IF($A673&lt;VLOOKUP(P$5,NFI,5,0),1,0)*Table_NFI[[#This Row],[Plastic Bucket]],Table_NFI[Plastic Bucket])</f>
        <v>0</v>
      </c>
      <c r="AH673" s="352">
        <f>IF(NFI_Expiration=1,IF($A673&lt;VLOOKUP(Q$5,NFI,5,0),1,0)*Table_NFI[[#This Row],[Plastic Mat]],Table_NFI[Plastic Mat])*IF(Table_NFI[[#This Row],[Distribution Date]]&gt;"2014-04-01",1,2.5)</f>
        <v>0</v>
      </c>
      <c r="AI673" s="352">
        <f>IF(NFI_Expiration=1,IF($A673&lt;VLOOKUP(R$5,NFI,5,0),1,0)*Table_NFI[[#This Row],[Winter Clothes Adult]],Table_NFI[Winter Clothes Adult])</f>
        <v>0</v>
      </c>
      <c r="AJ673" s="352">
        <f>IF(NFI_Expiration=1,IF($A673&lt;VLOOKUP(S$5,NFI,5,0),1,0)*Table_NFI[[#This Row],[Winter Clothes Children]],Table_NFI[Winter Clothes Children])</f>
        <v>0</v>
      </c>
      <c r="AK673" s="352">
        <f>IF(NFI_Expiration=1,IF($A673&lt;VLOOKUP(T$5,NFI,5,0),1,0)*Table_NFI[[#This Row],[Winter Items Other]],Table_NFI[Winter Items Other])</f>
        <v>0</v>
      </c>
      <c r="AL673" s="352">
        <f>IF(NFI_Expiration=1,IF($A673&lt;VLOOKUP(M$5,NFI,5,0),1,0)*Table_NFI[[#This Row],[Winter Blanket]],Table_NFI[[#This Row],[Winter Blanket]])</f>
        <v>0</v>
      </c>
      <c r="AM673" s="352">
        <f>IF(Table_NFI[[#This Row],[Winter Clothes Adult]]+Table_NFI[[#This Row],[Winter Clothes Children]]+Table_NFI[[#This Row],[Winter Items Other]]+Table_NFI[[#This Row],[Winter Blanket]]&gt;0,1,0)</f>
        <v>0</v>
      </c>
      <c r="AN673" s="392">
        <f>IF(NFI_Expiration=1,IF($A673&lt;VLOOKUP(V$5,NFI,5,0),1,0)*Table_NFI[[#This Row],[Jerry Can]],Table_NFI[Jerry Can])</f>
        <v>0</v>
      </c>
      <c r="AO673" s="540" t="str">
        <f>IFERROR(VLOOKUP(Table_NFI[[#This Row],[Camp Name]],CL,2,0),"")</f>
        <v>MMR001CMP046</v>
      </c>
      <c r="AP673" s="535">
        <f ca="1">IF(Table_NFI[[#This Row],[Pcode]]="","",IF(OFFSET(CampList[Opening Date],MATCH(Table_NFI[[#This Row],[Pcode]],CampList[CP_Pcode],0)-1,0,1,1)&gt;=NFI_Monitor_Date,1,0))</f>
        <v>0</v>
      </c>
      <c r="AQ673" s="540" t="str">
        <f>IFERROR(VLOOKUP(Table_NFI[[#This Row],[Camp Name]],CL,3,0),"")</f>
        <v>Closed</v>
      </c>
      <c r="AR673" s="352" t="str">
        <f ca="1">IF(Table_NFI[[#This Row],[Pcode]]="","",OFFSET(CampList[Priority],MATCH(Table_NFI[[#This Row],[Pcode]],CampList[CP_Pcode],0)-1,0,1,1))</f>
        <v>P1</v>
      </c>
      <c r="AS673" s="351" t="str">
        <f>IFERROR(Table_NFI[[#This Row],[Kitchen Set]]/VLOOKUP(Table_NFI[[#This Row],[Camp Name]],CL,4,0),"")</f>
        <v/>
      </c>
      <c r="AT673" s="533" t="s">
        <v>1094</v>
      </c>
      <c r="AU673" s="536"/>
    </row>
    <row r="674" spans="1:47" ht="14.45" hidden="1" customHeight="1" x14ac:dyDescent="0.25">
      <c r="A674" s="355">
        <f t="shared" si="10"/>
        <v>29.2</v>
      </c>
      <c r="B674" s="532">
        <v>41695</v>
      </c>
      <c r="C674" s="533" t="s">
        <v>1106</v>
      </c>
      <c r="D674" s="533" t="s">
        <v>902</v>
      </c>
      <c r="E674" s="533" t="s">
        <v>380</v>
      </c>
      <c r="F674" s="533" t="s">
        <v>173</v>
      </c>
      <c r="G674" s="533" t="s">
        <v>178</v>
      </c>
      <c r="H674" s="349"/>
      <c r="I674" s="349"/>
      <c r="J674" s="349"/>
      <c r="K674" s="349"/>
      <c r="L674" s="350"/>
      <c r="M674" s="350"/>
      <c r="N674" s="350"/>
      <c r="O674" s="350"/>
      <c r="P674" s="352"/>
      <c r="Q674" s="352"/>
      <c r="R674" s="352"/>
      <c r="S674" s="352"/>
      <c r="T674" s="352"/>
      <c r="U674" s="352">
        <v>28</v>
      </c>
      <c r="V674" s="497"/>
      <c r="W674" s="352"/>
      <c r="X674" s="352"/>
      <c r="Y674" s="352">
        <f>IF(NFI_Expiration=1,IF($A674&lt;VLOOKUP(H$5,NFI,5,0),1,0)*Table_NFI[[#This Row],[Hygiene Kit]],Table_NFI[Hygiene Kit])</f>
        <v>0</v>
      </c>
      <c r="Z674" s="352">
        <f>IF(NFI_Expiration=1,IF($A674&lt;VLOOKUP(I$5,NFI,5,0),1,0)*Table_NFI[[#This Row],[NFI Core Kit]],Table_NFI[NFI Core Kit])</f>
        <v>0</v>
      </c>
      <c r="AA674" s="352">
        <f>IF(NFI_Expiration=1,IF($A674&lt;VLOOKUP(J$5,NFI,5,0),1,0)*Table_NFI[[#This Row],[Sanitary Kit]],Table_NFI[Sanitary Kit])</f>
        <v>0</v>
      </c>
      <c r="AB674" s="352">
        <f>IF(NFI_Expiration=1,IF($A674&lt;VLOOKUP(K$5,NFI,5,0),1,0)*Table_NFI[[#This Row],[Mosquito net]],Table_NFI[Mosquito net])</f>
        <v>0</v>
      </c>
      <c r="AC674" s="352">
        <f>IF(NFI_Expiration=1,IF($A674&lt;VLOOKUP(L$5,NFI,5,0),1,0)*Table_NFI[[#This Row],[Tarpaulin]],Table_NFI[[#This Row],[Tarpaulin]])</f>
        <v>0</v>
      </c>
      <c r="AD674" s="352">
        <f>IF(NFI_Expiration=1,IF($A674&lt;VLOOKUP(M$5,NFI,5,0),1,0)*Table_NFI[[#This Row],[Blanket]],Table_NFI[[#This Row],[Blanket]])</f>
        <v>0</v>
      </c>
      <c r="AE674" s="352">
        <f>IF(NFI_Expiration=1,IF($A674&lt;VLOOKUP(N$5,NFI,5,0),1,0)*Table_NFI[[#This Row],[Kitchen Set]],Table_NFI[Kitchen Set])</f>
        <v>0</v>
      </c>
      <c r="AF674" s="352">
        <f>IF(NFI_Expiration=1,IF($A674&lt;VLOOKUP(O$5,NFI,5,0),1,0)*Table_NFI[[#This Row],[Clothes Kit]],Table_NFI[Clothes Kit])</f>
        <v>0</v>
      </c>
      <c r="AG674" s="352">
        <f>IF(NFI_Expiration=1,IF($A674&lt;VLOOKUP(P$5,NFI,5,0),1,0)*Table_NFI[[#This Row],[Plastic Bucket]],Table_NFI[Plastic Bucket])</f>
        <v>0</v>
      </c>
      <c r="AH674" s="352">
        <f>IF(NFI_Expiration=1,IF($A674&lt;VLOOKUP(Q$5,NFI,5,0),1,0)*Table_NFI[[#This Row],[Plastic Mat]],Table_NFI[Plastic Mat])*IF(Table_NFI[[#This Row],[Distribution Date]]&gt;"2014-04-01",1,2.5)</f>
        <v>0</v>
      </c>
      <c r="AI674" s="352">
        <f>IF(NFI_Expiration=1,IF($A674&lt;VLOOKUP(R$5,NFI,5,0),1,0)*Table_NFI[[#This Row],[Winter Clothes Adult]],Table_NFI[Winter Clothes Adult])</f>
        <v>0</v>
      </c>
      <c r="AJ674" s="352">
        <f>IF(NFI_Expiration=1,IF($A674&lt;VLOOKUP(S$5,NFI,5,0),1,0)*Table_NFI[[#This Row],[Winter Clothes Children]],Table_NFI[Winter Clothes Children])</f>
        <v>0</v>
      </c>
      <c r="AK674" s="352">
        <f>IF(NFI_Expiration=1,IF($A674&lt;VLOOKUP(T$5,NFI,5,0),1,0)*Table_NFI[[#This Row],[Winter Items Other]],Table_NFI[Winter Items Other])</f>
        <v>0</v>
      </c>
      <c r="AL674" s="352">
        <f>IF(NFI_Expiration=1,IF($A674&lt;VLOOKUP(M$5,NFI,5,0),1,0)*Table_NFI[[#This Row],[Winter Blanket]],Table_NFI[[#This Row],[Winter Blanket]])</f>
        <v>0</v>
      </c>
      <c r="AM674" s="352">
        <f>IF(Table_NFI[[#This Row],[Winter Clothes Adult]]+Table_NFI[[#This Row],[Winter Clothes Children]]+Table_NFI[[#This Row],[Winter Items Other]]+Table_NFI[[#This Row],[Winter Blanket]]&gt;0,1,0)</f>
        <v>1</v>
      </c>
      <c r="AN674" s="392">
        <f>IF(NFI_Expiration=1,IF($A674&lt;VLOOKUP(V$5,NFI,5,0),1,0)*Table_NFI[[#This Row],[Jerry Can]],Table_NFI[Jerry Can])</f>
        <v>0</v>
      </c>
      <c r="AO674" s="540" t="str">
        <f>IFERROR(VLOOKUP(Table_NFI[[#This Row],[Camp Name]],CL,2,0),"")</f>
        <v>MMR001CMP079</v>
      </c>
      <c r="AP674" s="535">
        <f ca="1">IF(Table_NFI[[#This Row],[Pcode]]="","",IF(OFFSET(CampList[Opening Date],MATCH(Table_NFI[[#This Row],[Pcode]],CampList[CP_Pcode],0)-1,0,1,1)&gt;=NFI_Monitor_Date,1,0))</f>
        <v>0</v>
      </c>
      <c r="AQ674" s="540" t="str">
        <f>IFERROR(VLOOKUP(Table_NFI[[#This Row],[Camp Name]],CL,3,0),"")</f>
        <v>Open</v>
      </c>
      <c r="AR674" s="352" t="str">
        <f ca="1">IF(Table_NFI[[#This Row],[Pcode]]="","",OFFSET(CampList[Priority],MATCH(Table_NFI[[#This Row],[Pcode]],CampList[CP_Pcode],0)-1,0,1,1))</f>
        <v>P4</v>
      </c>
      <c r="AS674" s="351">
        <f>IFERROR(Table_NFI[[#This Row],[Kitchen Set]]/VLOOKUP(Table_NFI[[#This Row],[Camp Name]],CL,4,0),"")</f>
        <v>0</v>
      </c>
      <c r="AT674" s="533"/>
      <c r="AU674" s="536"/>
    </row>
    <row r="675" spans="1:47" ht="14.45" hidden="1" customHeight="1" x14ac:dyDescent="0.25">
      <c r="A675" s="355">
        <f t="shared" si="10"/>
        <v>31.033333333333335</v>
      </c>
      <c r="B675" s="532">
        <v>41640</v>
      </c>
      <c r="C675" s="533" t="s">
        <v>1039</v>
      </c>
      <c r="D675" s="533" t="s">
        <v>902</v>
      </c>
      <c r="E675" s="533" t="s">
        <v>380</v>
      </c>
      <c r="F675" s="533" t="s">
        <v>173</v>
      </c>
      <c r="G675" s="533" t="s">
        <v>178</v>
      </c>
      <c r="H675" s="349"/>
      <c r="I675" s="349"/>
      <c r="J675" s="349"/>
      <c r="K675" s="349"/>
      <c r="L675" s="350"/>
      <c r="M675" s="350"/>
      <c r="N675" s="350">
        <v>13</v>
      </c>
      <c r="O675" s="350"/>
      <c r="P675" s="352"/>
      <c r="Q675" s="352"/>
      <c r="R675" s="352"/>
      <c r="S675" s="352"/>
      <c r="T675" s="352"/>
      <c r="U675" s="352"/>
      <c r="V675" s="497"/>
      <c r="W675" s="352"/>
      <c r="X675" s="352"/>
      <c r="Y675" s="352">
        <f>IF(NFI_Expiration=1,IF($A675&lt;VLOOKUP(H$5,NFI,5,0),1,0)*Table_NFI[[#This Row],[Hygiene Kit]],Table_NFI[Hygiene Kit])</f>
        <v>0</v>
      </c>
      <c r="Z675" s="352">
        <f>IF(NFI_Expiration=1,IF($A675&lt;VLOOKUP(I$5,NFI,5,0),1,0)*Table_NFI[[#This Row],[NFI Core Kit]],Table_NFI[NFI Core Kit])</f>
        <v>0</v>
      </c>
      <c r="AA675" s="352">
        <f>IF(NFI_Expiration=1,IF($A675&lt;VLOOKUP(J$5,NFI,5,0),1,0)*Table_NFI[[#This Row],[Sanitary Kit]],Table_NFI[Sanitary Kit])</f>
        <v>0</v>
      </c>
      <c r="AB675" s="352">
        <f>IF(NFI_Expiration=1,IF($A675&lt;VLOOKUP(K$5,NFI,5,0),1,0)*Table_NFI[[#This Row],[Mosquito net]],Table_NFI[Mosquito net])</f>
        <v>0</v>
      </c>
      <c r="AC675" s="352">
        <f>IF(NFI_Expiration=1,IF($A675&lt;VLOOKUP(L$5,NFI,5,0),1,0)*Table_NFI[[#This Row],[Tarpaulin]],Table_NFI[[#This Row],[Tarpaulin]])</f>
        <v>0</v>
      </c>
      <c r="AD675" s="352">
        <f>IF(NFI_Expiration=1,IF($A675&lt;VLOOKUP(M$5,NFI,5,0),1,0)*Table_NFI[[#This Row],[Blanket]],Table_NFI[[#This Row],[Blanket]])</f>
        <v>0</v>
      </c>
      <c r="AE675" s="352">
        <f>IF(NFI_Expiration=1,IF($A675&lt;VLOOKUP(N$5,NFI,5,0),1,0)*Table_NFI[[#This Row],[Kitchen Set]],Table_NFI[Kitchen Set])</f>
        <v>0</v>
      </c>
      <c r="AF675" s="352">
        <f>IF(NFI_Expiration=1,IF($A675&lt;VLOOKUP(O$5,NFI,5,0),1,0)*Table_NFI[[#This Row],[Clothes Kit]],Table_NFI[Clothes Kit])</f>
        <v>0</v>
      </c>
      <c r="AG675" s="352">
        <f>IF(NFI_Expiration=1,IF($A675&lt;VLOOKUP(P$5,NFI,5,0),1,0)*Table_NFI[[#This Row],[Plastic Bucket]],Table_NFI[Plastic Bucket])</f>
        <v>0</v>
      </c>
      <c r="AH675" s="352">
        <f>IF(NFI_Expiration=1,IF($A675&lt;VLOOKUP(Q$5,NFI,5,0),1,0)*Table_NFI[[#This Row],[Plastic Mat]],Table_NFI[Plastic Mat])*IF(Table_NFI[[#This Row],[Distribution Date]]&gt;"2014-04-01",1,2.5)</f>
        <v>0</v>
      </c>
      <c r="AI675" s="352">
        <f>IF(NFI_Expiration=1,IF($A675&lt;VLOOKUP(R$5,NFI,5,0),1,0)*Table_NFI[[#This Row],[Winter Clothes Adult]],Table_NFI[Winter Clothes Adult])</f>
        <v>0</v>
      </c>
      <c r="AJ675" s="352">
        <f>IF(NFI_Expiration=1,IF($A675&lt;VLOOKUP(S$5,NFI,5,0),1,0)*Table_NFI[[#This Row],[Winter Clothes Children]],Table_NFI[Winter Clothes Children])</f>
        <v>0</v>
      </c>
      <c r="AK675" s="352">
        <f>IF(NFI_Expiration=1,IF($A675&lt;VLOOKUP(T$5,NFI,5,0),1,0)*Table_NFI[[#This Row],[Winter Items Other]],Table_NFI[Winter Items Other])</f>
        <v>0</v>
      </c>
      <c r="AL675" s="352">
        <f>IF(NFI_Expiration=1,IF($A675&lt;VLOOKUP(M$5,NFI,5,0),1,0)*Table_NFI[[#This Row],[Winter Blanket]],Table_NFI[[#This Row],[Winter Blanket]])</f>
        <v>0</v>
      </c>
      <c r="AM675" s="352">
        <f>IF(Table_NFI[[#This Row],[Winter Clothes Adult]]+Table_NFI[[#This Row],[Winter Clothes Children]]+Table_NFI[[#This Row],[Winter Items Other]]+Table_NFI[[#This Row],[Winter Blanket]]&gt;0,1,0)</f>
        <v>0</v>
      </c>
      <c r="AN675" s="392">
        <f>IF(NFI_Expiration=1,IF($A675&lt;VLOOKUP(V$5,NFI,5,0),1,0)*Table_NFI[[#This Row],[Jerry Can]],Table_NFI[Jerry Can])</f>
        <v>0</v>
      </c>
      <c r="AO675" s="540" t="str">
        <f>IFERROR(VLOOKUP(Table_NFI[[#This Row],[Camp Name]],CL,2,0),"")</f>
        <v>MMR001CMP079</v>
      </c>
      <c r="AP675" s="535">
        <f ca="1">IF(Table_NFI[[#This Row],[Pcode]]="","",IF(OFFSET(CampList[Opening Date],MATCH(Table_NFI[[#This Row],[Pcode]],CampList[CP_Pcode],0)-1,0,1,1)&gt;=NFI_Monitor_Date,1,0))</f>
        <v>0</v>
      </c>
      <c r="AQ675" s="540" t="str">
        <f>IFERROR(VLOOKUP(Table_NFI[[#This Row],[Camp Name]],CL,3,0),"")</f>
        <v>Open</v>
      </c>
      <c r="AR675" s="352" t="str">
        <f ca="1">IF(Table_NFI[[#This Row],[Pcode]]="","",OFFSET(CampList[Priority],MATCH(Table_NFI[[#This Row],[Pcode]],CampList[CP_Pcode],0)-1,0,1,1))</f>
        <v>P4</v>
      </c>
      <c r="AS675" s="351">
        <f>IFERROR(Table_NFI[[#This Row],[Kitchen Set]]/VLOOKUP(Table_NFI[[#This Row],[Camp Name]],CL,4,0),"")</f>
        <v>1.0833333333333333</v>
      </c>
      <c r="AT675" s="533" t="s">
        <v>1094</v>
      </c>
      <c r="AU675" s="536"/>
    </row>
    <row r="676" spans="1:47" ht="14.45" customHeight="1" x14ac:dyDescent="0.25">
      <c r="A676" s="355">
        <f t="shared" si="10"/>
        <v>46.466666666666669</v>
      </c>
      <c r="B676" s="532">
        <v>41177</v>
      </c>
      <c r="C676" s="533" t="s">
        <v>453</v>
      </c>
      <c r="D676" s="533" t="s">
        <v>906</v>
      </c>
      <c r="E676" s="533" t="s">
        <v>380</v>
      </c>
      <c r="F676" s="348" t="s">
        <v>27</v>
      </c>
      <c r="G676" s="348" t="s">
        <v>28</v>
      </c>
      <c r="H676" s="349"/>
      <c r="I676" s="349"/>
      <c r="J676" s="349"/>
      <c r="K676" s="349">
        <v>33</v>
      </c>
      <c r="L676" s="352">
        <v>11</v>
      </c>
      <c r="M676" s="352">
        <v>33</v>
      </c>
      <c r="N676" s="352">
        <v>11</v>
      </c>
      <c r="O676" s="352">
        <v>11</v>
      </c>
      <c r="P676" s="352">
        <v>11</v>
      </c>
      <c r="Q676" s="352">
        <v>11</v>
      </c>
      <c r="R676" s="352"/>
      <c r="S676" s="352"/>
      <c r="T676" s="352"/>
      <c r="U676" s="352"/>
      <c r="V676" s="497"/>
      <c r="W676" s="352"/>
      <c r="X676" s="352"/>
      <c r="Y676" s="352">
        <f>IF(NFI_Expiration=1,IF($A676&lt;VLOOKUP(H$5,NFI,5,0),1,0)*Table_NFI[[#This Row],[Hygiene Kit]],Table_NFI[Hygiene Kit])</f>
        <v>0</v>
      </c>
      <c r="Z676" s="352">
        <f>IF(NFI_Expiration=1,IF($A676&lt;VLOOKUP(I$5,NFI,5,0),1,0)*Table_NFI[[#This Row],[NFI Core Kit]],Table_NFI[NFI Core Kit])</f>
        <v>0</v>
      </c>
      <c r="AA676" s="352">
        <f>IF(NFI_Expiration=1,IF($A676&lt;VLOOKUP(J$5,NFI,5,0),1,0)*Table_NFI[[#This Row],[Sanitary Kit]],Table_NFI[Sanitary Kit])</f>
        <v>0</v>
      </c>
      <c r="AB676" s="352">
        <f>IF(NFI_Expiration=1,IF($A676&lt;VLOOKUP(K$5,NFI,5,0),1,0)*Table_NFI[[#This Row],[Mosquito net]],Table_NFI[Mosquito net])</f>
        <v>0</v>
      </c>
      <c r="AC676" s="352">
        <f>IF(NFI_Expiration=1,IF($A676&lt;VLOOKUP(L$5,NFI,5,0),1,0)*Table_NFI[[#This Row],[Tarpaulin]],Table_NFI[[#This Row],[Tarpaulin]])</f>
        <v>0</v>
      </c>
      <c r="AD676" s="352">
        <f>IF(NFI_Expiration=1,IF($A676&lt;VLOOKUP(M$5,NFI,5,0),1,0)*Table_NFI[[#This Row],[Blanket]],Table_NFI[[#This Row],[Blanket]])</f>
        <v>0</v>
      </c>
      <c r="AE676" s="352">
        <f>IF(NFI_Expiration=1,IF($A676&lt;VLOOKUP(N$5,NFI,5,0),1,0)*Table_NFI[[#This Row],[Kitchen Set]],Table_NFI[Kitchen Set])</f>
        <v>0</v>
      </c>
      <c r="AF676" s="352">
        <f>IF(NFI_Expiration=1,IF($A676&lt;VLOOKUP(O$5,NFI,5,0),1,0)*Table_NFI[[#This Row],[Clothes Kit]],Table_NFI[Clothes Kit])</f>
        <v>0</v>
      </c>
      <c r="AG676" s="352">
        <f>IF(NFI_Expiration=1,IF($A676&lt;VLOOKUP(P$5,NFI,5,0),1,0)*Table_NFI[[#This Row],[Plastic Bucket]],Table_NFI[Plastic Bucket])</f>
        <v>0</v>
      </c>
      <c r="AH676" s="352">
        <f>IF(NFI_Expiration=1,IF($A676&lt;VLOOKUP(Q$5,NFI,5,0),1,0)*Table_NFI[[#This Row],[Plastic Mat]],Table_NFI[Plastic Mat])*IF(Table_NFI[[#This Row],[Distribution Date]]&gt;"2014-04-01",1,2.5)</f>
        <v>0</v>
      </c>
      <c r="AI676" s="352">
        <f>IF(NFI_Expiration=1,IF($A676&lt;VLOOKUP(R$5,NFI,5,0),1,0)*Table_NFI[[#This Row],[Winter Clothes Adult]],Table_NFI[Winter Clothes Adult])</f>
        <v>0</v>
      </c>
      <c r="AJ676" s="352">
        <f>IF(NFI_Expiration=1,IF($A676&lt;VLOOKUP(S$5,NFI,5,0),1,0)*Table_NFI[[#This Row],[Winter Clothes Children]],Table_NFI[Winter Clothes Children])</f>
        <v>0</v>
      </c>
      <c r="AK676" s="352">
        <f>IF(NFI_Expiration=1,IF($A676&lt;VLOOKUP(T$5,NFI,5,0),1,0)*Table_NFI[[#This Row],[Winter Items Other]],Table_NFI[Winter Items Other])</f>
        <v>0</v>
      </c>
      <c r="AL676" s="352">
        <f>IF(NFI_Expiration=1,IF($A676&lt;VLOOKUP(M$5,NFI,5,0),1,0)*Table_NFI[[#This Row],[Winter Blanket]],Table_NFI[[#This Row],[Winter Blanket]])</f>
        <v>0</v>
      </c>
      <c r="AM676" s="352">
        <f>IF(Table_NFI[[#This Row],[Winter Clothes Adult]]+Table_NFI[[#This Row],[Winter Clothes Children]]+Table_NFI[[#This Row],[Winter Items Other]]+Table_NFI[[#This Row],[Winter Blanket]]&gt;0,1,0)</f>
        <v>0</v>
      </c>
      <c r="AN676" s="392">
        <f>IF(NFI_Expiration=1,IF($A676&lt;VLOOKUP(V$5,NFI,5,0),1,0)*Table_NFI[[#This Row],[Jerry Can]],Table_NFI[Jerry Can])</f>
        <v>0</v>
      </c>
      <c r="AO676" s="540" t="str">
        <f>IFERROR(VLOOKUP(Table_NFI[[#This Row],[Camp Name]],CL,2,0),"")</f>
        <v>MMR001CMP042</v>
      </c>
      <c r="AP676" s="535">
        <f ca="1">IF(Table_NFI[[#This Row],[Pcode]]="","",IF(OFFSET(CampList[Opening Date],MATCH(Table_NFI[[#This Row],[Pcode]],CampList[CP_Pcode],0)-1,0,1,1)&gt;=NFI_Monitor_Date,1,0))</f>
        <v>0</v>
      </c>
      <c r="AQ676" s="540" t="str">
        <f>IFERROR(VLOOKUP(Table_NFI[[#This Row],[Camp Name]],CL,3,0),"")</f>
        <v>Open</v>
      </c>
      <c r="AR676" s="352" t="str">
        <f ca="1">IF(Table_NFI[[#This Row],[Pcode]]="","",OFFSET(CampList[Priority],MATCH(Table_NFI[[#This Row],[Pcode]],CampList[CP_Pcode],0)-1,0,1,1))</f>
        <v>P1</v>
      </c>
      <c r="AS676" s="351">
        <f>IFERROR(Table_NFI[[#This Row],[Kitchen Set]]/VLOOKUP(Table_NFI[[#This Row],[Camp Name]],CL,4,0),"")</f>
        <v>0.10091743119266056</v>
      </c>
      <c r="AT676" s="533" t="s">
        <v>1094</v>
      </c>
      <c r="AU676" s="536"/>
    </row>
    <row r="677" spans="1:47" ht="14.45" customHeight="1" x14ac:dyDescent="0.25">
      <c r="A677" s="355">
        <f t="shared" si="10"/>
        <v>46.733333333333334</v>
      </c>
      <c r="B677" s="532">
        <v>41169</v>
      </c>
      <c r="C677" s="533" t="s">
        <v>453</v>
      </c>
      <c r="D677" s="533" t="s">
        <v>453</v>
      </c>
      <c r="E677" s="533" t="s">
        <v>380</v>
      </c>
      <c r="F677" s="348" t="s">
        <v>185</v>
      </c>
      <c r="G677" s="348" t="s">
        <v>202</v>
      </c>
      <c r="H677" s="349"/>
      <c r="I677" s="349"/>
      <c r="J677" s="349"/>
      <c r="K677" s="349">
        <v>86</v>
      </c>
      <c r="L677" s="350">
        <v>43</v>
      </c>
      <c r="M677" s="350">
        <v>86</v>
      </c>
      <c r="N677" s="350">
        <v>43</v>
      </c>
      <c r="O677" s="350">
        <v>43</v>
      </c>
      <c r="P677" s="352">
        <v>43</v>
      </c>
      <c r="Q677" s="352">
        <v>43</v>
      </c>
      <c r="R677" s="352"/>
      <c r="S677" s="352"/>
      <c r="T677" s="352"/>
      <c r="U677" s="352"/>
      <c r="V677" s="497"/>
      <c r="W677" s="352"/>
      <c r="X677" s="352"/>
      <c r="Y677" s="352">
        <f>IF(NFI_Expiration=1,IF($A677&lt;VLOOKUP(H$5,NFI,5,0),1,0)*Table_NFI[[#This Row],[Hygiene Kit]],Table_NFI[Hygiene Kit])</f>
        <v>0</v>
      </c>
      <c r="Z677" s="352">
        <f>IF(NFI_Expiration=1,IF($A677&lt;VLOOKUP(I$5,NFI,5,0),1,0)*Table_NFI[[#This Row],[NFI Core Kit]],Table_NFI[NFI Core Kit])</f>
        <v>0</v>
      </c>
      <c r="AA677" s="352">
        <f>IF(NFI_Expiration=1,IF($A677&lt;VLOOKUP(J$5,NFI,5,0),1,0)*Table_NFI[[#This Row],[Sanitary Kit]],Table_NFI[Sanitary Kit])</f>
        <v>0</v>
      </c>
      <c r="AB677" s="352">
        <f>IF(NFI_Expiration=1,IF($A677&lt;VLOOKUP(K$5,NFI,5,0),1,0)*Table_NFI[[#This Row],[Mosquito net]],Table_NFI[Mosquito net])</f>
        <v>0</v>
      </c>
      <c r="AC677" s="352">
        <f>IF(NFI_Expiration=1,IF($A677&lt;VLOOKUP(L$5,NFI,5,0),1,0)*Table_NFI[[#This Row],[Tarpaulin]],Table_NFI[[#This Row],[Tarpaulin]])</f>
        <v>0</v>
      </c>
      <c r="AD677" s="352">
        <f>IF(NFI_Expiration=1,IF($A677&lt;VLOOKUP(M$5,NFI,5,0),1,0)*Table_NFI[[#This Row],[Blanket]],Table_NFI[[#This Row],[Blanket]])</f>
        <v>0</v>
      </c>
      <c r="AE677" s="352">
        <f>IF(NFI_Expiration=1,IF($A677&lt;VLOOKUP(N$5,NFI,5,0),1,0)*Table_NFI[[#This Row],[Kitchen Set]],Table_NFI[Kitchen Set])</f>
        <v>0</v>
      </c>
      <c r="AF677" s="352">
        <f>IF(NFI_Expiration=1,IF($A677&lt;VLOOKUP(O$5,NFI,5,0),1,0)*Table_NFI[[#This Row],[Clothes Kit]],Table_NFI[Clothes Kit])</f>
        <v>0</v>
      </c>
      <c r="AG677" s="352">
        <f>IF(NFI_Expiration=1,IF($A677&lt;VLOOKUP(P$5,NFI,5,0),1,0)*Table_NFI[[#This Row],[Plastic Bucket]],Table_NFI[Plastic Bucket])</f>
        <v>0</v>
      </c>
      <c r="AH677" s="352">
        <f>IF(NFI_Expiration=1,IF($A677&lt;VLOOKUP(Q$5,NFI,5,0),1,0)*Table_NFI[[#This Row],[Plastic Mat]],Table_NFI[Plastic Mat])*IF(Table_NFI[[#This Row],[Distribution Date]]&gt;"2014-04-01",1,2.5)</f>
        <v>0</v>
      </c>
      <c r="AI677" s="352">
        <f>IF(NFI_Expiration=1,IF($A677&lt;VLOOKUP(R$5,NFI,5,0),1,0)*Table_NFI[[#This Row],[Winter Clothes Adult]],Table_NFI[Winter Clothes Adult])</f>
        <v>0</v>
      </c>
      <c r="AJ677" s="352">
        <f>IF(NFI_Expiration=1,IF($A677&lt;VLOOKUP(S$5,NFI,5,0),1,0)*Table_NFI[[#This Row],[Winter Clothes Children]],Table_NFI[Winter Clothes Children])</f>
        <v>0</v>
      </c>
      <c r="AK677" s="352">
        <f>IF(NFI_Expiration=1,IF($A677&lt;VLOOKUP(T$5,NFI,5,0),1,0)*Table_NFI[[#This Row],[Winter Items Other]],Table_NFI[Winter Items Other])</f>
        <v>0</v>
      </c>
      <c r="AL677" s="352">
        <f>IF(NFI_Expiration=1,IF($A677&lt;VLOOKUP(M$5,NFI,5,0),1,0)*Table_NFI[[#This Row],[Winter Blanket]],Table_NFI[[#This Row],[Winter Blanket]])</f>
        <v>0</v>
      </c>
      <c r="AM677" s="352">
        <f>IF(Table_NFI[[#This Row],[Winter Clothes Adult]]+Table_NFI[[#This Row],[Winter Clothes Children]]+Table_NFI[[#This Row],[Winter Items Other]]+Table_NFI[[#This Row],[Winter Blanket]]&gt;0,1,0)</f>
        <v>0</v>
      </c>
      <c r="AN677" s="392">
        <f>IF(NFI_Expiration=1,IF($A677&lt;VLOOKUP(V$5,NFI,5,0),1,0)*Table_NFI[[#This Row],[Jerry Can]],Table_NFI[Jerry Can])</f>
        <v>0</v>
      </c>
      <c r="AO677" s="540" t="str">
        <f>IFERROR(VLOOKUP(Table_NFI[[#This Row],[Camp Name]],CL,2,0),"")</f>
        <v>MMR001CMP062</v>
      </c>
      <c r="AP677" s="535">
        <f ca="1">IF(Table_NFI[[#This Row],[Pcode]]="","",IF(OFFSET(CampList[Opening Date],MATCH(Table_NFI[[#This Row],[Pcode]],CampList[CP_Pcode],0)-1,0,1,1)&gt;=NFI_Monitor_Date,1,0))</f>
        <v>0</v>
      </c>
      <c r="AQ677" s="540" t="str">
        <f>IFERROR(VLOOKUP(Table_NFI[[#This Row],[Camp Name]],CL,3,0),"")</f>
        <v>Open</v>
      </c>
      <c r="AR677" s="352" t="str">
        <f ca="1">IF(Table_NFI[[#This Row],[Pcode]]="","",OFFSET(CampList[Priority],MATCH(Table_NFI[[#This Row],[Pcode]],CampList[CP_Pcode],0)-1,0,1,1))</f>
        <v>P4</v>
      </c>
      <c r="AS677" s="351">
        <f>IFERROR(Table_NFI[[#This Row],[Kitchen Set]]/VLOOKUP(Table_NFI[[#This Row],[Camp Name]],CL,4,0),"")</f>
        <v>0.16475095785440613</v>
      </c>
      <c r="AT677" s="533" t="s">
        <v>1094</v>
      </c>
      <c r="AU677" s="536"/>
    </row>
    <row r="678" spans="1:47" ht="14.45" hidden="1" customHeight="1" x14ac:dyDescent="0.25">
      <c r="A678" s="355">
        <f t="shared" si="10"/>
        <v>20.6</v>
      </c>
      <c r="B678" s="532">
        <v>41953</v>
      </c>
      <c r="C678" s="533" t="s">
        <v>1096</v>
      </c>
      <c r="D678" s="533" t="s">
        <v>902</v>
      </c>
      <c r="E678" s="533" t="s">
        <v>380</v>
      </c>
      <c r="F678" s="533" t="s">
        <v>300</v>
      </c>
      <c r="G678" s="533" t="s">
        <v>892</v>
      </c>
      <c r="H678" s="349"/>
      <c r="I678" s="349"/>
      <c r="J678" s="349"/>
      <c r="K678" s="349"/>
      <c r="L678" s="350"/>
      <c r="M678" s="350"/>
      <c r="N678" s="350"/>
      <c r="O678" s="350"/>
      <c r="P678" s="352"/>
      <c r="Q678" s="352"/>
      <c r="R678" s="352">
        <v>52</v>
      </c>
      <c r="S678" s="352">
        <v>16</v>
      </c>
      <c r="T678" s="352"/>
      <c r="U678" s="352"/>
      <c r="V678" s="497"/>
      <c r="W678" s="352"/>
      <c r="X678" s="352"/>
      <c r="Y678" s="352">
        <f>IF(NFI_Expiration=1,IF($A678&lt;VLOOKUP(H$5,NFI,5,0),1,0)*Table_NFI[[#This Row],[Hygiene Kit]],Table_NFI[Hygiene Kit])</f>
        <v>0</v>
      </c>
      <c r="Z678" s="352">
        <f>IF(NFI_Expiration=1,IF($A678&lt;VLOOKUP(I$5,NFI,5,0),1,0)*Table_NFI[[#This Row],[NFI Core Kit]],Table_NFI[NFI Core Kit])</f>
        <v>0</v>
      </c>
      <c r="AA678" s="352">
        <f>IF(NFI_Expiration=1,IF($A678&lt;VLOOKUP(J$5,NFI,5,0),1,0)*Table_NFI[[#This Row],[Sanitary Kit]],Table_NFI[Sanitary Kit])</f>
        <v>0</v>
      </c>
      <c r="AB678" s="352">
        <f>IF(NFI_Expiration=1,IF($A678&lt;VLOOKUP(K$5,NFI,5,0),1,0)*Table_NFI[[#This Row],[Mosquito net]],Table_NFI[Mosquito net])</f>
        <v>0</v>
      </c>
      <c r="AC678" s="352">
        <f>IF(NFI_Expiration=1,IF($A678&lt;VLOOKUP(L$5,NFI,5,0),1,0)*Table_NFI[[#This Row],[Tarpaulin]],Table_NFI[[#This Row],[Tarpaulin]])</f>
        <v>0</v>
      </c>
      <c r="AD678" s="352">
        <f>IF(NFI_Expiration=1,IF($A678&lt;VLOOKUP(M$5,NFI,5,0),1,0)*Table_NFI[[#This Row],[Blanket]],Table_NFI[[#This Row],[Blanket]])</f>
        <v>0</v>
      </c>
      <c r="AE678" s="352">
        <f>IF(NFI_Expiration=1,IF($A678&lt;VLOOKUP(N$5,NFI,5,0),1,0)*Table_NFI[[#This Row],[Kitchen Set]],Table_NFI[Kitchen Set])</f>
        <v>0</v>
      </c>
      <c r="AF678" s="352">
        <f>IF(NFI_Expiration=1,IF($A678&lt;VLOOKUP(O$5,NFI,5,0),1,0)*Table_NFI[[#This Row],[Clothes Kit]],Table_NFI[Clothes Kit])</f>
        <v>0</v>
      </c>
      <c r="AG678" s="352">
        <f>IF(NFI_Expiration=1,IF($A678&lt;VLOOKUP(P$5,NFI,5,0),1,0)*Table_NFI[[#This Row],[Plastic Bucket]],Table_NFI[Plastic Bucket])</f>
        <v>0</v>
      </c>
      <c r="AH678" s="352">
        <f>IF(NFI_Expiration=1,IF($A678&lt;VLOOKUP(Q$5,NFI,5,0),1,0)*Table_NFI[[#This Row],[Plastic Mat]],Table_NFI[Plastic Mat])*IF(Table_NFI[[#This Row],[Distribution Date]]&gt;"2014-04-01",1,2.5)</f>
        <v>0</v>
      </c>
      <c r="AI678" s="352">
        <f>IF(NFI_Expiration=1,IF($A678&lt;VLOOKUP(R$5,NFI,5,0),1,0)*Table_NFI[[#This Row],[Winter Clothes Adult]],Table_NFI[Winter Clothes Adult])</f>
        <v>0</v>
      </c>
      <c r="AJ678" s="352">
        <f>IF(NFI_Expiration=1,IF($A678&lt;VLOOKUP(S$5,NFI,5,0),1,0)*Table_NFI[[#This Row],[Winter Clothes Children]],Table_NFI[Winter Clothes Children])</f>
        <v>0</v>
      </c>
      <c r="AK678" s="352">
        <f>IF(NFI_Expiration=1,IF($A678&lt;VLOOKUP(T$5,NFI,5,0),1,0)*Table_NFI[[#This Row],[Winter Items Other]],Table_NFI[Winter Items Other])</f>
        <v>0</v>
      </c>
      <c r="AL678" s="352">
        <f>IF(NFI_Expiration=1,IF($A678&lt;VLOOKUP(M$5,NFI,5,0),1,0)*Table_NFI[[#This Row],[Winter Blanket]],Table_NFI[[#This Row],[Winter Blanket]])</f>
        <v>0</v>
      </c>
      <c r="AM678" s="352">
        <f>IF(Table_NFI[[#This Row],[Winter Clothes Adult]]+Table_NFI[[#This Row],[Winter Clothes Children]]+Table_NFI[[#This Row],[Winter Items Other]]+Table_NFI[[#This Row],[Winter Blanket]]&gt;0,1,0)</f>
        <v>1</v>
      </c>
      <c r="AN678" s="392">
        <f>IF(NFI_Expiration=1,IF($A678&lt;VLOOKUP(V$5,NFI,5,0),1,0)*Table_NFI[[#This Row],[Jerry Can]],Table_NFI[Jerry Can])</f>
        <v>0</v>
      </c>
      <c r="AO678" s="540" t="str">
        <f>IFERROR(VLOOKUP(Table_NFI[[#This Row],[Camp Name]],CL,2,0),"")</f>
        <v>MMR001CMP220</v>
      </c>
      <c r="AP678" s="535">
        <f ca="1">IF(Table_NFI[[#This Row],[Pcode]]="","",IF(OFFSET(CampList[Opening Date],MATCH(Table_NFI[[#This Row],[Pcode]],CampList[CP_Pcode],0)-1,0,1,1)&gt;=NFI_Monitor_Date,1,0))</f>
        <v>0</v>
      </c>
      <c r="AQ678" s="540" t="str">
        <f>IFERROR(VLOOKUP(Table_NFI[[#This Row],[Camp Name]],CL,3,0),"")</f>
        <v>Closed</v>
      </c>
      <c r="AR678" s="352" t="str">
        <f ca="1">IF(Table_NFI[[#This Row],[Pcode]]="","",OFFSET(CampList[Priority],MATCH(Table_NFI[[#This Row],[Pcode]],CampList[CP_Pcode],0)-1,0,1,1))</f>
        <v>P3</v>
      </c>
      <c r="AS678" s="351" t="str">
        <f>IFERROR(Table_NFI[[#This Row],[Kitchen Set]]/VLOOKUP(Table_NFI[[#This Row],[Camp Name]],CL,4,0),"")</f>
        <v/>
      </c>
      <c r="AT678" s="533"/>
      <c r="AU678" s="536"/>
    </row>
    <row r="679" spans="1:47" ht="14.45" hidden="1" customHeight="1" x14ac:dyDescent="0.25">
      <c r="A679" s="355">
        <f t="shared" si="10"/>
        <v>30.4</v>
      </c>
      <c r="B679" s="532">
        <v>41659</v>
      </c>
      <c r="C679" s="533" t="s">
        <v>1096</v>
      </c>
      <c r="D679" s="533" t="s">
        <v>902</v>
      </c>
      <c r="E679" s="533" t="s">
        <v>380</v>
      </c>
      <c r="F679" s="533" t="s">
        <v>300</v>
      </c>
      <c r="G679" s="533" t="s">
        <v>892</v>
      </c>
      <c r="H679" s="349"/>
      <c r="I679" s="349"/>
      <c r="J679" s="349"/>
      <c r="K679" s="349">
        <v>17</v>
      </c>
      <c r="L679" s="350">
        <v>34</v>
      </c>
      <c r="M679" s="350">
        <v>34</v>
      </c>
      <c r="N679" s="350">
        <v>17</v>
      </c>
      <c r="O679" s="350"/>
      <c r="P679" s="352"/>
      <c r="Q679" s="352"/>
      <c r="R679" s="352">
        <v>31</v>
      </c>
      <c r="S679" s="352">
        <v>28</v>
      </c>
      <c r="T679" s="352"/>
      <c r="U679" s="352"/>
      <c r="V679" s="497"/>
      <c r="W679" s="352"/>
      <c r="X679" s="352"/>
      <c r="Y679" s="352">
        <f>IF(NFI_Expiration=1,IF($A679&lt;VLOOKUP(H$5,NFI,5,0),1,0)*Table_NFI[[#This Row],[Hygiene Kit]],Table_NFI[Hygiene Kit])</f>
        <v>0</v>
      </c>
      <c r="Z679" s="352">
        <f>IF(NFI_Expiration=1,IF($A679&lt;VLOOKUP(I$5,NFI,5,0),1,0)*Table_NFI[[#This Row],[NFI Core Kit]],Table_NFI[NFI Core Kit])</f>
        <v>0</v>
      </c>
      <c r="AA679" s="352">
        <f>IF(NFI_Expiration=1,IF($A679&lt;VLOOKUP(J$5,NFI,5,0),1,0)*Table_NFI[[#This Row],[Sanitary Kit]],Table_NFI[Sanitary Kit])</f>
        <v>0</v>
      </c>
      <c r="AB679" s="352">
        <f>IF(NFI_Expiration=1,IF($A679&lt;VLOOKUP(K$5,NFI,5,0),1,0)*Table_NFI[[#This Row],[Mosquito net]],Table_NFI[Mosquito net])</f>
        <v>0</v>
      </c>
      <c r="AC679" s="352">
        <f>IF(NFI_Expiration=1,IF($A679&lt;VLOOKUP(L$5,NFI,5,0),1,0)*Table_NFI[[#This Row],[Tarpaulin]],Table_NFI[[#This Row],[Tarpaulin]])</f>
        <v>0</v>
      </c>
      <c r="AD679" s="352">
        <f>IF(NFI_Expiration=1,IF($A679&lt;VLOOKUP(M$5,NFI,5,0),1,0)*Table_NFI[[#This Row],[Blanket]],Table_NFI[[#This Row],[Blanket]])</f>
        <v>0</v>
      </c>
      <c r="AE679" s="352">
        <f>IF(NFI_Expiration=1,IF($A679&lt;VLOOKUP(N$5,NFI,5,0),1,0)*Table_NFI[[#This Row],[Kitchen Set]],Table_NFI[Kitchen Set])</f>
        <v>0</v>
      </c>
      <c r="AF679" s="352">
        <f>IF(NFI_Expiration=1,IF($A679&lt;VLOOKUP(O$5,NFI,5,0),1,0)*Table_NFI[[#This Row],[Clothes Kit]],Table_NFI[Clothes Kit])</f>
        <v>0</v>
      </c>
      <c r="AG679" s="352">
        <f>IF(NFI_Expiration=1,IF($A679&lt;VLOOKUP(P$5,NFI,5,0),1,0)*Table_NFI[[#This Row],[Plastic Bucket]],Table_NFI[Plastic Bucket])</f>
        <v>0</v>
      </c>
      <c r="AH679" s="352">
        <f>IF(NFI_Expiration=1,IF($A679&lt;VLOOKUP(Q$5,NFI,5,0),1,0)*Table_NFI[[#This Row],[Plastic Mat]],Table_NFI[Plastic Mat])*IF(Table_NFI[[#This Row],[Distribution Date]]&gt;"2014-04-01",1,2.5)</f>
        <v>0</v>
      </c>
      <c r="AI679" s="352">
        <f>IF(NFI_Expiration=1,IF($A679&lt;VLOOKUP(R$5,NFI,5,0),1,0)*Table_NFI[[#This Row],[Winter Clothes Adult]],Table_NFI[Winter Clothes Adult])</f>
        <v>0</v>
      </c>
      <c r="AJ679" s="352">
        <f>IF(NFI_Expiration=1,IF($A679&lt;VLOOKUP(S$5,NFI,5,0),1,0)*Table_NFI[[#This Row],[Winter Clothes Children]],Table_NFI[Winter Clothes Children])</f>
        <v>0</v>
      </c>
      <c r="AK679" s="352">
        <f>IF(NFI_Expiration=1,IF($A679&lt;VLOOKUP(T$5,NFI,5,0),1,0)*Table_NFI[[#This Row],[Winter Items Other]],Table_NFI[Winter Items Other])</f>
        <v>0</v>
      </c>
      <c r="AL679" s="352">
        <f>IF(NFI_Expiration=1,IF($A679&lt;VLOOKUP(M$5,NFI,5,0),1,0)*Table_NFI[[#This Row],[Winter Blanket]],Table_NFI[[#This Row],[Winter Blanket]])</f>
        <v>0</v>
      </c>
      <c r="AM679" s="352">
        <f>IF(Table_NFI[[#This Row],[Winter Clothes Adult]]+Table_NFI[[#This Row],[Winter Clothes Children]]+Table_NFI[[#This Row],[Winter Items Other]]+Table_NFI[[#This Row],[Winter Blanket]]&gt;0,1,0)</f>
        <v>1</v>
      </c>
      <c r="AN679" s="392">
        <f>IF(NFI_Expiration=1,IF($A679&lt;VLOOKUP(V$5,NFI,5,0),1,0)*Table_NFI[[#This Row],[Jerry Can]],Table_NFI[Jerry Can])</f>
        <v>0</v>
      </c>
      <c r="AO679" s="540" t="str">
        <f>IFERROR(VLOOKUP(Table_NFI[[#This Row],[Camp Name]],CL,2,0),"")</f>
        <v>MMR001CMP220</v>
      </c>
      <c r="AP679" s="535">
        <f ca="1">IF(Table_NFI[[#This Row],[Pcode]]="","",IF(OFFSET(CampList[Opening Date],MATCH(Table_NFI[[#This Row],[Pcode]],CampList[CP_Pcode],0)-1,0,1,1)&gt;=NFI_Monitor_Date,1,0))</f>
        <v>0</v>
      </c>
      <c r="AQ679" s="540" t="str">
        <f>IFERROR(VLOOKUP(Table_NFI[[#This Row],[Camp Name]],CL,3,0),"")</f>
        <v>Closed</v>
      </c>
      <c r="AR679" s="352" t="str">
        <f ca="1">IF(Table_NFI[[#This Row],[Pcode]]="","",OFFSET(CampList[Priority],MATCH(Table_NFI[[#This Row],[Pcode]],CampList[CP_Pcode],0)-1,0,1,1))</f>
        <v>P3</v>
      </c>
      <c r="AS679" s="351" t="str">
        <f>IFERROR(Table_NFI[[#This Row],[Kitchen Set]]/VLOOKUP(Table_NFI[[#This Row],[Camp Name]],CL,4,0),"")</f>
        <v/>
      </c>
      <c r="AT679" s="533"/>
      <c r="AU679" s="536"/>
    </row>
    <row r="680" spans="1:47" ht="14.45" customHeight="1" x14ac:dyDescent="0.25">
      <c r="A680" s="355">
        <f t="shared" si="10"/>
        <v>46.733333333333334</v>
      </c>
      <c r="B680" s="532">
        <v>41169</v>
      </c>
      <c r="C680" s="533" t="s">
        <v>453</v>
      </c>
      <c r="D680" s="533" t="s">
        <v>453</v>
      </c>
      <c r="E680" s="533" t="s">
        <v>380</v>
      </c>
      <c r="F680" s="348" t="s">
        <v>185</v>
      </c>
      <c r="G680" s="348" t="s">
        <v>211</v>
      </c>
      <c r="H680" s="349"/>
      <c r="I680" s="349"/>
      <c r="J680" s="349"/>
      <c r="K680" s="349">
        <v>86</v>
      </c>
      <c r="L680" s="352">
        <v>43</v>
      </c>
      <c r="M680" s="352">
        <v>86</v>
      </c>
      <c r="N680" s="352">
        <v>43</v>
      </c>
      <c r="O680" s="352">
        <v>43</v>
      </c>
      <c r="P680" s="352">
        <v>43</v>
      </c>
      <c r="Q680" s="352">
        <v>43</v>
      </c>
      <c r="R680" s="352"/>
      <c r="S680" s="352"/>
      <c r="T680" s="352"/>
      <c r="U680" s="352"/>
      <c r="V680" s="497"/>
      <c r="W680" s="352"/>
      <c r="X680" s="352"/>
      <c r="Y680" s="352">
        <f>IF(NFI_Expiration=1,IF($A680&lt;VLOOKUP(H$5,NFI,5,0),1,0)*Table_NFI[[#This Row],[Hygiene Kit]],Table_NFI[Hygiene Kit])</f>
        <v>0</v>
      </c>
      <c r="Z680" s="352">
        <f>IF(NFI_Expiration=1,IF($A680&lt;VLOOKUP(I$5,NFI,5,0),1,0)*Table_NFI[[#This Row],[NFI Core Kit]],Table_NFI[NFI Core Kit])</f>
        <v>0</v>
      </c>
      <c r="AA680" s="352">
        <f>IF(NFI_Expiration=1,IF($A680&lt;VLOOKUP(J$5,NFI,5,0),1,0)*Table_NFI[[#This Row],[Sanitary Kit]],Table_NFI[Sanitary Kit])</f>
        <v>0</v>
      </c>
      <c r="AB680" s="352">
        <f>IF(NFI_Expiration=1,IF($A680&lt;VLOOKUP(K$5,NFI,5,0),1,0)*Table_NFI[[#This Row],[Mosquito net]],Table_NFI[Mosquito net])</f>
        <v>0</v>
      </c>
      <c r="AC680" s="352">
        <f>IF(NFI_Expiration=1,IF($A680&lt;VLOOKUP(L$5,NFI,5,0),1,0)*Table_NFI[[#This Row],[Tarpaulin]],Table_NFI[[#This Row],[Tarpaulin]])</f>
        <v>0</v>
      </c>
      <c r="AD680" s="352">
        <f>IF(NFI_Expiration=1,IF($A680&lt;VLOOKUP(M$5,NFI,5,0),1,0)*Table_NFI[[#This Row],[Blanket]],Table_NFI[[#This Row],[Blanket]])</f>
        <v>0</v>
      </c>
      <c r="AE680" s="352">
        <f>IF(NFI_Expiration=1,IF($A680&lt;VLOOKUP(N$5,NFI,5,0),1,0)*Table_NFI[[#This Row],[Kitchen Set]],Table_NFI[Kitchen Set])</f>
        <v>0</v>
      </c>
      <c r="AF680" s="352">
        <f>IF(NFI_Expiration=1,IF($A680&lt;VLOOKUP(O$5,NFI,5,0),1,0)*Table_NFI[[#This Row],[Clothes Kit]],Table_NFI[Clothes Kit])</f>
        <v>0</v>
      </c>
      <c r="AG680" s="352">
        <f>IF(NFI_Expiration=1,IF($A680&lt;VLOOKUP(P$5,NFI,5,0),1,0)*Table_NFI[[#This Row],[Plastic Bucket]],Table_NFI[Plastic Bucket])</f>
        <v>0</v>
      </c>
      <c r="AH680" s="352">
        <f>IF(NFI_Expiration=1,IF($A680&lt;VLOOKUP(Q$5,NFI,5,0),1,0)*Table_NFI[[#This Row],[Plastic Mat]],Table_NFI[Plastic Mat])*IF(Table_NFI[[#This Row],[Distribution Date]]&gt;"2014-04-01",1,2.5)</f>
        <v>0</v>
      </c>
      <c r="AI680" s="352">
        <f>IF(NFI_Expiration=1,IF($A680&lt;VLOOKUP(R$5,NFI,5,0),1,0)*Table_NFI[[#This Row],[Winter Clothes Adult]],Table_NFI[Winter Clothes Adult])</f>
        <v>0</v>
      </c>
      <c r="AJ680" s="352">
        <f>IF(NFI_Expiration=1,IF($A680&lt;VLOOKUP(S$5,NFI,5,0),1,0)*Table_NFI[[#This Row],[Winter Clothes Children]],Table_NFI[Winter Clothes Children])</f>
        <v>0</v>
      </c>
      <c r="AK680" s="352">
        <f>IF(NFI_Expiration=1,IF($A680&lt;VLOOKUP(T$5,NFI,5,0),1,0)*Table_NFI[[#This Row],[Winter Items Other]],Table_NFI[Winter Items Other])</f>
        <v>0</v>
      </c>
      <c r="AL680" s="352">
        <f>IF(NFI_Expiration=1,IF($A680&lt;VLOOKUP(M$5,NFI,5,0),1,0)*Table_NFI[[#This Row],[Winter Blanket]],Table_NFI[[#This Row],[Winter Blanket]])</f>
        <v>0</v>
      </c>
      <c r="AM680" s="352">
        <f>IF(Table_NFI[[#This Row],[Winter Clothes Adult]]+Table_NFI[[#This Row],[Winter Clothes Children]]+Table_NFI[[#This Row],[Winter Items Other]]+Table_NFI[[#This Row],[Winter Blanket]]&gt;0,1,0)</f>
        <v>0</v>
      </c>
      <c r="AN680" s="392">
        <f>IF(NFI_Expiration=1,IF($A680&lt;VLOOKUP(V$5,NFI,5,0),1,0)*Table_NFI[[#This Row],[Jerry Can]],Table_NFI[Jerry Can])</f>
        <v>0</v>
      </c>
      <c r="AO680" s="540" t="str">
        <f>IFERROR(VLOOKUP(Table_NFI[[#This Row],[Camp Name]],CL,2,0),"")</f>
        <v>MMR001CMP057</v>
      </c>
      <c r="AP680" s="535">
        <f ca="1">IF(Table_NFI[[#This Row],[Pcode]]="","",IF(OFFSET(CampList[Opening Date],MATCH(Table_NFI[[#This Row],[Pcode]],CampList[CP_Pcode],0)-1,0,1,1)&gt;=NFI_Monitor_Date,1,0))</f>
        <v>0</v>
      </c>
      <c r="AQ680" s="540" t="str">
        <f>IFERROR(VLOOKUP(Table_NFI[[#This Row],[Camp Name]],CL,3,0),"")</f>
        <v>Closed</v>
      </c>
      <c r="AR680" s="352" t="str">
        <f ca="1">IF(Table_NFI[[#This Row],[Pcode]]="","",OFFSET(CampList[Priority],MATCH(Table_NFI[[#This Row],[Pcode]],CampList[CP_Pcode],0)-1,0,1,1))</f>
        <v>P4</v>
      </c>
      <c r="AS680" s="351" t="str">
        <f>IFERROR(Table_NFI[[#This Row],[Kitchen Set]]/VLOOKUP(Table_NFI[[#This Row],[Camp Name]],CL,4,0),"")</f>
        <v/>
      </c>
      <c r="AT680" s="533" t="s">
        <v>1094</v>
      </c>
      <c r="AU680" s="536"/>
    </row>
    <row r="681" spans="1:47" ht="14.45" hidden="1" customHeight="1" x14ac:dyDescent="0.25">
      <c r="A681" s="355">
        <f t="shared" si="10"/>
        <v>26.2</v>
      </c>
      <c r="B681" s="532">
        <v>41785</v>
      </c>
      <c r="C681" s="533" t="s">
        <v>1106</v>
      </c>
      <c r="D681" s="533" t="s">
        <v>902</v>
      </c>
      <c r="E681" s="533" t="s">
        <v>380</v>
      </c>
      <c r="F681" s="533" t="s">
        <v>310</v>
      </c>
      <c r="G681" s="533" t="s">
        <v>344</v>
      </c>
      <c r="H681" s="349"/>
      <c r="I681" s="349"/>
      <c r="J681" s="349"/>
      <c r="K681" s="349"/>
      <c r="L681" s="350"/>
      <c r="M681" s="350"/>
      <c r="N681" s="350"/>
      <c r="O681" s="350"/>
      <c r="P681" s="352"/>
      <c r="Q681" s="352"/>
      <c r="R681" s="352"/>
      <c r="S681" s="352"/>
      <c r="T681" s="352"/>
      <c r="U681" s="352">
        <v>36</v>
      </c>
      <c r="V681" s="497"/>
      <c r="W681" s="352"/>
      <c r="X681" s="352"/>
      <c r="Y681" s="352">
        <f>IF(NFI_Expiration=1,IF($A681&lt;VLOOKUP(H$5,NFI,5,0),1,0)*Table_NFI[[#This Row],[Hygiene Kit]],Table_NFI[Hygiene Kit])</f>
        <v>0</v>
      </c>
      <c r="Z681" s="352">
        <f>IF(NFI_Expiration=1,IF($A681&lt;VLOOKUP(I$5,NFI,5,0),1,0)*Table_NFI[[#This Row],[NFI Core Kit]],Table_NFI[NFI Core Kit])</f>
        <v>0</v>
      </c>
      <c r="AA681" s="352">
        <f>IF(NFI_Expiration=1,IF($A681&lt;VLOOKUP(J$5,NFI,5,0),1,0)*Table_NFI[[#This Row],[Sanitary Kit]],Table_NFI[Sanitary Kit])</f>
        <v>0</v>
      </c>
      <c r="AB681" s="352">
        <f>IF(NFI_Expiration=1,IF($A681&lt;VLOOKUP(K$5,NFI,5,0),1,0)*Table_NFI[[#This Row],[Mosquito net]],Table_NFI[Mosquito net])</f>
        <v>0</v>
      </c>
      <c r="AC681" s="352">
        <f>IF(NFI_Expiration=1,IF($A681&lt;VLOOKUP(L$5,NFI,5,0),1,0)*Table_NFI[[#This Row],[Tarpaulin]],Table_NFI[[#This Row],[Tarpaulin]])</f>
        <v>0</v>
      </c>
      <c r="AD681" s="352">
        <f>IF(NFI_Expiration=1,IF($A681&lt;VLOOKUP(M$5,NFI,5,0),1,0)*Table_NFI[[#This Row],[Blanket]],Table_NFI[[#This Row],[Blanket]])</f>
        <v>0</v>
      </c>
      <c r="AE681" s="352">
        <f>IF(NFI_Expiration=1,IF($A681&lt;VLOOKUP(N$5,NFI,5,0),1,0)*Table_NFI[[#This Row],[Kitchen Set]],Table_NFI[Kitchen Set])</f>
        <v>0</v>
      </c>
      <c r="AF681" s="352">
        <f>IF(NFI_Expiration=1,IF($A681&lt;VLOOKUP(O$5,NFI,5,0),1,0)*Table_NFI[[#This Row],[Clothes Kit]],Table_NFI[Clothes Kit])</f>
        <v>0</v>
      </c>
      <c r="AG681" s="352">
        <f>IF(NFI_Expiration=1,IF($A681&lt;VLOOKUP(P$5,NFI,5,0),1,0)*Table_NFI[[#This Row],[Plastic Bucket]],Table_NFI[Plastic Bucket])</f>
        <v>0</v>
      </c>
      <c r="AH681" s="352">
        <f>IF(NFI_Expiration=1,IF($A681&lt;VLOOKUP(Q$5,NFI,5,0),1,0)*Table_NFI[[#This Row],[Plastic Mat]],Table_NFI[Plastic Mat])*IF(Table_NFI[[#This Row],[Distribution Date]]&gt;"2014-04-01",1,2.5)</f>
        <v>0</v>
      </c>
      <c r="AI681" s="352">
        <f>IF(NFI_Expiration=1,IF($A681&lt;VLOOKUP(R$5,NFI,5,0),1,0)*Table_NFI[[#This Row],[Winter Clothes Adult]],Table_NFI[Winter Clothes Adult])</f>
        <v>0</v>
      </c>
      <c r="AJ681" s="352">
        <f>IF(NFI_Expiration=1,IF($A681&lt;VLOOKUP(S$5,NFI,5,0),1,0)*Table_NFI[[#This Row],[Winter Clothes Children]],Table_NFI[Winter Clothes Children])</f>
        <v>0</v>
      </c>
      <c r="AK681" s="352">
        <f>IF(NFI_Expiration=1,IF($A681&lt;VLOOKUP(T$5,NFI,5,0),1,0)*Table_NFI[[#This Row],[Winter Items Other]],Table_NFI[Winter Items Other])</f>
        <v>0</v>
      </c>
      <c r="AL681" s="352">
        <f>IF(NFI_Expiration=1,IF($A681&lt;VLOOKUP(M$5,NFI,5,0),1,0)*Table_NFI[[#This Row],[Winter Blanket]],Table_NFI[[#This Row],[Winter Blanket]])</f>
        <v>0</v>
      </c>
      <c r="AM681" s="352">
        <f>IF(Table_NFI[[#This Row],[Winter Clothes Adult]]+Table_NFI[[#This Row],[Winter Clothes Children]]+Table_NFI[[#This Row],[Winter Items Other]]+Table_NFI[[#This Row],[Winter Blanket]]&gt;0,1,0)</f>
        <v>1</v>
      </c>
      <c r="AN681" s="392">
        <f>IF(NFI_Expiration=1,IF($A681&lt;VLOOKUP(V$5,NFI,5,0),1,0)*Table_NFI[[#This Row],[Jerry Can]],Table_NFI[Jerry Can])</f>
        <v>0</v>
      </c>
      <c r="AO681" s="540" t="str">
        <f>IFERROR(VLOOKUP(Table_NFI[[#This Row],[Camp Name]],CL,2,0),"")</f>
        <v>MMR001CMP033</v>
      </c>
      <c r="AP681" s="535">
        <f ca="1">IF(Table_NFI[[#This Row],[Pcode]]="","",IF(OFFSET(CampList[Opening Date],MATCH(Table_NFI[[#This Row],[Pcode]],CampList[CP_Pcode],0)-1,0,1,1)&gt;=NFI_Monitor_Date,1,0))</f>
        <v>0</v>
      </c>
      <c r="AQ681" s="540" t="str">
        <f>IFERROR(VLOOKUP(Table_NFI[[#This Row],[Camp Name]],CL,3,0),"")</f>
        <v>Open</v>
      </c>
      <c r="AR681" s="352" t="str">
        <f ca="1">IF(Table_NFI[[#This Row],[Pcode]]="","",OFFSET(CampList[Priority],MATCH(Table_NFI[[#This Row],[Pcode]],CampList[CP_Pcode],0)-1,0,1,1))</f>
        <v>P4</v>
      </c>
      <c r="AS681" s="351">
        <f>IFERROR(Table_NFI[[#This Row],[Kitchen Set]]/VLOOKUP(Table_NFI[[#This Row],[Camp Name]],CL,4,0),"")</f>
        <v>0</v>
      </c>
      <c r="AT681" s="533"/>
      <c r="AU681" s="536"/>
    </row>
    <row r="682" spans="1:47" ht="14.45" hidden="1" customHeight="1" x14ac:dyDescent="0.25">
      <c r="A682" s="355">
        <f t="shared" si="10"/>
        <v>25.8</v>
      </c>
      <c r="B682" s="532">
        <v>41797</v>
      </c>
      <c r="C682" s="533" t="s">
        <v>1106</v>
      </c>
      <c r="D682" s="533" t="s">
        <v>902</v>
      </c>
      <c r="E682" s="533" t="s">
        <v>380</v>
      </c>
      <c r="F682" s="533" t="s">
        <v>180</v>
      </c>
      <c r="G682" s="533" t="s">
        <v>287</v>
      </c>
      <c r="H682" s="349"/>
      <c r="I682" s="349"/>
      <c r="J682" s="349"/>
      <c r="K682" s="349"/>
      <c r="L682" s="350"/>
      <c r="M682" s="350"/>
      <c r="N682" s="350"/>
      <c r="O682" s="350"/>
      <c r="P682" s="352"/>
      <c r="Q682" s="352"/>
      <c r="R682" s="352"/>
      <c r="S682" s="352"/>
      <c r="T682" s="352"/>
      <c r="U682" s="352">
        <v>40</v>
      </c>
      <c r="V682" s="497"/>
      <c r="W682" s="352"/>
      <c r="X682" s="352"/>
      <c r="Y682" s="352">
        <f>IF(NFI_Expiration=1,IF($A682&lt;VLOOKUP(H$5,NFI,5,0),1,0)*Table_NFI[[#This Row],[Hygiene Kit]],Table_NFI[Hygiene Kit])</f>
        <v>0</v>
      </c>
      <c r="Z682" s="352">
        <f>IF(NFI_Expiration=1,IF($A682&lt;VLOOKUP(I$5,NFI,5,0),1,0)*Table_NFI[[#This Row],[NFI Core Kit]],Table_NFI[NFI Core Kit])</f>
        <v>0</v>
      </c>
      <c r="AA682" s="352">
        <f>IF(NFI_Expiration=1,IF($A682&lt;VLOOKUP(J$5,NFI,5,0),1,0)*Table_NFI[[#This Row],[Sanitary Kit]],Table_NFI[Sanitary Kit])</f>
        <v>0</v>
      </c>
      <c r="AB682" s="352">
        <f>IF(NFI_Expiration=1,IF($A682&lt;VLOOKUP(K$5,NFI,5,0),1,0)*Table_NFI[[#This Row],[Mosquito net]],Table_NFI[Mosquito net])</f>
        <v>0</v>
      </c>
      <c r="AC682" s="352">
        <f>IF(NFI_Expiration=1,IF($A682&lt;VLOOKUP(L$5,NFI,5,0),1,0)*Table_NFI[[#This Row],[Tarpaulin]],Table_NFI[[#This Row],[Tarpaulin]])</f>
        <v>0</v>
      </c>
      <c r="AD682" s="352">
        <f>IF(NFI_Expiration=1,IF($A682&lt;VLOOKUP(M$5,NFI,5,0),1,0)*Table_NFI[[#This Row],[Blanket]],Table_NFI[[#This Row],[Blanket]])</f>
        <v>0</v>
      </c>
      <c r="AE682" s="352">
        <f>IF(NFI_Expiration=1,IF($A682&lt;VLOOKUP(N$5,NFI,5,0),1,0)*Table_NFI[[#This Row],[Kitchen Set]],Table_NFI[Kitchen Set])</f>
        <v>0</v>
      </c>
      <c r="AF682" s="352">
        <f>IF(NFI_Expiration=1,IF($A682&lt;VLOOKUP(O$5,NFI,5,0),1,0)*Table_NFI[[#This Row],[Clothes Kit]],Table_NFI[Clothes Kit])</f>
        <v>0</v>
      </c>
      <c r="AG682" s="352">
        <f>IF(NFI_Expiration=1,IF($A682&lt;VLOOKUP(P$5,NFI,5,0),1,0)*Table_NFI[[#This Row],[Plastic Bucket]],Table_NFI[Plastic Bucket])</f>
        <v>0</v>
      </c>
      <c r="AH682" s="352">
        <f>IF(NFI_Expiration=1,IF($A682&lt;VLOOKUP(Q$5,NFI,5,0),1,0)*Table_NFI[[#This Row],[Plastic Mat]],Table_NFI[Plastic Mat])*IF(Table_NFI[[#This Row],[Distribution Date]]&gt;"2014-04-01",1,2.5)</f>
        <v>0</v>
      </c>
      <c r="AI682" s="352">
        <f>IF(NFI_Expiration=1,IF($A682&lt;VLOOKUP(R$5,NFI,5,0),1,0)*Table_NFI[[#This Row],[Winter Clothes Adult]],Table_NFI[Winter Clothes Adult])</f>
        <v>0</v>
      </c>
      <c r="AJ682" s="352">
        <f>IF(NFI_Expiration=1,IF($A682&lt;VLOOKUP(S$5,NFI,5,0),1,0)*Table_NFI[[#This Row],[Winter Clothes Children]],Table_NFI[Winter Clothes Children])</f>
        <v>0</v>
      </c>
      <c r="AK682" s="352">
        <f>IF(NFI_Expiration=1,IF($A682&lt;VLOOKUP(T$5,NFI,5,0),1,0)*Table_NFI[[#This Row],[Winter Items Other]],Table_NFI[Winter Items Other])</f>
        <v>0</v>
      </c>
      <c r="AL682" s="352">
        <f>IF(NFI_Expiration=1,IF($A682&lt;VLOOKUP(M$5,NFI,5,0),1,0)*Table_NFI[[#This Row],[Winter Blanket]],Table_NFI[[#This Row],[Winter Blanket]])</f>
        <v>0</v>
      </c>
      <c r="AM682" s="352">
        <f>IF(Table_NFI[[#This Row],[Winter Clothes Adult]]+Table_NFI[[#This Row],[Winter Clothes Children]]+Table_NFI[[#This Row],[Winter Items Other]]+Table_NFI[[#This Row],[Winter Blanket]]&gt;0,1,0)</f>
        <v>1</v>
      </c>
      <c r="AN682" s="392">
        <f>IF(NFI_Expiration=1,IF($A682&lt;VLOOKUP(V$5,NFI,5,0),1,0)*Table_NFI[[#This Row],[Jerry Can]],Table_NFI[Jerry Can])</f>
        <v>0</v>
      </c>
      <c r="AO682" s="540" t="str">
        <f>IFERROR(VLOOKUP(Table_NFI[[#This Row],[Camp Name]],CL,2,0),"")</f>
        <v>MMR001CMP152</v>
      </c>
      <c r="AP682" s="535">
        <f ca="1">IF(Table_NFI[[#This Row],[Pcode]]="","",IF(OFFSET(CampList[Opening Date],MATCH(Table_NFI[[#This Row],[Pcode]],CampList[CP_Pcode],0)-1,0,1,1)&gt;=NFI_Monitor_Date,1,0))</f>
        <v>0</v>
      </c>
      <c r="AQ682" s="540" t="str">
        <f>IFERROR(VLOOKUP(Table_NFI[[#This Row],[Camp Name]],CL,3,0),"")</f>
        <v>Open</v>
      </c>
      <c r="AR682" s="352" t="str">
        <f ca="1">IF(Table_NFI[[#This Row],[Pcode]]="","",OFFSET(CampList[Priority],MATCH(Table_NFI[[#This Row],[Pcode]],CampList[CP_Pcode],0)-1,0,1,1))</f>
        <v>P4</v>
      </c>
      <c r="AS682" s="351">
        <f>IFERROR(Table_NFI[[#This Row],[Kitchen Set]]/VLOOKUP(Table_NFI[[#This Row],[Camp Name]],CL,4,0),"")</f>
        <v>0</v>
      </c>
      <c r="AT682" s="533"/>
      <c r="AU682" s="536"/>
    </row>
    <row r="683" spans="1:47" ht="14.45" customHeight="1" x14ac:dyDescent="0.25">
      <c r="A683" s="355">
        <f t="shared" si="10"/>
        <v>46.833333333333336</v>
      </c>
      <c r="B683" s="532">
        <v>41166</v>
      </c>
      <c r="C683" s="533" t="s">
        <v>453</v>
      </c>
      <c r="D683" s="533" t="s">
        <v>453</v>
      </c>
      <c r="E683" s="533" t="s">
        <v>380</v>
      </c>
      <c r="F683" s="348" t="s">
        <v>310</v>
      </c>
      <c r="G683" s="348" t="s">
        <v>330</v>
      </c>
      <c r="H683" s="349"/>
      <c r="I683" s="349"/>
      <c r="J683" s="349"/>
      <c r="K683" s="349">
        <v>94</v>
      </c>
      <c r="L683" s="350">
        <v>48</v>
      </c>
      <c r="M683" s="350">
        <v>94</v>
      </c>
      <c r="N683" s="350">
        <v>48</v>
      </c>
      <c r="O683" s="350">
        <v>48</v>
      </c>
      <c r="P683" s="352">
        <v>48</v>
      </c>
      <c r="Q683" s="352">
        <v>48</v>
      </c>
      <c r="R683" s="352"/>
      <c r="S683" s="352"/>
      <c r="T683" s="352"/>
      <c r="U683" s="352"/>
      <c r="V683" s="497"/>
      <c r="W683" s="352"/>
      <c r="X683" s="352"/>
      <c r="Y683" s="352">
        <f>IF(NFI_Expiration=1,IF($A683&lt;VLOOKUP(H$5,NFI,5,0),1,0)*Table_NFI[[#This Row],[Hygiene Kit]],Table_NFI[Hygiene Kit])</f>
        <v>0</v>
      </c>
      <c r="Z683" s="352">
        <f>IF(NFI_Expiration=1,IF($A683&lt;VLOOKUP(I$5,NFI,5,0),1,0)*Table_NFI[[#This Row],[NFI Core Kit]],Table_NFI[NFI Core Kit])</f>
        <v>0</v>
      </c>
      <c r="AA683" s="352">
        <f>IF(NFI_Expiration=1,IF($A683&lt;VLOOKUP(J$5,NFI,5,0),1,0)*Table_NFI[[#This Row],[Sanitary Kit]],Table_NFI[Sanitary Kit])</f>
        <v>0</v>
      </c>
      <c r="AB683" s="352">
        <f>IF(NFI_Expiration=1,IF($A683&lt;VLOOKUP(K$5,NFI,5,0),1,0)*Table_NFI[[#This Row],[Mosquito net]],Table_NFI[Mosquito net])</f>
        <v>0</v>
      </c>
      <c r="AC683" s="352">
        <f>IF(NFI_Expiration=1,IF($A683&lt;VLOOKUP(L$5,NFI,5,0),1,0)*Table_NFI[[#This Row],[Tarpaulin]],Table_NFI[[#This Row],[Tarpaulin]])</f>
        <v>0</v>
      </c>
      <c r="AD683" s="352">
        <f>IF(NFI_Expiration=1,IF($A683&lt;VLOOKUP(M$5,NFI,5,0),1,0)*Table_NFI[[#This Row],[Blanket]],Table_NFI[[#This Row],[Blanket]])</f>
        <v>0</v>
      </c>
      <c r="AE683" s="352">
        <f>IF(NFI_Expiration=1,IF($A683&lt;VLOOKUP(N$5,NFI,5,0),1,0)*Table_NFI[[#This Row],[Kitchen Set]],Table_NFI[Kitchen Set])</f>
        <v>0</v>
      </c>
      <c r="AF683" s="352">
        <f>IF(NFI_Expiration=1,IF($A683&lt;VLOOKUP(O$5,NFI,5,0),1,0)*Table_NFI[[#This Row],[Clothes Kit]],Table_NFI[Clothes Kit])</f>
        <v>0</v>
      </c>
      <c r="AG683" s="352">
        <f>IF(NFI_Expiration=1,IF($A683&lt;VLOOKUP(P$5,NFI,5,0),1,0)*Table_NFI[[#This Row],[Plastic Bucket]],Table_NFI[Plastic Bucket])</f>
        <v>0</v>
      </c>
      <c r="AH683" s="352">
        <f>IF(NFI_Expiration=1,IF($A683&lt;VLOOKUP(Q$5,NFI,5,0),1,0)*Table_NFI[[#This Row],[Plastic Mat]],Table_NFI[Plastic Mat])*IF(Table_NFI[[#This Row],[Distribution Date]]&gt;"2014-04-01",1,2.5)</f>
        <v>0</v>
      </c>
      <c r="AI683" s="352">
        <f>IF(NFI_Expiration=1,IF($A683&lt;VLOOKUP(R$5,NFI,5,0),1,0)*Table_NFI[[#This Row],[Winter Clothes Adult]],Table_NFI[Winter Clothes Adult])</f>
        <v>0</v>
      </c>
      <c r="AJ683" s="352">
        <f>IF(NFI_Expiration=1,IF($A683&lt;VLOOKUP(S$5,NFI,5,0),1,0)*Table_NFI[[#This Row],[Winter Clothes Children]],Table_NFI[Winter Clothes Children])</f>
        <v>0</v>
      </c>
      <c r="AK683" s="352">
        <f>IF(NFI_Expiration=1,IF($A683&lt;VLOOKUP(T$5,NFI,5,0),1,0)*Table_NFI[[#This Row],[Winter Items Other]],Table_NFI[Winter Items Other])</f>
        <v>0</v>
      </c>
      <c r="AL683" s="352">
        <f>IF(NFI_Expiration=1,IF($A683&lt;VLOOKUP(M$5,NFI,5,0),1,0)*Table_NFI[[#This Row],[Winter Blanket]],Table_NFI[[#This Row],[Winter Blanket]])</f>
        <v>0</v>
      </c>
      <c r="AM683" s="352">
        <f>IF(Table_NFI[[#This Row],[Winter Clothes Adult]]+Table_NFI[[#This Row],[Winter Clothes Children]]+Table_NFI[[#This Row],[Winter Items Other]]+Table_NFI[[#This Row],[Winter Blanket]]&gt;0,1,0)</f>
        <v>0</v>
      </c>
      <c r="AN683" s="392">
        <f>IF(NFI_Expiration=1,IF($A683&lt;VLOOKUP(V$5,NFI,5,0),1,0)*Table_NFI[[#This Row],[Jerry Can]],Table_NFI[Jerry Can])</f>
        <v>0</v>
      </c>
      <c r="AO683" s="540" t="str">
        <f>IFERROR(VLOOKUP(Table_NFI[[#This Row],[Camp Name]],CL,2,0),"")</f>
        <v>MMR001CMP029</v>
      </c>
      <c r="AP683" s="535">
        <f ca="1">IF(Table_NFI[[#This Row],[Pcode]]="","",IF(OFFSET(CampList[Opening Date],MATCH(Table_NFI[[#This Row],[Pcode]],CampList[CP_Pcode],0)-1,0,1,1)&gt;=NFI_Monitor_Date,1,0))</f>
        <v>0</v>
      </c>
      <c r="AQ683" s="540" t="str">
        <f>IFERROR(VLOOKUP(Table_NFI[[#This Row],[Camp Name]],CL,3,0),"")</f>
        <v>Open</v>
      </c>
      <c r="AR683" s="352" t="str">
        <f ca="1">IF(Table_NFI[[#This Row],[Pcode]]="","",OFFSET(CampList[Priority],MATCH(Table_NFI[[#This Row],[Pcode]],CampList[CP_Pcode],0)-1,0,1,1))</f>
        <v>P4</v>
      </c>
      <c r="AS683" s="351">
        <f>IFERROR(Table_NFI[[#This Row],[Kitchen Set]]/VLOOKUP(Table_NFI[[#This Row],[Camp Name]],CL,4,0),"")</f>
        <v>0.21621621621621623</v>
      </c>
      <c r="AT683" s="533" t="s">
        <v>1094</v>
      </c>
      <c r="AU683" s="536"/>
    </row>
    <row r="684" spans="1:47" ht="14.45" customHeight="1" x14ac:dyDescent="0.25">
      <c r="A684" s="355">
        <f t="shared" si="10"/>
        <v>46.833333333333336</v>
      </c>
      <c r="B684" s="532">
        <v>41166</v>
      </c>
      <c r="C684" s="533" t="s">
        <v>453</v>
      </c>
      <c r="D684" s="533" t="s">
        <v>453</v>
      </c>
      <c r="E684" s="533" t="s">
        <v>380</v>
      </c>
      <c r="F684" s="533" t="s">
        <v>310</v>
      </c>
      <c r="G684" s="348" t="s">
        <v>316</v>
      </c>
      <c r="H684" s="349"/>
      <c r="I684" s="349"/>
      <c r="J684" s="349"/>
      <c r="K684" s="349">
        <v>14</v>
      </c>
      <c r="L684" s="350">
        <v>8</v>
      </c>
      <c r="M684" s="350">
        <v>14</v>
      </c>
      <c r="N684" s="350">
        <v>8</v>
      </c>
      <c r="O684" s="350">
        <v>8</v>
      </c>
      <c r="P684" s="352">
        <v>8</v>
      </c>
      <c r="Q684" s="352">
        <v>8</v>
      </c>
      <c r="R684" s="352"/>
      <c r="S684" s="352"/>
      <c r="T684" s="352"/>
      <c r="U684" s="352"/>
      <c r="V684" s="497"/>
      <c r="W684" s="352"/>
      <c r="X684" s="352"/>
      <c r="Y684" s="352">
        <f>IF(NFI_Expiration=1,IF($A684&lt;VLOOKUP(H$5,NFI,5,0),1,0)*Table_NFI[[#This Row],[Hygiene Kit]],Table_NFI[Hygiene Kit])</f>
        <v>0</v>
      </c>
      <c r="Z684" s="352">
        <f>IF(NFI_Expiration=1,IF($A684&lt;VLOOKUP(I$5,NFI,5,0),1,0)*Table_NFI[[#This Row],[NFI Core Kit]],Table_NFI[NFI Core Kit])</f>
        <v>0</v>
      </c>
      <c r="AA684" s="352">
        <f>IF(NFI_Expiration=1,IF($A684&lt;VLOOKUP(J$5,NFI,5,0),1,0)*Table_NFI[[#This Row],[Sanitary Kit]],Table_NFI[Sanitary Kit])</f>
        <v>0</v>
      </c>
      <c r="AB684" s="352">
        <f>IF(NFI_Expiration=1,IF($A684&lt;VLOOKUP(K$5,NFI,5,0),1,0)*Table_NFI[[#This Row],[Mosquito net]],Table_NFI[Mosquito net])</f>
        <v>0</v>
      </c>
      <c r="AC684" s="352">
        <f>IF(NFI_Expiration=1,IF($A684&lt;VLOOKUP(L$5,NFI,5,0),1,0)*Table_NFI[[#This Row],[Tarpaulin]],Table_NFI[[#This Row],[Tarpaulin]])</f>
        <v>0</v>
      </c>
      <c r="AD684" s="352">
        <f>IF(NFI_Expiration=1,IF($A684&lt;VLOOKUP(M$5,NFI,5,0),1,0)*Table_NFI[[#This Row],[Blanket]],Table_NFI[[#This Row],[Blanket]])</f>
        <v>0</v>
      </c>
      <c r="AE684" s="352">
        <f>IF(NFI_Expiration=1,IF($A684&lt;VLOOKUP(N$5,NFI,5,0),1,0)*Table_NFI[[#This Row],[Kitchen Set]],Table_NFI[Kitchen Set])</f>
        <v>0</v>
      </c>
      <c r="AF684" s="352">
        <f>IF(NFI_Expiration=1,IF($A684&lt;VLOOKUP(O$5,NFI,5,0),1,0)*Table_NFI[[#This Row],[Clothes Kit]],Table_NFI[Clothes Kit])</f>
        <v>0</v>
      </c>
      <c r="AG684" s="352">
        <f>IF(NFI_Expiration=1,IF($A684&lt;VLOOKUP(P$5,NFI,5,0),1,0)*Table_NFI[[#This Row],[Plastic Bucket]],Table_NFI[Plastic Bucket])</f>
        <v>0</v>
      </c>
      <c r="AH684" s="352">
        <f>IF(NFI_Expiration=1,IF($A684&lt;VLOOKUP(Q$5,NFI,5,0),1,0)*Table_NFI[[#This Row],[Plastic Mat]],Table_NFI[Plastic Mat])*IF(Table_NFI[[#This Row],[Distribution Date]]&gt;"2014-04-01",1,2.5)</f>
        <v>0</v>
      </c>
      <c r="AI684" s="352">
        <f>IF(NFI_Expiration=1,IF($A684&lt;VLOOKUP(R$5,NFI,5,0),1,0)*Table_NFI[[#This Row],[Winter Clothes Adult]],Table_NFI[Winter Clothes Adult])</f>
        <v>0</v>
      </c>
      <c r="AJ684" s="352">
        <f>IF(NFI_Expiration=1,IF($A684&lt;VLOOKUP(S$5,NFI,5,0),1,0)*Table_NFI[[#This Row],[Winter Clothes Children]],Table_NFI[Winter Clothes Children])</f>
        <v>0</v>
      </c>
      <c r="AK684" s="352">
        <f>IF(NFI_Expiration=1,IF($A684&lt;VLOOKUP(T$5,NFI,5,0),1,0)*Table_NFI[[#This Row],[Winter Items Other]],Table_NFI[Winter Items Other])</f>
        <v>0</v>
      </c>
      <c r="AL684" s="352">
        <f>IF(NFI_Expiration=1,IF($A684&lt;VLOOKUP(M$5,NFI,5,0),1,0)*Table_NFI[[#This Row],[Winter Blanket]],Table_NFI[[#This Row],[Winter Blanket]])</f>
        <v>0</v>
      </c>
      <c r="AM684" s="352">
        <f>IF(Table_NFI[[#This Row],[Winter Clothes Adult]]+Table_NFI[[#This Row],[Winter Clothes Children]]+Table_NFI[[#This Row],[Winter Items Other]]+Table_NFI[[#This Row],[Winter Blanket]]&gt;0,1,0)</f>
        <v>0</v>
      </c>
      <c r="AN684" s="392">
        <f>IF(NFI_Expiration=1,IF($A684&lt;VLOOKUP(V$5,NFI,5,0),1,0)*Table_NFI[[#This Row],[Jerry Can]],Table_NFI[Jerry Can])</f>
        <v>0</v>
      </c>
      <c r="AO684" s="540" t="str">
        <f>IFERROR(VLOOKUP(Table_NFI[[#This Row],[Camp Name]],CL,2,0),"")</f>
        <v>MMR001CMP038</v>
      </c>
      <c r="AP684" s="535">
        <f ca="1">IF(Table_NFI[[#This Row],[Pcode]]="","",IF(OFFSET(CampList[Opening Date],MATCH(Table_NFI[[#This Row],[Pcode]],CampList[CP_Pcode],0)-1,0,1,1)&gt;=NFI_Monitor_Date,1,0))</f>
        <v>0</v>
      </c>
      <c r="AQ684" s="540" t="str">
        <f>IFERROR(VLOOKUP(Table_NFI[[#This Row],[Camp Name]],CL,3,0),"")</f>
        <v>Open</v>
      </c>
      <c r="AR684" s="352" t="str">
        <f ca="1">IF(Table_NFI[[#This Row],[Pcode]]="","",OFFSET(CampList[Priority],MATCH(Table_NFI[[#This Row],[Pcode]],CampList[CP_Pcode],0)-1,0,1,1))</f>
        <v>P4</v>
      </c>
      <c r="AS684" s="351">
        <f>IFERROR(Table_NFI[[#This Row],[Kitchen Set]]/VLOOKUP(Table_NFI[[#This Row],[Camp Name]],CL,4,0),"")</f>
        <v>0.11428571428571428</v>
      </c>
      <c r="AT684" s="533" t="s">
        <v>1094</v>
      </c>
      <c r="AU684" s="536"/>
    </row>
    <row r="685" spans="1:47" ht="14.45" customHeight="1" x14ac:dyDescent="0.25">
      <c r="A685" s="355">
        <f t="shared" si="10"/>
        <v>46.966666666666669</v>
      </c>
      <c r="B685" s="532">
        <v>41162</v>
      </c>
      <c r="C685" s="533" t="s">
        <v>453</v>
      </c>
      <c r="D685" s="534" t="s">
        <v>453</v>
      </c>
      <c r="E685" s="533" t="s">
        <v>380</v>
      </c>
      <c r="F685" s="348" t="s">
        <v>237</v>
      </c>
      <c r="G685" s="348" t="s">
        <v>267</v>
      </c>
      <c r="H685" s="349"/>
      <c r="I685" s="349"/>
      <c r="J685" s="349"/>
      <c r="K685" s="349">
        <v>10</v>
      </c>
      <c r="L685" s="350">
        <v>6</v>
      </c>
      <c r="M685" s="350">
        <v>10</v>
      </c>
      <c r="N685" s="350">
        <v>6</v>
      </c>
      <c r="O685" s="350">
        <v>6</v>
      </c>
      <c r="P685" s="352">
        <v>6</v>
      </c>
      <c r="Q685" s="352">
        <v>6</v>
      </c>
      <c r="R685" s="352"/>
      <c r="S685" s="352"/>
      <c r="T685" s="352"/>
      <c r="U685" s="352"/>
      <c r="V685" s="497"/>
      <c r="W685" s="352"/>
      <c r="X685" s="352"/>
      <c r="Y685" s="352">
        <f>IF(NFI_Expiration=1,IF($A685&lt;VLOOKUP(H$5,NFI,5,0),1,0)*Table_NFI[[#This Row],[Hygiene Kit]],Table_NFI[Hygiene Kit])</f>
        <v>0</v>
      </c>
      <c r="Z685" s="352">
        <f>IF(NFI_Expiration=1,IF($A685&lt;VLOOKUP(I$5,NFI,5,0),1,0)*Table_NFI[[#This Row],[NFI Core Kit]],Table_NFI[NFI Core Kit])</f>
        <v>0</v>
      </c>
      <c r="AA685" s="352">
        <f>IF(NFI_Expiration=1,IF($A685&lt;VLOOKUP(J$5,NFI,5,0),1,0)*Table_NFI[[#This Row],[Sanitary Kit]],Table_NFI[Sanitary Kit])</f>
        <v>0</v>
      </c>
      <c r="AB685" s="352">
        <f>IF(NFI_Expiration=1,IF($A685&lt;VLOOKUP(K$5,NFI,5,0),1,0)*Table_NFI[[#This Row],[Mosquito net]],Table_NFI[Mosquito net])</f>
        <v>0</v>
      </c>
      <c r="AC685" s="352">
        <f>IF(NFI_Expiration=1,IF($A685&lt;VLOOKUP(L$5,NFI,5,0),1,0)*Table_NFI[[#This Row],[Tarpaulin]],Table_NFI[[#This Row],[Tarpaulin]])</f>
        <v>0</v>
      </c>
      <c r="AD685" s="352">
        <f>IF(NFI_Expiration=1,IF($A685&lt;VLOOKUP(M$5,NFI,5,0),1,0)*Table_NFI[[#This Row],[Blanket]],Table_NFI[[#This Row],[Blanket]])</f>
        <v>0</v>
      </c>
      <c r="AE685" s="352">
        <f>IF(NFI_Expiration=1,IF($A685&lt;VLOOKUP(N$5,NFI,5,0),1,0)*Table_NFI[[#This Row],[Kitchen Set]],Table_NFI[Kitchen Set])</f>
        <v>0</v>
      </c>
      <c r="AF685" s="352">
        <f>IF(NFI_Expiration=1,IF($A685&lt;VLOOKUP(O$5,NFI,5,0),1,0)*Table_NFI[[#This Row],[Clothes Kit]],Table_NFI[Clothes Kit])</f>
        <v>0</v>
      </c>
      <c r="AG685" s="352">
        <f>IF(NFI_Expiration=1,IF($A685&lt;VLOOKUP(P$5,NFI,5,0),1,0)*Table_NFI[[#This Row],[Plastic Bucket]],Table_NFI[Plastic Bucket])</f>
        <v>0</v>
      </c>
      <c r="AH685" s="352">
        <f>IF(NFI_Expiration=1,IF($A685&lt;VLOOKUP(Q$5,NFI,5,0),1,0)*Table_NFI[[#This Row],[Plastic Mat]],Table_NFI[Plastic Mat])*IF(Table_NFI[[#This Row],[Distribution Date]]&gt;"2014-04-01",1,2.5)</f>
        <v>0</v>
      </c>
      <c r="AI685" s="352">
        <f>IF(NFI_Expiration=1,IF($A685&lt;VLOOKUP(R$5,NFI,5,0),1,0)*Table_NFI[[#This Row],[Winter Clothes Adult]],Table_NFI[Winter Clothes Adult])</f>
        <v>0</v>
      </c>
      <c r="AJ685" s="352">
        <f>IF(NFI_Expiration=1,IF($A685&lt;VLOOKUP(S$5,NFI,5,0),1,0)*Table_NFI[[#This Row],[Winter Clothes Children]],Table_NFI[Winter Clothes Children])</f>
        <v>0</v>
      </c>
      <c r="AK685" s="352">
        <f>IF(NFI_Expiration=1,IF($A685&lt;VLOOKUP(T$5,NFI,5,0),1,0)*Table_NFI[[#This Row],[Winter Items Other]],Table_NFI[Winter Items Other])</f>
        <v>0</v>
      </c>
      <c r="AL685" s="352">
        <f>IF(NFI_Expiration=1,IF($A685&lt;VLOOKUP(M$5,NFI,5,0),1,0)*Table_NFI[[#This Row],[Winter Blanket]],Table_NFI[[#This Row],[Winter Blanket]])</f>
        <v>0</v>
      </c>
      <c r="AM685" s="352">
        <f>IF(Table_NFI[[#This Row],[Winter Clothes Adult]]+Table_NFI[[#This Row],[Winter Clothes Children]]+Table_NFI[[#This Row],[Winter Items Other]]+Table_NFI[[#This Row],[Winter Blanket]]&gt;0,1,0)</f>
        <v>0</v>
      </c>
      <c r="AN685" s="392">
        <f>IF(NFI_Expiration=1,IF($A685&lt;VLOOKUP(V$5,NFI,5,0),1,0)*Table_NFI[[#This Row],[Jerry Can]],Table_NFI[Jerry Can])</f>
        <v>0</v>
      </c>
      <c r="AO685" s="540" t="str">
        <f>IFERROR(VLOOKUP(Table_NFI[[#This Row],[Camp Name]],CL,2,0),"")</f>
        <v>MMR001CMP017</v>
      </c>
      <c r="AP685" s="535">
        <f ca="1">IF(Table_NFI[[#This Row],[Pcode]]="","",IF(OFFSET(CampList[Opening Date],MATCH(Table_NFI[[#This Row],[Pcode]],CampList[CP_Pcode],0)-1,0,1,1)&gt;=NFI_Monitor_Date,1,0))</f>
        <v>0</v>
      </c>
      <c r="AQ685" s="540" t="str">
        <f>IFERROR(VLOOKUP(Table_NFI[[#This Row],[Camp Name]],CL,3,0),"")</f>
        <v>Closed</v>
      </c>
      <c r="AR685" s="352" t="str">
        <f ca="1">IF(Table_NFI[[#This Row],[Pcode]]="","",OFFSET(CampList[Priority],MATCH(Table_NFI[[#This Row],[Pcode]],CampList[CP_Pcode],0)-1,0,1,1))</f>
        <v>P4</v>
      </c>
      <c r="AS685" s="351" t="str">
        <f>IFERROR(Table_NFI[[#This Row],[Kitchen Set]]/VLOOKUP(Table_NFI[[#This Row],[Camp Name]],CL,4,0),"")</f>
        <v/>
      </c>
      <c r="AT685" s="533" t="s">
        <v>1094</v>
      </c>
      <c r="AU685" s="536"/>
    </row>
    <row r="686" spans="1:47" ht="14.45" customHeight="1" x14ac:dyDescent="0.25">
      <c r="A686" s="355">
        <f t="shared" si="10"/>
        <v>47.133333333333333</v>
      </c>
      <c r="B686" s="532">
        <v>41157</v>
      </c>
      <c r="C686" s="533" t="s">
        <v>453</v>
      </c>
      <c r="D686" s="533" t="s">
        <v>453</v>
      </c>
      <c r="E686" s="533" t="s">
        <v>380</v>
      </c>
      <c r="F686" s="348" t="s">
        <v>185</v>
      </c>
      <c r="G686" s="348" t="s">
        <v>186</v>
      </c>
      <c r="H686" s="349"/>
      <c r="I686" s="349"/>
      <c r="J686" s="349"/>
      <c r="K686" s="349">
        <v>40</v>
      </c>
      <c r="L686" s="350">
        <v>17</v>
      </c>
      <c r="M686" s="350">
        <v>40</v>
      </c>
      <c r="N686" s="350">
        <v>17</v>
      </c>
      <c r="O686" s="350">
        <v>17</v>
      </c>
      <c r="P686" s="352">
        <v>17</v>
      </c>
      <c r="Q686" s="352">
        <v>17</v>
      </c>
      <c r="R686" s="352"/>
      <c r="S686" s="352"/>
      <c r="T686" s="352"/>
      <c r="U686" s="352"/>
      <c r="V686" s="497"/>
      <c r="W686" s="352"/>
      <c r="X686" s="352"/>
      <c r="Y686" s="352">
        <f>IF(NFI_Expiration=1,IF($A686&lt;VLOOKUP(H$5,NFI,5,0),1,0)*Table_NFI[[#This Row],[Hygiene Kit]],Table_NFI[Hygiene Kit])</f>
        <v>0</v>
      </c>
      <c r="Z686" s="352">
        <f>IF(NFI_Expiration=1,IF($A686&lt;VLOOKUP(I$5,NFI,5,0),1,0)*Table_NFI[[#This Row],[NFI Core Kit]],Table_NFI[NFI Core Kit])</f>
        <v>0</v>
      </c>
      <c r="AA686" s="352">
        <f>IF(NFI_Expiration=1,IF($A686&lt;VLOOKUP(J$5,NFI,5,0),1,0)*Table_NFI[[#This Row],[Sanitary Kit]],Table_NFI[Sanitary Kit])</f>
        <v>0</v>
      </c>
      <c r="AB686" s="352">
        <f>IF(NFI_Expiration=1,IF($A686&lt;VLOOKUP(K$5,NFI,5,0),1,0)*Table_NFI[[#This Row],[Mosquito net]],Table_NFI[Mosquito net])</f>
        <v>0</v>
      </c>
      <c r="AC686" s="352">
        <f>IF(NFI_Expiration=1,IF($A686&lt;VLOOKUP(L$5,NFI,5,0),1,0)*Table_NFI[[#This Row],[Tarpaulin]],Table_NFI[[#This Row],[Tarpaulin]])</f>
        <v>0</v>
      </c>
      <c r="AD686" s="352">
        <f>IF(NFI_Expiration=1,IF($A686&lt;VLOOKUP(M$5,NFI,5,0),1,0)*Table_NFI[[#This Row],[Blanket]],Table_NFI[[#This Row],[Blanket]])</f>
        <v>0</v>
      </c>
      <c r="AE686" s="352">
        <f>IF(NFI_Expiration=1,IF($A686&lt;VLOOKUP(N$5,NFI,5,0),1,0)*Table_NFI[[#This Row],[Kitchen Set]],Table_NFI[Kitchen Set])</f>
        <v>0</v>
      </c>
      <c r="AF686" s="352">
        <f>IF(NFI_Expiration=1,IF($A686&lt;VLOOKUP(O$5,NFI,5,0),1,0)*Table_NFI[[#This Row],[Clothes Kit]],Table_NFI[Clothes Kit])</f>
        <v>0</v>
      </c>
      <c r="AG686" s="352">
        <f>IF(NFI_Expiration=1,IF($A686&lt;VLOOKUP(P$5,NFI,5,0),1,0)*Table_NFI[[#This Row],[Plastic Bucket]],Table_NFI[Plastic Bucket])</f>
        <v>0</v>
      </c>
      <c r="AH686" s="352">
        <f>IF(NFI_Expiration=1,IF($A686&lt;VLOOKUP(Q$5,NFI,5,0),1,0)*Table_NFI[[#This Row],[Plastic Mat]],Table_NFI[Plastic Mat])*IF(Table_NFI[[#This Row],[Distribution Date]]&gt;"2014-04-01",1,2.5)</f>
        <v>0</v>
      </c>
      <c r="AI686" s="352">
        <f>IF(NFI_Expiration=1,IF($A686&lt;VLOOKUP(R$5,NFI,5,0),1,0)*Table_NFI[[#This Row],[Winter Clothes Adult]],Table_NFI[Winter Clothes Adult])</f>
        <v>0</v>
      </c>
      <c r="AJ686" s="352">
        <f>IF(NFI_Expiration=1,IF($A686&lt;VLOOKUP(S$5,NFI,5,0),1,0)*Table_NFI[[#This Row],[Winter Clothes Children]],Table_NFI[Winter Clothes Children])</f>
        <v>0</v>
      </c>
      <c r="AK686" s="352">
        <f>IF(NFI_Expiration=1,IF($A686&lt;VLOOKUP(T$5,NFI,5,0),1,0)*Table_NFI[[#This Row],[Winter Items Other]],Table_NFI[Winter Items Other])</f>
        <v>0</v>
      </c>
      <c r="AL686" s="352">
        <f>IF(NFI_Expiration=1,IF($A686&lt;VLOOKUP(M$5,NFI,5,0),1,0)*Table_NFI[[#This Row],[Winter Blanket]],Table_NFI[[#This Row],[Winter Blanket]])</f>
        <v>0</v>
      </c>
      <c r="AM686" s="352">
        <f>IF(Table_NFI[[#This Row],[Winter Clothes Adult]]+Table_NFI[[#This Row],[Winter Clothes Children]]+Table_NFI[[#This Row],[Winter Items Other]]+Table_NFI[[#This Row],[Winter Blanket]]&gt;0,1,0)</f>
        <v>0</v>
      </c>
      <c r="AN686" s="392">
        <f>IF(NFI_Expiration=1,IF($A686&lt;VLOOKUP(V$5,NFI,5,0),1,0)*Table_NFI[[#This Row],[Jerry Can]],Table_NFI[Jerry Can])</f>
        <v>0</v>
      </c>
      <c r="AO686" s="540" t="str">
        <f>IFERROR(VLOOKUP(Table_NFI[[#This Row],[Camp Name]],CL,2,0),"")</f>
        <v>MMR001CMP071</v>
      </c>
      <c r="AP686" s="535">
        <f ca="1">IF(Table_NFI[[#This Row],[Pcode]]="","",IF(OFFSET(CampList[Opening Date],MATCH(Table_NFI[[#This Row],[Pcode]],CampList[CP_Pcode],0)-1,0,1,1)&gt;=NFI_Monitor_Date,1,0))</f>
        <v>0</v>
      </c>
      <c r="AQ686" s="540" t="str">
        <f>IFERROR(VLOOKUP(Table_NFI[[#This Row],[Camp Name]],CL,3,0),"")</f>
        <v>Open</v>
      </c>
      <c r="AR686" s="352" t="str">
        <f ca="1">IF(Table_NFI[[#This Row],[Pcode]]="","",OFFSET(CampList[Priority],MATCH(Table_NFI[[#This Row],[Pcode]],CampList[CP_Pcode],0)-1,0,1,1))</f>
        <v>P3</v>
      </c>
      <c r="AS686" s="351">
        <f>IFERROR(Table_NFI[[#This Row],[Kitchen Set]]/VLOOKUP(Table_NFI[[#This Row],[Camp Name]],CL,4,0),"")</f>
        <v>0.47222222222222221</v>
      </c>
      <c r="AT686" s="533" t="s">
        <v>1094</v>
      </c>
      <c r="AU686" s="536"/>
    </row>
    <row r="687" spans="1:47" ht="14.45" hidden="1" customHeight="1" x14ac:dyDescent="0.25">
      <c r="A687" s="355">
        <f t="shared" si="10"/>
        <v>43.233333333333334</v>
      </c>
      <c r="B687" s="532">
        <v>41274</v>
      </c>
      <c r="C687" s="533" t="s">
        <v>454</v>
      </c>
      <c r="D687" s="534" t="s">
        <v>454</v>
      </c>
      <c r="E687" s="533" t="s">
        <v>380</v>
      </c>
      <c r="F687" s="348" t="s">
        <v>528</v>
      </c>
      <c r="G687" s="348" t="s">
        <v>112</v>
      </c>
      <c r="H687" s="349">
        <v>3</v>
      </c>
      <c r="I687" s="349"/>
      <c r="J687" s="349"/>
      <c r="K687" s="349"/>
      <c r="L687" s="350"/>
      <c r="M687" s="350"/>
      <c r="N687" s="350"/>
      <c r="O687" s="350"/>
      <c r="P687" s="352">
        <v>0</v>
      </c>
      <c r="Q687" s="352">
        <v>0</v>
      </c>
      <c r="R687" s="352"/>
      <c r="S687" s="352"/>
      <c r="T687" s="352"/>
      <c r="U687" s="352"/>
      <c r="V687" s="497"/>
      <c r="W687" s="352"/>
      <c r="X687" s="352"/>
      <c r="Y687" s="352">
        <f>IF(NFI_Expiration=1,IF($A687&lt;VLOOKUP(H$5,NFI,5,0),1,0)*Table_NFI[[#This Row],[Hygiene Kit]],Table_NFI[Hygiene Kit])</f>
        <v>0</v>
      </c>
      <c r="Z687" s="352">
        <f>IF(NFI_Expiration=1,IF($A687&lt;VLOOKUP(I$5,NFI,5,0),1,0)*Table_NFI[[#This Row],[NFI Core Kit]],Table_NFI[NFI Core Kit])</f>
        <v>0</v>
      </c>
      <c r="AA687" s="352">
        <f>IF(NFI_Expiration=1,IF($A687&lt;VLOOKUP(J$5,NFI,5,0),1,0)*Table_NFI[[#This Row],[Sanitary Kit]],Table_NFI[Sanitary Kit])</f>
        <v>0</v>
      </c>
      <c r="AB687" s="352">
        <f>IF(NFI_Expiration=1,IF($A687&lt;VLOOKUP(K$5,NFI,5,0),1,0)*Table_NFI[[#This Row],[Mosquito net]],Table_NFI[Mosquito net])</f>
        <v>0</v>
      </c>
      <c r="AC687" s="352">
        <f>IF(NFI_Expiration=1,IF($A687&lt;VLOOKUP(L$5,NFI,5,0),1,0)*Table_NFI[[#This Row],[Tarpaulin]],Table_NFI[[#This Row],[Tarpaulin]])</f>
        <v>0</v>
      </c>
      <c r="AD687" s="352">
        <f>IF(NFI_Expiration=1,IF($A687&lt;VLOOKUP(M$5,NFI,5,0),1,0)*Table_NFI[[#This Row],[Blanket]],Table_NFI[[#This Row],[Blanket]])</f>
        <v>0</v>
      </c>
      <c r="AE687" s="352">
        <f>IF(NFI_Expiration=1,IF($A687&lt;VLOOKUP(N$5,NFI,5,0),1,0)*Table_NFI[[#This Row],[Kitchen Set]],Table_NFI[Kitchen Set])</f>
        <v>0</v>
      </c>
      <c r="AF687" s="352">
        <f>IF(NFI_Expiration=1,IF($A687&lt;VLOOKUP(O$5,NFI,5,0),1,0)*Table_NFI[[#This Row],[Clothes Kit]],Table_NFI[Clothes Kit])</f>
        <v>0</v>
      </c>
      <c r="AG687" s="352">
        <f>IF(NFI_Expiration=1,IF($A687&lt;VLOOKUP(P$5,NFI,5,0),1,0)*Table_NFI[[#This Row],[Plastic Bucket]],Table_NFI[Plastic Bucket])</f>
        <v>0</v>
      </c>
      <c r="AH687" s="352">
        <f>IF(NFI_Expiration=1,IF($A687&lt;VLOOKUP(Q$5,NFI,5,0),1,0)*Table_NFI[[#This Row],[Plastic Mat]],Table_NFI[Plastic Mat])*IF(Table_NFI[[#This Row],[Distribution Date]]&gt;"2014-04-01",1,2.5)</f>
        <v>0</v>
      </c>
      <c r="AI687" s="352">
        <f>IF(NFI_Expiration=1,IF($A687&lt;VLOOKUP(R$5,NFI,5,0),1,0)*Table_NFI[[#This Row],[Winter Clothes Adult]],Table_NFI[Winter Clothes Adult])</f>
        <v>0</v>
      </c>
      <c r="AJ687" s="352">
        <f>IF(NFI_Expiration=1,IF($A687&lt;VLOOKUP(S$5,NFI,5,0),1,0)*Table_NFI[[#This Row],[Winter Clothes Children]],Table_NFI[Winter Clothes Children])</f>
        <v>0</v>
      </c>
      <c r="AK687" s="352">
        <f>IF(NFI_Expiration=1,IF($A687&lt;VLOOKUP(T$5,NFI,5,0),1,0)*Table_NFI[[#This Row],[Winter Items Other]],Table_NFI[Winter Items Other])</f>
        <v>0</v>
      </c>
      <c r="AL687" s="352">
        <f>IF(NFI_Expiration=1,IF($A687&lt;VLOOKUP(M$5,NFI,5,0),1,0)*Table_NFI[[#This Row],[Winter Blanket]],Table_NFI[[#This Row],[Winter Blanket]])</f>
        <v>0</v>
      </c>
      <c r="AM687" s="352">
        <f>IF(Table_NFI[[#This Row],[Winter Clothes Adult]]+Table_NFI[[#This Row],[Winter Clothes Children]]+Table_NFI[[#This Row],[Winter Items Other]]+Table_NFI[[#This Row],[Winter Blanket]]&gt;0,1,0)</f>
        <v>0</v>
      </c>
      <c r="AN687" s="392">
        <f>IF(NFI_Expiration=1,IF($A687&lt;VLOOKUP(V$5,NFI,5,0),1,0)*Table_NFI[[#This Row],[Jerry Can]],Table_NFI[Jerry Can])</f>
        <v>0</v>
      </c>
      <c r="AO687" s="540" t="str">
        <f>IFERROR(VLOOKUP(Table_NFI[[#This Row],[Camp Name]],CL,2,0),"")</f>
        <v>MMR001CMP083</v>
      </c>
      <c r="AP687" s="535">
        <f ca="1">IF(Table_NFI[[#This Row],[Pcode]]="","",IF(OFFSET(CampList[Opening Date],MATCH(Table_NFI[[#This Row],[Pcode]],CampList[CP_Pcode],0)-1,0,1,1)&gt;=NFI_Monitor_Date,1,0))</f>
        <v>0</v>
      </c>
      <c r="AQ687" s="540" t="str">
        <f>IFERROR(VLOOKUP(Table_NFI[[#This Row],[Camp Name]],CL,3,0),"")</f>
        <v>Closed</v>
      </c>
      <c r="AR687" s="352" t="str">
        <f ca="1">IF(Table_NFI[[#This Row],[Pcode]]="","",OFFSET(CampList[Priority],MATCH(Table_NFI[[#This Row],[Pcode]],CampList[CP_Pcode],0)-1,0,1,1))</f>
        <v/>
      </c>
      <c r="AS687" s="351" t="str">
        <f>IFERROR(Table_NFI[[#This Row],[Kitchen Set]]/VLOOKUP(Table_NFI[[#This Row],[Camp Name]],CL,4,0),"")</f>
        <v/>
      </c>
      <c r="AT687" s="533" t="s">
        <v>1094</v>
      </c>
      <c r="AU687" s="536"/>
    </row>
    <row r="688" spans="1:47" ht="14.45" customHeight="1" x14ac:dyDescent="0.25">
      <c r="A688" s="355">
        <f t="shared" si="10"/>
        <v>47.133333333333333</v>
      </c>
      <c r="B688" s="532">
        <v>41157</v>
      </c>
      <c r="C688" s="533" t="s">
        <v>453</v>
      </c>
      <c r="D688" s="534" t="s">
        <v>453</v>
      </c>
      <c r="E688" s="533" t="s">
        <v>380</v>
      </c>
      <c r="F688" s="348" t="s">
        <v>185</v>
      </c>
      <c r="G688" s="348" t="s">
        <v>223</v>
      </c>
      <c r="H688" s="349"/>
      <c r="I688" s="349"/>
      <c r="J688" s="349"/>
      <c r="K688" s="349">
        <v>21</v>
      </c>
      <c r="L688" s="350">
        <v>10</v>
      </c>
      <c r="M688" s="350">
        <v>21</v>
      </c>
      <c r="N688" s="350">
        <v>10</v>
      </c>
      <c r="O688" s="350">
        <v>10</v>
      </c>
      <c r="P688" s="352">
        <v>10</v>
      </c>
      <c r="Q688" s="352">
        <v>10</v>
      </c>
      <c r="R688" s="352"/>
      <c r="S688" s="352"/>
      <c r="T688" s="352"/>
      <c r="U688" s="352"/>
      <c r="V688" s="497"/>
      <c r="W688" s="352"/>
      <c r="X688" s="352"/>
      <c r="Y688" s="352">
        <f>IF(NFI_Expiration=1,IF($A688&lt;VLOOKUP(H$5,NFI,5,0),1,0)*Table_NFI[[#This Row],[Hygiene Kit]],Table_NFI[Hygiene Kit])</f>
        <v>0</v>
      </c>
      <c r="Z688" s="352">
        <f>IF(NFI_Expiration=1,IF($A688&lt;VLOOKUP(I$5,NFI,5,0),1,0)*Table_NFI[[#This Row],[NFI Core Kit]],Table_NFI[NFI Core Kit])</f>
        <v>0</v>
      </c>
      <c r="AA688" s="352">
        <f>IF(NFI_Expiration=1,IF($A688&lt;VLOOKUP(J$5,NFI,5,0),1,0)*Table_NFI[[#This Row],[Sanitary Kit]],Table_NFI[Sanitary Kit])</f>
        <v>0</v>
      </c>
      <c r="AB688" s="352">
        <f>IF(NFI_Expiration=1,IF($A688&lt;VLOOKUP(K$5,NFI,5,0),1,0)*Table_NFI[[#This Row],[Mosquito net]],Table_NFI[Mosquito net])</f>
        <v>0</v>
      </c>
      <c r="AC688" s="352">
        <f>IF(NFI_Expiration=1,IF($A688&lt;VLOOKUP(L$5,NFI,5,0),1,0)*Table_NFI[[#This Row],[Tarpaulin]],Table_NFI[[#This Row],[Tarpaulin]])</f>
        <v>0</v>
      </c>
      <c r="AD688" s="352">
        <f>IF(NFI_Expiration=1,IF($A688&lt;VLOOKUP(M$5,NFI,5,0),1,0)*Table_NFI[[#This Row],[Blanket]],Table_NFI[[#This Row],[Blanket]])</f>
        <v>0</v>
      </c>
      <c r="AE688" s="352">
        <f>IF(NFI_Expiration=1,IF($A688&lt;VLOOKUP(N$5,NFI,5,0),1,0)*Table_NFI[[#This Row],[Kitchen Set]],Table_NFI[Kitchen Set])</f>
        <v>0</v>
      </c>
      <c r="AF688" s="352">
        <f>IF(NFI_Expiration=1,IF($A688&lt;VLOOKUP(O$5,NFI,5,0),1,0)*Table_NFI[[#This Row],[Clothes Kit]],Table_NFI[Clothes Kit])</f>
        <v>0</v>
      </c>
      <c r="AG688" s="352">
        <f>IF(NFI_Expiration=1,IF($A688&lt;VLOOKUP(P$5,NFI,5,0),1,0)*Table_NFI[[#This Row],[Plastic Bucket]],Table_NFI[Plastic Bucket])</f>
        <v>0</v>
      </c>
      <c r="AH688" s="352">
        <f>IF(NFI_Expiration=1,IF($A688&lt;VLOOKUP(Q$5,NFI,5,0),1,0)*Table_NFI[[#This Row],[Plastic Mat]],Table_NFI[Plastic Mat])*IF(Table_NFI[[#This Row],[Distribution Date]]&gt;"2014-04-01",1,2.5)</f>
        <v>0</v>
      </c>
      <c r="AI688" s="352">
        <f>IF(NFI_Expiration=1,IF($A688&lt;VLOOKUP(R$5,NFI,5,0),1,0)*Table_NFI[[#This Row],[Winter Clothes Adult]],Table_NFI[Winter Clothes Adult])</f>
        <v>0</v>
      </c>
      <c r="AJ688" s="352">
        <f>IF(NFI_Expiration=1,IF($A688&lt;VLOOKUP(S$5,NFI,5,0),1,0)*Table_NFI[[#This Row],[Winter Clothes Children]],Table_NFI[Winter Clothes Children])</f>
        <v>0</v>
      </c>
      <c r="AK688" s="352">
        <f>IF(NFI_Expiration=1,IF($A688&lt;VLOOKUP(T$5,NFI,5,0),1,0)*Table_NFI[[#This Row],[Winter Items Other]],Table_NFI[Winter Items Other])</f>
        <v>0</v>
      </c>
      <c r="AL688" s="352">
        <f>IF(NFI_Expiration=1,IF($A688&lt;VLOOKUP(M$5,NFI,5,0),1,0)*Table_NFI[[#This Row],[Winter Blanket]],Table_NFI[[#This Row],[Winter Blanket]])</f>
        <v>0</v>
      </c>
      <c r="AM688" s="352">
        <f>IF(Table_NFI[[#This Row],[Winter Clothes Adult]]+Table_NFI[[#This Row],[Winter Clothes Children]]+Table_NFI[[#This Row],[Winter Items Other]]+Table_NFI[[#This Row],[Winter Blanket]]&gt;0,1,0)</f>
        <v>0</v>
      </c>
      <c r="AN688" s="392">
        <f>IF(NFI_Expiration=1,IF($A688&lt;VLOOKUP(V$5,NFI,5,0),1,0)*Table_NFI[[#This Row],[Jerry Can]],Table_NFI[Jerry Can])</f>
        <v>0</v>
      </c>
      <c r="AO688" s="540" t="str">
        <f>IFERROR(VLOOKUP(Table_NFI[[#This Row],[Camp Name]],CL,2,0),"")</f>
        <v>MMR001CMP069</v>
      </c>
      <c r="AP688" s="535">
        <f ca="1">IF(Table_NFI[[#This Row],[Pcode]]="","",IF(OFFSET(CampList[Opening Date],MATCH(Table_NFI[[#This Row],[Pcode]],CampList[CP_Pcode],0)-1,0,1,1)&gt;=NFI_Monitor_Date,1,0))</f>
        <v>0</v>
      </c>
      <c r="AQ688" s="540" t="str">
        <f>IFERROR(VLOOKUP(Table_NFI[[#This Row],[Camp Name]],CL,3,0),"")</f>
        <v>Open</v>
      </c>
      <c r="AR688" s="352" t="str">
        <f ca="1">IF(Table_NFI[[#This Row],[Pcode]]="","",OFFSET(CampList[Priority],MATCH(Table_NFI[[#This Row],[Pcode]],CampList[CP_Pcode],0)-1,0,1,1))</f>
        <v>P3</v>
      </c>
      <c r="AS688" s="351">
        <f>IFERROR(Table_NFI[[#This Row],[Kitchen Set]]/VLOOKUP(Table_NFI[[#This Row],[Camp Name]],CL,4,0),"")</f>
        <v>8.0645161290322578E-2</v>
      </c>
      <c r="AT688" s="533" t="s">
        <v>1094</v>
      </c>
      <c r="AU688" s="536"/>
    </row>
    <row r="689" spans="1:47" ht="14.45" customHeight="1" x14ac:dyDescent="0.25">
      <c r="A689" s="355">
        <f t="shared" si="10"/>
        <v>47.133333333333333</v>
      </c>
      <c r="B689" s="532">
        <v>41157</v>
      </c>
      <c r="C689" s="533" t="s">
        <v>453</v>
      </c>
      <c r="D689" s="533" t="s">
        <v>453</v>
      </c>
      <c r="E689" s="533" t="s">
        <v>380</v>
      </c>
      <c r="F689" s="533" t="s">
        <v>185</v>
      </c>
      <c r="G689" s="348" t="s">
        <v>190</v>
      </c>
      <c r="H689" s="349"/>
      <c r="I689" s="349"/>
      <c r="J689" s="349"/>
      <c r="K689" s="349">
        <v>133</v>
      </c>
      <c r="L689" s="350">
        <v>62</v>
      </c>
      <c r="M689" s="350">
        <v>133</v>
      </c>
      <c r="N689" s="350">
        <v>62</v>
      </c>
      <c r="O689" s="350">
        <v>62</v>
      </c>
      <c r="P689" s="352">
        <v>62</v>
      </c>
      <c r="Q689" s="352">
        <v>62</v>
      </c>
      <c r="R689" s="352"/>
      <c r="S689" s="352"/>
      <c r="T689" s="352"/>
      <c r="U689" s="352"/>
      <c r="V689" s="497"/>
      <c r="W689" s="352"/>
      <c r="X689" s="352"/>
      <c r="Y689" s="352">
        <f>IF(NFI_Expiration=1,IF($A689&lt;VLOOKUP(H$5,NFI,5,0),1,0)*Table_NFI[[#This Row],[Hygiene Kit]],Table_NFI[Hygiene Kit])</f>
        <v>0</v>
      </c>
      <c r="Z689" s="352">
        <f>IF(NFI_Expiration=1,IF($A689&lt;VLOOKUP(I$5,NFI,5,0),1,0)*Table_NFI[[#This Row],[NFI Core Kit]],Table_NFI[NFI Core Kit])</f>
        <v>0</v>
      </c>
      <c r="AA689" s="352">
        <f>IF(NFI_Expiration=1,IF($A689&lt;VLOOKUP(J$5,NFI,5,0),1,0)*Table_NFI[[#This Row],[Sanitary Kit]],Table_NFI[Sanitary Kit])</f>
        <v>0</v>
      </c>
      <c r="AB689" s="352">
        <f>IF(NFI_Expiration=1,IF($A689&lt;VLOOKUP(K$5,NFI,5,0),1,0)*Table_NFI[[#This Row],[Mosquito net]],Table_NFI[Mosquito net])</f>
        <v>0</v>
      </c>
      <c r="AC689" s="352">
        <f>IF(NFI_Expiration=1,IF($A689&lt;VLOOKUP(L$5,NFI,5,0),1,0)*Table_NFI[[#This Row],[Tarpaulin]],Table_NFI[[#This Row],[Tarpaulin]])</f>
        <v>0</v>
      </c>
      <c r="AD689" s="352">
        <f>IF(NFI_Expiration=1,IF($A689&lt;VLOOKUP(M$5,NFI,5,0),1,0)*Table_NFI[[#This Row],[Blanket]],Table_NFI[[#This Row],[Blanket]])</f>
        <v>0</v>
      </c>
      <c r="AE689" s="352">
        <f>IF(NFI_Expiration=1,IF($A689&lt;VLOOKUP(N$5,NFI,5,0),1,0)*Table_NFI[[#This Row],[Kitchen Set]],Table_NFI[Kitchen Set])</f>
        <v>0</v>
      </c>
      <c r="AF689" s="352">
        <f>IF(NFI_Expiration=1,IF($A689&lt;VLOOKUP(O$5,NFI,5,0),1,0)*Table_NFI[[#This Row],[Clothes Kit]],Table_NFI[Clothes Kit])</f>
        <v>0</v>
      </c>
      <c r="AG689" s="352">
        <f>IF(NFI_Expiration=1,IF($A689&lt;VLOOKUP(P$5,NFI,5,0),1,0)*Table_NFI[[#This Row],[Plastic Bucket]],Table_NFI[Plastic Bucket])</f>
        <v>0</v>
      </c>
      <c r="AH689" s="352">
        <f>IF(NFI_Expiration=1,IF($A689&lt;VLOOKUP(Q$5,NFI,5,0),1,0)*Table_NFI[[#This Row],[Plastic Mat]],Table_NFI[Plastic Mat])*IF(Table_NFI[[#This Row],[Distribution Date]]&gt;"2014-04-01",1,2.5)</f>
        <v>0</v>
      </c>
      <c r="AI689" s="352">
        <f>IF(NFI_Expiration=1,IF($A689&lt;VLOOKUP(R$5,NFI,5,0),1,0)*Table_NFI[[#This Row],[Winter Clothes Adult]],Table_NFI[Winter Clothes Adult])</f>
        <v>0</v>
      </c>
      <c r="AJ689" s="352">
        <f>IF(NFI_Expiration=1,IF($A689&lt;VLOOKUP(S$5,NFI,5,0),1,0)*Table_NFI[[#This Row],[Winter Clothes Children]],Table_NFI[Winter Clothes Children])</f>
        <v>0</v>
      </c>
      <c r="AK689" s="352">
        <f>IF(NFI_Expiration=1,IF($A689&lt;VLOOKUP(T$5,NFI,5,0),1,0)*Table_NFI[[#This Row],[Winter Items Other]],Table_NFI[Winter Items Other])</f>
        <v>0</v>
      </c>
      <c r="AL689" s="352">
        <f>IF(NFI_Expiration=1,IF($A689&lt;VLOOKUP(M$5,NFI,5,0),1,0)*Table_NFI[[#This Row],[Winter Blanket]],Table_NFI[[#This Row],[Winter Blanket]])</f>
        <v>0</v>
      </c>
      <c r="AM689" s="352">
        <f>IF(Table_NFI[[#This Row],[Winter Clothes Adult]]+Table_NFI[[#This Row],[Winter Clothes Children]]+Table_NFI[[#This Row],[Winter Items Other]]+Table_NFI[[#This Row],[Winter Blanket]]&gt;0,1,0)</f>
        <v>0</v>
      </c>
      <c r="AN689" s="392">
        <f>IF(NFI_Expiration=1,IF($A689&lt;VLOOKUP(V$5,NFI,5,0),1,0)*Table_NFI[[#This Row],[Jerry Can]],Table_NFI[Jerry Can])</f>
        <v>0</v>
      </c>
      <c r="AO689" s="540" t="str">
        <f>IFERROR(VLOOKUP(Table_NFI[[#This Row],[Camp Name]],CL,2,0),"")</f>
        <v>MMR001CMP070</v>
      </c>
      <c r="AP689" s="535">
        <f ca="1">IF(Table_NFI[[#This Row],[Pcode]]="","",IF(OFFSET(CampList[Opening Date],MATCH(Table_NFI[[#This Row],[Pcode]],CampList[CP_Pcode],0)-1,0,1,1)&gt;=NFI_Monitor_Date,1,0))</f>
        <v>0</v>
      </c>
      <c r="AQ689" s="540" t="str">
        <f>IFERROR(VLOOKUP(Table_NFI[[#This Row],[Camp Name]],CL,3,0),"")</f>
        <v>Open</v>
      </c>
      <c r="AR689" s="352" t="str">
        <f ca="1">IF(Table_NFI[[#This Row],[Pcode]]="","",OFFSET(CampList[Priority],MATCH(Table_NFI[[#This Row],[Pcode]],CampList[CP_Pcode],0)-1,0,1,1))</f>
        <v>P3</v>
      </c>
      <c r="AS689" s="351">
        <f>IFERROR(Table_NFI[[#This Row],[Kitchen Set]]/VLOOKUP(Table_NFI[[#This Row],[Camp Name]],CL,4,0),"")</f>
        <v>0.32631578947368423</v>
      </c>
      <c r="AT689" s="533" t="s">
        <v>1094</v>
      </c>
      <c r="AU689" s="536"/>
    </row>
    <row r="690" spans="1:47" ht="14.45" hidden="1" customHeight="1" x14ac:dyDescent="0.25">
      <c r="A690" s="355">
        <f t="shared" si="10"/>
        <v>31.733333333333334</v>
      </c>
      <c r="B690" s="532">
        <v>41619</v>
      </c>
      <c r="C690" s="533" t="s">
        <v>1029</v>
      </c>
      <c r="D690" s="533" t="s">
        <v>1030</v>
      </c>
      <c r="E690" s="533" t="s">
        <v>380</v>
      </c>
      <c r="F690" s="533" t="s">
        <v>185</v>
      </c>
      <c r="G690" s="533" t="s">
        <v>215</v>
      </c>
      <c r="H690" s="349"/>
      <c r="I690" s="349"/>
      <c r="J690" s="349"/>
      <c r="K690" s="349"/>
      <c r="L690" s="350"/>
      <c r="M690" s="350">
        <v>350</v>
      </c>
      <c r="N690" s="350"/>
      <c r="O690" s="350"/>
      <c r="P690" s="352"/>
      <c r="Q690" s="352"/>
      <c r="R690" s="352"/>
      <c r="S690" s="352"/>
      <c r="T690" s="352"/>
      <c r="U690" s="352"/>
      <c r="V690" s="497"/>
      <c r="W690" s="352"/>
      <c r="X690" s="352"/>
      <c r="Y690" s="352">
        <f>IF(NFI_Expiration=1,IF($A690&lt;VLOOKUP(H$5,NFI,5,0),1,0)*Table_NFI[[#This Row],[Hygiene Kit]],Table_NFI[Hygiene Kit])</f>
        <v>0</v>
      </c>
      <c r="Z690" s="352">
        <f>IF(NFI_Expiration=1,IF($A690&lt;VLOOKUP(I$5,NFI,5,0),1,0)*Table_NFI[[#This Row],[NFI Core Kit]],Table_NFI[NFI Core Kit])</f>
        <v>0</v>
      </c>
      <c r="AA690" s="352">
        <f>IF(NFI_Expiration=1,IF($A690&lt;VLOOKUP(J$5,NFI,5,0),1,0)*Table_NFI[[#This Row],[Sanitary Kit]],Table_NFI[Sanitary Kit])</f>
        <v>0</v>
      </c>
      <c r="AB690" s="352">
        <f>IF(NFI_Expiration=1,IF($A690&lt;VLOOKUP(K$5,NFI,5,0),1,0)*Table_NFI[[#This Row],[Mosquito net]],Table_NFI[Mosquito net])</f>
        <v>0</v>
      </c>
      <c r="AC690" s="352">
        <f>IF(NFI_Expiration=1,IF($A690&lt;VLOOKUP(L$5,NFI,5,0),1,0)*Table_NFI[[#This Row],[Tarpaulin]],Table_NFI[[#This Row],[Tarpaulin]])</f>
        <v>0</v>
      </c>
      <c r="AD690" s="352">
        <f>IF(NFI_Expiration=1,IF($A690&lt;VLOOKUP(M$5,NFI,5,0),1,0)*Table_NFI[[#This Row],[Blanket]],Table_NFI[[#This Row],[Blanket]])</f>
        <v>0</v>
      </c>
      <c r="AE690" s="352">
        <f>IF(NFI_Expiration=1,IF($A690&lt;VLOOKUP(N$5,NFI,5,0),1,0)*Table_NFI[[#This Row],[Kitchen Set]],Table_NFI[Kitchen Set])</f>
        <v>0</v>
      </c>
      <c r="AF690" s="352">
        <f>IF(NFI_Expiration=1,IF($A690&lt;VLOOKUP(O$5,NFI,5,0),1,0)*Table_NFI[[#This Row],[Clothes Kit]],Table_NFI[Clothes Kit])</f>
        <v>0</v>
      </c>
      <c r="AG690" s="352">
        <f>IF(NFI_Expiration=1,IF($A690&lt;VLOOKUP(P$5,NFI,5,0),1,0)*Table_NFI[[#This Row],[Plastic Bucket]],Table_NFI[Plastic Bucket])</f>
        <v>0</v>
      </c>
      <c r="AH690" s="352">
        <f>IF(NFI_Expiration=1,IF($A690&lt;VLOOKUP(Q$5,NFI,5,0),1,0)*Table_NFI[[#This Row],[Plastic Mat]],Table_NFI[Plastic Mat])*IF(Table_NFI[[#This Row],[Distribution Date]]&gt;"2014-04-01",1,2.5)</f>
        <v>0</v>
      </c>
      <c r="AI690" s="352">
        <f>IF(NFI_Expiration=1,IF($A690&lt;VLOOKUP(R$5,NFI,5,0),1,0)*Table_NFI[[#This Row],[Winter Clothes Adult]],Table_NFI[Winter Clothes Adult])</f>
        <v>0</v>
      </c>
      <c r="AJ690" s="352">
        <f>IF(NFI_Expiration=1,IF($A690&lt;VLOOKUP(S$5,NFI,5,0),1,0)*Table_NFI[[#This Row],[Winter Clothes Children]],Table_NFI[Winter Clothes Children])</f>
        <v>0</v>
      </c>
      <c r="AK690" s="352">
        <f>IF(NFI_Expiration=1,IF($A690&lt;VLOOKUP(T$5,NFI,5,0),1,0)*Table_NFI[[#This Row],[Winter Items Other]],Table_NFI[Winter Items Other])</f>
        <v>0</v>
      </c>
      <c r="AL690" s="352">
        <f>IF(NFI_Expiration=1,IF($A690&lt;VLOOKUP(M$5,NFI,5,0),1,0)*Table_NFI[[#This Row],[Winter Blanket]],Table_NFI[[#This Row],[Winter Blanket]])</f>
        <v>0</v>
      </c>
      <c r="AM690" s="352">
        <f>IF(Table_NFI[[#This Row],[Winter Clothes Adult]]+Table_NFI[[#This Row],[Winter Clothes Children]]+Table_NFI[[#This Row],[Winter Items Other]]+Table_NFI[[#This Row],[Winter Blanket]]&gt;0,1,0)</f>
        <v>0</v>
      </c>
      <c r="AN690" s="392">
        <f>IF(NFI_Expiration=1,IF($A690&lt;VLOOKUP(V$5,NFI,5,0),1,0)*Table_NFI[[#This Row],[Jerry Can]],Table_NFI[Jerry Can])</f>
        <v>0</v>
      </c>
      <c r="AO690" s="540" t="str">
        <f>IFERROR(VLOOKUP(Table_NFI[[#This Row],[Camp Name]],CL,2,0),"")</f>
        <v>MMR001CMP131</v>
      </c>
      <c r="AP690" s="535">
        <f ca="1">IF(Table_NFI[[#This Row],[Pcode]]="","",IF(OFFSET(CampList[Opening Date],MATCH(Table_NFI[[#This Row],[Pcode]],CampList[CP_Pcode],0)-1,0,1,1)&gt;=NFI_Monitor_Date,1,0))</f>
        <v>0</v>
      </c>
      <c r="AQ690" s="540" t="str">
        <f>IFERROR(VLOOKUP(Table_NFI[[#This Row],[Camp Name]],CL,3,0),"")</f>
        <v>Open</v>
      </c>
      <c r="AR690" s="352" t="str">
        <f ca="1">IF(Table_NFI[[#This Row],[Pcode]]="","",OFFSET(CampList[Priority],MATCH(Table_NFI[[#This Row],[Pcode]],CampList[CP_Pcode],0)-1,0,1,1))</f>
        <v>P1</v>
      </c>
      <c r="AS690" s="351">
        <f>IFERROR(Table_NFI[[#This Row],[Kitchen Set]]/VLOOKUP(Table_NFI[[#This Row],[Camp Name]],CL,4,0),"")</f>
        <v>0</v>
      </c>
      <c r="AT690" s="533" t="s">
        <v>1094</v>
      </c>
      <c r="AU690" s="536"/>
    </row>
    <row r="691" spans="1:47" hidden="1" x14ac:dyDescent="0.25">
      <c r="A691" s="355">
        <f t="shared" si="10"/>
        <v>32.1</v>
      </c>
      <c r="B691" s="532">
        <v>41608</v>
      </c>
      <c r="C691" s="533" t="s">
        <v>907</v>
      </c>
      <c r="D691" s="533" t="s">
        <v>1004</v>
      </c>
      <c r="E691" s="533" t="s">
        <v>380</v>
      </c>
      <c r="F691" s="348" t="s">
        <v>185</v>
      </c>
      <c r="G691" s="348" t="s">
        <v>215</v>
      </c>
      <c r="H691" s="349"/>
      <c r="I691" s="349"/>
      <c r="J691" s="349"/>
      <c r="K691" s="349"/>
      <c r="L691" s="350"/>
      <c r="M691" s="350"/>
      <c r="N691" s="350"/>
      <c r="O691" s="350"/>
      <c r="P691" s="352"/>
      <c r="Q691" s="352"/>
      <c r="R691" s="352"/>
      <c r="S691" s="352"/>
      <c r="T691" s="352"/>
      <c r="U691" s="352"/>
      <c r="V691" s="497"/>
      <c r="W691" s="352"/>
      <c r="X691" s="352"/>
      <c r="Y691" s="352">
        <f>IF(NFI_Expiration=1,IF($A691&lt;VLOOKUP(H$5,NFI,5,0),1,0)*Table_NFI[[#This Row],[Hygiene Kit]],Table_NFI[Hygiene Kit])</f>
        <v>0</v>
      </c>
      <c r="Z691" s="352">
        <f>IF(NFI_Expiration=1,IF($A691&lt;VLOOKUP(I$5,NFI,5,0),1,0)*Table_NFI[[#This Row],[NFI Core Kit]],Table_NFI[NFI Core Kit])</f>
        <v>0</v>
      </c>
      <c r="AA691" s="352">
        <f>IF(NFI_Expiration=1,IF($A691&lt;VLOOKUP(J$5,NFI,5,0),1,0)*Table_NFI[[#This Row],[Sanitary Kit]],Table_NFI[Sanitary Kit])</f>
        <v>0</v>
      </c>
      <c r="AB691" s="352">
        <f>IF(NFI_Expiration=1,IF($A691&lt;VLOOKUP(K$5,NFI,5,0),1,0)*Table_NFI[[#This Row],[Mosquito net]],Table_NFI[Mosquito net])</f>
        <v>0</v>
      </c>
      <c r="AC691" s="352">
        <f>IF(NFI_Expiration=1,IF($A691&lt;VLOOKUP(L$5,NFI,5,0),1,0)*Table_NFI[[#This Row],[Tarpaulin]],Table_NFI[[#This Row],[Tarpaulin]])</f>
        <v>0</v>
      </c>
      <c r="AD691" s="352">
        <f>IF(NFI_Expiration=1,IF($A691&lt;VLOOKUP(M$5,NFI,5,0),1,0)*Table_NFI[[#This Row],[Blanket]],Table_NFI[[#This Row],[Blanket]])</f>
        <v>0</v>
      </c>
      <c r="AE691" s="352">
        <f>IF(NFI_Expiration=1,IF($A691&lt;VLOOKUP(N$5,NFI,5,0),1,0)*Table_NFI[[#This Row],[Kitchen Set]],Table_NFI[Kitchen Set])</f>
        <v>0</v>
      </c>
      <c r="AF691" s="352">
        <f>IF(NFI_Expiration=1,IF($A691&lt;VLOOKUP(O$5,NFI,5,0),1,0)*Table_NFI[[#This Row],[Clothes Kit]],Table_NFI[Clothes Kit])</f>
        <v>0</v>
      </c>
      <c r="AG691" s="352">
        <f>IF(NFI_Expiration=1,IF($A691&lt;VLOOKUP(P$5,NFI,5,0),1,0)*Table_NFI[[#This Row],[Plastic Bucket]],Table_NFI[Plastic Bucket])</f>
        <v>0</v>
      </c>
      <c r="AH691" s="352">
        <f>IF(NFI_Expiration=1,IF($A691&lt;VLOOKUP(Q$5,NFI,5,0),1,0)*Table_NFI[[#This Row],[Plastic Mat]],Table_NFI[Plastic Mat])*IF(Table_NFI[[#This Row],[Distribution Date]]&gt;"2014-04-01",1,2.5)</f>
        <v>0</v>
      </c>
      <c r="AI691" s="352">
        <f>IF(NFI_Expiration=1,IF($A691&lt;VLOOKUP(R$5,NFI,5,0),1,0)*Table_NFI[[#This Row],[Winter Clothes Adult]],Table_NFI[Winter Clothes Adult])</f>
        <v>0</v>
      </c>
      <c r="AJ691" s="352">
        <f>IF(NFI_Expiration=1,IF($A691&lt;VLOOKUP(S$5,NFI,5,0),1,0)*Table_NFI[[#This Row],[Winter Clothes Children]],Table_NFI[Winter Clothes Children])</f>
        <v>0</v>
      </c>
      <c r="AK691" s="352">
        <f>IF(NFI_Expiration=1,IF($A691&lt;VLOOKUP(T$5,NFI,5,0),1,0)*Table_NFI[[#This Row],[Winter Items Other]],Table_NFI[Winter Items Other])</f>
        <v>0</v>
      </c>
      <c r="AL691" s="352">
        <f>IF(NFI_Expiration=1,IF($A691&lt;VLOOKUP(M$5,NFI,5,0),1,0)*Table_NFI[[#This Row],[Winter Blanket]],Table_NFI[[#This Row],[Winter Blanket]])</f>
        <v>0</v>
      </c>
      <c r="AM691" s="352">
        <f>IF(Table_NFI[[#This Row],[Winter Clothes Adult]]+Table_NFI[[#This Row],[Winter Clothes Children]]+Table_NFI[[#This Row],[Winter Items Other]]+Table_NFI[[#This Row],[Winter Blanket]]&gt;0,1,0)</f>
        <v>0</v>
      </c>
      <c r="AN691" s="392">
        <f>IF(NFI_Expiration=1,IF($A691&lt;VLOOKUP(V$5,NFI,5,0),1,0)*Table_NFI[[#This Row],[Jerry Can]],Table_NFI[Jerry Can])</f>
        <v>0</v>
      </c>
      <c r="AO691" s="540" t="str">
        <f>IFERROR(VLOOKUP(Table_NFI[[#This Row],[Camp Name]],CL,2,0),"")</f>
        <v>MMR001CMP131</v>
      </c>
      <c r="AP691" s="535">
        <f ca="1">IF(Table_NFI[[#This Row],[Pcode]]="","",IF(OFFSET(CampList[Opening Date],MATCH(Table_NFI[[#This Row],[Pcode]],CampList[CP_Pcode],0)-1,0,1,1)&gt;=NFI_Monitor_Date,1,0))</f>
        <v>0</v>
      </c>
      <c r="AQ691" s="540" t="str">
        <f>IFERROR(VLOOKUP(Table_NFI[[#This Row],[Camp Name]],CL,3,0),"")</f>
        <v>Open</v>
      </c>
      <c r="AR691" s="352" t="str">
        <f ca="1">IF(Table_NFI[[#This Row],[Pcode]]="","",OFFSET(CampList[Priority],MATCH(Table_NFI[[#This Row],[Pcode]],CampList[CP_Pcode],0)-1,0,1,1))</f>
        <v>P1</v>
      </c>
      <c r="AS691" s="351">
        <f>IFERROR(Table_NFI[[#This Row],[Kitchen Set]]/VLOOKUP(Table_NFI[[#This Row],[Camp Name]],CL,4,0),"")</f>
        <v>0</v>
      </c>
      <c r="AT691" s="533" t="s">
        <v>1094</v>
      </c>
      <c r="AU691" s="536"/>
    </row>
    <row r="692" spans="1:47" hidden="1" x14ac:dyDescent="0.25">
      <c r="A692" s="355">
        <f t="shared" si="10"/>
        <v>32.6</v>
      </c>
      <c r="B692" s="532">
        <v>41593</v>
      </c>
      <c r="C692" s="533" t="s">
        <v>907</v>
      </c>
      <c r="D692" s="533" t="s">
        <v>1004</v>
      </c>
      <c r="E692" s="533" t="s">
        <v>380</v>
      </c>
      <c r="F692" s="533" t="s">
        <v>185</v>
      </c>
      <c r="G692" s="533" t="s">
        <v>215</v>
      </c>
      <c r="H692" s="349"/>
      <c r="I692" s="349"/>
      <c r="J692" s="349"/>
      <c r="K692" s="349"/>
      <c r="L692" s="350"/>
      <c r="M692" s="350"/>
      <c r="N692" s="350"/>
      <c r="O692" s="350"/>
      <c r="P692" s="352"/>
      <c r="Q692" s="352"/>
      <c r="R692" s="352">
        <v>387</v>
      </c>
      <c r="S692" s="352">
        <v>760</v>
      </c>
      <c r="T692" s="352">
        <v>2294</v>
      </c>
      <c r="U692" s="352">
        <v>1147</v>
      </c>
      <c r="V692" s="497"/>
      <c r="W692" s="352"/>
      <c r="X692" s="352"/>
      <c r="Y692" s="352">
        <f>IF(NFI_Expiration=1,IF($A692&lt;VLOOKUP(H$5,NFI,5,0),1,0)*Table_NFI[[#This Row],[Hygiene Kit]],Table_NFI[Hygiene Kit])</f>
        <v>0</v>
      </c>
      <c r="Z692" s="352">
        <f>IF(NFI_Expiration=1,IF($A692&lt;VLOOKUP(I$5,NFI,5,0),1,0)*Table_NFI[[#This Row],[NFI Core Kit]],Table_NFI[NFI Core Kit])</f>
        <v>0</v>
      </c>
      <c r="AA692" s="352">
        <f>IF(NFI_Expiration=1,IF($A692&lt;VLOOKUP(J$5,NFI,5,0),1,0)*Table_NFI[[#This Row],[Sanitary Kit]],Table_NFI[Sanitary Kit])</f>
        <v>0</v>
      </c>
      <c r="AB692" s="352">
        <f>IF(NFI_Expiration=1,IF($A692&lt;VLOOKUP(K$5,NFI,5,0),1,0)*Table_NFI[[#This Row],[Mosquito net]],Table_NFI[Mosquito net])</f>
        <v>0</v>
      </c>
      <c r="AC692" s="352">
        <f>IF(NFI_Expiration=1,IF($A692&lt;VLOOKUP(L$5,NFI,5,0),1,0)*Table_NFI[[#This Row],[Tarpaulin]],Table_NFI[[#This Row],[Tarpaulin]])</f>
        <v>0</v>
      </c>
      <c r="AD692" s="352">
        <f>IF(NFI_Expiration=1,IF($A692&lt;VLOOKUP(M$5,NFI,5,0),1,0)*Table_NFI[[#This Row],[Blanket]],Table_NFI[[#This Row],[Blanket]])</f>
        <v>0</v>
      </c>
      <c r="AE692" s="352">
        <f>IF(NFI_Expiration=1,IF($A692&lt;VLOOKUP(N$5,NFI,5,0),1,0)*Table_NFI[[#This Row],[Kitchen Set]],Table_NFI[Kitchen Set])</f>
        <v>0</v>
      </c>
      <c r="AF692" s="352">
        <f>IF(NFI_Expiration=1,IF($A692&lt;VLOOKUP(O$5,NFI,5,0),1,0)*Table_NFI[[#This Row],[Clothes Kit]],Table_NFI[Clothes Kit])</f>
        <v>0</v>
      </c>
      <c r="AG692" s="352">
        <f>IF(NFI_Expiration=1,IF($A692&lt;VLOOKUP(P$5,NFI,5,0),1,0)*Table_NFI[[#This Row],[Plastic Bucket]],Table_NFI[Plastic Bucket])</f>
        <v>0</v>
      </c>
      <c r="AH692" s="352">
        <f>IF(NFI_Expiration=1,IF($A692&lt;VLOOKUP(Q$5,NFI,5,0),1,0)*Table_NFI[[#This Row],[Plastic Mat]],Table_NFI[Plastic Mat])*IF(Table_NFI[[#This Row],[Distribution Date]]&gt;"2014-04-01",1,2.5)</f>
        <v>0</v>
      </c>
      <c r="AI692" s="352">
        <f>IF(NFI_Expiration=1,IF($A692&lt;VLOOKUP(R$5,NFI,5,0),1,0)*Table_NFI[[#This Row],[Winter Clothes Adult]],Table_NFI[Winter Clothes Adult])</f>
        <v>0</v>
      </c>
      <c r="AJ692" s="352">
        <f>IF(NFI_Expiration=1,IF($A692&lt;VLOOKUP(S$5,NFI,5,0),1,0)*Table_NFI[[#This Row],[Winter Clothes Children]],Table_NFI[Winter Clothes Children])</f>
        <v>0</v>
      </c>
      <c r="AK692" s="352">
        <f>IF(NFI_Expiration=1,IF($A692&lt;VLOOKUP(T$5,NFI,5,0),1,0)*Table_NFI[[#This Row],[Winter Items Other]],Table_NFI[Winter Items Other])</f>
        <v>0</v>
      </c>
      <c r="AL692" s="352">
        <f>IF(NFI_Expiration=1,IF($A692&lt;VLOOKUP(M$5,NFI,5,0),1,0)*Table_NFI[[#This Row],[Winter Blanket]],Table_NFI[[#This Row],[Winter Blanket]])</f>
        <v>0</v>
      </c>
      <c r="AM692" s="352">
        <f>IF(Table_NFI[[#This Row],[Winter Clothes Adult]]+Table_NFI[[#This Row],[Winter Clothes Children]]+Table_NFI[[#This Row],[Winter Items Other]]+Table_NFI[[#This Row],[Winter Blanket]]&gt;0,1,0)</f>
        <v>1</v>
      </c>
      <c r="AN692" s="392">
        <f>IF(NFI_Expiration=1,IF($A692&lt;VLOOKUP(V$5,NFI,5,0),1,0)*Table_NFI[[#This Row],[Jerry Can]],Table_NFI[Jerry Can])</f>
        <v>0</v>
      </c>
      <c r="AO692" s="540" t="str">
        <f>IFERROR(VLOOKUP(Table_NFI[[#This Row],[Camp Name]],CL,2,0),"")</f>
        <v>MMR001CMP131</v>
      </c>
      <c r="AP692" s="535">
        <f ca="1">IF(Table_NFI[[#This Row],[Pcode]]="","",IF(OFFSET(CampList[Opening Date],MATCH(Table_NFI[[#This Row],[Pcode]],CampList[CP_Pcode],0)-1,0,1,1)&gt;=NFI_Monitor_Date,1,0))</f>
        <v>0</v>
      </c>
      <c r="AQ692" s="540" t="str">
        <f>IFERROR(VLOOKUP(Table_NFI[[#This Row],[Camp Name]],CL,3,0),"")</f>
        <v>Open</v>
      </c>
      <c r="AR692" s="352" t="str">
        <f ca="1">IF(Table_NFI[[#This Row],[Pcode]]="","",OFFSET(CampList[Priority],MATCH(Table_NFI[[#This Row],[Pcode]],CampList[CP_Pcode],0)-1,0,1,1))</f>
        <v>P1</v>
      </c>
      <c r="AS692" s="351">
        <f>IFERROR(Table_NFI[[#This Row],[Kitchen Set]]/VLOOKUP(Table_NFI[[#This Row],[Camp Name]],CL,4,0),"")</f>
        <v>0</v>
      </c>
      <c r="AT692" s="533"/>
      <c r="AU692" s="536"/>
    </row>
    <row r="693" spans="1:47" ht="14.45" customHeight="1" x14ac:dyDescent="0.25">
      <c r="A693" s="355">
        <f t="shared" si="10"/>
        <v>47.133333333333333</v>
      </c>
      <c r="B693" s="532">
        <v>41157</v>
      </c>
      <c r="C693" s="533" t="s">
        <v>453</v>
      </c>
      <c r="D693" s="534" t="s">
        <v>453</v>
      </c>
      <c r="E693" s="533" t="s">
        <v>380</v>
      </c>
      <c r="F693" s="348" t="s">
        <v>185</v>
      </c>
      <c r="G693" s="348" t="s">
        <v>225</v>
      </c>
      <c r="H693" s="349"/>
      <c r="I693" s="349"/>
      <c r="J693" s="349"/>
      <c r="K693" s="349">
        <v>26</v>
      </c>
      <c r="L693" s="350">
        <v>11</v>
      </c>
      <c r="M693" s="350">
        <v>26</v>
      </c>
      <c r="N693" s="350">
        <v>11</v>
      </c>
      <c r="O693" s="350">
        <v>11</v>
      </c>
      <c r="P693" s="352">
        <v>11</v>
      </c>
      <c r="Q693" s="352">
        <v>11</v>
      </c>
      <c r="R693" s="352"/>
      <c r="S693" s="352"/>
      <c r="T693" s="352"/>
      <c r="U693" s="352"/>
      <c r="V693" s="497"/>
      <c r="W693" s="352"/>
      <c r="X693" s="352"/>
      <c r="Y693" s="352">
        <f>IF(NFI_Expiration=1,IF($A693&lt;VLOOKUP(H$5,NFI,5,0),1,0)*Table_NFI[[#This Row],[Hygiene Kit]],Table_NFI[Hygiene Kit])</f>
        <v>0</v>
      </c>
      <c r="Z693" s="352">
        <f>IF(NFI_Expiration=1,IF($A693&lt;VLOOKUP(I$5,NFI,5,0),1,0)*Table_NFI[[#This Row],[NFI Core Kit]],Table_NFI[NFI Core Kit])</f>
        <v>0</v>
      </c>
      <c r="AA693" s="352">
        <f>IF(NFI_Expiration=1,IF($A693&lt;VLOOKUP(J$5,NFI,5,0),1,0)*Table_NFI[[#This Row],[Sanitary Kit]],Table_NFI[Sanitary Kit])</f>
        <v>0</v>
      </c>
      <c r="AB693" s="352">
        <f>IF(NFI_Expiration=1,IF($A693&lt;VLOOKUP(K$5,NFI,5,0),1,0)*Table_NFI[[#This Row],[Mosquito net]],Table_NFI[Mosquito net])</f>
        <v>0</v>
      </c>
      <c r="AC693" s="352">
        <f>IF(NFI_Expiration=1,IF($A693&lt;VLOOKUP(L$5,NFI,5,0),1,0)*Table_NFI[[#This Row],[Tarpaulin]],Table_NFI[[#This Row],[Tarpaulin]])</f>
        <v>0</v>
      </c>
      <c r="AD693" s="352">
        <f>IF(NFI_Expiration=1,IF($A693&lt;VLOOKUP(M$5,NFI,5,0),1,0)*Table_NFI[[#This Row],[Blanket]],Table_NFI[[#This Row],[Blanket]])</f>
        <v>0</v>
      </c>
      <c r="AE693" s="352">
        <f>IF(NFI_Expiration=1,IF($A693&lt;VLOOKUP(N$5,NFI,5,0),1,0)*Table_NFI[[#This Row],[Kitchen Set]],Table_NFI[Kitchen Set])</f>
        <v>0</v>
      </c>
      <c r="AF693" s="352">
        <f>IF(NFI_Expiration=1,IF($A693&lt;VLOOKUP(O$5,NFI,5,0),1,0)*Table_NFI[[#This Row],[Clothes Kit]],Table_NFI[Clothes Kit])</f>
        <v>0</v>
      </c>
      <c r="AG693" s="352">
        <f>IF(NFI_Expiration=1,IF($A693&lt;VLOOKUP(P$5,NFI,5,0),1,0)*Table_NFI[[#This Row],[Plastic Bucket]],Table_NFI[Plastic Bucket])</f>
        <v>0</v>
      </c>
      <c r="AH693" s="352">
        <f>IF(NFI_Expiration=1,IF($A693&lt;VLOOKUP(Q$5,NFI,5,0),1,0)*Table_NFI[[#This Row],[Plastic Mat]],Table_NFI[Plastic Mat])*IF(Table_NFI[[#This Row],[Distribution Date]]&gt;"2014-04-01",1,2.5)</f>
        <v>0</v>
      </c>
      <c r="AI693" s="352">
        <f>IF(NFI_Expiration=1,IF($A693&lt;VLOOKUP(R$5,NFI,5,0),1,0)*Table_NFI[[#This Row],[Winter Clothes Adult]],Table_NFI[Winter Clothes Adult])</f>
        <v>0</v>
      </c>
      <c r="AJ693" s="352">
        <f>IF(NFI_Expiration=1,IF($A693&lt;VLOOKUP(S$5,NFI,5,0),1,0)*Table_NFI[[#This Row],[Winter Clothes Children]],Table_NFI[Winter Clothes Children])</f>
        <v>0</v>
      </c>
      <c r="AK693" s="352">
        <f>IF(NFI_Expiration=1,IF($A693&lt;VLOOKUP(T$5,NFI,5,0),1,0)*Table_NFI[[#This Row],[Winter Items Other]],Table_NFI[Winter Items Other])</f>
        <v>0</v>
      </c>
      <c r="AL693" s="352">
        <f>IF(NFI_Expiration=1,IF($A693&lt;VLOOKUP(M$5,NFI,5,0),1,0)*Table_NFI[[#This Row],[Winter Blanket]],Table_NFI[[#This Row],[Winter Blanket]])</f>
        <v>0</v>
      </c>
      <c r="AM693" s="352">
        <f>IF(Table_NFI[[#This Row],[Winter Clothes Adult]]+Table_NFI[[#This Row],[Winter Clothes Children]]+Table_NFI[[#This Row],[Winter Items Other]]+Table_NFI[[#This Row],[Winter Blanket]]&gt;0,1,0)</f>
        <v>0</v>
      </c>
      <c r="AN693" s="392">
        <f>IF(NFI_Expiration=1,IF($A693&lt;VLOOKUP(V$5,NFI,5,0),1,0)*Table_NFI[[#This Row],[Jerry Can]],Table_NFI[Jerry Can])</f>
        <v>0</v>
      </c>
      <c r="AO693" s="540" t="str">
        <f>IFERROR(VLOOKUP(Table_NFI[[#This Row],[Camp Name]],CL,2,0),"")</f>
        <v>MMR001CMP073</v>
      </c>
      <c r="AP693" s="535">
        <f ca="1">IF(Table_NFI[[#This Row],[Pcode]]="","",IF(OFFSET(CampList[Opening Date],MATCH(Table_NFI[[#This Row],[Pcode]],CampList[CP_Pcode],0)-1,0,1,1)&gt;=NFI_Monitor_Date,1,0))</f>
        <v>0</v>
      </c>
      <c r="AQ693" s="540" t="str">
        <f>IFERROR(VLOOKUP(Table_NFI[[#This Row],[Camp Name]],CL,3,0),"")</f>
        <v>Open</v>
      </c>
      <c r="AR693" s="352" t="str">
        <f ca="1">IF(Table_NFI[[#This Row],[Pcode]]="","",OFFSET(CampList[Priority],MATCH(Table_NFI[[#This Row],[Pcode]],CampList[CP_Pcode],0)-1,0,1,1))</f>
        <v>P3</v>
      </c>
      <c r="AS693" s="351">
        <f>IFERROR(Table_NFI[[#This Row],[Kitchen Set]]/VLOOKUP(Table_NFI[[#This Row],[Camp Name]],CL,4,0),"")</f>
        <v>0.28205128205128205</v>
      </c>
      <c r="AT693" s="533" t="s">
        <v>1094</v>
      </c>
      <c r="AU693" s="536"/>
    </row>
    <row r="694" spans="1:47" ht="14.45" customHeight="1" x14ac:dyDescent="0.25">
      <c r="A694" s="355">
        <f t="shared" si="10"/>
        <v>47.366666666666667</v>
      </c>
      <c r="B694" s="532">
        <v>41150</v>
      </c>
      <c r="C694" s="533" t="s">
        <v>453</v>
      </c>
      <c r="D694" s="534" t="s">
        <v>453</v>
      </c>
      <c r="E694" s="533" t="s">
        <v>380</v>
      </c>
      <c r="F694" s="348" t="s">
        <v>185</v>
      </c>
      <c r="G694" s="348" t="s">
        <v>229</v>
      </c>
      <c r="H694" s="349"/>
      <c r="I694" s="349"/>
      <c r="J694" s="349"/>
      <c r="K694" s="349">
        <v>112</v>
      </c>
      <c r="L694" s="350">
        <v>41</v>
      </c>
      <c r="M694" s="350">
        <v>112</v>
      </c>
      <c r="N694" s="350">
        <v>41</v>
      </c>
      <c r="O694" s="350">
        <v>41</v>
      </c>
      <c r="P694" s="352">
        <v>41</v>
      </c>
      <c r="Q694" s="352">
        <v>41</v>
      </c>
      <c r="R694" s="352"/>
      <c r="S694" s="352"/>
      <c r="T694" s="352"/>
      <c r="U694" s="352"/>
      <c r="V694" s="497"/>
      <c r="W694" s="352"/>
      <c r="X694" s="352"/>
      <c r="Y694" s="352">
        <f>IF(NFI_Expiration=1,IF($A694&lt;VLOOKUP(H$5,NFI,5,0),1,0)*Table_NFI[[#This Row],[Hygiene Kit]],Table_NFI[Hygiene Kit])</f>
        <v>0</v>
      </c>
      <c r="Z694" s="352">
        <f>IF(NFI_Expiration=1,IF($A694&lt;VLOOKUP(I$5,NFI,5,0),1,0)*Table_NFI[[#This Row],[NFI Core Kit]],Table_NFI[NFI Core Kit])</f>
        <v>0</v>
      </c>
      <c r="AA694" s="352">
        <f>IF(NFI_Expiration=1,IF($A694&lt;VLOOKUP(J$5,NFI,5,0),1,0)*Table_NFI[[#This Row],[Sanitary Kit]],Table_NFI[Sanitary Kit])</f>
        <v>0</v>
      </c>
      <c r="AB694" s="352">
        <f>IF(NFI_Expiration=1,IF($A694&lt;VLOOKUP(K$5,NFI,5,0),1,0)*Table_NFI[[#This Row],[Mosquito net]],Table_NFI[Mosquito net])</f>
        <v>0</v>
      </c>
      <c r="AC694" s="352">
        <f>IF(NFI_Expiration=1,IF($A694&lt;VLOOKUP(L$5,NFI,5,0),1,0)*Table_NFI[[#This Row],[Tarpaulin]],Table_NFI[[#This Row],[Tarpaulin]])</f>
        <v>0</v>
      </c>
      <c r="AD694" s="352">
        <f>IF(NFI_Expiration=1,IF($A694&lt;VLOOKUP(M$5,NFI,5,0),1,0)*Table_NFI[[#This Row],[Blanket]],Table_NFI[[#This Row],[Blanket]])</f>
        <v>0</v>
      </c>
      <c r="AE694" s="352">
        <f>IF(NFI_Expiration=1,IF($A694&lt;VLOOKUP(N$5,NFI,5,0),1,0)*Table_NFI[[#This Row],[Kitchen Set]],Table_NFI[Kitchen Set])</f>
        <v>0</v>
      </c>
      <c r="AF694" s="352">
        <f>IF(NFI_Expiration=1,IF($A694&lt;VLOOKUP(O$5,NFI,5,0),1,0)*Table_NFI[[#This Row],[Clothes Kit]],Table_NFI[Clothes Kit])</f>
        <v>0</v>
      </c>
      <c r="AG694" s="352">
        <f>IF(NFI_Expiration=1,IF($A694&lt;VLOOKUP(P$5,NFI,5,0),1,0)*Table_NFI[[#This Row],[Plastic Bucket]],Table_NFI[Plastic Bucket])</f>
        <v>0</v>
      </c>
      <c r="AH694" s="352">
        <f>IF(NFI_Expiration=1,IF($A694&lt;VLOOKUP(Q$5,NFI,5,0),1,0)*Table_NFI[[#This Row],[Plastic Mat]],Table_NFI[Plastic Mat])*IF(Table_NFI[[#This Row],[Distribution Date]]&gt;"2014-04-01",1,2.5)</f>
        <v>0</v>
      </c>
      <c r="AI694" s="352">
        <f>IF(NFI_Expiration=1,IF($A694&lt;VLOOKUP(R$5,NFI,5,0),1,0)*Table_NFI[[#This Row],[Winter Clothes Adult]],Table_NFI[Winter Clothes Adult])</f>
        <v>0</v>
      </c>
      <c r="AJ694" s="352">
        <f>IF(NFI_Expiration=1,IF($A694&lt;VLOOKUP(S$5,NFI,5,0),1,0)*Table_NFI[[#This Row],[Winter Clothes Children]],Table_NFI[Winter Clothes Children])</f>
        <v>0</v>
      </c>
      <c r="AK694" s="352">
        <f>IF(NFI_Expiration=1,IF($A694&lt;VLOOKUP(T$5,NFI,5,0),1,0)*Table_NFI[[#This Row],[Winter Items Other]],Table_NFI[Winter Items Other])</f>
        <v>0</v>
      </c>
      <c r="AL694" s="352">
        <f>IF(NFI_Expiration=1,IF($A694&lt;VLOOKUP(M$5,NFI,5,0),1,0)*Table_NFI[[#This Row],[Winter Blanket]],Table_NFI[[#This Row],[Winter Blanket]])</f>
        <v>0</v>
      </c>
      <c r="AM694" s="352">
        <f>IF(Table_NFI[[#This Row],[Winter Clothes Adult]]+Table_NFI[[#This Row],[Winter Clothes Children]]+Table_NFI[[#This Row],[Winter Items Other]]+Table_NFI[[#This Row],[Winter Blanket]]&gt;0,1,0)</f>
        <v>0</v>
      </c>
      <c r="AN694" s="392">
        <f>IF(NFI_Expiration=1,IF($A694&lt;VLOOKUP(V$5,NFI,5,0),1,0)*Table_NFI[[#This Row],[Jerry Can]],Table_NFI[Jerry Can])</f>
        <v>0</v>
      </c>
      <c r="AO694" s="540" t="str">
        <f>IFERROR(VLOOKUP(Table_NFI[[#This Row],[Camp Name]],CL,2,0),"")</f>
        <v>MMR001CMP072</v>
      </c>
      <c r="AP694" s="535">
        <f ca="1">IF(Table_NFI[[#This Row],[Pcode]]="","",IF(OFFSET(CampList[Opening Date],MATCH(Table_NFI[[#This Row],[Pcode]],CampList[CP_Pcode],0)-1,0,1,1)&gt;=NFI_Monitor_Date,1,0))</f>
        <v>0</v>
      </c>
      <c r="AQ694" s="540" t="str">
        <f>IFERROR(VLOOKUP(Table_NFI[[#This Row],[Camp Name]],CL,3,0),"")</f>
        <v>Open</v>
      </c>
      <c r="AR694" s="352" t="str">
        <f ca="1">IF(Table_NFI[[#This Row],[Pcode]]="","",OFFSET(CampList[Priority],MATCH(Table_NFI[[#This Row],[Pcode]],CampList[CP_Pcode],0)-1,0,1,1))</f>
        <v>P3</v>
      </c>
      <c r="AS694" s="351">
        <f>IFERROR(Table_NFI[[#This Row],[Kitchen Set]]/VLOOKUP(Table_NFI[[#This Row],[Camp Name]],CL,4,0),"")</f>
        <v>0.82</v>
      </c>
      <c r="AT694" s="533" t="s">
        <v>1094</v>
      </c>
      <c r="AU694" s="536"/>
    </row>
    <row r="695" spans="1:47" ht="14.45" customHeight="1" x14ac:dyDescent="0.25">
      <c r="A695" s="355">
        <f t="shared" si="10"/>
        <v>47.43333333333333</v>
      </c>
      <c r="B695" s="532">
        <v>41148</v>
      </c>
      <c r="C695" s="533" t="s">
        <v>453</v>
      </c>
      <c r="D695" s="534" t="s">
        <v>453</v>
      </c>
      <c r="E695" s="533" t="s">
        <v>380</v>
      </c>
      <c r="F695" s="348" t="s">
        <v>237</v>
      </c>
      <c r="G695" s="348" t="s">
        <v>253</v>
      </c>
      <c r="H695" s="349"/>
      <c r="I695" s="349"/>
      <c r="J695" s="349"/>
      <c r="K695" s="349">
        <v>7</v>
      </c>
      <c r="L695" s="350">
        <v>4</v>
      </c>
      <c r="M695" s="350">
        <v>7</v>
      </c>
      <c r="N695" s="350">
        <v>3</v>
      </c>
      <c r="O695" s="350">
        <v>3</v>
      </c>
      <c r="P695" s="352">
        <v>3</v>
      </c>
      <c r="Q695" s="352">
        <v>3</v>
      </c>
      <c r="R695" s="352"/>
      <c r="S695" s="352"/>
      <c r="T695" s="352"/>
      <c r="U695" s="352"/>
      <c r="V695" s="497"/>
      <c r="W695" s="352"/>
      <c r="X695" s="352"/>
      <c r="Y695" s="352">
        <f>IF(NFI_Expiration=1,IF($A695&lt;VLOOKUP(H$5,NFI,5,0),1,0)*Table_NFI[[#This Row],[Hygiene Kit]],Table_NFI[Hygiene Kit])</f>
        <v>0</v>
      </c>
      <c r="Z695" s="352">
        <f>IF(NFI_Expiration=1,IF($A695&lt;VLOOKUP(I$5,NFI,5,0),1,0)*Table_NFI[[#This Row],[NFI Core Kit]],Table_NFI[NFI Core Kit])</f>
        <v>0</v>
      </c>
      <c r="AA695" s="352">
        <f>IF(NFI_Expiration=1,IF($A695&lt;VLOOKUP(J$5,NFI,5,0),1,0)*Table_NFI[[#This Row],[Sanitary Kit]],Table_NFI[Sanitary Kit])</f>
        <v>0</v>
      </c>
      <c r="AB695" s="352">
        <f>IF(NFI_Expiration=1,IF($A695&lt;VLOOKUP(K$5,NFI,5,0),1,0)*Table_NFI[[#This Row],[Mosquito net]],Table_NFI[Mosquito net])</f>
        <v>0</v>
      </c>
      <c r="AC695" s="352">
        <f>IF(NFI_Expiration=1,IF($A695&lt;VLOOKUP(L$5,NFI,5,0),1,0)*Table_NFI[[#This Row],[Tarpaulin]],Table_NFI[[#This Row],[Tarpaulin]])</f>
        <v>0</v>
      </c>
      <c r="AD695" s="352">
        <f>IF(NFI_Expiration=1,IF($A695&lt;VLOOKUP(M$5,NFI,5,0),1,0)*Table_NFI[[#This Row],[Blanket]],Table_NFI[[#This Row],[Blanket]])</f>
        <v>0</v>
      </c>
      <c r="AE695" s="352">
        <f>IF(NFI_Expiration=1,IF($A695&lt;VLOOKUP(N$5,NFI,5,0),1,0)*Table_NFI[[#This Row],[Kitchen Set]],Table_NFI[Kitchen Set])</f>
        <v>0</v>
      </c>
      <c r="AF695" s="352">
        <f>IF(NFI_Expiration=1,IF($A695&lt;VLOOKUP(O$5,NFI,5,0),1,0)*Table_NFI[[#This Row],[Clothes Kit]],Table_NFI[Clothes Kit])</f>
        <v>0</v>
      </c>
      <c r="AG695" s="352">
        <f>IF(NFI_Expiration=1,IF($A695&lt;VLOOKUP(P$5,NFI,5,0),1,0)*Table_NFI[[#This Row],[Plastic Bucket]],Table_NFI[Plastic Bucket])</f>
        <v>0</v>
      </c>
      <c r="AH695" s="352">
        <f>IF(NFI_Expiration=1,IF($A695&lt;VLOOKUP(Q$5,NFI,5,0),1,0)*Table_NFI[[#This Row],[Plastic Mat]],Table_NFI[Plastic Mat])*IF(Table_NFI[[#This Row],[Distribution Date]]&gt;"2014-04-01",1,2.5)</f>
        <v>0</v>
      </c>
      <c r="AI695" s="352">
        <f>IF(NFI_Expiration=1,IF($A695&lt;VLOOKUP(R$5,NFI,5,0),1,0)*Table_NFI[[#This Row],[Winter Clothes Adult]],Table_NFI[Winter Clothes Adult])</f>
        <v>0</v>
      </c>
      <c r="AJ695" s="352">
        <f>IF(NFI_Expiration=1,IF($A695&lt;VLOOKUP(S$5,NFI,5,0),1,0)*Table_NFI[[#This Row],[Winter Clothes Children]],Table_NFI[Winter Clothes Children])</f>
        <v>0</v>
      </c>
      <c r="AK695" s="352">
        <f>IF(NFI_Expiration=1,IF($A695&lt;VLOOKUP(T$5,NFI,5,0),1,0)*Table_NFI[[#This Row],[Winter Items Other]],Table_NFI[Winter Items Other])</f>
        <v>0</v>
      </c>
      <c r="AL695" s="352">
        <f>IF(NFI_Expiration=1,IF($A695&lt;VLOOKUP(M$5,NFI,5,0),1,0)*Table_NFI[[#This Row],[Winter Blanket]],Table_NFI[[#This Row],[Winter Blanket]])</f>
        <v>0</v>
      </c>
      <c r="AM695" s="352">
        <f>IF(Table_NFI[[#This Row],[Winter Clothes Adult]]+Table_NFI[[#This Row],[Winter Clothes Children]]+Table_NFI[[#This Row],[Winter Items Other]]+Table_NFI[[#This Row],[Winter Blanket]]&gt;0,1,0)</f>
        <v>0</v>
      </c>
      <c r="AN695" s="392">
        <f>IF(NFI_Expiration=1,IF($A695&lt;VLOOKUP(V$5,NFI,5,0),1,0)*Table_NFI[[#This Row],[Jerry Can]],Table_NFI[Jerry Can])</f>
        <v>0</v>
      </c>
      <c r="AO695" s="540" t="str">
        <f>IFERROR(VLOOKUP(Table_NFI[[#This Row],[Camp Name]],CL,2,0),"")</f>
        <v>MMR001CMP018</v>
      </c>
      <c r="AP695" s="535">
        <f ca="1">IF(Table_NFI[[#This Row],[Pcode]]="","",IF(OFFSET(CampList[Opening Date],MATCH(Table_NFI[[#This Row],[Pcode]],CampList[CP_Pcode],0)-1,0,1,1)&gt;=NFI_Monitor_Date,1,0))</f>
        <v>0</v>
      </c>
      <c r="AQ695" s="540" t="str">
        <f>IFERROR(VLOOKUP(Table_NFI[[#This Row],[Camp Name]],CL,3,0),"")</f>
        <v>Open</v>
      </c>
      <c r="AR695" s="352" t="str">
        <f ca="1">IF(Table_NFI[[#This Row],[Pcode]]="","",OFFSET(CampList[Priority],MATCH(Table_NFI[[#This Row],[Pcode]],CampList[CP_Pcode],0)-1,0,1,1))</f>
        <v>P4</v>
      </c>
      <c r="AS695" s="351">
        <f>IFERROR(Table_NFI[[#This Row],[Kitchen Set]]/VLOOKUP(Table_NFI[[#This Row],[Camp Name]],CL,4,0),"")</f>
        <v>1.5151515151515152E-2</v>
      </c>
      <c r="AT695" s="533" t="s">
        <v>1094</v>
      </c>
      <c r="AU695" s="536"/>
    </row>
    <row r="696" spans="1:47" ht="14.45" customHeight="1" x14ac:dyDescent="0.25">
      <c r="A696" s="355">
        <f t="shared" si="10"/>
        <v>47.43333333333333</v>
      </c>
      <c r="B696" s="532">
        <v>41148</v>
      </c>
      <c r="C696" s="533" t="s">
        <v>453</v>
      </c>
      <c r="D696" s="533" t="s">
        <v>453</v>
      </c>
      <c r="E696" s="533" t="s">
        <v>380</v>
      </c>
      <c r="F696" s="348" t="s">
        <v>237</v>
      </c>
      <c r="G696" s="348" t="s">
        <v>259</v>
      </c>
      <c r="H696" s="349"/>
      <c r="I696" s="349"/>
      <c r="J696" s="349"/>
      <c r="K696" s="349">
        <v>2</v>
      </c>
      <c r="L696" s="350">
        <v>1</v>
      </c>
      <c r="M696" s="350">
        <v>2</v>
      </c>
      <c r="N696" s="350">
        <v>1</v>
      </c>
      <c r="O696" s="350">
        <v>1</v>
      </c>
      <c r="P696" s="352">
        <v>1</v>
      </c>
      <c r="Q696" s="352">
        <v>1</v>
      </c>
      <c r="R696" s="352"/>
      <c r="S696" s="352"/>
      <c r="T696" s="352"/>
      <c r="U696" s="352"/>
      <c r="V696" s="497"/>
      <c r="W696" s="352"/>
      <c r="X696" s="352"/>
      <c r="Y696" s="352">
        <f>IF(NFI_Expiration=1,IF($A696&lt;VLOOKUP(H$5,NFI,5,0),1,0)*Table_NFI[[#This Row],[Hygiene Kit]],Table_NFI[Hygiene Kit])</f>
        <v>0</v>
      </c>
      <c r="Z696" s="352">
        <f>IF(NFI_Expiration=1,IF($A696&lt;VLOOKUP(I$5,NFI,5,0),1,0)*Table_NFI[[#This Row],[NFI Core Kit]],Table_NFI[NFI Core Kit])</f>
        <v>0</v>
      </c>
      <c r="AA696" s="352">
        <f>IF(NFI_Expiration=1,IF($A696&lt;VLOOKUP(J$5,NFI,5,0),1,0)*Table_NFI[[#This Row],[Sanitary Kit]],Table_NFI[Sanitary Kit])</f>
        <v>0</v>
      </c>
      <c r="AB696" s="352">
        <f>IF(NFI_Expiration=1,IF($A696&lt;VLOOKUP(K$5,NFI,5,0),1,0)*Table_NFI[[#This Row],[Mosquito net]],Table_NFI[Mosquito net])</f>
        <v>0</v>
      </c>
      <c r="AC696" s="352">
        <f>IF(NFI_Expiration=1,IF($A696&lt;VLOOKUP(L$5,NFI,5,0),1,0)*Table_NFI[[#This Row],[Tarpaulin]],Table_NFI[[#This Row],[Tarpaulin]])</f>
        <v>0</v>
      </c>
      <c r="AD696" s="352">
        <f>IF(NFI_Expiration=1,IF($A696&lt;VLOOKUP(M$5,NFI,5,0),1,0)*Table_NFI[[#This Row],[Blanket]],Table_NFI[[#This Row],[Blanket]])</f>
        <v>0</v>
      </c>
      <c r="AE696" s="352">
        <f>IF(NFI_Expiration=1,IF($A696&lt;VLOOKUP(N$5,NFI,5,0),1,0)*Table_NFI[[#This Row],[Kitchen Set]],Table_NFI[Kitchen Set])</f>
        <v>0</v>
      </c>
      <c r="AF696" s="352">
        <f>IF(NFI_Expiration=1,IF($A696&lt;VLOOKUP(O$5,NFI,5,0),1,0)*Table_NFI[[#This Row],[Clothes Kit]],Table_NFI[Clothes Kit])</f>
        <v>0</v>
      </c>
      <c r="AG696" s="352">
        <f>IF(NFI_Expiration=1,IF($A696&lt;VLOOKUP(P$5,NFI,5,0),1,0)*Table_NFI[[#This Row],[Plastic Bucket]],Table_NFI[Plastic Bucket])</f>
        <v>0</v>
      </c>
      <c r="AH696" s="352">
        <f>IF(NFI_Expiration=1,IF($A696&lt;VLOOKUP(Q$5,NFI,5,0),1,0)*Table_NFI[[#This Row],[Plastic Mat]],Table_NFI[Plastic Mat])*IF(Table_NFI[[#This Row],[Distribution Date]]&gt;"2014-04-01",1,2.5)</f>
        <v>0</v>
      </c>
      <c r="AI696" s="352">
        <f>IF(NFI_Expiration=1,IF($A696&lt;VLOOKUP(R$5,NFI,5,0),1,0)*Table_NFI[[#This Row],[Winter Clothes Adult]],Table_NFI[Winter Clothes Adult])</f>
        <v>0</v>
      </c>
      <c r="AJ696" s="352">
        <f>IF(NFI_Expiration=1,IF($A696&lt;VLOOKUP(S$5,NFI,5,0),1,0)*Table_NFI[[#This Row],[Winter Clothes Children]],Table_NFI[Winter Clothes Children])</f>
        <v>0</v>
      </c>
      <c r="AK696" s="352">
        <f>IF(NFI_Expiration=1,IF($A696&lt;VLOOKUP(T$5,NFI,5,0),1,0)*Table_NFI[[#This Row],[Winter Items Other]],Table_NFI[Winter Items Other])</f>
        <v>0</v>
      </c>
      <c r="AL696" s="352">
        <f>IF(NFI_Expiration=1,IF($A696&lt;VLOOKUP(M$5,NFI,5,0),1,0)*Table_NFI[[#This Row],[Winter Blanket]],Table_NFI[[#This Row],[Winter Blanket]])</f>
        <v>0</v>
      </c>
      <c r="AM696" s="352">
        <f>IF(Table_NFI[[#This Row],[Winter Clothes Adult]]+Table_NFI[[#This Row],[Winter Clothes Children]]+Table_NFI[[#This Row],[Winter Items Other]]+Table_NFI[[#This Row],[Winter Blanket]]&gt;0,1,0)</f>
        <v>0</v>
      </c>
      <c r="AN696" s="392">
        <f>IF(NFI_Expiration=1,IF($A696&lt;VLOOKUP(V$5,NFI,5,0),1,0)*Table_NFI[[#This Row],[Jerry Can]],Table_NFI[Jerry Can])</f>
        <v>0</v>
      </c>
      <c r="AO696" s="540" t="str">
        <f>IFERROR(VLOOKUP(Table_NFI[[#This Row],[Camp Name]],CL,2,0),"")</f>
        <v>MMR001CMP016</v>
      </c>
      <c r="AP696" s="535">
        <f ca="1">IF(Table_NFI[[#This Row],[Pcode]]="","",IF(OFFSET(CampList[Opening Date],MATCH(Table_NFI[[#This Row],[Pcode]],CampList[CP_Pcode],0)-1,0,1,1)&gt;=NFI_Monitor_Date,1,0))</f>
        <v>0</v>
      </c>
      <c r="AQ696" s="540" t="str">
        <f>IFERROR(VLOOKUP(Table_NFI[[#This Row],[Camp Name]],CL,3,0),"")</f>
        <v>Open</v>
      </c>
      <c r="AR696" s="352" t="str">
        <f ca="1">IF(Table_NFI[[#This Row],[Pcode]]="","",OFFSET(CampList[Priority],MATCH(Table_NFI[[#This Row],[Pcode]],CampList[CP_Pcode],0)-1,0,1,1))</f>
        <v>P4</v>
      </c>
      <c r="AS696" s="351">
        <f>IFERROR(Table_NFI[[#This Row],[Kitchen Set]]/VLOOKUP(Table_NFI[[#This Row],[Camp Name]],CL,4,0),"")</f>
        <v>1.6666666666666666E-2</v>
      </c>
      <c r="AT696" s="533" t="s">
        <v>1094</v>
      </c>
      <c r="AU696" s="536"/>
    </row>
    <row r="697" spans="1:47" ht="14.45" customHeight="1" x14ac:dyDescent="0.25">
      <c r="A697" s="355">
        <f t="shared" si="10"/>
        <v>47.43333333333333</v>
      </c>
      <c r="B697" s="532">
        <v>41148</v>
      </c>
      <c r="C697" s="533" t="s">
        <v>453</v>
      </c>
      <c r="D697" s="534" t="s">
        <v>453</v>
      </c>
      <c r="E697" s="533" t="s">
        <v>380</v>
      </c>
      <c r="F697" s="348" t="s">
        <v>237</v>
      </c>
      <c r="G697" s="348" t="s">
        <v>263</v>
      </c>
      <c r="H697" s="349"/>
      <c r="I697" s="349"/>
      <c r="J697" s="349"/>
      <c r="K697" s="349">
        <v>2</v>
      </c>
      <c r="L697" s="350">
        <v>1</v>
      </c>
      <c r="M697" s="350">
        <v>2</v>
      </c>
      <c r="N697" s="350">
        <v>1</v>
      </c>
      <c r="O697" s="350">
        <v>1</v>
      </c>
      <c r="P697" s="352">
        <v>1</v>
      </c>
      <c r="Q697" s="352">
        <v>1</v>
      </c>
      <c r="R697" s="352"/>
      <c r="S697" s="352"/>
      <c r="T697" s="352"/>
      <c r="U697" s="352"/>
      <c r="V697" s="497"/>
      <c r="W697" s="352"/>
      <c r="X697" s="352"/>
      <c r="Y697" s="352">
        <f>IF(NFI_Expiration=1,IF($A697&lt;VLOOKUP(H$5,NFI,5,0),1,0)*Table_NFI[[#This Row],[Hygiene Kit]],Table_NFI[Hygiene Kit])</f>
        <v>0</v>
      </c>
      <c r="Z697" s="352">
        <f>IF(NFI_Expiration=1,IF($A697&lt;VLOOKUP(I$5,NFI,5,0),1,0)*Table_NFI[[#This Row],[NFI Core Kit]],Table_NFI[NFI Core Kit])</f>
        <v>0</v>
      </c>
      <c r="AA697" s="352">
        <f>IF(NFI_Expiration=1,IF($A697&lt;VLOOKUP(J$5,NFI,5,0),1,0)*Table_NFI[[#This Row],[Sanitary Kit]],Table_NFI[Sanitary Kit])</f>
        <v>0</v>
      </c>
      <c r="AB697" s="352">
        <f>IF(NFI_Expiration=1,IF($A697&lt;VLOOKUP(K$5,NFI,5,0),1,0)*Table_NFI[[#This Row],[Mosquito net]],Table_NFI[Mosquito net])</f>
        <v>0</v>
      </c>
      <c r="AC697" s="352">
        <f>IF(NFI_Expiration=1,IF($A697&lt;VLOOKUP(L$5,NFI,5,0),1,0)*Table_NFI[[#This Row],[Tarpaulin]],Table_NFI[[#This Row],[Tarpaulin]])</f>
        <v>0</v>
      </c>
      <c r="AD697" s="352">
        <f>IF(NFI_Expiration=1,IF($A697&lt;VLOOKUP(M$5,NFI,5,0),1,0)*Table_NFI[[#This Row],[Blanket]],Table_NFI[[#This Row],[Blanket]])</f>
        <v>0</v>
      </c>
      <c r="AE697" s="352">
        <f>IF(NFI_Expiration=1,IF($A697&lt;VLOOKUP(N$5,NFI,5,0),1,0)*Table_NFI[[#This Row],[Kitchen Set]],Table_NFI[Kitchen Set])</f>
        <v>0</v>
      </c>
      <c r="AF697" s="352">
        <f>IF(NFI_Expiration=1,IF($A697&lt;VLOOKUP(O$5,NFI,5,0),1,0)*Table_NFI[[#This Row],[Clothes Kit]],Table_NFI[Clothes Kit])</f>
        <v>0</v>
      </c>
      <c r="AG697" s="352">
        <f>IF(NFI_Expiration=1,IF($A697&lt;VLOOKUP(P$5,NFI,5,0),1,0)*Table_NFI[[#This Row],[Plastic Bucket]],Table_NFI[Plastic Bucket])</f>
        <v>0</v>
      </c>
      <c r="AH697" s="352">
        <f>IF(NFI_Expiration=1,IF($A697&lt;VLOOKUP(Q$5,NFI,5,0),1,0)*Table_NFI[[#This Row],[Plastic Mat]],Table_NFI[Plastic Mat])*IF(Table_NFI[[#This Row],[Distribution Date]]&gt;"2014-04-01",1,2.5)</f>
        <v>0</v>
      </c>
      <c r="AI697" s="352">
        <f>IF(NFI_Expiration=1,IF($A697&lt;VLOOKUP(R$5,NFI,5,0),1,0)*Table_NFI[[#This Row],[Winter Clothes Adult]],Table_NFI[Winter Clothes Adult])</f>
        <v>0</v>
      </c>
      <c r="AJ697" s="352">
        <f>IF(NFI_Expiration=1,IF($A697&lt;VLOOKUP(S$5,NFI,5,0),1,0)*Table_NFI[[#This Row],[Winter Clothes Children]],Table_NFI[Winter Clothes Children])</f>
        <v>0</v>
      </c>
      <c r="AK697" s="352">
        <f>IF(NFI_Expiration=1,IF($A697&lt;VLOOKUP(T$5,NFI,5,0),1,0)*Table_NFI[[#This Row],[Winter Items Other]],Table_NFI[Winter Items Other])</f>
        <v>0</v>
      </c>
      <c r="AL697" s="352">
        <f>IF(NFI_Expiration=1,IF($A697&lt;VLOOKUP(M$5,NFI,5,0),1,0)*Table_NFI[[#This Row],[Winter Blanket]],Table_NFI[[#This Row],[Winter Blanket]])</f>
        <v>0</v>
      </c>
      <c r="AM697" s="352">
        <f>IF(Table_NFI[[#This Row],[Winter Clothes Adult]]+Table_NFI[[#This Row],[Winter Clothes Children]]+Table_NFI[[#This Row],[Winter Items Other]]+Table_NFI[[#This Row],[Winter Blanket]]&gt;0,1,0)</f>
        <v>0</v>
      </c>
      <c r="AN697" s="392">
        <f>IF(NFI_Expiration=1,IF($A697&lt;VLOOKUP(V$5,NFI,5,0),1,0)*Table_NFI[[#This Row],[Jerry Can]],Table_NFI[Jerry Can])</f>
        <v>0</v>
      </c>
      <c r="AO697" s="540" t="str">
        <f>IFERROR(VLOOKUP(Table_NFI[[#This Row],[Camp Name]],CL,2,0),"")</f>
        <v>MMR001CMP020</v>
      </c>
      <c r="AP697" s="535">
        <f ca="1">IF(Table_NFI[[#This Row],[Pcode]]="","",IF(OFFSET(CampList[Opening Date],MATCH(Table_NFI[[#This Row],[Pcode]],CampList[CP_Pcode],0)-1,0,1,1)&gt;=NFI_Monitor_Date,1,0))</f>
        <v>0</v>
      </c>
      <c r="AQ697" s="540" t="str">
        <f>IFERROR(VLOOKUP(Table_NFI[[#This Row],[Camp Name]],CL,3,0),"")</f>
        <v>Open</v>
      </c>
      <c r="AR697" s="352" t="str">
        <f ca="1">IF(Table_NFI[[#This Row],[Pcode]]="","",OFFSET(CampList[Priority],MATCH(Table_NFI[[#This Row],[Pcode]],CampList[CP_Pcode],0)-1,0,1,1))</f>
        <v>P4</v>
      </c>
      <c r="AS697" s="351">
        <f>IFERROR(Table_NFI[[#This Row],[Kitchen Set]]/VLOOKUP(Table_NFI[[#This Row],[Camp Name]],CL,4,0),"")</f>
        <v>4.7619047619047616E-2</v>
      </c>
      <c r="AT697" s="533" t="s">
        <v>1094</v>
      </c>
      <c r="AU697" s="536"/>
    </row>
    <row r="698" spans="1:47" ht="14.45" customHeight="1" x14ac:dyDescent="0.25">
      <c r="A698" s="355">
        <f t="shared" si="10"/>
        <v>47.43333333333333</v>
      </c>
      <c r="B698" s="532">
        <v>41148</v>
      </c>
      <c r="C698" s="533" t="s">
        <v>453</v>
      </c>
      <c r="D698" s="534" t="s">
        <v>453</v>
      </c>
      <c r="E698" s="533" t="s">
        <v>380</v>
      </c>
      <c r="F698" s="348" t="s">
        <v>237</v>
      </c>
      <c r="G698" s="348" t="s">
        <v>265</v>
      </c>
      <c r="H698" s="349"/>
      <c r="I698" s="349"/>
      <c r="J698" s="349"/>
      <c r="K698" s="349">
        <v>10</v>
      </c>
      <c r="L698" s="350">
        <v>5</v>
      </c>
      <c r="M698" s="350">
        <v>10</v>
      </c>
      <c r="N698" s="350">
        <v>5</v>
      </c>
      <c r="O698" s="350">
        <v>5</v>
      </c>
      <c r="P698" s="352">
        <v>5</v>
      </c>
      <c r="Q698" s="352">
        <v>5</v>
      </c>
      <c r="R698" s="352"/>
      <c r="S698" s="352"/>
      <c r="T698" s="352"/>
      <c r="U698" s="352"/>
      <c r="V698" s="497"/>
      <c r="W698" s="352"/>
      <c r="X698" s="352"/>
      <c r="Y698" s="352">
        <f>IF(NFI_Expiration=1,IF($A698&lt;VLOOKUP(H$5,NFI,5,0),1,0)*Table_NFI[[#This Row],[Hygiene Kit]],Table_NFI[Hygiene Kit])</f>
        <v>0</v>
      </c>
      <c r="Z698" s="352">
        <f>IF(NFI_Expiration=1,IF($A698&lt;VLOOKUP(I$5,NFI,5,0),1,0)*Table_NFI[[#This Row],[NFI Core Kit]],Table_NFI[NFI Core Kit])</f>
        <v>0</v>
      </c>
      <c r="AA698" s="352">
        <f>IF(NFI_Expiration=1,IF($A698&lt;VLOOKUP(J$5,NFI,5,0),1,0)*Table_NFI[[#This Row],[Sanitary Kit]],Table_NFI[Sanitary Kit])</f>
        <v>0</v>
      </c>
      <c r="AB698" s="352">
        <f>IF(NFI_Expiration=1,IF($A698&lt;VLOOKUP(K$5,NFI,5,0),1,0)*Table_NFI[[#This Row],[Mosquito net]],Table_NFI[Mosquito net])</f>
        <v>0</v>
      </c>
      <c r="AC698" s="352">
        <f>IF(NFI_Expiration=1,IF($A698&lt;VLOOKUP(L$5,NFI,5,0),1,0)*Table_NFI[[#This Row],[Tarpaulin]],Table_NFI[[#This Row],[Tarpaulin]])</f>
        <v>0</v>
      </c>
      <c r="AD698" s="352">
        <f>IF(NFI_Expiration=1,IF($A698&lt;VLOOKUP(M$5,NFI,5,0),1,0)*Table_NFI[[#This Row],[Blanket]],Table_NFI[[#This Row],[Blanket]])</f>
        <v>0</v>
      </c>
      <c r="AE698" s="352">
        <f>IF(NFI_Expiration=1,IF($A698&lt;VLOOKUP(N$5,NFI,5,0),1,0)*Table_NFI[[#This Row],[Kitchen Set]],Table_NFI[Kitchen Set])</f>
        <v>0</v>
      </c>
      <c r="AF698" s="352">
        <f>IF(NFI_Expiration=1,IF($A698&lt;VLOOKUP(O$5,NFI,5,0),1,0)*Table_NFI[[#This Row],[Clothes Kit]],Table_NFI[Clothes Kit])</f>
        <v>0</v>
      </c>
      <c r="AG698" s="352">
        <f>IF(NFI_Expiration=1,IF($A698&lt;VLOOKUP(P$5,NFI,5,0),1,0)*Table_NFI[[#This Row],[Plastic Bucket]],Table_NFI[Plastic Bucket])</f>
        <v>0</v>
      </c>
      <c r="AH698" s="352">
        <f>IF(NFI_Expiration=1,IF($A698&lt;VLOOKUP(Q$5,NFI,5,0),1,0)*Table_NFI[[#This Row],[Plastic Mat]],Table_NFI[Plastic Mat])*IF(Table_NFI[[#This Row],[Distribution Date]]&gt;"2014-04-01",1,2.5)</f>
        <v>0</v>
      </c>
      <c r="AI698" s="352">
        <f>IF(NFI_Expiration=1,IF($A698&lt;VLOOKUP(R$5,NFI,5,0),1,0)*Table_NFI[[#This Row],[Winter Clothes Adult]],Table_NFI[Winter Clothes Adult])</f>
        <v>0</v>
      </c>
      <c r="AJ698" s="352">
        <f>IF(NFI_Expiration=1,IF($A698&lt;VLOOKUP(S$5,NFI,5,0),1,0)*Table_NFI[[#This Row],[Winter Clothes Children]],Table_NFI[Winter Clothes Children])</f>
        <v>0</v>
      </c>
      <c r="AK698" s="352">
        <f>IF(NFI_Expiration=1,IF($A698&lt;VLOOKUP(T$5,NFI,5,0),1,0)*Table_NFI[[#This Row],[Winter Items Other]],Table_NFI[Winter Items Other])</f>
        <v>0</v>
      </c>
      <c r="AL698" s="352">
        <f>IF(NFI_Expiration=1,IF($A698&lt;VLOOKUP(M$5,NFI,5,0),1,0)*Table_NFI[[#This Row],[Winter Blanket]],Table_NFI[[#This Row],[Winter Blanket]])</f>
        <v>0</v>
      </c>
      <c r="AM698" s="352">
        <f>IF(Table_NFI[[#This Row],[Winter Clothes Adult]]+Table_NFI[[#This Row],[Winter Clothes Children]]+Table_NFI[[#This Row],[Winter Items Other]]+Table_NFI[[#This Row],[Winter Blanket]]&gt;0,1,0)</f>
        <v>0</v>
      </c>
      <c r="AN698" s="392">
        <f>IF(NFI_Expiration=1,IF($A698&lt;VLOOKUP(V$5,NFI,5,0),1,0)*Table_NFI[[#This Row],[Jerry Can]],Table_NFI[Jerry Can])</f>
        <v>0</v>
      </c>
      <c r="AO698" s="540" t="str">
        <f>IFERROR(VLOOKUP(Table_NFI[[#This Row],[Camp Name]],CL,2,0),"")</f>
        <v>MMR001CMP021</v>
      </c>
      <c r="AP698" s="535">
        <f ca="1">IF(Table_NFI[[#This Row],[Pcode]]="","",IF(OFFSET(CampList[Opening Date],MATCH(Table_NFI[[#This Row],[Pcode]],CampList[CP_Pcode],0)-1,0,1,1)&gt;=NFI_Monitor_Date,1,0))</f>
        <v>0</v>
      </c>
      <c r="AQ698" s="540" t="str">
        <f>IFERROR(VLOOKUP(Table_NFI[[#This Row],[Camp Name]],CL,3,0),"")</f>
        <v>Open</v>
      </c>
      <c r="AR698" s="352" t="str">
        <f ca="1">IF(Table_NFI[[#This Row],[Pcode]]="","",OFFSET(CampList[Priority],MATCH(Table_NFI[[#This Row],[Pcode]],CampList[CP_Pcode],0)-1,0,1,1))</f>
        <v>P4</v>
      </c>
      <c r="AS698" s="351">
        <f>IFERROR(Table_NFI[[#This Row],[Kitchen Set]]/VLOOKUP(Table_NFI[[#This Row],[Camp Name]],CL,4,0),"")</f>
        <v>0.35714285714285715</v>
      </c>
      <c r="AT698" s="533" t="s">
        <v>1094</v>
      </c>
      <c r="AU698" s="536"/>
    </row>
    <row r="699" spans="1:47" ht="14.45" customHeight="1" x14ac:dyDescent="0.25">
      <c r="A699" s="355">
        <f t="shared" si="10"/>
        <v>47.43333333333333</v>
      </c>
      <c r="B699" s="532">
        <v>41148</v>
      </c>
      <c r="C699" s="533" t="s">
        <v>453</v>
      </c>
      <c r="D699" s="534" t="s">
        <v>453</v>
      </c>
      <c r="E699" s="533" t="s">
        <v>380</v>
      </c>
      <c r="F699" s="348" t="s">
        <v>237</v>
      </c>
      <c r="G699" s="348" t="s">
        <v>283</v>
      </c>
      <c r="H699" s="349"/>
      <c r="I699" s="349"/>
      <c r="J699" s="349"/>
      <c r="K699" s="349">
        <v>10</v>
      </c>
      <c r="L699" s="350">
        <v>5</v>
      </c>
      <c r="M699" s="350">
        <v>10</v>
      </c>
      <c r="N699" s="350">
        <v>5</v>
      </c>
      <c r="O699" s="350">
        <v>5</v>
      </c>
      <c r="P699" s="352">
        <v>5</v>
      </c>
      <c r="Q699" s="352">
        <v>5</v>
      </c>
      <c r="R699" s="352"/>
      <c r="S699" s="352"/>
      <c r="T699" s="352"/>
      <c r="U699" s="352"/>
      <c r="V699" s="497"/>
      <c r="W699" s="352"/>
      <c r="X699" s="352"/>
      <c r="Y699" s="352">
        <f>IF(NFI_Expiration=1,IF($A699&lt;VLOOKUP(H$5,NFI,5,0),1,0)*Table_NFI[[#This Row],[Hygiene Kit]],Table_NFI[Hygiene Kit])</f>
        <v>0</v>
      </c>
      <c r="Z699" s="352">
        <f>IF(NFI_Expiration=1,IF($A699&lt;VLOOKUP(I$5,NFI,5,0),1,0)*Table_NFI[[#This Row],[NFI Core Kit]],Table_NFI[NFI Core Kit])</f>
        <v>0</v>
      </c>
      <c r="AA699" s="352">
        <f>IF(NFI_Expiration=1,IF($A699&lt;VLOOKUP(J$5,NFI,5,0),1,0)*Table_NFI[[#This Row],[Sanitary Kit]],Table_NFI[Sanitary Kit])</f>
        <v>0</v>
      </c>
      <c r="AB699" s="352">
        <f>IF(NFI_Expiration=1,IF($A699&lt;VLOOKUP(K$5,NFI,5,0),1,0)*Table_NFI[[#This Row],[Mosquito net]],Table_NFI[Mosquito net])</f>
        <v>0</v>
      </c>
      <c r="AC699" s="352">
        <f>IF(NFI_Expiration=1,IF($A699&lt;VLOOKUP(L$5,NFI,5,0),1,0)*Table_NFI[[#This Row],[Tarpaulin]],Table_NFI[[#This Row],[Tarpaulin]])</f>
        <v>0</v>
      </c>
      <c r="AD699" s="352">
        <f>IF(NFI_Expiration=1,IF($A699&lt;VLOOKUP(M$5,NFI,5,0),1,0)*Table_NFI[[#This Row],[Blanket]],Table_NFI[[#This Row],[Blanket]])</f>
        <v>0</v>
      </c>
      <c r="AE699" s="352">
        <f>IF(NFI_Expiration=1,IF($A699&lt;VLOOKUP(N$5,NFI,5,0),1,0)*Table_NFI[[#This Row],[Kitchen Set]],Table_NFI[Kitchen Set])</f>
        <v>0</v>
      </c>
      <c r="AF699" s="352">
        <f>IF(NFI_Expiration=1,IF($A699&lt;VLOOKUP(O$5,NFI,5,0),1,0)*Table_NFI[[#This Row],[Clothes Kit]],Table_NFI[Clothes Kit])</f>
        <v>0</v>
      </c>
      <c r="AG699" s="352">
        <f>IF(NFI_Expiration=1,IF($A699&lt;VLOOKUP(P$5,NFI,5,0),1,0)*Table_NFI[[#This Row],[Plastic Bucket]],Table_NFI[Plastic Bucket])</f>
        <v>0</v>
      </c>
      <c r="AH699" s="352">
        <f>IF(NFI_Expiration=1,IF($A699&lt;VLOOKUP(Q$5,NFI,5,0),1,0)*Table_NFI[[#This Row],[Plastic Mat]],Table_NFI[Plastic Mat])*IF(Table_NFI[[#This Row],[Distribution Date]]&gt;"2014-04-01",1,2.5)</f>
        <v>0</v>
      </c>
      <c r="AI699" s="352">
        <f>IF(NFI_Expiration=1,IF($A699&lt;VLOOKUP(R$5,NFI,5,0),1,0)*Table_NFI[[#This Row],[Winter Clothes Adult]],Table_NFI[Winter Clothes Adult])</f>
        <v>0</v>
      </c>
      <c r="AJ699" s="352">
        <f>IF(NFI_Expiration=1,IF($A699&lt;VLOOKUP(S$5,NFI,5,0),1,0)*Table_NFI[[#This Row],[Winter Clothes Children]],Table_NFI[Winter Clothes Children])</f>
        <v>0</v>
      </c>
      <c r="AK699" s="352">
        <f>IF(NFI_Expiration=1,IF($A699&lt;VLOOKUP(T$5,NFI,5,0),1,0)*Table_NFI[[#This Row],[Winter Items Other]],Table_NFI[Winter Items Other])</f>
        <v>0</v>
      </c>
      <c r="AL699" s="352">
        <f>IF(NFI_Expiration=1,IF($A699&lt;VLOOKUP(M$5,NFI,5,0),1,0)*Table_NFI[[#This Row],[Winter Blanket]],Table_NFI[[#This Row],[Winter Blanket]])</f>
        <v>0</v>
      </c>
      <c r="AM699" s="352">
        <f>IF(Table_NFI[[#This Row],[Winter Clothes Adult]]+Table_NFI[[#This Row],[Winter Clothes Children]]+Table_NFI[[#This Row],[Winter Items Other]]+Table_NFI[[#This Row],[Winter Blanket]]&gt;0,1,0)</f>
        <v>0</v>
      </c>
      <c r="AN699" s="392">
        <f>IF(NFI_Expiration=1,IF($A699&lt;VLOOKUP(V$5,NFI,5,0),1,0)*Table_NFI[[#This Row],[Jerry Can]],Table_NFI[Jerry Can])</f>
        <v>0</v>
      </c>
      <c r="AO699" s="540" t="str">
        <f>IFERROR(VLOOKUP(Table_NFI[[#This Row],[Camp Name]],CL,2,0),"")</f>
        <v>MMR001CMP022</v>
      </c>
      <c r="AP699" s="535">
        <f ca="1">IF(Table_NFI[[#This Row],[Pcode]]="","",IF(OFFSET(CampList[Opening Date],MATCH(Table_NFI[[#This Row],[Pcode]],CampList[CP_Pcode],0)-1,0,1,1)&gt;=NFI_Monitor_Date,1,0))</f>
        <v>0</v>
      </c>
      <c r="AQ699" s="540" t="str">
        <f>IFERROR(VLOOKUP(Table_NFI[[#This Row],[Camp Name]],CL,3,0),"")</f>
        <v>Open</v>
      </c>
      <c r="AR699" s="352" t="str">
        <f ca="1">IF(Table_NFI[[#This Row],[Pcode]]="","",OFFSET(CampList[Priority],MATCH(Table_NFI[[#This Row],[Pcode]],CampList[CP_Pcode],0)-1,0,1,1))</f>
        <v>P4</v>
      </c>
      <c r="AS699" s="351">
        <f>IFERROR(Table_NFI[[#This Row],[Kitchen Set]]/VLOOKUP(Table_NFI[[#This Row],[Camp Name]],CL,4,0),"")</f>
        <v>0.7142857142857143</v>
      </c>
      <c r="AT699" s="533" t="s">
        <v>1094</v>
      </c>
      <c r="AU699" s="536"/>
    </row>
    <row r="700" spans="1:47" ht="14.45" customHeight="1" x14ac:dyDescent="0.25">
      <c r="A700" s="355">
        <f t="shared" si="10"/>
        <v>47.9</v>
      </c>
      <c r="B700" s="532">
        <v>41134</v>
      </c>
      <c r="C700" s="533" t="s">
        <v>453</v>
      </c>
      <c r="D700" s="534" t="s">
        <v>574</v>
      </c>
      <c r="E700" s="533" t="s">
        <v>380</v>
      </c>
      <c r="F700" s="348" t="s">
        <v>5</v>
      </c>
      <c r="G700" s="348" t="s">
        <v>22</v>
      </c>
      <c r="H700" s="349"/>
      <c r="I700" s="349"/>
      <c r="J700" s="349"/>
      <c r="K700" s="349">
        <v>310</v>
      </c>
      <c r="L700" s="350">
        <v>151</v>
      </c>
      <c r="M700" s="350">
        <v>310</v>
      </c>
      <c r="N700" s="350">
        <v>151</v>
      </c>
      <c r="O700" s="350">
        <v>151</v>
      </c>
      <c r="P700" s="352">
        <v>151</v>
      </c>
      <c r="Q700" s="392">
        <v>151</v>
      </c>
      <c r="R700" s="392"/>
      <c r="S700" s="392"/>
      <c r="T700" s="392"/>
      <c r="U700" s="392"/>
      <c r="V700" s="497"/>
      <c r="W700" s="392"/>
      <c r="X700" s="392"/>
      <c r="Y700" s="352">
        <f>IF(NFI_Expiration=1,IF($A700&lt;VLOOKUP(H$5,NFI,5,0),1,0)*Table_NFI[[#This Row],[Hygiene Kit]],Table_NFI[Hygiene Kit])</f>
        <v>0</v>
      </c>
      <c r="Z700" s="352">
        <f>IF(NFI_Expiration=1,IF($A700&lt;VLOOKUP(I$5,NFI,5,0),1,0)*Table_NFI[[#This Row],[NFI Core Kit]],Table_NFI[NFI Core Kit])</f>
        <v>0</v>
      </c>
      <c r="AA700" s="352">
        <f>IF(NFI_Expiration=1,IF($A700&lt;VLOOKUP(J$5,NFI,5,0),1,0)*Table_NFI[[#This Row],[Sanitary Kit]],Table_NFI[Sanitary Kit])</f>
        <v>0</v>
      </c>
      <c r="AB700" s="352">
        <f>IF(NFI_Expiration=1,IF($A700&lt;VLOOKUP(K$5,NFI,5,0),1,0)*Table_NFI[[#This Row],[Mosquito net]],Table_NFI[Mosquito net])</f>
        <v>0</v>
      </c>
      <c r="AC700" s="352">
        <f>IF(NFI_Expiration=1,IF($A700&lt;VLOOKUP(L$5,NFI,5,0),1,0)*Table_NFI[[#This Row],[Tarpaulin]],Table_NFI[[#This Row],[Tarpaulin]])</f>
        <v>0</v>
      </c>
      <c r="AD700" s="352">
        <f>IF(NFI_Expiration=1,IF($A700&lt;VLOOKUP(M$5,NFI,5,0),1,0)*Table_NFI[[#This Row],[Blanket]],Table_NFI[[#This Row],[Blanket]])</f>
        <v>0</v>
      </c>
      <c r="AE700" s="352">
        <f>IF(NFI_Expiration=1,IF($A700&lt;VLOOKUP(N$5,NFI,5,0),1,0)*Table_NFI[[#This Row],[Kitchen Set]],Table_NFI[Kitchen Set])</f>
        <v>0</v>
      </c>
      <c r="AF700" s="352">
        <f>IF(NFI_Expiration=1,IF($A700&lt;VLOOKUP(O$5,NFI,5,0),1,0)*Table_NFI[[#This Row],[Clothes Kit]],Table_NFI[Clothes Kit])</f>
        <v>0</v>
      </c>
      <c r="AG700" s="352">
        <f>IF(NFI_Expiration=1,IF($A700&lt;VLOOKUP(P$5,NFI,5,0),1,0)*Table_NFI[[#This Row],[Plastic Bucket]],Table_NFI[Plastic Bucket])</f>
        <v>0</v>
      </c>
      <c r="AH700" s="352">
        <f>IF(NFI_Expiration=1,IF($A700&lt;VLOOKUP(Q$5,NFI,5,0),1,0)*Table_NFI[[#This Row],[Plastic Mat]],Table_NFI[Plastic Mat])*IF(Table_NFI[[#This Row],[Distribution Date]]&gt;"2014-04-01",1,2.5)</f>
        <v>0</v>
      </c>
      <c r="AI700" s="352">
        <f>IF(NFI_Expiration=1,IF($A700&lt;VLOOKUP(R$5,NFI,5,0),1,0)*Table_NFI[[#This Row],[Winter Clothes Adult]],Table_NFI[Winter Clothes Adult])</f>
        <v>0</v>
      </c>
      <c r="AJ700" s="352">
        <f>IF(NFI_Expiration=1,IF($A700&lt;VLOOKUP(S$5,NFI,5,0),1,0)*Table_NFI[[#This Row],[Winter Clothes Children]],Table_NFI[Winter Clothes Children])</f>
        <v>0</v>
      </c>
      <c r="AK700" s="352">
        <f>IF(NFI_Expiration=1,IF($A700&lt;VLOOKUP(T$5,NFI,5,0),1,0)*Table_NFI[[#This Row],[Winter Items Other]],Table_NFI[Winter Items Other])</f>
        <v>0</v>
      </c>
      <c r="AL700" s="352">
        <f>IF(NFI_Expiration=1,IF($A700&lt;VLOOKUP(M$5,NFI,5,0),1,0)*Table_NFI[[#This Row],[Winter Blanket]],Table_NFI[[#This Row],[Winter Blanket]])</f>
        <v>0</v>
      </c>
      <c r="AM700" s="352">
        <f>IF(Table_NFI[[#This Row],[Winter Clothes Adult]]+Table_NFI[[#This Row],[Winter Clothes Children]]+Table_NFI[[#This Row],[Winter Items Other]]+Table_NFI[[#This Row],[Winter Blanket]]&gt;0,1,0)</f>
        <v>0</v>
      </c>
      <c r="AN700" s="392">
        <f>IF(NFI_Expiration=1,IF($A700&lt;VLOOKUP(V$5,NFI,5,0),1,0)*Table_NFI[[#This Row],[Jerry Can]],Table_NFI[Jerry Can])</f>
        <v>0</v>
      </c>
      <c r="AO700" s="540" t="str">
        <f>IFERROR(VLOOKUP(Table_NFI[[#This Row],[Camp Name]],CL,2,0),"")</f>
        <v>MMR001CMP047</v>
      </c>
      <c r="AP700" s="535">
        <f ca="1">IF(Table_NFI[[#This Row],[Pcode]]="","",IF(OFFSET(CampList[Opening Date],MATCH(Table_NFI[[#This Row],[Pcode]],CampList[CP_Pcode],0)-1,0,1,1)&gt;=NFI_Monitor_Date,1,0))</f>
        <v>0</v>
      </c>
      <c r="AQ700" s="540" t="str">
        <f>IFERROR(VLOOKUP(Table_NFI[[#This Row],[Camp Name]],CL,3,0),"")</f>
        <v>Open</v>
      </c>
      <c r="AR700" s="352" t="str">
        <f ca="1">IF(Table_NFI[[#This Row],[Pcode]]="","",OFFSET(CampList[Priority],MATCH(Table_NFI[[#This Row],[Pcode]],CampList[CP_Pcode],0)-1,0,1,1))</f>
        <v>P4</v>
      </c>
      <c r="AS700" s="351">
        <f>IFERROR(Table_NFI[[#This Row],[Kitchen Set]]/VLOOKUP(Table_NFI[[#This Row],[Camp Name]],CL,4,0),"")</f>
        <v>0.24006359300476948</v>
      </c>
      <c r="AT700" s="533" t="s">
        <v>1094</v>
      </c>
      <c r="AU700" s="536"/>
    </row>
    <row r="701" spans="1:47" ht="14.45" hidden="1" customHeight="1" x14ac:dyDescent="0.25">
      <c r="A701" s="355">
        <f t="shared" si="10"/>
        <v>27.8</v>
      </c>
      <c r="B701" s="532">
        <v>41737</v>
      </c>
      <c r="C701" s="533" t="s">
        <v>1106</v>
      </c>
      <c r="D701" s="533" t="s">
        <v>902</v>
      </c>
      <c r="E701" s="533" t="s">
        <v>380</v>
      </c>
      <c r="F701" s="533" t="s">
        <v>185</v>
      </c>
      <c r="G701" s="533" t="s">
        <v>217</v>
      </c>
      <c r="H701" s="349"/>
      <c r="I701" s="349"/>
      <c r="J701" s="349"/>
      <c r="K701" s="349"/>
      <c r="L701" s="350"/>
      <c r="M701" s="350"/>
      <c r="N701" s="350"/>
      <c r="O701" s="350"/>
      <c r="P701" s="352"/>
      <c r="Q701" s="352"/>
      <c r="R701" s="352"/>
      <c r="S701" s="352"/>
      <c r="T701" s="352"/>
      <c r="U701" s="352">
        <v>46</v>
      </c>
      <c r="V701" s="497"/>
      <c r="W701" s="352"/>
      <c r="X701" s="352"/>
      <c r="Y701" s="352">
        <f>IF(NFI_Expiration=1,IF($A701&lt;VLOOKUP(H$5,NFI,5,0),1,0)*Table_NFI[[#This Row],[Hygiene Kit]],Table_NFI[Hygiene Kit])</f>
        <v>0</v>
      </c>
      <c r="Z701" s="352">
        <f>IF(NFI_Expiration=1,IF($A701&lt;VLOOKUP(I$5,NFI,5,0),1,0)*Table_NFI[[#This Row],[NFI Core Kit]],Table_NFI[NFI Core Kit])</f>
        <v>0</v>
      </c>
      <c r="AA701" s="352">
        <f>IF(NFI_Expiration=1,IF($A701&lt;VLOOKUP(J$5,NFI,5,0),1,0)*Table_NFI[[#This Row],[Sanitary Kit]],Table_NFI[Sanitary Kit])</f>
        <v>0</v>
      </c>
      <c r="AB701" s="352">
        <f>IF(NFI_Expiration=1,IF($A701&lt;VLOOKUP(K$5,NFI,5,0),1,0)*Table_NFI[[#This Row],[Mosquito net]],Table_NFI[Mosquito net])</f>
        <v>0</v>
      </c>
      <c r="AC701" s="352">
        <f>IF(NFI_Expiration=1,IF($A701&lt;VLOOKUP(L$5,NFI,5,0),1,0)*Table_NFI[[#This Row],[Tarpaulin]],Table_NFI[[#This Row],[Tarpaulin]])</f>
        <v>0</v>
      </c>
      <c r="AD701" s="352">
        <f>IF(NFI_Expiration=1,IF($A701&lt;VLOOKUP(M$5,NFI,5,0),1,0)*Table_NFI[[#This Row],[Blanket]],Table_NFI[[#This Row],[Blanket]])</f>
        <v>0</v>
      </c>
      <c r="AE701" s="352">
        <f>IF(NFI_Expiration=1,IF($A701&lt;VLOOKUP(N$5,NFI,5,0),1,0)*Table_NFI[[#This Row],[Kitchen Set]],Table_NFI[Kitchen Set])</f>
        <v>0</v>
      </c>
      <c r="AF701" s="352">
        <f>IF(NFI_Expiration=1,IF($A701&lt;VLOOKUP(O$5,NFI,5,0),1,0)*Table_NFI[[#This Row],[Clothes Kit]],Table_NFI[Clothes Kit])</f>
        <v>0</v>
      </c>
      <c r="AG701" s="352">
        <f>IF(NFI_Expiration=1,IF($A701&lt;VLOOKUP(P$5,NFI,5,0),1,0)*Table_NFI[[#This Row],[Plastic Bucket]],Table_NFI[Plastic Bucket])</f>
        <v>0</v>
      </c>
      <c r="AH701" s="352">
        <f>IF(NFI_Expiration=1,IF($A701&lt;VLOOKUP(Q$5,NFI,5,0),1,0)*Table_NFI[[#This Row],[Plastic Mat]],Table_NFI[Plastic Mat])*IF(Table_NFI[[#This Row],[Distribution Date]]&gt;"2014-04-01",1,2.5)</f>
        <v>0</v>
      </c>
      <c r="AI701" s="352">
        <f>IF(NFI_Expiration=1,IF($A701&lt;VLOOKUP(R$5,NFI,5,0),1,0)*Table_NFI[[#This Row],[Winter Clothes Adult]],Table_NFI[Winter Clothes Adult])</f>
        <v>0</v>
      </c>
      <c r="AJ701" s="352">
        <f>IF(NFI_Expiration=1,IF($A701&lt;VLOOKUP(S$5,NFI,5,0),1,0)*Table_NFI[[#This Row],[Winter Clothes Children]],Table_NFI[Winter Clothes Children])</f>
        <v>0</v>
      </c>
      <c r="AK701" s="352">
        <f>IF(NFI_Expiration=1,IF($A701&lt;VLOOKUP(T$5,NFI,5,0),1,0)*Table_NFI[[#This Row],[Winter Items Other]],Table_NFI[Winter Items Other])</f>
        <v>0</v>
      </c>
      <c r="AL701" s="352">
        <f>IF(NFI_Expiration=1,IF($A701&lt;VLOOKUP(M$5,NFI,5,0),1,0)*Table_NFI[[#This Row],[Winter Blanket]],Table_NFI[[#This Row],[Winter Blanket]])</f>
        <v>0</v>
      </c>
      <c r="AM701" s="352">
        <f>IF(Table_NFI[[#This Row],[Winter Clothes Adult]]+Table_NFI[[#This Row],[Winter Clothes Children]]+Table_NFI[[#This Row],[Winter Items Other]]+Table_NFI[[#This Row],[Winter Blanket]]&gt;0,1,0)</f>
        <v>1</v>
      </c>
      <c r="AN701" s="392">
        <f>IF(NFI_Expiration=1,IF($A701&lt;VLOOKUP(V$5,NFI,5,0),1,0)*Table_NFI[[#This Row],[Jerry Can]],Table_NFI[Jerry Can])</f>
        <v>0</v>
      </c>
      <c r="AO701" s="540" t="str">
        <f>IFERROR(VLOOKUP(Table_NFI[[#This Row],[Camp Name]],CL,2,0),"")</f>
        <v>MMR001CMP059</v>
      </c>
      <c r="AP701" s="535">
        <f ca="1">IF(Table_NFI[[#This Row],[Pcode]]="","",IF(OFFSET(CampList[Opening Date],MATCH(Table_NFI[[#This Row],[Pcode]],CampList[CP_Pcode],0)-1,0,1,1)&gt;=NFI_Monitor_Date,1,0))</f>
        <v>0</v>
      </c>
      <c r="AQ701" s="540" t="str">
        <f>IFERROR(VLOOKUP(Table_NFI[[#This Row],[Camp Name]],CL,3,0),"")</f>
        <v>Closed</v>
      </c>
      <c r="AR701" s="352" t="str">
        <f ca="1">IF(Table_NFI[[#This Row],[Pcode]]="","",OFFSET(CampList[Priority],MATCH(Table_NFI[[#This Row],[Pcode]],CampList[CP_Pcode],0)-1,0,1,1))</f>
        <v>P4</v>
      </c>
      <c r="AS701" s="351" t="str">
        <f>IFERROR(Table_NFI[[#This Row],[Kitchen Set]]/VLOOKUP(Table_NFI[[#This Row],[Camp Name]],CL,4,0),"")</f>
        <v/>
      </c>
      <c r="AT701" s="533"/>
      <c r="AU701" s="536"/>
    </row>
    <row r="702" spans="1:47" hidden="1" x14ac:dyDescent="0.2">
      <c r="A702" s="355">
        <f t="shared" si="10"/>
        <v>19.600000000000001</v>
      </c>
      <c r="B702" s="532">
        <v>41983</v>
      </c>
      <c r="C702" s="533" t="s">
        <v>907</v>
      </c>
      <c r="D702" s="533" t="s">
        <v>907</v>
      </c>
      <c r="E702" s="533" t="s">
        <v>380</v>
      </c>
      <c r="F702" s="533" t="s">
        <v>185</v>
      </c>
      <c r="G702" s="348" t="s">
        <v>217</v>
      </c>
      <c r="H702" s="349"/>
      <c r="I702" s="349"/>
      <c r="J702" s="677">
        <v>33</v>
      </c>
      <c r="K702" s="349"/>
      <c r="L702" s="350"/>
      <c r="M702" s="350"/>
      <c r="N702" s="350"/>
      <c r="O702" s="350"/>
      <c r="P702" s="352"/>
      <c r="Q702" s="392"/>
      <c r="R702" s="392"/>
      <c r="S702" s="392"/>
      <c r="T702" s="392"/>
      <c r="U702" s="392"/>
      <c r="V702" s="497"/>
      <c r="W702" s="392"/>
      <c r="X702" s="392"/>
      <c r="Y702" s="352">
        <f>IF(NFI_Expiration=1,IF($A702&lt;VLOOKUP(H$5,NFI,5,0),1,0)*Table_NFI[[#This Row],[Hygiene Kit]],Table_NFI[Hygiene Kit])</f>
        <v>0</v>
      </c>
      <c r="Z702" s="352">
        <f>IF(NFI_Expiration=1,IF($A702&lt;VLOOKUP(I$5,NFI,5,0),1,0)*Table_NFI[[#This Row],[NFI Core Kit]],Table_NFI[NFI Core Kit])</f>
        <v>0</v>
      </c>
      <c r="AA702" s="352">
        <f>IF(NFI_Expiration=1,IF($A702&lt;VLOOKUP(J$5,NFI,5,0),1,0)*Table_NFI[[#This Row],[Sanitary Kit]],Table_NFI[Sanitary Kit])</f>
        <v>0</v>
      </c>
      <c r="AB702" s="352">
        <f>IF(NFI_Expiration=1,IF($A702&lt;VLOOKUP(K$5,NFI,5,0),1,0)*Table_NFI[[#This Row],[Mosquito net]],Table_NFI[Mosquito net])</f>
        <v>0</v>
      </c>
      <c r="AC702" s="352">
        <f>IF(NFI_Expiration=1,IF($A702&lt;VLOOKUP(L$5,NFI,5,0),1,0)*Table_NFI[[#This Row],[Tarpaulin]],Table_NFI[[#This Row],[Tarpaulin]])</f>
        <v>0</v>
      </c>
      <c r="AD702" s="352">
        <f>IF(NFI_Expiration=1,IF($A702&lt;VLOOKUP(M$5,NFI,5,0),1,0)*Table_NFI[[#This Row],[Blanket]],Table_NFI[[#This Row],[Blanket]])</f>
        <v>0</v>
      </c>
      <c r="AE702" s="352">
        <f>IF(NFI_Expiration=1,IF($A702&lt;VLOOKUP(N$5,NFI,5,0),1,0)*Table_NFI[[#This Row],[Kitchen Set]],Table_NFI[Kitchen Set])</f>
        <v>0</v>
      </c>
      <c r="AF702" s="352">
        <f>IF(NFI_Expiration=1,IF($A702&lt;VLOOKUP(O$5,NFI,5,0),1,0)*Table_NFI[[#This Row],[Clothes Kit]],Table_NFI[Clothes Kit])</f>
        <v>0</v>
      </c>
      <c r="AG702" s="352">
        <f>IF(NFI_Expiration=1,IF($A702&lt;VLOOKUP(P$5,NFI,5,0),1,0)*Table_NFI[[#This Row],[Plastic Bucket]],Table_NFI[Plastic Bucket])</f>
        <v>0</v>
      </c>
      <c r="AH702" s="352">
        <f>IF(NFI_Expiration=1,IF($A702&lt;VLOOKUP(Q$5,NFI,5,0),1,0)*Table_NFI[[#This Row],[Plastic Mat]],Table_NFI[Plastic Mat])*IF(Table_NFI[[#This Row],[Distribution Date]]&gt;"2014-04-01",1,2.5)</f>
        <v>0</v>
      </c>
      <c r="AI702" s="352">
        <f>IF(NFI_Expiration=1,IF($A702&lt;VLOOKUP(R$5,NFI,5,0),1,0)*Table_NFI[[#This Row],[Winter Clothes Adult]],Table_NFI[Winter Clothes Adult])</f>
        <v>0</v>
      </c>
      <c r="AJ702" s="352">
        <f>IF(NFI_Expiration=1,IF($A702&lt;VLOOKUP(S$5,NFI,5,0),1,0)*Table_NFI[[#This Row],[Winter Clothes Children]],Table_NFI[Winter Clothes Children])</f>
        <v>0</v>
      </c>
      <c r="AK702" s="352">
        <f>IF(NFI_Expiration=1,IF($A702&lt;VLOOKUP(T$5,NFI,5,0),1,0)*Table_NFI[[#This Row],[Winter Items Other]],Table_NFI[Winter Items Other])</f>
        <v>0</v>
      </c>
      <c r="AL702" s="352">
        <f>IF(NFI_Expiration=1,IF($A702&lt;VLOOKUP(M$5,NFI,5,0),1,0)*Table_NFI[[#This Row],[Winter Blanket]],Table_NFI[[#This Row],[Winter Blanket]])</f>
        <v>0</v>
      </c>
      <c r="AM702" s="352">
        <f>IF(Table_NFI[[#This Row],[Winter Clothes Adult]]+Table_NFI[[#This Row],[Winter Clothes Children]]+Table_NFI[[#This Row],[Winter Items Other]]+Table_NFI[[#This Row],[Winter Blanket]]&gt;0,1,0)</f>
        <v>0</v>
      </c>
      <c r="AN702" s="392">
        <f>IF(NFI_Expiration=1,IF($A702&lt;VLOOKUP(V$5,NFI,5,0),1,0)*Table_NFI[[#This Row],[Jerry Can]],Table_NFI[Jerry Can])</f>
        <v>0</v>
      </c>
      <c r="AO702" s="540" t="str">
        <f>IFERROR(VLOOKUP(Table_NFI[[#This Row],[Camp Name]],CL,2,0),"")</f>
        <v>MMR001CMP059</v>
      </c>
      <c r="AP702" s="535">
        <f ca="1">IF(Table_NFI[[#This Row],[Pcode]]="","",IF(OFFSET(CampList[Opening Date],MATCH(Table_NFI[[#This Row],[Pcode]],CampList[CP_Pcode],0)-1,0,1,1)&gt;=NFI_Monitor_Date,1,0))</f>
        <v>0</v>
      </c>
      <c r="AQ702" s="540" t="str">
        <f>IFERROR(VLOOKUP(Table_NFI[[#This Row],[Camp Name]],CL,3,0),"")</f>
        <v>Closed</v>
      </c>
      <c r="AR702" s="352" t="str">
        <f ca="1">IF(Table_NFI[[#This Row],[Pcode]]="","",OFFSET(CampList[Priority],MATCH(Table_NFI[[#This Row],[Pcode]],CampList[CP_Pcode],0)-1,0,1,1))</f>
        <v>P4</v>
      </c>
      <c r="AS702" s="351" t="str">
        <f>IFERROR(Table_NFI[[#This Row],[Kitchen Set]]/VLOOKUP(Table_NFI[[#This Row],[Camp Name]],CL,4,0),"")</f>
        <v/>
      </c>
      <c r="AT702" s="533"/>
      <c r="AU702" s="536"/>
    </row>
    <row r="703" spans="1:47" hidden="1" x14ac:dyDescent="0.25">
      <c r="A703" s="355">
        <f t="shared" si="10"/>
        <v>16.100000000000001</v>
      </c>
      <c r="B703" s="532">
        <v>42088</v>
      </c>
      <c r="C703" s="533" t="s">
        <v>907</v>
      </c>
      <c r="D703" s="533" t="s">
        <v>907</v>
      </c>
      <c r="E703" s="533" t="s">
        <v>380</v>
      </c>
      <c r="F703" s="533" t="s">
        <v>185</v>
      </c>
      <c r="G703" s="348" t="s">
        <v>217</v>
      </c>
      <c r="H703" s="349"/>
      <c r="I703" s="349"/>
      <c r="J703" s="350"/>
      <c r="K703" s="349"/>
      <c r="L703" s="350"/>
      <c r="M703" s="350"/>
      <c r="N703" s="350"/>
      <c r="O703" s="350"/>
      <c r="P703" s="352"/>
      <c r="Q703" s="392"/>
      <c r="R703" s="392"/>
      <c r="S703" s="392"/>
      <c r="T703" s="392"/>
      <c r="U703" s="392"/>
      <c r="V703" s="497"/>
      <c r="W703" s="392">
        <v>1</v>
      </c>
      <c r="X703" s="392"/>
      <c r="Y703" s="352">
        <f>IF(NFI_Expiration=1,IF($A703&lt;VLOOKUP(H$5,NFI,5,0),1,0)*Table_NFI[[#This Row],[Hygiene Kit]],Table_NFI[Hygiene Kit])</f>
        <v>0</v>
      </c>
      <c r="Z703" s="352">
        <f>IF(NFI_Expiration=1,IF($A703&lt;VLOOKUP(I$5,NFI,5,0),1,0)*Table_NFI[[#This Row],[NFI Core Kit]],Table_NFI[NFI Core Kit])</f>
        <v>0</v>
      </c>
      <c r="AA703" s="352">
        <f>IF(NFI_Expiration=1,IF($A703&lt;VLOOKUP(J$5,NFI,5,0),1,0)*Table_NFI[[#This Row],[Sanitary Kit]],Table_NFI[Sanitary Kit])</f>
        <v>0</v>
      </c>
      <c r="AB703" s="352">
        <f>IF(NFI_Expiration=1,IF($A703&lt;VLOOKUP(K$5,NFI,5,0),1,0)*Table_NFI[[#This Row],[Mosquito net]],Table_NFI[Mosquito net])</f>
        <v>0</v>
      </c>
      <c r="AC703" s="352">
        <f>IF(NFI_Expiration=1,IF($A703&lt;VLOOKUP(L$5,NFI,5,0),1,0)*Table_NFI[[#This Row],[Tarpaulin]],Table_NFI[[#This Row],[Tarpaulin]])</f>
        <v>0</v>
      </c>
      <c r="AD703" s="352">
        <f>IF(NFI_Expiration=1,IF($A703&lt;VLOOKUP(M$5,NFI,5,0),1,0)*Table_NFI[[#This Row],[Blanket]],Table_NFI[[#This Row],[Blanket]])</f>
        <v>0</v>
      </c>
      <c r="AE703" s="352">
        <f>IF(NFI_Expiration=1,IF($A703&lt;VLOOKUP(N$5,NFI,5,0),1,0)*Table_NFI[[#This Row],[Kitchen Set]],Table_NFI[Kitchen Set])</f>
        <v>0</v>
      </c>
      <c r="AF703" s="352">
        <f>IF(NFI_Expiration=1,IF($A703&lt;VLOOKUP(O$5,NFI,5,0),1,0)*Table_NFI[[#This Row],[Clothes Kit]],Table_NFI[Clothes Kit])</f>
        <v>0</v>
      </c>
      <c r="AG703" s="352">
        <f>IF(NFI_Expiration=1,IF($A703&lt;VLOOKUP(P$5,NFI,5,0),1,0)*Table_NFI[[#This Row],[Plastic Bucket]],Table_NFI[Plastic Bucket])</f>
        <v>0</v>
      </c>
      <c r="AH703" s="352">
        <f>IF(NFI_Expiration=1,IF($A703&lt;VLOOKUP(Q$5,NFI,5,0),1,0)*Table_NFI[[#This Row],[Plastic Mat]],Table_NFI[Plastic Mat])*IF(Table_NFI[[#This Row],[Distribution Date]]&gt;"2014-04-01",1,2.5)</f>
        <v>0</v>
      </c>
      <c r="AI703" s="352">
        <f>IF(NFI_Expiration=1,IF($A703&lt;VLOOKUP(R$5,NFI,5,0),1,0)*Table_NFI[[#This Row],[Winter Clothes Adult]],Table_NFI[Winter Clothes Adult])</f>
        <v>0</v>
      </c>
      <c r="AJ703" s="352">
        <f>IF(NFI_Expiration=1,IF($A703&lt;VLOOKUP(S$5,NFI,5,0),1,0)*Table_NFI[[#This Row],[Winter Clothes Children]],Table_NFI[Winter Clothes Children])</f>
        <v>0</v>
      </c>
      <c r="AK703" s="352">
        <f>IF(NFI_Expiration=1,IF($A703&lt;VLOOKUP(T$5,NFI,5,0),1,0)*Table_NFI[[#This Row],[Winter Items Other]],Table_NFI[Winter Items Other])</f>
        <v>0</v>
      </c>
      <c r="AL703" s="352">
        <f>IF(NFI_Expiration=1,IF($A703&lt;VLOOKUP(M$5,NFI,5,0),1,0)*Table_NFI[[#This Row],[Winter Blanket]],Table_NFI[[#This Row],[Winter Blanket]])</f>
        <v>0</v>
      </c>
      <c r="AM703" s="352">
        <f>IF(Table_NFI[[#This Row],[Winter Clothes Adult]]+Table_NFI[[#This Row],[Winter Clothes Children]]+Table_NFI[[#This Row],[Winter Items Other]]+Table_NFI[[#This Row],[Winter Blanket]]&gt;0,1,0)</f>
        <v>0</v>
      </c>
      <c r="AN703" s="392">
        <f>IF(NFI_Expiration=1,IF($A703&lt;VLOOKUP(V$5,NFI,5,0),1,0)*Table_NFI[[#This Row],[Jerry Can]],Table_NFI[Jerry Can])</f>
        <v>0</v>
      </c>
      <c r="AO703" s="540" t="str">
        <f>IFERROR(VLOOKUP(Table_NFI[[#This Row],[Camp Name]],CL,2,0),"")</f>
        <v>MMR001CMP059</v>
      </c>
      <c r="AP703" s="535">
        <f ca="1">IF(Table_NFI[[#This Row],[Pcode]]="","",IF(OFFSET(CampList[Opening Date],MATCH(Table_NFI[[#This Row],[Pcode]],CampList[CP_Pcode],0)-1,0,1,1)&gt;=NFI_Monitor_Date,1,0))</f>
        <v>0</v>
      </c>
      <c r="AQ703" s="540" t="str">
        <f>IFERROR(VLOOKUP(Table_NFI[[#This Row],[Camp Name]],CL,3,0),"")</f>
        <v>Closed</v>
      </c>
      <c r="AR703" s="352" t="str">
        <f ca="1">IF(Table_NFI[[#This Row],[Pcode]]="","",OFFSET(CampList[Priority],MATCH(Table_NFI[[#This Row],[Pcode]],CampList[CP_Pcode],0)-1,0,1,1))</f>
        <v>P4</v>
      </c>
      <c r="AS703" s="351" t="str">
        <f>IFERROR(Table_NFI[[#This Row],[Kitchen Set]]/VLOOKUP(Table_NFI[[#This Row],[Camp Name]],CL,4,0),"")</f>
        <v/>
      </c>
      <c r="AT703" s="533"/>
      <c r="AU703" s="536"/>
    </row>
    <row r="704" spans="1:47" hidden="1" x14ac:dyDescent="0.25">
      <c r="A704" s="355">
        <f t="shared" si="10"/>
        <v>7.166666666666667</v>
      </c>
      <c r="B704" s="532">
        <v>42356</v>
      </c>
      <c r="C704" s="533" t="s">
        <v>907</v>
      </c>
      <c r="D704" s="533" t="s">
        <v>907</v>
      </c>
      <c r="E704" s="533" t="s">
        <v>380</v>
      </c>
      <c r="F704" s="533" t="s">
        <v>185</v>
      </c>
      <c r="G704" s="348" t="s">
        <v>217</v>
      </c>
      <c r="H704" s="349"/>
      <c r="I704" s="349"/>
      <c r="J704" s="350"/>
      <c r="K704" s="349"/>
      <c r="L704" s="350"/>
      <c r="M704" s="350"/>
      <c r="N704" s="350"/>
      <c r="O704" s="350"/>
      <c r="P704" s="352"/>
      <c r="Q704" s="392"/>
      <c r="R704" s="392"/>
      <c r="S704" s="392"/>
      <c r="T704" s="392"/>
      <c r="U704" s="392"/>
      <c r="V704" s="497"/>
      <c r="W704" s="392">
        <v>5</v>
      </c>
      <c r="X704" s="392"/>
      <c r="Y704" s="352">
        <f>IF(NFI_Expiration=1,IF($A704&lt;VLOOKUP(H$5,NFI,5,0),1,0)*Table_NFI[[#This Row],[Hygiene Kit]],Table_NFI[Hygiene Kit])</f>
        <v>0</v>
      </c>
      <c r="Z704" s="352">
        <f>IF(NFI_Expiration=1,IF($A704&lt;VLOOKUP(I$5,NFI,5,0),1,0)*Table_NFI[[#This Row],[NFI Core Kit]],Table_NFI[NFI Core Kit])</f>
        <v>0</v>
      </c>
      <c r="AA704" s="352">
        <f>IF(NFI_Expiration=1,IF($A704&lt;VLOOKUP(J$5,NFI,5,0),1,0)*Table_NFI[[#This Row],[Sanitary Kit]],Table_NFI[Sanitary Kit])</f>
        <v>0</v>
      </c>
      <c r="AB704" s="352">
        <f>IF(NFI_Expiration=1,IF($A704&lt;VLOOKUP(K$5,NFI,5,0),1,0)*Table_NFI[[#This Row],[Mosquito net]],Table_NFI[Mosquito net])</f>
        <v>0</v>
      </c>
      <c r="AC704" s="352">
        <f>IF(NFI_Expiration=1,IF($A704&lt;VLOOKUP(L$5,NFI,5,0),1,0)*Table_NFI[[#This Row],[Tarpaulin]],Table_NFI[[#This Row],[Tarpaulin]])</f>
        <v>0</v>
      </c>
      <c r="AD704" s="352">
        <f>IF(NFI_Expiration=1,IF($A704&lt;VLOOKUP(M$5,NFI,5,0),1,0)*Table_NFI[[#This Row],[Blanket]],Table_NFI[[#This Row],[Blanket]])</f>
        <v>0</v>
      </c>
      <c r="AE704" s="352">
        <f>IF(NFI_Expiration=1,IF($A704&lt;VLOOKUP(N$5,NFI,5,0),1,0)*Table_NFI[[#This Row],[Kitchen Set]],Table_NFI[Kitchen Set])</f>
        <v>0</v>
      </c>
      <c r="AF704" s="352">
        <f>IF(NFI_Expiration=1,IF($A704&lt;VLOOKUP(O$5,NFI,5,0),1,0)*Table_NFI[[#This Row],[Clothes Kit]],Table_NFI[Clothes Kit])</f>
        <v>0</v>
      </c>
      <c r="AG704" s="352">
        <f>IF(NFI_Expiration=1,IF($A704&lt;VLOOKUP(P$5,NFI,5,0),1,0)*Table_NFI[[#This Row],[Plastic Bucket]],Table_NFI[Plastic Bucket])</f>
        <v>0</v>
      </c>
      <c r="AH704" s="352">
        <f>IF(NFI_Expiration=1,IF($A704&lt;VLOOKUP(Q$5,NFI,5,0),1,0)*Table_NFI[[#This Row],[Plastic Mat]],Table_NFI[Plastic Mat])*IF(Table_NFI[[#This Row],[Distribution Date]]&gt;"2014-04-01",1,2.5)</f>
        <v>0</v>
      </c>
      <c r="AI704" s="352">
        <f>IF(NFI_Expiration=1,IF($A704&lt;VLOOKUP(R$5,NFI,5,0),1,0)*Table_NFI[[#This Row],[Winter Clothes Adult]],Table_NFI[Winter Clothes Adult])</f>
        <v>0</v>
      </c>
      <c r="AJ704" s="352">
        <f>IF(NFI_Expiration=1,IF($A704&lt;VLOOKUP(S$5,NFI,5,0),1,0)*Table_NFI[[#This Row],[Winter Clothes Children]],Table_NFI[Winter Clothes Children])</f>
        <v>0</v>
      </c>
      <c r="AK704" s="352">
        <f>IF(NFI_Expiration=1,IF($A704&lt;VLOOKUP(T$5,NFI,5,0),1,0)*Table_NFI[[#This Row],[Winter Items Other]],Table_NFI[Winter Items Other])</f>
        <v>0</v>
      </c>
      <c r="AL704" s="352">
        <f>IF(NFI_Expiration=1,IF($A704&lt;VLOOKUP(M$5,NFI,5,0),1,0)*Table_NFI[[#This Row],[Winter Blanket]],Table_NFI[[#This Row],[Winter Blanket]])</f>
        <v>0</v>
      </c>
      <c r="AM704" s="352">
        <f>IF(Table_NFI[[#This Row],[Winter Clothes Adult]]+Table_NFI[[#This Row],[Winter Clothes Children]]+Table_NFI[[#This Row],[Winter Items Other]]+Table_NFI[[#This Row],[Winter Blanket]]&gt;0,1,0)</f>
        <v>0</v>
      </c>
      <c r="AN704" s="392">
        <f>IF(NFI_Expiration=1,IF($A704&lt;VLOOKUP(V$5,NFI,5,0),1,0)*Table_NFI[[#This Row],[Jerry Can]],Table_NFI[Jerry Can])</f>
        <v>0</v>
      </c>
      <c r="AO704" s="540" t="str">
        <f>IFERROR(VLOOKUP(Table_NFI[[#This Row],[Camp Name]],CL,2,0),"")</f>
        <v>MMR001CMP059</v>
      </c>
      <c r="AP704" s="535">
        <f ca="1">IF(Table_NFI[[#This Row],[Pcode]]="","",IF(OFFSET(CampList[Opening Date],MATCH(Table_NFI[[#This Row],[Pcode]],CampList[CP_Pcode],0)-1,0,1,1)&gt;=NFI_Monitor_Date,1,0))</f>
        <v>0</v>
      </c>
      <c r="AQ704" s="540" t="str">
        <f>IFERROR(VLOOKUP(Table_NFI[[#This Row],[Camp Name]],CL,3,0),"")</f>
        <v>Closed</v>
      </c>
      <c r="AR704" s="352" t="str">
        <f ca="1">IF(Table_NFI[[#This Row],[Pcode]]="","",OFFSET(CampList[Priority],MATCH(Table_NFI[[#This Row],[Pcode]],CampList[CP_Pcode],0)-1,0,1,1))</f>
        <v>P4</v>
      </c>
      <c r="AS704" s="351" t="str">
        <f>IFERROR(Table_NFI[[#This Row],[Kitchen Set]]/VLOOKUP(Table_NFI[[#This Row],[Camp Name]],CL,4,0),"")</f>
        <v/>
      </c>
      <c r="AT704" s="533"/>
      <c r="AU704" s="536"/>
    </row>
    <row r="705" spans="1:47" hidden="1" x14ac:dyDescent="0.25">
      <c r="A705" s="355">
        <f t="shared" si="10"/>
        <v>4.7333333333333334</v>
      </c>
      <c r="B705" s="532">
        <v>42429</v>
      </c>
      <c r="C705" s="533" t="s">
        <v>907</v>
      </c>
      <c r="D705" s="533" t="s">
        <v>907</v>
      </c>
      <c r="E705" s="533" t="s">
        <v>380</v>
      </c>
      <c r="F705" s="533" t="s">
        <v>185</v>
      </c>
      <c r="G705" s="348" t="s">
        <v>217</v>
      </c>
      <c r="H705" s="349"/>
      <c r="I705" s="349"/>
      <c r="J705" s="350"/>
      <c r="K705" s="349"/>
      <c r="L705" s="350"/>
      <c r="M705" s="350"/>
      <c r="N705" s="350"/>
      <c r="O705" s="350"/>
      <c r="P705" s="352"/>
      <c r="Q705" s="392"/>
      <c r="R705" s="392"/>
      <c r="S705" s="392"/>
      <c r="T705" s="392"/>
      <c r="U705" s="392"/>
      <c r="V705" s="497"/>
      <c r="W705" s="392">
        <v>5</v>
      </c>
      <c r="X705" s="392"/>
      <c r="Y705" s="352">
        <f>IF(NFI_Expiration=1,IF($A705&lt;VLOOKUP(H$5,NFI,5,0),1,0)*Table_NFI[[#This Row],[Hygiene Kit]],Table_NFI[Hygiene Kit])</f>
        <v>0</v>
      </c>
      <c r="Z705" s="352">
        <f>IF(NFI_Expiration=1,IF($A705&lt;VLOOKUP(I$5,NFI,5,0),1,0)*Table_NFI[[#This Row],[NFI Core Kit]],Table_NFI[NFI Core Kit])</f>
        <v>0</v>
      </c>
      <c r="AA705" s="352">
        <f>IF(NFI_Expiration=1,IF($A705&lt;VLOOKUP(J$5,NFI,5,0),1,0)*Table_NFI[[#This Row],[Sanitary Kit]],Table_NFI[Sanitary Kit])</f>
        <v>0</v>
      </c>
      <c r="AB705" s="352">
        <f>IF(NFI_Expiration=1,IF($A705&lt;VLOOKUP(K$5,NFI,5,0),1,0)*Table_NFI[[#This Row],[Mosquito net]],Table_NFI[Mosquito net])</f>
        <v>0</v>
      </c>
      <c r="AC705" s="352">
        <f>IF(NFI_Expiration=1,IF($A705&lt;VLOOKUP(L$5,NFI,5,0),1,0)*Table_NFI[[#This Row],[Tarpaulin]],Table_NFI[[#This Row],[Tarpaulin]])</f>
        <v>0</v>
      </c>
      <c r="AD705" s="352">
        <f>IF(NFI_Expiration=1,IF($A705&lt;VLOOKUP(M$5,NFI,5,0),1,0)*Table_NFI[[#This Row],[Blanket]],Table_NFI[[#This Row],[Blanket]])</f>
        <v>0</v>
      </c>
      <c r="AE705" s="352">
        <f>IF(NFI_Expiration=1,IF($A705&lt;VLOOKUP(N$5,NFI,5,0),1,0)*Table_NFI[[#This Row],[Kitchen Set]],Table_NFI[Kitchen Set])</f>
        <v>0</v>
      </c>
      <c r="AF705" s="352">
        <f>IF(NFI_Expiration=1,IF($A705&lt;VLOOKUP(O$5,NFI,5,0),1,0)*Table_NFI[[#This Row],[Clothes Kit]],Table_NFI[Clothes Kit])</f>
        <v>0</v>
      </c>
      <c r="AG705" s="352">
        <f>IF(NFI_Expiration=1,IF($A705&lt;VLOOKUP(P$5,NFI,5,0),1,0)*Table_NFI[[#This Row],[Plastic Bucket]],Table_NFI[Plastic Bucket])</f>
        <v>0</v>
      </c>
      <c r="AH705" s="352">
        <f>IF(NFI_Expiration=1,IF($A705&lt;VLOOKUP(Q$5,NFI,5,0),1,0)*Table_NFI[[#This Row],[Plastic Mat]],Table_NFI[Plastic Mat])*IF(Table_NFI[[#This Row],[Distribution Date]]&gt;"2014-04-01",1,2.5)</f>
        <v>0</v>
      </c>
      <c r="AI705" s="352">
        <f>IF(NFI_Expiration=1,IF($A705&lt;VLOOKUP(R$5,NFI,5,0),1,0)*Table_NFI[[#This Row],[Winter Clothes Adult]],Table_NFI[Winter Clothes Adult])</f>
        <v>0</v>
      </c>
      <c r="AJ705" s="352">
        <f>IF(NFI_Expiration=1,IF($A705&lt;VLOOKUP(S$5,NFI,5,0),1,0)*Table_NFI[[#This Row],[Winter Clothes Children]],Table_NFI[Winter Clothes Children])</f>
        <v>0</v>
      </c>
      <c r="AK705" s="352">
        <f>IF(NFI_Expiration=1,IF($A705&lt;VLOOKUP(T$5,NFI,5,0),1,0)*Table_NFI[[#This Row],[Winter Items Other]],Table_NFI[Winter Items Other])</f>
        <v>0</v>
      </c>
      <c r="AL705" s="352">
        <f>IF(NFI_Expiration=1,IF($A705&lt;VLOOKUP(M$5,NFI,5,0),1,0)*Table_NFI[[#This Row],[Winter Blanket]],Table_NFI[[#This Row],[Winter Blanket]])</f>
        <v>0</v>
      </c>
      <c r="AM705" s="352">
        <f>IF(Table_NFI[[#This Row],[Winter Clothes Adult]]+Table_NFI[[#This Row],[Winter Clothes Children]]+Table_NFI[[#This Row],[Winter Items Other]]+Table_NFI[[#This Row],[Winter Blanket]]&gt;0,1,0)</f>
        <v>0</v>
      </c>
      <c r="AN705" s="392">
        <f>IF(NFI_Expiration=1,IF($A705&lt;VLOOKUP(V$5,NFI,5,0),1,0)*Table_NFI[[#This Row],[Jerry Can]],Table_NFI[Jerry Can])</f>
        <v>0</v>
      </c>
      <c r="AO705" s="540" t="str">
        <f>IFERROR(VLOOKUP(Table_NFI[[#This Row],[Camp Name]],CL,2,0),"")</f>
        <v>MMR001CMP059</v>
      </c>
      <c r="AP705" s="535">
        <f ca="1">IF(Table_NFI[[#This Row],[Pcode]]="","",IF(OFFSET(CampList[Opening Date],MATCH(Table_NFI[[#This Row],[Pcode]],CampList[CP_Pcode],0)-1,0,1,1)&gt;=NFI_Monitor_Date,1,0))</f>
        <v>0</v>
      </c>
      <c r="AQ705" s="540" t="str">
        <f>IFERROR(VLOOKUP(Table_NFI[[#This Row],[Camp Name]],CL,3,0),"")</f>
        <v>Closed</v>
      </c>
      <c r="AR705" s="352" t="str">
        <f ca="1">IF(Table_NFI[[#This Row],[Pcode]]="","",OFFSET(CampList[Priority],MATCH(Table_NFI[[#This Row],[Pcode]],CampList[CP_Pcode],0)-1,0,1,1))</f>
        <v>P4</v>
      </c>
      <c r="AS705" s="351" t="str">
        <f>IFERROR(Table_NFI[[#This Row],[Kitchen Set]]/VLOOKUP(Table_NFI[[#This Row],[Camp Name]],CL,4,0),"")</f>
        <v/>
      </c>
      <c r="AT705" s="533"/>
      <c r="AU705" s="536"/>
    </row>
    <row r="706" spans="1:47" hidden="1" x14ac:dyDescent="0.25">
      <c r="A706" s="355">
        <f t="shared" si="10"/>
        <v>2.7333333333333334</v>
      </c>
      <c r="B706" s="532">
        <v>42489</v>
      </c>
      <c r="C706" s="533" t="s">
        <v>907</v>
      </c>
      <c r="D706" s="533" t="s">
        <v>907</v>
      </c>
      <c r="E706" s="533" t="s">
        <v>380</v>
      </c>
      <c r="F706" s="533" t="s">
        <v>185</v>
      </c>
      <c r="G706" s="348" t="s">
        <v>217</v>
      </c>
      <c r="H706" s="349"/>
      <c r="I706" s="349"/>
      <c r="J706" s="350"/>
      <c r="K706" s="349"/>
      <c r="L706" s="350"/>
      <c r="M706" s="350"/>
      <c r="N706" s="350"/>
      <c r="O706" s="350"/>
      <c r="P706" s="352"/>
      <c r="Q706" s="392"/>
      <c r="R706" s="392"/>
      <c r="S706" s="392"/>
      <c r="T706" s="392"/>
      <c r="U706" s="392"/>
      <c r="V706" s="497"/>
      <c r="W706" s="392">
        <v>10</v>
      </c>
      <c r="X706" s="392"/>
      <c r="Y706" s="352">
        <f>IF(NFI_Expiration=1,IF($A706&lt;VLOOKUP(H$5,NFI,5,0),1,0)*Table_NFI[[#This Row],[Hygiene Kit]],Table_NFI[Hygiene Kit])</f>
        <v>0</v>
      </c>
      <c r="Z706" s="352">
        <f>IF(NFI_Expiration=1,IF($A706&lt;VLOOKUP(I$5,NFI,5,0),1,0)*Table_NFI[[#This Row],[NFI Core Kit]],Table_NFI[NFI Core Kit])</f>
        <v>0</v>
      </c>
      <c r="AA706" s="352">
        <f>IF(NFI_Expiration=1,IF($A706&lt;VLOOKUP(J$5,NFI,5,0),1,0)*Table_NFI[[#This Row],[Sanitary Kit]],Table_NFI[Sanitary Kit])</f>
        <v>0</v>
      </c>
      <c r="AB706" s="352">
        <f>IF(NFI_Expiration=1,IF($A706&lt;VLOOKUP(K$5,NFI,5,0),1,0)*Table_NFI[[#This Row],[Mosquito net]],Table_NFI[Mosquito net])</f>
        <v>0</v>
      </c>
      <c r="AC706" s="352">
        <f>IF(NFI_Expiration=1,IF($A706&lt;VLOOKUP(L$5,NFI,5,0),1,0)*Table_NFI[[#This Row],[Tarpaulin]],Table_NFI[[#This Row],[Tarpaulin]])</f>
        <v>0</v>
      </c>
      <c r="AD706" s="352">
        <f>IF(NFI_Expiration=1,IF($A706&lt;VLOOKUP(M$5,NFI,5,0),1,0)*Table_NFI[[#This Row],[Blanket]],Table_NFI[[#This Row],[Blanket]])</f>
        <v>0</v>
      </c>
      <c r="AE706" s="352">
        <f>IF(NFI_Expiration=1,IF($A706&lt;VLOOKUP(N$5,NFI,5,0),1,0)*Table_NFI[[#This Row],[Kitchen Set]],Table_NFI[Kitchen Set])</f>
        <v>0</v>
      </c>
      <c r="AF706" s="352">
        <f>IF(NFI_Expiration=1,IF($A706&lt;VLOOKUP(O$5,NFI,5,0),1,0)*Table_NFI[[#This Row],[Clothes Kit]],Table_NFI[Clothes Kit])</f>
        <v>0</v>
      </c>
      <c r="AG706" s="352">
        <f>IF(NFI_Expiration=1,IF($A706&lt;VLOOKUP(P$5,NFI,5,0),1,0)*Table_NFI[[#This Row],[Plastic Bucket]],Table_NFI[Plastic Bucket])</f>
        <v>0</v>
      </c>
      <c r="AH706" s="352">
        <f>IF(NFI_Expiration=1,IF($A706&lt;VLOOKUP(Q$5,NFI,5,0),1,0)*Table_NFI[[#This Row],[Plastic Mat]],Table_NFI[Plastic Mat])*IF(Table_NFI[[#This Row],[Distribution Date]]&gt;"2014-04-01",1,2.5)</f>
        <v>0</v>
      </c>
      <c r="AI706" s="352">
        <f>IF(NFI_Expiration=1,IF($A706&lt;VLOOKUP(R$5,NFI,5,0),1,0)*Table_NFI[[#This Row],[Winter Clothes Adult]],Table_NFI[Winter Clothes Adult])</f>
        <v>0</v>
      </c>
      <c r="AJ706" s="352">
        <f>IF(NFI_Expiration=1,IF($A706&lt;VLOOKUP(S$5,NFI,5,0),1,0)*Table_NFI[[#This Row],[Winter Clothes Children]],Table_NFI[Winter Clothes Children])</f>
        <v>0</v>
      </c>
      <c r="AK706" s="352">
        <f>IF(NFI_Expiration=1,IF($A706&lt;VLOOKUP(T$5,NFI,5,0),1,0)*Table_NFI[[#This Row],[Winter Items Other]],Table_NFI[Winter Items Other])</f>
        <v>0</v>
      </c>
      <c r="AL706" s="352">
        <f>IF(NFI_Expiration=1,IF($A706&lt;VLOOKUP(M$5,NFI,5,0),1,0)*Table_NFI[[#This Row],[Winter Blanket]],Table_NFI[[#This Row],[Winter Blanket]])</f>
        <v>0</v>
      </c>
      <c r="AM706" s="352">
        <f>IF(Table_NFI[[#This Row],[Winter Clothes Adult]]+Table_NFI[[#This Row],[Winter Clothes Children]]+Table_NFI[[#This Row],[Winter Items Other]]+Table_NFI[[#This Row],[Winter Blanket]]&gt;0,1,0)</f>
        <v>0</v>
      </c>
      <c r="AN706" s="392">
        <f>IF(NFI_Expiration=1,IF($A706&lt;VLOOKUP(V$5,NFI,5,0),1,0)*Table_NFI[[#This Row],[Jerry Can]],Table_NFI[Jerry Can])</f>
        <v>0</v>
      </c>
      <c r="AO706" s="540" t="str">
        <f>IFERROR(VLOOKUP(Table_NFI[[#This Row],[Camp Name]],CL,2,0),"")</f>
        <v>MMR001CMP059</v>
      </c>
      <c r="AP706" s="535">
        <f ca="1">IF(Table_NFI[[#This Row],[Pcode]]="","",IF(OFFSET(CampList[Opening Date],MATCH(Table_NFI[[#This Row],[Pcode]],CampList[CP_Pcode],0)-1,0,1,1)&gt;=NFI_Monitor_Date,1,0))</f>
        <v>0</v>
      </c>
      <c r="AQ706" s="540" t="str">
        <f>IFERROR(VLOOKUP(Table_NFI[[#This Row],[Camp Name]],CL,3,0),"")</f>
        <v>Closed</v>
      </c>
      <c r="AR706" s="352" t="str">
        <f ca="1">IF(Table_NFI[[#This Row],[Pcode]]="","",OFFSET(CampList[Priority],MATCH(Table_NFI[[#This Row],[Pcode]],CampList[CP_Pcode],0)-1,0,1,1))</f>
        <v>P4</v>
      </c>
      <c r="AS706" s="351" t="str">
        <f>IFERROR(Table_NFI[[#This Row],[Kitchen Set]]/VLOOKUP(Table_NFI[[#This Row],[Camp Name]],CL,4,0),"")</f>
        <v/>
      </c>
      <c r="AT706" s="533"/>
      <c r="AU706" s="536"/>
    </row>
    <row r="707" spans="1:47" hidden="1" x14ac:dyDescent="0.2">
      <c r="A707" s="355">
        <f t="shared" si="10"/>
        <v>13.866666666666667</v>
      </c>
      <c r="B707" s="532">
        <v>42155</v>
      </c>
      <c r="C707" s="533" t="s">
        <v>907</v>
      </c>
      <c r="D707" s="533" t="s">
        <v>907</v>
      </c>
      <c r="E707" s="533" t="s">
        <v>380</v>
      </c>
      <c r="F707" s="533" t="s">
        <v>185</v>
      </c>
      <c r="G707" s="348" t="s">
        <v>217</v>
      </c>
      <c r="H707" s="349"/>
      <c r="I707" s="349"/>
      <c r="J707" s="677">
        <v>34</v>
      </c>
      <c r="K707" s="349"/>
      <c r="L707" s="350"/>
      <c r="M707" s="350"/>
      <c r="N707" s="350"/>
      <c r="O707" s="350"/>
      <c r="P707" s="352"/>
      <c r="Q707" s="352"/>
      <c r="R707" s="352"/>
      <c r="S707" s="352"/>
      <c r="T707" s="352"/>
      <c r="U707" s="352"/>
      <c r="V707" s="497"/>
      <c r="W707" s="352"/>
      <c r="X707" s="352"/>
      <c r="Y707" s="352">
        <f>IF(NFI_Expiration=1,IF($A707&lt;VLOOKUP(H$5,NFI,5,0),1,0)*Table_NFI[[#This Row],[Hygiene Kit]],Table_NFI[Hygiene Kit])</f>
        <v>0</v>
      </c>
      <c r="Z707" s="352">
        <f>IF(NFI_Expiration=1,IF($A707&lt;VLOOKUP(I$5,NFI,5,0),1,0)*Table_NFI[[#This Row],[NFI Core Kit]],Table_NFI[NFI Core Kit])</f>
        <v>0</v>
      </c>
      <c r="AA707" s="352">
        <f>IF(NFI_Expiration=1,IF($A707&lt;VLOOKUP(J$5,NFI,5,0),1,0)*Table_NFI[[#This Row],[Sanitary Kit]],Table_NFI[Sanitary Kit])</f>
        <v>0</v>
      </c>
      <c r="AB707" s="352">
        <f>IF(NFI_Expiration=1,IF($A707&lt;VLOOKUP(K$5,NFI,5,0),1,0)*Table_NFI[[#This Row],[Mosquito net]],Table_NFI[Mosquito net])</f>
        <v>0</v>
      </c>
      <c r="AC707" s="352">
        <f>IF(NFI_Expiration=1,IF($A707&lt;VLOOKUP(L$5,NFI,5,0),1,0)*Table_NFI[[#This Row],[Tarpaulin]],Table_NFI[[#This Row],[Tarpaulin]])</f>
        <v>0</v>
      </c>
      <c r="AD707" s="352">
        <f>IF(NFI_Expiration=1,IF($A707&lt;VLOOKUP(M$5,NFI,5,0),1,0)*Table_NFI[[#This Row],[Blanket]],Table_NFI[[#This Row],[Blanket]])</f>
        <v>0</v>
      </c>
      <c r="AE707" s="352">
        <f>IF(NFI_Expiration=1,IF($A707&lt;VLOOKUP(N$5,NFI,5,0),1,0)*Table_NFI[[#This Row],[Kitchen Set]],Table_NFI[Kitchen Set])</f>
        <v>0</v>
      </c>
      <c r="AF707" s="352">
        <f>IF(NFI_Expiration=1,IF($A707&lt;VLOOKUP(O$5,NFI,5,0),1,0)*Table_NFI[[#This Row],[Clothes Kit]],Table_NFI[Clothes Kit])</f>
        <v>0</v>
      </c>
      <c r="AG707" s="352">
        <f>IF(NFI_Expiration=1,IF($A707&lt;VLOOKUP(P$5,NFI,5,0),1,0)*Table_NFI[[#This Row],[Plastic Bucket]],Table_NFI[Plastic Bucket])</f>
        <v>0</v>
      </c>
      <c r="AH707" s="352">
        <f>IF(NFI_Expiration=1,IF($A707&lt;VLOOKUP(Q$5,NFI,5,0),1,0)*Table_NFI[[#This Row],[Plastic Mat]],Table_NFI[Plastic Mat])*IF(Table_NFI[[#This Row],[Distribution Date]]&gt;"2014-04-01",1,2.5)</f>
        <v>0</v>
      </c>
      <c r="AI707" s="352">
        <f>IF(NFI_Expiration=1,IF($A707&lt;VLOOKUP(R$5,NFI,5,0),1,0)*Table_NFI[[#This Row],[Winter Clothes Adult]],Table_NFI[Winter Clothes Adult])</f>
        <v>0</v>
      </c>
      <c r="AJ707" s="352">
        <f>IF(NFI_Expiration=1,IF($A707&lt;VLOOKUP(S$5,NFI,5,0),1,0)*Table_NFI[[#This Row],[Winter Clothes Children]],Table_NFI[Winter Clothes Children])</f>
        <v>0</v>
      </c>
      <c r="AK707" s="352">
        <f>IF(NFI_Expiration=1,IF($A707&lt;VLOOKUP(T$5,NFI,5,0),1,0)*Table_NFI[[#This Row],[Winter Items Other]],Table_NFI[Winter Items Other])</f>
        <v>0</v>
      </c>
      <c r="AL707" s="352">
        <f>IF(NFI_Expiration=1,IF($A707&lt;VLOOKUP(M$5,NFI,5,0),1,0)*Table_NFI[[#This Row],[Winter Blanket]],Table_NFI[[#This Row],[Winter Blanket]])</f>
        <v>0</v>
      </c>
      <c r="AM707" s="352">
        <f>IF(Table_NFI[[#This Row],[Winter Clothes Adult]]+Table_NFI[[#This Row],[Winter Clothes Children]]+Table_NFI[[#This Row],[Winter Items Other]]+Table_NFI[[#This Row],[Winter Blanket]]&gt;0,1,0)</f>
        <v>0</v>
      </c>
      <c r="AN707" s="392">
        <f>IF(NFI_Expiration=1,IF($A707&lt;VLOOKUP(V$5,NFI,5,0),1,0)*Table_NFI[[#This Row],[Jerry Can]],Table_NFI[Jerry Can])</f>
        <v>0</v>
      </c>
      <c r="AO707" s="540" t="str">
        <f>IFERROR(VLOOKUP(Table_NFI[[#This Row],[Camp Name]],CL,2,0),"")</f>
        <v>MMR001CMP059</v>
      </c>
      <c r="AP707" s="535">
        <f ca="1">IF(Table_NFI[[#This Row],[Pcode]]="","",IF(OFFSET(CampList[Opening Date],MATCH(Table_NFI[[#This Row],[Pcode]],CampList[CP_Pcode],0)-1,0,1,1)&gt;=NFI_Monitor_Date,1,0))</f>
        <v>0</v>
      </c>
      <c r="AQ707" s="540" t="str">
        <f>IFERROR(VLOOKUP(Table_NFI[[#This Row],[Camp Name]],CL,3,0),"")</f>
        <v>Closed</v>
      </c>
      <c r="AR707" s="352" t="str">
        <f ca="1">IF(Table_NFI[[#This Row],[Pcode]]="","",OFFSET(CampList[Priority],MATCH(Table_NFI[[#This Row],[Pcode]],CampList[CP_Pcode],0)-1,0,1,1))</f>
        <v>P4</v>
      </c>
      <c r="AS707" s="351" t="str">
        <f>IFERROR(Table_NFI[[#This Row],[Kitchen Set]]/VLOOKUP(Table_NFI[[#This Row],[Camp Name]],CL,4,0),"")</f>
        <v/>
      </c>
      <c r="AT707" s="533"/>
      <c r="AU707" s="536"/>
    </row>
    <row r="708" spans="1:47" hidden="1" x14ac:dyDescent="0.2">
      <c r="A708" s="355">
        <f t="shared" si="10"/>
        <v>5.5666666666666664</v>
      </c>
      <c r="B708" s="532">
        <v>42404</v>
      </c>
      <c r="C708" s="533" t="s">
        <v>907</v>
      </c>
      <c r="D708" s="533" t="s">
        <v>907</v>
      </c>
      <c r="E708" s="533" t="s">
        <v>380</v>
      </c>
      <c r="F708" s="533" t="s">
        <v>185</v>
      </c>
      <c r="G708" s="348" t="s">
        <v>217</v>
      </c>
      <c r="H708" s="349"/>
      <c r="I708" s="349"/>
      <c r="J708" s="677">
        <v>33</v>
      </c>
      <c r="K708" s="349"/>
      <c r="L708" s="350"/>
      <c r="M708" s="350"/>
      <c r="N708" s="350"/>
      <c r="O708" s="350"/>
      <c r="P708" s="352"/>
      <c r="Q708" s="392"/>
      <c r="R708" s="392"/>
      <c r="S708" s="392"/>
      <c r="T708" s="392"/>
      <c r="U708" s="392"/>
      <c r="V708" s="497"/>
      <c r="W708" s="392"/>
      <c r="X708" s="392"/>
      <c r="Y708" s="352">
        <f>IF(NFI_Expiration=1,IF($A708&lt;VLOOKUP(H$5,NFI,5,0),1,0)*Table_NFI[[#This Row],[Hygiene Kit]],Table_NFI[Hygiene Kit])</f>
        <v>0</v>
      </c>
      <c r="Z708" s="352">
        <f>IF(NFI_Expiration=1,IF($A708&lt;VLOOKUP(I$5,NFI,5,0),1,0)*Table_NFI[[#This Row],[NFI Core Kit]],Table_NFI[NFI Core Kit])</f>
        <v>0</v>
      </c>
      <c r="AA708" s="352">
        <f>IF(NFI_Expiration=1,IF($A708&lt;VLOOKUP(J$5,NFI,5,0),1,0)*Table_NFI[[#This Row],[Sanitary Kit]],Table_NFI[Sanitary Kit])</f>
        <v>33</v>
      </c>
      <c r="AB708" s="352">
        <f>IF(NFI_Expiration=1,IF($A708&lt;VLOOKUP(K$5,NFI,5,0),1,0)*Table_NFI[[#This Row],[Mosquito net]],Table_NFI[Mosquito net])</f>
        <v>0</v>
      </c>
      <c r="AC708" s="352">
        <f>IF(NFI_Expiration=1,IF($A708&lt;VLOOKUP(L$5,NFI,5,0),1,0)*Table_NFI[[#This Row],[Tarpaulin]],Table_NFI[[#This Row],[Tarpaulin]])</f>
        <v>0</v>
      </c>
      <c r="AD708" s="352">
        <f>IF(NFI_Expiration=1,IF($A708&lt;VLOOKUP(M$5,NFI,5,0),1,0)*Table_NFI[[#This Row],[Blanket]],Table_NFI[[#This Row],[Blanket]])</f>
        <v>0</v>
      </c>
      <c r="AE708" s="352">
        <f>IF(NFI_Expiration=1,IF($A708&lt;VLOOKUP(N$5,NFI,5,0),1,0)*Table_NFI[[#This Row],[Kitchen Set]],Table_NFI[Kitchen Set])</f>
        <v>0</v>
      </c>
      <c r="AF708" s="352">
        <f>IF(NFI_Expiration=1,IF($A708&lt;VLOOKUP(O$5,NFI,5,0),1,0)*Table_NFI[[#This Row],[Clothes Kit]],Table_NFI[Clothes Kit])</f>
        <v>0</v>
      </c>
      <c r="AG708" s="352">
        <f>IF(NFI_Expiration=1,IF($A708&lt;VLOOKUP(P$5,NFI,5,0),1,0)*Table_NFI[[#This Row],[Plastic Bucket]],Table_NFI[Plastic Bucket])</f>
        <v>0</v>
      </c>
      <c r="AH708" s="352">
        <f>IF(NFI_Expiration=1,IF($A708&lt;VLOOKUP(Q$5,NFI,5,0),1,0)*Table_NFI[[#This Row],[Plastic Mat]],Table_NFI[Plastic Mat])*IF(Table_NFI[[#This Row],[Distribution Date]]&gt;"2014-04-01",1,2.5)</f>
        <v>0</v>
      </c>
      <c r="AI708" s="352">
        <f>IF(NFI_Expiration=1,IF($A708&lt;VLOOKUP(R$5,NFI,5,0),1,0)*Table_NFI[[#This Row],[Winter Clothes Adult]],Table_NFI[Winter Clothes Adult])</f>
        <v>0</v>
      </c>
      <c r="AJ708" s="352">
        <f>IF(NFI_Expiration=1,IF($A708&lt;VLOOKUP(S$5,NFI,5,0),1,0)*Table_NFI[[#This Row],[Winter Clothes Children]],Table_NFI[Winter Clothes Children])</f>
        <v>0</v>
      </c>
      <c r="AK708" s="352">
        <f>IF(NFI_Expiration=1,IF($A708&lt;VLOOKUP(T$5,NFI,5,0),1,0)*Table_NFI[[#This Row],[Winter Items Other]],Table_NFI[Winter Items Other])</f>
        <v>0</v>
      </c>
      <c r="AL708" s="352">
        <f>IF(NFI_Expiration=1,IF($A708&lt;VLOOKUP(M$5,NFI,5,0),1,0)*Table_NFI[[#This Row],[Winter Blanket]],Table_NFI[[#This Row],[Winter Blanket]])</f>
        <v>0</v>
      </c>
      <c r="AM708" s="352">
        <f>IF(Table_NFI[[#This Row],[Winter Clothes Adult]]+Table_NFI[[#This Row],[Winter Clothes Children]]+Table_NFI[[#This Row],[Winter Items Other]]+Table_NFI[[#This Row],[Winter Blanket]]&gt;0,1,0)</f>
        <v>0</v>
      </c>
      <c r="AN708" s="392">
        <f>IF(NFI_Expiration=1,IF($A708&lt;VLOOKUP(V$5,NFI,5,0),1,0)*Table_NFI[[#This Row],[Jerry Can]],Table_NFI[Jerry Can])</f>
        <v>0</v>
      </c>
      <c r="AO708" s="540" t="str">
        <f>IFERROR(VLOOKUP(Table_NFI[[#This Row],[Camp Name]],CL,2,0),"")</f>
        <v>MMR001CMP059</v>
      </c>
      <c r="AP708" s="535">
        <f ca="1">IF(Table_NFI[[#This Row],[Pcode]]="","",IF(OFFSET(CampList[Opening Date],MATCH(Table_NFI[[#This Row],[Pcode]],CampList[CP_Pcode],0)-1,0,1,1)&gt;=NFI_Monitor_Date,1,0))</f>
        <v>0</v>
      </c>
      <c r="AQ708" s="540" t="str">
        <f>IFERROR(VLOOKUP(Table_NFI[[#This Row],[Camp Name]],CL,3,0),"")</f>
        <v>Closed</v>
      </c>
      <c r="AR708" s="352" t="str">
        <f ca="1">IF(Table_NFI[[#This Row],[Pcode]]="","",OFFSET(CampList[Priority],MATCH(Table_NFI[[#This Row],[Pcode]],CampList[CP_Pcode],0)-1,0,1,1))</f>
        <v>P4</v>
      </c>
      <c r="AS708" s="351" t="str">
        <f>IFERROR(Table_NFI[[#This Row],[Kitchen Set]]/VLOOKUP(Table_NFI[[#This Row],[Camp Name]],CL,4,0),"")</f>
        <v/>
      </c>
      <c r="AT708" s="533"/>
      <c r="AU708" s="536"/>
    </row>
    <row r="709" spans="1:47" hidden="1" x14ac:dyDescent="0.2">
      <c r="A709" s="355">
        <f t="shared" si="10"/>
        <v>4.2</v>
      </c>
      <c r="B709" s="532">
        <v>42445</v>
      </c>
      <c r="C709" s="533" t="s">
        <v>907</v>
      </c>
      <c r="D709" s="533" t="s">
        <v>907</v>
      </c>
      <c r="E709" s="533" t="s">
        <v>380</v>
      </c>
      <c r="F709" s="533" t="s">
        <v>185</v>
      </c>
      <c r="G709" s="348" t="s">
        <v>217</v>
      </c>
      <c r="H709" s="349"/>
      <c r="I709" s="349"/>
      <c r="J709" s="350"/>
      <c r="K709" s="349"/>
      <c r="L709" s="350"/>
      <c r="M709" s="350"/>
      <c r="N709" s="350"/>
      <c r="O709" s="350"/>
      <c r="P709" s="352"/>
      <c r="Q709" s="392"/>
      <c r="R709" s="392"/>
      <c r="S709" s="392"/>
      <c r="T709" s="392"/>
      <c r="U709" s="392"/>
      <c r="V709" s="822">
        <v>1</v>
      </c>
      <c r="W709" s="392"/>
      <c r="X709" s="392"/>
      <c r="Y709" s="352">
        <f>IF(NFI_Expiration=1,IF($A709&lt;VLOOKUP(H$5,NFI,5,0),1,0)*Table_NFI[[#This Row],[Hygiene Kit]],Table_NFI[Hygiene Kit])</f>
        <v>0</v>
      </c>
      <c r="Z709" s="352">
        <f>IF(NFI_Expiration=1,IF($A709&lt;VLOOKUP(I$5,NFI,5,0),1,0)*Table_NFI[[#This Row],[NFI Core Kit]],Table_NFI[NFI Core Kit])</f>
        <v>0</v>
      </c>
      <c r="AA709" s="352">
        <f>IF(NFI_Expiration=1,IF($A709&lt;VLOOKUP(J$5,NFI,5,0),1,0)*Table_NFI[[#This Row],[Sanitary Kit]],Table_NFI[Sanitary Kit])</f>
        <v>0</v>
      </c>
      <c r="AB709" s="352">
        <f>IF(NFI_Expiration=1,IF($A709&lt;VLOOKUP(K$5,NFI,5,0),1,0)*Table_NFI[[#This Row],[Mosquito net]],Table_NFI[Mosquito net])</f>
        <v>0</v>
      </c>
      <c r="AC709" s="352">
        <f>IF(NFI_Expiration=1,IF($A709&lt;VLOOKUP(L$5,NFI,5,0),1,0)*Table_NFI[[#This Row],[Tarpaulin]],Table_NFI[[#This Row],[Tarpaulin]])</f>
        <v>0</v>
      </c>
      <c r="AD709" s="352">
        <f>IF(NFI_Expiration=1,IF($A709&lt;VLOOKUP(M$5,NFI,5,0),1,0)*Table_NFI[[#This Row],[Blanket]],Table_NFI[[#This Row],[Blanket]])</f>
        <v>0</v>
      </c>
      <c r="AE709" s="352">
        <f>IF(NFI_Expiration=1,IF($A709&lt;VLOOKUP(N$5,NFI,5,0),1,0)*Table_NFI[[#This Row],[Kitchen Set]],Table_NFI[Kitchen Set])</f>
        <v>0</v>
      </c>
      <c r="AF709" s="352">
        <f>IF(NFI_Expiration=1,IF($A709&lt;VLOOKUP(O$5,NFI,5,0),1,0)*Table_NFI[[#This Row],[Clothes Kit]],Table_NFI[Clothes Kit])</f>
        <v>0</v>
      </c>
      <c r="AG709" s="352">
        <f>IF(NFI_Expiration=1,IF($A709&lt;VLOOKUP(P$5,NFI,5,0),1,0)*Table_NFI[[#This Row],[Plastic Bucket]],Table_NFI[Plastic Bucket])</f>
        <v>0</v>
      </c>
      <c r="AH709" s="352">
        <f>IF(NFI_Expiration=1,IF($A709&lt;VLOOKUP(Q$5,NFI,5,0),1,0)*Table_NFI[[#This Row],[Plastic Mat]],Table_NFI[Plastic Mat])*IF(Table_NFI[[#This Row],[Distribution Date]]&gt;"2014-04-01",1,2.5)</f>
        <v>0</v>
      </c>
      <c r="AI709" s="352">
        <f>IF(NFI_Expiration=1,IF($A709&lt;VLOOKUP(R$5,NFI,5,0),1,0)*Table_NFI[[#This Row],[Winter Clothes Adult]],Table_NFI[Winter Clothes Adult])</f>
        <v>0</v>
      </c>
      <c r="AJ709" s="352">
        <f>IF(NFI_Expiration=1,IF($A709&lt;VLOOKUP(S$5,NFI,5,0),1,0)*Table_NFI[[#This Row],[Winter Clothes Children]],Table_NFI[Winter Clothes Children])</f>
        <v>0</v>
      </c>
      <c r="AK709" s="352">
        <f>IF(NFI_Expiration=1,IF($A709&lt;VLOOKUP(T$5,NFI,5,0),1,0)*Table_NFI[[#This Row],[Winter Items Other]],Table_NFI[Winter Items Other])</f>
        <v>0</v>
      </c>
      <c r="AL709" s="352">
        <f>IF(NFI_Expiration=1,IF($A709&lt;VLOOKUP(M$5,NFI,5,0),1,0)*Table_NFI[[#This Row],[Winter Blanket]],Table_NFI[[#This Row],[Winter Blanket]])</f>
        <v>0</v>
      </c>
      <c r="AM709" s="352">
        <f>IF(Table_NFI[[#This Row],[Winter Clothes Adult]]+Table_NFI[[#This Row],[Winter Clothes Children]]+Table_NFI[[#This Row],[Winter Items Other]]+Table_NFI[[#This Row],[Winter Blanket]]&gt;0,1,0)</f>
        <v>0</v>
      </c>
      <c r="AN709" s="392">
        <f>IF(NFI_Expiration=1,IF($A709&lt;VLOOKUP(V$5,NFI,5,0),1,0)*Table_NFI[[#This Row],[Jerry Can]],Table_NFI[Jerry Can])</f>
        <v>1</v>
      </c>
      <c r="AO709" s="540" t="str">
        <f>IFERROR(VLOOKUP(Table_NFI[[#This Row],[Camp Name]],CL,2,0),"")</f>
        <v>MMR001CMP059</v>
      </c>
      <c r="AP709" s="535">
        <f ca="1">IF(Table_NFI[[#This Row],[Pcode]]="","",IF(OFFSET(CampList[Opening Date],MATCH(Table_NFI[[#This Row],[Pcode]],CampList[CP_Pcode],0)-1,0,1,1)&gt;=NFI_Monitor_Date,1,0))</f>
        <v>0</v>
      </c>
      <c r="AQ709" s="540" t="str">
        <f>IFERROR(VLOOKUP(Table_NFI[[#This Row],[Camp Name]],CL,3,0),"")</f>
        <v>Closed</v>
      </c>
      <c r="AR709" s="352" t="str">
        <f ca="1">IF(Table_NFI[[#This Row],[Pcode]]="","",OFFSET(CampList[Priority],MATCH(Table_NFI[[#This Row],[Pcode]],CampList[CP_Pcode],0)-1,0,1,1))</f>
        <v>P4</v>
      </c>
      <c r="AS709" s="351" t="str">
        <f>IFERROR(Table_NFI[[#This Row],[Kitchen Set]]/VLOOKUP(Table_NFI[[#This Row],[Camp Name]],CL,4,0),"")</f>
        <v/>
      </c>
      <c r="AT709" s="533"/>
      <c r="AU709" s="536"/>
    </row>
    <row r="710" spans="1:47" hidden="1" x14ac:dyDescent="0.25">
      <c r="A710" s="355">
        <f t="shared" ref="A710:A773" si="11">IF(ISBLANK(B710),"",(Report_Date-B710)/30)</f>
        <v>49.1</v>
      </c>
      <c r="B710" s="532">
        <v>41098</v>
      </c>
      <c r="C710" s="533" t="s">
        <v>907</v>
      </c>
      <c r="D710" s="533" t="s">
        <v>907</v>
      </c>
      <c r="E710" s="533" t="s">
        <v>380</v>
      </c>
      <c r="F710" s="533" t="s">
        <v>185</v>
      </c>
      <c r="G710" s="348" t="s">
        <v>217</v>
      </c>
      <c r="H710" s="352">
        <v>16</v>
      </c>
      <c r="I710" s="349"/>
      <c r="J710" s="350"/>
      <c r="K710" s="349"/>
      <c r="L710" s="350"/>
      <c r="M710" s="350"/>
      <c r="N710" s="350"/>
      <c r="O710" s="350"/>
      <c r="P710" s="352"/>
      <c r="Q710" s="392"/>
      <c r="R710" s="392"/>
      <c r="S710" s="392"/>
      <c r="T710" s="392"/>
      <c r="U710" s="392"/>
      <c r="V710" s="497"/>
      <c r="W710" s="392"/>
      <c r="X710" s="392"/>
      <c r="Y710" s="352">
        <f>IF(NFI_Expiration=1,IF($A710&lt;VLOOKUP(H$5,NFI,5,0),1,0)*Table_NFI[[#This Row],[Hygiene Kit]],Table_NFI[Hygiene Kit])</f>
        <v>0</v>
      </c>
      <c r="Z710" s="352">
        <f>IF(NFI_Expiration=1,IF($A710&lt;VLOOKUP(I$5,NFI,5,0),1,0)*Table_NFI[[#This Row],[NFI Core Kit]],Table_NFI[NFI Core Kit])</f>
        <v>0</v>
      </c>
      <c r="AA710" s="352">
        <f>IF(NFI_Expiration=1,IF($A710&lt;VLOOKUP(J$5,NFI,5,0),1,0)*Table_NFI[[#This Row],[Sanitary Kit]],Table_NFI[Sanitary Kit])</f>
        <v>0</v>
      </c>
      <c r="AB710" s="352">
        <f>IF(NFI_Expiration=1,IF($A710&lt;VLOOKUP(K$5,NFI,5,0),1,0)*Table_NFI[[#This Row],[Mosquito net]],Table_NFI[Mosquito net])</f>
        <v>0</v>
      </c>
      <c r="AC710" s="352">
        <f>IF(NFI_Expiration=1,IF($A710&lt;VLOOKUP(L$5,NFI,5,0),1,0)*Table_NFI[[#This Row],[Tarpaulin]],Table_NFI[[#This Row],[Tarpaulin]])</f>
        <v>0</v>
      </c>
      <c r="AD710" s="352">
        <f>IF(NFI_Expiration=1,IF($A710&lt;VLOOKUP(M$5,NFI,5,0),1,0)*Table_NFI[[#This Row],[Blanket]],Table_NFI[[#This Row],[Blanket]])</f>
        <v>0</v>
      </c>
      <c r="AE710" s="352">
        <f>IF(NFI_Expiration=1,IF($A710&lt;VLOOKUP(N$5,NFI,5,0),1,0)*Table_NFI[[#This Row],[Kitchen Set]],Table_NFI[Kitchen Set])</f>
        <v>0</v>
      </c>
      <c r="AF710" s="352">
        <f>IF(NFI_Expiration=1,IF($A710&lt;VLOOKUP(O$5,NFI,5,0),1,0)*Table_NFI[[#This Row],[Clothes Kit]],Table_NFI[Clothes Kit])</f>
        <v>0</v>
      </c>
      <c r="AG710" s="352">
        <f>IF(NFI_Expiration=1,IF($A710&lt;VLOOKUP(P$5,NFI,5,0),1,0)*Table_NFI[[#This Row],[Plastic Bucket]],Table_NFI[Plastic Bucket])</f>
        <v>0</v>
      </c>
      <c r="AH710" s="352">
        <f>IF(NFI_Expiration=1,IF($A710&lt;VLOOKUP(Q$5,NFI,5,0),1,0)*Table_NFI[[#This Row],[Plastic Mat]],Table_NFI[Plastic Mat])*IF(Table_NFI[[#This Row],[Distribution Date]]&gt;"2014-04-01",1,2.5)</f>
        <v>0</v>
      </c>
      <c r="AI710" s="352">
        <f>IF(NFI_Expiration=1,IF($A710&lt;VLOOKUP(R$5,NFI,5,0),1,0)*Table_NFI[[#This Row],[Winter Clothes Adult]],Table_NFI[Winter Clothes Adult])</f>
        <v>0</v>
      </c>
      <c r="AJ710" s="352">
        <f>IF(NFI_Expiration=1,IF($A710&lt;VLOOKUP(S$5,NFI,5,0),1,0)*Table_NFI[[#This Row],[Winter Clothes Children]],Table_NFI[Winter Clothes Children])</f>
        <v>0</v>
      </c>
      <c r="AK710" s="352">
        <f>IF(NFI_Expiration=1,IF($A710&lt;VLOOKUP(T$5,NFI,5,0),1,0)*Table_NFI[[#This Row],[Winter Items Other]],Table_NFI[Winter Items Other])</f>
        <v>0</v>
      </c>
      <c r="AL710" s="352">
        <f>IF(NFI_Expiration=1,IF($A710&lt;VLOOKUP(M$5,NFI,5,0),1,0)*Table_NFI[[#This Row],[Winter Blanket]],Table_NFI[[#This Row],[Winter Blanket]])</f>
        <v>0</v>
      </c>
      <c r="AM710" s="352">
        <f>IF(Table_NFI[[#This Row],[Winter Clothes Adult]]+Table_NFI[[#This Row],[Winter Clothes Children]]+Table_NFI[[#This Row],[Winter Items Other]]+Table_NFI[[#This Row],[Winter Blanket]]&gt;0,1,0)</f>
        <v>0</v>
      </c>
      <c r="AN710" s="392">
        <f>IF(NFI_Expiration=1,IF($A710&lt;VLOOKUP(V$5,NFI,5,0),1,0)*Table_NFI[[#This Row],[Jerry Can]],Table_NFI[Jerry Can])</f>
        <v>0</v>
      </c>
      <c r="AO710" s="540" t="str">
        <f>IFERROR(VLOOKUP(Table_NFI[[#This Row],[Camp Name]],CL,2,0),"")</f>
        <v>MMR001CMP059</v>
      </c>
      <c r="AP710" s="535">
        <f ca="1">IF(Table_NFI[[#This Row],[Pcode]]="","",IF(OFFSET(CampList[Opening Date],MATCH(Table_NFI[[#This Row],[Pcode]],CampList[CP_Pcode],0)-1,0,1,1)&gt;=NFI_Monitor_Date,1,0))</f>
        <v>0</v>
      </c>
      <c r="AQ710" s="540" t="str">
        <f>IFERROR(VLOOKUP(Table_NFI[[#This Row],[Camp Name]],CL,3,0),"")</f>
        <v>Closed</v>
      </c>
      <c r="AR710" s="352" t="str">
        <f ca="1">IF(Table_NFI[[#This Row],[Pcode]]="","",OFFSET(CampList[Priority],MATCH(Table_NFI[[#This Row],[Pcode]],CampList[CP_Pcode],0)-1,0,1,1))</f>
        <v>P4</v>
      </c>
      <c r="AS710" s="351" t="str">
        <f>IFERROR(Table_NFI[[#This Row],[Kitchen Set]]/VLOOKUP(Table_NFI[[#This Row],[Camp Name]],CL,4,0),"")</f>
        <v/>
      </c>
      <c r="AT710" s="533"/>
      <c r="AU710" s="536"/>
    </row>
    <row r="711" spans="1:47" hidden="1" x14ac:dyDescent="0.25">
      <c r="A711" s="355">
        <f t="shared" si="11"/>
        <v>53.666666666666664</v>
      </c>
      <c r="B711" s="532">
        <v>40961</v>
      </c>
      <c r="C711" s="533" t="s">
        <v>907</v>
      </c>
      <c r="D711" s="533" t="s">
        <v>907</v>
      </c>
      <c r="E711" s="533" t="s">
        <v>380</v>
      </c>
      <c r="F711" s="533" t="s">
        <v>185</v>
      </c>
      <c r="G711" s="348" t="s">
        <v>217</v>
      </c>
      <c r="H711" s="352">
        <v>149</v>
      </c>
      <c r="I711" s="349"/>
      <c r="J711" s="350"/>
      <c r="K711" s="349"/>
      <c r="L711" s="350"/>
      <c r="M711" s="350"/>
      <c r="N711" s="350"/>
      <c r="O711" s="350"/>
      <c r="P711" s="352"/>
      <c r="Q711" s="392"/>
      <c r="R711" s="392"/>
      <c r="S711" s="392"/>
      <c r="T711" s="392"/>
      <c r="U711" s="392"/>
      <c r="V711" s="497"/>
      <c r="W711" s="392"/>
      <c r="X711" s="392"/>
      <c r="Y711" s="352">
        <f>IF(NFI_Expiration=1,IF($A711&lt;VLOOKUP(H$5,NFI,5,0),1,0)*Table_NFI[[#This Row],[Hygiene Kit]],Table_NFI[Hygiene Kit])</f>
        <v>0</v>
      </c>
      <c r="Z711" s="352">
        <f>IF(NFI_Expiration=1,IF($A711&lt;VLOOKUP(I$5,NFI,5,0),1,0)*Table_NFI[[#This Row],[NFI Core Kit]],Table_NFI[NFI Core Kit])</f>
        <v>0</v>
      </c>
      <c r="AA711" s="352">
        <f>IF(NFI_Expiration=1,IF($A711&lt;VLOOKUP(J$5,NFI,5,0),1,0)*Table_NFI[[#This Row],[Sanitary Kit]],Table_NFI[Sanitary Kit])</f>
        <v>0</v>
      </c>
      <c r="AB711" s="352">
        <f>IF(NFI_Expiration=1,IF($A711&lt;VLOOKUP(K$5,NFI,5,0),1,0)*Table_NFI[[#This Row],[Mosquito net]],Table_NFI[Mosquito net])</f>
        <v>0</v>
      </c>
      <c r="AC711" s="352">
        <f>IF(NFI_Expiration=1,IF($A711&lt;VLOOKUP(L$5,NFI,5,0),1,0)*Table_NFI[[#This Row],[Tarpaulin]],Table_NFI[[#This Row],[Tarpaulin]])</f>
        <v>0</v>
      </c>
      <c r="AD711" s="352">
        <f>IF(NFI_Expiration=1,IF($A711&lt;VLOOKUP(M$5,NFI,5,0),1,0)*Table_NFI[[#This Row],[Blanket]],Table_NFI[[#This Row],[Blanket]])</f>
        <v>0</v>
      </c>
      <c r="AE711" s="352">
        <f>IF(NFI_Expiration=1,IF($A711&lt;VLOOKUP(N$5,NFI,5,0),1,0)*Table_NFI[[#This Row],[Kitchen Set]],Table_NFI[Kitchen Set])</f>
        <v>0</v>
      </c>
      <c r="AF711" s="352">
        <f>IF(NFI_Expiration=1,IF($A711&lt;VLOOKUP(O$5,NFI,5,0),1,0)*Table_NFI[[#This Row],[Clothes Kit]],Table_NFI[Clothes Kit])</f>
        <v>0</v>
      </c>
      <c r="AG711" s="352">
        <f>IF(NFI_Expiration=1,IF($A711&lt;VLOOKUP(P$5,NFI,5,0),1,0)*Table_NFI[[#This Row],[Plastic Bucket]],Table_NFI[Plastic Bucket])</f>
        <v>0</v>
      </c>
      <c r="AH711" s="352">
        <f>IF(NFI_Expiration=1,IF($A711&lt;VLOOKUP(Q$5,NFI,5,0),1,0)*Table_NFI[[#This Row],[Plastic Mat]],Table_NFI[Plastic Mat])*IF(Table_NFI[[#This Row],[Distribution Date]]&gt;"2014-04-01",1,2.5)</f>
        <v>0</v>
      </c>
      <c r="AI711" s="352">
        <f>IF(NFI_Expiration=1,IF($A711&lt;VLOOKUP(R$5,NFI,5,0),1,0)*Table_NFI[[#This Row],[Winter Clothes Adult]],Table_NFI[Winter Clothes Adult])</f>
        <v>0</v>
      </c>
      <c r="AJ711" s="352">
        <f>IF(NFI_Expiration=1,IF($A711&lt;VLOOKUP(S$5,NFI,5,0),1,0)*Table_NFI[[#This Row],[Winter Clothes Children]],Table_NFI[Winter Clothes Children])</f>
        <v>0</v>
      </c>
      <c r="AK711" s="352">
        <f>IF(NFI_Expiration=1,IF($A711&lt;VLOOKUP(T$5,NFI,5,0),1,0)*Table_NFI[[#This Row],[Winter Items Other]],Table_NFI[Winter Items Other])</f>
        <v>0</v>
      </c>
      <c r="AL711" s="352">
        <f>IF(NFI_Expiration=1,IF($A711&lt;VLOOKUP(M$5,NFI,5,0),1,0)*Table_NFI[[#This Row],[Winter Blanket]],Table_NFI[[#This Row],[Winter Blanket]])</f>
        <v>0</v>
      </c>
      <c r="AM711" s="352">
        <f>IF(Table_NFI[[#This Row],[Winter Clothes Adult]]+Table_NFI[[#This Row],[Winter Clothes Children]]+Table_NFI[[#This Row],[Winter Items Other]]+Table_NFI[[#This Row],[Winter Blanket]]&gt;0,1,0)</f>
        <v>0</v>
      </c>
      <c r="AN711" s="392">
        <f>IF(NFI_Expiration=1,IF($A711&lt;VLOOKUP(V$5,NFI,5,0),1,0)*Table_NFI[[#This Row],[Jerry Can]],Table_NFI[Jerry Can])</f>
        <v>0</v>
      </c>
      <c r="AO711" s="540" t="str">
        <f>IFERROR(VLOOKUP(Table_NFI[[#This Row],[Camp Name]],CL,2,0),"")</f>
        <v>MMR001CMP059</v>
      </c>
      <c r="AP711" s="535">
        <f ca="1">IF(Table_NFI[[#This Row],[Pcode]]="","",IF(OFFSET(CampList[Opening Date],MATCH(Table_NFI[[#This Row],[Pcode]],CampList[CP_Pcode],0)-1,0,1,1)&gt;=NFI_Monitor_Date,1,0))</f>
        <v>0</v>
      </c>
      <c r="AQ711" s="540" t="str">
        <f>IFERROR(VLOOKUP(Table_NFI[[#This Row],[Camp Name]],CL,3,0),"")</f>
        <v>Closed</v>
      </c>
      <c r="AR711" s="352" t="str">
        <f ca="1">IF(Table_NFI[[#This Row],[Pcode]]="","",OFFSET(CampList[Priority],MATCH(Table_NFI[[#This Row],[Pcode]],CampList[CP_Pcode],0)-1,0,1,1))</f>
        <v>P4</v>
      </c>
      <c r="AS711" s="351" t="str">
        <f>IFERROR(Table_NFI[[#This Row],[Kitchen Set]]/VLOOKUP(Table_NFI[[#This Row],[Camp Name]],CL,4,0),"")</f>
        <v/>
      </c>
      <c r="AT711" s="533"/>
      <c r="AU711" s="536"/>
    </row>
    <row r="712" spans="1:47" hidden="1" x14ac:dyDescent="0.25">
      <c r="A712" s="355">
        <f t="shared" si="11"/>
        <v>32.1</v>
      </c>
      <c r="B712" s="532">
        <v>41608</v>
      </c>
      <c r="C712" s="533" t="s">
        <v>907</v>
      </c>
      <c r="D712" s="533"/>
      <c r="E712" s="533" t="s">
        <v>380</v>
      </c>
      <c r="F712" s="348" t="s">
        <v>185</v>
      </c>
      <c r="G712" s="348" t="s">
        <v>217</v>
      </c>
      <c r="H712" s="349"/>
      <c r="I712" s="349"/>
      <c r="J712" s="349"/>
      <c r="K712" s="349"/>
      <c r="L712" s="350"/>
      <c r="M712" s="350"/>
      <c r="N712" s="350"/>
      <c r="O712" s="350"/>
      <c r="P712" s="352"/>
      <c r="Q712" s="352">
        <v>60</v>
      </c>
      <c r="R712" s="352"/>
      <c r="S712" s="352"/>
      <c r="T712" s="352"/>
      <c r="U712" s="352"/>
      <c r="V712" s="497"/>
      <c r="W712" s="352"/>
      <c r="X712" s="352"/>
      <c r="Y712" s="352">
        <f>IF(NFI_Expiration=1,IF($A712&lt;VLOOKUP(H$5,NFI,5,0),1,0)*Table_NFI[[#This Row],[Hygiene Kit]],Table_NFI[Hygiene Kit])</f>
        <v>0</v>
      </c>
      <c r="Z712" s="352">
        <f>IF(NFI_Expiration=1,IF($A712&lt;VLOOKUP(I$5,NFI,5,0),1,0)*Table_NFI[[#This Row],[NFI Core Kit]],Table_NFI[NFI Core Kit])</f>
        <v>0</v>
      </c>
      <c r="AA712" s="352">
        <f>IF(NFI_Expiration=1,IF($A712&lt;VLOOKUP(J$5,NFI,5,0),1,0)*Table_NFI[[#This Row],[Sanitary Kit]],Table_NFI[Sanitary Kit])</f>
        <v>0</v>
      </c>
      <c r="AB712" s="352">
        <f>IF(NFI_Expiration=1,IF($A712&lt;VLOOKUP(K$5,NFI,5,0),1,0)*Table_NFI[[#This Row],[Mosquito net]],Table_NFI[Mosquito net])</f>
        <v>0</v>
      </c>
      <c r="AC712" s="352">
        <f>IF(NFI_Expiration=1,IF($A712&lt;VLOOKUP(L$5,NFI,5,0),1,0)*Table_NFI[[#This Row],[Tarpaulin]],Table_NFI[[#This Row],[Tarpaulin]])</f>
        <v>0</v>
      </c>
      <c r="AD712" s="352">
        <f>IF(NFI_Expiration=1,IF($A712&lt;VLOOKUP(M$5,NFI,5,0),1,0)*Table_NFI[[#This Row],[Blanket]],Table_NFI[[#This Row],[Blanket]])</f>
        <v>0</v>
      </c>
      <c r="AE712" s="352">
        <f>IF(NFI_Expiration=1,IF($A712&lt;VLOOKUP(N$5,NFI,5,0),1,0)*Table_NFI[[#This Row],[Kitchen Set]],Table_NFI[Kitchen Set])</f>
        <v>0</v>
      </c>
      <c r="AF712" s="352">
        <f>IF(NFI_Expiration=1,IF($A712&lt;VLOOKUP(O$5,NFI,5,0),1,0)*Table_NFI[[#This Row],[Clothes Kit]],Table_NFI[Clothes Kit])</f>
        <v>0</v>
      </c>
      <c r="AG712" s="352">
        <f>IF(NFI_Expiration=1,IF($A712&lt;VLOOKUP(P$5,NFI,5,0),1,0)*Table_NFI[[#This Row],[Plastic Bucket]],Table_NFI[Plastic Bucket])</f>
        <v>0</v>
      </c>
      <c r="AH712" s="352">
        <f>IF(NFI_Expiration=1,IF($A712&lt;VLOOKUP(Q$5,NFI,5,0),1,0)*Table_NFI[[#This Row],[Plastic Mat]],Table_NFI[Plastic Mat])*IF(Table_NFI[[#This Row],[Distribution Date]]&gt;"2014-04-01",1,2.5)</f>
        <v>0</v>
      </c>
      <c r="AI712" s="352">
        <f>IF(NFI_Expiration=1,IF($A712&lt;VLOOKUP(R$5,NFI,5,0),1,0)*Table_NFI[[#This Row],[Winter Clothes Adult]],Table_NFI[Winter Clothes Adult])</f>
        <v>0</v>
      </c>
      <c r="AJ712" s="352">
        <f>IF(NFI_Expiration=1,IF($A712&lt;VLOOKUP(S$5,NFI,5,0),1,0)*Table_NFI[[#This Row],[Winter Clothes Children]],Table_NFI[Winter Clothes Children])</f>
        <v>0</v>
      </c>
      <c r="AK712" s="352">
        <f>IF(NFI_Expiration=1,IF($A712&lt;VLOOKUP(T$5,NFI,5,0),1,0)*Table_NFI[[#This Row],[Winter Items Other]],Table_NFI[Winter Items Other])</f>
        <v>0</v>
      </c>
      <c r="AL712" s="352">
        <f>IF(NFI_Expiration=1,IF($A712&lt;VLOOKUP(M$5,NFI,5,0),1,0)*Table_NFI[[#This Row],[Winter Blanket]],Table_NFI[[#This Row],[Winter Blanket]])</f>
        <v>0</v>
      </c>
      <c r="AM712" s="352">
        <f>IF(Table_NFI[[#This Row],[Winter Clothes Adult]]+Table_NFI[[#This Row],[Winter Clothes Children]]+Table_NFI[[#This Row],[Winter Items Other]]+Table_NFI[[#This Row],[Winter Blanket]]&gt;0,1,0)</f>
        <v>0</v>
      </c>
      <c r="AN712" s="392">
        <f>IF(NFI_Expiration=1,IF($A712&lt;VLOOKUP(V$5,NFI,5,0),1,0)*Table_NFI[[#This Row],[Jerry Can]],Table_NFI[Jerry Can])</f>
        <v>0</v>
      </c>
      <c r="AO712" s="540" t="str">
        <f>IFERROR(VLOOKUP(Table_NFI[[#This Row],[Camp Name]],CL,2,0),"")</f>
        <v>MMR001CMP059</v>
      </c>
      <c r="AP712" s="535">
        <f ca="1">IF(Table_NFI[[#This Row],[Pcode]]="","",IF(OFFSET(CampList[Opening Date],MATCH(Table_NFI[[#This Row],[Pcode]],CampList[CP_Pcode],0)-1,0,1,1)&gt;=NFI_Monitor_Date,1,0))</f>
        <v>0</v>
      </c>
      <c r="AQ712" s="540" t="str">
        <f>IFERROR(VLOOKUP(Table_NFI[[#This Row],[Camp Name]],CL,3,0),"")</f>
        <v>Closed</v>
      </c>
      <c r="AR712" s="352" t="str">
        <f ca="1">IF(Table_NFI[[#This Row],[Pcode]]="","",OFFSET(CampList[Priority],MATCH(Table_NFI[[#This Row],[Pcode]],CampList[CP_Pcode],0)-1,0,1,1))</f>
        <v>P4</v>
      </c>
      <c r="AS712" s="351" t="str">
        <f>IFERROR(Table_NFI[[#This Row],[Kitchen Set]]/VLOOKUP(Table_NFI[[#This Row],[Camp Name]],CL,4,0),"")</f>
        <v/>
      </c>
      <c r="AT712" s="533" t="s">
        <v>1094</v>
      </c>
      <c r="AU712" s="536"/>
    </row>
    <row r="713" spans="1:47" hidden="1" x14ac:dyDescent="0.25">
      <c r="A713" s="355">
        <f t="shared" si="11"/>
        <v>42.4</v>
      </c>
      <c r="B713" s="532">
        <v>41299</v>
      </c>
      <c r="C713" s="533" t="s">
        <v>907</v>
      </c>
      <c r="D713" s="533" t="s">
        <v>907</v>
      </c>
      <c r="E713" s="533" t="s">
        <v>380</v>
      </c>
      <c r="F713" s="533" t="s">
        <v>185</v>
      </c>
      <c r="G713" s="348" t="s">
        <v>217</v>
      </c>
      <c r="H713" s="349">
        <v>75</v>
      </c>
      <c r="I713" s="349"/>
      <c r="J713" s="349"/>
      <c r="K713" s="349"/>
      <c r="L713" s="350"/>
      <c r="M713" s="350"/>
      <c r="N713" s="350"/>
      <c r="O713" s="350"/>
      <c r="P713" s="352">
        <v>0</v>
      </c>
      <c r="Q713" s="352">
        <v>0</v>
      </c>
      <c r="R713" s="352"/>
      <c r="S713" s="352"/>
      <c r="T713" s="352"/>
      <c r="U713" s="352"/>
      <c r="V713" s="497"/>
      <c r="W713" s="352"/>
      <c r="X713" s="352"/>
      <c r="Y713" s="352">
        <f>IF(NFI_Expiration=1,IF($A713&lt;VLOOKUP(H$5,NFI,5,0),1,0)*Table_NFI[[#This Row],[Hygiene Kit]],Table_NFI[Hygiene Kit])</f>
        <v>0</v>
      </c>
      <c r="Z713" s="352">
        <f>IF(NFI_Expiration=1,IF($A713&lt;VLOOKUP(I$5,NFI,5,0),1,0)*Table_NFI[[#This Row],[NFI Core Kit]],Table_NFI[NFI Core Kit])</f>
        <v>0</v>
      </c>
      <c r="AA713" s="352">
        <f>IF(NFI_Expiration=1,IF($A713&lt;VLOOKUP(J$5,NFI,5,0),1,0)*Table_NFI[[#This Row],[Sanitary Kit]],Table_NFI[Sanitary Kit])</f>
        <v>0</v>
      </c>
      <c r="AB713" s="352">
        <f>IF(NFI_Expiration=1,IF($A713&lt;VLOOKUP(K$5,NFI,5,0),1,0)*Table_NFI[[#This Row],[Mosquito net]],Table_NFI[Mosquito net])</f>
        <v>0</v>
      </c>
      <c r="AC713" s="352">
        <f>IF(NFI_Expiration=1,IF($A713&lt;VLOOKUP(L$5,NFI,5,0),1,0)*Table_NFI[[#This Row],[Tarpaulin]],Table_NFI[[#This Row],[Tarpaulin]])</f>
        <v>0</v>
      </c>
      <c r="AD713" s="352">
        <f>IF(NFI_Expiration=1,IF($A713&lt;VLOOKUP(M$5,NFI,5,0),1,0)*Table_NFI[[#This Row],[Blanket]],Table_NFI[[#This Row],[Blanket]])</f>
        <v>0</v>
      </c>
      <c r="AE713" s="352">
        <f>IF(NFI_Expiration=1,IF($A713&lt;VLOOKUP(N$5,NFI,5,0),1,0)*Table_NFI[[#This Row],[Kitchen Set]],Table_NFI[Kitchen Set])</f>
        <v>0</v>
      </c>
      <c r="AF713" s="352">
        <f>IF(NFI_Expiration=1,IF($A713&lt;VLOOKUP(O$5,NFI,5,0),1,0)*Table_NFI[[#This Row],[Clothes Kit]],Table_NFI[Clothes Kit])</f>
        <v>0</v>
      </c>
      <c r="AG713" s="352">
        <f>IF(NFI_Expiration=1,IF($A713&lt;VLOOKUP(P$5,NFI,5,0),1,0)*Table_NFI[[#This Row],[Plastic Bucket]],Table_NFI[Plastic Bucket])</f>
        <v>0</v>
      </c>
      <c r="AH713" s="352">
        <f>IF(NFI_Expiration=1,IF($A713&lt;VLOOKUP(Q$5,NFI,5,0),1,0)*Table_NFI[[#This Row],[Plastic Mat]],Table_NFI[Plastic Mat])*IF(Table_NFI[[#This Row],[Distribution Date]]&gt;"2014-04-01",1,2.5)</f>
        <v>0</v>
      </c>
      <c r="AI713" s="352">
        <f>IF(NFI_Expiration=1,IF($A713&lt;VLOOKUP(R$5,NFI,5,0),1,0)*Table_NFI[[#This Row],[Winter Clothes Adult]],Table_NFI[Winter Clothes Adult])</f>
        <v>0</v>
      </c>
      <c r="AJ713" s="352">
        <f>IF(NFI_Expiration=1,IF($A713&lt;VLOOKUP(S$5,NFI,5,0),1,0)*Table_NFI[[#This Row],[Winter Clothes Children]],Table_NFI[Winter Clothes Children])</f>
        <v>0</v>
      </c>
      <c r="AK713" s="352">
        <f>IF(NFI_Expiration=1,IF($A713&lt;VLOOKUP(T$5,NFI,5,0),1,0)*Table_NFI[[#This Row],[Winter Items Other]],Table_NFI[Winter Items Other])</f>
        <v>0</v>
      </c>
      <c r="AL713" s="352">
        <f>IF(NFI_Expiration=1,IF($A713&lt;VLOOKUP(M$5,NFI,5,0),1,0)*Table_NFI[[#This Row],[Winter Blanket]],Table_NFI[[#This Row],[Winter Blanket]])</f>
        <v>0</v>
      </c>
      <c r="AM713" s="352">
        <f>IF(Table_NFI[[#This Row],[Winter Clothes Adult]]+Table_NFI[[#This Row],[Winter Clothes Children]]+Table_NFI[[#This Row],[Winter Items Other]]+Table_NFI[[#This Row],[Winter Blanket]]&gt;0,1,0)</f>
        <v>0</v>
      </c>
      <c r="AN713" s="392">
        <f>IF(NFI_Expiration=1,IF($A713&lt;VLOOKUP(V$5,NFI,5,0),1,0)*Table_NFI[[#This Row],[Jerry Can]],Table_NFI[Jerry Can])</f>
        <v>0</v>
      </c>
      <c r="AO713" s="540" t="str">
        <f>IFERROR(VLOOKUP(Table_NFI[[#This Row],[Camp Name]],CL,2,0),"")</f>
        <v>MMR001CMP059</v>
      </c>
      <c r="AP713" s="535">
        <f ca="1">IF(Table_NFI[[#This Row],[Pcode]]="","",IF(OFFSET(CampList[Opening Date],MATCH(Table_NFI[[#This Row],[Pcode]],CampList[CP_Pcode],0)-1,0,1,1)&gt;=NFI_Monitor_Date,1,0))</f>
        <v>0</v>
      </c>
      <c r="AQ713" s="540" t="str">
        <f>IFERROR(VLOOKUP(Table_NFI[[#This Row],[Camp Name]],CL,3,0),"")</f>
        <v>Closed</v>
      </c>
      <c r="AR713" s="352" t="str">
        <f ca="1">IF(Table_NFI[[#This Row],[Pcode]]="","",OFFSET(CampList[Priority],MATCH(Table_NFI[[#This Row],[Pcode]],CampList[CP_Pcode],0)-1,0,1,1))</f>
        <v>P4</v>
      </c>
      <c r="AS713" s="351" t="str">
        <f>IFERROR(Table_NFI[[#This Row],[Kitchen Set]]/VLOOKUP(Table_NFI[[#This Row],[Camp Name]],CL,4,0),"")</f>
        <v/>
      </c>
      <c r="AT713" s="533" t="s">
        <v>1094</v>
      </c>
      <c r="AU713" s="536"/>
    </row>
    <row r="714" spans="1:47" ht="14.45" hidden="1" customHeight="1" x14ac:dyDescent="0.25">
      <c r="A714" s="355">
        <f t="shared" si="11"/>
        <v>26.633333333333333</v>
      </c>
      <c r="B714" s="532">
        <v>41772</v>
      </c>
      <c r="C714" s="533" t="s">
        <v>1106</v>
      </c>
      <c r="D714" s="533" t="s">
        <v>902</v>
      </c>
      <c r="E714" s="533" t="s">
        <v>380</v>
      </c>
      <c r="F714" s="533" t="s">
        <v>237</v>
      </c>
      <c r="G714" s="533" t="s">
        <v>269</v>
      </c>
      <c r="H714" s="349"/>
      <c r="I714" s="349"/>
      <c r="J714" s="349"/>
      <c r="K714" s="349"/>
      <c r="L714" s="350"/>
      <c r="M714" s="350"/>
      <c r="N714" s="350"/>
      <c r="O714" s="350"/>
      <c r="P714" s="352"/>
      <c r="Q714" s="352"/>
      <c r="R714" s="352"/>
      <c r="S714" s="352"/>
      <c r="T714" s="352"/>
      <c r="U714" s="352">
        <v>112</v>
      </c>
      <c r="V714" s="497"/>
      <c r="W714" s="352"/>
      <c r="X714" s="352"/>
      <c r="Y714" s="352">
        <f>IF(NFI_Expiration=1,IF($A714&lt;VLOOKUP(H$5,NFI,5,0),1,0)*Table_NFI[[#This Row],[Hygiene Kit]],Table_NFI[Hygiene Kit])</f>
        <v>0</v>
      </c>
      <c r="Z714" s="352">
        <f>IF(NFI_Expiration=1,IF($A714&lt;VLOOKUP(I$5,NFI,5,0),1,0)*Table_NFI[[#This Row],[NFI Core Kit]],Table_NFI[NFI Core Kit])</f>
        <v>0</v>
      </c>
      <c r="AA714" s="352">
        <f>IF(NFI_Expiration=1,IF($A714&lt;VLOOKUP(J$5,NFI,5,0),1,0)*Table_NFI[[#This Row],[Sanitary Kit]],Table_NFI[Sanitary Kit])</f>
        <v>0</v>
      </c>
      <c r="AB714" s="352">
        <f>IF(NFI_Expiration=1,IF($A714&lt;VLOOKUP(K$5,NFI,5,0),1,0)*Table_NFI[[#This Row],[Mosquito net]],Table_NFI[Mosquito net])</f>
        <v>0</v>
      </c>
      <c r="AC714" s="352">
        <f>IF(NFI_Expiration=1,IF($A714&lt;VLOOKUP(L$5,NFI,5,0),1,0)*Table_NFI[[#This Row],[Tarpaulin]],Table_NFI[[#This Row],[Tarpaulin]])</f>
        <v>0</v>
      </c>
      <c r="AD714" s="352">
        <f>IF(NFI_Expiration=1,IF($A714&lt;VLOOKUP(M$5,NFI,5,0),1,0)*Table_NFI[[#This Row],[Blanket]],Table_NFI[[#This Row],[Blanket]])</f>
        <v>0</v>
      </c>
      <c r="AE714" s="352">
        <f>IF(NFI_Expiration=1,IF($A714&lt;VLOOKUP(N$5,NFI,5,0),1,0)*Table_NFI[[#This Row],[Kitchen Set]],Table_NFI[Kitchen Set])</f>
        <v>0</v>
      </c>
      <c r="AF714" s="352">
        <f>IF(NFI_Expiration=1,IF($A714&lt;VLOOKUP(O$5,NFI,5,0),1,0)*Table_NFI[[#This Row],[Clothes Kit]],Table_NFI[Clothes Kit])</f>
        <v>0</v>
      </c>
      <c r="AG714" s="352">
        <f>IF(NFI_Expiration=1,IF($A714&lt;VLOOKUP(P$5,NFI,5,0),1,0)*Table_NFI[[#This Row],[Plastic Bucket]],Table_NFI[Plastic Bucket])</f>
        <v>0</v>
      </c>
      <c r="AH714" s="352">
        <f>IF(NFI_Expiration=1,IF($A714&lt;VLOOKUP(Q$5,NFI,5,0),1,0)*Table_NFI[[#This Row],[Plastic Mat]],Table_NFI[Plastic Mat])*IF(Table_NFI[[#This Row],[Distribution Date]]&gt;"2014-04-01",1,2.5)</f>
        <v>0</v>
      </c>
      <c r="AI714" s="352">
        <f>IF(NFI_Expiration=1,IF($A714&lt;VLOOKUP(R$5,NFI,5,0),1,0)*Table_NFI[[#This Row],[Winter Clothes Adult]],Table_NFI[Winter Clothes Adult])</f>
        <v>0</v>
      </c>
      <c r="AJ714" s="352">
        <f>IF(NFI_Expiration=1,IF($A714&lt;VLOOKUP(S$5,NFI,5,0),1,0)*Table_NFI[[#This Row],[Winter Clothes Children]],Table_NFI[Winter Clothes Children])</f>
        <v>0</v>
      </c>
      <c r="AK714" s="352">
        <f>IF(NFI_Expiration=1,IF($A714&lt;VLOOKUP(T$5,NFI,5,0),1,0)*Table_NFI[[#This Row],[Winter Items Other]],Table_NFI[Winter Items Other])</f>
        <v>0</v>
      </c>
      <c r="AL714" s="352">
        <f>IF(NFI_Expiration=1,IF($A714&lt;VLOOKUP(M$5,NFI,5,0),1,0)*Table_NFI[[#This Row],[Winter Blanket]],Table_NFI[[#This Row],[Winter Blanket]])</f>
        <v>0</v>
      </c>
      <c r="AM714" s="352">
        <f>IF(Table_NFI[[#This Row],[Winter Clothes Adult]]+Table_NFI[[#This Row],[Winter Clothes Children]]+Table_NFI[[#This Row],[Winter Items Other]]+Table_NFI[[#This Row],[Winter Blanket]]&gt;0,1,0)</f>
        <v>1</v>
      </c>
      <c r="AN714" s="392">
        <f>IF(NFI_Expiration=1,IF($A714&lt;VLOOKUP(V$5,NFI,5,0),1,0)*Table_NFI[[#This Row],[Jerry Can]],Table_NFI[Jerry Can])</f>
        <v>0</v>
      </c>
      <c r="AO714" s="540" t="str">
        <f>IFERROR(VLOOKUP(Table_NFI[[#This Row],[Camp Name]],CL,2,0),"")</f>
        <v>MMR001CMP002</v>
      </c>
      <c r="AP714" s="535">
        <f ca="1">IF(Table_NFI[[#This Row],[Pcode]]="","",IF(OFFSET(CampList[Opening Date],MATCH(Table_NFI[[#This Row],[Pcode]],CampList[CP_Pcode],0)-1,0,1,1)&gt;=NFI_Monitor_Date,1,0))</f>
        <v>0</v>
      </c>
      <c r="AQ714" s="540" t="str">
        <f>IFERROR(VLOOKUP(Table_NFI[[#This Row],[Camp Name]],CL,3,0),"")</f>
        <v>Open</v>
      </c>
      <c r="AR714" s="352" t="str">
        <f ca="1">IF(Table_NFI[[#This Row],[Pcode]]="","",OFFSET(CampList[Priority],MATCH(Table_NFI[[#This Row],[Pcode]],CampList[CP_Pcode],0)-1,0,1,1))</f>
        <v>P4</v>
      </c>
      <c r="AS714" s="351">
        <f>IFERROR(Table_NFI[[#This Row],[Kitchen Set]]/VLOOKUP(Table_NFI[[#This Row],[Camp Name]],CL,4,0),"")</f>
        <v>0</v>
      </c>
      <c r="AT714" s="533"/>
      <c r="AU714" s="536"/>
    </row>
    <row r="715" spans="1:47" ht="14.45" customHeight="1" x14ac:dyDescent="0.25">
      <c r="A715" s="355">
        <f t="shared" si="11"/>
        <v>48.033333333333331</v>
      </c>
      <c r="B715" s="532">
        <v>41130</v>
      </c>
      <c r="C715" s="533" t="s">
        <v>453</v>
      </c>
      <c r="D715" s="534" t="s">
        <v>453</v>
      </c>
      <c r="E715" s="533" t="s">
        <v>380</v>
      </c>
      <c r="F715" s="348" t="s">
        <v>237</v>
      </c>
      <c r="G715" s="348" t="s">
        <v>253</v>
      </c>
      <c r="H715" s="349"/>
      <c r="I715" s="354"/>
      <c r="J715" s="347"/>
      <c r="K715" s="347">
        <v>7</v>
      </c>
      <c r="L715" s="347">
        <v>3</v>
      </c>
      <c r="M715" s="347">
        <v>7</v>
      </c>
      <c r="N715" s="347">
        <v>3</v>
      </c>
      <c r="O715" s="347">
        <v>3</v>
      </c>
      <c r="P715" s="352">
        <v>3</v>
      </c>
      <c r="Q715" s="352">
        <v>3</v>
      </c>
      <c r="R715" s="352"/>
      <c r="S715" s="352"/>
      <c r="T715" s="352"/>
      <c r="U715" s="352"/>
      <c r="V715" s="497"/>
      <c r="W715" s="352"/>
      <c r="X715" s="352"/>
      <c r="Y715" s="352">
        <f>IF(NFI_Expiration=1,IF($A715&lt;VLOOKUP(H$5,NFI,5,0),1,0)*Table_NFI[[#This Row],[Hygiene Kit]],Table_NFI[Hygiene Kit])</f>
        <v>0</v>
      </c>
      <c r="Z715" s="352">
        <f>IF(NFI_Expiration=1,IF($A715&lt;VLOOKUP(I$5,NFI,5,0),1,0)*Table_NFI[[#This Row],[NFI Core Kit]],Table_NFI[NFI Core Kit])</f>
        <v>0</v>
      </c>
      <c r="AA715" s="352">
        <f>IF(NFI_Expiration=1,IF($A715&lt;VLOOKUP(J$5,NFI,5,0),1,0)*Table_NFI[[#This Row],[Sanitary Kit]],Table_NFI[Sanitary Kit])</f>
        <v>0</v>
      </c>
      <c r="AB715" s="352">
        <f>IF(NFI_Expiration=1,IF($A715&lt;VLOOKUP(K$5,NFI,5,0),1,0)*Table_NFI[[#This Row],[Mosquito net]],Table_NFI[Mosquito net])</f>
        <v>0</v>
      </c>
      <c r="AC715" s="352">
        <f>IF(NFI_Expiration=1,IF($A715&lt;VLOOKUP(L$5,NFI,5,0),1,0)*Table_NFI[[#This Row],[Tarpaulin]],Table_NFI[[#This Row],[Tarpaulin]])</f>
        <v>0</v>
      </c>
      <c r="AD715" s="352">
        <f>IF(NFI_Expiration=1,IF($A715&lt;VLOOKUP(M$5,NFI,5,0),1,0)*Table_NFI[[#This Row],[Blanket]],Table_NFI[[#This Row],[Blanket]])</f>
        <v>0</v>
      </c>
      <c r="AE715" s="352">
        <f>IF(NFI_Expiration=1,IF($A715&lt;VLOOKUP(N$5,NFI,5,0),1,0)*Table_NFI[[#This Row],[Kitchen Set]],Table_NFI[Kitchen Set])</f>
        <v>0</v>
      </c>
      <c r="AF715" s="352">
        <f>IF(NFI_Expiration=1,IF($A715&lt;VLOOKUP(O$5,NFI,5,0),1,0)*Table_NFI[[#This Row],[Clothes Kit]],Table_NFI[Clothes Kit])</f>
        <v>0</v>
      </c>
      <c r="AG715" s="352">
        <f>IF(NFI_Expiration=1,IF($A715&lt;VLOOKUP(P$5,NFI,5,0),1,0)*Table_NFI[[#This Row],[Plastic Bucket]],Table_NFI[Plastic Bucket])</f>
        <v>0</v>
      </c>
      <c r="AH715" s="352">
        <f>IF(NFI_Expiration=1,IF($A715&lt;VLOOKUP(Q$5,NFI,5,0),1,0)*Table_NFI[[#This Row],[Plastic Mat]],Table_NFI[Plastic Mat])*IF(Table_NFI[[#This Row],[Distribution Date]]&gt;"2014-04-01",1,2.5)</f>
        <v>0</v>
      </c>
      <c r="AI715" s="352">
        <f>IF(NFI_Expiration=1,IF($A715&lt;VLOOKUP(R$5,NFI,5,0),1,0)*Table_NFI[[#This Row],[Winter Clothes Adult]],Table_NFI[Winter Clothes Adult])</f>
        <v>0</v>
      </c>
      <c r="AJ715" s="352">
        <f>IF(NFI_Expiration=1,IF($A715&lt;VLOOKUP(S$5,NFI,5,0),1,0)*Table_NFI[[#This Row],[Winter Clothes Children]],Table_NFI[Winter Clothes Children])</f>
        <v>0</v>
      </c>
      <c r="AK715" s="352">
        <f>IF(NFI_Expiration=1,IF($A715&lt;VLOOKUP(T$5,NFI,5,0),1,0)*Table_NFI[[#This Row],[Winter Items Other]],Table_NFI[Winter Items Other])</f>
        <v>0</v>
      </c>
      <c r="AL715" s="352">
        <f>IF(NFI_Expiration=1,IF($A715&lt;VLOOKUP(M$5,NFI,5,0),1,0)*Table_NFI[[#This Row],[Winter Blanket]],Table_NFI[[#This Row],[Winter Blanket]])</f>
        <v>0</v>
      </c>
      <c r="AM715" s="352">
        <f>IF(Table_NFI[[#This Row],[Winter Clothes Adult]]+Table_NFI[[#This Row],[Winter Clothes Children]]+Table_NFI[[#This Row],[Winter Items Other]]+Table_NFI[[#This Row],[Winter Blanket]]&gt;0,1,0)</f>
        <v>0</v>
      </c>
      <c r="AN715" s="392">
        <f>IF(NFI_Expiration=1,IF($A715&lt;VLOOKUP(V$5,NFI,5,0),1,0)*Table_NFI[[#This Row],[Jerry Can]],Table_NFI[Jerry Can])</f>
        <v>0</v>
      </c>
      <c r="AO715" s="540" t="str">
        <f>IFERROR(VLOOKUP(Table_NFI[[#This Row],[Camp Name]],CL,2,0),"")</f>
        <v>MMR001CMP018</v>
      </c>
      <c r="AP715" s="535">
        <f ca="1">IF(Table_NFI[[#This Row],[Pcode]]="","",IF(OFFSET(CampList[Opening Date],MATCH(Table_NFI[[#This Row],[Pcode]],CampList[CP_Pcode],0)-1,0,1,1)&gt;=NFI_Monitor_Date,1,0))</f>
        <v>0</v>
      </c>
      <c r="AQ715" s="540" t="str">
        <f>IFERROR(VLOOKUP(Table_NFI[[#This Row],[Camp Name]],CL,3,0),"")</f>
        <v>Open</v>
      </c>
      <c r="AR715" s="352" t="str">
        <f ca="1">IF(Table_NFI[[#This Row],[Pcode]]="","",OFFSET(CampList[Priority],MATCH(Table_NFI[[#This Row],[Pcode]],CampList[CP_Pcode],0)-1,0,1,1))</f>
        <v>P4</v>
      </c>
      <c r="AS715" s="351">
        <f>IFERROR(Table_NFI[[#This Row],[Kitchen Set]]/VLOOKUP(Table_NFI[[#This Row],[Camp Name]],CL,4,0),"")</f>
        <v>1.5151515151515152E-2</v>
      </c>
      <c r="AT715" s="533" t="s">
        <v>1094</v>
      </c>
      <c r="AU715" s="536"/>
    </row>
    <row r="716" spans="1:47" ht="14.45" customHeight="1" x14ac:dyDescent="0.25">
      <c r="A716" s="355">
        <f t="shared" si="11"/>
        <v>48.033333333333331</v>
      </c>
      <c r="B716" s="532">
        <v>41130</v>
      </c>
      <c r="C716" s="533" t="s">
        <v>453</v>
      </c>
      <c r="D716" s="534" t="s">
        <v>453</v>
      </c>
      <c r="E716" s="533" t="s">
        <v>380</v>
      </c>
      <c r="F716" s="348" t="s">
        <v>237</v>
      </c>
      <c r="G716" s="348" t="s">
        <v>259</v>
      </c>
      <c r="H716" s="349"/>
      <c r="I716" s="349"/>
      <c r="J716" s="349"/>
      <c r="K716" s="349">
        <v>2</v>
      </c>
      <c r="L716" s="350">
        <v>1</v>
      </c>
      <c r="M716" s="350">
        <v>2</v>
      </c>
      <c r="N716" s="350">
        <v>1</v>
      </c>
      <c r="O716" s="350">
        <v>1</v>
      </c>
      <c r="P716" s="352">
        <v>1</v>
      </c>
      <c r="Q716" s="352">
        <v>1</v>
      </c>
      <c r="R716" s="352"/>
      <c r="S716" s="352"/>
      <c r="T716" s="352"/>
      <c r="U716" s="352"/>
      <c r="V716" s="497"/>
      <c r="W716" s="352"/>
      <c r="X716" s="352"/>
      <c r="Y716" s="352">
        <f>IF(NFI_Expiration=1,IF($A716&lt;VLOOKUP(H$5,NFI,5,0),1,0)*Table_NFI[[#This Row],[Hygiene Kit]],Table_NFI[Hygiene Kit])</f>
        <v>0</v>
      </c>
      <c r="Z716" s="352">
        <f>IF(NFI_Expiration=1,IF($A716&lt;VLOOKUP(I$5,NFI,5,0),1,0)*Table_NFI[[#This Row],[NFI Core Kit]],Table_NFI[NFI Core Kit])</f>
        <v>0</v>
      </c>
      <c r="AA716" s="352">
        <f>IF(NFI_Expiration=1,IF($A716&lt;VLOOKUP(J$5,NFI,5,0),1,0)*Table_NFI[[#This Row],[Sanitary Kit]],Table_NFI[Sanitary Kit])</f>
        <v>0</v>
      </c>
      <c r="AB716" s="352">
        <f>IF(NFI_Expiration=1,IF($A716&lt;VLOOKUP(K$5,NFI,5,0),1,0)*Table_NFI[[#This Row],[Mosquito net]],Table_NFI[Mosquito net])</f>
        <v>0</v>
      </c>
      <c r="AC716" s="352">
        <f>IF(NFI_Expiration=1,IF($A716&lt;VLOOKUP(L$5,NFI,5,0),1,0)*Table_NFI[[#This Row],[Tarpaulin]],Table_NFI[[#This Row],[Tarpaulin]])</f>
        <v>0</v>
      </c>
      <c r="AD716" s="352">
        <f>IF(NFI_Expiration=1,IF($A716&lt;VLOOKUP(M$5,NFI,5,0),1,0)*Table_NFI[[#This Row],[Blanket]],Table_NFI[[#This Row],[Blanket]])</f>
        <v>0</v>
      </c>
      <c r="AE716" s="352">
        <f>IF(NFI_Expiration=1,IF($A716&lt;VLOOKUP(N$5,NFI,5,0),1,0)*Table_NFI[[#This Row],[Kitchen Set]],Table_NFI[Kitchen Set])</f>
        <v>0</v>
      </c>
      <c r="AF716" s="352">
        <f>IF(NFI_Expiration=1,IF($A716&lt;VLOOKUP(O$5,NFI,5,0),1,0)*Table_NFI[[#This Row],[Clothes Kit]],Table_NFI[Clothes Kit])</f>
        <v>0</v>
      </c>
      <c r="AG716" s="352">
        <f>IF(NFI_Expiration=1,IF($A716&lt;VLOOKUP(P$5,NFI,5,0),1,0)*Table_NFI[[#This Row],[Plastic Bucket]],Table_NFI[Plastic Bucket])</f>
        <v>0</v>
      </c>
      <c r="AH716" s="352">
        <f>IF(NFI_Expiration=1,IF($A716&lt;VLOOKUP(Q$5,NFI,5,0),1,0)*Table_NFI[[#This Row],[Plastic Mat]],Table_NFI[Plastic Mat])*IF(Table_NFI[[#This Row],[Distribution Date]]&gt;"2014-04-01",1,2.5)</f>
        <v>0</v>
      </c>
      <c r="AI716" s="352">
        <f>IF(NFI_Expiration=1,IF($A716&lt;VLOOKUP(R$5,NFI,5,0),1,0)*Table_NFI[[#This Row],[Winter Clothes Adult]],Table_NFI[Winter Clothes Adult])</f>
        <v>0</v>
      </c>
      <c r="AJ716" s="352">
        <f>IF(NFI_Expiration=1,IF($A716&lt;VLOOKUP(S$5,NFI,5,0),1,0)*Table_NFI[[#This Row],[Winter Clothes Children]],Table_NFI[Winter Clothes Children])</f>
        <v>0</v>
      </c>
      <c r="AK716" s="352">
        <f>IF(NFI_Expiration=1,IF($A716&lt;VLOOKUP(T$5,NFI,5,0),1,0)*Table_NFI[[#This Row],[Winter Items Other]],Table_NFI[Winter Items Other])</f>
        <v>0</v>
      </c>
      <c r="AL716" s="352">
        <f>IF(NFI_Expiration=1,IF($A716&lt;VLOOKUP(M$5,NFI,5,0),1,0)*Table_NFI[[#This Row],[Winter Blanket]],Table_NFI[[#This Row],[Winter Blanket]])</f>
        <v>0</v>
      </c>
      <c r="AM716" s="352">
        <f>IF(Table_NFI[[#This Row],[Winter Clothes Adult]]+Table_NFI[[#This Row],[Winter Clothes Children]]+Table_NFI[[#This Row],[Winter Items Other]]+Table_NFI[[#This Row],[Winter Blanket]]&gt;0,1,0)</f>
        <v>0</v>
      </c>
      <c r="AN716" s="392">
        <f>IF(NFI_Expiration=1,IF($A716&lt;VLOOKUP(V$5,NFI,5,0),1,0)*Table_NFI[[#This Row],[Jerry Can]],Table_NFI[Jerry Can])</f>
        <v>0</v>
      </c>
      <c r="AO716" s="540" t="str">
        <f>IFERROR(VLOOKUP(Table_NFI[[#This Row],[Camp Name]],CL,2,0),"")</f>
        <v>MMR001CMP016</v>
      </c>
      <c r="AP716" s="535">
        <f ca="1">IF(Table_NFI[[#This Row],[Pcode]]="","",IF(OFFSET(CampList[Opening Date],MATCH(Table_NFI[[#This Row],[Pcode]],CampList[CP_Pcode],0)-1,0,1,1)&gt;=NFI_Monitor_Date,1,0))</f>
        <v>0</v>
      </c>
      <c r="AQ716" s="540" t="str">
        <f>IFERROR(VLOOKUP(Table_NFI[[#This Row],[Camp Name]],CL,3,0),"")</f>
        <v>Open</v>
      </c>
      <c r="AR716" s="352" t="str">
        <f ca="1">IF(Table_NFI[[#This Row],[Pcode]]="","",OFFSET(CampList[Priority],MATCH(Table_NFI[[#This Row],[Pcode]],CampList[CP_Pcode],0)-1,0,1,1))</f>
        <v>P4</v>
      </c>
      <c r="AS716" s="351">
        <f>IFERROR(Table_NFI[[#This Row],[Kitchen Set]]/VLOOKUP(Table_NFI[[#This Row],[Camp Name]],CL,4,0),"")</f>
        <v>1.6666666666666666E-2</v>
      </c>
      <c r="AT716" s="533" t="s">
        <v>1094</v>
      </c>
      <c r="AU716" s="536"/>
    </row>
    <row r="717" spans="1:47" ht="14.45" hidden="1" customHeight="1" x14ac:dyDescent="0.25">
      <c r="A717" s="355">
        <f t="shared" si="11"/>
        <v>18.466666666666665</v>
      </c>
      <c r="B717" s="532">
        <v>42017</v>
      </c>
      <c r="C717" s="533" t="s">
        <v>1096</v>
      </c>
      <c r="D717" s="533" t="s">
        <v>902</v>
      </c>
      <c r="E717" s="533" t="s">
        <v>380</v>
      </c>
      <c r="F717" s="533" t="s">
        <v>185</v>
      </c>
      <c r="G717" s="533" t="s">
        <v>229</v>
      </c>
      <c r="H717" s="349"/>
      <c r="I717" s="352"/>
      <c r="J717" s="352"/>
      <c r="K717" s="352"/>
      <c r="L717" s="350"/>
      <c r="M717" s="350"/>
      <c r="N717" s="350"/>
      <c r="O717" s="350"/>
      <c r="P717" s="352"/>
      <c r="Q717" s="352"/>
      <c r="R717" s="352">
        <v>195</v>
      </c>
      <c r="S717" s="352">
        <v>91</v>
      </c>
      <c r="T717" s="352"/>
      <c r="U717" s="352">
        <v>92</v>
      </c>
      <c r="V717" s="497"/>
      <c r="W717" s="352"/>
      <c r="X717" s="352"/>
      <c r="Y717" s="352">
        <f>IF(NFI_Expiration=1,IF($A717&lt;VLOOKUP(H$5,NFI,5,0),1,0)*Table_NFI[[#This Row],[Hygiene Kit]],Table_NFI[Hygiene Kit])</f>
        <v>0</v>
      </c>
      <c r="Z717" s="352">
        <f>IF(NFI_Expiration=1,IF($A717&lt;VLOOKUP(I$5,NFI,5,0),1,0)*Table_NFI[[#This Row],[NFI Core Kit]],Table_NFI[NFI Core Kit])</f>
        <v>0</v>
      </c>
      <c r="AA717" s="352">
        <f>IF(NFI_Expiration=1,IF($A717&lt;VLOOKUP(J$5,NFI,5,0),1,0)*Table_NFI[[#This Row],[Sanitary Kit]],Table_NFI[Sanitary Kit])</f>
        <v>0</v>
      </c>
      <c r="AB717" s="352">
        <f>IF(NFI_Expiration=1,IF($A717&lt;VLOOKUP(K$5,NFI,5,0),1,0)*Table_NFI[[#This Row],[Mosquito net]],Table_NFI[Mosquito net])</f>
        <v>0</v>
      </c>
      <c r="AC717" s="352">
        <f>IF(NFI_Expiration=1,IF($A717&lt;VLOOKUP(L$5,NFI,5,0),1,0)*Table_NFI[[#This Row],[Tarpaulin]],Table_NFI[[#This Row],[Tarpaulin]])</f>
        <v>0</v>
      </c>
      <c r="AD717" s="352">
        <f>IF(NFI_Expiration=1,IF($A717&lt;VLOOKUP(M$5,NFI,5,0),1,0)*Table_NFI[[#This Row],[Blanket]],Table_NFI[[#This Row],[Blanket]])</f>
        <v>0</v>
      </c>
      <c r="AE717" s="352">
        <f>IF(NFI_Expiration=1,IF($A717&lt;VLOOKUP(N$5,NFI,5,0),1,0)*Table_NFI[[#This Row],[Kitchen Set]],Table_NFI[Kitchen Set])</f>
        <v>0</v>
      </c>
      <c r="AF717" s="352">
        <f>IF(NFI_Expiration=1,IF($A717&lt;VLOOKUP(O$5,NFI,5,0),1,0)*Table_NFI[[#This Row],[Clothes Kit]],Table_NFI[Clothes Kit])</f>
        <v>0</v>
      </c>
      <c r="AG717" s="352">
        <f>IF(NFI_Expiration=1,IF($A717&lt;VLOOKUP(P$5,NFI,5,0),1,0)*Table_NFI[[#This Row],[Plastic Bucket]],Table_NFI[Plastic Bucket])</f>
        <v>0</v>
      </c>
      <c r="AH717" s="352">
        <f>IF(NFI_Expiration=1,IF($A717&lt;VLOOKUP(Q$5,NFI,5,0),1,0)*Table_NFI[[#This Row],[Plastic Mat]],Table_NFI[Plastic Mat])*IF(Table_NFI[[#This Row],[Distribution Date]]&gt;"2014-04-01",1,2.5)</f>
        <v>0</v>
      </c>
      <c r="AI717" s="352">
        <f>IF(NFI_Expiration=1,IF($A717&lt;VLOOKUP(R$5,NFI,5,0),1,0)*Table_NFI[[#This Row],[Winter Clothes Adult]],Table_NFI[Winter Clothes Adult])</f>
        <v>0</v>
      </c>
      <c r="AJ717" s="352">
        <f>IF(NFI_Expiration=1,IF($A717&lt;VLOOKUP(S$5,NFI,5,0),1,0)*Table_NFI[[#This Row],[Winter Clothes Children]],Table_NFI[Winter Clothes Children])</f>
        <v>0</v>
      </c>
      <c r="AK717" s="352">
        <f>IF(NFI_Expiration=1,IF($A717&lt;VLOOKUP(T$5,NFI,5,0),1,0)*Table_NFI[[#This Row],[Winter Items Other]],Table_NFI[Winter Items Other])</f>
        <v>0</v>
      </c>
      <c r="AL717" s="352">
        <f>IF(NFI_Expiration=1,IF($A717&lt;VLOOKUP(M$5,NFI,5,0),1,0)*Table_NFI[[#This Row],[Winter Blanket]],Table_NFI[[#This Row],[Winter Blanket]])</f>
        <v>0</v>
      </c>
      <c r="AM717" s="352">
        <f>IF(Table_NFI[[#This Row],[Winter Clothes Adult]]+Table_NFI[[#This Row],[Winter Clothes Children]]+Table_NFI[[#This Row],[Winter Items Other]]+Table_NFI[[#This Row],[Winter Blanket]]&gt;0,1,0)</f>
        <v>1</v>
      </c>
      <c r="AN717" s="392">
        <f>IF(NFI_Expiration=1,IF($A717&lt;VLOOKUP(V$5,NFI,5,0),1,0)*Table_NFI[[#This Row],[Jerry Can]],Table_NFI[Jerry Can])</f>
        <v>0</v>
      </c>
      <c r="AO717" s="540" t="str">
        <f>IFERROR(VLOOKUP(Table_NFI[[#This Row],[Camp Name]],CL,2,0),"")</f>
        <v>MMR001CMP072</v>
      </c>
      <c r="AP717" s="535">
        <f ca="1">IF(Table_NFI[[#This Row],[Pcode]]="","",IF(OFFSET(CampList[Opening Date],MATCH(Table_NFI[[#This Row],[Pcode]],CampList[CP_Pcode],0)-1,0,1,1)&gt;=NFI_Monitor_Date,1,0))</f>
        <v>0</v>
      </c>
      <c r="AQ717" s="540" t="str">
        <f>IFERROR(VLOOKUP(Table_NFI[[#This Row],[Camp Name]],CL,3,0),"")</f>
        <v>Open</v>
      </c>
      <c r="AR717" s="352" t="str">
        <f ca="1">IF(Table_NFI[[#This Row],[Pcode]]="","",OFFSET(CampList[Priority],MATCH(Table_NFI[[#This Row],[Pcode]],CampList[CP_Pcode],0)-1,0,1,1))</f>
        <v>P3</v>
      </c>
      <c r="AS717" s="351">
        <f>IFERROR(Table_NFI[[#This Row],[Kitchen Set]]/VLOOKUP(Table_NFI[[#This Row],[Camp Name]],CL,4,0),"")</f>
        <v>0</v>
      </c>
      <c r="AT717" s="533"/>
      <c r="AU717" s="557"/>
    </row>
    <row r="718" spans="1:47" ht="14.45" customHeight="1" x14ac:dyDescent="0.25">
      <c r="A718" s="355">
        <f t="shared" si="11"/>
        <v>48.033333333333331</v>
      </c>
      <c r="B718" s="532">
        <v>41130</v>
      </c>
      <c r="C718" s="533" t="s">
        <v>453</v>
      </c>
      <c r="D718" s="533" t="s">
        <v>453</v>
      </c>
      <c r="E718" s="533" t="s">
        <v>380</v>
      </c>
      <c r="F718" s="348" t="s">
        <v>237</v>
      </c>
      <c r="G718" s="348" t="s">
        <v>263</v>
      </c>
      <c r="H718" s="349"/>
      <c r="I718" s="349"/>
      <c r="J718" s="349"/>
      <c r="K718" s="349">
        <v>2</v>
      </c>
      <c r="L718" s="350">
        <v>1</v>
      </c>
      <c r="M718" s="350">
        <v>2</v>
      </c>
      <c r="N718" s="350">
        <v>1</v>
      </c>
      <c r="O718" s="350">
        <v>1</v>
      </c>
      <c r="P718" s="352">
        <v>1</v>
      </c>
      <c r="Q718" s="352">
        <v>1</v>
      </c>
      <c r="R718" s="352"/>
      <c r="S718" s="352"/>
      <c r="T718" s="352"/>
      <c r="U718" s="352"/>
      <c r="V718" s="497"/>
      <c r="W718" s="352"/>
      <c r="X718" s="352"/>
      <c r="Y718" s="352">
        <f>IF(NFI_Expiration=1,IF($A718&lt;VLOOKUP(H$5,NFI,5,0),1,0)*Table_NFI[[#This Row],[Hygiene Kit]],Table_NFI[Hygiene Kit])</f>
        <v>0</v>
      </c>
      <c r="Z718" s="352">
        <f>IF(NFI_Expiration=1,IF($A718&lt;VLOOKUP(I$5,NFI,5,0),1,0)*Table_NFI[[#This Row],[NFI Core Kit]],Table_NFI[NFI Core Kit])</f>
        <v>0</v>
      </c>
      <c r="AA718" s="352">
        <f>IF(NFI_Expiration=1,IF($A718&lt;VLOOKUP(J$5,NFI,5,0),1,0)*Table_NFI[[#This Row],[Sanitary Kit]],Table_NFI[Sanitary Kit])</f>
        <v>0</v>
      </c>
      <c r="AB718" s="352">
        <f>IF(NFI_Expiration=1,IF($A718&lt;VLOOKUP(K$5,NFI,5,0),1,0)*Table_NFI[[#This Row],[Mosquito net]],Table_NFI[Mosquito net])</f>
        <v>0</v>
      </c>
      <c r="AC718" s="352">
        <f>IF(NFI_Expiration=1,IF($A718&lt;VLOOKUP(L$5,NFI,5,0),1,0)*Table_NFI[[#This Row],[Tarpaulin]],Table_NFI[[#This Row],[Tarpaulin]])</f>
        <v>0</v>
      </c>
      <c r="AD718" s="352">
        <f>IF(NFI_Expiration=1,IF($A718&lt;VLOOKUP(M$5,NFI,5,0),1,0)*Table_NFI[[#This Row],[Blanket]],Table_NFI[[#This Row],[Blanket]])</f>
        <v>0</v>
      </c>
      <c r="AE718" s="352">
        <f>IF(NFI_Expiration=1,IF($A718&lt;VLOOKUP(N$5,NFI,5,0),1,0)*Table_NFI[[#This Row],[Kitchen Set]],Table_NFI[Kitchen Set])</f>
        <v>0</v>
      </c>
      <c r="AF718" s="352">
        <f>IF(NFI_Expiration=1,IF($A718&lt;VLOOKUP(O$5,NFI,5,0),1,0)*Table_NFI[[#This Row],[Clothes Kit]],Table_NFI[Clothes Kit])</f>
        <v>0</v>
      </c>
      <c r="AG718" s="352">
        <f>IF(NFI_Expiration=1,IF($A718&lt;VLOOKUP(P$5,NFI,5,0),1,0)*Table_NFI[[#This Row],[Plastic Bucket]],Table_NFI[Plastic Bucket])</f>
        <v>0</v>
      </c>
      <c r="AH718" s="352">
        <f>IF(NFI_Expiration=1,IF($A718&lt;VLOOKUP(Q$5,NFI,5,0),1,0)*Table_NFI[[#This Row],[Plastic Mat]],Table_NFI[Plastic Mat])*IF(Table_NFI[[#This Row],[Distribution Date]]&gt;"2014-04-01",1,2.5)</f>
        <v>0</v>
      </c>
      <c r="AI718" s="352">
        <f>IF(NFI_Expiration=1,IF($A718&lt;VLOOKUP(R$5,NFI,5,0),1,0)*Table_NFI[[#This Row],[Winter Clothes Adult]],Table_NFI[Winter Clothes Adult])</f>
        <v>0</v>
      </c>
      <c r="AJ718" s="352">
        <f>IF(NFI_Expiration=1,IF($A718&lt;VLOOKUP(S$5,NFI,5,0),1,0)*Table_NFI[[#This Row],[Winter Clothes Children]],Table_NFI[Winter Clothes Children])</f>
        <v>0</v>
      </c>
      <c r="AK718" s="352">
        <f>IF(NFI_Expiration=1,IF($A718&lt;VLOOKUP(T$5,NFI,5,0),1,0)*Table_NFI[[#This Row],[Winter Items Other]],Table_NFI[Winter Items Other])</f>
        <v>0</v>
      </c>
      <c r="AL718" s="352">
        <f>IF(NFI_Expiration=1,IF($A718&lt;VLOOKUP(M$5,NFI,5,0),1,0)*Table_NFI[[#This Row],[Winter Blanket]],Table_NFI[[#This Row],[Winter Blanket]])</f>
        <v>0</v>
      </c>
      <c r="AM718" s="352">
        <f>IF(Table_NFI[[#This Row],[Winter Clothes Adult]]+Table_NFI[[#This Row],[Winter Clothes Children]]+Table_NFI[[#This Row],[Winter Items Other]]+Table_NFI[[#This Row],[Winter Blanket]]&gt;0,1,0)</f>
        <v>0</v>
      </c>
      <c r="AN718" s="392">
        <f>IF(NFI_Expiration=1,IF($A718&lt;VLOOKUP(V$5,NFI,5,0),1,0)*Table_NFI[[#This Row],[Jerry Can]],Table_NFI[Jerry Can])</f>
        <v>0</v>
      </c>
      <c r="AO718" s="540" t="str">
        <f>IFERROR(VLOOKUP(Table_NFI[[#This Row],[Camp Name]],CL,2,0),"")</f>
        <v>MMR001CMP020</v>
      </c>
      <c r="AP718" s="535">
        <f ca="1">IF(Table_NFI[[#This Row],[Pcode]]="","",IF(OFFSET(CampList[Opening Date],MATCH(Table_NFI[[#This Row],[Pcode]],CampList[CP_Pcode],0)-1,0,1,1)&gt;=NFI_Monitor_Date,1,0))</f>
        <v>0</v>
      </c>
      <c r="AQ718" s="540" t="str">
        <f>IFERROR(VLOOKUP(Table_NFI[[#This Row],[Camp Name]],CL,3,0),"")</f>
        <v>Open</v>
      </c>
      <c r="AR718" s="352" t="str">
        <f ca="1">IF(Table_NFI[[#This Row],[Pcode]]="","",OFFSET(CampList[Priority],MATCH(Table_NFI[[#This Row],[Pcode]],CampList[CP_Pcode],0)-1,0,1,1))</f>
        <v>P4</v>
      </c>
      <c r="AS718" s="351">
        <f>IFERROR(Table_NFI[[#This Row],[Kitchen Set]]/VLOOKUP(Table_NFI[[#This Row],[Camp Name]],CL,4,0),"")</f>
        <v>4.7619047619047616E-2</v>
      </c>
      <c r="AT718" s="533" t="s">
        <v>1094</v>
      </c>
      <c r="AU718" s="536"/>
    </row>
    <row r="719" spans="1:47" hidden="1" x14ac:dyDescent="0.2">
      <c r="A719" s="355">
        <f t="shared" si="11"/>
        <v>19.333333333333332</v>
      </c>
      <c r="B719" s="532">
        <v>41991</v>
      </c>
      <c r="C719" s="533" t="s">
        <v>907</v>
      </c>
      <c r="D719" s="533" t="s">
        <v>907</v>
      </c>
      <c r="E719" s="533" t="s">
        <v>380</v>
      </c>
      <c r="F719" s="348" t="s">
        <v>185</v>
      </c>
      <c r="G719" s="348" t="s">
        <v>229</v>
      </c>
      <c r="H719" s="349"/>
      <c r="I719" s="349"/>
      <c r="J719" s="677">
        <v>85</v>
      </c>
      <c r="K719" s="349"/>
      <c r="L719" s="350"/>
      <c r="M719" s="350"/>
      <c r="N719" s="350"/>
      <c r="O719" s="350"/>
      <c r="P719" s="352"/>
      <c r="Q719" s="392"/>
      <c r="R719" s="392"/>
      <c r="S719" s="392"/>
      <c r="T719" s="392"/>
      <c r="U719" s="392"/>
      <c r="V719" s="497"/>
      <c r="W719" s="392"/>
      <c r="X719" s="392"/>
      <c r="Y719" s="352">
        <f>IF(NFI_Expiration=1,IF($A719&lt;VLOOKUP(H$5,NFI,5,0),1,0)*Table_NFI[[#This Row],[Hygiene Kit]],Table_NFI[Hygiene Kit])</f>
        <v>0</v>
      </c>
      <c r="Z719" s="352">
        <f>IF(NFI_Expiration=1,IF($A719&lt;VLOOKUP(I$5,NFI,5,0),1,0)*Table_NFI[[#This Row],[NFI Core Kit]],Table_NFI[NFI Core Kit])</f>
        <v>0</v>
      </c>
      <c r="AA719" s="352">
        <f>IF(NFI_Expiration=1,IF($A719&lt;VLOOKUP(J$5,NFI,5,0),1,0)*Table_NFI[[#This Row],[Sanitary Kit]],Table_NFI[Sanitary Kit])</f>
        <v>0</v>
      </c>
      <c r="AB719" s="352">
        <f>IF(NFI_Expiration=1,IF($A719&lt;VLOOKUP(K$5,NFI,5,0),1,0)*Table_NFI[[#This Row],[Mosquito net]],Table_NFI[Mosquito net])</f>
        <v>0</v>
      </c>
      <c r="AC719" s="352">
        <f>IF(NFI_Expiration=1,IF($A719&lt;VLOOKUP(L$5,NFI,5,0),1,0)*Table_NFI[[#This Row],[Tarpaulin]],Table_NFI[[#This Row],[Tarpaulin]])</f>
        <v>0</v>
      </c>
      <c r="AD719" s="352">
        <f>IF(NFI_Expiration=1,IF($A719&lt;VLOOKUP(M$5,NFI,5,0),1,0)*Table_NFI[[#This Row],[Blanket]],Table_NFI[[#This Row],[Blanket]])</f>
        <v>0</v>
      </c>
      <c r="AE719" s="352">
        <f>IF(NFI_Expiration=1,IF($A719&lt;VLOOKUP(N$5,NFI,5,0),1,0)*Table_NFI[[#This Row],[Kitchen Set]],Table_NFI[Kitchen Set])</f>
        <v>0</v>
      </c>
      <c r="AF719" s="352">
        <f>IF(NFI_Expiration=1,IF($A719&lt;VLOOKUP(O$5,NFI,5,0),1,0)*Table_NFI[[#This Row],[Clothes Kit]],Table_NFI[Clothes Kit])</f>
        <v>0</v>
      </c>
      <c r="AG719" s="352">
        <f>IF(NFI_Expiration=1,IF($A719&lt;VLOOKUP(P$5,NFI,5,0),1,0)*Table_NFI[[#This Row],[Plastic Bucket]],Table_NFI[Plastic Bucket])</f>
        <v>0</v>
      </c>
      <c r="AH719" s="352">
        <f>IF(NFI_Expiration=1,IF($A719&lt;VLOOKUP(Q$5,NFI,5,0),1,0)*Table_NFI[[#This Row],[Plastic Mat]],Table_NFI[Plastic Mat])*IF(Table_NFI[[#This Row],[Distribution Date]]&gt;"2014-04-01",1,2.5)</f>
        <v>0</v>
      </c>
      <c r="AI719" s="352">
        <f>IF(NFI_Expiration=1,IF($A719&lt;VLOOKUP(R$5,NFI,5,0),1,0)*Table_NFI[[#This Row],[Winter Clothes Adult]],Table_NFI[Winter Clothes Adult])</f>
        <v>0</v>
      </c>
      <c r="AJ719" s="352">
        <f>IF(NFI_Expiration=1,IF($A719&lt;VLOOKUP(S$5,NFI,5,0),1,0)*Table_NFI[[#This Row],[Winter Clothes Children]],Table_NFI[Winter Clothes Children])</f>
        <v>0</v>
      </c>
      <c r="AK719" s="352">
        <f>IF(NFI_Expiration=1,IF($A719&lt;VLOOKUP(T$5,NFI,5,0),1,0)*Table_NFI[[#This Row],[Winter Items Other]],Table_NFI[Winter Items Other])</f>
        <v>0</v>
      </c>
      <c r="AL719" s="352">
        <f>IF(NFI_Expiration=1,IF($A719&lt;VLOOKUP(M$5,NFI,5,0),1,0)*Table_NFI[[#This Row],[Winter Blanket]],Table_NFI[[#This Row],[Winter Blanket]])</f>
        <v>0</v>
      </c>
      <c r="AM719" s="352">
        <f>IF(Table_NFI[[#This Row],[Winter Clothes Adult]]+Table_NFI[[#This Row],[Winter Clothes Children]]+Table_NFI[[#This Row],[Winter Items Other]]+Table_NFI[[#This Row],[Winter Blanket]]&gt;0,1,0)</f>
        <v>0</v>
      </c>
      <c r="AN719" s="392">
        <f>IF(NFI_Expiration=1,IF($A719&lt;VLOOKUP(V$5,NFI,5,0),1,0)*Table_NFI[[#This Row],[Jerry Can]],Table_NFI[Jerry Can])</f>
        <v>0</v>
      </c>
      <c r="AO719" s="540" t="str">
        <f>IFERROR(VLOOKUP(Table_NFI[[#This Row],[Camp Name]],CL,2,0),"")</f>
        <v>MMR001CMP072</v>
      </c>
      <c r="AP719" s="535">
        <f ca="1">IF(Table_NFI[[#This Row],[Pcode]]="","",IF(OFFSET(CampList[Opening Date],MATCH(Table_NFI[[#This Row],[Pcode]],CampList[CP_Pcode],0)-1,0,1,1)&gt;=NFI_Monitor_Date,1,0))</f>
        <v>0</v>
      </c>
      <c r="AQ719" s="540" t="str">
        <f>IFERROR(VLOOKUP(Table_NFI[[#This Row],[Camp Name]],CL,3,0),"")</f>
        <v>Open</v>
      </c>
      <c r="AR719" s="352" t="str">
        <f ca="1">IF(Table_NFI[[#This Row],[Pcode]]="","",OFFSET(CampList[Priority],MATCH(Table_NFI[[#This Row],[Pcode]],CampList[CP_Pcode],0)-1,0,1,1))</f>
        <v>P3</v>
      </c>
      <c r="AS719" s="351">
        <f>IFERROR(Table_NFI[[#This Row],[Kitchen Set]]/VLOOKUP(Table_NFI[[#This Row],[Camp Name]],CL,4,0),"")</f>
        <v>0</v>
      </c>
      <c r="AT719" s="533"/>
      <c r="AU719" s="536"/>
    </row>
    <row r="720" spans="1:47" hidden="1" x14ac:dyDescent="0.25">
      <c r="A720" s="355">
        <f t="shared" si="11"/>
        <v>16.600000000000001</v>
      </c>
      <c r="B720" s="532">
        <v>42073</v>
      </c>
      <c r="C720" s="533" t="s">
        <v>907</v>
      </c>
      <c r="D720" s="533" t="s">
        <v>907</v>
      </c>
      <c r="E720" s="533" t="s">
        <v>380</v>
      </c>
      <c r="F720" s="348" t="s">
        <v>185</v>
      </c>
      <c r="G720" s="348" t="s">
        <v>229</v>
      </c>
      <c r="H720" s="349"/>
      <c r="I720" s="349"/>
      <c r="J720" s="350"/>
      <c r="K720" s="349"/>
      <c r="L720" s="350"/>
      <c r="M720" s="350"/>
      <c r="N720" s="350"/>
      <c r="O720" s="350"/>
      <c r="P720" s="352"/>
      <c r="Q720" s="392"/>
      <c r="R720" s="392"/>
      <c r="S720" s="392"/>
      <c r="T720" s="392"/>
      <c r="U720" s="392"/>
      <c r="V720" s="497"/>
      <c r="W720" s="392">
        <v>2</v>
      </c>
      <c r="X720" s="392"/>
      <c r="Y720" s="352">
        <f>IF(NFI_Expiration=1,IF($A720&lt;VLOOKUP(H$5,NFI,5,0),1,0)*Table_NFI[[#This Row],[Hygiene Kit]],Table_NFI[Hygiene Kit])</f>
        <v>0</v>
      </c>
      <c r="Z720" s="352">
        <f>IF(NFI_Expiration=1,IF($A720&lt;VLOOKUP(I$5,NFI,5,0),1,0)*Table_NFI[[#This Row],[NFI Core Kit]],Table_NFI[NFI Core Kit])</f>
        <v>0</v>
      </c>
      <c r="AA720" s="352">
        <f>IF(NFI_Expiration=1,IF($A720&lt;VLOOKUP(J$5,NFI,5,0),1,0)*Table_NFI[[#This Row],[Sanitary Kit]],Table_NFI[Sanitary Kit])</f>
        <v>0</v>
      </c>
      <c r="AB720" s="352">
        <f>IF(NFI_Expiration=1,IF($A720&lt;VLOOKUP(K$5,NFI,5,0),1,0)*Table_NFI[[#This Row],[Mosquito net]],Table_NFI[Mosquito net])</f>
        <v>0</v>
      </c>
      <c r="AC720" s="352">
        <f>IF(NFI_Expiration=1,IF($A720&lt;VLOOKUP(L$5,NFI,5,0),1,0)*Table_NFI[[#This Row],[Tarpaulin]],Table_NFI[[#This Row],[Tarpaulin]])</f>
        <v>0</v>
      </c>
      <c r="AD720" s="352">
        <f>IF(NFI_Expiration=1,IF($A720&lt;VLOOKUP(M$5,NFI,5,0),1,0)*Table_NFI[[#This Row],[Blanket]],Table_NFI[[#This Row],[Blanket]])</f>
        <v>0</v>
      </c>
      <c r="AE720" s="352">
        <f>IF(NFI_Expiration=1,IF($A720&lt;VLOOKUP(N$5,NFI,5,0),1,0)*Table_NFI[[#This Row],[Kitchen Set]],Table_NFI[Kitchen Set])</f>
        <v>0</v>
      </c>
      <c r="AF720" s="352">
        <f>IF(NFI_Expiration=1,IF($A720&lt;VLOOKUP(O$5,NFI,5,0),1,0)*Table_NFI[[#This Row],[Clothes Kit]],Table_NFI[Clothes Kit])</f>
        <v>0</v>
      </c>
      <c r="AG720" s="352">
        <f>IF(NFI_Expiration=1,IF($A720&lt;VLOOKUP(P$5,NFI,5,0),1,0)*Table_NFI[[#This Row],[Plastic Bucket]],Table_NFI[Plastic Bucket])</f>
        <v>0</v>
      </c>
      <c r="AH720" s="352">
        <f>IF(NFI_Expiration=1,IF($A720&lt;VLOOKUP(Q$5,NFI,5,0),1,0)*Table_NFI[[#This Row],[Plastic Mat]],Table_NFI[Plastic Mat])*IF(Table_NFI[[#This Row],[Distribution Date]]&gt;"2014-04-01",1,2.5)</f>
        <v>0</v>
      </c>
      <c r="AI720" s="352">
        <f>IF(NFI_Expiration=1,IF($A720&lt;VLOOKUP(R$5,NFI,5,0),1,0)*Table_NFI[[#This Row],[Winter Clothes Adult]],Table_NFI[Winter Clothes Adult])</f>
        <v>0</v>
      </c>
      <c r="AJ720" s="352">
        <f>IF(NFI_Expiration=1,IF($A720&lt;VLOOKUP(S$5,NFI,5,0),1,0)*Table_NFI[[#This Row],[Winter Clothes Children]],Table_NFI[Winter Clothes Children])</f>
        <v>0</v>
      </c>
      <c r="AK720" s="352">
        <f>IF(NFI_Expiration=1,IF($A720&lt;VLOOKUP(T$5,NFI,5,0),1,0)*Table_NFI[[#This Row],[Winter Items Other]],Table_NFI[Winter Items Other])</f>
        <v>0</v>
      </c>
      <c r="AL720" s="352">
        <f>IF(NFI_Expiration=1,IF($A720&lt;VLOOKUP(M$5,NFI,5,0),1,0)*Table_NFI[[#This Row],[Winter Blanket]],Table_NFI[[#This Row],[Winter Blanket]])</f>
        <v>0</v>
      </c>
      <c r="AM720" s="352">
        <f>IF(Table_NFI[[#This Row],[Winter Clothes Adult]]+Table_NFI[[#This Row],[Winter Clothes Children]]+Table_NFI[[#This Row],[Winter Items Other]]+Table_NFI[[#This Row],[Winter Blanket]]&gt;0,1,0)</f>
        <v>0</v>
      </c>
      <c r="AN720" s="392">
        <f>IF(NFI_Expiration=1,IF($A720&lt;VLOOKUP(V$5,NFI,5,0),1,0)*Table_NFI[[#This Row],[Jerry Can]],Table_NFI[Jerry Can])</f>
        <v>0</v>
      </c>
      <c r="AO720" s="540" t="str">
        <f>IFERROR(VLOOKUP(Table_NFI[[#This Row],[Camp Name]],CL,2,0),"")</f>
        <v>MMR001CMP072</v>
      </c>
      <c r="AP720" s="535">
        <f ca="1">IF(Table_NFI[[#This Row],[Pcode]]="","",IF(OFFSET(CampList[Opening Date],MATCH(Table_NFI[[#This Row],[Pcode]],CampList[CP_Pcode],0)-1,0,1,1)&gt;=NFI_Monitor_Date,1,0))</f>
        <v>0</v>
      </c>
      <c r="AQ720" s="540" t="str">
        <f>IFERROR(VLOOKUP(Table_NFI[[#This Row],[Camp Name]],CL,3,0),"")</f>
        <v>Open</v>
      </c>
      <c r="AR720" s="352" t="str">
        <f ca="1">IF(Table_NFI[[#This Row],[Pcode]]="","",OFFSET(CampList[Priority],MATCH(Table_NFI[[#This Row],[Pcode]],CampList[CP_Pcode],0)-1,0,1,1))</f>
        <v>P3</v>
      </c>
      <c r="AS720" s="351">
        <f>IFERROR(Table_NFI[[#This Row],[Kitchen Set]]/VLOOKUP(Table_NFI[[#This Row],[Camp Name]],CL,4,0),"")</f>
        <v>0</v>
      </c>
      <c r="AT720" s="533"/>
      <c r="AU720" s="536"/>
    </row>
    <row r="721" spans="1:47" hidden="1" x14ac:dyDescent="0.25">
      <c r="A721" s="355">
        <f t="shared" si="11"/>
        <v>7.2666666666666666</v>
      </c>
      <c r="B721" s="532">
        <v>42353</v>
      </c>
      <c r="C721" s="533" t="s">
        <v>907</v>
      </c>
      <c r="D721" s="533" t="s">
        <v>907</v>
      </c>
      <c r="E721" s="533" t="s">
        <v>380</v>
      </c>
      <c r="F721" s="348" t="s">
        <v>185</v>
      </c>
      <c r="G721" s="348" t="s">
        <v>229</v>
      </c>
      <c r="H721" s="349"/>
      <c r="I721" s="349"/>
      <c r="J721" s="350"/>
      <c r="K721" s="349"/>
      <c r="L721" s="350"/>
      <c r="M721" s="350"/>
      <c r="N721" s="350"/>
      <c r="O721" s="350"/>
      <c r="P721" s="352"/>
      <c r="Q721" s="392"/>
      <c r="R721" s="392"/>
      <c r="S721" s="392"/>
      <c r="T721" s="392"/>
      <c r="U721" s="392"/>
      <c r="V721" s="497"/>
      <c r="W721" s="392">
        <v>5</v>
      </c>
      <c r="X721" s="392"/>
      <c r="Y721" s="352">
        <f>IF(NFI_Expiration=1,IF($A721&lt;VLOOKUP(H$5,NFI,5,0),1,0)*Table_NFI[[#This Row],[Hygiene Kit]],Table_NFI[Hygiene Kit])</f>
        <v>0</v>
      </c>
      <c r="Z721" s="352">
        <f>IF(NFI_Expiration=1,IF($A721&lt;VLOOKUP(I$5,NFI,5,0),1,0)*Table_NFI[[#This Row],[NFI Core Kit]],Table_NFI[NFI Core Kit])</f>
        <v>0</v>
      </c>
      <c r="AA721" s="352">
        <f>IF(NFI_Expiration=1,IF($A721&lt;VLOOKUP(J$5,NFI,5,0),1,0)*Table_NFI[[#This Row],[Sanitary Kit]],Table_NFI[Sanitary Kit])</f>
        <v>0</v>
      </c>
      <c r="AB721" s="352">
        <f>IF(NFI_Expiration=1,IF($A721&lt;VLOOKUP(K$5,NFI,5,0),1,0)*Table_NFI[[#This Row],[Mosquito net]],Table_NFI[Mosquito net])</f>
        <v>0</v>
      </c>
      <c r="AC721" s="352">
        <f>IF(NFI_Expiration=1,IF($A721&lt;VLOOKUP(L$5,NFI,5,0),1,0)*Table_NFI[[#This Row],[Tarpaulin]],Table_NFI[[#This Row],[Tarpaulin]])</f>
        <v>0</v>
      </c>
      <c r="AD721" s="352">
        <f>IF(NFI_Expiration=1,IF($A721&lt;VLOOKUP(M$5,NFI,5,0),1,0)*Table_NFI[[#This Row],[Blanket]],Table_NFI[[#This Row],[Blanket]])</f>
        <v>0</v>
      </c>
      <c r="AE721" s="352">
        <f>IF(NFI_Expiration=1,IF($A721&lt;VLOOKUP(N$5,NFI,5,0),1,0)*Table_NFI[[#This Row],[Kitchen Set]],Table_NFI[Kitchen Set])</f>
        <v>0</v>
      </c>
      <c r="AF721" s="352">
        <f>IF(NFI_Expiration=1,IF($A721&lt;VLOOKUP(O$5,NFI,5,0),1,0)*Table_NFI[[#This Row],[Clothes Kit]],Table_NFI[Clothes Kit])</f>
        <v>0</v>
      </c>
      <c r="AG721" s="352">
        <f>IF(NFI_Expiration=1,IF($A721&lt;VLOOKUP(P$5,NFI,5,0),1,0)*Table_NFI[[#This Row],[Plastic Bucket]],Table_NFI[Plastic Bucket])</f>
        <v>0</v>
      </c>
      <c r="AH721" s="352">
        <f>IF(NFI_Expiration=1,IF($A721&lt;VLOOKUP(Q$5,NFI,5,0),1,0)*Table_NFI[[#This Row],[Plastic Mat]],Table_NFI[Plastic Mat])*IF(Table_NFI[[#This Row],[Distribution Date]]&gt;"2014-04-01",1,2.5)</f>
        <v>0</v>
      </c>
      <c r="AI721" s="352">
        <f>IF(NFI_Expiration=1,IF($A721&lt;VLOOKUP(R$5,NFI,5,0),1,0)*Table_NFI[[#This Row],[Winter Clothes Adult]],Table_NFI[Winter Clothes Adult])</f>
        <v>0</v>
      </c>
      <c r="AJ721" s="352">
        <f>IF(NFI_Expiration=1,IF($A721&lt;VLOOKUP(S$5,NFI,5,0),1,0)*Table_NFI[[#This Row],[Winter Clothes Children]],Table_NFI[Winter Clothes Children])</f>
        <v>0</v>
      </c>
      <c r="AK721" s="352">
        <f>IF(NFI_Expiration=1,IF($A721&lt;VLOOKUP(T$5,NFI,5,0),1,0)*Table_NFI[[#This Row],[Winter Items Other]],Table_NFI[Winter Items Other])</f>
        <v>0</v>
      </c>
      <c r="AL721" s="352">
        <f>IF(NFI_Expiration=1,IF($A721&lt;VLOOKUP(M$5,NFI,5,0),1,0)*Table_NFI[[#This Row],[Winter Blanket]],Table_NFI[[#This Row],[Winter Blanket]])</f>
        <v>0</v>
      </c>
      <c r="AM721" s="352">
        <f>IF(Table_NFI[[#This Row],[Winter Clothes Adult]]+Table_NFI[[#This Row],[Winter Clothes Children]]+Table_NFI[[#This Row],[Winter Items Other]]+Table_NFI[[#This Row],[Winter Blanket]]&gt;0,1,0)</f>
        <v>0</v>
      </c>
      <c r="AN721" s="392">
        <f>IF(NFI_Expiration=1,IF($A721&lt;VLOOKUP(V$5,NFI,5,0),1,0)*Table_NFI[[#This Row],[Jerry Can]],Table_NFI[Jerry Can])</f>
        <v>0</v>
      </c>
      <c r="AO721" s="540" t="str">
        <f>IFERROR(VLOOKUP(Table_NFI[[#This Row],[Camp Name]],CL,2,0),"")</f>
        <v>MMR001CMP072</v>
      </c>
      <c r="AP721" s="535">
        <f ca="1">IF(Table_NFI[[#This Row],[Pcode]]="","",IF(OFFSET(CampList[Opening Date],MATCH(Table_NFI[[#This Row],[Pcode]],CampList[CP_Pcode],0)-1,0,1,1)&gt;=NFI_Monitor_Date,1,0))</f>
        <v>0</v>
      </c>
      <c r="AQ721" s="540" t="str">
        <f>IFERROR(VLOOKUP(Table_NFI[[#This Row],[Camp Name]],CL,3,0),"")</f>
        <v>Open</v>
      </c>
      <c r="AR721" s="352" t="str">
        <f ca="1">IF(Table_NFI[[#This Row],[Pcode]]="","",OFFSET(CampList[Priority],MATCH(Table_NFI[[#This Row],[Pcode]],CampList[CP_Pcode],0)-1,0,1,1))</f>
        <v>P3</v>
      </c>
      <c r="AS721" s="351">
        <f>IFERROR(Table_NFI[[#This Row],[Kitchen Set]]/VLOOKUP(Table_NFI[[#This Row],[Camp Name]],CL,4,0),"")</f>
        <v>0</v>
      </c>
      <c r="AT721" s="533"/>
      <c r="AU721" s="536"/>
    </row>
    <row r="722" spans="1:47" hidden="1" x14ac:dyDescent="0.25">
      <c r="A722" s="355">
        <f t="shared" si="11"/>
        <v>2.7</v>
      </c>
      <c r="B722" s="532">
        <v>42490</v>
      </c>
      <c r="C722" s="533" t="s">
        <v>907</v>
      </c>
      <c r="D722" s="533" t="s">
        <v>907</v>
      </c>
      <c r="E722" s="533" t="s">
        <v>380</v>
      </c>
      <c r="F722" s="348" t="s">
        <v>185</v>
      </c>
      <c r="G722" s="348" t="s">
        <v>229</v>
      </c>
      <c r="H722" s="349"/>
      <c r="I722" s="349"/>
      <c r="J722" s="350"/>
      <c r="K722" s="349"/>
      <c r="L722" s="350"/>
      <c r="M722" s="350"/>
      <c r="N722" s="350"/>
      <c r="O722" s="350"/>
      <c r="P722" s="352"/>
      <c r="Q722" s="392"/>
      <c r="R722" s="392"/>
      <c r="S722" s="392"/>
      <c r="T722" s="392"/>
      <c r="U722" s="392"/>
      <c r="V722" s="497"/>
      <c r="W722" s="392">
        <v>5</v>
      </c>
      <c r="X722" s="392"/>
      <c r="Y722" s="352">
        <f>IF(NFI_Expiration=1,IF($A722&lt;VLOOKUP(H$5,NFI,5,0),1,0)*Table_NFI[[#This Row],[Hygiene Kit]],Table_NFI[Hygiene Kit])</f>
        <v>0</v>
      </c>
      <c r="Z722" s="352">
        <f>IF(NFI_Expiration=1,IF($A722&lt;VLOOKUP(I$5,NFI,5,0),1,0)*Table_NFI[[#This Row],[NFI Core Kit]],Table_NFI[NFI Core Kit])</f>
        <v>0</v>
      </c>
      <c r="AA722" s="352">
        <f>IF(NFI_Expiration=1,IF($A722&lt;VLOOKUP(J$5,NFI,5,0),1,0)*Table_NFI[[#This Row],[Sanitary Kit]],Table_NFI[Sanitary Kit])</f>
        <v>0</v>
      </c>
      <c r="AB722" s="352">
        <f>IF(NFI_Expiration=1,IF($A722&lt;VLOOKUP(K$5,NFI,5,0),1,0)*Table_NFI[[#This Row],[Mosquito net]],Table_NFI[Mosquito net])</f>
        <v>0</v>
      </c>
      <c r="AC722" s="352">
        <f>IF(NFI_Expiration=1,IF($A722&lt;VLOOKUP(L$5,NFI,5,0),1,0)*Table_NFI[[#This Row],[Tarpaulin]],Table_NFI[[#This Row],[Tarpaulin]])</f>
        <v>0</v>
      </c>
      <c r="AD722" s="352">
        <f>IF(NFI_Expiration=1,IF($A722&lt;VLOOKUP(M$5,NFI,5,0),1,0)*Table_NFI[[#This Row],[Blanket]],Table_NFI[[#This Row],[Blanket]])</f>
        <v>0</v>
      </c>
      <c r="AE722" s="352">
        <f>IF(NFI_Expiration=1,IF($A722&lt;VLOOKUP(N$5,NFI,5,0),1,0)*Table_NFI[[#This Row],[Kitchen Set]],Table_NFI[Kitchen Set])</f>
        <v>0</v>
      </c>
      <c r="AF722" s="352">
        <f>IF(NFI_Expiration=1,IF($A722&lt;VLOOKUP(O$5,NFI,5,0),1,0)*Table_NFI[[#This Row],[Clothes Kit]],Table_NFI[Clothes Kit])</f>
        <v>0</v>
      </c>
      <c r="AG722" s="352">
        <f>IF(NFI_Expiration=1,IF($A722&lt;VLOOKUP(P$5,NFI,5,0),1,0)*Table_NFI[[#This Row],[Plastic Bucket]],Table_NFI[Plastic Bucket])</f>
        <v>0</v>
      </c>
      <c r="AH722" s="352">
        <f>IF(NFI_Expiration=1,IF($A722&lt;VLOOKUP(Q$5,NFI,5,0),1,0)*Table_NFI[[#This Row],[Plastic Mat]],Table_NFI[Plastic Mat])*IF(Table_NFI[[#This Row],[Distribution Date]]&gt;"2014-04-01",1,2.5)</f>
        <v>0</v>
      </c>
      <c r="AI722" s="352">
        <f>IF(NFI_Expiration=1,IF($A722&lt;VLOOKUP(R$5,NFI,5,0),1,0)*Table_NFI[[#This Row],[Winter Clothes Adult]],Table_NFI[Winter Clothes Adult])</f>
        <v>0</v>
      </c>
      <c r="AJ722" s="352">
        <f>IF(NFI_Expiration=1,IF($A722&lt;VLOOKUP(S$5,NFI,5,0),1,0)*Table_NFI[[#This Row],[Winter Clothes Children]],Table_NFI[Winter Clothes Children])</f>
        <v>0</v>
      </c>
      <c r="AK722" s="352">
        <f>IF(NFI_Expiration=1,IF($A722&lt;VLOOKUP(T$5,NFI,5,0),1,0)*Table_NFI[[#This Row],[Winter Items Other]],Table_NFI[Winter Items Other])</f>
        <v>0</v>
      </c>
      <c r="AL722" s="352">
        <f>IF(NFI_Expiration=1,IF($A722&lt;VLOOKUP(M$5,NFI,5,0),1,0)*Table_NFI[[#This Row],[Winter Blanket]],Table_NFI[[#This Row],[Winter Blanket]])</f>
        <v>0</v>
      </c>
      <c r="AM722" s="352">
        <f>IF(Table_NFI[[#This Row],[Winter Clothes Adult]]+Table_NFI[[#This Row],[Winter Clothes Children]]+Table_NFI[[#This Row],[Winter Items Other]]+Table_NFI[[#This Row],[Winter Blanket]]&gt;0,1,0)</f>
        <v>0</v>
      </c>
      <c r="AN722" s="392">
        <f>IF(NFI_Expiration=1,IF($A722&lt;VLOOKUP(V$5,NFI,5,0),1,0)*Table_NFI[[#This Row],[Jerry Can]],Table_NFI[Jerry Can])</f>
        <v>0</v>
      </c>
      <c r="AO722" s="540" t="str">
        <f>IFERROR(VLOOKUP(Table_NFI[[#This Row],[Camp Name]],CL,2,0),"")</f>
        <v>MMR001CMP072</v>
      </c>
      <c r="AP722" s="535">
        <f ca="1">IF(Table_NFI[[#This Row],[Pcode]]="","",IF(OFFSET(CampList[Opening Date],MATCH(Table_NFI[[#This Row],[Pcode]],CampList[CP_Pcode],0)-1,0,1,1)&gt;=NFI_Monitor_Date,1,0))</f>
        <v>0</v>
      </c>
      <c r="AQ722" s="540" t="str">
        <f>IFERROR(VLOOKUP(Table_NFI[[#This Row],[Camp Name]],CL,3,0),"")</f>
        <v>Open</v>
      </c>
      <c r="AR722" s="352" t="str">
        <f ca="1">IF(Table_NFI[[#This Row],[Pcode]]="","",OFFSET(CampList[Priority],MATCH(Table_NFI[[#This Row],[Pcode]],CampList[CP_Pcode],0)-1,0,1,1))</f>
        <v>P3</v>
      </c>
      <c r="AS722" s="351">
        <f>IFERROR(Table_NFI[[#This Row],[Kitchen Set]]/VLOOKUP(Table_NFI[[#This Row],[Camp Name]],CL,4,0),"")</f>
        <v>0</v>
      </c>
      <c r="AT722" s="533"/>
      <c r="AU722" s="536"/>
    </row>
    <row r="723" spans="1:47" hidden="1" x14ac:dyDescent="0.2">
      <c r="A723" s="355">
        <f t="shared" si="11"/>
        <v>13.733333333333333</v>
      </c>
      <c r="B723" s="532">
        <v>42159</v>
      </c>
      <c r="C723" s="533" t="s">
        <v>907</v>
      </c>
      <c r="D723" s="533" t="s">
        <v>907</v>
      </c>
      <c r="E723" s="533" t="s">
        <v>380</v>
      </c>
      <c r="F723" s="348" t="s">
        <v>185</v>
      </c>
      <c r="G723" s="348" t="s">
        <v>229</v>
      </c>
      <c r="H723" s="349"/>
      <c r="I723" s="349"/>
      <c r="J723" s="677">
        <v>87</v>
      </c>
      <c r="K723" s="349"/>
      <c r="L723" s="350"/>
      <c r="M723" s="350"/>
      <c r="N723" s="350"/>
      <c r="O723" s="350"/>
      <c r="P723" s="352"/>
      <c r="Q723" s="392"/>
      <c r="R723" s="392"/>
      <c r="S723" s="392"/>
      <c r="T723" s="392"/>
      <c r="U723" s="392"/>
      <c r="V723" s="497"/>
      <c r="W723" s="392"/>
      <c r="X723" s="392"/>
      <c r="Y723" s="352">
        <f>IF(NFI_Expiration=1,IF($A723&lt;VLOOKUP(H$5,NFI,5,0),1,0)*Table_NFI[[#This Row],[Hygiene Kit]],Table_NFI[Hygiene Kit])</f>
        <v>0</v>
      </c>
      <c r="Z723" s="352">
        <f>IF(NFI_Expiration=1,IF($A723&lt;VLOOKUP(I$5,NFI,5,0),1,0)*Table_NFI[[#This Row],[NFI Core Kit]],Table_NFI[NFI Core Kit])</f>
        <v>0</v>
      </c>
      <c r="AA723" s="352">
        <f>IF(NFI_Expiration=1,IF($A723&lt;VLOOKUP(J$5,NFI,5,0),1,0)*Table_NFI[[#This Row],[Sanitary Kit]],Table_NFI[Sanitary Kit])</f>
        <v>0</v>
      </c>
      <c r="AB723" s="352">
        <f>IF(NFI_Expiration=1,IF($A723&lt;VLOOKUP(K$5,NFI,5,0),1,0)*Table_NFI[[#This Row],[Mosquito net]],Table_NFI[Mosquito net])</f>
        <v>0</v>
      </c>
      <c r="AC723" s="352">
        <f>IF(NFI_Expiration=1,IF($A723&lt;VLOOKUP(L$5,NFI,5,0),1,0)*Table_NFI[[#This Row],[Tarpaulin]],Table_NFI[[#This Row],[Tarpaulin]])</f>
        <v>0</v>
      </c>
      <c r="AD723" s="352">
        <f>IF(NFI_Expiration=1,IF($A723&lt;VLOOKUP(M$5,NFI,5,0),1,0)*Table_NFI[[#This Row],[Blanket]],Table_NFI[[#This Row],[Blanket]])</f>
        <v>0</v>
      </c>
      <c r="AE723" s="352">
        <f>IF(NFI_Expiration=1,IF($A723&lt;VLOOKUP(N$5,NFI,5,0),1,0)*Table_NFI[[#This Row],[Kitchen Set]],Table_NFI[Kitchen Set])</f>
        <v>0</v>
      </c>
      <c r="AF723" s="352">
        <f>IF(NFI_Expiration=1,IF($A723&lt;VLOOKUP(O$5,NFI,5,0),1,0)*Table_NFI[[#This Row],[Clothes Kit]],Table_NFI[Clothes Kit])</f>
        <v>0</v>
      </c>
      <c r="AG723" s="352">
        <f>IF(NFI_Expiration=1,IF($A723&lt;VLOOKUP(P$5,NFI,5,0),1,0)*Table_NFI[[#This Row],[Plastic Bucket]],Table_NFI[Plastic Bucket])</f>
        <v>0</v>
      </c>
      <c r="AH723" s="352">
        <f>IF(NFI_Expiration=1,IF($A723&lt;VLOOKUP(Q$5,NFI,5,0),1,0)*Table_NFI[[#This Row],[Plastic Mat]],Table_NFI[Plastic Mat])*IF(Table_NFI[[#This Row],[Distribution Date]]&gt;"2014-04-01",1,2.5)</f>
        <v>0</v>
      </c>
      <c r="AI723" s="352">
        <f>IF(NFI_Expiration=1,IF($A723&lt;VLOOKUP(R$5,NFI,5,0),1,0)*Table_NFI[[#This Row],[Winter Clothes Adult]],Table_NFI[Winter Clothes Adult])</f>
        <v>0</v>
      </c>
      <c r="AJ723" s="352">
        <f>IF(NFI_Expiration=1,IF($A723&lt;VLOOKUP(S$5,NFI,5,0),1,0)*Table_NFI[[#This Row],[Winter Clothes Children]],Table_NFI[Winter Clothes Children])</f>
        <v>0</v>
      </c>
      <c r="AK723" s="352">
        <f>IF(NFI_Expiration=1,IF($A723&lt;VLOOKUP(T$5,NFI,5,0),1,0)*Table_NFI[[#This Row],[Winter Items Other]],Table_NFI[Winter Items Other])</f>
        <v>0</v>
      </c>
      <c r="AL723" s="352">
        <f>IF(NFI_Expiration=1,IF($A723&lt;VLOOKUP(M$5,NFI,5,0),1,0)*Table_NFI[[#This Row],[Winter Blanket]],Table_NFI[[#This Row],[Winter Blanket]])</f>
        <v>0</v>
      </c>
      <c r="AM723" s="352">
        <f>IF(Table_NFI[[#This Row],[Winter Clothes Adult]]+Table_NFI[[#This Row],[Winter Clothes Children]]+Table_NFI[[#This Row],[Winter Items Other]]+Table_NFI[[#This Row],[Winter Blanket]]&gt;0,1,0)</f>
        <v>0</v>
      </c>
      <c r="AN723" s="392">
        <f>IF(NFI_Expiration=1,IF($A723&lt;VLOOKUP(V$5,NFI,5,0),1,0)*Table_NFI[[#This Row],[Jerry Can]],Table_NFI[Jerry Can])</f>
        <v>0</v>
      </c>
      <c r="AO723" s="540" t="str">
        <f>IFERROR(VLOOKUP(Table_NFI[[#This Row],[Camp Name]],CL,2,0),"")</f>
        <v>MMR001CMP072</v>
      </c>
      <c r="AP723" s="535">
        <f ca="1">IF(Table_NFI[[#This Row],[Pcode]]="","",IF(OFFSET(CampList[Opening Date],MATCH(Table_NFI[[#This Row],[Pcode]],CampList[CP_Pcode],0)-1,0,1,1)&gt;=NFI_Monitor_Date,1,0))</f>
        <v>0</v>
      </c>
      <c r="AQ723" s="540" t="str">
        <f>IFERROR(VLOOKUP(Table_NFI[[#This Row],[Camp Name]],CL,3,0),"")</f>
        <v>Open</v>
      </c>
      <c r="AR723" s="352" t="str">
        <f ca="1">IF(Table_NFI[[#This Row],[Pcode]]="","",OFFSET(CampList[Priority],MATCH(Table_NFI[[#This Row],[Pcode]],CampList[CP_Pcode],0)-1,0,1,1))</f>
        <v>P3</v>
      </c>
      <c r="AS723" s="351">
        <f>IFERROR(Table_NFI[[#This Row],[Kitchen Set]]/VLOOKUP(Table_NFI[[#This Row],[Camp Name]],CL,4,0),"")</f>
        <v>0</v>
      </c>
      <c r="AT723" s="533"/>
      <c r="AU723" s="536"/>
    </row>
    <row r="724" spans="1:47" hidden="1" x14ac:dyDescent="0.2">
      <c r="A724" s="355">
        <f t="shared" si="11"/>
        <v>5.4333333333333336</v>
      </c>
      <c r="B724" s="532">
        <v>42408</v>
      </c>
      <c r="C724" s="533" t="s">
        <v>907</v>
      </c>
      <c r="D724" s="533" t="s">
        <v>907</v>
      </c>
      <c r="E724" s="533" t="s">
        <v>380</v>
      </c>
      <c r="F724" s="348" t="s">
        <v>185</v>
      </c>
      <c r="G724" s="348" t="s">
        <v>229</v>
      </c>
      <c r="H724" s="349"/>
      <c r="I724" s="349"/>
      <c r="J724" s="677">
        <v>82</v>
      </c>
      <c r="K724" s="349"/>
      <c r="L724" s="350"/>
      <c r="M724" s="350"/>
      <c r="N724" s="350"/>
      <c r="O724" s="350"/>
      <c r="P724" s="352"/>
      <c r="Q724" s="392"/>
      <c r="R724" s="392"/>
      <c r="S724" s="392"/>
      <c r="T724" s="392"/>
      <c r="U724" s="392"/>
      <c r="V724" s="497"/>
      <c r="W724" s="392"/>
      <c r="X724" s="392"/>
      <c r="Y724" s="352">
        <f>IF(NFI_Expiration=1,IF($A724&lt;VLOOKUP(H$5,NFI,5,0),1,0)*Table_NFI[[#This Row],[Hygiene Kit]],Table_NFI[Hygiene Kit])</f>
        <v>0</v>
      </c>
      <c r="Z724" s="352">
        <f>IF(NFI_Expiration=1,IF($A724&lt;VLOOKUP(I$5,NFI,5,0),1,0)*Table_NFI[[#This Row],[NFI Core Kit]],Table_NFI[NFI Core Kit])</f>
        <v>0</v>
      </c>
      <c r="AA724" s="352">
        <f>IF(NFI_Expiration=1,IF($A724&lt;VLOOKUP(J$5,NFI,5,0),1,0)*Table_NFI[[#This Row],[Sanitary Kit]],Table_NFI[Sanitary Kit])</f>
        <v>82</v>
      </c>
      <c r="AB724" s="352">
        <f>IF(NFI_Expiration=1,IF($A724&lt;VLOOKUP(K$5,NFI,5,0),1,0)*Table_NFI[[#This Row],[Mosquito net]],Table_NFI[Mosquito net])</f>
        <v>0</v>
      </c>
      <c r="AC724" s="352">
        <f>IF(NFI_Expiration=1,IF($A724&lt;VLOOKUP(L$5,NFI,5,0),1,0)*Table_NFI[[#This Row],[Tarpaulin]],Table_NFI[[#This Row],[Tarpaulin]])</f>
        <v>0</v>
      </c>
      <c r="AD724" s="352">
        <f>IF(NFI_Expiration=1,IF($A724&lt;VLOOKUP(M$5,NFI,5,0),1,0)*Table_NFI[[#This Row],[Blanket]],Table_NFI[[#This Row],[Blanket]])</f>
        <v>0</v>
      </c>
      <c r="AE724" s="352">
        <f>IF(NFI_Expiration=1,IF($A724&lt;VLOOKUP(N$5,NFI,5,0),1,0)*Table_NFI[[#This Row],[Kitchen Set]],Table_NFI[Kitchen Set])</f>
        <v>0</v>
      </c>
      <c r="AF724" s="352">
        <f>IF(NFI_Expiration=1,IF($A724&lt;VLOOKUP(O$5,NFI,5,0),1,0)*Table_NFI[[#This Row],[Clothes Kit]],Table_NFI[Clothes Kit])</f>
        <v>0</v>
      </c>
      <c r="AG724" s="352">
        <f>IF(NFI_Expiration=1,IF($A724&lt;VLOOKUP(P$5,NFI,5,0),1,0)*Table_NFI[[#This Row],[Plastic Bucket]],Table_NFI[Plastic Bucket])</f>
        <v>0</v>
      </c>
      <c r="AH724" s="352">
        <f>IF(NFI_Expiration=1,IF($A724&lt;VLOOKUP(Q$5,NFI,5,0),1,0)*Table_NFI[[#This Row],[Plastic Mat]],Table_NFI[Plastic Mat])*IF(Table_NFI[[#This Row],[Distribution Date]]&gt;"2014-04-01",1,2.5)</f>
        <v>0</v>
      </c>
      <c r="AI724" s="352">
        <f>IF(NFI_Expiration=1,IF($A724&lt;VLOOKUP(R$5,NFI,5,0),1,0)*Table_NFI[[#This Row],[Winter Clothes Adult]],Table_NFI[Winter Clothes Adult])</f>
        <v>0</v>
      </c>
      <c r="AJ724" s="352">
        <f>IF(NFI_Expiration=1,IF($A724&lt;VLOOKUP(S$5,NFI,5,0),1,0)*Table_NFI[[#This Row],[Winter Clothes Children]],Table_NFI[Winter Clothes Children])</f>
        <v>0</v>
      </c>
      <c r="AK724" s="352">
        <f>IF(NFI_Expiration=1,IF($A724&lt;VLOOKUP(T$5,NFI,5,0),1,0)*Table_NFI[[#This Row],[Winter Items Other]],Table_NFI[Winter Items Other])</f>
        <v>0</v>
      </c>
      <c r="AL724" s="352">
        <f>IF(NFI_Expiration=1,IF($A724&lt;VLOOKUP(M$5,NFI,5,0),1,0)*Table_NFI[[#This Row],[Winter Blanket]],Table_NFI[[#This Row],[Winter Blanket]])</f>
        <v>0</v>
      </c>
      <c r="AM724" s="352">
        <f>IF(Table_NFI[[#This Row],[Winter Clothes Adult]]+Table_NFI[[#This Row],[Winter Clothes Children]]+Table_NFI[[#This Row],[Winter Items Other]]+Table_NFI[[#This Row],[Winter Blanket]]&gt;0,1,0)</f>
        <v>0</v>
      </c>
      <c r="AN724" s="392">
        <f>IF(NFI_Expiration=1,IF($A724&lt;VLOOKUP(V$5,NFI,5,0),1,0)*Table_NFI[[#This Row],[Jerry Can]],Table_NFI[Jerry Can])</f>
        <v>0</v>
      </c>
      <c r="AO724" s="540" t="str">
        <f>IFERROR(VLOOKUP(Table_NFI[[#This Row],[Camp Name]],CL,2,0),"")</f>
        <v>MMR001CMP072</v>
      </c>
      <c r="AP724" s="535">
        <f ca="1">IF(Table_NFI[[#This Row],[Pcode]]="","",IF(OFFSET(CampList[Opening Date],MATCH(Table_NFI[[#This Row],[Pcode]],CampList[CP_Pcode],0)-1,0,1,1)&gt;=NFI_Monitor_Date,1,0))</f>
        <v>0</v>
      </c>
      <c r="AQ724" s="540" t="str">
        <f>IFERROR(VLOOKUP(Table_NFI[[#This Row],[Camp Name]],CL,3,0),"")</f>
        <v>Open</v>
      </c>
      <c r="AR724" s="352" t="str">
        <f ca="1">IF(Table_NFI[[#This Row],[Pcode]]="","",OFFSET(CampList[Priority],MATCH(Table_NFI[[#This Row],[Pcode]],CampList[CP_Pcode],0)-1,0,1,1))</f>
        <v>P3</v>
      </c>
      <c r="AS724" s="351">
        <f>IFERROR(Table_NFI[[#This Row],[Kitchen Set]]/VLOOKUP(Table_NFI[[#This Row],[Camp Name]],CL,4,0),"")</f>
        <v>0</v>
      </c>
      <c r="AT724" s="533"/>
      <c r="AU724" s="536"/>
    </row>
    <row r="725" spans="1:47" hidden="1" x14ac:dyDescent="0.25">
      <c r="A725" s="355">
        <f t="shared" si="11"/>
        <v>32.1</v>
      </c>
      <c r="B725" s="532">
        <v>41608</v>
      </c>
      <c r="C725" s="533" t="s">
        <v>907</v>
      </c>
      <c r="D725" s="533"/>
      <c r="E725" s="533" t="s">
        <v>380</v>
      </c>
      <c r="F725" s="348" t="s">
        <v>185</v>
      </c>
      <c r="G725" s="348" t="s">
        <v>229</v>
      </c>
      <c r="H725" s="349"/>
      <c r="I725" s="349"/>
      <c r="J725" s="349"/>
      <c r="K725" s="349"/>
      <c r="L725" s="350"/>
      <c r="M725" s="350"/>
      <c r="N725" s="350"/>
      <c r="O725" s="350"/>
      <c r="P725" s="352"/>
      <c r="Q725" s="352">
        <v>135</v>
      </c>
      <c r="R725" s="352"/>
      <c r="S725" s="352"/>
      <c r="T725" s="352"/>
      <c r="U725" s="352"/>
      <c r="V725" s="497"/>
      <c r="W725" s="352"/>
      <c r="X725" s="352"/>
      <c r="Y725" s="352">
        <f>IF(NFI_Expiration=1,IF($A725&lt;VLOOKUP(H$5,NFI,5,0),1,0)*Table_NFI[[#This Row],[Hygiene Kit]],Table_NFI[Hygiene Kit])</f>
        <v>0</v>
      </c>
      <c r="Z725" s="352">
        <f>IF(NFI_Expiration=1,IF($A725&lt;VLOOKUP(I$5,NFI,5,0),1,0)*Table_NFI[[#This Row],[NFI Core Kit]],Table_NFI[NFI Core Kit])</f>
        <v>0</v>
      </c>
      <c r="AA725" s="352">
        <f>IF(NFI_Expiration=1,IF($A725&lt;VLOOKUP(J$5,NFI,5,0),1,0)*Table_NFI[[#This Row],[Sanitary Kit]],Table_NFI[Sanitary Kit])</f>
        <v>0</v>
      </c>
      <c r="AB725" s="352">
        <f>IF(NFI_Expiration=1,IF($A725&lt;VLOOKUP(K$5,NFI,5,0),1,0)*Table_NFI[[#This Row],[Mosquito net]],Table_NFI[Mosquito net])</f>
        <v>0</v>
      </c>
      <c r="AC725" s="352">
        <f>IF(NFI_Expiration=1,IF($A725&lt;VLOOKUP(L$5,NFI,5,0),1,0)*Table_NFI[[#This Row],[Tarpaulin]],Table_NFI[[#This Row],[Tarpaulin]])</f>
        <v>0</v>
      </c>
      <c r="AD725" s="352">
        <f>IF(NFI_Expiration=1,IF($A725&lt;VLOOKUP(M$5,NFI,5,0),1,0)*Table_NFI[[#This Row],[Blanket]],Table_NFI[[#This Row],[Blanket]])</f>
        <v>0</v>
      </c>
      <c r="AE725" s="352">
        <f>IF(NFI_Expiration=1,IF($A725&lt;VLOOKUP(N$5,NFI,5,0),1,0)*Table_NFI[[#This Row],[Kitchen Set]],Table_NFI[Kitchen Set])</f>
        <v>0</v>
      </c>
      <c r="AF725" s="352">
        <f>IF(NFI_Expiration=1,IF($A725&lt;VLOOKUP(O$5,NFI,5,0),1,0)*Table_NFI[[#This Row],[Clothes Kit]],Table_NFI[Clothes Kit])</f>
        <v>0</v>
      </c>
      <c r="AG725" s="352">
        <f>IF(NFI_Expiration=1,IF($A725&lt;VLOOKUP(P$5,NFI,5,0),1,0)*Table_NFI[[#This Row],[Plastic Bucket]],Table_NFI[Plastic Bucket])</f>
        <v>0</v>
      </c>
      <c r="AH725" s="352">
        <f>IF(NFI_Expiration=1,IF($A725&lt;VLOOKUP(Q$5,NFI,5,0),1,0)*Table_NFI[[#This Row],[Plastic Mat]],Table_NFI[Plastic Mat])*IF(Table_NFI[[#This Row],[Distribution Date]]&gt;"2014-04-01",1,2.5)</f>
        <v>0</v>
      </c>
      <c r="AI725" s="352">
        <f>IF(NFI_Expiration=1,IF($A725&lt;VLOOKUP(R$5,NFI,5,0),1,0)*Table_NFI[[#This Row],[Winter Clothes Adult]],Table_NFI[Winter Clothes Adult])</f>
        <v>0</v>
      </c>
      <c r="AJ725" s="352">
        <f>IF(NFI_Expiration=1,IF($A725&lt;VLOOKUP(S$5,NFI,5,0),1,0)*Table_NFI[[#This Row],[Winter Clothes Children]],Table_NFI[Winter Clothes Children])</f>
        <v>0</v>
      </c>
      <c r="AK725" s="352">
        <f>IF(NFI_Expiration=1,IF($A725&lt;VLOOKUP(T$5,NFI,5,0),1,0)*Table_NFI[[#This Row],[Winter Items Other]],Table_NFI[Winter Items Other])</f>
        <v>0</v>
      </c>
      <c r="AL725" s="352">
        <f>IF(NFI_Expiration=1,IF($A725&lt;VLOOKUP(M$5,NFI,5,0),1,0)*Table_NFI[[#This Row],[Winter Blanket]],Table_NFI[[#This Row],[Winter Blanket]])</f>
        <v>0</v>
      </c>
      <c r="AM725" s="352">
        <f>IF(Table_NFI[[#This Row],[Winter Clothes Adult]]+Table_NFI[[#This Row],[Winter Clothes Children]]+Table_NFI[[#This Row],[Winter Items Other]]+Table_NFI[[#This Row],[Winter Blanket]]&gt;0,1,0)</f>
        <v>0</v>
      </c>
      <c r="AN725" s="392">
        <f>IF(NFI_Expiration=1,IF($A725&lt;VLOOKUP(V$5,NFI,5,0),1,0)*Table_NFI[[#This Row],[Jerry Can]],Table_NFI[Jerry Can])</f>
        <v>0</v>
      </c>
      <c r="AO725" s="540" t="str">
        <f>IFERROR(VLOOKUP(Table_NFI[[#This Row],[Camp Name]],CL,2,0),"")</f>
        <v>MMR001CMP072</v>
      </c>
      <c r="AP725" s="535">
        <f ca="1">IF(Table_NFI[[#This Row],[Pcode]]="","",IF(OFFSET(CampList[Opening Date],MATCH(Table_NFI[[#This Row],[Pcode]],CampList[CP_Pcode],0)-1,0,1,1)&gt;=NFI_Monitor_Date,1,0))</f>
        <v>0</v>
      </c>
      <c r="AQ725" s="540" t="str">
        <f>IFERROR(VLOOKUP(Table_NFI[[#This Row],[Camp Name]],CL,3,0),"")</f>
        <v>Open</v>
      </c>
      <c r="AR725" s="352" t="str">
        <f ca="1">IF(Table_NFI[[#This Row],[Pcode]]="","",OFFSET(CampList[Priority],MATCH(Table_NFI[[#This Row],[Pcode]],CampList[CP_Pcode],0)-1,0,1,1))</f>
        <v>P3</v>
      </c>
      <c r="AS725" s="351">
        <f>IFERROR(Table_NFI[[#This Row],[Kitchen Set]]/VLOOKUP(Table_NFI[[#This Row],[Camp Name]],CL,4,0),"")</f>
        <v>0</v>
      </c>
      <c r="AT725" s="533" t="s">
        <v>1094</v>
      </c>
      <c r="AU725" s="536"/>
    </row>
    <row r="726" spans="1:47" ht="14.45" hidden="1" customHeight="1" x14ac:dyDescent="0.25">
      <c r="A726" s="355">
        <f t="shared" si="11"/>
        <v>32.533333333333331</v>
      </c>
      <c r="B726" s="532">
        <v>41595</v>
      </c>
      <c r="C726" s="533" t="s">
        <v>454</v>
      </c>
      <c r="D726" s="533"/>
      <c r="E726" s="533" t="s">
        <v>380</v>
      </c>
      <c r="F726" s="533" t="s">
        <v>185</v>
      </c>
      <c r="G726" s="533" t="s">
        <v>229</v>
      </c>
      <c r="H726" s="349"/>
      <c r="I726" s="349"/>
      <c r="J726" s="349"/>
      <c r="K726" s="349"/>
      <c r="L726" s="350"/>
      <c r="M726" s="350">
        <v>145</v>
      </c>
      <c r="N726" s="350"/>
      <c r="O726" s="350"/>
      <c r="P726" s="352"/>
      <c r="Q726" s="352"/>
      <c r="R726" s="352"/>
      <c r="S726" s="352"/>
      <c r="T726" s="352"/>
      <c r="U726" s="352"/>
      <c r="V726" s="497"/>
      <c r="W726" s="352"/>
      <c r="X726" s="352"/>
      <c r="Y726" s="352">
        <f>IF(NFI_Expiration=1,IF($A726&lt;VLOOKUP(H$5,NFI,5,0),1,0)*Table_NFI[[#This Row],[Hygiene Kit]],Table_NFI[Hygiene Kit])</f>
        <v>0</v>
      </c>
      <c r="Z726" s="352">
        <f>IF(NFI_Expiration=1,IF($A726&lt;VLOOKUP(I$5,NFI,5,0),1,0)*Table_NFI[[#This Row],[NFI Core Kit]],Table_NFI[NFI Core Kit])</f>
        <v>0</v>
      </c>
      <c r="AA726" s="352">
        <f>IF(NFI_Expiration=1,IF($A726&lt;VLOOKUP(J$5,NFI,5,0),1,0)*Table_NFI[[#This Row],[Sanitary Kit]],Table_NFI[Sanitary Kit])</f>
        <v>0</v>
      </c>
      <c r="AB726" s="352">
        <f>IF(NFI_Expiration=1,IF($A726&lt;VLOOKUP(K$5,NFI,5,0),1,0)*Table_NFI[[#This Row],[Mosquito net]],Table_NFI[Mosquito net])</f>
        <v>0</v>
      </c>
      <c r="AC726" s="352">
        <f>IF(NFI_Expiration=1,IF($A726&lt;VLOOKUP(L$5,NFI,5,0),1,0)*Table_NFI[[#This Row],[Tarpaulin]],Table_NFI[[#This Row],[Tarpaulin]])</f>
        <v>0</v>
      </c>
      <c r="AD726" s="352">
        <f>IF(NFI_Expiration=1,IF($A726&lt;VLOOKUP(M$5,NFI,5,0),1,0)*Table_NFI[[#This Row],[Blanket]],Table_NFI[[#This Row],[Blanket]])</f>
        <v>0</v>
      </c>
      <c r="AE726" s="352">
        <f>IF(NFI_Expiration=1,IF($A726&lt;VLOOKUP(N$5,NFI,5,0),1,0)*Table_NFI[[#This Row],[Kitchen Set]],Table_NFI[Kitchen Set])</f>
        <v>0</v>
      </c>
      <c r="AF726" s="352">
        <f>IF(NFI_Expiration=1,IF($A726&lt;VLOOKUP(O$5,NFI,5,0),1,0)*Table_NFI[[#This Row],[Clothes Kit]],Table_NFI[Clothes Kit])</f>
        <v>0</v>
      </c>
      <c r="AG726" s="352">
        <f>IF(NFI_Expiration=1,IF($A726&lt;VLOOKUP(P$5,NFI,5,0),1,0)*Table_NFI[[#This Row],[Plastic Bucket]],Table_NFI[Plastic Bucket])</f>
        <v>0</v>
      </c>
      <c r="AH726" s="352">
        <f>IF(NFI_Expiration=1,IF($A726&lt;VLOOKUP(Q$5,NFI,5,0),1,0)*Table_NFI[[#This Row],[Plastic Mat]],Table_NFI[Plastic Mat])*IF(Table_NFI[[#This Row],[Distribution Date]]&gt;"2014-04-01",1,2.5)</f>
        <v>0</v>
      </c>
      <c r="AI726" s="352">
        <f>IF(NFI_Expiration=1,IF($A726&lt;VLOOKUP(R$5,NFI,5,0),1,0)*Table_NFI[[#This Row],[Winter Clothes Adult]],Table_NFI[Winter Clothes Adult])</f>
        <v>0</v>
      </c>
      <c r="AJ726" s="352">
        <f>IF(NFI_Expiration=1,IF($A726&lt;VLOOKUP(S$5,NFI,5,0),1,0)*Table_NFI[[#This Row],[Winter Clothes Children]],Table_NFI[Winter Clothes Children])</f>
        <v>0</v>
      </c>
      <c r="AK726" s="352">
        <f>IF(NFI_Expiration=1,IF($A726&lt;VLOOKUP(T$5,NFI,5,0),1,0)*Table_NFI[[#This Row],[Winter Items Other]],Table_NFI[Winter Items Other])</f>
        <v>0</v>
      </c>
      <c r="AL726" s="352">
        <f>IF(NFI_Expiration=1,IF($A726&lt;VLOOKUP(M$5,NFI,5,0),1,0)*Table_NFI[[#This Row],[Winter Blanket]],Table_NFI[[#This Row],[Winter Blanket]])</f>
        <v>0</v>
      </c>
      <c r="AM726" s="352">
        <f>IF(Table_NFI[[#This Row],[Winter Clothes Adult]]+Table_NFI[[#This Row],[Winter Clothes Children]]+Table_NFI[[#This Row],[Winter Items Other]]+Table_NFI[[#This Row],[Winter Blanket]]&gt;0,1,0)</f>
        <v>0</v>
      </c>
      <c r="AN726" s="392">
        <f>IF(NFI_Expiration=1,IF($A726&lt;VLOOKUP(V$5,NFI,5,0),1,0)*Table_NFI[[#This Row],[Jerry Can]],Table_NFI[Jerry Can])</f>
        <v>0</v>
      </c>
      <c r="AO726" s="540" t="str">
        <f>IFERROR(VLOOKUP(Table_NFI[[#This Row],[Camp Name]],CL,2,0),"")</f>
        <v>MMR001CMP072</v>
      </c>
      <c r="AP726" s="535">
        <f ca="1">IF(Table_NFI[[#This Row],[Pcode]]="","",IF(OFFSET(CampList[Opening Date],MATCH(Table_NFI[[#This Row],[Pcode]],CampList[CP_Pcode],0)-1,0,1,1)&gt;=NFI_Monitor_Date,1,0))</f>
        <v>0</v>
      </c>
      <c r="AQ726" s="540" t="str">
        <f>IFERROR(VLOOKUP(Table_NFI[[#This Row],[Camp Name]],CL,3,0),"")</f>
        <v>Open</v>
      </c>
      <c r="AR726" s="352" t="str">
        <f ca="1">IF(Table_NFI[[#This Row],[Pcode]]="","",OFFSET(CampList[Priority],MATCH(Table_NFI[[#This Row],[Pcode]],CampList[CP_Pcode],0)-1,0,1,1))</f>
        <v>P3</v>
      </c>
      <c r="AS726" s="351">
        <f>IFERROR(Table_NFI[[#This Row],[Kitchen Set]]/VLOOKUP(Table_NFI[[#This Row],[Camp Name]],CL,4,0),"")</f>
        <v>0</v>
      </c>
      <c r="AT726" s="533" t="s">
        <v>1094</v>
      </c>
      <c r="AU726" s="536"/>
    </row>
    <row r="727" spans="1:47" ht="14.45" customHeight="1" x14ac:dyDescent="0.25">
      <c r="A727" s="355">
        <f t="shared" si="11"/>
        <v>48.033333333333331</v>
      </c>
      <c r="B727" s="532">
        <v>41130</v>
      </c>
      <c r="C727" s="533" t="s">
        <v>453</v>
      </c>
      <c r="D727" s="533" t="s">
        <v>453</v>
      </c>
      <c r="E727" s="533" t="s">
        <v>380</v>
      </c>
      <c r="F727" s="348" t="s">
        <v>237</v>
      </c>
      <c r="G727" s="348" t="s">
        <v>265</v>
      </c>
      <c r="H727" s="349"/>
      <c r="I727" s="349"/>
      <c r="J727" s="349"/>
      <c r="K727" s="349">
        <v>10</v>
      </c>
      <c r="L727" s="350">
        <v>5</v>
      </c>
      <c r="M727" s="350">
        <v>10</v>
      </c>
      <c r="N727" s="350">
        <v>5</v>
      </c>
      <c r="O727" s="350">
        <v>5</v>
      </c>
      <c r="P727" s="352">
        <v>5</v>
      </c>
      <c r="Q727" s="352">
        <v>5</v>
      </c>
      <c r="R727" s="352"/>
      <c r="S727" s="352"/>
      <c r="T727" s="352"/>
      <c r="U727" s="352"/>
      <c r="V727" s="497"/>
      <c r="W727" s="352"/>
      <c r="X727" s="352"/>
      <c r="Y727" s="352">
        <f>IF(NFI_Expiration=1,IF($A727&lt;VLOOKUP(H$5,NFI,5,0),1,0)*Table_NFI[[#This Row],[Hygiene Kit]],Table_NFI[Hygiene Kit])</f>
        <v>0</v>
      </c>
      <c r="Z727" s="352">
        <f>IF(NFI_Expiration=1,IF($A727&lt;VLOOKUP(I$5,NFI,5,0),1,0)*Table_NFI[[#This Row],[NFI Core Kit]],Table_NFI[NFI Core Kit])</f>
        <v>0</v>
      </c>
      <c r="AA727" s="352">
        <f>IF(NFI_Expiration=1,IF($A727&lt;VLOOKUP(J$5,NFI,5,0),1,0)*Table_NFI[[#This Row],[Sanitary Kit]],Table_NFI[Sanitary Kit])</f>
        <v>0</v>
      </c>
      <c r="AB727" s="352">
        <f>IF(NFI_Expiration=1,IF($A727&lt;VLOOKUP(K$5,NFI,5,0),1,0)*Table_NFI[[#This Row],[Mosquito net]],Table_NFI[Mosquito net])</f>
        <v>0</v>
      </c>
      <c r="AC727" s="352">
        <f>IF(NFI_Expiration=1,IF($A727&lt;VLOOKUP(L$5,NFI,5,0),1,0)*Table_NFI[[#This Row],[Tarpaulin]],Table_NFI[[#This Row],[Tarpaulin]])</f>
        <v>0</v>
      </c>
      <c r="AD727" s="352">
        <f>IF(NFI_Expiration=1,IF($A727&lt;VLOOKUP(M$5,NFI,5,0),1,0)*Table_NFI[[#This Row],[Blanket]],Table_NFI[[#This Row],[Blanket]])</f>
        <v>0</v>
      </c>
      <c r="AE727" s="352">
        <f>IF(NFI_Expiration=1,IF($A727&lt;VLOOKUP(N$5,NFI,5,0),1,0)*Table_NFI[[#This Row],[Kitchen Set]],Table_NFI[Kitchen Set])</f>
        <v>0</v>
      </c>
      <c r="AF727" s="352">
        <f>IF(NFI_Expiration=1,IF($A727&lt;VLOOKUP(O$5,NFI,5,0),1,0)*Table_NFI[[#This Row],[Clothes Kit]],Table_NFI[Clothes Kit])</f>
        <v>0</v>
      </c>
      <c r="AG727" s="352">
        <f>IF(NFI_Expiration=1,IF($A727&lt;VLOOKUP(P$5,NFI,5,0),1,0)*Table_NFI[[#This Row],[Plastic Bucket]],Table_NFI[Plastic Bucket])</f>
        <v>0</v>
      </c>
      <c r="AH727" s="352">
        <f>IF(NFI_Expiration=1,IF($A727&lt;VLOOKUP(Q$5,NFI,5,0),1,0)*Table_NFI[[#This Row],[Plastic Mat]],Table_NFI[Plastic Mat])*IF(Table_NFI[[#This Row],[Distribution Date]]&gt;"2014-04-01",1,2.5)</f>
        <v>0</v>
      </c>
      <c r="AI727" s="352">
        <f>IF(NFI_Expiration=1,IF($A727&lt;VLOOKUP(R$5,NFI,5,0),1,0)*Table_NFI[[#This Row],[Winter Clothes Adult]],Table_NFI[Winter Clothes Adult])</f>
        <v>0</v>
      </c>
      <c r="AJ727" s="352">
        <f>IF(NFI_Expiration=1,IF($A727&lt;VLOOKUP(S$5,NFI,5,0),1,0)*Table_NFI[[#This Row],[Winter Clothes Children]],Table_NFI[Winter Clothes Children])</f>
        <v>0</v>
      </c>
      <c r="AK727" s="352">
        <f>IF(NFI_Expiration=1,IF($A727&lt;VLOOKUP(T$5,NFI,5,0),1,0)*Table_NFI[[#This Row],[Winter Items Other]],Table_NFI[Winter Items Other])</f>
        <v>0</v>
      </c>
      <c r="AL727" s="352">
        <f>IF(NFI_Expiration=1,IF($A727&lt;VLOOKUP(M$5,NFI,5,0),1,0)*Table_NFI[[#This Row],[Winter Blanket]],Table_NFI[[#This Row],[Winter Blanket]])</f>
        <v>0</v>
      </c>
      <c r="AM727" s="352">
        <f>IF(Table_NFI[[#This Row],[Winter Clothes Adult]]+Table_NFI[[#This Row],[Winter Clothes Children]]+Table_NFI[[#This Row],[Winter Items Other]]+Table_NFI[[#This Row],[Winter Blanket]]&gt;0,1,0)</f>
        <v>0</v>
      </c>
      <c r="AN727" s="392">
        <f>IF(NFI_Expiration=1,IF($A727&lt;VLOOKUP(V$5,NFI,5,0),1,0)*Table_NFI[[#This Row],[Jerry Can]],Table_NFI[Jerry Can])</f>
        <v>0</v>
      </c>
      <c r="AO727" s="540" t="str">
        <f>IFERROR(VLOOKUP(Table_NFI[[#This Row],[Camp Name]],CL,2,0),"")</f>
        <v>MMR001CMP021</v>
      </c>
      <c r="AP727" s="535">
        <f ca="1">IF(Table_NFI[[#This Row],[Pcode]]="","",IF(OFFSET(CampList[Opening Date],MATCH(Table_NFI[[#This Row],[Pcode]],CampList[CP_Pcode],0)-1,0,1,1)&gt;=NFI_Monitor_Date,1,0))</f>
        <v>0</v>
      </c>
      <c r="AQ727" s="540" t="str">
        <f>IFERROR(VLOOKUP(Table_NFI[[#This Row],[Camp Name]],CL,3,0),"")</f>
        <v>Open</v>
      </c>
      <c r="AR727" s="352" t="str">
        <f ca="1">IF(Table_NFI[[#This Row],[Pcode]]="","",OFFSET(CampList[Priority],MATCH(Table_NFI[[#This Row],[Pcode]],CampList[CP_Pcode],0)-1,0,1,1))</f>
        <v>P4</v>
      </c>
      <c r="AS727" s="351">
        <f>IFERROR(Table_NFI[[#This Row],[Kitchen Set]]/VLOOKUP(Table_NFI[[#This Row],[Camp Name]],CL,4,0),"")</f>
        <v>0.35714285714285715</v>
      </c>
      <c r="AT727" s="533" t="s">
        <v>1094</v>
      </c>
      <c r="AU727" s="536"/>
    </row>
    <row r="728" spans="1:47" ht="14.45" customHeight="1" x14ac:dyDescent="0.25">
      <c r="A728" s="355">
        <f t="shared" si="11"/>
        <v>48.033333333333331</v>
      </c>
      <c r="B728" s="532">
        <v>41130</v>
      </c>
      <c r="C728" s="533" t="s">
        <v>453</v>
      </c>
      <c r="D728" s="534" t="s">
        <v>453</v>
      </c>
      <c r="E728" s="533" t="s">
        <v>380</v>
      </c>
      <c r="F728" s="348" t="s">
        <v>237</v>
      </c>
      <c r="G728" s="348" t="s">
        <v>271</v>
      </c>
      <c r="H728" s="349"/>
      <c r="I728" s="349"/>
      <c r="J728" s="349"/>
      <c r="K728" s="349">
        <v>42</v>
      </c>
      <c r="L728" s="350">
        <v>20</v>
      </c>
      <c r="M728" s="350">
        <v>42</v>
      </c>
      <c r="N728" s="350">
        <v>20</v>
      </c>
      <c r="O728" s="350">
        <v>20</v>
      </c>
      <c r="P728" s="352">
        <v>20</v>
      </c>
      <c r="Q728" s="352">
        <v>20</v>
      </c>
      <c r="R728" s="352"/>
      <c r="S728" s="352"/>
      <c r="T728" s="352"/>
      <c r="U728" s="352"/>
      <c r="V728" s="497"/>
      <c r="W728" s="352"/>
      <c r="X728" s="352"/>
      <c r="Y728" s="352">
        <f>IF(NFI_Expiration=1,IF($A728&lt;VLOOKUP(H$5,NFI,5,0),1,0)*Table_NFI[[#This Row],[Hygiene Kit]],Table_NFI[Hygiene Kit])</f>
        <v>0</v>
      </c>
      <c r="Z728" s="352">
        <f>IF(NFI_Expiration=1,IF($A728&lt;VLOOKUP(I$5,NFI,5,0),1,0)*Table_NFI[[#This Row],[NFI Core Kit]],Table_NFI[NFI Core Kit])</f>
        <v>0</v>
      </c>
      <c r="AA728" s="352">
        <f>IF(NFI_Expiration=1,IF($A728&lt;VLOOKUP(J$5,NFI,5,0),1,0)*Table_NFI[[#This Row],[Sanitary Kit]],Table_NFI[Sanitary Kit])</f>
        <v>0</v>
      </c>
      <c r="AB728" s="352">
        <f>IF(NFI_Expiration=1,IF($A728&lt;VLOOKUP(K$5,NFI,5,0),1,0)*Table_NFI[[#This Row],[Mosquito net]],Table_NFI[Mosquito net])</f>
        <v>0</v>
      </c>
      <c r="AC728" s="352">
        <f>IF(NFI_Expiration=1,IF($A728&lt;VLOOKUP(L$5,NFI,5,0),1,0)*Table_NFI[[#This Row],[Tarpaulin]],Table_NFI[[#This Row],[Tarpaulin]])</f>
        <v>0</v>
      </c>
      <c r="AD728" s="352">
        <f>IF(NFI_Expiration=1,IF($A728&lt;VLOOKUP(M$5,NFI,5,0),1,0)*Table_NFI[[#This Row],[Blanket]],Table_NFI[[#This Row],[Blanket]])</f>
        <v>0</v>
      </c>
      <c r="AE728" s="352">
        <f>IF(NFI_Expiration=1,IF($A728&lt;VLOOKUP(N$5,NFI,5,0),1,0)*Table_NFI[[#This Row],[Kitchen Set]],Table_NFI[Kitchen Set])</f>
        <v>0</v>
      </c>
      <c r="AF728" s="352">
        <f>IF(NFI_Expiration=1,IF($A728&lt;VLOOKUP(O$5,NFI,5,0),1,0)*Table_NFI[[#This Row],[Clothes Kit]],Table_NFI[Clothes Kit])</f>
        <v>0</v>
      </c>
      <c r="AG728" s="352">
        <f>IF(NFI_Expiration=1,IF($A728&lt;VLOOKUP(P$5,NFI,5,0),1,0)*Table_NFI[[#This Row],[Plastic Bucket]],Table_NFI[Plastic Bucket])</f>
        <v>0</v>
      </c>
      <c r="AH728" s="352">
        <f>IF(NFI_Expiration=1,IF($A728&lt;VLOOKUP(Q$5,NFI,5,0),1,0)*Table_NFI[[#This Row],[Plastic Mat]],Table_NFI[Plastic Mat])*IF(Table_NFI[[#This Row],[Distribution Date]]&gt;"2014-04-01",1,2.5)</f>
        <v>0</v>
      </c>
      <c r="AI728" s="352">
        <f>IF(NFI_Expiration=1,IF($A728&lt;VLOOKUP(R$5,NFI,5,0),1,0)*Table_NFI[[#This Row],[Winter Clothes Adult]],Table_NFI[Winter Clothes Adult])</f>
        <v>0</v>
      </c>
      <c r="AJ728" s="352">
        <f>IF(NFI_Expiration=1,IF($A728&lt;VLOOKUP(S$5,NFI,5,0),1,0)*Table_NFI[[#This Row],[Winter Clothes Children]],Table_NFI[Winter Clothes Children])</f>
        <v>0</v>
      </c>
      <c r="AK728" s="352">
        <f>IF(NFI_Expiration=1,IF($A728&lt;VLOOKUP(T$5,NFI,5,0),1,0)*Table_NFI[[#This Row],[Winter Items Other]],Table_NFI[Winter Items Other])</f>
        <v>0</v>
      </c>
      <c r="AL728" s="352">
        <f>IF(NFI_Expiration=1,IF($A728&lt;VLOOKUP(M$5,NFI,5,0),1,0)*Table_NFI[[#This Row],[Winter Blanket]],Table_NFI[[#This Row],[Winter Blanket]])</f>
        <v>0</v>
      </c>
      <c r="AM728" s="352">
        <f>IF(Table_NFI[[#This Row],[Winter Clothes Adult]]+Table_NFI[[#This Row],[Winter Clothes Children]]+Table_NFI[[#This Row],[Winter Items Other]]+Table_NFI[[#This Row],[Winter Blanket]]&gt;0,1,0)</f>
        <v>0</v>
      </c>
      <c r="AN728" s="392">
        <f>IF(NFI_Expiration=1,IF($A728&lt;VLOOKUP(V$5,NFI,5,0),1,0)*Table_NFI[[#This Row],[Jerry Can]],Table_NFI[Jerry Can])</f>
        <v>0</v>
      </c>
      <c r="AO728" s="540" t="str">
        <f>IFERROR(VLOOKUP(Table_NFI[[#This Row],[Camp Name]],CL,2,0),"")</f>
        <v>MMR001CMP024</v>
      </c>
      <c r="AP728" s="535">
        <f ca="1">IF(Table_NFI[[#This Row],[Pcode]]="","",IF(OFFSET(CampList[Opening Date],MATCH(Table_NFI[[#This Row],[Pcode]],CampList[CP_Pcode],0)-1,0,1,1)&gt;=NFI_Monitor_Date,1,0))</f>
        <v>0</v>
      </c>
      <c r="AQ728" s="540" t="str">
        <f>IFERROR(VLOOKUP(Table_NFI[[#This Row],[Camp Name]],CL,3,0),"")</f>
        <v>Open</v>
      </c>
      <c r="AR728" s="352" t="str">
        <f ca="1">IF(Table_NFI[[#This Row],[Pcode]]="","",OFFSET(CampList[Priority],MATCH(Table_NFI[[#This Row],[Pcode]],CampList[CP_Pcode],0)-1,0,1,1))</f>
        <v>P4</v>
      </c>
      <c r="AS728" s="351">
        <f>IFERROR(Table_NFI[[#This Row],[Kitchen Set]]/VLOOKUP(Table_NFI[[#This Row],[Camp Name]],CL,4,0),"")</f>
        <v>0.29411764705882354</v>
      </c>
      <c r="AT728" s="533" t="s">
        <v>1094</v>
      </c>
      <c r="AU728" s="536"/>
    </row>
    <row r="729" spans="1:47" ht="14.45" customHeight="1" x14ac:dyDescent="0.25">
      <c r="A729" s="355">
        <f t="shared" si="11"/>
        <v>48.033333333333331</v>
      </c>
      <c r="B729" s="532">
        <v>41130</v>
      </c>
      <c r="C729" s="533" t="s">
        <v>453</v>
      </c>
      <c r="D729" s="533" t="s">
        <v>453</v>
      </c>
      <c r="E729" s="533" t="s">
        <v>380</v>
      </c>
      <c r="F729" s="348" t="s">
        <v>237</v>
      </c>
      <c r="G729" s="348" t="s">
        <v>283</v>
      </c>
      <c r="H729" s="349"/>
      <c r="I729" s="349"/>
      <c r="J729" s="349"/>
      <c r="K729" s="349">
        <v>10</v>
      </c>
      <c r="L729" s="350">
        <v>5</v>
      </c>
      <c r="M729" s="350">
        <v>10</v>
      </c>
      <c r="N729" s="350">
        <v>5</v>
      </c>
      <c r="O729" s="350">
        <v>5</v>
      </c>
      <c r="P729" s="352">
        <v>5</v>
      </c>
      <c r="Q729" s="352">
        <v>5</v>
      </c>
      <c r="R729" s="352"/>
      <c r="S729" s="352"/>
      <c r="T729" s="352"/>
      <c r="U729" s="352"/>
      <c r="V729" s="497"/>
      <c r="W729" s="352"/>
      <c r="X729" s="352"/>
      <c r="Y729" s="352">
        <f>IF(NFI_Expiration=1,IF($A729&lt;VLOOKUP(H$5,NFI,5,0),1,0)*Table_NFI[[#This Row],[Hygiene Kit]],Table_NFI[Hygiene Kit])</f>
        <v>0</v>
      </c>
      <c r="Z729" s="352">
        <f>IF(NFI_Expiration=1,IF($A729&lt;VLOOKUP(I$5,NFI,5,0),1,0)*Table_NFI[[#This Row],[NFI Core Kit]],Table_NFI[NFI Core Kit])</f>
        <v>0</v>
      </c>
      <c r="AA729" s="352">
        <f>IF(NFI_Expiration=1,IF($A729&lt;VLOOKUP(J$5,NFI,5,0),1,0)*Table_NFI[[#This Row],[Sanitary Kit]],Table_NFI[Sanitary Kit])</f>
        <v>0</v>
      </c>
      <c r="AB729" s="352">
        <f>IF(NFI_Expiration=1,IF($A729&lt;VLOOKUP(K$5,NFI,5,0),1,0)*Table_NFI[[#This Row],[Mosquito net]],Table_NFI[Mosquito net])</f>
        <v>0</v>
      </c>
      <c r="AC729" s="352">
        <f>IF(NFI_Expiration=1,IF($A729&lt;VLOOKUP(L$5,NFI,5,0),1,0)*Table_NFI[[#This Row],[Tarpaulin]],Table_NFI[[#This Row],[Tarpaulin]])</f>
        <v>0</v>
      </c>
      <c r="AD729" s="352">
        <f>IF(NFI_Expiration=1,IF($A729&lt;VLOOKUP(M$5,NFI,5,0),1,0)*Table_NFI[[#This Row],[Blanket]],Table_NFI[[#This Row],[Blanket]])</f>
        <v>0</v>
      </c>
      <c r="AE729" s="352">
        <f>IF(NFI_Expiration=1,IF($A729&lt;VLOOKUP(N$5,NFI,5,0),1,0)*Table_NFI[[#This Row],[Kitchen Set]],Table_NFI[Kitchen Set])</f>
        <v>0</v>
      </c>
      <c r="AF729" s="352">
        <f>IF(NFI_Expiration=1,IF($A729&lt;VLOOKUP(O$5,NFI,5,0),1,0)*Table_NFI[[#This Row],[Clothes Kit]],Table_NFI[Clothes Kit])</f>
        <v>0</v>
      </c>
      <c r="AG729" s="352">
        <f>IF(NFI_Expiration=1,IF($A729&lt;VLOOKUP(P$5,NFI,5,0),1,0)*Table_NFI[[#This Row],[Plastic Bucket]],Table_NFI[Plastic Bucket])</f>
        <v>0</v>
      </c>
      <c r="AH729" s="352">
        <f>IF(NFI_Expiration=1,IF($A729&lt;VLOOKUP(Q$5,NFI,5,0),1,0)*Table_NFI[[#This Row],[Plastic Mat]],Table_NFI[Plastic Mat])*IF(Table_NFI[[#This Row],[Distribution Date]]&gt;"2014-04-01",1,2.5)</f>
        <v>0</v>
      </c>
      <c r="AI729" s="352">
        <f>IF(NFI_Expiration=1,IF($A729&lt;VLOOKUP(R$5,NFI,5,0),1,0)*Table_NFI[[#This Row],[Winter Clothes Adult]],Table_NFI[Winter Clothes Adult])</f>
        <v>0</v>
      </c>
      <c r="AJ729" s="352">
        <f>IF(NFI_Expiration=1,IF($A729&lt;VLOOKUP(S$5,NFI,5,0),1,0)*Table_NFI[[#This Row],[Winter Clothes Children]],Table_NFI[Winter Clothes Children])</f>
        <v>0</v>
      </c>
      <c r="AK729" s="352">
        <f>IF(NFI_Expiration=1,IF($A729&lt;VLOOKUP(T$5,NFI,5,0),1,0)*Table_NFI[[#This Row],[Winter Items Other]],Table_NFI[Winter Items Other])</f>
        <v>0</v>
      </c>
      <c r="AL729" s="352">
        <f>IF(NFI_Expiration=1,IF($A729&lt;VLOOKUP(M$5,NFI,5,0),1,0)*Table_NFI[[#This Row],[Winter Blanket]],Table_NFI[[#This Row],[Winter Blanket]])</f>
        <v>0</v>
      </c>
      <c r="AM729" s="352">
        <f>IF(Table_NFI[[#This Row],[Winter Clothes Adult]]+Table_NFI[[#This Row],[Winter Clothes Children]]+Table_NFI[[#This Row],[Winter Items Other]]+Table_NFI[[#This Row],[Winter Blanket]]&gt;0,1,0)</f>
        <v>0</v>
      </c>
      <c r="AN729" s="392">
        <f>IF(NFI_Expiration=1,IF($A729&lt;VLOOKUP(V$5,NFI,5,0),1,0)*Table_NFI[[#This Row],[Jerry Can]],Table_NFI[Jerry Can])</f>
        <v>0</v>
      </c>
      <c r="AO729" s="540" t="str">
        <f>IFERROR(VLOOKUP(Table_NFI[[#This Row],[Camp Name]],CL,2,0),"")</f>
        <v>MMR001CMP022</v>
      </c>
      <c r="AP729" s="535">
        <f ca="1">IF(Table_NFI[[#This Row],[Pcode]]="","",IF(OFFSET(CampList[Opening Date],MATCH(Table_NFI[[#This Row],[Pcode]],CampList[CP_Pcode],0)-1,0,1,1)&gt;=NFI_Monitor_Date,1,0))</f>
        <v>0</v>
      </c>
      <c r="AQ729" s="540" t="str">
        <f>IFERROR(VLOOKUP(Table_NFI[[#This Row],[Camp Name]],CL,3,0),"")</f>
        <v>Open</v>
      </c>
      <c r="AR729" s="352" t="str">
        <f ca="1">IF(Table_NFI[[#This Row],[Pcode]]="","",OFFSET(CampList[Priority],MATCH(Table_NFI[[#This Row],[Pcode]],CampList[CP_Pcode],0)-1,0,1,1))</f>
        <v>P4</v>
      </c>
      <c r="AS729" s="351">
        <f>IFERROR(Table_NFI[[#This Row],[Kitchen Set]]/VLOOKUP(Table_NFI[[#This Row],[Camp Name]],CL,4,0),"")</f>
        <v>0.7142857142857143</v>
      </c>
      <c r="AT729" s="533" t="s">
        <v>1094</v>
      </c>
      <c r="AU729" s="536"/>
    </row>
    <row r="730" spans="1:47" ht="14.45" customHeight="1" x14ac:dyDescent="0.25">
      <c r="A730" s="355">
        <f t="shared" si="11"/>
        <v>48.1</v>
      </c>
      <c r="B730" s="532">
        <v>41128</v>
      </c>
      <c r="C730" s="533" t="s">
        <v>453</v>
      </c>
      <c r="D730" s="534" t="s">
        <v>574</v>
      </c>
      <c r="E730" s="533" t="s">
        <v>380</v>
      </c>
      <c r="F730" s="348" t="s">
        <v>151</v>
      </c>
      <c r="G730" s="348" t="s">
        <v>152</v>
      </c>
      <c r="H730" s="349"/>
      <c r="I730" s="349"/>
      <c r="J730" s="349"/>
      <c r="K730" s="349">
        <v>0</v>
      </c>
      <c r="L730" s="350">
        <v>73</v>
      </c>
      <c r="M730" s="350">
        <v>0</v>
      </c>
      <c r="N730" s="350">
        <v>73</v>
      </c>
      <c r="O730" s="350">
        <v>73</v>
      </c>
      <c r="P730" s="352">
        <v>73</v>
      </c>
      <c r="Q730" s="352">
        <v>73</v>
      </c>
      <c r="R730" s="352"/>
      <c r="S730" s="352"/>
      <c r="T730" s="352"/>
      <c r="U730" s="352"/>
      <c r="V730" s="497"/>
      <c r="W730" s="352"/>
      <c r="X730" s="352"/>
      <c r="Y730" s="352">
        <f>IF(NFI_Expiration=1,IF($A730&lt;VLOOKUP(H$5,NFI,5,0),1,0)*Table_NFI[[#This Row],[Hygiene Kit]],Table_NFI[Hygiene Kit])</f>
        <v>0</v>
      </c>
      <c r="Z730" s="352">
        <f>IF(NFI_Expiration=1,IF($A730&lt;VLOOKUP(I$5,NFI,5,0),1,0)*Table_NFI[[#This Row],[NFI Core Kit]],Table_NFI[NFI Core Kit])</f>
        <v>0</v>
      </c>
      <c r="AA730" s="352">
        <f>IF(NFI_Expiration=1,IF($A730&lt;VLOOKUP(J$5,NFI,5,0),1,0)*Table_NFI[[#This Row],[Sanitary Kit]],Table_NFI[Sanitary Kit])</f>
        <v>0</v>
      </c>
      <c r="AB730" s="352">
        <f>IF(NFI_Expiration=1,IF($A730&lt;VLOOKUP(K$5,NFI,5,0),1,0)*Table_NFI[[#This Row],[Mosquito net]],Table_NFI[Mosquito net])</f>
        <v>0</v>
      </c>
      <c r="AC730" s="352">
        <f>IF(NFI_Expiration=1,IF($A730&lt;VLOOKUP(L$5,NFI,5,0),1,0)*Table_NFI[[#This Row],[Tarpaulin]],Table_NFI[[#This Row],[Tarpaulin]])</f>
        <v>0</v>
      </c>
      <c r="AD730" s="352">
        <f>IF(NFI_Expiration=1,IF($A730&lt;VLOOKUP(M$5,NFI,5,0),1,0)*Table_NFI[[#This Row],[Blanket]],Table_NFI[[#This Row],[Blanket]])</f>
        <v>0</v>
      </c>
      <c r="AE730" s="352">
        <f>IF(NFI_Expiration=1,IF($A730&lt;VLOOKUP(N$5,NFI,5,0),1,0)*Table_NFI[[#This Row],[Kitchen Set]],Table_NFI[Kitchen Set])</f>
        <v>0</v>
      </c>
      <c r="AF730" s="352">
        <f>IF(NFI_Expiration=1,IF($A730&lt;VLOOKUP(O$5,NFI,5,0),1,0)*Table_NFI[[#This Row],[Clothes Kit]],Table_NFI[Clothes Kit])</f>
        <v>0</v>
      </c>
      <c r="AG730" s="352">
        <f>IF(NFI_Expiration=1,IF($A730&lt;VLOOKUP(P$5,NFI,5,0),1,0)*Table_NFI[[#This Row],[Plastic Bucket]],Table_NFI[Plastic Bucket])</f>
        <v>0</v>
      </c>
      <c r="AH730" s="352">
        <f>IF(NFI_Expiration=1,IF($A730&lt;VLOOKUP(Q$5,NFI,5,0),1,0)*Table_NFI[[#This Row],[Plastic Mat]],Table_NFI[Plastic Mat])*IF(Table_NFI[[#This Row],[Distribution Date]]&gt;"2014-04-01",1,2.5)</f>
        <v>0</v>
      </c>
      <c r="AI730" s="352">
        <f>IF(NFI_Expiration=1,IF($A730&lt;VLOOKUP(R$5,NFI,5,0),1,0)*Table_NFI[[#This Row],[Winter Clothes Adult]],Table_NFI[Winter Clothes Adult])</f>
        <v>0</v>
      </c>
      <c r="AJ730" s="352">
        <f>IF(NFI_Expiration=1,IF($A730&lt;VLOOKUP(S$5,NFI,5,0),1,0)*Table_NFI[[#This Row],[Winter Clothes Children]],Table_NFI[Winter Clothes Children])</f>
        <v>0</v>
      </c>
      <c r="AK730" s="352">
        <f>IF(NFI_Expiration=1,IF($A730&lt;VLOOKUP(T$5,NFI,5,0),1,0)*Table_NFI[[#This Row],[Winter Items Other]],Table_NFI[Winter Items Other])</f>
        <v>0</v>
      </c>
      <c r="AL730" s="352">
        <f>IF(NFI_Expiration=1,IF($A730&lt;VLOOKUP(M$5,NFI,5,0),1,0)*Table_NFI[[#This Row],[Winter Blanket]],Table_NFI[[#This Row],[Winter Blanket]])</f>
        <v>0</v>
      </c>
      <c r="AM730" s="352">
        <f>IF(Table_NFI[[#This Row],[Winter Clothes Adult]]+Table_NFI[[#This Row],[Winter Clothes Children]]+Table_NFI[[#This Row],[Winter Items Other]]+Table_NFI[[#This Row],[Winter Blanket]]&gt;0,1,0)</f>
        <v>0</v>
      </c>
      <c r="AN730" s="392">
        <f>IF(NFI_Expiration=1,IF($A730&lt;VLOOKUP(V$5,NFI,5,0),1,0)*Table_NFI[[#This Row],[Jerry Can]],Table_NFI[Jerry Can])</f>
        <v>0</v>
      </c>
      <c r="AO730" s="540" t="str">
        <f>IFERROR(VLOOKUP(Table_NFI[[#This Row],[Camp Name]],CL,2,0),"")</f>
        <v>MMR001CMP066</v>
      </c>
      <c r="AP730" s="535">
        <f ca="1">IF(Table_NFI[[#This Row],[Pcode]]="","",IF(OFFSET(CampList[Opening Date],MATCH(Table_NFI[[#This Row],[Pcode]],CampList[CP_Pcode],0)-1,0,1,1)&gt;=NFI_Monitor_Date,1,0))</f>
        <v>0</v>
      </c>
      <c r="AQ730" s="540" t="str">
        <f>IFERROR(VLOOKUP(Table_NFI[[#This Row],[Camp Name]],CL,3,0),"")</f>
        <v>Open</v>
      </c>
      <c r="AR730" s="352" t="str">
        <f ca="1">IF(Table_NFI[[#This Row],[Pcode]]="","",OFFSET(CampList[Priority],MATCH(Table_NFI[[#This Row],[Pcode]],CampList[CP_Pcode],0)-1,0,1,1))</f>
        <v>P4</v>
      </c>
      <c r="AS730" s="351">
        <f>IFERROR(Table_NFI[[#This Row],[Kitchen Set]]/VLOOKUP(Table_NFI[[#This Row],[Camp Name]],CL,4,0),"")</f>
        <v>0.37244897959183676</v>
      </c>
      <c r="AT730" s="533" t="s">
        <v>1094</v>
      </c>
      <c r="AU730" s="536"/>
    </row>
    <row r="731" spans="1:47" ht="14.45" hidden="1" customHeight="1" x14ac:dyDescent="0.25">
      <c r="A731" s="355">
        <f t="shared" si="11"/>
        <v>18.466666666666665</v>
      </c>
      <c r="B731" s="532">
        <v>42017</v>
      </c>
      <c r="C731" s="533" t="s">
        <v>1096</v>
      </c>
      <c r="D731" s="533" t="s">
        <v>902</v>
      </c>
      <c r="E731" s="533" t="s">
        <v>380</v>
      </c>
      <c r="F731" s="533" t="s">
        <v>237</v>
      </c>
      <c r="G731" s="533" t="s">
        <v>273</v>
      </c>
      <c r="H731" s="349"/>
      <c r="I731" s="352"/>
      <c r="J731" s="352"/>
      <c r="K731" s="352"/>
      <c r="L731" s="350"/>
      <c r="M731" s="350"/>
      <c r="N731" s="350"/>
      <c r="O731" s="350"/>
      <c r="P731" s="352"/>
      <c r="Q731" s="352"/>
      <c r="R731" s="352">
        <v>323</v>
      </c>
      <c r="S731" s="352">
        <v>178</v>
      </c>
      <c r="T731" s="352"/>
      <c r="U731" s="352"/>
      <c r="V731" s="497"/>
      <c r="W731" s="352"/>
      <c r="X731" s="352"/>
      <c r="Y731" s="352">
        <f>IF(NFI_Expiration=1,IF($A731&lt;VLOOKUP(H$5,NFI,5,0),1,0)*Table_NFI[[#This Row],[Hygiene Kit]],Table_NFI[Hygiene Kit])</f>
        <v>0</v>
      </c>
      <c r="Z731" s="352">
        <f>IF(NFI_Expiration=1,IF($A731&lt;VLOOKUP(I$5,NFI,5,0),1,0)*Table_NFI[[#This Row],[NFI Core Kit]],Table_NFI[NFI Core Kit])</f>
        <v>0</v>
      </c>
      <c r="AA731" s="352">
        <f>IF(NFI_Expiration=1,IF($A731&lt;VLOOKUP(J$5,NFI,5,0),1,0)*Table_NFI[[#This Row],[Sanitary Kit]],Table_NFI[Sanitary Kit])</f>
        <v>0</v>
      </c>
      <c r="AB731" s="352">
        <f>IF(NFI_Expiration=1,IF($A731&lt;VLOOKUP(K$5,NFI,5,0),1,0)*Table_NFI[[#This Row],[Mosquito net]],Table_NFI[Mosquito net])</f>
        <v>0</v>
      </c>
      <c r="AC731" s="352">
        <f>IF(NFI_Expiration=1,IF($A731&lt;VLOOKUP(L$5,NFI,5,0),1,0)*Table_NFI[[#This Row],[Tarpaulin]],Table_NFI[[#This Row],[Tarpaulin]])</f>
        <v>0</v>
      </c>
      <c r="AD731" s="352">
        <f>IF(NFI_Expiration=1,IF($A731&lt;VLOOKUP(M$5,NFI,5,0),1,0)*Table_NFI[[#This Row],[Blanket]],Table_NFI[[#This Row],[Blanket]])</f>
        <v>0</v>
      </c>
      <c r="AE731" s="352">
        <f>IF(NFI_Expiration=1,IF($A731&lt;VLOOKUP(N$5,NFI,5,0),1,0)*Table_NFI[[#This Row],[Kitchen Set]],Table_NFI[Kitchen Set])</f>
        <v>0</v>
      </c>
      <c r="AF731" s="352">
        <f>IF(NFI_Expiration=1,IF($A731&lt;VLOOKUP(O$5,NFI,5,0),1,0)*Table_NFI[[#This Row],[Clothes Kit]],Table_NFI[Clothes Kit])</f>
        <v>0</v>
      </c>
      <c r="AG731" s="352">
        <f>IF(NFI_Expiration=1,IF($A731&lt;VLOOKUP(P$5,NFI,5,0),1,0)*Table_NFI[[#This Row],[Plastic Bucket]],Table_NFI[Plastic Bucket])</f>
        <v>0</v>
      </c>
      <c r="AH731" s="352">
        <f>IF(NFI_Expiration=1,IF($A731&lt;VLOOKUP(Q$5,NFI,5,0),1,0)*Table_NFI[[#This Row],[Plastic Mat]],Table_NFI[Plastic Mat])*IF(Table_NFI[[#This Row],[Distribution Date]]&gt;"2014-04-01",1,2.5)</f>
        <v>0</v>
      </c>
      <c r="AI731" s="352">
        <f>IF(NFI_Expiration=1,IF($A731&lt;VLOOKUP(R$5,NFI,5,0),1,0)*Table_NFI[[#This Row],[Winter Clothes Adult]],Table_NFI[Winter Clothes Adult])</f>
        <v>0</v>
      </c>
      <c r="AJ731" s="352">
        <f>IF(NFI_Expiration=1,IF($A731&lt;VLOOKUP(S$5,NFI,5,0),1,0)*Table_NFI[[#This Row],[Winter Clothes Children]],Table_NFI[Winter Clothes Children])</f>
        <v>0</v>
      </c>
      <c r="AK731" s="352">
        <f>IF(NFI_Expiration=1,IF($A731&lt;VLOOKUP(T$5,NFI,5,0),1,0)*Table_NFI[[#This Row],[Winter Items Other]],Table_NFI[Winter Items Other])</f>
        <v>0</v>
      </c>
      <c r="AL731" s="352">
        <f>IF(NFI_Expiration=1,IF($A731&lt;VLOOKUP(M$5,NFI,5,0),1,0)*Table_NFI[[#This Row],[Winter Blanket]],Table_NFI[[#This Row],[Winter Blanket]])</f>
        <v>0</v>
      </c>
      <c r="AM731" s="352">
        <f>IF(Table_NFI[[#This Row],[Winter Clothes Adult]]+Table_NFI[[#This Row],[Winter Clothes Children]]+Table_NFI[[#This Row],[Winter Items Other]]+Table_NFI[[#This Row],[Winter Blanket]]&gt;0,1,0)</f>
        <v>1</v>
      </c>
      <c r="AN731" s="392">
        <f>IF(NFI_Expiration=1,IF($A731&lt;VLOOKUP(V$5,NFI,5,0),1,0)*Table_NFI[[#This Row],[Jerry Can]],Table_NFI[Jerry Can])</f>
        <v>0</v>
      </c>
      <c r="AO731" s="540" t="str">
        <f>IFERROR(VLOOKUP(Table_NFI[[#This Row],[Camp Name]],CL,2,0),"")</f>
        <v>MMR001CMP162</v>
      </c>
      <c r="AP731" s="535">
        <f ca="1">IF(Table_NFI[[#This Row],[Pcode]]="","",IF(OFFSET(CampList[Opening Date],MATCH(Table_NFI[[#This Row],[Pcode]],CampList[CP_Pcode],0)-1,0,1,1)&gt;=NFI_Monitor_Date,1,0))</f>
        <v>0</v>
      </c>
      <c r="AQ731" s="540" t="str">
        <f>IFERROR(VLOOKUP(Table_NFI[[#This Row],[Camp Name]],CL,3,0),"")</f>
        <v>Open</v>
      </c>
      <c r="AR731" s="352" t="str">
        <f ca="1">IF(Table_NFI[[#This Row],[Pcode]]="","",OFFSET(CampList[Priority],MATCH(Table_NFI[[#This Row],[Pcode]],CampList[CP_Pcode],0)-1,0,1,1))</f>
        <v>P4</v>
      </c>
      <c r="AS731" s="351">
        <f>IFERROR(Table_NFI[[#This Row],[Kitchen Set]]/VLOOKUP(Table_NFI[[#This Row],[Camp Name]],CL,4,0),"")</f>
        <v>0</v>
      </c>
      <c r="AT731" s="533"/>
      <c r="AU731" s="557"/>
    </row>
    <row r="732" spans="1:47" ht="14.45" customHeight="1" x14ac:dyDescent="0.25">
      <c r="A732" s="355">
        <f t="shared" si="11"/>
        <v>48.466666666666669</v>
      </c>
      <c r="B732" s="532">
        <v>41117</v>
      </c>
      <c r="C732" s="533" t="s">
        <v>453</v>
      </c>
      <c r="D732" s="534" t="s">
        <v>453</v>
      </c>
      <c r="E732" s="533" t="s">
        <v>380</v>
      </c>
      <c r="F732" s="348" t="s">
        <v>173</v>
      </c>
      <c r="G732" s="348" t="s">
        <v>174</v>
      </c>
      <c r="H732" s="349"/>
      <c r="I732" s="349"/>
      <c r="J732" s="349"/>
      <c r="K732" s="349">
        <v>35</v>
      </c>
      <c r="L732" s="350">
        <v>14</v>
      </c>
      <c r="M732" s="350">
        <v>35</v>
      </c>
      <c r="N732" s="350">
        <v>14</v>
      </c>
      <c r="O732" s="350">
        <v>14</v>
      </c>
      <c r="P732" s="352">
        <v>14</v>
      </c>
      <c r="Q732" s="352">
        <v>14</v>
      </c>
      <c r="R732" s="352"/>
      <c r="S732" s="352"/>
      <c r="T732" s="352"/>
      <c r="U732" s="352"/>
      <c r="V732" s="497"/>
      <c r="W732" s="352"/>
      <c r="X732" s="352"/>
      <c r="Y732" s="352">
        <f>IF(NFI_Expiration=1,IF($A732&lt;VLOOKUP(H$5,NFI,5,0),1,0)*Table_NFI[[#This Row],[Hygiene Kit]],Table_NFI[Hygiene Kit])</f>
        <v>0</v>
      </c>
      <c r="Z732" s="352">
        <f>IF(NFI_Expiration=1,IF($A732&lt;VLOOKUP(I$5,NFI,5,0),1,0)*Table_NFI[[#This Row],[NFI Core Kit]],Table_NFI[NFI Core Kit])</f>
        <v>0</v>
      </c>
      <c r="AA732" s="352">
        <f>IF(NFI_Expiration=1,IF($A732&lt;VLOOKUP(J$5,NFI,5,0),1,0)*Table_NFI[[#This Row],[Sanitary Kit]],Table_NFI[Sanitary Kit])</f>
        <v>0</v>
      </c>
      <c r="AB732" s="352">
        <f>IF(NFI_Expiration=1,IF($A732&lt;VLOOKUP(K$5,NFI,5,0),1,0)*Table_NFI[[#This Row],[Mosquito net]],Table_NFI[Mosquito net])</f>
        <v>0</v>
      </c>
      <c r="AC732" s="352">
        <f>IF(NFI_Expiration=1,IF($A732&lt;VLOOKUP(L$5,NFI,5,0),1,0)*Table_NFI[[#This Row],[Tarpaulin]],Table_NFI[[#This Row],[Tarpaulin]])</f>
        <v>0</v>
      </c>
      <c r="AD732" s="352">
        <f>IF(NFI_Expiration=1,IF($A732&lt;VLOOKUP(M$5,NFI,5,0),1,0)*Table_NFI[[#This Row],[Blanket]],Table_NFI[[#This Row],[Blanket]])</f>
        <v>0</v>
      </c>
      <c r="AE732" s="352">
        <f>IF(NFI_Expiration=1,IF($A732&lt;VLOOKUP(N$5,NFI,5,0),1,0)*Table_NFI[[#This Row],[Kitchen Set]],Table_NFI[Kitchen Set])</f>
        <v>0</v>
      </c>
      <c r="AF732" s="352">
        <f>IF(NFI_Expiration=1,IF($A732&lt;VLOOKUP(O$5,NFI,5,0),1,0)*Table_NFI[[#This Row],[Clothes Kit]],Table_NFI[Clothes Kit])</f>
        <v>0</v>
      </c>
      <c r="AG732" s="352">
        <f>IF(NFI_Expiration=1,IF($A732&lt;VLOOKUP(P$5,NFI,5,0),1,0)*Table_NFI[[#This Row],[Plastic Bucket]],Table_NFI[Plastic Bucket])</f>
        <v>0</v>
      </c>
      <c r="AH732" s="352">
        <f>IF(NFI_Expiration=1,IF($A732&lt;VLOOKUP(Q$5,NFI,5,0),1,0)*Table_NFI[[#This Row],[Plastic Mat]],Table_NFI[Plastic Mat])*IF(Table_NFI[[#This Row],[Distribution Date]]&gt;"2014-04-01",1,2.5)</f>
        <v>0</v>
      </c>
      <c r="AI732" s="352">
        <f>IF(NFI_Expiration=1,IF($A732&lt;VLOOKUP(R$5,NFI,5,0),1,0)*Table_NFI[[#This Row],[Winter Clothes Adult]],Table_NFI[Winter Clothes Adult])</f>
        <v>0</v>
      </c>
      <c r="AJ732" s="352">
        <f>IF(NFI_Expiration=1,IF($A732&lt;VLOOKUP(S$5,NFI,5,0),1,0)*Table_NFI[[#This Row],[Winter Clothes Children]],Table_NFI[Winter Clothes Children])</f>
        <v>0</v>
      </c>
      <c r="AK732" s="352">
        <f>IF(NFI_Expiration=1,IF($A732&lt;VLOOKUP(T$5,NFI,5,0),1,0)*Table_NFI[[#This Row],[Winter Items Other]],Table_NFI[Winter Items Other])</f>
        <v>0</v>
      </c>
      <c r="AL732" s="352">
        <f>IF(NFI_Expiration=1,IF($A732&lt;VLOOKUP(M$5,NFI,5,0),1,0)*Table_NFI[[#This Row],[Winter Blanket]],Table_NFI[[#This Row],[Winter Blanket]])</f>
        <v>0</v>
      </c>
      <c r="AM732" s="352">
        <f>IF(Table_NFI[[#This Row],[Winter Clothes Adult]]+Table_NFI[[#This Row],[Winter Clothes Children]]+Table_NFI[[#This Row],[Winter Items Other]]+Table_NFI[[#This Row],[Winter Blanket]]&gt;0,1,0)</f>
        <v>0</v>
      </c>
      <c r="AN732" s="392">
        <f>IF(NFI_Expiration=1,IF($A732&lt;VLOOKUP(V$5,NFI,5,0),1,0)*Table_NFI[[#This Row],[Jerry Can]],Table_NFI[Jerry Can])</f>
        <v>0</v>
      </c>
      <c r="AO732" s="540" t="str">
        <f>IFERROR(VLOOKUP(Table_NFI[[#This Row],[Camp Name]],CL,2,0),"")</f>
        <v>MMR001CMP078</v>
      </c>
      <c r="AP732" s="535">
        <f ca="1">IF(Table_NFI[[#This Row],[Pcode]]="","",IF(OFFSET(CampList[Opening Date],MATCH(Table_NFI[[#This Row],[Pcode]],CampList[CP_Pcode],0)-1,0,1,1)&gt;=NFI_Monitor_Date,1,0))</f>
        <v>0</v>
      </c>
      <c r="AQ732" s="540" t="str">
        <f>IFERROR(VLOOKUP(Table_NFI[[#This Row],[Camp Name]],CL,3,0),"")</f>
        <v>Open</v>
      </c>
      <c r="AR732" s="352" t="str">
        <f ca="1">IF(Table_NFI[[#This Row],[Pcode]]="","",OFFSET(CampList[Priority],MATCH(Table_NFI[[#This Row],[Pcode]],CampList[CP_Pcode],0)-1,0,1,1))</f>
        <v>P4</v>
      </c>
      <c r="AS732" s="351">
        <f>IFERROR(Table_NFI[[#This Row],[Kitchen Set]]/VLOOKUP(Table_NFI[[#This Row],[Camp Name]],CL,4,0),"")</f>
        <v>1.0769230769230769</v>
      </c>
      <c r="AT732" s="533" t="s">
        <v>1094</v>
      </c>
      <c r="AU732" s="536"/>
    </row>
    <row r="733" spans="1:47" ht="14.45" hidden="1" customHeight="1" x14ac:dyDescent="0.25">
      <c r="A733" s="355">
        <f t="shared" si="11"/>
        <v>26.766666666666666</v>
      </c>
      <c r="B733" s="532">
        <v>41768</v>
      </c>
      <c r="C733" s="533" t="s">
        <v>1106</v>
      </c>
      <c r="D733" s="533" t="s">
        <v>902</v>
      </c>
      <c r="E733" s="533" t="s">
        <v>380</v>
      </c>
      <c r="F733" s="533" t="s">
        <v>237</v>
      </c>
      <c r="G733" s="533" t="s">
        <v>273</v>
      </c>
      <c r="H733" s="349"/>
      <c r="I733" s="349"/>
      <c r="J733" s="349"/>
      <c r="K733" s="349"/>
      <c r="L733" s="350"/>
      <c r="M733" s="350"/>
      <c r="N733" s="350"/>
      <c r="O733" s="350"/>
      <c r="P733" s="352"/>
      <c r="Q733" s="352"/>
      <c r="R733" s="352"/>
      <c r="S733" s="352"/>
      <c r="T733" s="352"/>
      <c r="U733" s="352">
        <v>58</v>
      </c>
      <c r="V733" s="497"/>
      <c r="W733" s="352"/>
      <c r="X733" s="352"/>
      <c r="Y733" s="352">
        <f>IF(NFI_Expiration=1,IF($A733&lt;VLOOKUP(H$5,NFI,5,0),1,0)*Table_NFI[[#This Row],[Hygiene Kit]],Table_NFI[Hygiene Kit])</f>
        <v>0</v>
      </c>
      <c r="Z733" s="352">
        <f>IF(NFI_Expiration=1,IF($A733&lt;VLOOKUP(I$5,NFI,5,0),1,0)*Table_NFI[[#This Row],[NFI Core Kit]],Table_NFI[NFI Core Kit])</f>
        <v>0</v>
      </c>
      <c r="AA733" s="352">
        <f>IF(NFI_Expiration=1,IF($A733&lt;VLOOKUP(J$5,NFI,5,0),1,0)*Table_NFI[[#This Row],[Sanitary Kit]],Table_NFI[Sanitary Kit])</f>
        <v>0</v>
      </c>
      <c r="AB733" s="352">
        <f>IF(NFI_Expiration=1,IF($A733&lt;VLOOKUP(K$5,NFI,5,0),1,0)*Table_NFI[[#This Row],[Mosquito net]],Table_NFI[Mosquito net])</f>
        <v>0</v>
      </c>
      <c r="AC733" s="352">
        <f>IF(NFI_Expiration=1,IF($A733&lt;VLOOKUP(L$5,NFI,5,0),1,0)*Table_NFI[[#This Row],[Tarpaulin]],Table_NFI[[#This Row],[Tarpaulin]])</f>
        <v>0</v>
      </c>
      <c r="AD733" s="352">
        <f>IF(NFI_Expiration=1,IF($A733&lt;VLOOKUP(M$5,NFI,5,0),1,0)*Table_NFI[[#This Row],[Blanket]],Table_NFI[[#This Row],[Blanket]])</f>
        <v>0</v>
      </c>
      <c r="AE733" s="352">
        <f>IF(NFI_Expiration=1,IF($A733&lt;VLOOKUP(N$5,NFI,5,0),1,0)*Table_NFI[[#This Row],[Kitchen Set]],Table_NFI[Kitchen Set])</f>
        <v>0</v>
      </c>
      <c r="AF733" s="352">
        <f>IF(NFI_Expiration=1,IF($A733&lt;VLOOKUP(O$5,NFI,5,0),1,0)*Table_NFI[[#This Row],[Clothes Kit]],Table_NFI[Clothes Kit])</f>
        <v>0</v>
      </c>
      <c r="AG733" s="352">
        <f>IF(NFI_Expiration=1,IF($A733&lt;VLOOKUP(P$5,NFI,5,0),1,0)*Table_NFI[[#This Row],[Plastic Bucket]],Table_NFI[Plastic Bucket])</f>
        <v>0</v>
      </c>
      <c r="AH733" s="352">
        <f>IF(NFI_Expiration=1,IF($A733&lt;VLOOKUP(Q$5,NFI,5,0),1,0)*Table_NFI[[#This Row],[Plastic Mat]],Table_NFI[Plastic Mat])*IF(Table_NFI[[#This Row],[Distribution Date]]&gt;"2014-04-01",1,2.5)</f>
        <v>0</v>
      </c>
      <c r="AI733" s="352">
        <f>IF(NFI_Expiration=1,IF($A733&lt;VLOOKUP(R$5,NFI,5,0),1,0)*Table_NFI[[#This Row],[Winter Clothes Adult]],Table_NFI[Winter Clothes Adult])</f>
        <v>0</v>
      </c>
      <c r="AJ733" s="352">
        <f>IF(NFI_Expiration=1,IF($A733&lt;VLOOKUP(S$5,NFI,5,0),1,0)*Table_NFI[[#This Row],[Winter Clothes Children]],Table_NFI[Winter Clothes Children])</f>
        <v>0</v>
      </c>
      <c r="AK733" s="352">
        <f>IF(NFI_Expiration=1,IF($A733&lt;VLOOKUP(T$5,NFI,5,0),1,0)*Table_NFI[[#This Row],[Winter Items Other]],Table_NFI[Winter Items Other])</f>
        <v>0</v>
      </c>
      <c r="AL733" s="352">
        <f>IF(NFI_Expiration=1,IF($A733&lt;VLOOKUP(M$5,NFI,5,0),1,0)*Table_NFI[[#This Row],[Winter Blanket]],Table_NFI[[#This Row],[Winter Blanket]])</f>
        <v>0</v>
      </c>
      <c r="AM733" s="352">
        <f>IF(Table_NFI[[#This Row],[Winter Clothes Adult]]+Table_NFI[[#This Row],[Winter Clothes Children]]+Table_NFI[[#This Row],[Winter Items Other]]+Table_NFI[[#This Row],[Winter Blanket]]&gt;0,1,0)</f>
        <v>1</v>
      </c>
      <c r="AN733" s="392">
        <f>IF(NFI_Expiration=1,IF($A733&lt;VLOOKUP(V$5,NFI,5,0),1,0)*Table_NFI[[#This Row],[Jerry Can]],Table_NFI[Jerry Can])</f>
        <v>0</v>
      </c>
      <c r="AO733" s="540" t="str">
        <f>IFERROR(VLOOKUP(Table_NFI[[#This Row],[Camp Name]],CL,2,0),"")</f>
        <v>MMR001CMP162</v>
      </c>
      <c r="AP733" s="535">
        <f ca="1">IF(Table_NFI[[#This Row],[Pcode]]="","",IF(OFFSET(CampList[Opening Date],MATCH(Table_NFI[[#This Row],[Pcode]],CampList[CP_Pcode],0)-1,0,1,1)&gt;=NFI_Monitor_Date,1,0))</f>
        <v>0</v>
      </c>
      <c r="AQ733" s="540" t="str">
        <f>IFERROR(VLOOKUP(Table_NFI[[#This Row],[Camp Name]],CL,3,0),"")</f>
        <v>Open</v>
      </c>
      <c r="AR733" s="352" t="str">
        <f ca="1">IF(Table_NFI[[#This Row],[Pcode]]="","",OFFSET(CampList[Priority],MATCH(Table_NFI[[#This Row],[Pcode]],CampList[CP_Pcode],0)-1,0,1,1))</f>
        <v>P4</v>
      </c>
      <c r="AS733" s="351">
        <f>IFERROR(Table_NFI[[#This Row],[Kitchen Set]]/VLOOKUP(Table_NFI[[#This Row],[Camp Name]],CL,4,0),"")</f>
        <v>0</v>
      </c>
      <c r="AT733" s="533"/>
      <c r="AU733" s="536"/>
    </row>
    <row r="734" spans="1:47" ht="14.45" customHeight="1" x14ac:dyDescent="0.25">
      <c r="A734" s="355">
        <f t="shared" si="11"/>
        <v>48.466666666666669</v>
      </c>
      <c r="B734" s="532">
        <v>41117</v>
      </c>
      <c r="C734" s="533" t="s">
        <v>453</v>
      </c>
      <c r="D734" s="534" t="s">
        <v>453</v>
      </c>
      <c r="E734" s="533" t="s">
        <v>380</v>
      </c>
      <c r="F734" s="348" t="s">
        <v>180</v>
      </c>
      <c r="G734" s="348" t="s">
        <v>181</v>
      </c>
      <c r="H734" s="349"/>
      <c r="I734" s="349"/>
      <c r="J734" s="349"/>
      <c r="K734" s="349">
        <v>0</v>
      </c>
      <c r="L734" s="350">
        <v>8</v>
      </c>
      <c r="M734" s="350">
        <v>0</v>
      </c>
      <c r="N734" s="350">
        <v>8</v>
      </c>
      <c r="O734" s="350">
        <v>8</v>
      </c>
      <c r="P734" s="352">
        <v>8</v>
      </c>
      <c r="Q734" s="352">
        <v>8</v>
      </c>
      <c r="R734" s="352"/>
      <c r="S734" s="352"/>
      <c r="T734" s="352"/>
      <c r="U734" s="352"/>
      <c r="V734" s="497"/>
      <c r="W734" s="352"/>
      <c r="X734" s="352"/>
      <c r="Y734" s="352">
        <f>IF(NFI_Expiration=1,IF($A734&lt;VLOOKUP(H$5,NFI,5,0),1,0)*Table_NFI[[#This Row],[Hygiene Kit]],Table_NFI[Hygiene Kit])</f>
        <v>0</v>
      </c>
      <c r="Z734" s="352">
        <f>IF(NFI_Expiration=1,IF($A734&lt;VLOOKUP(I$5,NFI,5,0),1,0)*Table_NFI[[#This Row],[NFI Core Kit]],Table_NFI[NFI Core Kit])</f>
        <v>0</v>
      </c>
      <c r="AA734" s="352">
        <f>IF(NFI_Expiration=1,IF($A734&lt;VLOOKUP(J$5,NFI,5,0),1,0)*Table_NFI[[#This Row],[Sanitary Kit]],Table_NFI[Sanitary Kit])</f>
        <v>0</v>
      </c>
      <c r="AB734" s="352">
        <f>IF(NFI_Expiration=1,IF($A734&lt;VLOOKUP(K$5,NFI,5,0),1,0)*Table_NFI[[#This Row],[Mosquito net]],Table_NFI[Mosquito net])</f>
        <v>0</v>
      </c>
      <c r="AC734" s="352">
        <f>IF(NFI_Expiration=1,IF($A734&lt;VLOOKUP(L$5,NFI,5,0),1,0)*Table_NFI[[#This Row],[Tarpaulin]],Table_NFI[[#This Row],[Tarpaulin]])</f>
        <v>0</v>
      </c>
      <c r="AD734" s="352">
        <f>IF(NFI_Expiration=1,IF($A734&lt;VLOOKUP(M$5,NFI,5,0),1,0)*Table_NFI[[#This Row],[Blanket]],Table_NFI[[#This Row],[Blanket]])</f>
        <v>0</v>
      </c>
      <c r="AE734" s="352">
        <f>IF(NFI_Expiration=1,IF($A734&lt;VLOOKUP(N$5,NFI,5,0),1,0)*Table_NFI[[#This Row],[Kitchen Set]],Table_NFI[Kitchen Set])</f>
        <v>0</v>
      </c>
      <c r="AF734" s="352">
        <f>IF(NFI_Expiration=1,IF($A734&lt;VLOOKUP(O$5,NFI,5,0),1,0)*Table_NFI[[#This Row],[Clothes Kit]],Table_NFI[Clothes Kit])</f>
        <v>0</v>
      </c>
      <c r="AG734" s="352">
        <f>IF(NFI_Expiration=1,IF($A734&lt;VLOOKUP(P$5,NFI,5,0),1,0)*Table_NFI[[#This Row],[Plastic Bucket]],Table_NFI[Plastic Bucket])</f>
        <v>0</v>
      </c>
      <c r="AH734" s="352">
        <f>IF(NFI_Expiration=1,IF($A734&lt;VLOOKUP(Q$5,NFI,5,0),1,0)*Table_NFI[[#This Row],[Plastic Mat]],Table_NFI[Plastic Mat])*IF(Table_NFI[[#This Row],[Distribution Date]]&gt;"2014-04-01",1,2.5)</f>
        <v>0</v>
      </c>
      <c r="AI734" s="352">
        <f>IF(NFI_Expiration=1,IF($A734&lt;VLOOKUP(R$5,NFI,5,0),1,0)*Table_NFI[[#This Row],[Winter Clothes Adult]],Table_NFI[Winter Clothes Adult])</f>
        <v>0</v>
      </c>
      <c r="AJ734" s="352">
        <f>IF(NFI_Expiration=1,IF($A734&lt;VLOOKUP(S$5,NFI,5,0),1,0)*Table_NFI[[#This Row],[Winter Clothes Children]],Table_NFI[Winter Clothes Children])</f>
        <v>0</v>
      </c>
      <c r="AK734" s="352">
        <f>IF(NFI_Expiration=1,IF($A734&lt;VLOOKUP(T$5,NFI,5,0),1,0)*Table_NFI[[#This Row],[Winter Items Other]],Table_NFI[Winter Items Other])</f>
        <v>0</v>
      </c>
      <c r="AL734" s="352">
        <f>IF(NFI_Expiration=1,IF($A734&lt;VLOOKUP(M$5,NFI,5,0),1,0)*Table_NFI[[#This Row],[Winter Blanket]],Table_NFI[[#This Row],[Winter Blanket]])</f>
        <v>0</v>
      </c>
      <c r="AM734" s="352">
        <f>IF(Table_NFI[[#This Row],[Winter Clothes Adult]]+Table_NFI[[#This Row],[Winter Clothes Children]]+Table_NFI[[#This Row],[Winter Items Other]]+Table_NFI[[#This Row],[Winter Blanket]]&gt;0,1,0)</f>
        <v>0</v>
      </c>
      <c r="AN734" s="392">
        <f>IF(NFI_Expiration=1,IF($A734&lt;VLOOKUP(V$5,NFI,5,0),1,0)*Table_NFI[[#This Row],[Jerry Can]],Table_NFI[Jerry Can])</f>
        <v>0</v>
      </c>
      <c r="AO734" s="540" t="str">
        <f>IFERROR(VLOOKUP(Table_NFI[[#This Row],[Camp Name]],CL,2,0),"")</f>
        <v>MMR001CMP080</v>
      </c>
      <c r="AP734" s="535">
        <f ca="1">IF(Table_NFI[[#This Row],[Pcode]]="","",IF(OFFSET(CampList[Opening Date],MATCH(Table_NFI[[#This Row],[Pcode]],CampList[CP_Pcode],0)-1,0,1,1)&gt;=NFI_Monitor_Date,1,0))</f>
        <v>0</v>
      </c>
      <c r="AQ734" s="540" t="str">
        <f>IFERROR(VLOOKUP(Table_NFI[[#This Row],[Camp Name]],CL,3,0),"")</f>
        <v>Open</v>
      </c>
      <c r="AR734" s="352" t="str">
        <f ca="1">IF(Table_NFI[[#This Row],[Pcode]]="","",OFFSET(CampList[Priority],MATCH(Table_NFI[[#This Row],[Pcode]],CampList[CP_Pcode],0)-1,0,1,1))</f>
        <v>P4</v>
      </c>
      <c r="AS734" s="351">
        <f>IFERROR(Table_NFI[[#This Row],[Kitchen Set]]/VLOOKUP(Table_NFI[[#This Row],[Camp Name]],CL,4,0),"")</f>
        <v>0.66666666666666663</v>
      </c>
      <c r="AT734" s="533" t="s">
        <v>1094</v>
      </c>
      <c r="AU734" s="536"/>
    </row>
    <row r="735" spans="1:47" ht="14.45" hidden="1" customHeight="1" x14ac:dyDescent="0.25">
      <c r="A735" s="355">
        <f t="shared" si="11"/>
        <v>39</v>
      </c>
      <c r="B735" s="532">
        <v>41401</v>
      </c>
      <c r="C735" s="533" t="s">
        <v>903</v>
      </c>
      <c r="D735" s="534" t="s">
        <v>507</v>
      </c>
      <c r="E735" s="533" t="s">
        <v>380</v>
      </c>
      <c r="F735" s="348" t="s">
        <v>237</v>
      </c>
      <c r="G735" s="348" t="s">
        <v>273</v>
      </c>
      <c r="H735" s="349">
        <v>149</v>
      </c>
      <c r="I735" s="349"/>
      <c r="J735" s="349"/>
      <c r="K735" s="349"/>
      <c r="L735" s="350"/>
      <c r="M735" s="350"/>
      <c r="N735" s="350"/>
      <c r="O735" s="350"/>
      <c r="P735" s="352"/>
      <c r="Q735" s="352"/>
      <c r="R735" s="352"/>
      <c r="S735" s="352"/>
      <c r="T735" s="352"/>
      <c r="U735" s="352"/>
      <c r="V735" s="497"/>
      <c r="W735" s="352"/>
      <c r="X735" s="352"/>
      <c r="Y735" s="352">
        <f>IF(NFI_Expiration=1,IF($A735&lt;VLOOKUP(H$5,NFI,5,0),1,0)*Table_NFI[[#This Row],[Hygiene Kit]],Table_NFI[Hygiene Kit])</f>
        <v>0</v>
      </c>
      <c r="Z735" s="352">
        <f>IF(NFI_Expiration=1,IF($A735&lt;VLOOKUP(I$5,NFI,5,0),1,0)*Table_NFI[[#This Row],[NFI Core Kit]],Table_NFI[NFI Core Kit])</f>
        <v>0</v>
      </c>
      <c r="AA735" s="352">
        <f>IF(NFI_Expiration=1,IF($A735&lt;VLOOKUP(J$5,NFI,5,0),1,0)*Table_NFI[[#This Row],[Sanitary Kit]],Table_NFI[Sanitary Kit])</f>
        <v>0</v>
      </c>
      <c r="AB735" s="352">
        <f>IF(NFI_Expiration=1,IF($A735&lt;VLOOKUP(K$5,NFI,5,0),1,0)*Table_NFI[[#This Row],[Mosquito net]],Table_NFI[Mosquito net])</f>
        <v>0</v>
      </c>
      <c r="AC735" s="352">
        <f>IF(NFI_Expiration=1,IF($A735&lt;VLOOKUP(L$5,NFI,5,0),1,0)*Table_NFI[[#This Row],[Tarpaulin]],Table_NFI[[#This Row],[Tarpaulin]])</f>
        <v>0</v>
      </c>
      <c r="AD735" s="352">
        <f>IF(NFI_Expiration=1,IF($A735&lt;VLOOKUP(M$5,NFI,5,0),1,0)*Table_NFI[[#This Row],[Blanket]],Table_NFI[[#This Row],[Blanket]])</f>
        <v>0</v>
      </c>
      <c r="AE735" s="352">
        <f>IF(NFI_Expiration=1,IF($A735&lt;VLOOKUP(N$5,NFI,5,0),1,0)*Table_NFI[[#This Row],[Kitchen Set]],Table_NFI[Kitchen Set])</f>
        <v>0</v>
      </c>
      <c r="AF735" s="352">
        <f>IF(NFI_Expiration=1,IF($A735&lt;VLOOKUP(O$5,NFI,5,0),1,0)*Table_NFI[[#This Row],[Clothes Kit]],Table_NFI[Clothes Kit])</f>
        <v>0</v>
      </c>
      <c r="AG735" s="352">
        <f>IF(NFI_Expiration=1,IF($A735&lt;VLOOKUP(P$5,NFI,5,0),1,0)*Table_NFI[[#This Row],[Plastic Bucket]],Table_NFI[Plastic Bucket])</f>
        <v>0</v>
      </c>
      <c r="AH735" s="352">
        <f>IF(NFI_Expiration=1,IF($A735&lt;VLOOKUP(Q$5,NFI,5,0),1,0)*Table_NFI[[#This Row],[Plastic Mat]],Table_NFI[Plastic Mat])*IF(Table_NFI[[#This Row],[Distribution Date]]&gt;"2014-04-01",1,2.5)</f>
        <v>0</v>
      </c>
      <c r="AI735" s="352">
        <f>IF(NFI_Expiration=1,IF($A735&lt;VLOOKUP(R$5,NFI,5,0),1,0)*Table_NFI[[#This Row],[Winter Clothes Adult]],Table_NFI[Winter Clothes Adult])</f>
        <v>0</v>
      </c>
      <c r="AJ735" s="352">
        <f>IF(NFI_Expiration=1,IF($A735&lt;VLOOKUP(S$5,NFI,5,0),1,0)*Table_NFI[[#This Row],[Winter Clothes Children]],Table_NFI[Winter Clothes Children])</f>
        <v>0</v>
      </c>
      <c r="AK735" s="352">
        <f>IF(NFI_Expiration=1,IF($A735&lt;VLOOKUP(T$5,NFI,5,0),1,0)*Table_NFI[[#This Row],[Winter Items Other]],Table_NFI[Winter Items Other])</f>
        <v>0</v>
      </c>
      <c r="AL735" s="352">
        <f>IF(NFI_Expiration=1,IF($A735&lt;VLOOKUP(M$5,NFI,5,0),1,0)*Table_NFI[[#This Row],[Winter Blanket]],Table_NFI[[#This Row],[Winter Blanket]])</f>
        <v>0</v>
      </c>
      <c r="AM735" s="352">
        <f>IF(Table_NFI[[#This Row],[Winter Clothes Adult]]+Table_NFI[[#This Row],[Winter Clothes Children]]+Table_NFI[[#This Row],[Winter Items Other]]+Table_NFI[[#This Row],[Winter Blanket]]&gt;0,1,0)</f>
        <v>0</v>
      </c>
      <c r="AN735" s="392">
        <f>IF(NFI_Expiration=1,IF($A735&lt;VLOOKUP(V$5,NFI,5,0),1,0)*Table_NFI[[#This Row],[Jerry Can]],Table_NFI[Jerry Can])</f>
        <v>0</v>
      </c>
      <c r="AO735" s="540" t="str">
        <f>IFERROR(VLOOKUP(Table_NFI[[#This Row],[Camp Name]],CL,2,0),"")</f>
        <v>MMR001CMP162</v>
      </c>
      <c r="AP735" s="535">
        <f ca="1">IF(Table_NFI[[#This Row],[Pcode]]="","",IF(OFFSET(CampList[Opening Date],MATCH(Table_NFI[[#This Row],[Pcode]],CampList[CP_Pcode],0)-1,0,1,1)&gt;=NFI_Monitor_Date,1,0))</f>
        <v>0</v>
      </c>
      <c r="AQ735" s="540" t="str">
        <f>IFERROR(VLOOKUP(Table_NFI[[#This Row],[Camp Name]],CL,3,0),"")</f>
        <v>Open</v>
      </c>
      <c r="AR735" s="352" t="str">
        <f ca="1">IF(Table_NFI[[#This Row],[Pcode]]="","",OFFSET(CampList[Priority],MATCH(Table_NFI[[#This Row],[Pcode]],CampList[CP_Pcode],0)-1,0,1,1))</f>
        <v>P4</v>
      </c>
      <c r="AS735" s="351">
        <f>IFERROR(Table_NFI[[#This Row],[Kitchen Set]]/VLOOKUP(Table_NFI[[#This Row],[Camp Name]],CL,4,0),"")</f>
        <v>0</v>
      </c>
      <c r="AT735" s="533" t="s">
        <v>1094</v>
      </c>
      <c r="AU735" s="536"/>
    </row>
    <row r="736" spans="1:47" ht="14.45" customHeight="1" x14ac:dyDescent="0.25">
      <c r="A736" s="355">
        <f t="shared" si="11"/>
        <v>48.5</v>
      </c>
      <c r="B736" s="532">
        <v>41116</v>
      </c>
      <c r="C736" s="533" t="s">
        <v>453</v>
      </c>
      <c r="D736" s="533" t="s">
        <v>453</v>
      </c>
      <c r="E736" s="533" t="s">
        <v>380</v>
      </c>
      <c r="F736" s="533" t="s">
        <v>173</v>
      </c>
      <c r="G736" s="348" t="s">
        <v>176</v>
      </c>
      <c r="H736" s="349"/>
      <c r="I736" s="349"/>
      <c r="J736" s="349"/>
      <c r="K736" s="349">
        <v>31</v>
      </c>
      <c r="L736" s="350">
        <v>15</v>
      </c>
      <c r="M736" s="350">
        <v>31</v>
      </c>
      <c r="N736" s="350">
        <v>15</v>
      </c>
      <c r="O736" s="350">
        <v>16</v>
      </c>
      <c r="P736" s="352">
        <v>16</v>
      </c>
      <c r="Q736" s="352">
        <v>16</v>
      </c>
      <c r="R736" s="352"/>
      <c r="S736" s="352"/>
      <c r="T736" s="352"/>
      <c r="U736" s="352"/>
      <c r="V736" s="497"/>
      <c r="W736" s="352"/>
      <c r="X736" s="352"/>
      <c r="Y736" s="352">
        <f>IF(NFI_Expiration=1,IF($A736&lt;VLOOKUP(H$5,NFI,5,0),1,0)*Table_NFI[[#This Row],[Hygiene Kit]],Table_NFI[Hygiene Kit])</f>
        <v>0</v>
      </c>
      <c r="Z736" s="352">
        <f>IF(NFI_Expiration=1,IF($A736&lt;VLOOKUP(I$5,NFI,5,0),1,0)*Table_NFI[[#This Row],[NFI Core Kit]],Table_NFI[NFI Core Kit])</f>
        <v>0</v>
      </c>
      <c r="AA736" s="352">
        <f>IF(NFI_Expiration=1,IF($A736&lt;VLOOKUP(J$5,NFI,5,0),1,0)*Table_NFI[[#This Row],[Sanitary Kit]],Table_NFI[Sanitary Kit])</f>
        <v>0</v>
      </c>
      <c r="AB736" s="352">
        <f>IF(NFI_Expiration=1,IF($A736&lt;VLOOKUP(K$5,NFI,5,0),1,0)*Table_NFI[[#This Row],[Mosquito net]],Table_NFI[Mosquito net])</f>
        <v>0</v>
      </c>
      <c r="AC736" s="352">
        <f>IF(NFI_Expiration=1,IF($A736&lt;VLOOKUP(L$5,NFI,5,0),1,0)*Table_NFI[[#This Row],[Tarpaulin]],Table_NFI[[#This Row],[Tarpaulin]])</f>
        <v>0</v>
      </c>
      <c r="AD736" s="352">
        <f>IF(NFI_Expiration=1,IF($A736&lt;VLOOKUP(M$5,NFI,5,0),1,0)*Table_NFI[[#This Row],[Blanket]],Table_NFI[[#This Row],[Blanket]])</f>
        <v>0</v>
      </c>
      <c r="AE736" s="352">
        <f>IF(NFI_Expiration=1,IF($A736&lt;VLOOKUP(N$5,NFI,5,0),1,0)*Table_NFI[[#This Row],[Kitchen Set]],Table_NFI[Kitchen Set])</f>
        <v>0</v>
      </c>
      <c r="AF736" s="352">
        <f>IF(NFI_Expiration=1,IF($A736&lt;VLOOKUP(O$5,NFI,5,0),1,0)*Table_NFI[[#This Row],[Clothes Kit]],Table_NFI[Clothes Kit])</f>
        <v>0</v>
      </c>
      <c r="AG736" s="352">
        <f>IF(NFI_Expiration=1,IF($A736&lt;VLOOKUP(P$5,NFI,5,0),1,0)*Table_NFI[[#This Row],[Plastic Bucket]],Table_NFI[Plastic Bucket])</f>
        <v>0</v>
      </c>
      <c r="AH736" s="352">
        <f>IF(NFI_Expiration=1,IF($A736&lt;VLOOKUP(Q$5,NFI,5,0),1,0)*Table_NFI[[#This Row],[Plastic Mat]],Table_NFI[Plastic Mat])*IF(Table_NFI[[#This Row],[Distribution Date]]&gt;"2014-04-01",1,2.5)</f>
        <v>0</v>
      </c>
      <c r="AI736" s="352">
        <f>IF(NFI_Expiration=1,IF($A736&lt;VLOOKUP(R$5,NFI,5,0),1,0)*Table_NFI[[#This Row],[Winter Clothes Adult]],Table_NFI[Winter Clothes Adult])</f>
        <v>0</v>
      </c>
      <c r="AJ736" s="352">
        <f>IF(NFI_Expiration=1,IF($A736&lt;VLOOKUP(S$5,NFI,5,0),1,0)*Table_NFI[[#This Row],[Winter Clothes Children]],Table_NFI[Winter Clothes Children])</f>
        <v>0</v>
      </c>
      <c r="AK736" s="352">
        <f>IF(NFI_Expiration=1,IF($A736&lt;VLOOKUP(T$5,NFI,5,0),1,0)*Table_NFI[[#This Row],[Winter Items Other]],Table_NFI[Winter Items Other])</f>
        <v>0</v>
      </c>
      <c r="AL736" s="352">
        <f>IF(NFI_Expiration=1,IF($A736&lt;VLOOKUP(M$5,NFI,5,0),1,0)*Table_NFI[[#This Row],[Winter Blanket]],Table_NFI[[#This Row],[Winter Blanket]])</f>
        <v>0</v>
      </c>
      <c r="AM736" s="352">
        <f>IF(Table_NFI[[#This Row],[Winter Clothes Adult]]+Table_NFI[[#This Row],[Winter Clothes Children]]+Table_NFI[[#This Row],[Winter Items Other]]+Table_NFI[[#This Row],[Winter Blanket]]&gt;0,1,0)</f>
        <v>0</v>
      </c>
      <c r="AN736" s="392">
        <f>IF(NFI_Expiration=1,IF($A736&lt;VLOOKUP(V$5,NFI,5,0),1,0)*Table_NFI[[#This Row],[Jerry Can]],Table_NFI[Jerry Can])</f>
        <v>0</v>
      </c>
      <c r="AO736" s="540" t="str">
        <f>IFERROR(VLOOKUP(Table_NFI[[#This Row],[Camp Name]],CL,2,0),"")</f>
        <v>MMR001CMP077</v>
      </c>
      <c r="AP736" s="535">
        <f ca="1">IF(Table_NFI[[#This Row],[Pcode]]="","",IF(OFFSET(CampList[Opening Date],MATCH(Table_NFI[[#This Row],[Pcode]],CampList[CP_Pcode],0)-1,0,1,1)&gt;=NFI_Monitor_Date,1,0))</f>
        <v>0</v>
      </c>
      <c r="AQ736" s="540" t="str">
        <f>IFERROR(VLOOKUP(Table_NFI[[#This Row],[Camp Name]],CL,3,0),"")</f>
        <v>Open</v>
      </c>
      <c r="AR736" s="352" t="str">
        <f ca="1">IF(Table_NFI[[#This Row],[Pcode]]="","",OFFSET(CampList[Priority],MATCH(Table_NFI[[#This Row],[Pcode]],CampList[CP_Pcode],0)-1,0,1,1))</f>
        <v>P4</v>
      </c>
      <c r="AS736" s="351">
        <f>IFERROR(Table_NFI[[#This Row],[Kitchen Set]]/VLOOKUP(Table_NFI[[#This Row],[Camp Name]],CL,4,0),"")</f>
        <v>0.9375</v>
      </c>
      <c r="AT736" s="533" t="s">
        <v>1094</v>
      </c>
      <c r="AU736" s="536"/>
    </row>
    <row r="737" spans="1:47" ht="14.45" customHeight="1" x14ac:dyDescent="0.25">
      <c r="A737" s="355">
        <f t="shared" si="11"/>
        <v>48.5</v>
      </c>
      <c r="B737" s="532">
        <v>41116</v>
      </c>
      <c r="C737" s="533" t="s">
        <v>453</v>
      </c>
      <c r="D737" s="534" t="s">
        <v>453</v>
      </c>
      <c r="E737" s="533" t="s">
        <v>380</v>
      </c>
      <c r="F737" s="348" t="s">
        <v>173</v>
      </c>
      <c r="G737" s="348" t="s">
        <v>178</v>
      </c>
      <c r="H737" s="349"/>
      <c r="I737" s="349"/>
      <c r="J737" s="349"/>
      <c r="K737" s="349">
        <v>21</v>
      </c>
      <c r="L737" s="350">
        <v>17</v>
      </c>
      <c r="M737" s="350">
        <v>21</v>
      </c>
      <c r="N737" s="350">
        <v>17</v>
      </c>
      <c r="O737" s="350">
        <v>17</v>
      </c>
      <c r="P737" s="352">
        <v>17</v>
      </c>
      <c r="Q737" s="352">
        <v>17</v>
      </c>
      <c r="R737" s="352"/>
      <c r="S737" s="352"/>
      <c r="T737" s="352"/>
      <c r="U737" s="352"/>
      <c r="V737" s="497"/>
      <c r="W737" s="352"/>
      <c r="X737" s="352"/>
      <c r="Y737" s="352">
        <f>IF(NFI_Expiration=1,IF($A737&lt;VLOOKUP(H$5,NFI,5,0),1,0)*Table_NFI[[#This Row],[Hygiene Kit]],Table_NFI[Hygiene Kit])</f>
        <v>0</v>
      </c>
      <c r="Z737" s="352">
        <f>IF(NFI_Expiration=1,IF($A737&lt;VLOOKUP(I$5,NFI,5,0),1,0)*Table_NFI[[#This Row],[NFI Core Kit]],Table_NFI[NFI Core Kit])</f>
        <v>0</v>
      </c>
      <c r="AA737" s="352">
        <f>IF(NFI_Expiration=1,IF($A737&lt;VLOOKUP(J$5,NFI,5,0),1,0)*Table_NFI[[#This Row],[Sanitary Kit]],Table_NFI[Sanitary Kit])</f>
        <v>0</v>
      </c>
      <c r="AB737" s="352">
        <f>IF(NFI_Expiration=1,IF($A737&lt;VLOOKUP(K$5,NFI,5,0),1,0)*Table_NFI[[#This Row],[Mosquito net]],Table_NFI[Mosquito net])</f>
        <v>0</v>
      </c>
      <c r="AC737" s="352">
        <f>IF(NFI_Expiration=1,IF($A737&lt;VLOOKUP(L$5,NFI,5,0),1,0)*Table_NFI[[#This Row],[Tarpaulin]],Table_NFI[[#This Row],[Tarpaulin]])</f>
        <v>0</v>
      </c>
      <c r="AD737" s="352">
        <f>IF(NFI_Expiration=1,IF($A737&lt;VLOOKUP(M$5,NFI,5,0),1,0)*Table_NFI[[#This Row],[Blanket]],Table_NFI[[#This Row],[Blanket]])</f>
        <v>0</v>
      </c>
      <c r="AE737" s="352">
        <f>IF(NFI_Expiration=1,IF($A737&lt;VLOOKUP(N$5,NFI,5,0),1,0)*Table_NFI[[#This Row],[Kitchen Set]],Table_NFI[Kitchen Set])</f>
        <v>0</v>
      </c>
      <c r="AF737" s="352">
        <f>IF(NFI_Expiration=1,IF($A737&lt;VLOOKUP(O$5,NFI,5,0),1,0)*Table_NFI[[#This Row],[Clothes Kit]],Table_NFI[Clothes Kit])</f>
        <v>0</v>
      </c>
      <c r="AG737" s="352">
        <f>IF(NFI_Expiration=1,IF($A737&lt;VLOOKUP(P$5,NFI,5,0),1,0)*Table_NFI[[#This Row],[Plastic Bucket]],Table_NFI[Plastic Bucket])</f>
        <v>0</v>
      </c>
      <c r="AH737" s="352">
        <f>IF(NFI_Expiration=1,IF($A737&lt;VLOOKUP(Q$5,NFI,5,0),1,0)*Table_NFI[[#This Row],[Plastic Mat]],Table_NFI[Plastic Mat])*IF(Table_NFI[[#This Row],[Distribution Date]]&gt;"2014-04-01",1,2.5)</f>
        <v>0</v>
      </c>
      <c r="AI737" s="352">
        <f>IF(NFI_Expiration=1,IF($A737&lt;VLOOKUP(R$5,NFI,5,0),1,0)*Table_NFI[[#This Row],[Winter Clothes Adult]],Table_NFI[Winter Clothes Adult])</f>
        <v>0</v>
      </c>
      <c r="AJ737" s="352">
        <f>IF(NFI_Expiration=1,IF($A737&lt;VLOOKUP(S$5,NFI,5,0),1,0)*Table_NFI[[#This Row],[Winter Clothes Children]],Table_NFI[Winter Clothes Children])</f>
        <v>0</v>
      </c>
      <c r="AK737" s="352">
        <f>IF(NFI_Expiration=1,IF($A737&lt;VLOOKUP(T$5,NFI,5,0),1,0)*Table_NFI[[#This Row],[Winter Items Other]],Table_NFI[Winter Items Other])</f>
        <v>0</v>
      </c>
      <c r="AL737" s="352">
        <f>IF(NFI_Expiration=1,IF($A737&lt;VLOOKUP(M$5,NFI,5,0),1,0)*Table_NFI[[#This Row],[Winter Blanket]],Table_NFI[[#This Row],[Winter Blanket]])</f>
        <v>0</v>
      </c>
      <c r="AM737" s="352">
        <f>IF(Table_NFI[[#This Row],[Winter Clothes Adult]]+Table_NFI[[#This Row],[Winter Clothes Children]]+Table_NFI[[#This Row],[Winter Items Other]]+Table_NFI[[#This Row],[Winter Blanket]]&gt;0,1,0)</f>
        <v>0</v>
      </c>
      <c r="AN737" s="392">
        <f>IF(NFI_Expiration=1,IF($A737&lt;VLOOKUP(V$5,NFI,5,0),1,0)*Table_NFI[[#This Row],[Jerry Can]],Table_NFI[Jerry Can])</f>
        <v>0</v>
      </c>
      <c r="AO737" s="540" t="str">
        <f>IFERROR(VLOOKUP(Table_NFI[[#This Row],[Camp Name]],CL,2,0),"")</f>
        <v>MMR001CMP079</v>
      </c>
      <c r="AP737" s="535">
        <f ca="1">IF(Table_NFI[[#This Row],[Pcode]]="","",IF(OFFSET(CampList[Opening Date],MATCH(Table_NFI[[#This Row],[Pcode]],CampList[CP_Pcode],0)-1,0,1,1)&gt;=NFI_Monitor_Date,1,0))</f>
        <v>0</v>
      </c>
      <c r="AQ737" s="540" t="str">
        <f>IFERROR(VLOOKUP(Table_NFI[[#This Row],[Camp Name]],CL,3,0),"")</f>
        <v>Open</v>
      </c>
      <c r="AR737" s="352" t="str">
        <f ca="1">IF(Table_NFI[[#This Row],[Pcode]]="","",OFFSET(CampList[Priority],MATCH(Table_NFI[[#This Row],[Pcode]],CampList[CP_Pcode],0)-1,0,1,1))</f>
        <v>P4</v>
      </c>
      <c r="AS737" s="351">
        <f>IFERROR(Table_NFI[[#This Row],[Kitchen Set]]/VLOOKUP(Table_NFI[[#This Row],[Camp Name]],CL,4,0),"")</f>
        <v>1.4166666666666667</v>
      </c>
      <c r="AT737" s="533" t="s">
        <v>1094</v>
      </c>
      <c r="AU737" s="536"/>
    </row>
    <row r="738" spans="1:47" ht="14.45" customHeight="1" x14ac:dyDescent="0.25">
      <c r="A738" s="355">
        <f t="shared" si="11"/>
        <v>48.6</v>
      </c>
      <c r="B738" s="532">
        <v>41113</v>
      </c>
      <c r="C738" s="533" t="s">
        <v>453</v>
      </c>
      <c r="D738" s="534" t="s">
        <v>453</v>
      </c>
      <c r="E738" s="533" t="s">
        <v>380</v>
      </c>
      <c r="F738" s="348" t="s">
        <v>237</v>
      </c>
      <c r="G738" s="348" t="s">
        <v>255</v>
      </c>
      <c r="H738" s="349"/>
      <c r="I738" s="349"/>
      <c r="J738" s="349"/>
      <c r="K738" s="349">
        <v>19</v>
      </c>
      <c r="L738" s="350">
        <v>10</v>
      </c>
      <c r="M738" s="350">
        <v>19</v>
      </c>
      <c r="N738" s="350">
        <v>10</v>
      </c>
      <c r="O738" s="350">
        <v>11</v>
      </c>
      <c r="P738" s="352">
        <v>11</v>
      </c>
      <c r="Q738" s="352">
        <v>11</v>
      </c>
      <c r="R738" s="352"/>
      <c r="S738" s="352"/>
      <c r="T738" s="352"/>
      <c r="U738" s="352"/>
      <c r="V738" s="497"/>
      <c r="W738" s="352"/>
      <c r="X738" s="352"/>
      <c r="Y738" s="352">
        <f>IF(NFI_Expiration=1,IF($A738&lt;VLOOKUP(H$5,NFI,5,0),1,0)*Table_NFI[[#This Row],[Hygiene Kit]],Table_NFI[Hygiene Kit])</f>
        <v>0</v>
      </c>
      <c r="Z738" s="352">
        <f>IF(NFI_Expiration=1,IF($A738&lt;VLOOKUP(I$5,NFI,5,0),1,0)*Table_NFI[[#This Row],[NFI Core Kit]],Table_NFI[NFI Core Kit])</f>
        <v>0</v>
      </c>
      <c r="AA738" s="352">
        <f>IF(NFI_Expiration=1,IF($A738&lt;VLOOKUP(J$5,NFI,5,0),1,0)*Table_NFI[[#This Row],[Sanitary Kit]],Table_NFI[Sanitary Kit])</f>
        <v>0</v>
      </c>
      <c r="AB738" s="352">
        <f>IF(NFI_Expiration=1,IF($A738&lt;VLOOKUP(K$5,NFI,5,0),1,0)*Table_NFI[[#This Row],[Mosquito net]],Table_NFI[Mosquito net])</f>
        <v>0</v>
      </c>
      <c r="AC738" s="352">
        <f>IF(NFI_Expiration=1,IF($A738&lt;VLOOKUP(L$5,NFI,5,0),1,0)*Table_NFI[[#This Row],[Tarpaulin]],Table_NFI[[#This Row],[Tarpaulin]])</f>
        <v>0</v>
      </c>
      <c r="AD738" s="352">
        <f>IF(NFI_Expiration=1,IF($A738&lt;VLOOKUP(M$5,NFI,5,0),1,0)*Table_NFI[[#This Row],[Blanket]],Table_NFI[[#This Row],[Blanket]])</f>
        <v>0</v>
      </c>
      <c r="AE738" s="352">
        <f>IF(NFI_Expiration=1,IF($A738&lt;VLOOKUP(N$5,NFI,5,0),1,0)*Table_NFI[[#This Row],[Kitchen Set]],Table_NFI[Kitchen Set])</f>
        <v>0</v>
      </c>
      <c r="AF738" s="352">
        <f>IF(NFI_Expiration=1,IF($A738&lt;VLOOKUP(O$5,NFI,5,0),1,0)*Table_NFI[[#This Row],[Clothes Kit]],Table_NFI[Clothes Kit])</f>
        <v>0</v>
      </c>
      <c r="AG738" s="352">
        <f>IF(NFI_Expiration=1,IF($A738&lt;VLOOKUP(P$5,NFI,5,0),1,0)*Table_NFI[[#This Row],[Plastic Bucket]],Table_NFI[Plastic Bucket])</f>
        <v>0</v>
      </c>
      <c r="AH738" s="352">
        <f>IF(NFI_Expiration=1,IF($A738&lt;VLOOKUP(Q$5,NFI,5,0),1,0)*Table_NFI[[#This Row],[Plastic Mat]],Table_NFI[Plastic Mat])*IF(Table_NFI[[#This Row],[Distribution Date]]&gt;"2014-04-01",1,2.5)</f>
        <v>0</v>
      </c>
      <c r="AI738" s="352">
        <f>IF(NFI_Expiration=1,IF($A738&lt;VLOOKUP(R$5,NFI,5,0),1,0)*Table_NFI[[#This Row],[Winter Clothes Adult]],Table_NFI[Winter Clothes Adult])</f>
        <v>0</v>
      </c>
      <c r="AJ738" s="352">
        <f>IF(NFI_Expiration=1,IF($A738&lt;VLOOKUP(S$5,NFI,5,0),1,0)*Table_NFI[[#This Row],[Winter Clothes Children]],Table_NFI[Winter Clothes Children])</f>
        <v>0</v>
      </c>
      <c r="AK738" s="352">
        <f>IF(NFI_Expiration=1,IF($A738&lt;VLOOKUP(T$5,NFI,5,0),1,0)*Table_NFI[[#This Row],[Winter Items Other]],Table_NFI[Winter Items Other])</f>
        <v>0</v>
      </c>
      <c r="AL738" s="352">
        <f>IF(NFI_Expiration=1,IF($A738&lt;VLOOKUP(M$5,NFI,5,0),1,0)*Table_NFI[[#This Row],[Winter Blanket]],Table_NFI[[#This Row],[Winter Blanket]])</f>
        <v>0</v>
      </c>
      <c r="AM738" s="352">
        <f>IF(Table_NFI[[#This Row],[Winter Clothes Adult]]+Table_NFI[[#This Row],[Winter Clothes Children]]+Table_NFI[[#This Row],[Winter Items Other]]+Table_NFI[[#This Row],[Winter Blanket]]&gt;0,1,0)</f>
        <v>0</v>
      </c>
      <c r="AN738" s="392">
        <f>IF(NFI_Expiration=1,IF($A738&lt;VLOOKUP(V$5,NFI,5,0),1,0)*Table_NFI[[#This Row],[Jerry Can]],Table_NFI[Jerry Can])</f>
        <v>0</v>
      </c>
      <c r="AO738" s="540" t="str">
        <f>IFERROR(VLOOKUP(Table_NFI[[#This Row],[Camp Name]],CL,2,0),"")</f>
        <v>MMR001CMP019</v>
      </c>
      <c r="AP738" s="535">
        <f ca="1">IF(Table_NFI[[#This Row],[Pcode]]="","",IF(OFFSET(CampList[Opening Date],MATCH(Table_NFI[[#This Row],[Pcode]],CampList[CP_Pcode],0)-1,0,1,1)&gt;=NFI_Monitor_Date,1,0))</f>
        <v>0</v>
      </c>
      <c r="AQ738" s="540" t="str">
        <f>IFERROR(VLOOKUP(Table_NFI[[#This Row],[Camp Name]],CL,3,0),"")</f>
        <v>Open</v>
      </c>
      <c r="AR738" s="352" t="str">
        <f ca="1">IF(Table_NFI[[#This Row],[Pcode]]="","",OFFSET(CampList[Priority],MATCH(Table_NFI[[#This Row],[Pcode]],CampList[CP_Pcode],0)-1,0,1,1))</f>
        <v>P4</v>
      </c>
      <c r="AS738" s="351">
        <f>IFERROR(Table_NFI[[#This Row],[Kitchen Set]]/VLOOKUP(Table_NFI[[#This Row],[Camp Name]],CL,4,0),"")</f>
        <v>9.9009900990099015E-2</v>
      </c>
      <c r="AT738" s="533" t="s">
        <v>1094</v>
      </c>
      <c r="AU738" s="536"/>
    </row>
    <row r="739" spans="1:47" ht="14.45" customHeight="1" x14ac:dyDescent="0.25">
      <c r="A739" s="355">
        <f t="shared" si="11"/>
        <v>48.6</v>
      </c>
      <c r="B739" s="532">
        <v>41113</v>
      </c>
      <c r="C739" s="533" t="s">
        <v>453</v>
      </c>
      <c r="D739" s="534" t="s">
        <v>453</v>
      </c>
      <c r="E739" s="533" t="s">
        <v>380</v>
      </c>
      <c r="F739" s="348" t="s">
        <v>237</v>
      </c>
      <c r="G739" s="348" t="s">
        <v>259</v>
      </c>
      <c r="H739" s="349"/>
      <c r="I739" s="349"/>
      <c r="J739" s="349"/>
      <c r="K739" s="349">
        <v>72</v>
      </c>
      <c r="L739" s="350">
        <v>39</v>
      </c>
      <c r="M739" s="350">
        <v>72</v>
      </c>
      <c r="N739" s="350">
        <v>39</v>
      </c>
      <c r="O739" s="350">
        <v>39</v>
      </c>
      <c r="P739" s="352">
        <v>39</v>
      </c>
      <c r="Q739" s="352">
        <v>39</v>
      </c>
      <c r="R739" s="352"/>
      <c r="S739" s="352"/>
      <c r="T739" s="352"/>
      <c r="U739" s="352"/>
      <c r="V739" s="497"/>
      <c r="W739" s="352"/>
      <c r="X739" s="352"/>
      <c r="Y739" s="352">
        <f>IF(NFI_Expiration=1,IF($A739&lt;VLOOKUP(H$5,NFI,5,0),1,0)*Table_NFI[[#This Row],[Hygiene Kit]],Table_NFI[Hygiene Kit])</f>
        <v>0</v>
      </c>
      <c r="Z739" s="352">
        <f>IF(NFI_Expiration=1,IF($A739&lt;VLOOKUP(I$5,NFI,5,0),1,0)*Table_NFI[[#This Row],[NFI Core Kit]],Table_NFI[NFI Core Kit])</f>
        <v>0</v>
      </c>
      <c r="AA739" s="352">
        <f>IF(NFI_Expiration=1,IF($A739&lt;VLOOKUP(J$5,NFI,5,0),1,0)*Table_NFI[[#This Row],[Sanitary Kit]],Table_NFI[Sanitary Kit])</f>
        <v>0</v>
      </c>
      <c r="AB739" s="352">
        <f>IF(NFI_Expiration=1,IF($A739&lt;VLOOKUP(K$5,NFI,5,0),1,0)*Table_NFI[[#This Row],[Mosquito net]],Table_NFI[Mosquito net])</f>
        <v>0</v>
      </c>
      <c r="AC739" s="352">
        <f>IF(NFI_Expiration=1,IF($A739&lt;VLOOKUP(L$5,NFI,5,0),1,0)*Table_NFI[[#This Row],[Tarpaulin]],Table_NFI[[#This Row],[Tarpaulin]])</f>
        <v>0</v>
      </c>
      <c r="AD739" s="352">
        <f>IF(NFI_Expiration=1,IF($A739&lt;VLOOKUP(M$5,NFI,5,0),1,0)*Table_NFI[[#This Row],[Blanket]],Table_NFI[[#This Row],[Blanket]])</f>
        <v>0</v>
      </c>
      <c r="AE739" s="352">
        <f>IF(NFI_Expiration=1,IF($A739&lt;VLOOKUP(N$5,NFI,5,0),1,0)*Table_NFI[[#This Row],[Kitchen Set]],Table_NFI[Kitchen Set])</f>
        <v>0</v>
      </c>
      <c r="AF739" s="352">
        <f>IF(NFI_Expiration=1,IF($A739&lt;VLOOKUP(O$5,NFI,5,0),1,0)*Table_NFI[[#This Row],[Clothes Kit]],Table_NFI[Clothes Kit])</f>
        <v>0</v>
      </c>
      <c r="AG739" s="352">
        <f>IF(NFI_Expiration=1,IF($A739&lt;VLOOKUP(P$5,NFI,5,0),1,0)*Table_NFI[[#This Row],[Plastic Bucket]],Table_NFI[Plastic Bucket])</f>
        <v>0</v>
      </c>
      <c r="AH739" s="352">
        <f>IF(NFI_Expiration=1,IF($A739&lt;VLOOKUP(Q$5,NFI,5,0),1,0)*Table_NFI[[#This Row],[Plastic Mat]],Table_NFI[Plastic Mat])*IF(Table_NFI[[#This Row],[Distribution Date]]&gt;"2014-04-01",1,2.5)</f>
        <v>0</v>
      </c>
      <c r="AI739" s="352">
        <f>IF(NFI_Expiration=1,IF($A739&lt;VLOOKUP(R$5,NFI,5,0),1,0)*Table_NFI[[#This Row],[Winter Clothes Adult]],Table_NFI[Winter Clothes Adult])</f>
        <v>0</v>
      </c>
      <c r="AJ739" s="352">
        <f>IF(NFI_Expiration=1,IF($A739&lt;VLOOKUP(S$5,NFI,5,0),1,0)*Table_NFI[[#This Row],[Winter Clothes Children]],Table_NFI[Winter Clothes Children])</f>
        <v>0</v>
      </c>
      <c r="AK739" s="352">
        <f>IF(NFI_Expiration=1,IF($A739&lt;VLOOKUP(T$5,NFI,5,0),1,0)*Table_NFI[[#This Row],[Winter Items Other]],Table_NFI[Winter Items Other])</f>
        <v>0</v>
      </c>
      <c r="AL739" s="352">
        <f>IF(NFI_Expiration=1,IF($A739&lt;VLOOKUP(M$5,NFI,5,0),1,0)*Table_NFI[[#This Row],[Winter Blanket]],Table_NFI[[#This Row],[Winter Blanket]])</f>
        <v>0</v>
      </c>
      <c r="AM739" s="352">
        <f>IF(Table_NFI[[#This Row],[Winter Clothes Adult]]+Table_NFI[[#This Row],[Winter Clothes Children]]+Table_NFI[[#This Row],[Winter Items Other]]+Table_NFI[[#This Row],[Winter Blanket]]&gt;0,1,0)</f>
        <v>0</v>
      </c>
      <c r="AN739" s="392">
        <f>IF(NFI_Expiration=1,IF($A739&lt;VLOOKUP(V$5,NFI,5,0),1,0)*Table_NFI[[#This Row],[Jerry Can]],Table_NFI[Jerry Can])</f>
        <v>0</v>
      </c>
      <c r="AO739" s="540" t="str">
        <f>IFERROR(VLOOKUP(Table_NFI[[#This Row],[Camp Name]],CL,2,0),"")</f>
        <v>MMR001CMP016</v>
      </c>
      <c r="AP739" s="535">
        <f ca="1">IF(Table_NFI[[#This Row],[Pcode]]="","",IF(OFFSET(CampList[Opening Date],MATCH(Table_NFI[[#This Row],[Pcode]],CampList[CP_Pcode],0)-1,0,1,1)&gt;=NFI_Monitor_Date,1,0))</f>
        <v>0</v>
      </c>
      <c r="AQ739" s="540" t="str">
        <f>IFERROR(VLOOKUP(Table_NFI[[#This Row],[Camp Name]],CL,3,0),"")</f>
        <v>Open</v>
      </c>
      <c r="AR739" s="352" t="str">
        <f ca="1">IF(Table_NFI[[#This Row],[Pcode]]="","",OFFSET(CampList[Priority],MATCH(Table_NFI[[#This Row],[Pcode]],CampList[CP_Pcode],0)-1,0,1,1))</f>
        <v>P4</v>
      </c>
      <c r="AS739" s="351">
        <f>IFERROR(Table_NFI[[#This Row],[Kitchen Set]]/VLOOKUP(Table_NFI[[#This Row],[Camp Name]],CL,4,0),"")</f>
        <v>0.65</v>
      </c>
      <c r="AT739" s="533" t="s">
        <v>1094</v>
      </c>
      <c r="AU739" s="536"/>
    </row>
    <row r="740" spans="1:47" ht="14.45" customHeight="1" x14ac:dyDescent="0.25">
      <c r="A740" s="355">
        <f t="shared" si="11"/>
        <v>48.6</v>
      </c>
      <c r="B740" s="532">
        <v>41113</v>
      </c>
      <c r="C740" s="533" t="s">
        <v>453</v>
      </c>
      <c r="D740" s="534" t="s">
        <v>453</v>
      </c>
      <c r="E740" s="533" t="s">
        <v>380</v>
      </c>
      <c r="F740" s="348" t="s">
        <v>237</v>
      </c>
      <c r="G740" s="348" t="s">
        <v>279</v>
      </c>
      <c r="H740" s="349"/>
      <c r="I740" s="354"/>
      <c r="J740" s="347"/>
      <c r="K740" s="347">
        <v>30</v>
      </c>
      <c r="L740" s="347">
        <v>12</v>
      </c>
      <c r="M740" s="347">
        <v>30</v>
      </c>
      <c r="N740" s="347">
        <v>12</v>
      </c>
      <c r="O740" s="347">
        <v>14</v>
      </c>
      <c r="P740" s="352">
        <v>14</v>
      </c>
      <c r="Q740" s="352">
        <v>14</v>
      </c>
      <c r="R740" s="352"/>
      <c r="S740" s="352"/>
      <c r="T740" s="352"/>
      <c r="U740" s="352"/>
      <c r="V740" s="497"/>
      <c r="W740" s="352"/>
      <c r="X740" s="352"/>
      <c r="Y740" s="352">
        <f>IF(NFI_Expiration=1,IF($A740&lt;VLOOKUP(H$5,NFI,5,0),1,0)*Table_NFI[[#This Row],[Hygiene Kit]],Table_NFI[Hygiene Kit])</f>
        <v>0</v>
      </c>
      <c r="Z740" s="352">
        <f>IF(NFI_Expiration=1,IF($A740&lt;VLOOKUP(I$5,NFI,5,0),1,0)*Table_NFI[[#This Row],[NFI Core Kit]],Table_NFI[NFI Core Kit])</f>
        <v>0</v>
      </c>
      <c r="AA740" s="352">
        <f>IF(NFI_Expiration=1,IF($A740&lt;VLOOKUP(J$5,NFI,5,0),1,0)*Table_NFI[[#This Row],[Sanitary Kit]],Table_NFI[Sanitary Kit])</f>
        <v>0</v>
      </c>
      <c r="AB740" s="352">
        <f>IF(NFI_Expiration=1,IF($A740&lt;VLOOKUP(K$5,NFI,5,0),1,0)*Table_NFI[[#This Row],[Mosquito net]],Table_NFI[Mosquito net])</f>
        <v>0</v>
      </c>
      <c r="AC740" s="352">
        <f>IF(NFI_Expiration=1,IF($A740&lt;VLOOKUP(L$5,NFI,5,0),1,0)*Table_NFI[[#This Row],[Tarpaulin]],Table_NFI[[#This Row],[Tarpaulin]])</f>
        <v>0</v>
      </c>
      <c r="AD740" s="352">
        <f>IF(NFI_Expiration=1,IF($A740&lt;VLOOKUP(M$5,NFI,5,0),1,0)*Table_NFI[[#This Row],[Blanket]],Table_NFI[[#This Row],[Blanket]])</f>
        <v>0</v>
      </c>
      <c r="AE740" s="352">
        <f>IF(NFI_Expiration=1,IF($A740&lt;VLOOKUP(N$5,NFI,5,0),1,0)*Table_NFI[[#This Row],[Kitchen Set]],Table_NFI[Kitchen Set])</f>
        <v>0</v>
      </c>
      <c r="AF740" s="352">
        <f>IF(NFI_Expiration=1,IF($A740&lt;VLOOKUP(O$5,NFI,5,0),1,0)*Table_NFI[[#This Row],[Clothes Kit]],Table_NFI[Clothes Kit])</f>
        <v>0</v>
      </c>
      <c r="AG740" s="352">
        <f>IF(NFI_Expiration=1,IF($A740&lt;VLOOKUP(P$5,NFI,5,0),1,0)*Table_NFI[[#This Row],[Plastic Bucket]],Table_NFI[Plastic Bucket])</f>
        <v>0</v>
      </c>
      <c r="AH740" s="352">
        <f>IF(NFI_Expiration=1,IF($A740&lt;VLOOKUP(Q$5,NFI,5,0),1,0)*Table_NFI[[#This Row],[Plastic Mat]],Table_NFI[Plastic Mat])*IF(Table_NFI[[#This Row],[Distribution Date]]&gt;"2014-04-01",1,2.5)</f>
        <v>0</v>
      </c>
      <c r="AI740" s="352">
        <f>IF(NFI_Expiration=1,IF($A740&lt;VLOOKUP(R$5,NFI,5,0),1,0)*Table_NFI[[#This Row],[Winter Clothes Adult]],Table_NFI[Winter Clothes Adult])</f>
        <v>0</v>
      </c>
      <c r="AJ740" s="352">
        <f>IF(NFI_Expiration=1,IF($A740&lt;VLOOKUP(S$5,NFI,5,0),1,0)*Table_NFI[[#This Row],[Winter Clothes Children]],Table_NFI[Winter Clothes Children])</f>
        <v>0</v>
      </c>
      <c r="AK740" s="352">
        <f>IF(NFI_Expiration=1,IF($A740&lt;VLOOKUP(T$5,NFI,5,0),1,0)*Table_NFI[[#This Row],[Winter Items Other]],Table_NFI[Winter Items Other])</f>
        <v>0</v>
      </c>
      <c r="AL740" s="352">
        <f>IF(NFI_Expiration=1,IF($A740&lt;VLOOKUP(M$5,NFI,5,0),1,0)*Table_NFI[[#This Row],[Winter Blanket]],Table_NFI[[#This Row],[Winter Blanket]])</f>
        <v>0</v>
      </c>
      <c r="AM740" s="352">
        <f>IF(Table_NFI[[#This Row],[Winter Clothes Adult]]+Table_NFI[[#This Row],[Winter Clothes Children]]+Table_NFI[[#This Row],[Winter Items Other]]+Table_NFI[[#This Row],[Winter Blanket]]&gt;0,1,0)</f>
        <v>0</v>
      </c>
      <c r="AN740" s="392">
        <f>IF(NFI_Expiration=1,IF($A740&lt;VLOOKUP(V$5,NFI,5,0),1,0)*Table_NFI[[#This Row],[Jerry Can]],Table_NFI[Jerry Can])</f>
        <v>0</v>
      </c>
      <c r="AO740" s="540" t="str">
        <f>IFERROR(VLOOKUP(Table_NFI[[#This Row],[Camp Name]],CL,2,0),"")</f>
        <v>MMR001CMP007</v>
      </c>
      <c r="AP740" s="535">
        <f ca="1">IF(Table_NFI[[#This Row],[Pcode]]="","",IF(OFFSET(CampList[Opening Date],MATCH(Table_NFI[[#This Row],[Pcode]],CampList[CP_Pcode],0)-1,0,1,1)&gt;=NFI_Monitor_Date,1,0))</f>
        <v>0</v>
      </c>
      <c r="AQ740" s="540" t="str">
        <f>IFERROR(VLOOKUP(Table_NFI[[#This Row],[Camp Name]],CL,3,0),"")</f>
        <v>Open</v>
      </c>
      <c r="AR740" s="352" t="str">
        <f ca="1">IF(Table_NFI[[#This Row],[Pcode]]="","",OFFSET(CampList[Priority],MATCH(Table_NFI[[#This Row],[Pcode]],CampList[CP_Pcode],0)-1,0,1,1))</f>
        <v>P4</v>
      </c>
      <c r="AS740" s="351">
        <f>IFERROR(Table_NFI[[#This Row],[Kitchen Set]]/VLOOKUP(Table_NFI[[#This Row],[Camp Name]],CL,4,0),"")</f>
        <v>0.54545454545454541</v>
      </c>
      <c r="AT740" s="533" t="s">
        <v>1094</v>
      </c>
      <c r="AU740" s="536"/>
    </row>
    <row r="741" spans="1:47" ht="16.149999999999999" hidden="1" customHeight="1" x14ac:dyDescent="0.25">
      <c r="A741" s="355">
        <f t="shared" si="11"/>
        <v>31.733333333333334</v>
      </c>
      <c r="B741" s="532">
        <v>41619</v>
      </c>
      <c r="C741" s="533" t="s">
        <v>1029</v>
      </c>
      <c r="D741" s="533" t="s">
        <v>1030</v>
      </c>
      <c r="E741" s="533" t="s">
        <v>380</v>
      </c>
      <c r="F741" s="533" t="s">
        <v>185</v>
      </c>
      <c r="G741" s="533" t="s">
        <v>219</v>
      </c>
      <c r="H741" s="349"/>
      <c r="I741" s="349"/>
      <c r="J741" s="349"/>
      <c r="K741" s="349"/>
      <c r="L741" s="350"/>
      <c r="M741" s="350">
        <v>417</v>
      </c>
      <c r="N741" s="350"/>
      <c r="O741" s="350"/>
      <c r="P741" s="352"/>
      <c r="Q741" s="352"/>
      <c r="R741" s="352"/>
      <c r="S741" s="352"/>
      <c r="T741" s="352"/>
      <c r="U741" s="352"/>
      <c r="V741" s="497"/>
      <c r="W741" s="352"/>
      <c r="X741" s="352"/>
      <c r="Y741" s="352">
        <f>IF(NFI_Expiration=1,IF($A741&lt;VLOOKUP(H$5,NFI,5,0),1,0)*Table_NFI[[#This Row],[Hygiene Kit]],Table_NFI[Hygiene Kit])</f>
        <v>0</v>
      </c>
      <c r="Z741" s="352">
        <f>IF(NFI_Expiration=1,IF($A741&lt;VLOOKUP(I$5,NFI,5,0),1,0)*Table_NFI[[#This Row],[NFI Core Kit]],Table_NFI[NFI Core Kit])</f>
        <v>0</v>
      </c>
      <c r="AA741" s="352">
        <f>IF(NFI_Expiration=1,IF($A741&lt;VLOOKUP(J$5,NFI,5,0),1,0)*Table_NFI[[#This Row],[Sanitary Kit]],Table_NFI[Sanitary Kit])</f>
        <v>0</v>
      </c>
      <c r="AB741" s="352">
        <f>IF(NFI_Expiration=1,IF($A741&lt;VLOOKUP(K$5,NFI,5,0),1,0)*Table_NFI[[#This Row],[Mosquito net]],Table_NFI[Mosquito net])</f>
        <v>0</v>
      </c>
      <c r="AC741" s="352">
        <f>IF(NFI_Expiration=1,IF($A741&lt;VLOOKUP(L$5,NFI,5,0),1,0)*Table_NFI[[#This Row],[Tarpaulin]],Table_NFI[[#This Row],[Tarpaulin]])</f>
        <v>0</v>
      </c>
      <c r="AD741" s="352">
        <f>IF(NFI_Expiration=1,IF($A741&lt;VLOOKUP(M$5,NFI,5,0),1,0)*Table_NFI[[#This Row],[Blanket]],Table_NFI[[#This Row],[Blanket]])</f>
        <v>0</v>
      </c>
      <c r="AE741" s="352">
        <f>IF(NFI_Expiration=1,IF($A741&lt;VLOOKUP(N$5,NFI,5,0),1,0)*Table_NFI[[#This Row],[Kitchen Set]],Table_NFI[Kitchen Set])</f>
        <v>0</v>
      </c>
      <c r="AF741" s="352">
        <f>IF(NFI_Expiration=1,IF($A741&lt;VLOOKUP(O$5,NFI,5,0),1,0)*Table_NFI[[#This Row],[Clothes Kit]],Table_NFI[Clothes Kit])</f>
        <v>0</v>
      </c>
      <c r="AG741" s="352">
        <f>IF(NFI_Expiration=1,IF($A741&lt;VLOOKUP(P$5,NFI,5,0),1,0)*Table_NFI[[#This Row],[Plastic Bucket]],Table_NFI[Plastic Bucket])</f>
        <v>0</v>
      </c>
      <c r="AH741" s="352">
        <f>IF(NFI_Expiration=1,IF($A741&lt;VLOOKUP(Q$5,NFI,5,0),1,0)*Table_NFI[[#This Row],[Plastic Mat]],Table_NFI[Plastic Mat])*IF(Table_NFI[[#This Row],[Distribution Date]]&gt;"2014-04-01",1,2.5)</f>
        <v>0</v>
      </c>
      <c r="AI741" s="352">
        <f>IF(NFI_Expiration=1,IF($A741&lt;VLOOKUP(R$5,NFI,5,0),1,0)*Table_NFI[[#This Row],[Winter Clothes Adult]],Table_NFI[Winter Clothes Adult])</f>
        <v>0</v>
      </c>
      <c r="AJ741" s="352">
        <f>IF(NFI_Expiration=1,IF($A741&lt;VLOOKUP(S$5,NFI,5,0),1,0)*Table_NFI[[#This Row],[Winter Clothes Children]],Table_NFI[Winter Clothes Children])</f>
        <v>0</v>
      </c>
      <c r="AK741" s="352">
        <f>IF(NFI_Expiration=1,IF($A741&lt;VLOOKUP(T$5,NFI,5,0),1,0)*Table_NFI[[#This Row],[Winter Items Other]],Table_NFI[Winter Items Other])</f>
        <v>0</v>
      </c>
      <c r="AL741" s="352">
        <f>IF(NFI_Expiration=1,IF($A741&lt;VLOOKUP(M$5,NFI,5,0),1,0)*Table_NFI[[#This Row],[Winter Blanket]],Table_NFI[[#This Row],[Winter Blanket]])</f>
        <v>0</v>
      </c>
      <c r="AM741" s="352">
        <f>IF(Table_NFI[[#This Row],[Winter Clothes Adult]]+Table_NFI[[#This Row],[Winter Clothes Children]]+Table_NFI[[#This Row],[Winter Items Other]]+Table_NFI[[#This Row],[Winter Blanket]]&gt;0,1,0)</f>
        <v>0</v>
      </c>
      <c r="AN741" s="392">
        <f>IF(NFI_Expiration=1,IF($A741&lt;VLOOKUP(V$5,NFI,5,0),1,0)*Table_NFI[[#This Row],[Jerry Can]],Table_NFI[Jerry Can])</f>
        <v>0</v>
      </c>
      <c r="AO741" s="540" t="str">
        <f>IFERROR(VLOOKUP(Table_NFI[[#This Row],[Camp Name]],CL,2,0),"")</f>
        <v>MMR001CMP126</v>
      </c>
      <c r="AP741" s="535">
        <f ca="1">IF(Table_NFI[[#This Row],[Pcode]]="","",IF(OFFSET(CampList[Opening Date],MATCH(Table_NFI[[#This Row],[Pcode]],CampList[CP_Pcode],0)-1,0,1,1)&gt;=NFI_Monitor_Date,1,0))</f>
        <v>0</v>
      </c>
      <c r="AQ741" s="540" t="str">
        <f>IFERROR(VLOOKUP(Table_NFI[[#This Row],[Camp Name]],CL,3,0),"")</f>
        <v>Open</v>
      </c>
      <c r="AR741" s="352" t="str">
        <f ca="1">IF(Table_NFI[[#This Row],[Pcode]]="","",OFFSET(CampList[Priority],MATCH(Table_NFI[[#This Row],[Pcode]],CampList[CP_Pcode],0)-1,0,1,1))</f>
        <v>P2</v>
      </c>
      <c r="AS741" s="351">
        <f>IFERROR(Table_NFI[[#This Row],[Kitchen Set]]/VLOOKUP(Table_NFI[[#This Row],[Camp Name]],CL,4,0),"")</f>
        <v>0</v>
      </c>
      <c r="AT741" s="533" t="s">
        <v>1094</v>
      </c>
      <c r="AU741" s="536"/>
    </row>
    <row r="742" spans="1:47" ht="13.9" hidden="1" customHeight="1" x14ac:dyDescent="0.25">
      <c r="A742" s="355">
        <f t="shared" si="11"/>
        <v>32.1</v>
      </c>
      <c r="B742" s="532">
        <v>41608</v>
      </c>
      <c r="C742" s="533" t="s">
        <v>907</v>
      </c>
      <c r="D742" s="533" t="s">
        <v>1004</v>
      </c>
      <c r="E742" s="533" t="s">
        <v>380</v>
      </c>
      <c r="F742" s="348" t="s">
        <v>185</v>
      </c>
      <c r="G742" s="348" t="s">
        <v>219</v>
      </c>
      <c r="H742" s="349"/>
      <c r="I742" s="349"/>
      <c r="J742" s="349"/>
      <c r="K742" s="349"/>
      <c r="L742" s="350"/>
      <c r="M742" s="350"/>
      <c r="N742" s="350"/>
      <c r="O742" s="350"/>
      <c r="P742" s="352"/>
      <c r="Q742" s="352"/>
      <c r="R742" s="352"/>
      <c r="S742" s="352"/>
      <c r="T742" s="352"/>
      <c r="U742" s="352"/>
      <c r="V742" s="497"/>
      <c r="W742" s="352"/>
      <c r="X742" s="352"/>
      <c r="Y742" s="352">
        <f>IF(NFI_Expiration=1,IF($A742&lt;VLOOKUP(H$5,NFI,5,0),1,0)*Table_NFI[[#This Row],[Hygiene Kit]],Table_NFI[Hygiene Kit])</f>
        <v>0</v>
      </c>
      <c r="Z742" s="352">
        <f>IF(NFI_Expiration=1,IF($A742&lt;VLOOKUP(I$5,NFI,5,0),1,0)*Table_NFI[[#This Row],[NFI Core Kit]],Table_NFI[NFI Core Kit])</f>
        <v>0</v>
      </c>
      <c r="AA742" s="352">
        <f>IF(NFI_Expiration=1,IF($A742&lt;VLOOKUP(J$5,NFI,5,0),1,0)*Table_NFI[[#This Row],[Sanitary Kit]],Table_NFI[Sanitary Kit])</f>
        <v>0</v>
      </c>
      <c r="AB742" s="352">
        <f>IF(NFI_Expiration=1,IF($A742&lt;VLOOKUP(K$5,NFI,5,0),1,0)*Table_NFI[[#This Row],[Mosquito net]],Table_NFI[Mosquito net])</f>
        <v>0</v>
      </c>
      <c r="AC742" s="352">
        <f>IF(NFI_Expiration=1,IF($A742&lt;VLOOKUP(L$5,NFI,5,0),1,0)*Table_NFI[[#This Row],[Tarpaulin]],Table_NFI[[#This Row],[Tarpaulin]])</f>
        <v>0</v>
      </c>
      <c r="AD742" s="352">
        <f>IF(NFI_Expiration=1,IF($A742&lt;VLOOKUP(M$5,NFI,5,0),1,0)*Table_NFI[[#This Row],[Blanket]],Table_NFI[[#This Row],[Blanket]])</f>
        <v>0</v>
      </c>
      <c r="AE742" s="352">
        <f>IF(NFI_Expiration=1,IF($A742&lt;VLOOKUP(N$5,NFI,5,0),1,0)*Table_NFI[[#This Row],[Kitchen Set]],Table_NFI[Kitchen Set])</f>
        <v>0</v>
      </c>
      <c r="AF742" s="352">
        <f>IF(NFI_Expiration=1,IF($A742&lt;VLOOKUP(O$5,NFI,5,0),1,0)*Table_NFI[[#This Row],[Clothes Kit]],Table_NFI[Clothes Kit])</f>
        <v>0</v>
      </c>
      <c r="AG742" s="352">
        <f>IF(NFI_Expiration=1,IF($A742&lt;VLOOKUP(P$5,NFI,5,0),1,0)*Table_NFI[[#This Row],[Plastic Bucket]],Table_NFI[Plastic Bucket])</f>
        <v>0</v>
      </c>
      <c r="AH742" s="352">
        <f>IF(NFI_Expiration=1,IF($A742&lt;VLOOKUP(Q$5,NFI,5,0),1,0)*Table_NFI[[#This Row],[Plastic Mat]],Table_NFI[Plastic Mat])*IF(Table_NFI[[#This Row],[Distribution Date]]&gt;"2014-04-01",1,2.5)</f>
        <v>0</v>
      </c>
      <c r="AI742" s="352">
        <f>IF(NFI_Expiration=1,IF($A742&lt;VLOOKUP(R$5,NFI,5,0),1,0)*Table_NFI[[#This Row],[Winter Clothes Adult]],Table_NFI[Winter Clothes Adult])</f>
        <v>0</v>
      </c>
      <c r="AJ742" s="352">
        <f>IF(NFI_Expiration=1,IF($A742&lt;VLOOKUP(S$5,NFI,5,0),1,0)*Table_NFI[[#This Row],[Winter Clothes Children]],Table_NFI[Winter Clothes Children])</f>
        <v>0</v>
      </c>
      <c r="AK742" s="352">
        <f>IF(NFI_Expiration=1,IF($A742&lt;VLOOKUP(T$5,NFI,5,0),1,0)*Table_NFI[[#This Row],[Winter Items Other]],Table_NFI[Winter Items Other])</f>
        <v>0</v>
      </c>
      <c r="AL742" s="352">
        <f>IF(NFI_Expiration=1,IF($A742&lt;VLOOKUP(M$5,NFI,5,0),1,0)*Table_NFI[[#This Row],[Winter Blanket]],Table_NFI[[#This Row],[Winter Blanket]])</f>
        <v>0</v>
      </c>
      <c r="AM742" s="352">
        <f>IF(Table_NFI[[#This Row],[Winter Clothes Adult]]+Table_NFI[[#This Row],[Winter Clothes Children]]+Table_NFI[[#This Row],[Winter Items Other]]+Table_NFI[[#This Row],[Winter Blanket]]&gt;0,1,0)</f>
        <v>0</v>
      </c>
      <c r="AN742" s="392">
        <f>IF(NFI_Expiration=1,IF($A742&lt;VLOOKUP(V$5,NFI,5,0),1,0)*Table_NFI[[#This Row],[Jerry Can]],Table_NFI[Jerry Can])</f>
        <v>0</v>
      </c>
      <c r="AO742" s="540" t="str">
        <f>IFERROR(VLOOKUP(Table_NFI[[#This Row],[Camp Name]],CL,2,0),"")</f>
        <v>MMR001CMP126</v>
      </c>
      <c r="AP742" s="535">
        <f ca="1">IF(Table_NFI[[#This Row],[Pcode]]="","",IF(OFFSET(CampList[Opening Date],MATCH(Table_NFI[[#This Row],[Pcode]],CampList[CP_Pcode],0)-1,0,1,1)&gt;=NFI_Monitor_Date,1,0))</f>
        <v>0</v>
      </c>
      <c r="AQ742" s="540" t="str">
        <f>IFERROR(VLOOKUP(Table_NFI[[#This Row],[Camp Name]],CL,3,0),"")</f>
        <v>Open</v>
      </c>
      <c r="AR742" s="352" t="str">
        <f ca="1">IF(Table_NFI[[#This Row],[Pcode]]="","",OFFSET(CampList[Priority],MATCH(Table_NFI[[#This Row],[Pcode]],CampList[CP_Pcode],0)-1,0,1,1))</f>
        <v>P2</v>
      </c>
      <c r="AS742" s="351">
        <f>IFERROR(Table_NFI[[#This Row],[Kitchen Set]]/VLOOKUP(Table_NFI[[#This Row],[Camp Name]],CL,4,0),"")</f>
        <v>0</v>
      </c>
      <c r="AT742" s="533" t="s">
        <v>1094</v>
      </c>
      <c r="AU742" s="536"/>
    </row>
    <row r="743" spans="1:47" ht="14.45" customHeight="1" x14ac:dyDescent="0.25">
      <c r="A743" s="355">
        <f t="shared" si="11"/>
        <v>48.6</v>
      </c>
      <c r="B743" s="532">
        <v>41113</v>
      </c>
      <c r="C743" s="533" t="s">
        <v>453</v>
      </c>
      <c r="D743" s="533" t="s">
        <v>453</v>
      </c>
      <c r="E743" s="533" t="s">
        <v>380</v>
      </c>
      <c r="F743" s="348" t="s">
        <v>237</v>
      </c>
      <c r="G743" s="348" t="s">
        <v>275</v>
      </c>
      <c r="H743" s="349"/>
      <c r="I743" s="349"/>
      <c r="J743" s="349"/>
      <c r="K743" s="349">
        <v>24</v>
      </c>
      <c r="L743" s="350">
        <v>8</v>
      </c>
      <c r="M743" s="350">
        <v>24</v>
      </c>
      <c r="N743" s="350">
        <v>8</v>
      </c>
      <c r="O743" s="350">
        <v>13</v>
      </c>
      <c r="P743" s="352">
        <v>13</v>
      </c>
      <c r="Q743" s="352">
        <v>13</v>
      </c>
      <c r="R743" s="352"/>
      <c r="S743" s="352"/>
      <c r="T743" s="352"/>
      <c r="U743" s="352"/>
      <c r="V743" s="497"/>
      <c r="W743" s="352"/>
      <c r="X743" s="352"/>
      <c r="Y743" s="352">
        <f>IF(NFI_Expiration=1,IF($A743&lt;VLOOKUP(H$5,NFI,5,0),1,0)*Table_NFI[[#This Row],[Hygiene Kit]],Table_NFI[Hygiene Kit])</f>
        <v>0</v>
      </c>
      <c r="Z743" s="352">
        <f>IF(NFI_Expiration=1,IF($A743&lt;VLOOKUP(I$5,NFI,5,0),1,0)*Table_NFI[[#This Row],[NFI Core Kit]],Table_NFI[NFI Core Kit])</f>
        <v>0</v>
      </c>
      <c r="AA743" s="352">
        <f>IF(NFI_Expiration=1,IF($A743&lt;VLOOKUP(J$5,NFI,5,0),1,0)*Table_NFI[[#This Row],[Sanitary Kit]],Table_NFI[Sanitary Kit])</f>
        <v>0</v>
      </c>
      <c r="AB743" s="352">
        <f>IF(NFI_Expiration=1,IF($A743&lt;VLOOKUP(K$5,NFI,5,0),1,0)*Table_NFI[[#This Row],[Mosquito net]],Table_NFI[Mosquito net])</f>
        <v>0</v>
      </c>
      <c r="AC743" s="352">
        <f>IF(NFI_Expiration=1,IF($A743&lt;VLOOKUP(L$5,NFI,5,0),1,0)*Table_NFI[[#This Row],[Tarpaulin]],Table_NFI[[#This Row],[Tarpaulin]])</f>
        <v>0</v>
      </c>
      <c r="AD743" s="352">
        <f>IF(NFI_Expiration=1,IF($A743&lt;VLOOKUP(M$5,NFI,5,0),1,0)*Table_NFI[[#This Row],[Blanket]],Table_NFI[[#This Row],[Blanket]])</f>
        <v>0</v>
      </c>
      <c r="AE743" s="352">
        <f>IF(NFI_Expiration=1,IF($A743&lt;VLOOKUP(N$5,NFI,5,0),1,0)*Table_NFI[[#This Row],[Kitchen Set]],Table_NFI[Kitchen Set])</f>
        <v>0</v>
      </c>
      <c r="AF743" s="352">
        <f>IF(NFI_Expiration=1,IF($A743&lt;VLOOKUP(O$5,NFI,5,0),1,0)*Table_NFI[[#This Row],[Clothes Kit]],Table_NFI[Clothes Kit])</f>
        <v>0</v>
      </c>
      <c r="AG743" s="352">
        <f>IF(NFI_Expiration=1,IF($A743&lt;VLOOKUP(P$5,NFI,5,0),1,0)*Table_NFI[[#This Row],[Plastic Bucket]],Table_NFI[Plastic Bucket])</f>
        <v>0</v>
      </c>
      <c r="AH743" s="352">
        <f>IF(NFI_Expiration=1,IF($A743&lt;VLOOKUP(Q$5,NFI,5,0),1,0)*Table_NFI[[#This Row],[Plastic Mat]],Table_NFI[Plastic Mat])*IF(Table_NFI[[#This Row],[Distribution Date]]&gt;"2014-04-01",1,2.5)</f>
        <v>0</v>
      </c>
      <c r="AI743" s="352">
        <f>IF(NFI_Expiration=1,IF($A743&lt;VLOOKUP(R$5,NFI,5,0),1,0)*Table_NFI[[#This Row],[Winter Clothes Adult]],Table_NFI[Winter Clothes Adult])</f>
        <v>0</v>
      </c>
      <c r="AJ743" s="352">
        <f>IF(NFI_Expiration=1,IF($A743&lt;VLOOKUP(S$5,NFI,5,0),1,0)*Table_NFI[[#This Row],[Winter Clothes Children]],Table_NFI[Winter Clothes Children])</f>
        <v>0</v>
      </c>
      <c r="AK743" s="352">
        <f>IF(NFI_Expiration=1,IF($A743&lt;VLOOKUP(T$5,NFI,5,0),1,0)*Table_NFI[[#This Row],[Winter Items Other]],Table_NFI[Winter Items Other])</f>
        <v>0</v>
      </c>
      <c r="AL743" s="352">
        <f>IF(NFI_Expiration=1,IF($A743&lt;VLOOKUP(M$5,NFI,5,0),1,0)*Table_NFI[[#This Row],[Winter Blanket]],Table_NFI[[#This Row],[Winter Blanket]])</f>
        <v>0</v>
      </c>
      <c r="AM743" s="352">
        <f>IF(Table_NFI[[#This Row],[Winter Clothes Adult]]+Table_NFI[[#This Row],[Winter Clothes Children]]+Table_NFI[[#This Row],[Winter Items Other]]+Table_NFI[[#This Row],[Winter Blanket]]&gt;0,1,0)</f>
        <v>0</v>
      </c>
      <c r="AN743" s="392">
        <f>IF(NFI_Expiration=1,IF($A743&lt;VLOOKUP(V$5,NFI,5,0),1,0)*Table_NFI[[#This Row],[Jerry Can]],Table_NFI[Jerry Can])</f>
        <v>0</v>
      </c>
      <c r="AO743" s="540" t="str">
        <f>IFERROR(VLOOKUP(Table_NFI[[#This Row],[Camp Name]],CL,2,0),"")</f>
        <v>MMR001CMP005</v>
      </c>
      <c r="AP743" s="535">
        <f ca="1">IF(Table_NFI[[#This Row],[Pcode]]="","",IF(OFFSET(CampList[Opening Date],MATCH(Table_NFI[[#This Row],[Pcode]],CampList[CP_Pcode],0)-1,0,1,1)&gt;=NFI_Monitor_Date,1,0))</f>
        <v>0</v>
      </c>
      <c r="AQ743" s="540" t="str">
        <f>IFERROR(VLOOKUP(Table_NFI[[#This Row],[Camp Name]],CL,3,0),"")</f>
        <v>Open</v>
      </c>
      <c r="AR743" s="352" t="str">
        <f ca="1">IF(Table_NFI[[#This Row],[Pcode]]="","",OFFSET(CampList[Priority],MATCH(Table_NFI[[#This Row],[Pcode]],CampList[CP_Pcode],0)-1,0,1,1))</f>
        <v>P4</v>
      </c>
      <c r="AS743" s="351">
        <f>IFERROR(Table_NFI[[#This Row],[Kitchen Set]]/VLOOKUP(Table_NFI[[#This Row],[Camp Name]],CL,4,0),"")</f>
        <v>0.18604651162790697</v>
      </c>
      <c r="AT743" s="533" t="s">
        <v>1094</v>
      </c>
      <c r="AU743" s="536"/>
    </row>
    <row r="744" spans="1:47" hidden="1" x14ac:dyDescent="0.25">
      <c r="A744" s="355">
        <f t="shared" si="11"/>
        <v>32.666666666666664</v>
      </c>
      <c r="B744" s="532">
        <v>41591</v>
      </c>
      <c r="C744" s="533" t="s">
        <v>907</v>
      </c>
      <c r="D744" s="533" t="s">
        <v>1004</v>
      </c>
      <c r="E744" s="533" t="s">
        <v>380</v>
      </c>
      <c r="F744" s="533" t="s">
        <v>185</v>
      </c>
      <c r="G744" s="533" t="s">
        <v>219</v>
      </c>
      <c r="H744" s="349"/>
      <c r="I744" s="349"/>
      <c r="J744" s="349"/>
      <c r="K744" s="349"/>
      <c r="L744" s="350"/>
      <c r="M744" s="350"/>
      <c r="N744" s="350"/>
      <c r="O744" s="350"/>
      <c r="P744" s="352"/>
      <c r="Q744" s="352"/>
      <c r="R744" s="352">
        <v>514</v>
      </c>
      <c r="S744" s="352">
        <v>1016</v>
      </c>
      <c r="T744" s="352">
        <v>3060</v>
      </c>
      <c r="U744" s="352">
        <v>1530</v>
      </c>
      <c r="V744" s="497"/>
      <c r="W744" s="352"/>
      <c r="X744" s="352"/>
      <c r="Y744" s="352">
        <f>IF(NFI_Expiration=1,IF($A744&lt;VLOOKUP(H$5,NFI,5,0),1,0)*Table_NFI[[#This Row],[Hygiene Kit]],Table_NFI[Hygiene Kit])</f>
        <v>0</v>
      </c>
      <c r="Z744" s="352">
        <f>IF(NFI_Expiration=1,IF($A744&lt;VLOOKUP(I$5,NFI,5,0),1,0)*Table_NFI[[#This Row],[NFI Core Kit]],Table_NFI[NFI Core Kit])</f>
        <v>0</v>
      </c>
      <c r="AA744" s="352">
        <f>IF(NFI_Expiration=1,IF($A744&lt;VLOOKUP(J$5,NFI,5,0),1,0)*Table_NFI[[#This Row],[Sanitary Kit]],Table_NFI[Sanitary Kit])</f>
        <v>0</v>
      </c>
      <c r="AB744" s="352">
        <f>IF(NFI_Expiration=1,IF($A744&lt;VLOOKUP(K$5,NFI,5,0),1,0)*Table_NFI[[#This Row],[Mosquito net]],Table_NFI[Mosquito net])</f>
        <v>0</v>
      </c>
      <c r="AC744" s="352">
        <f>IF(NFI_Expiration=1,IF($A744&lt;VLOOKUP(L$5,NFI,5,0),1,0)*Table_NFI[[#This Row],[Tarpaulin]],Table_NFI[[#This Row],[Tarpaulin]])</f>
        <v>0</v>
      </c>
      <c r="AD744" s="352">
        <f>IF(NFI_Expiration=1,IF($A744&lt;VLOOKUP(M$5,NFI,5,0),1,0)*Table_NFI[[#This Row],[Blanket]],Table_NFI[[#This Row],[Blanket]])</f>
        <v>0</v>
      </c>
      <c r="AE744" s="352">
        <f>IF(NFI_Expiration=1,IF($A744&lt;VLOOKUP(N$5,NFI,5,0),1,0)*Table_NFI[[#This Row],[Kitchen Set]],Table_NFI[Kitchen Set])</f>
        <v>0</v>
      </c>
      <c r="AF744" s="352">
        <f>IF(NFI_Expiration=1,IF($A744&lt;VLOOKUP(O$5,NFI,5,0),1,0)*Table_NFI[[#This Row],[Clothes Kit]],Table_NFI[Clothes Kit])</f>
        <v>0</v>
      </c>
      <c r="AG744" s="352">
        <f>IF(NFI_Expiration=1,IF($A744&lt;VLOOKUP(P$5,NFI,5,0),1,0)*Table_NFI[[#This Row],[Plastic Bucket]],Table_NFI[Plastic Bucket])</f>
        <v>0</v>
      </c>
      <c r="AH744" s="352">
        <f>IF(NFI_Expiration=1,IF($A744&lt;VLOOKUP(Q$5,NFI,5,0),1,0)*Table_NFI[[#This Row],[Plastic Mat]],Table_NFI[Plastic Mat])*IF(Table_NFI[[#This Row],[Distribution Date]]&gt;"2014-04-01",1,2.5)</f>
        <v>0</v>
      </c>
      <c r="AI744" s="352">
        <f>IF(NFI_Expiration=1,IF($A744&lt;VLOOKUP(R$5,NFI,5,0),1,0)*Table_NFI[[#This Row],[Winter Clothes Adult]],Table_NFI[Winter Clothes Adult])</f>
        <v>0</v>
      </c>
      <c r="AJ744" s="352">
        <f>IF(NFI_Expiration=1,IF($A744&lt;VLOOKUP(S$5,NFI,5,0),1,0)*Table_NFI[[#This Row],[Winter Clothes Children]],Table_NFI[Winter Clothes Children])</f>
        <v>0</v>
      </c>
      <c r="AK744" s="352">
        <f>IF(NFI_Expiration=1,IF($A744&lt;VLOOKUP(T$5,NFI,5,0),1,0)*Table_NFI[[#This Row],[Winter Items Other]],Table_NFI[Winter Items Other])</f>
        <v>0</v>
      </c>
      <c r="AL744" s="352">
        <f>IF(NFI_Expiration=1,IF($A744&lt;VLOOKUP(M$5,NFI,5,0),1,0)*Table_NFI[[#This Row],[Winter Blanket]],Table_NFI[[#This Row],[Winter Blanket]])</f>
        <v>0</v>
      </c>
      <c r="AM744" s="352">
        <f>IF(Table_NFI[[#This Row],[Winter Clothes Adult]]+Table_NFI[[#This Row],[Winter Clothes Children]]+Table_NFI[[#This Row],[Winter Items Other]]+Table_NFI[[#This Row],[Winter Blanket]]&gt;0,1,0)</f>
        <v>1</v>
      </c>
      <c r="AN744" s="392">
        <f>IF(NFI_Expiration=1,IF($A744&lt;VLOOKUP(V$5,NFI,5,0),1,0)*Table_NFI[[#This Row],[Jerry Can]],Table_NFI[Jerry Can])</f>
        <v>0</v>
      </c>
      <c r="AO744" s="540" t="str">
        <f>IFERROR(VLOOKUP(Table_NFI[[#This Row],[Camp Name]],CL,2,0),"")</f>
        <v>MMR001CMP126</v>
      </c>
      <c r="AP744" s="535">
        <f ca="1">IF(Table_NFI[[#This Row],[Pcode]]="","",IF(OFFSET(CampList[Opening Date],MATCH(Table_NFI[[#This Row],[Pcode]],CampList[CP_Pcode],0)-1,0,1,1)&gt;=NFI_Monitor_Date,1,0))</f>
        <v>0</v>
      </c>
      <c r="AQ744" s="540" t="str">
        <f>IFERROR(VLOOKUP(Table_NFI[[#This Row],[Camp Name]],CL,3,0),"")</f>
        <v>Open</v>
      </c>
      <c r="AR744" s="352" t="str">
        <f ca="1">IF(Table_NFI[[#This Row],[Pcode]]="","",OFFSET(CampList[Priority],MATCH(Table_NFI[[#This Row],[Pcode]],CampList[CP_Pcode],0)-1,0,1,1))</f>
        <v>P2</v>
      </c>
      <c r="AS744" s="351">
        <f>IFERROR(Table_NFI[[#This Row],[Kitchen Set]]/VLOOKUP(Table_NFI[[#This Row],[Camp Name]],CL,4,0),"")</f>
        <v>0</v>
      </c>
      <c r="AT744" s="533"/>
      <c r="AU744" s="536"/>
    </row>
    <row r="745" spans="1:47" ht="14.45" customHeight="1" x14ac:dyDescent="0.25">
      <c r="A745" s="355">
        <f t="shared" si="11"/>
        <v>48.733333333333334</v>
      </c>
      <c r="B745" s="532">
        <v>41109</v>
      </c>
      <c r="C745" s="533" t="s">
        <v>453</v>
      </c>
      <c r="D745" s="534" t="s">
        <v>453</v>
      </c>
      <c r="E745" s="533" t="s">
        <v>380</v>
      </c>
      <c r="F745" s="348" t="s">
        <v>237</v>
      </c>
      <c r="G745" s="348" t="s">
        <v>257</v>
      </c>
      <c r="H745" s="349"/>
      <c r="I745" s="349"/>
      <c r="J745" s="349"/>
      <c r="K745" s="349">
        <v>6</v>
      </c>
      <c r="L745" s="350">
        <v>4</v>
      </c>
      <c r="M745" s="350">
        <v>6</v>
      </c>
      <c r="N745" s="350">
        <v>4</v>
      </c>
      <c r="O745" s="350">
        <v>4</v>
      </c>
      <c r="P745" s="352">
        <v>4</v>
      </c>
      <c r="Q745" s="352">
        <v>4</v>
      </c>
      <c r="R745" s="352"/>
      <c r="S745" s="352"/>
      <c r="T745" s="352"/>
      <c r="U745" s="352"/>
      <c r="V745" s="497"/>
      <c r="W745" s="352"/>
      <c r="X745" s="352"/>
      <c r="Y745" s="352">
        <f>IF(NFI_Expiration=1,IF($A745&lt;VLOOKUP(H$5,NFI,5,0),1,0)*Table_NFI[[#This Row],[Hygiene Kit]],Table_NFI[Hygiene Kit])</f>
        <v>0</v>
      </c>
      <c r="Z745" s="352">
        <f>IF(NFI_Expiration=1,IF($A745&lt;VLOOKUP(I$5,NFI,5,0),1,0)*Table_NFI[[#This Row],[NFI Core Kit]],Table_NFI[NFI Core Kit])</f>
        <v>0</v>
      </c>
      <c r="AA745" s="352">
        <f>IF(NFI_Expiration=1,IF($A745&lt;VLOOKUP(J$5,NFI,5,0),1,0)*Table_NFI[[#This Row],[Sanitary Kit]],Table_NFI[Sanitary Kit])</f>
        <v>0</v>
      </c>
      <c r="AB745" s="352">
        <f>IF(NFI_Expiration=1,IF($A745&lt;VLOOKUP(K$5,NFI,5,0),1,0)*Table_NFI[[#This Row],[Mosquito net]],Table_NFI[Mosquito net])</f>
        <v>0</v>
      </c>
      <c r="AC745" s="352">
        <f>IF(NFI_Expiration=1,IF($A745&lt;VLOOKUP(L$5,NFI,5,0),1,0)*Table_NFI[[#This Row],[Tarpaulin]],Table_NFI[[#This Row],[Tarpaulin]])</f>
        <v>0</v>
      </c>
      <c r="AD745" s="352">
        <f>IF(NFI_Expiration=1,IF($A745&lt;VLOOKUP(M$5,NFI,5,0),1,0)*Table_NFI[[#This Row],[Blanket]],Table_NFI[[#This Row],[Blanket]])</f>
        <v>0</v>
      </c>
      <c r="AE745" s="352">
        <f>IF(NFI_Expiration=1,IF($A745&lt;VLOOKUP(N$5,NFI,5,0),1,0)*Table_NFI[[#This Row],[Kitchen Set]],Table_NFI[Kitchen Set])</f>
        <v>0</v>
      </c>
      <c r="AF745" s="352">
        <f>IF(NFI_Expiration=1,IF($A745&lt;VLOOKUP(O$5,NFI,5,0),1,0)*Table_NFI[[#This Row],[Clothes Kit]],Table_NFI[Clothes Kit])</f>
        <v>0</v>
      </c>
      <c r="AG745" s="352">
        <f>IF(NFI_Expiration=1,IF($A745&lt;VLOOKUP(P$5,NFI,5,0),1,0)*Table_NFI[[#This Row],[Plastic Bucket]],Table_NFI[Plastic Bucket])</f>
        <v>0</v>
      </c>
      <c r="AH745" s="352">
        <f>IF(NFI_Expiration=1,IF($A745&lt;VLOOKUP(Q$5,NFI,5,0),1,0)*Table_NFI[[#This Row],[Plastic Mat]],Table_NFI[Plastic Mat])*IF(Table_NFI[[#This Row],[Distribution Date]]&gt;"2014-04-01",1,2.5)</f>
        <v>0</v>
      </c>
      <c r="AI745" s="352">
        <f>IF(NFI_Expiration=1,IF($A745&lt;VLOOKUP(R$5,NFI,5,0),1,0)*Table_NFI[[#This Row],[Winter Clothes Adult]],Table_NFI[Winter Clothes Adult])</f>
        <v>0</v>
      </c>
      <c r="AJ745" s="352">
        <f>IF(NFI_Expiration=1,IF($A745&lt;VLOOKUP(S$5,NFI,5,0),1,0)*Table_NFI[[#This Row],[Winter Clothes Children]],Table_NFI[Winter Clothes Children])</f>
        <v>0</v>
      </c>
      <c r="AK745" s="352">
        <f>IF(NFI_Expiration=1,IF($A745&lt;VLOOKUP(T$5,NFI,5,0),1,0)*Table_NFI[[#This Row],[Winter Items Other]],Table_NFI[Winter Items Other])</f>
        <v>0</v>
      </c>
      <c r="AL745" s="352">
        <f>IF(NFI_Expiration=1,IF($A745&lt;VLOOKUP(M$5,NFI,5,0),1,0)*Table_NFI[[#This Row],[Winter Blanket]],Table_NFI[[#This Row],[Winter Blanket]])</f>
        <v>0</v>
      </c>
      <c r="AM745" s="352">
        <f>IF(Table_NFI[[#This Row],[Winter Clothes Adult]]+Table_NFI[[#This Row],[Winter Clothes Children]]+Table_NFI[[#This Row],[Winter Items Other]]+Table_NFI[[#This Row],[Winter Blanket]]&gt;0,1,0)</f>
        <v>0</v>
      </c>
      <c r="AN745" s="392">
        <f>IF(NFI_Expiration=1,IF($A745&lt;VLOOKUP(V$5,NFI,5,0),1,0)*Table_NFI[[#This Row],[Jerry Can]],Table_NFI[Jerry Can])</f>
        <v>0</v>
      </c>
      <c r="AO745" s="540" t="str">
        <f>IFERROR(VLOOKUP(Table_NFI[[#This Row],[Camp Name]],CL,2,0),"")</f>
        <v>MMR001CMP013</v>
      </c>
      <c r="AP745" s="535">
        <f ca="1">IF(Table_NFI[[#This Row],[Pcode]]="","",IF(OFFSET(CampList[Opening Date],MATCH(Table_NFI[[#This Row],[Pcode]],CampList[CP_Pcode],0)-1,0,1,1)&gt;=NFI_Monitor_Date,1,0))</f>
        <v>0</v>
      </c>
      <c r="AQ745" s="540" t="str">
        <f>IFERROR(VLOOKUP(Table_NFI[[#This Row],[Camp Name]],CL,3,0),"")</f>
        <v>Open</v>
      </c>
      <c r="AR745" s="352" t="str">
        <f ca="1">IF(Table_NFI[[#This Row],[Pcode]]="","",OFFSET(CampList[Priority],MATCH(Table_NFI[[#This Row],[Pcode]],CampList[CP_Pcode],0)-1,0,1,1))</f>
        <v>P4</v>
      </c>
      <c r="AS745" s="351">
        <f>IFERROR(Table_NFI[[#This Row],[Kitchen Set]]/VLOOKUP(Table_NFI[[#This Row],[Camp Name]],CL,4,0),"")</f>
        <v>9.0909090909090912E-2</v>
      </c>
      <c r="AT745" s="533" t="s">
        <v>1094</v>
      </c>
      <c r="AU745" s="536"/>
    </row>
    <row r="746" spans="1:47" ht="14.45" customHeight="1" x14ac:dyDescent="0.25">
      <c r="A746" s="355">
        <f t="shared" si="11"/>
        <v>48.733333333333334</v>
      </c>
      <c r="B746" s="532">
        <v>41109</v>
      </c>
      <c r="C746" s="533" t="s">
        <v>453</v>
      </c>
      <c r="D746" s="533" t="s">
        <v>453</v>
      </c>
      <c r="E746" s="533" t="s">
        <v>380</v>
      </c>
      <c r="F746" s="348" t="s">
        <v>237</v>
      </c>
      <c r="G746" s="348" t="s">
        <v>1247</v>
      </c>
      <c r="H746" s="349"/>
      <c r="I746" s="349"/>
      <c r="J746" s="349"/>
      <c r="K746" s="349">
        <v>3</v>
      </c>
      <c r="L746" s="350">
        <v>2</v>
      </c>
      <c r="M746" s="350">
        <v>3</v>
      </c>
      <c r="N746" s="350">
        <v>2</v>
      </c>
      <c r="O746" s="350">
        <v>2</v>
      </c>
      <c r="P746" s="352">
        <v>2</v>
      </c>
      <c r="Q746" s="352">
        <v>2</v>
      </c>
      <c r="R746" s="352"/>
      <c r="S746" s="352"/>
      <c r="T746" s="352"/>
      <c r="U746" s="352"/>
      <c r="V746" s="497"/>
      <c r="W746" s="352"/>
      <c r="X746" s="352"/>
      <c r="Y746" s="352">
        <f>IF(NFI_Expiration=1,IF($A746&lt;VLOOKUP(H$5,NFI,5,0),1,0)*Table_NFI[[#This Row],[Hygiene Kit]],Table_NFI[Hygiene Kit])</f>
        <v>0</v>
      </c>
      <c r="Z746" s="352">
        <f>IF(NFI_Expiration=1,IF($A746&lt;VLOOKUP(I$5,NFI,5,0),1,0)*Table_NFI[[#This Row],[NFI Core Kit]],Table_NFI[NFI Core Kit])</f>
        <v>0</v>
      </c>
      <c r="AA746" s="352">
        <f>IF(NFI_Expiration=1,IF($A746&lt;VLOOKUP(J$5,NFI,5,0),1,0)*Table_NFI[[#This Row],[Sanitary Kit]],Table_NFI[Sanitary Kit])</f>
        <v>0</v>
      </c>
      <c r="AB746" s="352">
        <f>IF(NFI_Expiration=1,IF($A746&lt;VLOOKUP(K$5,NFI,5,0),1,0)*Table_NFI[[#This Row],[Mosquito net]],Table_NFI[Mosquito net])</f>
        <v>0</v>
      </c>
      <c r="AC746" s="352">
        <f>IF(NFI_Expiration=1,IF($A746&lt;VLOOKUP(L$5,NFI,5,0),1,0)*Table_NFI[[#This Row],[Tarpaulin]],Table_NFI[[#This Row],[Tarpaulin]])</f>
        <v>0</v>
      </c>
      <c r="AD746" s="352">
        <f>IF(NFI_Expiration=1,IF($A746&lt;VLOOKUP(M$5,NFI,5,0),1,0)*Table_NFI[[#This Row],[Blanket]],Table_NFI[[#This Row],[Blanket]])</f>
        <v>0</v>
      </c>
      <c r="AE746" s="352">
        <f>IF(NFI_Expiration=1,IF($A746&lt;VLOOKUP(N$5,NFI,5,0),1,0)*Table_NFI[[#This Row],[Kitchen Set]],Table_NFI[Kitchen Set])</f>
        <v>0</v>
      </c>
      <c r="AF746" s="352">
        <f>IF(NFI_Expiration=1,IF($A746&lt;VLOOKUP(O$5,NFI,5,0),1,0)*Table_NFI[[#This Row],[Clothes Kit]],Table_NFI[Clothes Kit])</f>
        <v>0</v>
      </c>
      <c r="AG746" s="352">
        <f>IF(NFI_Expiration=1,IF($A746&lt;VLOOKUP(P$5,NFI,5,0),1,0)*Table_NFI[[#This Row],[Plastic Bucket]],Table_NFI[Plastic Bucket])</f>
        <v>0</v>
      </c>
      <c r="AH746" s="352">
        <f>IF(NFI_Expiration=1,IF($A746&lt;VLOOKUP(Q$5,NFI,5,0),1,0)*Table_NFI[[#This Row],[Plastic Mat]],Table_NFI[Plastic Mat])*IF(Table_NFI[[#This Row],[Distribution Date]]&gt;"2014-04-01",1,2.5)</f>
        <v>0</v>
      </c>
      <c r="AI746" s="352">
        <f>IF(NFI_Expiration=1,IF($A746&lt;VLOOKUP(R$5,NFI,5,0),1,0)*Table_NFI[[#This Row],[Winter Clothes Adult]],Table_NFI[Winter Clothes Adult])</f>
        <v>0</v>
      </c>
      <c r="AJ746" s="352">
        <f>IF(NFI_Expiration=1,IF($A746&lt;VLOOKUP(S$5,NFI,5,0),1,0)*Table_NFI[[#This Row],[Winter Clothes Children]],Table_NFI[Winter Clothes Children])</f>
        <v>0</v>
      </c>
      <c r="AK746" s="352">
        <f>IF(NFI_Expiration=1,IF($A746&lt;VLOOKUP(T$5,NFI,5,0),1,0)*Table_NFI[[#This Row],[Winter Items Other]],Table_NFI[Winter Items Other])</f>
        <v>0</v>
      </c>
      <c r="AL746" s="352">
        <f>IF(NFI_Expiration=1,IF($A746&lt;VLOOKUP(M$5,NFI,5,0),1,0)*Table_NFI[[#This Row],[Winter Blanket]],Table_NFI[[#This Row],[Winter Blanket]])</f>
        <v>0</v>
      </c>
      <c r="AM746" s="352">
        <f>IF(Table_NFI[[#This Row],[Winter Clothes Adult]]+Table_NFI[[#This Row],[Winter Clothes Children]]+Table_NFI[[#This Row],[Winter Items Other]]+Table_NFI[[#This Row],[Winter Blanket]]&gt;0,1,0)</f>
        <v>0</v>
      </c>
      <c r="AN746" s="392">
        <f>IF(NFI_Expiration=1,IF($A746&lt;VLOOKUP(V$5,NFI,5,0),1,0)*Table_NFI[[#This Row],[Jerry Can]],Table_NFI[Jerry Can])</f>
        <v>0</v>
      </c>
      <c r="AO746" s="540" t="str">
        <f>IFERROR(VLOOKUP(Table_NFI[[#This Row],[Camp Name]],CL,2,0),"")</f>
        <v>MMR001CMP023</v>
      </c>
      <c r="AP746" s="535">
        <f ca="1">IF(Table_NFI[[#This Row],[Pcode]]="","",IF(OFFSET(CampList[Opening Date],MATCH(Table_NFI[[#This Row],[Pcode]],CampList[CP_Pcode],0)-1,0,1,1)&gt;=NFI_Monitor_Date,1,0))</f>
        <v>0</v>
      </c>
      <c r="AQ746" s="540" t="str">
        <f>IFERROR(VLOOKUP(Table_NFI[[#This Row],[Camp Name]],CL,3,0),"")</f>
        <v>Open</v>
      </c>
      <c r="AR746" s="352" t="str">
        <f ca="1">IF(Table_NFI[[#This Row],[Pcode]]="","",OFFSET(CampList[Priority],MATCH(Table_NFI[[#This Row],[Pcode]],CampList[CP_Pcode],0)-1,0,1,1))</f>
        <v>P4</v>
      </c>
      <c r="AS746" s="351">
        <f>IFERROR(Table_NFI[[#This Row],[Kitchen Set]]/VLOOKUP(Table_NFI[[#This Row],[Camp Name]],CL,4,0),"")</f>
        <v>3.7037037037037035E-2</v>
      </c>
      <c r="AT746" s="533" t="s">
        <v>1094</v>
      </c>
      <c r="AU746" s="536"/>
    </row>
    <row r="747" spans="1:47" ht="14.45" customHeight="1" x14ac:dyDescent="0.25">
      <c r="A747" s="355">
        <f t="shared" si="11"/>
        <v>48.733333333333334</v>
      </c>
      <c r="B747" s="532">
        <v>41109</v>
      </c>
      <c r="C747" s="533" t="s">
        <v>453</v>
      </c>
      <c r="D747" s="533" t="s">
        <v>453</v>
      </c>
      <c r="E747" s="533" t="s">
        <v>380</v>
      </c>
      <c r="F747" s="348" t="s">
        <v>237</v>
      </c>
      <c r="G747" s="348" t="s">
        <v>283</v>
      </c>
      <c r="H747" s="349"/>
      <c r="I747" s="349"/>
      <c r="J747" s="349"/>
      <c r="K747" s="349">
        <v>9</v>
      </c>
      <c r="L747" s="350">
        <v>5</v>
      </c>
      <c r="M747" s="350">
        <v>9</v>
      </c>
      <c r="N747" s="350">
        <v>5</v>
      </c>
      <c r="O747" s="350">
        <v>5</v>
      </c>
      <c r="P747" s="352">
        <v>5</v>
      </c>
      <c r="Q747" s="352">
        <v>5</v>
      </c>
      <c r="R747" s="352"/>
      <c r="S747" s="352"/>
      <c r="T747" s="352"/>
      <c r="U747" s="352"/>
      <c r="V747" s="497"/>
      <c r="W747" s="352"/>
      <c r="X747" s="352"/>
      <c r="Y747" s="352">
        <f>IF(NFI_Expiration=1,IF($A747&lt;VLOOKUP(H$5,NFI,5,0),1,0)*Table_NFI[[#This Row],[Hygiene Kit]],Table_NFI[Hygiene Kit])</f>
        <v>0</v>
      </c>
      <c r="Z747" s="352">
        <f>IF(NFI_Expiration=1,IF($A747&lt;VLOOKUP(I$5,NFI,5,0),1,0)*Table_NFI[[#This Row],[NFI Core Kit]],Table_NFI[NFI Core Kit])</f>
        <v>0</v>
      </c>
      <c r="AA747" s="352">
        <f>IF(NFI_Expiration=1,IF($A747&lt;VLOOKUP(J$5,NFI,5,0),1,0)*Table_NFI[[#This Row],[Sanitary Kit]],Table_NFI[Sanitary Kit])</f>
        <v>0</v>
      </c>
      <c r="AB747" s="352">
        <f>IF(NFI_Expiration=1,IF($A747&lt;VLOOKUP(K$5,NFI,5,0),1,0)*Table_NFI[[#This Row],[Mosquito net]],Table_NFI[Mosquito net])</f>
        <v>0</v>
      </c>
      <c r="AC747" s="352">
        <f>IF(NFI_Expiration=1,IF($A747&lt;VLOOKUP(L$5,NFI,5,0),1,0)*Table_NFI[[#This Row],[Tarpaulin]],Table_NFI[[#This Row],[Tarpaulin]])</f>
        <v>0</v>
      </c>
      <c r="AD747" s="352">
        <f>IF(NFI_Expiration=1,IF($A747&lt;VLOOKUP(M$5,NFI,5,0),1,0)*Table_NFI[[#This Row],[Blanket]],Table_NFI[[#This Row],[Blanket]])</f>
        <v>0</v>
      </c>
      <c r="AE747" s="352">
        <f>IF(NFI_Expiration=1,IF($A747&lt;VLOOKUP(N$5,NFI,5,0),1,0)*Table_NFI[[#This Row],[Kitchen Set]],Table_NFI[Kitchen Set])</f>
        <v>0</v>
      </c>
      <c r="AF747" s="352">
        <f>IF(NFI_Expiration=1,IF($A747&lt;VLOOKUP(O$5,NFI,5,0),1,0)*Table_NFI[[#This Row],[Clothes Kit]],Table_NFI[Clothes Kit])</f>
        <v>0</v>
      </c>
      <c r="AG747" s="352">
        <f>IF(NFI_Expiration=1,IF($A747&lt;VLOOKUP(P$5,NFI,5,0),1,0)*Table_NFI[[#This Row],[Plastic Bucket]],Table_NFI[Plastic Bucket])</f>
        <v>0</v>
      </c>
      <c r="AH747" s="352">
        <f>IF(NFI_Expiration=1,IF($A747&lt;VLOOKUP(Q$5,NFI,5,0),1,0)*Table_NFI[[#This Row],[Plastic Mat]],Table_NFI[Plastic Mat])*IF(Table_NFI[[#This Row],[Distribution Date]]&gt;"2014-04-01",1,2.5)</f>
        <v>0</v>
      </c>
      <c r="AI747" s="352">
        <f>IF(NFI_Expiration=1,IF($A747&lt;VLOOKUP(R$5,NFI,5,0),1,0)*Table_NFI[[#This Row],[Winter Clothes Adult]],Table_NFI[Winter Clothes Adult])</f>
        <v>0</v>
      </c>
      <c r="AJ747" s="352">
        <f>IF(NFI_Expiration=1,IF($A747&lt;VLOOKUP(S$5,NFI,5,0),1,0)*Table_NFI[[#This Row],[Winter Clothes Children]],Table_NFI[Winter Clothes Children])</f>
        <v>0</v>
      </c>
      <c r="AK747" s="352">
        <f>IF(NFI_Expiration=1,IF($A747&lt;VLOOKUP(T$5,NFI,5,0),1,0)*Table_NFI[[#This Row],[Winter Items Other]],Table_NFI[Winter Items Other])</f>
        <v>0</v>
      </c>
      <c r="AL747" s="352">
        <f>IF(NFI_Expiration=1,IF($A747&lt;VLOOKUP(M$5,NFI,5,0),1,0)*Table_NFI[[#This Row],[Winter Blanket]],Table_NFI[[#This Row],[Winter Blanket]])</f>
        <v>0</v>
      </c>
      <c r="AM747" s="352">
        <f>IF(Table_NFI[[#This Row],[Winter Clothes Adult]]+Table_NFI[[#This Row],[Winter Clothes Children]]+Table_NFI[[#This Row],[Winter Items Other]]+Table_NFI[[#This Row],[Winter Blanket]]&gt;0,1,0)</f>
        <v>0</v>
      </c>
      <c r="AN747" s="392">
        <f>IF(NFI_Expiration=1,IF($A747&lt;VLOOKUP(V$5,NFI,5,0),1,0)*Table_NFI[[#This Row],[Jerry Can]],Table_NFI[Jerry Can])</f>
        <v>0</v>
      </c>
      <c r="AO747" s="540" t="str">
        <f>IFERROR(VLOOKUP(Table_NFI[[#This Row],[Camp Name]],CL,2,0),"")</f>
        <v>MMR001CMP022</v>
      </c>
      <c r="AP747" s="535">
        <f ca="1">IF(Table_NFI[[#This Row],[Pcode]]="","",IF(OFFSET(CampList[Opening Date],MATCH(Table_NFI[[#This Row],[Pcode]],CampList[CP_Pcode],0)-1,0,1,1)&gt;=NFI_Monitor_Date,1,0))</f>
        <v>0</v>
      </c>
      <c r="AQ747" s="540" t="str">
        <f>IFERROR(VLOOKUP(Table_NFI[[#This Row],[Camp Name]],CL,3,0),"")</f>
        <v>Open</v>
      </c>
      <c r="AR747" s="352" t="str">
        <f ca="1">IF(Table_NFI[[#This Row],[Pcode]]="","",OFFSET(CampList[Priority],MATCH(Table_NFI[[#This Row],[Pcode]],CampList[CP_Pcode],0)-1,0,1,1))</f>
        <v>P4</v>
      </c>
      <c r="AS747" s="351">
        <f>IFERROR(Table_NFI[[#This Row],[Kitchen Set]]/VLOOKUP(Table_NFI[[#This Row],[Camp Name]],CL,4,0),"")</f>
        <v>0.7142857142857143</v>
      </c>
      <c r="AT747" s="533" t="s">
        <v>1094</v>
      </c>
      <c r="AU747" s="536"/>
    </row>
    <row r="748" spans="1:47" ht="14.45" customHeight="1" x14ac:dyDescent="0.25">
      <c r="A748" s="355">
        <f t="shared" si="11"/>
        <v>48.766666666666666</v>
      </c>
      <c r="B748" s="532">
        <v>41108</v>
      </c>
      <c r="C748" s="533" t="s">
        <v>453</v>
      </c>
      <c r="D748" s="534" t="s">
        <v>453</v>
      </c>
      <c r="E748" s="533" t="s">
        <v>380</v>
      </c>
      <c r="F748" s="348" t="s">
        <v>151</v>
      </c>
      <c r="G748" s="348" t="s">
        <v>519</v>
      </c>
      <c r="H748" s="349"/>
      <c r="I748" s="349"/>
      <c r="J748" s="349"/>
      <c r="K748" s="349">
        <v>170</v>
      </c>
      <c r="L748" s="350">
        <v>16</v>
      </c>
      <c r="M748" s="350">
        <v>170</v>
      </c>
      <c r="N748" s="350">
        <v>85</v>
      </c>
      <c r="O748" s="350">
        <v>85</v>
      </c>
      <c r="P748" s="352">
        <v>85</v>
      </c>
      <c r="Q748" s="352">
        <v>85</v>
      </c>
      <c r="R748" s="352"/>
      <c r="S748" s="352"/>
      <c r="T748" s="352"/>
      <c r="U748" s="352"/>
      <c r="V748" s="497"/>
      <c r="W748" s="352"/>
      <c r="X748" s="352"/>
      <c r="Y748" s="352">
        <f>IF(NFI_Expiration=1,IF($A748&lt;VLOOKUP(H$5,NFI,5,0),1,0)*Table_NFI[[#This Row],[Hygiene Kit]],Table_NFI[Hygiene Kit])</f>
        <v>0</v>
      </c>
      <c r="Z748" s="352">
        <f>IF(NFI_Expiration=1,IF($A748&lt;VLOOKUP(I$5,NFI,5,0),1,0)*Table_NFI[[#This Row],[NFI Core Kit]],Table_NFI[NFI Core Kit])</f>
        <v>0</v>
      </c>
      <c r="AA748" s="352">
        <f>IF(NFI_Expiration=1,IF($A748&lt;VLOOKUP(J$5,NFI,5,0),1,0)*Table_NFI[[#This Row],[Sanitary Kit]],Table_NFI[Sanitary Kit])</f>
        <v>0</v>
      </c>
      <c r="AB748" s="352">
        <f>IF(NFI_Expiration=1,IF($A748&lt;VLOOKUP(K$5,NFI,5,0),1,0)*Table_NFI[[#This Row],[Mosquito net]],Table_NFI[Mosquito net])</f>
        <v>0</v>
      </c>
      <c r="AC748" s="352">
        <f>IF(NFI_Expiration=1,IF($A748&lt;VLOOKUP(L$5,NFI,5,0),1,0)*Table_NFI[[#This Row],[Tarpaulin]],Table_NFI[[#This Row],[Tarpaulin]])</f>
        <v>0</v>
      </c>
      <c r="AD748" s="352">
        <f>IF(NFI_Expiration=1,IF($A748&lt;VLOOKUP(M$5,NFI,5,0),1,0)*Table_NFI[[#This Row],[Blanket]],Table_NFI[[#This Row],[Blanket]])</f>
        <v>0</v>
      </c>
      <c r="AE748" s="352">
        <f>IF(NFI_Expiration=1,IF($A748&lt;VLOOKUP(N$5,NFI,5,0),1,0)*Table_NFI[[#This Row],[Kitchen Set]],Table_NFI[Kitchen Set])</f>
        <v>0</v>
      </c>
      <c r="AF748" s="352">
        <f>IF(NFI_Expiration=1,IF($A748&lt;VLOOKUP(O$5,NFI,5,0),1,0)*Table_NFI[[#This Row],[Clothes Kit]],Table_NFI[Clothes Kit])</f>
        <v>0</v>
      </c>
      <c r="AG748" s="352">
        <f>IF(NFI_Expiration=1,IF($A748&lt;VLOOKUP(P$5,NFI,5,0),1,0)*Table_NFI[[#This Row],[Plastic Bucket]],Table_NFI[Plastic Bucket])</f>
        <v>0</v>
      </c>
      <c r="AH748" s="352">
        <f>IF(NFI_Expiration=1,IF($A748&lt;VLOOKUP(Q$5,NFI,5,0),1,0)*Table_NFI[[#This Row],[Plastic Mat]],Table_NFI[Plastic Mat])*IF(Table_NFI[[#This Row],[Distribution Date]]&gt;"2014-04-01",1,2.5)</f>
        <v>0</v>
      </c>
      <c r="AI748" s="352">
        <f>IF(NFI_Expiration=1,IF($A748&lt;VLOOKUP(R$5,NFI,5,0),1,0)*Table_NFI[[#This Row],[Winter Clothes Adult]],Table_NFI[Winter Clothes Adult])</f>
        <v>0</v>
      </c>
      <c r="AJ748" s="352">
        <f>IF(NFI_Expiration=1,IF($A748&lt;VLOOKUP(S$5,NFI,5,0),1,0)*Table_NFI[[#This Row],[Winter Clothes Children]],Table_NFI[Winter Clothes Children])</f>
        <v>0</v>
      </c>
      <c r="AK748" s="352">
        <f>IF(NFI_Expiration=1,IF($A748&lt;VLOOKUP(T$5,NFI,5,0),1,0)*Table_NFI[[#This Row],[Winter Items Other]],Table_NFI[Winter Items Other])</f>
        <v>0</v>
      </c>
      <c r="AL748" s="352">
        <f>IF(NFI_Expiration=1,IF($A748&lt;VLOOKUP(M$5,NFI,5,0),1,0)*Table_NFI[[#This Row],[Winter Blanket]],Table_NFI[[#This Row],[Winter Blanket]])</f>
        <v>0</v>
      </c>
      <c r="AM748" s="352">
        <f>IF(Table_NFI[[#This Row],[Winter Clothes Adult]]+Table_NFI[[#This Row],[Winter Clothes Children]]+Table_NFI[[#This Row],[Winter Items Other]]+Table_NFI[[#This Row],[Winter Blanket]]&gt;0,1,0)</f>
        <v>0</v>
      </c>
      <c r="AN748" s="392">
        <f>IF(NFI_Expiration=1,IF($A748&lt;VLOOKUP(V$5,NFI,5,0),1,0)*Table_NFI[[#This Row],[Jerry Can]],Table_NFI[Jerry Can])</f>
        <v>0</v>
      </c>
      <c r="AO748" s="540" t="str">
        <f>IFERROR(VLOOKUP(Table_NFI[[#This Row],[Camp Name]],CL,2,0),"")</f>
        <v>MMR001CMP203</v>
      </c>
      <c r="AP748" s="535">
        <f ca="1">IF(Table_NFI[[#This Row],[Pcode]]="","",IF(OFFSET(CampList[Opening Date],MATCH(Table_NFI[[#This Row],[Pcode]],CampList[CP_Pcode],0)-1,0,1,1)&gt;=NFI_Monitor_Date,1,0))</f>
        <v>0</v>
      </c>
      <c r="AQ748" s="540" t="str">
        <f>IFERROR(VLOOKUP(Table_NFI[[#This Row],[Camp Name]],CL,3,0),"")</f>
        <v>Closed</v>
      </c>
      <c r="AR748" s="352" t="str">
        <f ca="1">IF(Table_NFI[[#This Row],[Pcode]]="","",OFFSET(CampList[Priority],MATCH(Table_NFI[[#This Row],[Pcode]],CampList[CP_Pcode],0)-1,0,1,1))</f>
        <v/>
      </c>
      <c r="AS748" s="351" t="str">
        <f>IFERROR(Table_NFI[[#This Row],[Kitchen Set]]/VLOOKUP(Table_NFI[[#This Row],[Camp Name]],CL,4,0),"")</f>
        <v/>
      </c>
      <c r="AT748" s="533" t="s">
        <v>1094</v>
      </c>
      <c r="AU748" s="536"/>
    </row>
    <row r="749" spans="1:47" ht="14.45" customHeight="1" x14ac:dyDescent="0.25">
      <c r="A749" s="355">
        <f t="shared" si="11"/>
        <v>48.766666666666666</v>
      </c>
      <c r="B749" s="532">
        <v>41108</v>
      </c>
      <c r="C749" s="533" t="s">
        <v>453</v>
      </c>
      <c r="D749" s="534" t="s">
        <v>453</v>
      </c>
      <c r="E749" s="533" t="s">
        <v>380</v>
      </c>
      <c r="F749" s="348" t="s">
        <v>151</v>
      </c>
      <c r="G749" s="348" t="s">
        <v>164</v>
      </c>
      <c r="H749" s="349"/>
      <c r="I749" s="349"/>
      <c r="J749" s="349"/>
      <c r="K749" s="349">
        <v>206</v>
      </c>
      <c r="L749" s="350">
        <v>78</v>
      </c>
      <c r="M749" s="350">
        <v>206</v>
      </c>
      <c r="N749" s="350">
        <v>103</v>
      </c>
      <c r="O749" s="350">
        <v>103</v>
      </c>
      <c r="P749" s="352">
        <v>103</v>
      </c>
      <c r="Q749" s="352">
        <v>103</v>
      </c>
      <c r="R749" s="352"/>
      <c r="S749" s="352"/>
      <c r="T749" s="352"/>
      <c r="U749" s="352"/>
      <c r="V749" s="497"/>
      <c r="W749" s="352"/>
      <c r="X749" s="352"/>
      <c r="Y749" s="352">
        <f>IF(NFI_Expiration=1,IF($A749&lt;VLOOKUP(H$5,NFI,5,0),1,0)*Table_NFI[[#This Row],[Hygiene Kit]],Table_NFI[Hygiene Kit])</f>
        <v>0</v>
      </c>
      <c r="Z749" s="352">
        <f>IF(NFI_Expiration=1,IF($A749&lt;VLOOKUP(I$5,NFI,5,0),1,0)*Table_NFI[[#This Row],[NFI Core Kit]],Table_NFI[NFI Core Kit])</f>
        <v>0</v>
      </c>
      <c r="AA749" s="352">
        <f>IF(NFI_Expiration=1,IF($A749&lt;VLOOKUP(J$5,NFI,5,0),1,0)*Table_NFI[[#This Row],[Sanitary Kit]],Table_NFI[Sanitary Kit])</f>
        <v>0</v>
      </c>
      <c r="AB749" s="352">
        <f>IF(NFI_Expiration=1,IF($A749&lt;VLOOKUP(K$5,NFI,5,0),1,0)*Table_NFI[[#This Row],[Mosquito net]],Table_NFI[Mosquito net])</f>
        <v>0</v>
      </c>
      <c r="AC749" s="352">
        <f>IF(NFI_Expiration=1,IF($A749&lt;VLOOKUP(L$5,NFI,5,0),1,0)*Table_NFI[[#This Row],[Tarpaulin]],Table_NFI[[#This Row],[Tarpaulin]])</f>
        <v>0</v>
      </c>
      <c r="AD749" s="352">
        <f>IF(NFI_Expiration=1,IF($A749&lt;VLOOKUP(M$5,NFI,5,0),1,0)*Table_NFI[[#This Row],[Blanket]],Table_NFI[[#This Row],[Blanket]])</f>
        <v>0</v>
      </c>
      <c r="AE749" s="352">
        <f>IF(NFI_Expiration=1,IF($A749&lt;VLOOKUP(N$5,NFI,5,0),1,0)*Table_NFI[[#This Row],[Kitchen Set]],Table_NFI[Kitchen Set])</f>
        <v>0</v>
      </c>
      <c r="AF749" s="352">
        <f>IF(NFI_Expiration=1,IF($A749&lt;VLOOKUP(O$5,NFI,5,0),1,0)*Table_NFI[[#This Row],[Clothes Kit]],Table_NFI[Clothes Kit])</f>
        <v>0</v>
      </c>
      <c r="AG749" s="352">
        <f>IF(NFI_Expiration=1,IF($A749&lt;VLOOKUP(P$5,NFI,5,0),1,0)*Table_NFI[[#This Row],[Plastic Bucket]],Table_NFI[Plastic Bucket])</f>
        <v>0</v>
      </c>
      <c r="AH749" s="352">
        <f>IF(NFI_Expiration=1,IF($A749&lt;VLOOKUP(Q$5,NFI,5,0),1,0)*Table_NFI[[#This Row],[Plastic Mat]],Table_NFI[Plastic Mat])*IF(Table_NFI[[#This Row],[Distribution Date]]&gt;"2014-04-01",1,2.5)</f>
        <v>0</v>
      </c>
      <c r="AI749" s="352">
        <f>IF(NFI_Expiration=1,IF($A749&lt;VLOOKUP(R$5,NFI,5,0),1,0)*Table_NFI[[#This Row],[Winter Clothes Adult]],Table_NFI[Winter Clothes Adult])</f>
        <v>0</v>
      </c>
      <c r="AJ749" s="352">
        <f>IF(NFI_Expiration=1,IF($A749&lt;VLOOKUP(S$5,NFI,5,0),1,0)*Table_NFI[[#This Row],[Winter Clothes Children]],Table_NFI[Winter Clothes Children])</f>
        <v>0</v>
      </c>
      <c r="AK749" s="352">
        <f>IF(NFI_Expiration=1,IF($A749&lt;VLOOKUP(T$5,NFI,5,0),1,0)*Table_NFI[[#This Row],[Winter Items Other]],Table_NFI[Winter Items Other])</f>
        <v>0</v>
      </c>
      <c r="AL749" s="352">
        <f>IF(NFI_Expiration=1,IF($A749&lt;VLOOKUP(M$5,NFI,5,0),1,0)*Table_NFI[[#This Row],[Winter Blanket]],Table_NFI[[#This Row],[Winter Blanket]])</f>
        <v>0</v>
      </c>
      <c r="AM749" s="352">
        <f>IF(Table_NFI[[#This Row],[Winter Clothes Adult]]+Table_NFI[[#This Row],[Winter Clothes Children]]+Table_NFI[[#This Row],[Winter Items Other]]+Table_NFI[[#This Row],[Winter Blanket]]&gt;0,1,0)</f>
        <v>0</v>
      </c>
      <c r="AN749" s="392">
        <f>IF(NFI_Expiration=1,IF($A749&lt;VLOOKUP(V$5,NFI,5,0),1,0)*Table_NFI[[#This Row],[Jerry Can]],Table_NFI[Jerry Can])</f>
        <v>0</v>
      </c>
      <c r="AO749" s="540" t="str">
        <f>IFERROR(VLOOKUP(Table_NFI[[#This Row],[Camp Name]],CL,2,0),"")</f>
        <v>MMR001CMP137</v>
      </c>
      <c r="AP749" s="535">
        <f ca="1">IF(Table_NFI[[#This Row],[Pcode]]="","",IF(OFFSET(CampList[Opening Date],MATCH(Table_NFI[[#This Row],[Pcode]],CampList[CP_Pcode],0)-1,0,1,1)&gt;=NFI_Monitor_Date,1,0))</f>
        <v>0</v>
      </c>
      <c r="AQ749" s="540" t="str">
        <f>IFERROR(VLOOKUP(Table_NFI[[#This Row],[Camp Name]],CL,3,0),"")</f>
        <v>Closed</v>
      </c>
      <c r="AR749" s="352" t="str">
        <f ca="1">IF(Table_NFI[[#This Row],[Pcode]]="","",OFFSET(CampList[Priority],MATCH(Table_NFI[[#This Row],[Pcode]],CampList[CP_Pcode],0)-1,0,1,1))</f>
        <v/>
      </c>
      <c r="AS749" s="351" t="str">
        <f>IFERROR(Table_NFI[[#This Row],[Kitchen Set]]/VLOOKUP(Table_NFI[[#This Row],[Camp Name]],CL,4,0),"")</f>
        <v/>
      </c>
      <c r="AT749" s="533" t="s">
        <v>1094</v>
      </c>
      <c r="AU749" s="536"/>
    </row>
    <row r="750" spans="1:47" ht="14.45" customHeight="1" x14ac:dyDescent="0.25">
      <c r="A750" s="355">
        <f t="shared" si="11"/>
        <v>48.8</v>
      </c>
      <c r="B750" s="532">
        <v>41107</v>
      </c>
      <c r="C750" s="533" t="s">
        <v>453</v>
      </c>
      <c r="D750" s="533" t="s">
        <v>453</v>
      </c>
      <c r="E750" s="533" t="s">
        <v>380</v>
      </c>
      <c r="F750" s="533" t="s">
        <v>310</v>
      </c>
      <c r="G750" s="348" t="s">
        <v>334</v>
      </c>
      <c r="H750" s="349"/>
      <c r="I750" s="349"/>
      <c r="J750" s="349"/>
      <c r="K750" s="349">
        <v>19</v>
      </c>
      <c r="L750" s="350">
        <v>19</v>
      </c>
      <c r="M750" s="350">
        <v>19</v>
      </c>
      <c r="N750" s="350">
        <v>19</v>
      </c>
      <c r="O750" s="350">
        <v>19</v>
      </c>
      <c r="P750" s="352">
        <v>19</v>
      </c>
      <c r="Q750" s="352">
        <v>19</v>
      </c>
      <c r="R750" s="352"/>
      <c r="S750" s="352"/>
      <c r="T750" s="352"/>
      <c r="U750" s="352"/>
      <c r="V750" s="497"/>
      <c r="W750" s="352"/>
      <c r="X750" s="352"/>
      <c r="Y750" s="352">
        <f>IF(NFI_Expiration=1,IF($A750&lt;VLOOKUP(H$5,NFI,5,0),1,0)*Table_NFI[[#This Row],[Hygiene Kit]],Table_NFI[Hygiene Kit])</f>
        <v>0</v>
      </c>
      <c r="Z750" s="352">
        <f>IF(NFI_Expiration=1,IF($A750&lt;VLOOKUP(I$5,NFI,5,0),1,0)*Table_NFI[[#This Row],[NFI Core Kit]],Table_NFI[NFI Core Kit])</f>
        <v>0</v>
      </c>
      <c r="AA750" s="352">
        <f>IF(NFI_Expiration=1,IF($A750&lt;VLOOKUP(J$5,NFI,5,0),1,0)*Table_NFI[[#This Row],[Sanitary Kit]],Table_NFI[Sanitary Kit])</f>
        <v>0</v>
      </c>
      <c r="AB750" s="352">
        <f>IF(NFI_Expiration=1,IF($A750&lt;VLOOKUP(K$5,NFI,5,0),1,0)*Table_NFI[[#This Row],[Mosquito net]],Table_NFI[Mosquito net])</f>
        <v>0</v>
      </c>
      <c r="AC750" s="352">
        <f>IF(NFI_Expiration=1,IF($A750&lt;VLOOKUP(L$5,NFI,5,0),1,0)*Table_NFI[[#This Row],[Tarpaulin]],Table_NFI[[#This Row],[Tarpaulin]])</f>
        <v>0</v>
      </c>
      <c r="AD750" s="352">
        <f>IF(NFI_Expiration=1,IF($A750&lt;VLOOKUP(M$5,NFI,5,0),1,0)*Table_NFI[[#This Row],[Blanket]],Table_NFI[[#This Row],[Blanket]])</f>
        <v>0</v>
      </c>
      <c r="AE750" s="352">
        <f>IF(NFI_Expiration=1,IF($A750&lt;VLOOKUP(N$5,NFI,5,0),1,0)*Table_NFI[[#This Row],[Kitchen Set]],Table_NFI[Kitchen Set])</f>
        <v>0</v>
      </c>
      <c r="AF750" s="352">
        <f>IF(NFI_Expiration=1,IF($A750&lt;VLOOKUP(O$5,NFI,5,0),1,0)*Table_NFI[[#This Row],[Clothes Kit]],Table_NFI[Clothes Kit])</f>
        <v>0</v>
      </c>
      <c r="AG750" s="352">
        <f>IF(NFI_Expiration=1,IF($A750&lt;VLOOKUP(P$5,NFI,5,0),1,0)*Table_NFI[[#This Row],[Plastic Bucket]],Table_NFI[Plastic Bucket])</f>
        <v>0</v>
      </c>
      <c r="AH750" s="352">
        <f>IF(NFI_Expiration=1,IF($A750&lt;VLOOKUP(Q$5,NFI,5,0),1,0)*Table_NFI[[#This Row],[Plastic Mat]],Table_NFI[Plastic Mat])*IF(Table_NFI[[#This Row],[Distribution Date]]&gt;"2014-04-01",1,2.5)</f>
        <v>0</v>
      </c>
      <c r="AI750" s="352">
        <f>IF(NFI_Expiration=1,IF($A750&lt;VLOOKUP(R$5,NFI,5,0),1,0)*Table_NFI[[#This Row],[Winter Clothes Adult]],Table_NFI[Winter Clothes Adult])</f>
        <v>0</v>
      </c>
      <c r="AJ750" s="352">
        <f>IF(NFI_Expiration=1,IF($A750&lt;VLOOKUP(S$5,NFI,5,0),1,0)*Table_NFI[[#This Row],[Winter Clothes Children]],Table_NFI[Winter Clothes Children])</f>
        <v>0</v>
      </c>
      <c r="AK750" s="352">
        <f>IF(NFI_Expiration=1,IF($A750&lt;VLOOKUP(T$5,NFI,5,0),1,0)*Table_NFI[[#This Row],[Winter Items Other]],Table_NFI[Winter Items Other])</f>
        <v>0</v>
      </c>
      <c r="AL750" s="352">
        <f>IF(NFI_Expiration=1,IF($A750&lt;VLOOKUP(M$5,NFI,5,0),1,0)*Table_NFI[[#This Row],[Winter Blanket]],Table_NFI[[#This Row],[Winter Blanket]])</f>
        <v>0</v>
      </c>
      <c r="AM750" s="352">
        <f>IF(Table_NFI[[#This Row],[Winter Clothes Adult]]+Table_NFI[[#This Row],[Winter Clothes Children]]+Table_NFI[[#This Row],[Winter Items Other]]+Table_NFI[[#This Row],[Winter Blanket]]&gt;0,1,0)</f>
        <v>0</v>
      </c>
      <c r="AN750" s="392">
        <f>IF(NFI_Expiration=1,IF($A750&lt;VLOOKUP(V$5,NFI,5,0),1,0)*Table_NFI[[#This Row],[Jerry Can]],Table_NFI[Jerry Can])</f>
        <v>0</v>
      </c>
      <c r="AO750" s="540" t="str">
        <f>IFERROR(VLOOKUP(Table_NFI[[#This Row],[Camp Name]],CL,2,0),"")</f>
        <v>MMR001CMP113</v>
      </c>
      <c r="AP750" s="535">
        <f ca="1">IF(Table_NFI[[#This Row],[Pcode]]="","",IF(OFFSET(CampList[Opening Date],MATCH(Table_NFI[[#This Row],[Pcode]],CampList[CP_Pcode],0)-1,0,1,1)&gt;=NFI_Monitor_Date,1,0))</f>
        <v>0</v>
      </c>
      <c r="AQ750" s="540" t="str">
        <f>IFERROR(VLOOKUP(Table_NFI[[#This Row],[Camp Name]],CL,3,0),"")</f>
        <v>Open</v>
      </c>
      <c r="AR750" s="352" t="str">
        <f ca="1">IF(Table_NFI[[#This Row],[Pcode]]="","",OFFSET(CampList[Priority],MATCH(Table_NFI[[#This Row],[Pcode]],CampList[CP_Pcode],0)-1,0,1,1))</f>
        <v>P1</v>
      </c>
      <c r="AS750" s="351">
        <f>IFERROR(Table_NFI[[#This Row],[Kitchen Set]]/VLOOKUP(Table_NFI[[#This Row],[Camp Name]],CL,4,0),"")</f>
        <v>0.11874999999999999</v>
      </c>
      <c r="AT750" s="533" t="s">
        <v>1094</v>
      </c>
      <c r="AU750" s="536"/>
    </row>
    <row r="751" spans="1:47" ht="14.45" customHeight="1" x14ac:dyDescent="0.25">
      <c r="A751" s="355">
        <f t="shared" si="11"/>
        <v>48.8</v>
      </c>
      <c r="B751" s="532">
        <v>41107</v>
      </c>
      <c r="C751" s="533" t="s">
        <v>453</v>
      </c>
      <c r="D751" s="534" t="s">
        <v>453</v>
      </c>
      <c r="E751" s="533" t="s">
        <v>380</v>
      </c>
      <c r="F751" s="348" t="s">
        <v>237</v>
      </c>
      <c r="G751" s="348" t="s">
        <v>243</v>
      </c>
      <c r="H751" s="349"/>
      <c r="I751" s="349"/>
      <c r="J751" s="349"/>
      <c r="K751" s="349">
        <v>5</v>
      </c>
      <c r="L751" s="350">
        <v>5</v>
      </c>
      <c r="M751" s="350">
        <v>5</v>
      </c>
      <c r="N751" s="350">
        <v>5</v>
      </c>
      <c r="O751" s="350">
        <v>5</v>
      </c>
      <c r="P751" s="352">
        <v>5</v>
      </c>
      <c r="Q751" s="352">
        <v>5</v>
      </c>
      <c r="R751" s="352"/>
      <c r="S751" s="352"/>
      <c r="T751" s="352"/>
      <c r="U751" s="352"/>
      <c r="V751" s="497"/>
      <c r="W751" s="352"/>
      <c r="X751" s="352"/>
      <c r="Y751" s="352">
        <f>IF(NFI_Expiration=1,IF($A751&lt;VLOOKUP(H$5,NFI,5,0),1,0)*Table_NFI[[#This Row],[Hygiene Kit]],Table_NFI[Hygiene Kit])</f>
        <v>0</v>
      </c>
      <c r="Z751" s="352">
        <f>IF(NFI_Expiration=1,IF($A751&lt;VLOOKUP(I$5,NFI,5,0),1,0)*Table_NFI[[#This Row],[NFI Core Kit]],Table_NFI[NFI Core Kit])</f>
        <v>0</v>
      </c>
      <c r="AA751" s="352">
        <f>IF(NFI_Expiration=1,IF($A751&lt;VLOOKUP(J$5,NFI,5,0),1,0)*Table_NFI[[#This Row],[Sanitary Kit]],Table_NFI[Sanitary Kit])</f>
        <v>0</v>
      </c>
      <c r="AB751" s="352">
        <f>IF(NFI_Expiration=1,IF($A751&lt;VLOOKUP(K$5,NFI,5,0),1,0)*Table_NFI[[#This Row],[Mosquito net]],Table_NFI[Mosquito net])</f>
        <v>0</v>
      </c>
      <c r="AC751" s="352">
        <f>IF(NFI_Expiration=1,IF($A751&lt;VLOOKUP(L$5,NFI,5,0),1,0)*Table_NFI[[#This Row],[Tarpaulin]],Table_NFI[[#This Row],[Tarpaulin]])</f>
        <v>0</v>
      </c>
      <c r="AD751" s="352">
        <f>IF(NFI_Expiration=1,IF($A751&lt;VLOOKUP(M$5,NFI,5,0),1,0)*Table_NFI[[#This Row],[Blanket]],Table_NFI[[#This Row],[Blanket]])</f>
        <v>0</v>
      </c>
      <c r="AE751" s="352">
        <f>IF(NFI_Expiration=1,IF($A751&lt;VLOOKUP(N$5,NFI,5,0),1,0)*Table_NFI[[#This Row],[Kitchen Set]],Table_NFI[Kitchen Set])</f>
        <v>0</v>
      </c>
      <c r="AF751" s="352">
        <f>IF(NFI_Expiration=1,IF($A751&lt;VLOOKUP(O$5,NFI,5,0),1,0)*Table_NFI[[#This Row],[Clothes Kit]],Table_NFI[Clothes Kit])</f>
        <v>0</v>
      </c>
      <c r="AG751" s="352">
        <f>IF(NFI_Expiration=1,IF($A751&lt;VLOOKUP(P$5,NFI,5,0),1,0)*Table_NFI[[#This Row],[Plastic Bucket]],Table_NFI[Plastic Bucket])</f>
        <v>0</v>
      </c>
      <c r="AH751" s="352">
        <f>IF(NFI_Expiration=1,IF($A751&lt;VLOOKUP(Q$5,NFI,5,0),1,0)*Table_NFI[[#This Row],[Plastic Mat]],Table_NFI[Plastic Mat])*IF(Table_NFI[[#This Row],[Distribution Date]]&gt;"2014-04-01",1,2.5)</f>
        <v>0</v>
      </c>
      <c r="AI751" s="352">
        <f>IF(NFI_Expiration=1,IF($A751&lt;VLOOKUP(R$5,NFI,5,0),1,0)*Table_NFI[[#This Row],[Winter Clothes Adult]],Table_NFI[Winter Clothes Adult])</f>
        <v>0</v>
      </c>
      <c r="AJ751" s="352">
        <f>IF(NFI_Expiration=1,IF($A751&lt;VLOOKUP(S$5,NFI,5,0),1,0)*Table_NFI[[#This Row],[Winter Clothes Children]],Table_NFI[Winter Clothes Children])</f>
        <v>0</v>
      </c>
      <c r="AK751" s="352">
        <f>IF(NFI_Expiration=1,IF($A751&lt;VLOOKUP(T$5,NFI,5,0),1,0)*Table_NFI[[#This Row],[Winter Items Other]],Table_NFI[Winter Items Other])</f>
        <v>0</v>
      </c>
      <c r="AL751" s="352">
        <f>IF(NFI_Expiration=1,IF($A751&lt;VLOOKUP(M$5,NFI,5,0),1,0)*Table_NFI[[#This Row],[Winter Blanket]],Table_NFI[[#This Row],[Winter Blanket]])</f>
        <v>0</v>
      </c>
      <c r="AM751" s="352">
        <f>IF(Table_NFI[[#This Row],[Winter Clothes Adult]]+Table_NFI[[#This Row],[Winter Clothes Children]]+Table_NFI[[#This Row],[Winter Items Other]]+Table_NFI[[#This Row],[Winter Blanket]]&gt;0,1,0)</f>
        <v>0</v>
      </c>
      <c r="AN751" s="392">
        <f>IF(NFI_Expiration=1,IF($A751&lt;VLOOKUP(V$5,NFI,5,0),1,0)*Table_NFI[[#This Row],[Jerry Can]],Table_NFI[Jerry Can])</f>
        <v>0</v>
      </c>
      <c r="AO751" s="540" t="str">
        <f>IFERROR(VLOOKUP(Table_NFI[[#This Row],[Camp Name]],CL,2,0),"")</f>
        <v>MMR001CMP012</v>
      </c>
      <c r="AP751" s="535">
        <f ca="1">IF(Table_NFI[[#This Row],[Pcode]]="","",IF(OFFSET(CampList[Opening Date],MATCH(Table_NFI[[#This Row],[Pcode]],CampList[CP_Pcode],0)-1,0,1,1)&gt;=NFI_Monitor_Date,1,0))</f>
        <v>0</v>
      </c>
      <c r="AQ751" s="540" t="str">
        <f>IFERROR(VLOOKUP(Table_NFI[[#This Row],[Camp Name]],CL,3,0),"")</f>
        <v>Open</v>
      </c>
      <c r="AR751" s="352" t="str">
        <f ca="1">IF(Table_NFI[[#This Row],[Pcode]]="","",OFFSET(CampList[Priority],MATCH(Table_NFI[[#This Row],[Pcode]],CampList[CP_Pcode],0)-1,0,1,1))</f>
        <v>P4</v>
      </c>
      <c r="AS751" s="351">
        <f>IFERROR(Table_NFI[[#This Row],[Kitchen Set]]/VLOOKUP(Table_NFI[[#This Row],[Camp Name]],CL,4,0),"")</f>
        <v>0.83333333333333337</v>
      </c>
      <c r="AT751" s="533" t="s">
        <v>1094</v>
      </c>
      <c r="AU751" s="536"/>
    </row>
    <row r="752" spans="1:47" ht="14.45" hidden="1" customHeight="1" x14ac:dyDescent="0.25">
      <c r="A752" s="355">
        <f t="shared" si="11"/>
        <v>22.933333333333334</v>
      </c>
      <c r="B752" s="532">
        <v>41883</v>
      </c>
      <c r="C752" s="538" t="s">
        <v>1038</v>
      </c>
      <c r="D752" s="538"/>
      <c r="E752" s="538" t="s">
        <v>380</v>
      </c>
      <c r="F752" s="538" t="s">
        <v>310</v>
      </c>
      <c r="G752" s="538" t="s">
        <v>1246</v>
      </c>
      <c r="H752" s="350"/>
      <c r="I752" s="350"/>
      <c r="J752" s="350"/>
      <c r="K752" s="350"/>
      <c r="L752" s="350"/>
      <c r="M752" s="350"/>
      <c r="N752" s="350"/>
      <c r="O752" s="350"/>
      <c r="P752" s="352"/>
      <c r="Q752" s="352"/>
      <c r="R752" s="352"/>
      <c r="S752" s="352">
        <v>291</v>
      </c>
      <c r="T752" s="352"/>
      <c r="U752" s="352"/>
      <c r="V752" s="497"/>
      <c r="W752" s="352"/>
      <c r="X752" s="352"/>
      <c r="Y752" s="352">
        <f>IF(NFI_Expiration=1,IF($A752&lt;VLOOKUP(H$5,NFI,5,0),1,0)*Table_NFI[[#This Row],[Hygiene Kit]],Table_NFI[Hygiene Kit])</f>
        <v>0</v>
      </c>
      <c r="Z752" s="352">
        <f>IF(NFI_Expiration=1,IF($A752&lt;VLOOKUP(I$5,NFI,5,0),1,0)*Table_NFI[[#This Row],[NFI Core Kit]],Table_NFI[NFI Core Kit])</f>
        <v>0</v>
      </c>
      <c r="AA752" s="352">
        <f>IF(NFI_Expiration=1,IF($A752&lt;VLOOKUP(J$5,NFI,5,0),1,0)*Table_NFI[[#This Row],[Sanitary Kit]],Table_NFI[Sanitary Kit])</f>
        <v>0</v>
      </c>
      <c r="AB752" s="352">
        <f>IF(NFI_Expiration=1,IF($A752&lt;VLOOKUP(K$5,NFI,5,0),1,0)*Table_NFI[[#This Row],[Mosquito net]],Table_NFI[Mosquito net])</f>
        <v>0</v>
      </c>
      <c r="AC752" s="352">
        <f>IF(NFI_Expiration=1,IF($A752&lt;VLOOKUP(L$5,NFI,5,0),1,0)*Table_NFI[[#This Row],[Tarpaulin]],Table_NFI[[#This Row],[Tarpaulin]])</f>
        <v>0</v>
      </c>
      <c r="AD752" s="352">
        <f>IF(NFI_Expiration=1,IF($A752&lt;VLOOKUP(M$5,NFI,5,0),1,0)*Table_NFI[[#This Row],[Blanket]],Table_NFI[[#This Row],[Blanket]])</f>
        <v>0</v>
      </c>
      <c r="AE752" s="352">
        <f>IF(NFI_Expiration=1,IF($A752&lt;VLOOKUP(N$5,NFI,5,0),1,0)*Table_NFI[[#This Row],[Kitchen Set]],Table_NFI[Kitchen Set])</f>
        <v>0</v>
      </c>
      <c r="AF752" s="352">
        <f>IF(NFI_Expiration=1,IF($A752&lt;VLOOKUP(O$5,NFI,5,0),1,0)*Table_NFI[[#This Row],[Clothes Kit]],Table_NFI[Clothes Kit])</f>
        <v>0</v>
      </c>
      <c r="AG752" s="352">
        <f>IF(NFI_Expiration=1,IF($A752&lt;VLOOKUP(P$5,NFI,5,0),1,0)*Table_NFI[[#This Row],[Plastic Bucket]],Table_NFI[Plastic Bucket])</f>
        <v>0</v>
      </c>
      <c r="AH752" s="352">
        <f>IF(NFI_Expiration=1,IF($A752&lt;VLOOKUP(Q$5,NFI,5,0),1,0)*Table_NFI[[#This Row],[Plastic Mat]],Table_NFI[Plastic Mat])*IF(Table_NFI[[#This Row],[Distribution Date]]&gt;"2014-04-01",1,2.5)</f>
        <v>0</v>
      </c>
      <c r="AI752" s="352">
        <f>IF(NFI_Expiration=1,IF($A752&lt;VLOOKUP(R$5,NFI,5,0),1,0)*Table_NFI[[#This Row],[Winter Clothes Adult]],Table_NFI[Winter Clothes Adult])</f>
        <v>0</v>
      </c>
      <c r="AJ752" s="352">
        <f>IF(NFI_Expiration=1,IF($A752&lt;VLOOKUP(S$5,NFI,5,0),1,0)*Table_NFI[[#This Row],[Winter Clothes Children]],Table_NFI[Winter Clothes Children])</f>
        <v>0</v>
      </c>
      <c r="AK752" s="352">
        <f>IF(NFI_Expiration=1,IF($A752&lt;VLOOKUP(T$5,NFI,5,0),1,0)*Table_NFI[[#This Row],[Winter Items Other]],Table_NFI[Winter Items Other])</f>
        <v>0</v>
      </c>
      <c r="AL752" s="352">
        <f>IF(NFI_Expiration=1,IF($A752&lt;VLOOKUP(M$5,NFI,5,0),1,0)*Table_NFI[[#This Row],[Winter Blanket]],Table_NFI[[#This Row],[Winter Blanket]])</f>
        <v>0</v>
      </c>
      <c r="AM752" s="352">
        <f>IF(Table_NFI[[#This Row],[Winter Clothes Adult]]+Table_NFI[[#This Row],[Winter Clothes Children]]+Table_NFI[[#This Row],[Winter Items Other]]+Table_NFI[[#This Row],[Winter Blanket]]&gt;0,1,0)</f>
        <v>1</v>
      </c>
      <c r="AN752" s="392">
        <f>IF(NFI_Expiration=1,IF($A752&lt;VLOOKUP(V$5,NFI,5,0),1,0)*Table_NFI[[#This Row],[Jerry Can]],Table_NFI[Jerry Can])</f>
        <v>0</v>
      </c>
      <c r="AO752" s="540" t="str">
        <f>IFERROR(VLOOKUP(Table_NFI[[#This Row],[Camp Name]],CL,2,0),"")</f>
        <v>MMR001CMP120</v>
      </c>
      <c r="AP752" s="535">
        <f ca="1">IF(Table_NFI[[#This Row],[Pcode]]="","",IF(OFFSET(CampList[Opening Date],MATCH(Table_NFI[[#This Row],[Pcode]],CampList[CP_Pcode],0)-1,0,1,1)&gt;=NFI_Monitor_Date,1,0))</f>
        <v>0</v>
      </c>
      <c r="AQ752" s="540" t="str">
        <f>IFERROR(VLOOKUP(Table_NFI[[#This Row],[Camp Name]],CL,3,0),"")</f>
        <v>Open</v>
      </c>
      <c r="AR752" s="352" t="str">
        <f ca="1">IF(Table_NFI[[#This Row],[Pcode]]="","",OFFSET(CampList[Priority],MATCH(Table_NFI[[#This Row],[Pcode]],CampList[CP_Pcode],0)-1,0,1,1))</f>
        <v>P1</v>
      </c>
      <c r="AS752" s="351">
        <f>IFERROR(Table_NFI[[#This Row],[Kitchen Set]]/VLOOKUP(Table_NFI[[#This Row],[Camp Name]],CL,4,0),"")</f>
        <v>0</v>
      </c>
      <c r="AT752" s="538"/>
      <c r="AU752" s="541"/>
    </row>
    <row r="753" spans="1:47" ht="14.45" hidden="1" customHeight="1" x14ac:dyDescent="0.25">
      <c r="A753" s="355">
        <f t="shared" si="11"/>
        <v>30.233333333333334</v>
      </c>
      <c r="B753" s="532">
        <v>41664</v>
      </c>
      <c r="C753" s="533" t="s">
        <v>1038</v>
      </c>
      <c r="D753" s="533" t="s">
        <v>461</v>
      </c>
      <c r="E753" s="533" t="s">
        <v>380</v>
      </c>
      <c r="F753" s="533" t="s">
        <v>310</v>
      </c>
      <c r="G753" s="533" t="s">
        <v>1246</v>
      </c>
      <c r="H753" s="349"/>
      <c r="I753" s="349"/>
      <c r="J753" s="349"/>
      <c r="K753" s="349"/>
      <c r="L753" s="350"/>
      <c r="M753" s="350">
        <v>191</v>
      </c>
      <c r="N753" s="350">
        <v>191</v>
      </c>
      <c r="O753" s="350">
        <v>191</v>
      </c>
      <c r="P753" s="352"/>
      <c r="Q753" s="352">
        <v>191</v>
      </c>
      <c r="R753" s="352"/>
      <c r="S753" s="352"/>
      <c r="T753" s="352"/>
      <c r="U753" s="352"/>
      <c r="V753" s="497"/>
      <c r="W753" s="352"/>
      <c r="X753" s="352"/>
      <c r="Y753" s="352">
        <f>IF(NFI_Expiration=1,IF($A753&lt;VLOOKUP(H$5,NFI,5,0),1,0)*Table_NFI[[#This Row],[Hygiene Kit]],Table_NFI[Hygiene Kit])</f>
        <v>0</v>
      </c>
      <c r="Z753" s="352">
        <f>IF(NFI_Expiration=1,IF($A753&lt;VLOOKUP(I$5,NFI,5,0),1,0)*Table_NFI[[#This Row],[NFI Core Kit]],Table_NFI[NFI Core Kit])</f>
        <v>0</v>
      </c>
      <c r="AA753" s="352">
        <f>IF(NFI_Expiration=1,IF($A753&lt;VLOOKUP(J$5,NFI,5,0),1,0)*Table_NFI[[#This Row],[Sanitary Kit]],Table_NFI[Sanitary Kit])</f>
        <v>0</v>
      </c>
      <c r="AB753" s="352">
        <f>IF(NFI_Expiration=1,IF($A753&lt;VLOOKUP(K$5,NFI,5,0),1,0)*Table_NFI[[#This Row],[Mosquito net]],Table_NFI[Mosquito net])</f>
        <v>0</v>
      </c>
      <c r="AC753" s="352">
        <f>IF(NFI_Expiration=1,IF($A753&lt;VLOOKUP(L$5,NFI,5,0),1,0)*Table_NFI[[#This Row],[Tarpaulin]],Table_NFI[[#This Row],[Tarpaulin]])</f>
        <v>0</v>
      </c>
      <c r="AD753" s="352">
        <f>IF(NFI_Expiration=1,IF($A753&lt;VLOOKUP(M$5,NFI,5,0),1,0)*Table_NFI[[#This Row],[Blanket]],Table_NFI[[#This Row],[Blanket]])</f>
        <v>0</v>
      </c>
      <c r="AE753" s="352">
        <f>IF(NFI_Expiration=1,IF($A753&lt;VLOOKUP(N$5,NFI,5,0),1,0)*Table_NFI[[#This Row],[Kitchen Set]],Table_NFI[Kitchen Set])</f>
        <v>0</v>
      </c>
      <c r="AF753" s="352">
        <f>IF(NFI_Expiration=1,IF($A753&lt;VLOOKUP(O$5,NFI,5,0),1,0)*Table_NFI[[#This Row],[Clothes Kit]],Table_NFI[Clothes Kit])</f>
        <v>0</v>
      </c>
      <c r="AG753" s="352">
        <f>IF(NFI_Expiration=1,IF($A753&lt;VLOOKUP(P$5,NFI,5,0),1,0)*Table_NFI[[#This Row],[Plastic Bucket]],Table_NFI[Plastic Bucket])</f>
        <v>0</v>
      </c>
      <c r="AH753" s="352">
        <f>IF(NFI_Expiration=1,IF($A753&lt;VLOOKUP(Q$5,NFI,5,0),1,0)*Table_NFI[[#This Row],[Plastic Mat]],Table_NFI[Plastic Mat])*IF(Table_NFI[[#This Row],[Distribution Date]]&gt;"2014-04-01",1,2.5)</f>
        <v>0</v>
      </c>
      <c r="AI753" s="352">
        <f>IF(NFI_Expiration=1,IF($A753&lt;VLOOKUP(R$5,NFI,5,0),1,0)*Table_NFI[[#This Row],[Winter Clothes Adult]],Table_NFI[Winter Clothes Adult])</f>
        <v>0</v>
      </c>
      <c r="AJ753" s="352">
        <f>IF(NFI_Expiration=1,IF($A753&lt;VLOOKUP(S$5,NFI,5,0),1,0)*Table_NFI[[#This Row],[Winter Clothes Children]],Table_NFI[Winter Clothes Children])</f>
        <v>0</v>
      </c>
      <c r="AK753" s="352">
        <f>IF(NFI_Expiration=1,IF($A753&lt;VLOOKUP(T$5,NFI,5,0),1,0)*Table_NFI[[#This Row],[Winter Items Other]],Table_NFI[Winter Items Other])</f>
        <v>0</v>
      </c>
      <c r="AL753" s="352">
        <f>IF(NFI_Expiration=1,IF($A753&lt;VLOOKUP(M$5,NFI,5,0),1,0)*Table_NFI[[#This Row],[Winter Blanket]],Table_NFI[[#This Row],[Winter Blanket]])</f>
        <v>0</v>
      </c>
      <c r="AM753" s="352">
        <f>IF(Table_NFI[[#This Row],[Winter Clothes Adult]]+Table_NFI[[#This Row],[Winter Clothes Children]]+Table_NFI[[#This Row],[Winter Items Other]]+Table_NFI[[#This Row],[Winter Blanket]]&gt;0,1,0)</f>
        <v>0</v>
      </c>
      <c r="AN753" s="392">
        <f>IF(NFI_Expiration=1,IF($A753&lt;VLOOKUP(V$5,NFI,5,0),1,0)*Table_NFI[[#This Row],[Jerry Can]],Table_NFI[Jerry Can])</f>
        <v>0</v>
      </c>
      <c r="AO753" s="540" t="str">
        <f>IFERROR(VLOOKUP(Table_NFI[[#This Row],[Camp Name]],CL,2,0),"")</f>
        <v>MMR001CMP120</v>
      </c>
      <c r="AP753" s="535">
        <f ca="1">IF(Table_NFI[[#This Row],[Pcode]]="","",IF(OFFSET(CampList[Opening Date],MATCH(Table_NFI[[#This Row],[Pcode]],CampList[CP_Pcode],0)-1,0,1,1)&gt;=NFI_Monitor_Date,1,0))</f>
        <v>0</v>
      </c>
      <c r="AQ753" s="540" t="str">
        <f>IFERROR(VLOOKUP(Table_NFI[[#This Row],[Camp Name]],CL,3,0),"")</f>
        <v>Open</v>
      </c>
      <c r="AR753" s="352" t="str">
        <f ca="1">IF(Table_NFI[[#This Row],[Pcode]]="","",OFFSET(CampList[Priority],MATCH(Table_NFI[[#This Row],[Pcode]],CampList[CP_Pcode],0)-1,0,1,1))</f>
        <v>P1</v>
      </c>
      <c r="AS753" s="351">
        <f>IFERROR(Table_NFI[[#This Row],[Kitchen Set]]/VLOOKUP(Table_NFI[[#This Row],[Camp Name]],CL,4,0),"")</f>
        <v>1.0790960451977401</v>
      </c>
      <c r="AT753" s="533" t="s">
        <v>1094</v>
      </c>
      <c r="AU753" s="536"/>
    </row>
    <row r="754" spans="1:47" hidden="1" x14ac:dyDescent="0.25">
      <c r="A754" s="355">
        <f t="shared" si="11"/>
        <v>32.1</v>
      </c>
      <c r="B754" s="532">
        <v>41608</v>
      </c>
      <c r="C754" s="533" t="s">
        <v>907</v>
      </c>
      <c r="D754" s="534" t="s">
        <v>461</v>
      </c>
      <c r="E754" s="533" t="s">
        <v>380</v>
      </c>
      <c r="F754" s="348" t="s">
        <v>310</v>
      </c>
      <c r="G754" s="348" t="s">
        <v>1246</v>
      </c>
      <c r="H754" s="349"/>
      <c r="I754" s="349"/>
      <c r="J754" s="349"/>
      <c r="K754" s="349"/>
      <c r="L754" s="350"/>
      <c r="M754" s="350"/>
      <c r="N754" s="350"/>
      <c r="O754" s="350"/>
      <c r="P754" s="352"/>
      <c r="Q754" s="352"/>
      <c r="R754" s="352"/>
      <c r="S754" s="352"/>
      <c r="T754" s="352"/>
      <c r="U754" s="352"/>
      <c r="V754" s="497"/>
      <c r="W754" s="352"/>
      <c r="X754" s="352"/>
      <c r="Y754" s="352">
        <f>IF(NFI_Expiration=1,IF($A754&lt;VLOOKUP(H$5,NFI,5,0),1,0)*Table_NFI[[#This Row],[Hygiene Kit]],Table_NFI[Hygiene Kit])</f>
        <v>0</v>
      </c>
      <c r="Z754" s="352">
        <f>IF(NFI_Expiration=1,IF($A754&lt;VLOOKUP(I$5,NFI,5,0),1,0)*Table_NFI[[#This Row],[NFI Core Kit]],Table_NFI[NFI Core Kit])</f>
        <v>0</v>
      </c>
      <c r="AA754" s="352">
        <f>IF(NFI_Expiration=1,IF($A754&lt;VLOOKUP(J$5,NFI,5,0),1,0)*Table_NFI[[#This Row],[Sanitary Kit]],Table_NFI[Sanitary Kit])</f>
        <v>0</v>
      </c>
      <c r="AB754" s="352">
        <f>IF(NFI_Expiration=1,IF($A754&lt;VLOOKUP(K$5,NFI,5,0),1,0)*Table_NFI[[#This Row],[Mosquito net]],Table_NFI[Mosquito net])</f>
        <v>0</v>
      </c>
      <c r="AC754" s="352">
        <f>IF(NFI_Expiration=1,IF($A754&lt;VLOOKUP(L$5,NFI,5,0),1,0)*Table_NFI[[#This Row],[Tarpaulin]],Table_NFI[[#This Row],[Tarpaulin]])</f>
        <v>0</v>
      </c>
      <c r="AD754" s="352">
        <f>IF(NFI_Expiration=1,IF($A754&lt;VLOOKUP(M$5,NFI,5,0),1,0)*Table_NFI[[#This Row],[Blanket]],Table_NFI[[#This Row],[Blanket]])</f>
        <v>0</v>
      </c>
      <c r="AE754" s="352">
        <f>IF(NFI_Expiration=1,IF($A754&lt;VLOOKUP(N$5,NFI,5,0),1,0)*Table_NFI[[#This Row],[Kitchen Set]],Table_NFI[Kitchen Set])</f>
        <v>0</v>
      </c>
      <c r="AF754" s="352">
        <f>IF(NFI_Expiration=1,IF($A754&lt;VLOOKUP(O$5,NFI,5,0),1,0)*Table_NFI[[#This Row],[Clothes Kit]],Table_NFI[Clothes Kit])</f>
        <v>0</v>
      </c>
      <c r="AG754" s="352">
        <f>IF(NFI_Expiration=1,IF($A754&lt;VLOOKUP(P$5,NFI,5,0),1,0)*Table_NFI[[#This Row],[Plastic Bucket]],Table_NFI[Plastic Bucket])</f>
        <v>0</v>
      </c>
      <c r="AH754" s="352">
        <f>IF(NFI_Expiration=1,IF($A754&lt;VLOOKUP(Q$5,NFI,5,0),1,0)*Table_NFI[[#This Row],[Plastic Mat]],Table_NFI[Plastic Mat])*IF(Table_NFI[[#This Row],[Distribution Date]]&gt;"2014-04-01",1,2.5)</f>
        <v>0</v>
      </c>
      <c r="AI754" s="352">
        <f>IF(NFI_Expiration=1,IF($A754&lt;VLOOKUP(R$5,NFI,5,0),1,0)*Table_NFI[[#This Row],[Winter Clothes Adult]],Table_NFI[Winter Clothes Adult])</f>
        <v>0</v>
      </c>
      <c r="AJ754" s="352">
        <f>IF(NFI_Expiration=1,IF($A754&lt;VLOOKUP(S$5,NFI,5,0),1,0)*Table_NFI[[#This Row],[Winter Clothes Children]],Table_NFI[Winter Clothes Children])</f>
        <v>0</v>
      </c>
      <c r="AK754" s="352">
        <f>IF(NFI_Expiration=1,IF($A754&lt;VLOOKUP(T$5,NFI,5,0),1,0)*Table_NFI[[#This Row],[Winter Items Other]],Table_NFI[Winter Items Other])</f>
        <v>0</v>
      </c>
      <c r="AL754" s="352">
        <f>IF(NFI_Expiration=1,IF($A754&lt;VLOOKUP(M$5,NFI,5,0),1,0)*Table_NFI[[#This Row],[Winter Blanket]],Table_NFI[[#This Row],[Winter Blanket]])</f>
        <v>0</v>
      </c>
      <c r="AM754" s="352">
        <f>IF(Table_NFI[[#This Row],[Winter Clothes Adult]]+Table_NFI[[#This Row],[Winter Clothes Children]]+Table_NFI[[#This Row],[Winter Items Other]]+Table_NFI[[#This Row],[Winter Blanket]]&gt;0,1,0)</f>
        <v>0</v>
      </c>
      <c r="AN754" s="392">
        <f>IF(NFI_Expiration=1,IF($A754&lt;VLOOKUP(V$5,NFI,5,0),1,0)*Table_NFI[[#This Row],[Jerry Can]],Table_NFI[Jerry Can])</f>
        <v>0</v>
      </c>
      <c r="AO754" s="540" t="str">
        <f>IFERROR(VLOOKUP(Table_NFI[[#This Row],[Camp Name]],CL,2,0),"")</f>
        <v>MMR001CMP120</v>
      </c>
      <c r="AP754" s="535">
        <f ca="1">IF(Table_NFI[[#This Row],[Pcode]]="","",IF(OFFSET(CampList[Opening Date],MATCH(Table_NFI[[#This Row],[Pcode]],CampList[CP_Pcode],0)-1,0,1,1)&gt;=NFI_Monitor_Date,1,0))</f>
        <v>0</v>
      </c>
      <c r="AQ754" s="540" t="str">
        <f>IFERROR(VLOOKUP(Table_NFI[[#This Row],[Camp Name]],CL,3,0),"")</f>
        <v>Open</v>
      </c>
      <c r="AR754" s="352" t="str">
        <f ca="1">IF(Table_NFI[[#This Row],[Pcode]]="","",OFFSET(CampList[Priority],MATCH(Table_NFI[[#This Row],[Pcode]],CampList[CP_Pcode],0)-1,0,1,1))</f>
        <v>P1</v>
      </c>
      <c r="AS754" s="351">
        <f>IFERROR(Table_NFI[[#This Row],[Kitchen Set]]/VLOOKUP(Table_NFI[[#This Row],[Camp Name]],CL,4,0),"")</f>
        <v>0</v>
      </c>
      <c r="AT754" s="533" t="s">
        <v>1094</v>
      </c>
      <c r="AU754" s="536"/>
    </row>
    <row r="755" spans="1:47" hidden="1" x14ac:dyDescent="0.25">
      <c r="A755" s="355">
        <f t="shared" si="11"/>
        <v>32.233333333333334</v>
      </c>
      <c r="B755" s="532">
        <v>41604</v>
      </c>
      <c r="C755" s="533" t="s">
        <v>907</v>
      </c>
      <c r="D755" s="533" t="s">
        <v>461</v>
      </c>
      <c r="E755" s="533" t="s">
        <v>380</v>
      </c>
      <c r="F755" s="533" t="s">
        <v>310</v>
      </c>
      <c r="G755" s="533" t="s">
        <v>1246</v>
      </c>
      <c r="H755" s="349"/>
      <c r="I755" s="349"/>
      <c r="J755" s="349"/>
      <c r="K755" s="349"/>
      <c r="L755" s="350"/>
      <c r="M755" s="350"/>
      <c r="N755" s="350"/>
      <c r="O755" s="350"/>
      <c r="P755" s="352"/>
      <c r="Q755" s="352"/>
      <c r="R755" s="352">
        <v>98</v>
      </c>
      <c r="S755" s="352">
        <v>196</v>
      </c>
      <c r="T755" s="352">
        <v>588</v>
      </c>
      <c r="U755" s="352">
        <v>294</v>
      </c>
      <c r="V755" s="497"/>
      <c r="W755" s="352"/>
      <c r="X755" s="352"/>
      <c r="Y755" s="352">
        <f>IF(NFI_Expiration=1,IF($A755&lt;VLOOKUP(H$5,NFI,5,0),1,0)*Table_NFI[[#This Row],[Hygiene Kit]],Table_NFI[Hygiene Kit])</f>
        <v>0</v>
      </c>
      <c r="Z755" s="352">
        <f>IF(NFI_Expiration=1,IF($A755&lt;VLOOKUP(I$5,NFI,5,0),1,0)*Table_NFI[[#This Row],[NFI Core Kit]],Table_NFI[NFI Core Kit])</f>
        <v>0</v>
      </c>
      <c r="AA755" s="352">
        <f>IF(NFI_Expiration=1,IF($A755&lt;VLOOKUP(J$5,NFI,5,0),1,0)*Table_NFI[[#This Row],[Sanitary Kit]],Table_NFI[Sanitary Kit])</f>
        <v>0</v>
      </c>
      <c r="AB755" s="352">
        <f>IF(NFI_Expiration=1,IF($A755&lt;VLOOKUP(K$5,NFI,5,0),1,0)*Table_NFI[[#This Row],[Mosquito net]],Table_NFI[Mosquito net])</f>
        <v>0</v>
      </c>
      <c r="AC755" s="352">
        <f>IF(NFI_Expiration=1,IF($A755&lt;VLOOKUP(L$5,NFI,5,0),1,0)*Table_NFI[[#This Row],[Tarpaulin]],Table_NFI[[#This Row],[Tarpaulin]])</f>
        <v>0</v>
      </c>
      <c r="AD755" s="352">
        <f>IF(NFI_Expiration=1,IF($A755&lt;VLOOKUP(M$5,NFI,5,0),1,0)*Table_NFI[[#This Row],[Blanket]],Table_NFI[[#This Row],[Blanket]])</f>
        <v>0</v>
      </c>
      <c r="AE755" s="352">
        <f>IF(NFI_Expiration=1,IF($A755&lt;VLOOKUP(N$5,NFI,5,0),1,0)*Table_NFI[[#This Row],[Kitchen Set]],Table_NFI[Kitchen Set])</f>
        <v>0</v>
      </c>
      <c r="AF755" s="352">
        <f>IF(NFI_Expiration=1,IF($A755&lt;VLOOKUP(O$5,NFI,5,0),1,0)*Table_NFI[[#This Row],[Clothes Kit]],Table_NFI[Clothes Kit])</f>
        <v>0</v>
      </c>
      <c r="AG755" s="352">
        <f>IF(NFI_Expiration=1,IF($A755&lt;VLOOKUP(P$5,NFI,5,0),1,0)*Table_NFI[[#This Row],[Plastic Bucket]],Table_NFI[Plastic Bucket])</f>
        <v>0</v>
      </c>
      <c r="AH755" s="352">
        <f>IF(NFI_Expiration=1,IF($A755&lt;VLOOKUP(Q$5,NFI,5,0),1,0)*Table_NFI[[#This Row],[Plastic Mat]],Table_NFI[Plastic Mat])*IF(Table_NFI[[#This Row],[Distribution Date]]&gt;"2014-04-01",1,2.5)</f>
        <v>0</v>
      </c>
      <c r="AI755" s="352">
        <f>IF(NFI_Expiration=1,IF($A755&lt;VLOOKUP(R$5,NFI,5,0),1,0)*Table_NFI[[#This Row],[Winter Clothes Adult]],Table_NFI[Winter Clothes Adult])</f>
        <v>0</v>
      </c>
      <c r="AJ755" s="352">
        <f>IF(NFI_Expiration=1,IF($A755&lt;VLOOKUP(S$5,NFI,5,0),1,0)*Table_NFI[[#This Row],[Winter Clothes Children]],Table_NFI[Winter Clothes Children])</f>
        <v>0</v>
      </c>
      <c r="AK755" s="352">
        <f>IF(NFI_Expiration=1,IF($A755&lt;VLOOKUP(T$5,NFI,5,0),1,0)*Table_NFI[[#This Row],[Winter Items Other]],Table_NFI[Winter Items Other])</f>
        <v>0</v>
      </c>
      <c r="AL755" s="352">
        <f>IF(NFI_Expiration=1,IF($A755&lt;VLOOKUP(M$5,NFI,5,0),1,0)*Table_NFI[[#This Row],[Winter Blanket]],Table_NFI[[#This Row],[Winter Blanket]])</f>
        <v>0</v>
      </c>
      <c r="AM755" s="352">
        <f>IF(Table_NFI[[#This Row],[Winter Clothes Adult]]+Table_NFI[[#This Row],[Winter Clothes Children]]+Table_NFI[[#This Row],[Winter Items Other]]+Table_NFI[[#This Row],[Winter Blanket]]&gt;0,1,0)</f>
        <v>1</v>
      </c>
      <c r="AN755" s="392">
        <f>IF(NFI_Expiration=1,IF($A755&lt;VLOOKUP(V$5,NFI,5,0),1,0)*Table_NFI[[#This Row],[Jerry Can]],Table_NFI[Jerry Can])</f>
        <v>0</v>
      </c>
      <c r="AO755" s="540" t="str">
        <f>IFERROR(VLOOKUP(Table_NFI[[#This Row],[Camp Name]],CL,2,0),"")</f>
        <v>MMR001CMP120</v>
      </c>
      <c r="AP755" s="535">
        <f ca="1">IF(Table_NFI[[#This Row],[Pcode]]="","",IF(OFFSET(CampList[Opening Date],MATCH(Table_NFI[[#This Row],[Pcode]],CampList[CP_Pcode],0)-1,0,1,1)&gt;=NFI_Monitor_Date,1,0))</f>
        <v>0</v>
      </c>
      <c r="AQ755" s="540" t="str">
        <f>IFERROR(VLOOKUP(Table_NFI[[#This Row],[Camp Name]],CL,3,0),"")</f>
        <v>Open</v>
      </c>
      <c r="AR755" s="352" t="str">
        <f ca="1">IF(Table_NFI[[#This Row],[Pcode]]="","",OFFSET(CampList[Priority],MATCH(Table_NFI[[#This Row],[Pcode]],CampList[CP_Pcode],0)-1,0,1,1))</f>
        <v>P1</v>
      </c>
      <c r="AS755" s="351">
        <f>IFERROR(Table_NFI[[#This Row],[Kitchen Set]]/VLOOKUP(Table_NFI[[#This Row],[Camp Name]],CL,4,0),"")</f>
        <v>0</v>
      </c>
      <c r="AT755" s="533"/>
      <c r="AU755" s="536"/>
    </row>
    <row r="756" spans="1:47" ht="14.45" customHeight="1" x14ac:dyDescent="0.25">
      <c r="A756" s="355">
        <f t="shared" si="11"/>
        <v>48.8</v>
      </c>
      <c r="B756" s="532">
        <v>41107</v>
      </c>
      <c r="C756" s="533" t="s">
        <v>453</v>
      </c>
      <c r="D756" s="533" t="s">
        <v>453</v>
      </c>
      <c r="E756" s="533" t="s">
        <v>380</v>
      </c>
      <c r="F756" s="348" t="s">
        <v>237</v>
      </c>
      <c r="G756" s="348" t="s">
        <v>245</v>
      </c>
      <c r="H756" s="349"/>
      <c r="I756" s="349"/>
      <c r="J756" s="349"/>
      <c r="K756" s="349">
        <v>6</v>
      </c>
      <c r="L756" s="350">
        <v>6</v>
      </c>
      <c r="M756" s="350">
        <v>6</v>
      </c>
      <c r="N756" s="350">
        <v>6</v>
      </c>
      <c r="O756" s="350">
        <v>6</v>
      </c>
      <c r="P756" s="352">
        <v>6</v>
      </c>
      <c r="Q756" s="352">
        <v>6</v>
      </c>
      <c r="R756" s="352"/>
      <c r="S756" s="352"/>
      <c r="T756" s="352"/>
      <c r="U756" s="352"/>
      <c r="V756" s="497"/>
      <c r="W756" s="352"/>
      <c r="X756" s="352"/>
      <c r="Y756" s="352">
        <f>IF(NFI_Expiration=1,IF($A756&lt;VLOOKUP(H$5,NFI,5,0),1,0)*Table_NFI[[#This Row],[Hygiene Kit]],Table_NFI[Hygiene Kit])</f>
        <v>0</v>
      </c>
      <c r="Z756" s="352">
        <f>IF(NFI_Expiration=1,IF($A756&lt;VLOOKUP(I$5,NFI,5,0),1,0)*Table_NFI[[#This Row],[NFI Core Kit]],Table_NFI[NFI Core Kit])</f>
        <v>0</v>
      </c>
      <c r="AA756" s="352">
        <f>IF(NFI_Expiration=1,IF($A756&lt;VLOOKUP(J$5,NFI,5,0),1,0)*Table_NFI[[#This Row],[Sanitary Kit]],Table_NFI[Sanitary Kit])</f>
        <v>0</v>
      </c>
      <c r="AB756" s="352">
        <f>IF(NFI_Expiration=1,IF($A756&lt;VLOOKUP(K$5,NFI,5,0),1,0)*Table_NFI[[#This Row],[Mosquito net]],Table_NFI[Mosquito net])</f>
        <v>0</v>
      </c>
      <c r="AC756" s="352">
        <f>IF(NFI_Expiration=1,IF($A756&lt;VLOOKUP(L$5,NFI,5,0),1,0)*Table_NFI[[#This Row],[Tarpaulin]],Table_NFI[[#This Row],[Tarpaulin]])</f>
        <v>0</v>
      </c>
      <c r="AD756" s="352">
        <f>IF(NFI_Expiration=1,IF($A756&lt;VLOOKUP(M$5,NFI,5,0),1,0)*Table_NFI[[#This Row],[Blanket]],Table_NFI[[#This Row],[Blanket]])</f>
        <v>0</v>
      </c>
      <c r="AE756" s="352">
        <f>IF(NFI_Expiration=1,IF($A756&lt;VLOOKUP(N$5,NFI,5,0),1,0)*Table_NFI[[#This Row],[Kitchen Set]],Table_NFI[Kitchen Set])</f>
        <v>0</v>
      </c>
      <c r="AF756" s="352">
        <f>IF(NFI_Expiration=1,IF($A756&lt;VLOOKUP(O$5,NFI,5,0),1,0)*Table_NFI[[#This Row],[Clothes Kit]],Table_NFI[Clothes Kit])</f>
        <v>0</v>
      </c>
      <c r="AG756" s="352">
        <f>IF(NFI_Expiration=1,IF($A756&lt;VLOOKUP(P$5,NFI,5,0),1,0)*Table_NFI[[#This Row],[Plastic Bucket]],Table_NFI[Plastic Bucket])</f>
        <v>0</v>
      </c>
      <c r="AH756" s="352">
        <f>IF(NFI_Expiration=1,IF($A756&lt;VLOOKUP(Q$5,NFI,5,0),1,0)*Table_NFI[[#This Row],[Plastic Mat]],Table_NFI[Plastic Mat])*IF(Table_NFI[[#This Row],[Distribution Date]]&gt;"2014-04-01",1,2.5)</f>
        <v>0</v>
      </c>
      <c r="AI756" s="352">
        <f>IF(NFI_Expiration=1,IF($A756&lt;VLOOKUP(R$5,NFI,5,0),1,0)*Table_NFI[[#This Row],[Winter Clothes Adult]],Table_NFI[Winter Clothes Adult])</f>
        <v>0</v>
      </c>
      <c r="AJ756" s="352">
        <f>IF(NFI_Expiration=1,IF($A756&lt;VLOOKUP(S$5,NFI,5,0),1,0)*Table_NFI[[#This Row],[Winter Clothes Children]],Table_NFI[Winter Clothes Children])</f>
        <v>0</v>
      </c>
      <c r="AK756" s="352">
        <f>IF(NFI_Expiration=1,IF($A756&lt;VLOOKUP(T$5,NFI,5,0),1,0)*Table_NFI[[#This Row],[Winter Items Other]],Table_NFI[Winter Items Other])</f>
        <v>0</v>
      </c>
      <c r="AL756" s="352">
        <f>IF(NFI_Expiration=1,IF($A756&lt;VLOOKUP(M$5,NFI,5,0),1,0)*Table_NFI[[#This Row],[Winter Blanket]],Table_NFI[[#This Row],[Winter Blanket]])</f>
        <v>0</v>
      </c>
      <c r="AM756" s="352">
        <f>IF(Table_NFI[[#This Row],[Winter Clothes Adult]]+Table_NFI[[#This Row],[Winter Clothes Children]]+Table_NFI[[#This Row],[Winter Items Other]]+Table_NFI[[#This Row],[Winter Blanket]]&gt;0,1,0)</f>
        <v>0</v>
      </c>
      <c r="AN756" s="392">
        <f>IF(NFI_Expiration=1,IF($A756&lt;VLOOKUP(V$5,NFI,5,0),1,0)*Table_NFI[[#This Row],[Jerry Can]],Table_NFI[Jerry Can])</f>
        <v>0</v>
      </c>
      <c r="AO756" s="540" t="str">
        <f>IFERROR(VLOOKUP(Table_NFI[[#This Row],[Camp Name]],CL,2,0),"")</f>
        <v>MMR001CMP010</v>
      </c>
      <c r="AP756" s="535">
        <f ca="1">IF(Table_NFI[[#This Row],[Pcode]]="","",IF(OFFSET(CampList[Opening Date],MATCH(Table_NFI[[#This Row],[Pcode]],CampList[CP_Pcode],0)-1,0,1,1)&gt;=NFI_Monitor_Date,1,0))</f>
        <v>0</v>
      </c>
      <c r="AQ756" s="540" t="str">
        <f>IFERROR(VLOOKUP(Table_NFI[[#This Row],[Camp Name]],CL,3,0),"")</f>
        <v>Open</v>
      </c>
      <c r="AR756" s="352" t="str">
        <f ca="1">IF(Table_NFI[[#This Row],[Pcode]]="","",OFFSET(CampList[Priority],MATCH(Table_NFI[[#This Row],[Pcode]],CampList[CP_Pcode],0)-1,0,1,1))</f>
        <v>P4</v>
      </c>
      <c r="AS756" s="351">
        <f>IFERROR(Table_NFI[[#This Row],[Kitchen Set]]/VLOOKUP(Table_NFI[[#This Row],[Camp Name]],CL,4,0),"")</f>
        <v>1</v>
      </c>
      <c r="AT756" s="533" t="s">
        <v>1094</v>
      </c>
      <c r="AU756" s="536"/>
    </row>
    <row r="757" spans="1:47" ht="14.45" customHeight="1" x14ac:dyDescent="0.25">
      <c r="A757" s="355">
        <f t="shared" si="11"/>
        <v>48.8</v>
      </c>
      <c r="B757" s="532">
        <v>41107</v>
      </c>
      <c r="C757" s="533" t="s">
        <v>453</v>
      </c>
      <c r="D757" s="533" t="s">
        <v>453</v>
      </c>
      <c r="E757" s="533" t="s">
        <v>380</v>
      </c>
      <c r="F757" s="348" t="s">
        <v>237</v>
      </c>
      <c r="G757" s="348" t="s">
        <v>247</v>
      </c>
      <c r="H757" s="349"/>
      <c r="I757" s="349"/>
      <c r="J757" s="349"/>
      <c r="K757" s="349">
        <v>6</v>
      </c>
      <c r="L757" s="350">
        <v>6</v>
      </c>
      <c r="M757" s="350">
        <v>6</v>
      </c>
      <c r="N757" s="350">
        <v>6</v>
      </c>
      <c r="O757" s="350">
        <v>6</v>
      </c>
      <c r="P757" s="352">
        <v>6</v>
      </c>
      <c r="Q757" s="352">
        <v>6</v>
      </c>
      <c r="R757" s="352"/>
      <c r="S757" s="352"/>
      <c r="T757" s="352"/>
      <c r="U757" s="352"/>
      <c r="V757" s="497"/>
      <c r="W757" s="352"/>
      <c r="X757" s="352"/>
      <c r="Y757" s="352">
        <f>IF(NFI_Expiration=1,IF($A757&lt;VLOOKUP(H$5,NFI,5,0),1,0)*Table_NFI[[#This Row],[Hygiene Kit]],Table_NFI[Hygiene Kit])</f>
        <v>0</v>
      </c>
      <c r="Z757" s="352">
        <f>IF(NFI_Expiration=1,IF($A757&lt;VLOOKUP(I$5,NFI,5,0),1,0)*Table_NFI[[#This Row],[NFI Core Kit]],Table_NFI[NFI Core Kit])</f>
        <v>0</v>
      </c>
      <c r="AA757" s="352">
        <f>IF(NFI_Expiration=1,IF($A757&lt;VLOOKUP(J$5,NFI,5,0),1,0)*Table_NFI[[#This Row],[Sanitary Kit]],Table_NFI[Sanitary Kit])</f>
        <v>0</v>
      </c>
      <c r="AB757" s="352">
        <f>IF(NFI_Expiration=1,IF($A757&lt;VLOOKUP(K$5,NFI,5,0),1,0)*Table_NFI[[#This Row],[Mosquito net]],Table_NFI[Mosquito net])</f>
        <v>0</v>
      </c>
      <c r="AC757" s="352">
        <f>IF(NFI_Expiration=1,IF($A757&lt;VLOOKUP(L$5,NFI,5,0),1,0)*Table_NFI[[#This Row],[Tarpaulin]],Table_NFI[[#This Row],[Tarpaulin]])</f>
        <v>0</v>
      </c>
      <c r="AD757" s="352">
        <f>IF(NFI_Expiration=1,IF($A757&lt;VLOOKUP(M$5,NFI,5,0),1,0)*Table_NFI[[#This Row],[Blanket]],Table_NFI[[#This Row],[Blanket]])</f>
        <v>0</v>
      </c>
      <c r="AE757" s="352">
        <f>IF(NFI_Expiration=1,IF($A757&lt;VLOOKUP(N$5,NFI,5,0),1,0)*Table_NFI[[#This Row],[Kitchen Set]],Table_NFI[Kitchen Set])</f>
        <v>0</v>
      </c>
      <c r="AF757" s="352">
        <f>IF(NFI_Expiration=1,IF($A757&lt;VLOOKUP(O$5,NFI,5,0),1,0)*Table_NFI[[#This Row],[Clothes Kit]],Table_NFI[Clothes Kit])</f>
        <v>0</v>
      </c>
      <c r="AG757" s="352">
        <f>IF(NFI_Expiration=1,IF($A757&lt;VLOOKUP(P$5,NFI,5,0),1,0)*Table_NFI[[#This Row],[Plastic Bucket]],Table_NFI[Plastic Bucket])</f>
        <v>0</v>
      </c>
      <c r="AH757" s="352">
        <f>IF(NFI_Expiration=1,IF($A757&lt;VLOOKUP(Q$5,NFI,5,0),1,0)*Table_NFI[[#This Row],[Plastic Mat]],Table_NFI[Plastic Mat])*IF(Table_NFI[[#This Row],[Distribution Date]]&gt;"2014-04-01",1,2.5)</f>
        <v>0</v>
      </c>
      <c r="AI757" s="352">
        <f>IF(NFI_Expiration=1,IF($A757&lt;VLOOKUP(R$5,NFI,5,0),1,0)*Table_NFI[[#This Row],[Winter Clothes Adult]],Table_NFI[Winter Clothes Adult])</f>
        <v>0</v>
      </c>
      <c r="AJ757" s="352">
        <f>IF(NFI_Expiration=1,IF($A757&lt;VLOOKUP(S$5,NFI,5,0),1,0)*Table_NFI[[#This Row],[Winter Clothes Children]],Table_NFI[Winter Clothes Children])</f>
        <v>0</v>
      </c>
      <c r="AK757" s="352">
        <f>IF(NFI_Expiration=1,IF($A757&lt;VLOOKUP(T$5,NFI,5,0),1,0)*Table_NFI[[#This Row],[Winter Items Other]],Table_NFI[Winter Items Other])</f>
        <v>0</v>
      </c>
      <c r="AL757" s="352">
        <f>IF(NFI_Expiration=1,IF($A757&lt;VLOOKUP(M$5,NFI,5,0),1,0)*Table_NFI[[#This Row],[Winter Blanket]],Table_NFI[[#This Row],[Winter Blanket]])</f>
        <v>0</v>
      </c>
      <c r="AM757" s="352">
        <f>IF(Table_NFI[[#This Row],[Winter Clothes Adult]]+Table_NFI[[#This Row],[Winter Clothes Children]]+Table_NFI[[#This Row],[Winter Items Other]]+Table_NFI[[#This Row],[Winter Blanket]]&gt;0,1,0)</f>
        <v>0</v>
      </c>
      <c r="AN757" s="392">
        <f>IF(NFI_Expiration=1,IF($A757&lt;VLOOKUP(V$5,NFI,5,0),1,0)*Table_NFI[[#This Row],[Jerry Can]],Table_NFI[Jerry Can])</f>
        <v>0</v>
      </c>
      <c r="AO757" s="540" t="str">
        <f>IFERROR(VLOOKUP(Table_NFI[[#This Row],[Camp Name]],CL,2,0),"")</f>
        <v>MMR001CMP011</v>
      </c>
      <c r="AP757" s="535">
        <f ca="1">IF(Table_NFI[[#This Row],[Pcode]]="","",IF(OFFSET(CampList[Opening Date],MATCH(Table_NFI[[#This Row],[Pcode]],CampList[CP_Pcode],0)-1,0,1,1)&gt;=NFI_Monitor_Date,1,0))</f>
        <v>0</v>
      </c>
      <c r="AQ757" s="540" t="str">
        <f>IFERROR(VLOOKUP(Table_NFI[[#This Row],[Camp Name]],CL,3,0),"")</f>
        <v>Open</v>
      </c>
      <c r="AR757" s="352" t="str">
        <f ca="1">IF(Table_NFI[[#This Row],[Pcode]]="","",OFFSET(CampList[Priority],MATCH(Table_NFI[[#This Row],[Pcode]],CampList[CP_Pcode],0)-1,0,1,1))</f>
        <v>P4</v>
      </c>
      <c r="AS757" s="351">
        <f>IFERROR(Table_NFI[[#This Row],[Kitchen Set]]/VLOOKUP(Table_NFI[[#This Row],[Camp Name]],CL,4,0),"")</f>
        <v>0.13636363636363635</v>
      </c>
      <c r="AT757" s="533" t="s">
        <v>1094</v>
      </c>
      <c r="AU757" s="536"/>
    </row>
    <row r="758" spans="1:47" ht="14.45" hidden="1" customHeight="1" x14ac:dyDescent="0.25">
      <c r="A758" s="355">
        <f t="shared" si="11"/>
        <v>18.466666666666665</v>
      </c>
      <c r="B758" s="532">
        <v>42017</v>
      </c>
      <c r="C758" s="533" t="s">
        <v>1096</v>
      </c>
      <c r="D758" s="533" t="s">
        <v>902</v>
      </c>
      <c r="E758" s="533" t="s">
        <v>380</v>
      </c>
      <c r="F758" s="533" t="s">
        <v>27</v>
      </c>
      <c r="G758" s="533" t="s">
        <v>865</v>
      </c>
      <c r="H758" s="349"/>
      <c r="I758" s="352"/>
      <c r="J758" s="352"/>
      <c r="K758" s="352"/>
      <c r="L758" s="350"/>
      <c r="M758" s="350"/>
      <c r="N758" s="350"/>
      <c r="O758" s="350"/>
      <c r="P758" s="352"/>
      <c r="Q758" s="352"/>
      <c r="R758" s="352">
        <v>187</v>
      </c>
      <c r="S758" s="352">
        <v>137</v>
      </c>
      <c r="T758" s="352"/>
      <c r="U758" s="352">
        <v>118</v>
      </c>
      <c r="V758" s="497"/>
      <c r="W758" s="352"/>
      <c r="X758" s="352"/>
      <c r="Y758" s="352">
        <f>IF(NFI_Expiration=1,IF($A758&lt;VLOOKUP(H$5,NFI,5,0),1,0)*Table_NFI[[#This Row],[Hygiene Kit]],Table_NFI[Hygiene Kit])</f>
        <v>0</v>
      </c>
      <c r="Z758" s="352">
        <f>IF(NFI_Expiration=1,IF($A758&lt;VLOOKUP(I$5,NFI,5,0),1,0)*Table_NFI[[#This Row],[NFI Core Kit]],Table_NFI[NFI Core Kit])</f>
        <v>0</v>
      </c>
      <c r="AA758" s="352">
        <f>IF(NFI_Expiration=1,IF($A758&lt;VLOOKUP(J$5,NFI,5,0),1,0)*Table_NFI[[#This Row],[Sanitary Kit]],Table_NFI[Sanitary Kit])</f>
        <v>0</v>
      </c>
      <c r="AB758" s="352">
        <f>IF(NFI_Expiration=1,IF($A758&lt;VLOOKUP(K$5,NFI,5,0),1,0)*Table_NFI[[#This Row],[Mosquito net]],Table_NFI[Mosquito net])</f>
        <v>0</v>
      </c>
      <c r="AC758" s="352">
        <f>IF(NFI_Expiration=1,IF($A758&lt;VLOOKUP(L$5,NFI,5,0),1,0)*Table_NFI[[#This Row],[Tarpaulin]],Table_NFI[[#This Row],[Tarpaulin]])</f>
        <v>0</v>
      </c>
      <c r="AD758" s="352">
        <f>IF(NFI_Expiration=1,IF($A758&lt;VLOOKUP(M$5,NFI,5,0),1,0)*Table_NFI[[#This Row],[Blanket]],Table_NFI[[#This Row],[Blanket]])</f>
        <v>0</v>
      </c>
      <c r="AE758" s="352">
        <f>IF(NFI_Expiration=1,IF($A758&lt;VLOOKUP(N$5,NFI,5,0),1,0)*Table_NFI[[#This Row],[Kitchen Set]],Table_NFI[Kitchen Set])</f>
        <v>0</v>
      </c>
      <c r="AF758" s="352">
        <f>IF(NFI_Expiration=1,IF($A758&lt;VLOOKUP(O$5,NFI,5,0),1,0)*Table_NFI[[#This Row],[Clothes Kit]],Table_NFI[Clothes Kit])</f>
        <v>0</v>
      </c>
      <c r="AG758" s="352">
        <f>IF(NFI_Expiration=1,IF($A758&lt;VLOOKUP(P$5,NFI,5,0),1,0)*Table_NFI[[#This Row],[Plastic Bucket]],Table_NFI[Plastic Bucket])</f>
        <v>0</v>
      </c>
      <c r="AH758" s="352">
        <f>IF(NFI_Expiration=1,IF($A758&lt;VLOOKUP(Q$5,NFI,5,0),1,0)*Table_NFI[[#This Row],[Plastic Mat]],Table_NFI[Plastic Mat])*IF(Table_NFI[[#This Row],[Distribution Date]]&gt;"2014-04-01",1,2.5)</f>
        <v>0</v>
      </c>
      <c r="AI758" s="352">
        <f>IF(NFI_Expiration=1,IF($A758&lt;VLOOKUP(R$5,NFI,5,0),1,0)*Table_NFI[[#This Row],[Winter Clothes Adult]],Table_NFI[Winter Clothes Adult])</f>
        <v>0</v>
      </c>
      <c r="AJ758" s="352">
        <f>IF(NFI_Expiration=1,IF($A758&lt;VLOOKUP(S$5,NFI,5,0),1,0)*Table_NFI[[#This Row],[Winter Clothes Children]],Table_NFI[Winter Clothes Children])</f>
        <v>0</v>
      </c>
      <c r="AK758" s="352">
        <f>IF(NFI_Expiration=1,IF($A758&lt;VLOOKUP(T$5,NFI,5,0),1,0)*Table_NFI[[#This Row],[Winter Items Other]],Table_NFI[Winter Items Other])</f>
        <v>0</v>
      </c>
      <c r="AL758" s="352">
        <f>IF(NFI_Expiration=1,IF($A758&lt;VLOOKUP(M$5,NFI,5,0),1,0)*Table_NFI[[#This Row],[Winter Blanket]],Table_NFI[[#This Row],[Winter Blanket]])</f>
        <v>0</v>
      </c>
      <c r="AM758" s="352">
        <f>IF(Table_NFI[[#This Row],[Winter Clothes Adult]]+Table_NFI[[#This Row],[Winter Clothes Children]]+Table_NFI[[#This Row],[Winter Items Other]]+Table_NFI[[#This Row],[Winter Blanket]]&gt;0,1,0)</f>
        <v>1</v>
      </c>
      <c r="AN758" s="392">
        <f>IF(NFI_Expiration=1,IF($A758&lt;VLOOKUP(V$5,NFI,5,0),1,0)*Table_NFI[[#This Row],[Jerry Can]],Table_NFI[Jerry Can])</f>
        <v>0</v>
      </c>
      <c r="AO758" s="540" t="str">
        <f>IFERROR(VLOOKUP(Table_NFI[[#This Row],[Camp Name]],CL,2,0),"")</f>
        <v>MMR001CMP210</v>
      </c>
      <c r="AP758" s="535">
        <f ca="1">IF(Table_NFI[[#This Row],[Pcode]]="","",IF(OFFSET(CampList[Opening Date],MATCH(Table_NFI[[#This Row],[Pcode]],CampList[CP_Pcode],0)-1,0,1,1)&gt;=NFI_Monitor_Date,1,0))</f>
        <v>0</v>
      </c>
      <c r="AQ758" s="540" t="str">
        <f>IFERROR(VLOOKUP(Table_NFI[[#This Row],[Camp Name]],CL,3,0),"")</f>
        <v>Open</v>
      </c>
      <c r="AR758" s="352" t="str">
        <f ca="1">IF(Table_NFI[[#This Row],[Pcode]]="","",OFFSET(CampList[Priority],MATCH(Table_NFI[[#This Row],[Pcode]],CampList[CP_Pcode],0)-1,0,1,1))</f>
        <v>P1</v>
      </c>
      <c r="AS758" s="351">
        <f>IFERROR(Table_NFI[[#This Row],[Kitchen Set]]/VLOOKUP(Table_NFI[[#This Row],[Camp Name]],CL,4,0),"")</f>
        <v>0</v>
      </c>
      <c r="AT758" s="533"/>
      <c r="AU758" s="557"/>
    </row>
    <row r="759" spans="1:47" ht="14.45" customHeight="1" x14ac:dyDescent="0.25">
      <c r="A759" s="355">
        <f t="shared" si="11"/>
        <v>48.8</v>
      </c>
      <c r="B759" s="532">
        <v>41107</v>
      </c>
      <c r="C759" s="533" t="s">
        <v>453</v>
      </c>
      <c r="D759" s="534" t="s">
        <v>453</v>
      </c>
      <c r="E759" s="533" t="s">
        <v>380</v>
      </c>
      <c r="F759" s="348" t="s">
        <v>185</v>
      </c>
      <c r="G759" s="348" t="s">
        <v>192</v>
      </c>
      <c r="H759" s="349"/>
      <c r="I759" s="354"/>
      <c r="J759" s="347"/>
      <c r="K759" s="347">
        <v>380</v>
      </c>
      <c r="L759" s="347">
        <v>156</v>
      </c>
      <c r="M759" s="347">
        <v>380</v>
      </c>
      <c r="N759" s="347">
        <v>156</v>
      </c>
      <c r="O759" s="347">
        <v>156</v>
      </c>
      <c r="P759" s="352">
        <v>156</v>
      </c>
      <c r="Q759" s="352">
        <v>156</v>
      </c>
      <c r="R759" s="352"/>
      <c r="S759" s="352"/>
      <c r="T759" s="352"/>
      <c r="U759" s="352"/>
      <c r="V759" s="497"/>
      <c r="W759" s="352"/>
      <c r="X759" s="352"/>
      <c r="Y759" s="352">
        <f>IF(NFI_Expiration=1,IF($A759&lt;VLOOKUP(H$5,NFI,5,0),1,0)*Table_NFI[[#This Row],[Hygiene Kit]],Table_NFI[Hygiene Kit])</f>
        <v>0</v>
      </c>
      <c r="Z759" s="352">
        <f>IF(NFI_Expiration=1,IF($A759&lt;VLOOKUP(I$5,NFI,5,0),1,0)*Table_NFI[[#This Row],[NFI Core Kit]],Table_NFI[NFI Core Kit])</f>
        <v>0</v>
      </c>
      <c r="AA759" s="352">
        <f>IF(NFI_Expiration=1,IF($A759&lt;VLOOKUP(J$5,NFI,5,0),1,0)*Table_NFI[[#This Row],[Sanitary Kit]],Table_NFI[Sanitary Kit])</f>
        <v>0</v>
      </c>
      <c r="AB759" s="352">
        <f>IF(NFI_Expiration=1,IF($A759&lt;VLOOKUP(K$5,NFI,5,0),1,0)*Table_NFI[[#This Row],[Mosquito net]],Table_NFI[Mosquito net])</f>
        <v>0</v>
      </c>
      <c r="AC759" s="352">
        <f>IF(NFI_Expiration=1,IF($A759&lt;VLOOKUP(L$5,NFI,5,0),1,0)*Table_NFI[[#This Row],[Tarpaulin]],Table_NFI[[#This Row],[Tarpaulin]])</f>
        <v>0</v>
      </c>
      <c r="AD759" s="352">
        <f>IF(NFI_Expiration=1,IF($A759&lt;VLOOKUP(M$5,NFI,5,0),1,0)*Table_NFI[[#This Row],[Blanket]],Table_NFI[[#This Row],[Blanket]])</f>
        <v>0</v>
      </c>
      <c r="AE759" s="352">
        <f>IF(NFI_Expiration=1,IF($A759&lt;VLOOKUP(N$5,NFI,5,0),1,0)*Table_NFI[[#This Row],[Kitchen Set]],Table_NFI[Kitchen Set])</f>
        <v>0</v>
      </c>
      <c r="AF759" s="352">
        <f>IF(NFI_Expiration=1,IF($A759&lt;VLOOKUP(O$5,NFI,5,0),1,0)*Table_NFI[[#This Row],[Clothes Kit]],Table_NFI[Clothes Kit])</f>
        <v>0</v>
      </c>
      <c r="AG759" s="352">
        <f>IF(NFI_Expiration=1,IF($A759&lt;VLOOKUP(P$5,NFI,5,0),1,0)*Table_NFI[[#This Row],[Plastic Bucket]],Table_NFI[Plastic Bucket])</f>
        <v>0</v>
      </c>
      <c r="AH759" s="352">
        <f>IF(NFI_Expiration=1,IF($A759&lt;VLOOKUP(Q$5,NFI,5,0),1,0)*Table_NFI[[#This Row],[Plastic Mat]],Table_NFI[Plastic Mat])*IF(Table_NFI[[#This Row],[Distribution Date]]&gt;"2014-04-01",1,2.5)</f>
        <v>0</v>
      </c>
      <c r="AI759" s="352">
        <f>IF(NFI_Expiration=1,IF($A759&lt;VLOOKUP(R$5,NFI,5,0),1,0)*Table_NFI[[#This Row],[Winter Clothes Adult]],Table_NFI[Winter Clothes Adult])</f>
        <v>0</v>
      </c>
      <c r="AJ759" s="352">
        <f>IF(NFI_Expiration=1,IF($A759&lt;VLOOKUP(S$5,NFI,5,0),1,0)*Table_NFI[[#This Row],[Winter Clothes Children]],Table_NFI[Winter Clothes Children])</f>
        <v>0</v>
      </c>
      <c r="AK759" s="352">
        <f>IF(NFI_Expiration=1,IF($A759&lt;VLOOKUP(T$5,NFI,5,0),1,0)*Table_NFI[[#This Row],[Winter Items Other]],Table_NFI[Winter Items Other])</f>
        <v>0</v>
      </c>
      <c r="AL759" s="352">
        <f>IF(NFI_Expiration=1,IF($A759&lt;VLOOKUP(M$5,NFI,5,0),1,0)*Table_NFI[[#This Row],[Winter Blanket]],Table_NFI[[#This Row],[Winter Blanket]])</f>
        <v>0</v>
      </c>
      <c r="AM759" s="352">
        <f>IF(Table_NFI[[#This Row],[Winter Clothes Adult]]+Table_NFI[[#This Row],[Winter Clothes Children]]+Table_NFI[[#This Row],[Winter Items Other]]+Table_NFI[[#This Row],[Winter Blanket]]&gt;0,1,0)</f>
        <v>0</v>
      </c>
      <c r="AN759" s="392">
        <f>IF(NFI_Expiration=1,IF($A759&lt;VLOOKUP(V$5,NFI,5,0),1,0)*Table_NFI[[#This Row],[Jerry Can]],Table_NFI[Jerry Can])</f>
        <v>0</v>
      </c>
      <c r="AO759" s="540" t="str">
        <f>IFERROR(VLOOKUP(Table_NFI[[#This Row],[Camp Name]],CL,2,0),"")</f>
        <v>MMR001CMP123</v>
      </c>
      <c r="AP759" s="535">
        <f ca="1">IF(Table_NFI[[#This Row],[Pcode]]="","",IF(OFFSET(CampList[Opening Date],MATCH(Table_NFI[[#This Row],[Pcode]],CampList[CP_Pcode],0)-1,0,1,1)&gt;=NFI_Monitor_Date,1,0))</f>
        <v>0</v>
      </c>
      <c r="AQ759" s="540" t="str">
        <f>IFERROR(VLOOKUP(Table_NFI[[#This Row],[Camp Name]],CL,3,0),"")</f>
        <v>Open</v>
      </c>
      <c r="AR759" s="352" t="str">
        <f ca="1">IF(Table_NFI[[#This Row],[Pcode]]="","",OFFSET(CampList[Priority],MATCH(Table_NFI[[#This Row],[Pcode]],CampList[CP_Pcode],0)-1,0,1,1))</f>
        <v>P2</v>
      </c>
      <c r="AS759" s="351">
        <f>IFERROR(Table_NFI[[#This Row],[Kitchen Set]]/VLOOKUP(Table_NFI[[#This Row],[Camp Name]],CL,4,0),"")</f>
        <v>1.3448275862068966</v>
      </c>
      <c r="AT759" s="533" t="s">
        <v>1094</v>
      </c>
      <c r="AU759" s="536"/>
    </row>
    <row r="760" spans="1:47" ht="14.45" hidden="1" customHeight="1" x14ac:dyDescent="0.25">
      <c r="A760" s="355">
        <f t="shared" si="11"/>
        <v>29.3</v>
      </c>
      <c r="B760" s="532">
        <v>41692</v>
      </c>
      <c r="C760" s="533" t="s">
        <v>1106</v>
      </c>
      <c r="D760" s="533" t="s">
        <v>902</v>
      </c>
      <c r="E760" s="533" t="s">
        <v>380</v>
      </c>
      <c r="F760" s="533" t="s">
        <v>27</v>
      </c>
      <c r="G760" s="533" t="s">
        <v>865</v>
      </c>
      <c r="H760" s="349"/>
      <c r="I760" s="349"/>
      <c r="J760" s="349"/>
      <c r="K760" s="349"/>
      <c r="L760" s="350"/>
      <c r="M760" s="350"/>
      <c r="N760" s="350"/>
      <c r="O760" s="350"/>
      <c r="P760" s="352"/>
      <c r="Q760" s="352"/>
      <c r="R760" s="352"/>
      <c r="S760" s="352"/>
      <c r="T760" s="352"/>
      <c r="U760" s="352">
        <v>126</v>
      </c>
      <c r="V760" s="497"/>
      <c r="W760" s="352"/>
      <c r="X760" s="352"/>
      <c r="Y760" s="352">
        <f>IF(NFI_Expiration=1,IF($A760&lt;VLOOKUP(H$5,NFI,5,0),1,0)*Table_NFI[[#This Row],[Hygiene Kit]],Table_NFI[Hygiene Kit])</f>
        <v>0</v>
      </c>
      <c r="Z760" s="352">
        <f>IF(NFI_Expiration=1,IF($A760&lt;VLOOKUP(I$5,NFI,5,0),1,0)*Table_NFI[[#This Row],[NFI Core Kit]],Table_NFI[NFI Core Kit])</f>
        <v>0</v>
      </c>
      <c r="AA760" s="352">
        <f>IF(NFI_Expiration=1,IF($A760&lt;VLOOKUP(J$5,NFI,5,0),1,0)*Table_NFI[[#This Row],[Sanitary Kit]],Table_NFI[Sanitary Kit])</f>
        <v>0</v>
      </c>
      <c r="AB760" s="352">
        <f>IF(NFI_Expiration=1,IF($A760&lt;VLOOKUP(K$5,NFI,5,0),1,0)*Table_NFI[[#This Row],[Mosquito net]],Table_NFI[Mosquito net])</f>
        <v>0</v>
      </c>
      <c r="AC760" s="352">
        <f>IF(NFI_Expiration=1,IF($A760&lt;VLOOKUP(L$5,NFI,5,0),1,0)*Table_NFI[[#This Row],[Tarpaulin]],Table_NFI[[#This Row],[Tarpaulin]])</f>
        <v>0</v>
      </c>
      <c r="AD760" s="352">
        <f>IF(NFI_Expiration=1,IF($A760&lt;VLOOKUP(M$5,NFI,5,0),1,0)*Table_NFI[[#This Row],[Blanket]],Table_NFI[[#This Row],[Blanket]])</f>
        <v>0</v>
      </c>
      <c r="AE760" s="352">
        <f>IF(NFI_Expiration=1,IF($A760&lt;VLOOKUP(N$5,NFI,5,0),1,0)*Table_NFI[[#This Row],[Kitchen Set]],Table_NFI[Kitchen Set])</f>
        <v>0</v>
      </c>
      <c r="AF760" s="352">
        <f>IF(NFI_Expiration=1,IF($A760&lt;VLOOKUP(O$5,NFI,5,0),1,0)*Table_NFI[[#This Row],[Clothes Kit]],Table_NFI[Clothes Kit])</f>
        <v>0</v>
      </c>
      <c r="AG760" s="352">
        <f>IF(NFI_Expiration=1,IF($A760&lt;VLOOKUP(P$5,NFI,5,0),1,0)*Table_NFI[[#This Row],[Plastic Bucket]],Table_NFI[Plastic Bucket])</f>
        <v>0</v>
      </c>
      <c r="AH760" s="352">
        <f>IF(NFI_Expiration=1,IF($A760&lt;VLOOKUP(Q$5,NFI,5,0),1,0)*Table_NFI[[#This Row],[Plastic Mat]],Table_NFI[Plastic Mat])*IF(Table_NFI[[#This Row],[Distribution Date]]&gt;"2014-04-01",1,2.5)</f>
        <v>0</v>
      </c>
      <c r="AI760" s="352">
        <f>IF(NFI_Expiration=1,IF($A760&lt;VLOOKUP(R$5,NFI,5,0),1,0)*Table_NFI[[#This Row],[Winter Clothes Adult]],Table_NFI[Winter Clothes Adult])</f>
        <v>0</v>
      </c>
      <c r="AJ760" s="352">
        <f>IF(NFI_Expiration=1,IF($A760&lt;VLOOKUP(S$5,NFI,5,0),1,0)*Table_NFI[[#This Row],[Winter Clothes Children]],Table_NFI[Winter Clothes Children])</f>
        <v>0</v>
      </c>
      <c r="AK760" s="352">
        <f>IF(NFI_Expiration=1,IF($A760&lt;VLOOKUP(T$5,NFI,5,0),1,0)*Table_NFI[[#This Row],[Winter Items Other]],Table_NFI[Winter Items Other])</f>
        <v>0</v>
      </c>
      <c r="AL760" s="352">
        <f>IF(NFI_Expiration=1,IF($A760&lt;VLOOKUP(M$5,NFI,5,0),1,0)*Table_NFI[[#This Row],[Winter Blanket]],Table_NFI[[#This Row],[Winter Blanket]])</f>
        <v>0</v>
      </c>
      <c r="AM760" s="352">
        <f>IF(Table_NFI[[#This Row],[Winter Clothes Adult]]+Table_NFI[[#This Row],[Winter Clothes Children]]+Table_NFI[[#This Row],[Winter Items Other]]+Table_NFI[[#This Row],[Winter Blanket]]&gt;0,1,0)</f>
        <v>1</v>
      </c>
      <c r="AN760" s="392">
        <f>IF(NFI_Expiration=1,IF($A760&lt;VLOOKUP(V$5,NFI,5,0),1,0)*Table_NFI[[#This Row],[Jerry Can]],Table_NFI[Jerry Can])</f>
        <v>0</v>
      </c>
      <c r="AO760" s="540" t="str">
        <f>IFERROR(VLOOKUP(Table_NFI[[#This Row],[Camp Name]],CL,2,0),"")</f>
        <v>MMR001CMP210</v>
      </c>
      <c r="AP760" s="535">
        <f ca="1">IF(Table_NFI[[#This Row],[Pcode]]="","",IF(OFFSET(CampList[Opening Date],MATCH(Table_NFI[[#This Row],[Pcode]],CampList[CP_Pcode],0)-1,0,1,1)&gt;=NFI_Monitor_Date,1,0))</f>
        <v>0</v>
      </c>
      <c r="AQ760" s="540" t="str">
        <f>IFERROR(VLOOKUP(Table_NFI[[#This Row],[Camp Name]],CL,3,0),"")</f>
        <v>Open</v>
      </c>
      <c r="AR760" s="352" t="str">
        <f ca="1">IF(Table_NFI[[#This Row],[Pcode]]="","",OFFSET(CampList[Priority],MATCH(Table_NFI[[#This Row],[Pcode]],CampList[CP_Pcode],0)-1,0,1,1))</f>
        <v>P1</v>
      </c>
      <c r="AS760" s="351">
        <f>IFERROR(Table_NFI[[#This Row],[Kitchen Set]]/VLOOKUP(Table_NFI[[#This Row],[Camp Name]],CL,4,0),"")</f>
        <v>0</v>
      </c>
      <c r="AT760" s="533"/>
      <c r="AU760" s="536"/>
    </row>
    <row r="761" spans="1:47" ht="14.45" hidden="1" customHeight="1" x14ac:dyDescent="0.25">
      <c r="A761" s="355">
        <f t="shared" si="11"/>
        <v>31.033333333333335</v>
      </c>
      <c r="B761" s="532">
        <v>41640</v>
      </c>
      <c r="C761" s="533" t="s">
        <v>1039</v>
      </c>
      <c r="D761" s="533" t="s">
        <v>902</v>
      </c>
      <c r="E761" s="533" t="s">
        <v>380</v>
      </c>
      <c r="F761" s="533" t="s">
        <v>27</v>
      </c>
      <c r="G761" s="533" t="s">
        <v>865</v>
      </c>
      <c r="H761" s="349"/>
      <c r="I761" s="349"/>
      <c r="J761" s="349"/>
      <c r="K761" s="349"/>
      <c r="L761" s="350"/>
      <c r="M761" s="350"/>
      <c r="N761" s="350">
        <v>92</v>
      </c>
      <c r="O761" s="350"/>
      <c r="P761" s="352"/>
      <c r="Q761" s="352"/>
      <c r="R761" s="352"/>
      <c r="S761" s="352"/>
      <c r="T761" s="352"/>
      <c r="U761" s="352"/>
      <c r="V761" s="497"/>
      <c r="W761" s="352"/>
      <c r="X761" s="352"/>
      <c r="Y761" s="352">
        <f>IF(NFI_Expiration=1,IF($A761&lt;VLOOKUP(H$5,NFI,5,0),1,0)*Table_NFI[[#This Row],[Hygiene Kit]],Table_NFI[Hygiene Kit])</f>
        <v>0</v>
      </c>
      <c r="Z761" s="352">
        <f>IF(NFI_Expiration=1,IF($A761&lt;VLOOKUP(I$5,NFI,5,0),1,0)*Table_NFI[[#This Row],[NFI Core Kit]],Table_NFI[NFI Core Kit])</f>
        <v>0</v>
      </c>
      <c r="AA761" s="352">
        <f>IF(NFI_Expiration=1,IF($A761&lt;VLOOKUP(J$5,NFI,5,0),1,0)*Table_NFI[[#This Row],[Sanitary Kit]],Table_NFI[Sanitary Kit])</f>
        <v>0</v>
      </c>
      <c r="AB761" s="352">
        <f>IF(NFI_Expiration=1,IF($A761&lt;VLOOKUP(K$5,NFI,5,0),1,0)*Table_NFI[[#This Row],[Mosquito net]],Table_NFI[Mosquito net])</f>
        <v>0</v>
      </c>
      <c r="AC761" s="352">
        <f>IF(NFI_Expiration=1,IF($A761&lt;VLOOKUP(L$5,NFI,5,0),1,0)*Table_NFI[[#This Row],[Tarpaulin]],Table_NFI[[#This Row],[Tarpaulin]])</f>
        <v>0</v>
      </c>
      <c r="AD761" s="352">
        <f>IF(NFI_Expiration=1,IF($A761&lt;VLOOKUP(M$5,NFI,5,0),1,0)*Table_NFI[[#This Row],[Blanket]],Table_NFI[[#This Row],[Blanket]])</f>
        <v>0</v>
      </c>
      <c r="AE761" s="352">
        <f>IF(NFI_Expiration=1,IF($A761&lt;VLOOKUP(N$5,NFI,5,0),1,0)*Table_NFI[[#This Row],[Kitchen Set]],Table_NFI[Kitchen Set])</f>
        <v>0</v>
      </c>
      <c r="AF761" s="352">
        <f>IF(NFI_Expiration=1,IF($A761&lt;VLOOKUP(O$5,NFI,5,0),1,0)*Table_NFI[[#This Row],[Clothes Kit]],Table_NFI[Clothes Kit])</f>
        <v>0</v>
      </c>
      <c r="AG761" s="352">
        <f>IF(NFI_Expiration=1,IF($A761&lt;VLOOKUP(P$5,NFI,5,0),1,0)*Table_NFI[[#This Row],[Plastic Bucket]],Table_NFI[Plastic Bucket])</f>
        <v>0</v>
      </c>
      <c r="AH761" s="352">
        <f>IF(NFI_Expiration=1,IF($A761&lt;VLOOKUP(Q$5,NFI,5,0),1,0)*Table_NFI[[#This Row],[Plastic Mat]],Table_NFI[Plastic Mat])*IF(Table_NFI[[#This Row],[Distribution Date]]&gt;"2014-04-01",1,2.5)</f>
        <v>0</v>
      </c>
      <c r="AI761" s="352">
        <f>IF(NFI_Expiration=1,IF($A761&lt;VLOOKUP(R$5,NFI,5,0),1,0)*Table_NFI[[#This Row],[Winter Clothes Adult]],Table_NFI[Winter Clothes Adult])</f>
        <v>0</v>
      </c>
      <c r="AJ761" s="352">
        <f>IF(NFI_Expiration=1,IF($A761&lt;VLOOKUP(S$5,NFI,5,0),1,0)*Table_NFI[[#This Row],[Winter Clothes Children]],Table_NFI[Winter Clothes Children])</f>
        <v>0</v>
      </c>
      <c r="AK761" s="352">
        <f>IF(NFI_Expiration=1,IF($A761&lt;VLOOKUP(T$5,NFI,5,0),1,0)*Table_NFI[[#This Row],[Winter Items Other]],Table_NFI[Winter Items Other])</f>
        <v>0</v>
      </c>
      <c r="AL761" s="352">
        <f>IF(NFI_Expiration=1,IF($A761&lt;VLOOKUP(M$5,NFI,5,0),1,0)*Table_NFI[[#This Row],[Winter Blanket]],Table_NFI[[#This Row],[Winter Blanket]])</f>
        <v>0</v>
      </c>
      <c r="AM761" s="352">
        <f>IF(Table_NFI[[#This Row],[Winter Clothes Adult]]+Table_NFI[[#This Row],[Winter Clothes Children]]+Table_NFI[[#This Row],[Winter Items Other]]+Table_NFI[[#This Row],[Winter Blanket]]&gt;0,1,0)</f>
        <v>0</v>
      </c>
      <c r="AN761" s="392">
        <f>IF(NFI_Expiration=1,IF($A761&lt;VLOOKUP(V$5,NFI,5,0),1,0)*Table_NFI[[#This Row],[Jerry Can]],Table_NFI[Jerry Can])</f>
        <v>0</v>
      </c>
      <c r="AO761" s="540" t="str">
        <f>IFERROR(VLOOKUP(Table_NFI[[#This Row],[Camp Name]],CL,2,0),"")</f>
        <v>MMR001CMP210</v>
      </c>
      <c r="AP761" s="535">
        <f ca="1">IF(Table_NFI[[#This Row],[Pcode]]="","",IF(OFFSET(CampList[Opening Date],MATCH(Table_NFI[[#This Row],[Pcode]],CampList[CP_Pcode],0)-1,0,1,1)&gt;=NFI_Monitor_Date,1,0))</f>
        <v>0</v>
      </c>
      <c r="AQ761" s="540" t="str">
        <f>IFERROR(VLOOKUP(Table_NFI[[#This Row],[Camp Name]],CL,3,0),"")</f>
        <v>Open</v>
      </c>
      <c r="AR761" s="352" t="str">
        <f ca="1">IF(Table_NFI[[#This Row],[Pcode]]="","",OFFSET(CampList[Priority],MATCH(Table_NFI[[#This Row],[Pcode]],CampList[CP_Pcode],0)-1,0,1,1))</f>
        <v>P1</v>
      </c>
      <c r="AS761" s="351">
        <f>IFERROR(Table_NFI[[#This Row],[Kitchen Set]]/VLOOKUP(Table_NFI[[#This Row],[Camp Name]],CL,4,0),"")</f>
        <v>1.5333333333333334</v>
      </c>
      <c r="AT761" s="533" t="s">
        <v>1094</v>
      </c>
      <c r="AU761" s="536"/>
    </row>
    <row r="762" spans="1:47" s="537" customFormat="1" ht="14.45" hidden="1" customHeight="1" x14ac:dyDescent="0.25">
      <c r="A762" s="355">
        <f t="shared" si="11"/>
        <v>27.8</v>
      </c>
      <c r="B762" s="532">
        <v>41737</v>
      </c>
      <c r="C762" s="533" t="s">
        <v>1106</v>
      </c>
      <c r="D762" s="533" t="s">
        <v>902</v>
      </c>
      <c r="E762" s="533" t="s">
        <v>380</v>
      </c>
      <c r="F762" s="533" t="s">
        <v>5</v>
      </c>
      <c r="G762" s="533" t="s">
        <v>366</v>
      </c>
      <c r="H762" s="349"/>
      <c r="I762" s="349"/>
      <c r="J762" s="349"/>
      <c r="K762" s="349"/>
      <c r="L762" s="350"/>
      <c r="M762" s="350"/>
      <c r="N762" s="350"/>
      <c r="O762" s="350"/>
      <c r="P762" s="352"/>
      <c r="Q762" s="352"/>
      <c r="R762" s="352"/>
      <c r="S762" s="352"/>
      <c r="T762" s="352"/>
      <c r="U762" s="352">
        <v>372</v>
      </c>
      <c r="V762" s="497"/>
      <c r="W762" s="352"/>
      <c r="X762" s="352"/>
      <c r="Y762" s="352">
        <f>IF(NFI_Expiration=1,IF($A762&lt;VLOOKUP(H$5,NFI,5,0),1,0)*Table_NFI[[#This Row],[Hygiene Kit]],Table_NFI[Hygiene Kit])</f>
        <v>0</v>
      </c>
      <c r="Z762" s="352">
        <f>IF(NFI_Expiration=1,IF($A762&lt;VLOOKUP(I$5,NFI,5,0),1,0)*Table_NFI[[#This Row],[NFI Core Kit]],Table_NFI[NFI Core Kit])</f>
        <v>0</v>
      </c>
      <c r="AA762" s="352">
        <f>IF(NFI_Expiration=1,IF($A762&lt;VLOOKUP(J$5,NFI,5,0),1,0)*Table_NFI[[#This Row],[Sanitary Kit]],Table_NFI[Sanitary Kit])</f>
        <v>0</v>
      </c>
      <c r="AB762" s="352">
        <f>IF(NFI_Expiration=1,IF($A762&lt;VLOOKUP(K$5,NFI,5,0),1,0)*Table_NFI[[#This Row],[Mosquito net]],Table_NFI[Mosquito net])</f>
        <v>0</v>
      </c>
      <c r="AC762" s="352">
        <f>IF(NFI_Expiration=1,IF($A762&lt;VLOOKUP(L$5,NFI,5,0),1,0)*Table_NFI[[#This Row],[Tarpaulin]],Table_NFI[[#This Row],[Tarpaulin]])</f>
        <v>0</v>
      </c>
      <c r="AD762" s="352">
        <f>IF(NFI_Expiration=1,IF($A762&lt;VLOOKUP(M$5,NFI,5,0),1,0)*Table_NFI[[#This Row],[Blanket]],Table_NFI[[#This Row],[Blanket]])</f>
        <v>0</v>
      </c>
      <c r="AE762" s="352">
        <f>IF(NFI_Expiration=1,IF($A762&lt;VLOOKUP(N$5,NFI,5,0),1,0)*Table_NFI[[#This Row],[Kitchen Set]],Table_NFI[Kitchen Set])</f>
        <v>0</v>
      </c>
      <c r="AF762" s="352">
        <f>IF(NFI_Expiration=1,IF($A762&lt;VLOOKUP(O$5,NFI,5,0),1,0)*Table_NFI[[#This Row],[Clothes Kit]],Table_NFI[Clothes Kit])</f>
        <v>0</v>
      </c>
      <c r="AG762" s="352">
        <f>IF(NFI_Expiration=1,IF($A762&lt;VLOOKUP(P$5,NFI,5,0),1,0)*Table_NFI[[#This Row],[Plastic Bucket]],Table_NFI[Plastic Bucket])</f>
        <v>0</v>
      </c>
      <c r="AH762" s="352">
        <f>IF(NFI_Expiration=1,IF($A762&lt;VLOOKUP(Q$5,NFI,5,0),1,0)*Table_NFI[[#This Row],[Plastic Mat]],Table_NFI[Plastic Mat])*IF(Table_NFI[[#This Row],[Distribution Date]]&gt;"2014-04-01",1,2.5)</f>
        <v>0</v>
      </c>
      <c r="AI762" s="352">
        <f>IF(NFI_Expiration=1,IF($A762&lt;VLOOKUP(R$5,NFI,5,0),1,0)*Table_NFI[[#This Row],[Winter Clothes Adult]],Table_NFI[Winter Clothes Adult])</f>
        <v>0</v>
      </c>
      <c r="AJ762" s="352">
        <f>IF(NFI_Expiration=1,IF($A762&lt;VLOOKUP(S$5,NFI,5,0),1,0)*Table_NFI[[#This Row],[Winter Clothes Children]],Table_NFI[Winter Clothes Children])</f>
        <v>0</v>
      </c>
      <c r="AK762" s="352">
        <f>IF(NFI_Expiration=1,IF($A762&lt;VLOOKUP(T$5,NFI,5,0),1,0)*Table_NFI[[#This Row],[Winter Items Other]],Table_NFI[Winter Items Other])</f>
        <v>0</v>
      </c>
      <c r="AL762" s="352">
        <f>IF(NFI_Expiration=1,IF($A762&lt;VLOOKUP(M$5,NFI,5,0),1,0)*Table_NFI[[#This Row],[Winter Blanket]],Table_NFI[[#This Row],[Winter Blanket]])</f>
        <v>0</v>
      </c>
      <c r="AM762" s="352">
        <f>IF(Table_NFI[[#This Row],[Winter Clothes Adult]]+Table_NFI[[#This Row],[Winter Clothes Children]]+Table_NFI[[#This Row],[Winter Items Other]]+Table_NFI[[#This Row],[Winter Blanket]]&gt;0,1,0)</f>
        <v>1</v>
      </c>
      <c r="AN762" s="392">
        <f>IF(NFI_Expiration=1,IF($A762&lt;VLOOKUP(V$5,NFI,5,0),1,0)*Table_NFI[[#This Row],[Jerry Can]],Table_NFI[Jerry Can])</f>
        <v>0</v>
      </c>
      <c r="AO762" s="540" t="str">
        <f>IFERROR(VLOOKUP(Table_NFI[[#This Row],[Camp Name]],CL,2,0),"")</f>
        <v>MMR001CMP193</v>
      </c>
      <c r="AP762" s="535">
        <f ca="1">IF(Table_NFI[[#This Row],[Pcode]]="","",IF(OFFSET(CampList[Opening Date],MATCH(Table_NFI[[#This Row],[Pcode]],CampList[CP_Pcode],0)-1,0,1,1)&gt;=NFI_Monitor_Date,1,0))</f>
        <v>0</v>
      </c>
      <c r="AQ762" s="540" t="str">
        <f>IFERROR(VLOOKUP(Table_NFI[[#This Row],[Camp Name]],CL,3,0),"")</f>
        <v>Open</v>
      </c>
      <c r="AR762" s="352" t="str">
        <f ca="1">IF(Table_NFI[[#This Row],[Pcode]]="","",OFFSET(CampList[Priority],MATCH(Table_NFI[[#This Row],[Pcode]],CampList[CP_Pcode],0)-1,0,1,1))</f>
        <v>P4</v>
      </c>
      <c r="AS762" s="351">
        <f>IFERROR(Table_NFI[[#This Row],[Kitchen Set]]/VLOOKUP(Table_NFI[[#This Row],[Camp Name]],CL,4,0),"")</f>
        <v>0</v>
      </c>
      <c r="AT762" s="533"/>
      <c r="AU762" s="536"/>
    </row>
    <row r="763" spans="1:47" s="537" customFormat="1" ht="14.45" customHeight="1" x14ac:dyDescent="0.25">
      <c r="A763" s="355">
        <f t="shared" si="11"/>
        <v>48.8</v>
      </c>
      <c r="B763" s="532">
        <v>41107</v>
      </c>
      <c r="C763" s="533" t="s">
        <v>453</v>
      </c>
      <c r="D763" s="534" t="s">
        <v>453</v>
      </c>
      <c r="E763" s="533" t="s">
        <v>380</v>
      </c>
      <c r="F763" s="348" t="s">
        <v>185</v>
      </c>
      <c r="G763" s="348" t="s">
        <v>194</v>
      </c>
      <c r="H763" s="349"/>
      <c r="I763" s="354"/>
      <c r="J763" s="347"/>
      <c r="K763" s="347">
        <v>0</v>
      </c>
      <c r="L763" s="347">
        <v>0</v>
      </c>
      <c r="M763" s="347">
        <v>0</v>
      </c>
      <c r="N763" s="347">
        <v>0</v>
      </c>
      <c r="O763" s="347">
        <v>0</v>
      </c>
      <c r="P763" s="352"/>
      <c r="Q763" s="352"/>
      <c r="R763" s="352"/>
      <c r="S763" s="352"/>
      <c r="T763" s="352"/>
      <c r="U763" s="352"/>
      <c r="V763" s="497"/>
      <c r="W763" s="352"/>
      <c r="X763" s="352"/>
      <c r="Y763" s="352">
        <f>IF(NFI_Expiration=1,IF($A763&lt;VLOOKUP(H$5,NFI,5,0),1,0)*Table_NFI[[#This Row],[Hygiene Kit]],Table_NFI[Hygiene Kit])</f>
        <v>0</v>
      </c>
      <c r="Z763" s="352">
        <f>IF(NFI_Expiration=1,IF($A763&lt;VLOOKUP(I$5,NFI,5,0),1,0)*Table_NFI[[#This Row],[NFI Core Kit]],Table_NFI[NFI Core Kit])</f>
        <v>0</v>
      </c>
      <c r="AA763" s="352">
        <f>IF(NFI_Expiration=1,IF($A763&lt;VLOOKUP(J$5,NFI,5,0),1,0)*Table_NFI[[#This Row],[Sanitary Kit]],Table_NFI[Sanitary Kit])</f>
        <v>0</v>
      </c>
      <c r="AB763" s="352">
        <f>IF(NFI_Expiration=1,IF($A763&lt;VLOOKUP(K$5,NFI,5,0),1,0)*Table_NFI[[#This Row],[Mosquito net]],Table_NFI[Mosquito net])</f>
        <v>0</v>
      </c>
      <c r="AC763" s="352">
        <f>IF(NFI_Expiration=1,IF($A763&lt;VLOOKUP(L$5,NFI,5,0),1,0)*Table_NFI[[#This Row],[Tarpaulin]],Table_NFI[[#This Row],[Tarpaulin]])</f>
        <v>0</v>
      </c>
      <c r="AD763" s="352">
        <f>IF(NFI_Expiration=1,IF($A763&lt;VLOOKUP(M$5,NFI,5,0),1,0)*Table_NFI[[#This Row],[Blanket]],Table_NFI[[#This Row],[Blanket]])</f>
        <v>0</v>
      </c>
      <c r="AE763" s="352">
        <f>IF(NFI_Expiration=1,IF($A763&lt;VLOOKUP(N$5,NFI,5,0),1,0)*Table_NFI[[#This Row],[Kitchen Set]],Table_NFI[Kitchen Set])</f>
        <v>0</v>
      </c>
      <c r="AF763" s="352">
        <f>IF(NFI_Expiration=1,IF($A763&lt;VLOOKUP(O$5,NFI,5,0),1,0)*Table_NFI[[#This Row],[Clothes Kit]],Table_NFI[Clothes Kit])</f>
        <v>0</v>
      </c>
      <c r="AG763" s="352">
        <f>IF(NFI_Expiration=1,IF($A763&lt;VLOOKUP(P$5,NFI,5,0),1,0)*Table_NFI[[#This Row],[Plastic Bucket]],Table_NFI[Plastic Bucket])</f>
        <v>0</v>
      </c>
      <c r="AH763" s="352">
        <f>IF(NFI_Expiration=1,IF($A763&lt;VLOOKUP(Q$5,NFI,5,0),1,0)*Table_NFI[[#This Row],[Plastic Mat]],Table_NFI[Plastic Mat])*IF(Table_NFI[[#This Row],[Distribution Date]]&gt;"2014-04-01",1,2.5)</f>
        <v>0</v>
      </c>
      <c r="AI763" s="352">
        <f>IF(NFI_Expiration=1,IF($A763&lt;VLOOKUP(R$5,NFI,5,0),1,0)*Table_NFI[[#This Row],[Winter Clothes Adult]],Table_NFI[Winter Clothes Adult])</f>
        <v>0</v>
      </c>
      <c r="AJ763" s="352">
        <f>IF(NFI_Expiration=1,IF($A763&lt;VLOOKUP(S$5,NFI,5,0),1,0)*Table_NFI[[#This Row],[Winter Clothes Children]],Table_NFI[Winter Clothes Children])</f>
        <v>0</v>
      </c>
      <c r="AK763" s="352">
        <f>IF(NFI_Expiration=1,IF($A763&lt;VLOOKUP(T$5,NFI,5,0),1,0)*Table_NFI[[#This Row],[Winter Items Other]],Table_NFI[Winter Items Other])</f>
        <v>0</v>
      </c>
      <c r="AL763" s="352">
        <f>IF(NFI_Expiration=1,IF($A763&lt;VLOOKUP(M$5,NFI,5,0),1,0)*Table_NFI[[#This Row],[Winter Blanket]],Table_NFI[[#This Row],[Winter Blanket]])</f>
        <v>0</v>
      </c>
      <c r="AM763" s="352">
        <f>IF(Table_NFI[[#This Row],[Winter Clothes Adult]]+Table_NFI[[#This Row],[Winter Clothes Children]]+Table_NFI[[#This Row],[Winter Items Other]]+Table_NFI[[#This Row],[Winter Blanket]]&gt;0,1,0)</f>
        <v>0</v>
      </c>
      <c r="AN763" s="392">
        <f>IF(NFI_Expiration=1,IF($A763&lt;VLOOKUP(V$5,NFI,5,0),1,0)*Table_NFI[[#This Row],[Jerry Can]],Table_NFI[Jerry Can])</f>
        <v>0</v>
      </c>
      <c r="AO763" s="540" t="str">
        <f>IFERROR(VLOOKUP(Table_NFI[[#This Row],[Camp Name]],CL,2,0),"")</f>
        <v>MMR001CMP122</v>
      </c>
      <c r="AP763" s="535">
        <f ca="1">IF(Table_NFI[[#This Row],[Pcode]]="","",IF(OFFSET(CampList[Opening Date],MATCH(Table_NFI[[#This Row],[Pcode]],CampList[CP_Pcode],0)-1,0,1,1)&gt;=NFI_Monitor_Date,1,0))</f>
        <v>0</v>
      </c>
      <c r="AQ763" s="540" t="str">
        <f>IFERROR(VLOOKUP(Table_NFI[[#This Row],[Camp Name]],CL,3,0),"")</f>
        <v>Open</v>
      </c>
      <c r="AR763" s="352" t="str">
        <f ca="1">IF(Table_NFI[[#This Row],[Pcode]]="","",OFFSET(CampList[Priority],MATCH(Table_NFI[[#This Row],[Pcode]],CampList[CP_Pcode],0)-1,0,1,1))</f>
        <v>P2</v>
      </c>
      <c r="AS763" s="351">
        <f>IFERROR(Table_NFI[[#This Row],[Kitchen Set]]/VLOOKUP(Table_NFI[[#This Row],[Camp Name]],CL,4,0),"")</f>
        <v>0</v>
      </c>
      <c r="AT763" s="533" t="s">
        <v>1094</v>
      </c>
      <c r="AU763" s="536"/>
    </row>
    <row r="764" spans="1:47" s="537" customFormat="1" ht="14.45" hidden="1" customHeight="1" x14ac:dyDescent="0.25">
      <c r="A764" s="355">
        <f t="shared" si="11"/>
        <v>32.1</v>
      </c>
      <c r="B764" s="532">
        <v>41608</v>
      </c>
      <c r="C764" s="533" t="s">
        <v>1099</v>
      </c>
      <c r="D764" s="534" t="s">
        <v>946</v>
      </c>
      <c r="E764" s="533" t="s">
        <v>380</v>
      </c>
      <c r="F764" s="348" t="s">
        <v>5</v>
      </c>
      <c r="G764" s="348" t="s">
        <v>366</v>
      </c>
      <c r="H764" s="349"/>
      <c r="I764" s="349"/>
      <c r="J764" s="349"/>
      <c r="K764" s="349"/>
      <c r="L764" s="350"/>
      <c r="M764" s="350">
        <v>320</v>
      </c>
      <c r="N764" s="350"/>
      <c r="O764" s="350"/>
      <c r="P764" s="352"/>
      <c r="Q764" s="352"/>
      <c r="R764" s="352">
        <v>234</v>
      </c>
      <c r="S764" s="352">
        <v>336</v>
      </c>
      <c r="T764" s="352">
        <v>0</v>
      </c>
      <c r="U764" s="352"/>
      <c r="V764" s="497"/>
      <c r="W764" s="352"/>
      <c r="X764" s="352"/>
      <c r="Y764" s="352">
        <f>IF(NFI_Expiration=1,IF($A764&lt;VLOOKUP(H$5,NFI,5,0),1,0)*Table_NFI[[#This Row],[Hygiene Kit]],Table_NFI[Hygiene Kit])</f>
        <v>0</v>
      </c>
      <c r="Z764" s="352">
        <f>IF(NFI_Expiration=1,IF($A764&lt;VLOOKUP(I$5,NFI,5,0),1,0)*Table_NFI[[#This Row],[NFI Core Kit]],Table_NFI[NFI Core Kit])</f>
        <v>0</v>
      </c>
      <c r="AA764" s="352">
        <f>IF(NFI_Expiration=1,IF($A764&lt;VLOOKUP(J$5,NFI,5,0),1,0)*Table_NFI[[#This Row],[Sanitary Kit]],Table_NFI[Sanitary Kit])</f>
        <v>0</v>
      </c>
      <c r="AB764" s="352">
        <f>IF(NFI_Expiration=1,IF($A764&lt;VLOOKUP(K$5,NFI,5,0),1,0)*Table_NFI[[#This Row],[Mosquito net]],Table_NFI[Mosquito net])</f>
        <v>0</v>
      </c>
      <c r="AC764" s="352">
        <f>IF(NFI_Expiration=1,IF($A764&lt;VLOOKUP(L$5,NFI,5,0),1,0)*Table_NFI[[#This Row],[Tarpaulin]],Table_NFI[[#This Row],[Tarpaulin]])</f>
        <v>0</v>
      </c>
      <c r="AD764" s="352">
        <f>IF(NFI_Expiration=1,IF($A764&lt;VLOOKUP(M$5,NFI,5,0),1,0)*Table_NFI[[#This Row],[Blanket]],Table_NFI[[#This Row],[Blanket]])</f>
        <v>0</v>
      </c>
      <c r="AE764" s="352">
        <f>IF(NFI_Expiration=1,IF($A764&lt;VLOOKUP(N$5,NFI,5,0),1,0)*Table_NFI[[#This Row],[Kitchen Set]],Table_NFI[Kitchen Set])</f>
        <v>0</v>
      </c>
      <c r="AF764" s="352">
        <f>IF(NFI_Expiration=1,IF($A764&lt;VLOOKUP(O$5,NFI,5,0),1,0)*Table_NFI[[#This Row],[Clothes Kit]],Table_NFI[Clothes Kit])</f>
        <v>0</v>
      </c>
      <c r="AG764" s="352">
        <f>IF(NFI_Expiration=1,IF($A764&lt;VLOOKUP(P$5,NFI,5,0),1,0)*Table_NFI[[#This Row],[Plastic Bucket]],Table_NFI[Plastic Bucket])</f>
        <v>0</v>
      </c>
      <c r="AH764" s="352">
        <f>IF(NFI_Expiration=1,IF($A764&lt;VLOOKUP(Q$5,NFI,5,0),1,0)*Table_NFI[[#This Row],[Plastic Mat]],Table_NFI[Plastic Mat])*IF(Table_NFI[[#This Row],[Distribution Date]]&gt;"2014-04-01",1,2.5)</f>
        <v>0</v>
      </c>
      <c r="AI764" s="352">
        <f>IF(NFI_Expiration=1,IF($A764&lt;VLOOKUP(R$5,NFI,5,0),1,0)*Table_NFI[[#This Row],[Winter Clothes Adult]],Table_NFI[Winter Clothes Adult])</f>
        <v>0</v>
      </c>
      <c r="AJ764" s="352">
        <f>IF(NFI_Expiration=1,IF($A764&lt;VLOOKUP(S$5,NFI,5,0),1,0)*Table_NFI[[#This Row],[Winter Clothes Children]],Table_NFI[Winter Clothes Children])</f>
        <v>0</v>
      </c>
      <c r="AK764" s="352">
        <f>IF(NFI_Expiration=1,IF($A764&lt;VLOOKUP(T$5,NFI,5,0),1,0)*Table_NFI[[#This Row],[Winter Items Other]],Table_NFI[Winter Items Other])</f>
        <v>0</v>
      </c>
      <c r="AL764" s="352">
        <f>IF(NFI_Expiration=1,IF($A764&lt;VLOOKUP(M$5,NFI,5,0),1,0)*Table_NFI[[#This Row],[Winter Blanket]],Table_NFI[[#This Row],[Winter Blanket]])</f>
        <v>0</v>
      </c>
      <c r="AM764" s="352">
        <f>IF(Table_NFI[[#This Row],[Winter Clothes Adult]]+Table_NFI[[#This Row],[Winter Clothes Children]]+Table_NFI[[#This Row],[Winter Items Other]]+Table_NFI[[#This Row],[Winter Blanket]]&gt;0,1,0)</f>
        <v>1</v>
      </c>
      <c r="AN764" s="392">
        <f>IF(NFI_Expiration=1,IF($A764&lt;VLOOKUP(V$5,NFI,5,0),1,0)*Table_NFI[[#This Row],[Jerry Can]],Table_NFI[Jerry Can])</f>
        <v>0</v>
      </c>
      <c r="AO764" s="540" t="str">
        <f>IFERROR(VLOOKUP(Table_NFI[[#This Row],[Camp Name]],CL,2,0),"")</f>
        <v>MMR001CMP193</v>
      </c>
      <c r="AP764" s="535">
        <f ca="1">IF(Table_NFI[[#This Row],[Pcode]]="","",IF(OFFSET(CampList[Opening Date],MATCH(Table_NFI[[#This Row],[Pcode]],CampList[CP_Pcode],0)-1,0,1,1)&gt;=NFI_Monitor_Date,1,0))</f>
        <v>0</v>
      </c>
      <c r="AQ764" s="540" t="str">
        <f>IFERROR(VLOOKUP(Table_NFI[[#This Row],[Camp Name]],CL,3,0),"")</f>
        <v>Open</v>
      </c>
      <c r="AR764" s="352" t="str">
        <f ca="1">IF(Table_NFI[[#This Row],[Pcode]]="","",OFFSET(CampList[Priority],MATCH(Table_NFI[[#This Row],[Pcode]],CampList[CP_Pcode],0)-1,0,1,1))</f>
        <v>P4</v>
      </c>
      <c r="AS764" s="351">
        <f>IFERROR(Table_NFI[[#This Row],[Kitchen Set]]/VLOOKUP(Table_NFI[[#This Row],[Camp Name]],CL,4,0),"")</f>
        <v>0</v>
      </c>
      <c r="AT764" s="533" t="s">
        <v>1094</v>
      </c>
      <c r="AU764" s="536"/>
    </row>
    <row r="765" spans="1:47" s="537" customFormat="1" hidden="1" x14ac:dyDescent="0.2">
      <c r="A765" s="355">
        <f t="shared" si="11"/>
        <v>13.866666666666667</v>
      </c>
      <c r="B765" s="532">
        <v>42155</v>
      </c>
      <c r="C765" s="533" t="s">
        <v>907</v>
      </c>
      <c r="D765" s="533" t="s">
        <v>907</v>
      </c>
      <c r="E765" s="533" t="s">
        <v>380</v>
      </c>
      <c r="F765" s="533" t="s">
        <v>5</v>
      </c>
      <c r="G765" s="533" t="s">
        <v>366</v>
      </c>
      <c r="H765" s="349"/>
      <c r="I765" s="349"/>
      <c r="J765" s="349"/>
      <c r="K765" s="349"/>
      <c r="L765" s="350"/>
      <c r="M765" s="350"/>
      <c r="N765" s="350"/>
      <c r="O765" s="350"/>
      <c r="P765" s="352"/>
      <c r="Q765" s="392"/>
      <c r="R765" s="392"/>
      <c r="S765" s="392"/>
      <c r="T765" s="392"/>
      <c r="U765" s="392"/>
      <c r="V765" s="822">
        <v>6</v>
      </c>
      <c r="W765" s="392"/>
      <c r="X765" s="392"/>
      <c r="Y765" s="352">
        <f>IF(NFI_Expiration=1,IF($A765&lt;VLOOKUP(H$5,NFI,5,0),1,0)*Table_NFI[[#This Row],[Hygiene Kit]],Table_NFI[Hygiene Kit])</f>
        <v>0</v>
      </c>
      <c r="Z765" s="352">
        <f>IF(NFI_Expiration=1,IF($A765&lt;VLOOKUP(I$5,NFI,5,0),1,0)*Table_NFI[[#This Row],[NFI Core Kit]],Table_NFI[NFI Core Kit])</f>
        <v>0</v>
      </c>
      <c r="AA765" s="352">
        <f>IF(NFI_Expiration=1,IF($A765&lt;VLOOKUP(J$5,NFI,5,0),1,0)*Table_NFI[[#This Row],[Sanitary Kit]],Table_NFI[Sanitary Kit])</f>
        <v>0</v>
      </c>
      <c r="AB765" s="352">
        <f>IF(NFI_Expiration=1,IF($A765&lt;VLOOKUP(K$5,NFI,5,0),1,0)*Table_NFI[[#This Row],[Mosquito net]],Table_NFI[Mosquito net])</f>
        <v>0</v>
      </c>
      <c r="AC765" s="352">
        <f>IF(NFI_Expiration=1,IF($A765&lt;VLOOKUP(L$5,NFI,5,0),1,0)*Table_NFI[[#This Row],[Tarpaulin]],Table_NFI[[#This Row],[Tarpaulin]])</f>
        <v>0</v>
      </c>
      <c r="AD765" s="352">
        <f>IF(NFI_Expiration=1,IF($A765&lt;VLOOKUP(M$5,NFI,5,0),1,0)*Table_NFI[[#This Row],[Blanket]],Table_NFI[[#This Row],[Blanket]])</f>
        <v>0</v>
      </c>
      <c r="AE765" s="352">
        <f>IF(NFI_Expiration=1,IF($A765&lt;VLOOKUP(N$5,NFI,5,0),1,0)*Table_NFI[[#This Row],[Kitchen Set]],Table_NFI[Kitchen Set])</f>
        <v>0</v>
      </c>
      <c r="AF765" s="352">
        <f>IF(NFI_Expiration=1,IF($A765&lt;VLOOKUP(O$5,NFI,5,0),1,0)*Table_NFI[[#This Row],[Clothes Kit]],Table_NFI[Clothes Kit])</f>
        <v>0</v>
      </c>
      <c r="AG765" s="352">
        <f>IF(NFI_Expiration=1,IF($A765&lt;VLOOKUP(P$5,NFI,5,0),1,0)*Table_NFI[[#This Row],[Plastic Bucket]],Table_NFI[Plastic Bucket])</f>
        <v>0</v>
      </c>
      <c r="AH765" s="352">
        <f>IF(NFI_Expiration=1,IF($A765&lt;VLOOKUP(Q$5,NFI,5,0),1,0)*Table_NFI[[#This Row],[Plastic Mat]],Table_NFI[Plastic Mat])*IF(Table_NFI[[#This Row],[Distribution Date]]&gt;"2014-04-01",1,2.5)</f>
        <v>0</v>
      </c>
      <c r="AI765" s="352">
        <f>IF(NFI_Expiration=1,IF($A765&lt;VLOOKUP(R$5,NFI,5,0),1,0)*Table_NFI[[#This Row],[Winter Clothes Adult]],Table_NFI[Winter Clothes Adult])</f>
        <v>0</v>
      </c>
      <c r="AJ765" s="352">
        <f>IF(NFI_Expiration=1,IF($A765&lt;VLOOKUP(S$5,NFI,5,0),1,0)*Table_NFI[[#This Row],[Winter Clothes Children]],Table_NFI[Winter Clothes Children])</f>
        <v>0</v>
      </c>
      <c r="AK765" s="352">
        <f>IF(NFI_Expiration=1,IF($A765&lt;VLOOKUP(T$5,NFI,5,0),1,0)*Table_NFI[[#This Row],[Winter Items Other]],Table_NFI[Winter Items Other])</f>
        <v>0</v>
      </c>
      <c r="AL765" s="352">
        <f>IF(NFI_Expiration=1,IF($A765&lt;VLOOKUP(M$5,NFI,5,0),1,0)*Table_NFI[[#This Row],[Winter Blanket]],Table_NFI[[#This Row],[Winter Blanket]])</f>
        <v>0</v>
      </c>
      <c r="AM765" s="352">
        <f>IF(Table_NFI[[#This Row],[Winter Clothes Adult]]+Table_NFI[[#This Row],[Winter Clothes Children]]+Table_NFI[[#This Row],[Winter Items Other]]+Table_NFI[[#This Row],[Winter Blanket]]&gt;0,1,0)</f>
        <v>0</v>
      </c>
      <c r="AN765" s="392">
        <f>IF(NFI_Expiration=1,IF($A765&lt;VLOOKUP(V$5,NFI,5,0),1,0)*Table_NFI[[#This Row],[Jerry Can]],Table_NFI[Jerry Can])</f>
        <v>0</v>
      </c>
      <c r="AO765" s="540" t="str">
        <f>IFERROR(VLOOKUP(Table_NFI[[#This Row],[Camp Name]],CL,2,0),"")</f>
        <v>MMR001CMP193</v>
      </c>
      <c r="AP765" s="535">
        <f ca="1">IF(Table_NFI[[#This Row],[Pcode]]="","",IF(OFFSET(CampList[Opening Date],MATCH(Table_NFI[[#This Row],[Pcode]],CampList[CP_Pcode],0)-1,0,1,1)&gt;=NFI_Monitor_Date,1,0))</f>
        <v>0</v>
      </c>
      <c r="AQ765" s="540" t="str">
        <f>IFERROR(VLOOKUP(Table_NFI[[#This Row],[Camp Name]],CL,3,0),"")</f>
        <v>Open</v>
      </c>
      <c r="AR765" s="352" t="str">
        <f ca="1">IF(Table_NFI[[#This Row],[Pcode]]="","",OFFSET(CampList[Priority],MATCH(Table_NFI[[#This Row],[Pcode]],CampList[CP_Pcode],0)-1,0,1,1))</f>
        <v>P4</v>
      </c>
      <c r="AS765" s="351">
        <f>IFERROR(Table_NFI[[#This Row],[Kitchen Set]]/VLOOKUP(Table_NFI[[#This Row],[Camp Name]],CL,4,0),"")</f>
        <v>0</v>
      </c>
      <c r="AT765" s="533"/>
      <c r="AU765" s="536"/>
    </row>
    <row r="766" spans="1:47" s="537" customFormat="1" hidden="1" x14ac:dyDescent="0.2">
      <c r="A766" s="355">
        <f t="shared" si="11"/>
        <v>12.866666666666667</v>
      </c>
      <c r="B766" s="532">
        <v>42185</v>
      </c>
      <c r="C766" s="533" t="s">
        <v>907</v>
      </c>
      <c r="D766" s="533" t="s">
        <v>907</v>
      </c>
      <c r="E766" s="533" t="s">
        <v>380</v>
      </c>
      <c r="F766" s="533" t="s">
        <v>5</v>
      </c>
      <c r="G766" s="533" t="s">
        <v>366</v>
      </c>
      <c r="H766" s="349"/>
      <c r="I766" s="349"/>
      <c r="J766" s="349"/>
      <c r="K766" s="349"/>
      <c r="L766" s="350"/>
      <c r="M766" s="350"/>
      <c r="N766" s="350"/>
      <c r="O766" s="350"/>
      <c r="P766" s="352"/>
      <c r="Q766" s="392"/>
      <c r="R766" s="392"/>
      <c r="S766" s="392"/>
      <c r="T766" s="392"/>
      <c r="U766" s="392"/>
      <c r="V766" s="822">
        <v>5</v>
      </c>
      <c r="W766" s="392"/>
      <c r="X766" s="392"/>
      <c r="Y766" s="352">
        <f>IF(NFI_Expiration=1,IF($A766&lt;VLOOKUP(H$5,NFI,5,0),1,0)*Table_NFI[[#This Row],[Hygiene Kit]],Table_NFI[Hygiene Kit])</f>
        <v>0</v>
      </c>
      <c r="Z766" s="352">
        <f>IF(NFI_Expiration=1,IF($A766&lt;VLOOKUP(I$5,NFI,5,0),1,0)*Table_NFI[[#This Row],[NFI Core Kit]],Table_NFI[NFI Core Kit])</f>
        <v>0</v>
      </c>
      <c r="AA766" s="352">
        <f>IF(NFI_Expiration=1,IF($A766&lt;VLOOKUP(J$5,NFI,5,0),1,0)*Table_NFI[[#This Row],[Sanitary Kit]],Table_NFI[Sanitary Kit])</f>
        <v>0</v>
      </c>
      <c r="AB766" s="352">
        <f>IF(NFI_Expiration=1,IF($A766&lt;VLOOKUP(K$5,NFI,5,0),1,0)*Table_NFI[[#This Row],[Mosquito net]],Table_NFI[Mosquito net])</f>
        <v>0</v>
      </c>
      <c r="AC766" s="352">
        <f>IF(NFI_Expiration=1,IF($A766&lt;VLOOKUP(L$5,NFI,5,0),1,0)*Table_NFI[[#This Row],[Tarpaulin]],Table_NFI[[#This Row],[Tarpaulin]])</f>
        <v>0</v>
      </c>
      <c r="AD766" s="352">
        <f>IF(NFI_Expiration=1,IF($A766&lt;VLOOKUP(M$5,NFI,5,0),1,0)*Table_NFI[[#This Row],[Blanket]],Table_NFI[[#This Row],[Blanket]])</f>
        <v>0</v>
      </c>
      <c r="AE766" s="352">
        <f>IF(NFI_Expiration=1,IF($A766&lt;VLOOKUP(N$5,NFI,5,0),1,0)*Table_NFI[[#This Row],[Kitchen Set]],Table_NFI[Kitchen Set])</f>
        <v>0</v>
      </c>
      <c r="AF766" s="352">
        <f>IF(NFI_Expiration=1,IF($A766&lt;VLOOKUP(O$5,NFI,5,0),1,0)*Table_NFI[[#This Row],[Clothes Kit]],Table_NFI[Clothes Kit])</f>
        <v>0</v>
      </c>
      <c r="AG766" s="352">
        <f>IF(NFI_Expiration=1,IF($A766&lt;VLOOKUP(P$5,NFI,5,0),1,0)*Table_NFI[[#This Row],[Plastic Bucket]],Table_NFI[Plastic Bucket])</f>
        <v>0</v>
      </c>
      <c r="AH766" s="352">
        <f>IF(NFI_Expiration=1,IF($A766&lt;VLOOKUP(Q$5,NFI,5,0),1,0)*Table_NFI[[#This Row],[Plastic Mat]],Table_NFI[Plastic Mat])*IF(Table_NFI[[#This Row],[Distribution Date]]&gt;"2014-04-01",1,2.5)</f>
        <v>0</v>
      </c>
      <c r="AI766" s="352">
        <f>IF(NFI_Expiration=1,IF($A766&lt;VLOOKUP(R$5,NFI,5,0),1,0)*Table_NFI[[#This Row],[Winter Clothes Adult]],Table_NFI[Winter Clothes Adult])</f>
        <v>0</v>
      </c>
      <c r="AJ766" s="352">
        <f>IF(NFI_Expiration=1,IF($A766&lt;VLOOKUP(S$5,NFI,5,0),1,0)*Table_NFI[[#This Row],[Winter Clothes Children]],Table_NFI[Winter Clothes Children])</f>
        <v>0</v>
      </c>
      <c r="AK766" s="352">
        <f>IF(NFI_Expiration=1,IF($A766&lt;VLOOKUP(T$5,NFI,5,0),1,0)*Table_NFI[[#This Row],[Winter Items Other]],Table_NFI[Winter Items Other])</f>
        <v>0</v>
      </c>
      <c r="AL766" s="352">
        <f>IF(NFI_Expiration=1,IF($A766&lt;VLOOKUP(M$5,NFI,5,0),1,0)*Table_NFI[[#This Row],[Winter Blanket]],Table_NFI[[#This Row],[Winter Blanket]])</f>
        <v>0</v>
      </c>
      <c r="AM766" s="352">
        <f>IF(Table_NFI[[#This Row],[Winter Clothes Adult]]+Table_NFI[[#This Row],[Winter Clothes Children]]+Table_NFI[[#This Row],[Winter Items Other]]+Table_NFI[[#This Row],[Winter Blanket]]&gt;0,1,0)</f>
        <v>0</v>
      </c>
      <c r="AN766" s="392">
        <f>IF(NFI_Expiration=1,IF($A766&lt;VLOOKUP(V$5,NFI,5,0),1,0)*Table_NFI[[#This Row],[Jerry Can]],Table_NFI[Jerry Can])</f>
        <v>0</v>
      </c>
      <c r="AO766" s="540" t="str">
        <f>IFERROR(VLOOKUP(Table_NFI[[#This Row],[Camp Name]],CL,2,0),"")</f>
        <v>MMR001CMP193</v>
      </c>
      <c r="AP766" s="535">
        <f ca="1">IF(Table_NFI[[#This Row],[Pcode]]="","",IF(OFFSET(CampList[Opening Date],MATCH(Table_NFI[[#This Row],[Pcode]],CampList[CP_Pcode],0)-1,0,1,1)&gt;=NFI_Monitor_Date,1,0))</f>
        <v>0</v>
      </c>
      <c r="AQ766" s="540" t="str">
        <f>IFERROR(VLOOKUP(Table_NFI[[#This Row],[Camp Name]],CL,3,0),"")</f>
        <v>Open</v>
      </c>
      <c r="AR766" s="352" t="str">
        <f ca="1">IF(Table_NFI[[#This Row],[Pcode]]="","",OFFSET(CampList[Priority],MATCH(Table_NFI[[#This Row],[Pcode]],CampList[CP_Pcode],0)-1,0,1,1))</f>
        <v>P4</v>
      </c>
      <c r="AS766" s="351">
        <f>IFERROR(Table_NFI[[#This Row],[Kitchen Set]]/VLOOKUP(Table_NFI[[#This Row],[Camp Name]],CL,4,0),"")</f>
        <v>0</v>
      </c>
      <c r="AT766" s="533"/>
      <c r="AU766" s="536"/>
    </row>
    <row r="767" spans="1:47" s="537" customFormat="1" hidden="1" x14ac:dyDescent="0.2">
      <c r="A767" s="355">
        <f t="shared" si="11"/>
        <v>7.6333333333333337</v>
      </c>
      <c r="B767" s="532">
        <v>42342</v>
      </c>
      <c r="C767" s="533" t="s">
        <v>907</v>
      </c>
      <c r="D767" s="533" t="s">
        <v>907</v>
      </c>
      <c r="E767" s="533" t="s">
        <v>380</v>
      </c>
      <c r="F767" s="533" t="s">
        <v>5</v>
      </c>
      <c r="G767" s="533" t="s">
        <v>366</v>
      </c>
      <c r="H767" s="349"/>
      <c r="I767" s="349"/>
      <c r="J767" s="349"/>
      <c r="K767" s="349"/>
      <c r="L767" s="350"/>
      <c r="M767" s="350"/>
      <c r="N767" s="350"/>
      <c r="O767" s="350"/>
      <c r="P767" s="352"/>
      <c r="Q767" s="392"/>
      <c r="R767" s="392"/>
      <c r="S767" s="392"/>
      <c r="T767" s="392"/>
      <c r="U767" s="392"/>
      <c r="V767" s="822">
        <v>5</v>
      </c>
      <c r="W767" s="392"/>
      <c r="X767" s="392"/>
      <c r="Y767" s="352">
        <f>IF(NFI_Expiration=1,IF($A767&lt;VLOOKUP(H$5,NFI,5,0),1,0)*Table_NFI[[#This Row],[Hygiene Kit]],Table_NFI[Hygiene Kit])</f>
        <v>0</v>
      </c>
      <c r="Z767" s="352">
        <f>IF(NFI_Expiration=1,IF($A767&lt;VLOOKUP(I$5,NFI,5,0),1,0)*Table_NFI[[#This Row],[NFI Core Kit]],Table_NFI[NFI Core Kit])</f>
        <v>0</v>
      </c>
      <c r="AA767" s="352">
        <f>IF(NFI_Expiration=1,IF($A767&lt;VLOOKUP(J$5,NFI,5,0),1,0)*Table_NFI[[#This Row],[Sanitary Kit]],Table_NFI[Sanitary Kit])</f>
        <v>0</v>
      </c>
      <c r="AB767" s="352">
        <f>IF(NFI_Expiration=1,IF($A767&lt;VLOOKUP(K$5,NFI,5,0),1,0)*Table_NFI[[#This Row],[Mosquito net]],Table_NFI[Mosquito net])</f>
        <v>0</v>
      </c>
      <c r="AC767" s="352">
        <f>IF(NFI_Expiration=1,IF($A767&lt;VLOOKUP(L$5,NFI,5,0),1,0)*Table_NFI[[#This Row],[Tarpaulin]],Table_NFI[[#This Row],[Tarpaulin]])</f>
        <v>0</v>
      </c>
      <c r="AD767" s="352">
        <f>IF(NFI_Expiration=1,IF($A767&lt;VLOOKUP(M$5,NFI,5,0),1,0)*Table_NFI[[#This Row],[Blanket]],Table_NFI[[#This Row],[Blanket]])</f>
        <v>0</v>
      </c>
      <c r="AE767" s="352">
        <f>IF(NFI_Expiration=1,IF($A767&lt;VLOOKUP(N$5,NFI,5,0),1,0)*Table_NFI[[#This Row],[Kitchen Set]],Table_NFI[Kitchen Set])</f>
        <v>0</v>
      </c>
      <c r="AF767" s="352">
        <f>IF(NFI_Expiration=1,IF($A767&lt;VLOOKUP(O$5,NFI,5,0),1,0)*Table_NFI[[#This Row],[Clothes Kit]],Table_NFI[Clothes Kit])</f>
        <v>0</v>
      </c>
      <c r="AG767" s="352">
        <f>IF(NFI_Expiration=1,IF($A767&lt;VLOOKUP(P$5,NFI,5,0),1,0)*Table_NFI[[#This Row],[Plastic Bucket]],Table_NFI[Plastic Bucket])</f>
        <v>0</v>
      </c>
      <c r="AH767" s="352">
        <f>IF(NFI_Expiration=1,IF($A767&lt;VLOOKUP(Q$5,NFI,5,0),1,0)*Table_NFI[[#This Row],[Plastic Mat]],Table_NFI[Plastic Mat])*IF(Table_NFI[[#This Row],[Distribution Date]]&gt;"2014-04-01",1,2.5)</f>
        <v>0</v>
      </c>
      <c r="AI767" s="352">
        <f>IF(NFI_Expiration=1,IF($A767&lt;VLOOKUP(R$5,NFI,5,0),1,0)*Table_NFI[[#This Row],[Winter Clothes Adult]],Table_NFI[Winter Clothes Adult])</f>
        <v>0</v>
      </c>
      <c r="AJ767" s="352">
        <f>IF(NFI_Expiration=1,IF($A767&lt;VLOOKUP(S$5,NFI,5,0),1,0)*Table_NFI[[#This Row],[Winter Clothes Children]],Table_NFI[Winter Clothes Children])</f>
        <v>0</v>
      </c>
      <c r="AK767" s="352">
        <f>IF(NFI_Expiration=1,IF($A767&lt;VLOOKUP(T$5,NFI,5,0),1,0)*Table_NFI[[#This Row],[Winter Items Other]],Table_NFI[Winter Items Other])</f>
        <v>0</v>
      </c>
      <c r="AL767" s="352">
        <f>IF(NFI_Expiration=1,IF($A767&lt;VLOOKUP(M$5,NFI,5,0),1,0)*Table_NFI[[#This Row],[Winter Blanket]],Table_NFI[[#This Row],[Winter Blanket]])</f>
        <v>0</v>
      </c>
      <c r="AM767" s="352">
        <f>IF(Table_NFI[[#This Row],[Winter Clothes Adult]]+Table_NFI[[#This Row],[Winter Clothes Children]]+Table_NFI[[#This Row],[Winter Items Other]]+Table_NFI[[#This Row],[Winter Blanket]]&gt;0,1,0)</f>
        <v>0</v>
      </c>
      <c r="AN767" s="392">
        <f>IF(NFI_Expiration=1,IF($A767&lt;VLOOKUP(V$5,NFI,5,0),1,0)*Table_NFI[[#This Row],[Jerry Can]],Table_NFI[Jerry Can])</f>
        <v>5</v>
      </c>
      <c r="AO767" s="540" t="str">
        <f>IFERROR(VLOOKUP(Table_NFI[[#This Row],[Camp Name]],CL,2,0),"")</f>
        <v>MMR001CMP193</v>
      </c>
      <c r="AP767" s="535">
        <f ca="1">IF(Table_NFI[[#This Row],[Pcode]]="","",IF(OFFSET(CampList[Opening Date],MATCH(Table_NFI[[#This Row],[Pcode]],CampList[CP_Pcode],0)-1,0,1,1)&gt;=NFI_Monitor_Date,1,0))</f>
        <v>0</v>
      </c>
      <c r="AQ767" s="540" t="str">
        <f>IFERROR(VLOOKUP(Table_NFI[[#This Row],[Camp Name]],CL,3,0),"")</f>
        <v>Open</v>
      </c>
      <c r="AR767" s="352" t="str">
        <f ca="1">IF(Table_NFI[[#This Row],[Pcode]]="","",OFFSET(CampList[Priority],MATCH(Table_NFI[[#This Row],[Pcode]],CampList[CP_Pcode],0)-1,0,1,1))</f>
        <v>P4</v>
      </c>
      <c r="AS767" s="351">
        <f>IFERROR(Table_NFI[[#This Row],[Kitchen Set]]/VLOOKUP(Table_NFI[[#This Row],[Camp Name]],CL,4,0),"")</f>
        <v>0</v>
      </c>
      <c r="AT767" s="533"/>
      <c r="AU767" s="536"/>
    </row>
    <row r="768" spans="1:47" s="537" customFormat="1" hidden="1" x14ac:dyDescent="0.2">
      <c r="A768" s="355">
        <f t="shared" si="11"/>
        <v>6</v>
      </c>
      <c r="B768" s="532">
        <v>42391</v>
      </c>
      <c r="C768" s="533" t="s">
        <v>907</v>
      </c>
      <c r="D768" s="533" t="s">
        <v>907</v>
      </c>
      <c r="E768" s="533" t="s">
        <v>380</v>
      </c>
      <c r="F768" s="533" t="s">
        <v>5</v>
      </c>
      <c r="G768" s="533" t="s">
        <v>366</v>
      </c>
      <c r="H768" s="349"/>
      <c r="I768" s="349"/>
      <c r="J768" s="349"/>
      <c r="K768" s="349"/>
      <c r="L768" s="350"/>
      <c r="M768" s="350"/>
      <c r="N768" s="350"/>
      <c r="O768" s="350"/>
      <c r="P768" s="352"/>
      <c r="Q768" s="392"/>
      <c r="R768" s="392"/>
      <c r="S768" s="392"/>
      <c r="T768" s="392"/>
      <c r="U768" s="392"/>
      <c r="V768" s="822">
        <v>4</v>
      </c>
      <c r="W768" s="392"/>
      <c r="X768" s="392"/>
      <c r="Y768" s="352">
        <f>IF(NFI_Expiration=1,IF($A768&lt;VLOOKUP(H$5,NFI,5,0),1,0)*Table_NFI[[#This Row],[Hygiene Kit]],Table_NFI[Hygiene Kit])</f>
        <v>0</v>
      </c>
      <c r="Z768" s="352">
        <f>IF(NFI_Expiration=1,IF($A768&lt;VLOOKUP(I$5,NFI,5,0),1,0)*Table_NFI[[#This Row],[NFI Core Kit]],Table_NFI[NFI Core Kit])</f>
        <v>0</v>
      </c>
      <c r="AA768" s="352">
        <f>IF(NFI_Expiration=1,IF($A768&lt;VLOOKUP(J$5,NFI,5,0),1,0)*Table_NFI[[#This Row],[Sanitary Kit]],Table_NFI[Sanitary Kit])</f>
        <v>0</v>
      </c>
      <c r="AB768" s="352">
        <f>IF(NFI_Expiration=1,IF($A768&lt;VLOOKUP(K$5,NFI,5,0),1,0)*Table_NFI[[#This Row],[Mosquito net]],Table_NFI[Mosquito net])</f>
        <v>0</v>
      </c>
      <c r="AC768" s="352">
        <f>IF(NFI_Expiration=1,IF($A768&lt;VLOOKUP(L$5,NFI,5,0),1,0)*Table_NFI[[#This Row],[Tarpaulin]],Table_NFI[[#This Row],[Tarpaulin]])</f>
        <v>0</v>
      </c>
      <c r="AD768" s="352">
        <f>IF(NFI_Expiration=1,IF($A768&lt;VLOOKUP(M$5,NFI,5,0),1,0)*Table_NFI[[#This Row],[Blanket]],Table_NFI[[#This Row],[Blanket]])</f>
        <v>0</v>
      </c>
      <c r="AE768" s="352">
        <f>IF(NFI_Expiration=1,IF($A768&lt;VLOOKUP(N$5,NFI,5,0),1,0)*Table_NFI[[#This Row],[Kitchen Set]],Table_NFI[Kitchen Set])</f>
        <v>0</v>
      </c>
      <c r="AF768" s="352">
        <f>IF(NFI_Expiration=1,IF($A768&lt;VLOOKUP(O$5,NFI,5,0),1,0)*Table_NFI[[#This Row],[Clothes Kit]],Table_NFI[Clothes Kit])</f>
        <v>0</v>
      </c>
      <c r="AG768" s="352">
        <f>IF(NFI_Expiration=1,IF($A768&lt;VLOOKUP(P$5,NFI,5,0),1,0)*Table_NFI[[#This Row],[Plastic Bucket]],Table_NFI[Plastic Bucket])</f>
        <v>0</v>
      </c>
      <c r="AH768" s="352">
        <f>IF(NFI_Expiration=1,IF($A768&lt;VLOOKUP(Q$5,NFI,5,0),1,0)*Table_NFI[[#This Row],[Plastic Mat]],Table_NFI[Plastic Mat])*IF(Table_NFI[[#This Row],[Distribution Date]]&gt;"2014-04-01",1,2.5)</f>
        <v>0</v>
      </c>
      <c r="AI768" s="352">
        <f>IF(NFI_Expiration=1,IF($A768&lt;VLOOKUP(R$5,NFI,5,0),1,0)*Table_NFI[[#This Row],[Winter Clothes Adult]],Table_NFI[Winter Clothes Adult])</f>
        <v>0</v>
      </c>
      <c r="AJ768" s="352">
        <f>IF(NFI_Expiration=1,IF($A768&lt;VLOOKUP(S$5,NFI,5,0),1,0)*Table_NFI[[#This Row],[Winter Clothes Children]],Table_NFI[Winter Clothes Children])</f>
        <v>0</v>
      </c>
      <c r="AK768" s="352">
        <f>IF(NFI_Expiration=1,IF($A768&lt;VLOOKUP(T$5,NFI,5,0),1,0)*Table_NFI[[#This Row],[Winter Items Other]],Table_NFI[Winter Items Other])</f>
        <v>0</v>
      </c>
      <c r="AL768" s="352">
        <f>IF(NFI_Expiration=1,IF($A768&lt;VLOOKUP(M$5,NFI,5,0),1,0)*Table_NFI[[#This Row],[Winter Blanket]],Table_NFI[[#This Row],[Winter Blanket]])</f>
        <v>0</v>
      </c>
      <c r="AM768" s="352">
        <f>IF(Table_NFI[[#This Row],[Winter Clothes Adult]]+Table_NFI[[#This Row],[Winter Clothes Children]]+Table_NFI[[#This Row],[Winter Items Other]]+Table_NFI[[#This Row],[Winter Blanket]]&gt;0,1,0)</f>
        <v>0</v>
      </c>
      <c r="AN768" s="392">
        <f>IF(NFI_Expiration=1,IF($A768&lt;VLOOKUP(V$5,NFI,5,0),1,0)*Table_NFI[[#This Row],[Jerry Can]],Table_NFI[Jerry Can])</f>
        <v>4</v>
      </c>
      <c r="AO768" s="540" t="str">
        <f>IFERROR(VLOOKUP(Table_NFI[[#This Row],[Camp Name]],CL,2,0),"")</f>
        <v>MMR001CMP193</v>
      </c>
      <c r="AP768" s="535">
        <f ca="1">IF(Table_NFI[[#This Row],[Pcode]]="","",IF(OFFSET(CampList[Opening Date],MATCH(Table_NFI[[#This Row],[Pcode]],CampList[CP_Pcode],0)-1,0,1,1)&gt;=NFI_Monitor_Date,1,0))</f>
        <v>0</v>
      </c>
      <c r="AQ768" s="540" t="str">
        <f>IFERROR(VLOOKUP(Table_NFI[[#This Row],[Camp Name]],CL,3,0),"")</f>
        <v>Open</v>
      </c>
      <c r="AR768" s="352" t="str">
        <f ca="1">IF(Table_NFI[[#This Row],[Pcode]]="","",OFFSET(CampList[Priority],MATCH(Table_NFI[[#This Row],[Pcode]],CampList[CP_Pcode],0)-1,0,1,1))</f>
        <v>P4</v>
      </c>
      <c r="AS768" s="351">
        <f>IFERROR(Table_NFI[[#This Row],[Kitchen Set]]/VLOOKUP(Table_NFI[[#This Row],[Camp Name]],CL,4,0),"")</f>
        <v>0</v>
      </c>
      <c r="AT768" s="533"/>
      <c r="AU768" s="536"/>
    </row>
    <row r="769" spans="1:47" s="537" customFormat="1" hidden="1" x14ac:dyDescent="0.25">
      <c r="A769" s="355">
        <f t="shared" si="11"/>
        <v>16.533333333333335</v>
      </c>
      <c r="B769" s="532">
        <v>42075</v>
      </c>
      <c r="C769" s="533" t="s">
        <v>907</v>
      </c>
      <c r="D769" s="533" t="s">
        <v>907</v>
      </c>
      <c r="E769" s="533" t="s">
        <v>380</v>
      </c>
      <c r="F769" s="533" t="s">
        <v>5</v>
      </c>
      <c r="G769" s="533" t="s">
        <v>366</v>
      </c>
      <c r="H769" s="349"/>
      <c r="I769" s="349"/>
      <c r="J769" s="349"/>
      <c r="K769" s="349"/>
      <c r="L769" s="350"/>
      <c r="M769" s="350"/>
      <c r="N769" s="350"/>
      <c r="O769" s="350"/>
      <c r="P769" s="352"/>
      <c r="Q769" s="392"/>
      <c r="R769" s="392"/>
      <c r="S769" s="392"/>
      <c r="T769" s="392"/>
      <c r="U769" s="392"/>
      <c r="V769" s="497"/>
      <c r="W769" s="392">
        <v>7</v>
      </c>
      <c r="X769" s="392"/>
      <c r="Y769" s="352">
        <f>IF(NFI_Expiration=1,IF($A769&lt;VLOOKUP(H$5,NFI,5,0),1,0)*Table_NFI[[#This Row],[Hygiene Kit]],Table_NFI[Hygiene Kit])</f>
        <v>0</v>
      </c>
      <c r="Z769" s="352">
        <f>IF(NFI_Expiration=1,IF($A769&lt;VLOOKUP(I$5,NFI,5,0),1,0)*Table_NFI[[#This Row],[NFI Core Kit]],Table_NFI[NFI Core Kit])</f>
        <v>0</v>
      </c>
      <c r="AA769" s="352">
        <f>IF(NFI_Expiration=1,IF($A769&lt;VLOOKUP(J$5,NFI,5,0),1,0)*Table_NFI[[#This Row],[Sanitary Kit]],Table_NFI[Sanitary Kit])</f>
        <v>0</v>
      </c>
      <c r="AB769" s="352">
        <f>IF(NFI_Expiration=1,IF($A769&lt;VLOOKUP(K$5,NFI,5,0),1,0)*Table_NFI[[#This Row],[Mosquito net]],Table_NFI[Mosquito net])</f>
        <v>0</v>
      </c>
      <c r="AC769" s="352">
        <f>IF(NFI_Expiration=1,IF($A769&lt;VLOOKUP(L$5,NFI,5,0),1,0)*Table_NFI[[#This Row],[Tarpaulin]],Table_NFI[[#This Row],[Tarpaulin]])</f>
        <v>0</v>
      </c>
      <c r="AD769" s="352">
        <f>IF(NFI_Expiration=1,IF($A769&lt;VLOOKUP(M$5,NFI,5,0),1,0)*Table_NFI[[#This Row],[Blanket]],Table_NFI[[#This Row],[Blanket]])</f>
        <v>0</v>
      </c>
      <c r="AE769" s="352">
        <f>IF(NFI_Expiration=1,IF($A769&lt;VLOOKUP(N$5,NFI,5,0),1,0)*Table_NFI[[#This Row],[Kitchen Set]],Table_NFI[Kitchen Set])</f>
        <v>0</v>
      </c>
      <c r="AF769" s="352">
        <f>IF(NFI_Expiration=1,IF($A769&lt;VLOOKUP(O$5,NFI,5,0),1,0)*Table_NFI[[#This Row],[Clothes Kit]],Table_NFI[Clothes Kit])</f>
        <v>0</v>
      </c>
      <c r="AG769" s="352">
        <f>IF(NFI_Expiration=1,IF($A769&lt;VLOOKUP(P$5,NFI,5,0),1,0)*Table_NFI[[#This Row],[Plastic Bucket]],Table_NFI[Plastic Bucket])</f>
        <v>0</v>
      </c>
      <c r="AH769" s="352">
        <f>IF(NFI_Expiration=1,IF($A769&lt;VLOOKUP(Q$5,NFI,5,0),1,0)*Table_NFI[[#This Row],[Plastic Mat]],Table_NFI[Plastic Mat])*IF(Table_NFI[[#This Row],[Distribution Date]]&gt;"2014-04-01",1,2.5)</f>
        <v>0</v>
      </c>
      <c r="AI769" s="352">
        <f>IF(NFI_Expiration=1,IF($A769&lt;VLOOKUP(R$5,NFI,5,0),1,0)*Table_NFI[[#This Row],[Winter Clothes Adult]],Table_NFI[Winter Clothes Adult])</f>
        <v>0</v>
      </c>
      <c r="AJ769" s="352">
        <f>IF(NFI_Expiration=1,IF($A769&lt;VLOOKUP(S$5,NFI,5,0),1,0)*Table_NFI[[#This Row],[Winter Clothes Children]],Table_NFI[Winter Clothes Children])</f>
        <v>0</v>
      </c>
      <c r="AK769" s="352">
        <f>IF(NFI_Expiration=1,IF($A769&lt;VLOOKUP(T$5,NFI,5,0),1,0)*Table_NFI[[#This Row],[Winter Items Other]],Table_NFI[Winter Items Other])</f>
        <v>0</v>
      </c>
      <c r="AL769" s="352">
        <f>IF(NFI_Expiration=1,IF($A769&lt;VLOOKUP(M$5,NFI,5,0),1,0)*Table_NFI[[#This Row],[Winter Blanket]],Table_NFI[[#This Row],[Winter Blanket]])</f>
        <v>0</v>
      </c>
      <c r="AM769" s="352">
        <f>IF(Table_NFI[[#This Row],[Winter Clothes Adult]]+Table_NFI[[#This Row],[Winter Clothes Children]]+Table_NFI[[#This Row],[Winter Items Other]]+Table_NFI[[#This Row],[Winter Blanket]]&gt;0,1,0)</f>
        <v>0</v>
      </c>
      <c r="AN769" s="392">
        <f>IF(NFI_Expiration=1,IF($A769&lt;VLOOKUP(V$5,NFI,5,0),1,0)*Table_NFI[[#This Row],[Jerry Can]],Table_NFI[Jerry Can])</f>
        <v>0</v>
      </c>
      <c r="AO769" s="540" t="str">
        <f>IFERROR(VLOOKUP(Table_NFI[[#This Row],[Camp Name]],CL,2,0),"")</f>
        <v>MMR001CMP193</v>
      </c>
      <c r="AP769" s="535">
        <f ca="1">IF(Table_NFI[[#This Row],[Pcode]]="","",IF(OFFSET(CampList[Opening Date],MATCH(Table_NFI[[#This Row],[Pcode]],CampList[CP_Pcode],0)-1,0,1,1)&gt;=NFI_Monitor_Date,1,0))</f>
        <v>0</v>
      </c>
      <c r="AQ769" s="540" t="str">
        <f>IFERROR(VLOOKUP(Table_NFI[[#This Row],[Camp Name]],CL,3,0),"")</f>
        <v>Open</v>
      </c>
      <c r="AR769" s="352" t="str">
        <f ca="1">IF(Table_NFI[[#This Row],[Pcode]]="","",OFFSET(CampList[Priority],MATCH(Table_NFI[[#This Row],[Pcode]],CampList[CP_Pcode],0)-1,0,1,1))</f>
        <v>P4</v>
      </c>
      <c r="AS769" s="351">
        <f>IFERROR(Table_NFI[[#This Row],[Kitchen Set]]/VLOOKUP(Table_NFI[[#This Row],[Camp Name]],CL,4,0),"")</f>
        <v>0</v>
      </c>
      <c r="AT769" s="533"/>
      <c r="AU769" s="536"/>
    </row>
    <row r="770" spans="1:47" s="537" customFormat="1" hidden="1" x14ac:dyDescent="0.25">
      <c r="A770" s="355">
        <f t="shared" si="11"/>
        <v>7.166666666666667</v>
      </c>
      <c r="B770" s="532">
        <v>42356</v>
      </c>
      <c r="C770" s="533" t="s">
        <v>907</v>
      </c>
      <c r="D770" s="533" t="s">
        <v>907</v>
      </c>
      <c r="E770" s="533" t="s">
        <v>380</v>
      </c>
      <c r="F770" s="533" t="s">
        <v>5</v>
      </c>
      <c r="G770" s="533" t="s">
        <v>366</v>
      </c>
      <c r="H770" s="349"/>
      <c r="I770" s="349"/>
      <c r="J770" s="349"/>
      <c r="K770" s="349"/>
      <c r="L770" s="350"/>
      <c r="M770" s="350"/>
      <c r="N770" s="350"/>
      <c r="O770" s="350"/>
      <c r="P770" s="352"/>
      <c r="Q770" s="392"/>
      <c r="R770" s="392"/>
      <c r="S770" s="392"/>
      <c r="T770" s="392"/>
      <c r="U770" s="392"/>
      <c r="V770" s="497"/>
      <c r="W770" s="392">
        <v>24</v>
      </c>
      <c r="X770" s="392"/>
      <c r="Y770" s="352">
        <f>IF(NFI_Expiration=1,IF($A770&lt;VLOOKUP(H$5,NFI,5,0),1,0)*Table_NFI[[#This Row],[Hygiene Kit]],Table_NFI[Hygiene Kit])</f>
        <v>0</v>
      </c>
      <c r="Z770" s="352">
        <f>IF(NFI_Expiration=1,IF($A770&lt;VLOOKUP(I$5,NFI,5,0),1,0)*Table_NFI[[#This Row],[NFI Core Kit]],Table_NFI[NFI Core Kit])</f>
        <v>0</v>
      </c>
      <c r="AA770" s="352">
        <f>IF(NFI_Expiration=1,IF($A770&lt;VLOOKUP(J$5,NFI,5,0),1,0)*Table_NFI[[#This Row],[Sanitary Kit]],Table_NFI[Sanitary Kit])</f>
        <v>0</v>
      </c>
      <c r="AB770" s="352">
        <f>IF(NFI_Expiration=1,IF($A770&lt;VLOOKUP(K$5,NFI,5,0),1,0)*Table_NFI[[#This Row],[Mosquito net]],Table_NFI[Mosquito net])</f>
        <v>0</v>
      </c>
      <c r="AC770" s="352">
        <f>IF(NFI_Expiration=1,IF($A770&lt;VLOOKUP(L$5,NFI,5,0),1,0)*Table_NFI[[#This Row],[Tarpaulin]],Table_NFI[[#This Row],[Tarpaulin]])</f>
        <v>0</v>
      </c>
      <c r="AD770" s="352">
        <f>IF(NFI_Expiration=1,IF($A770&lt;VLOOKUP(M$5,NFI,5,0),1,0)*Table_NFI[[#This Row],[Blanket]],Table_NFI[[#This Row],[Blanket]])</f>
        <v>0</v>
      </c>
      <c r="AE770" s="352">
        <f>IF(NFI_Expiration=1,IF($A770&lt;VLOOKUP(N$5,NFI,5,0),1,0)*Table_NFI[[#This Row],[Kitchen Set]],Table_NFI[Kitchen Set])</f>
        <v>0</v>
      </c>
      <c r="AF770" s="352">
        <f>IF(NFI_Expiration=1,IF($A770&lt;VLOOKUP(O$5,NFI,5,0),1,0)*Table_NFI[[#This Row],[Clothes Kit]],Table_NFI[Clothes Kit])</f>
        <v>0</v>
      </c>
      <c r="AG770" s="352">
        <f>IF(NFI_Expiration=1,IF($A770&lt;VLOOKUP(P$5,NFI,5,0),1,0)*Table_NFI[[#This Row],[Plastic Bucket]],Table_NFI[Plastic Bucket])</f>
        <v>0</v>
      </c>
      <c r="AH770" s="352">
        <f>IF(NFI_Expiration=1,IF($A770&lt;VLOOKUP(Q$5,NFI,5,0),1,0)*Table_NFI[[#This Row],[Plastic Mat]],Table_NFI[Plastic Mat])*IF(Table_NFI[[#This Row],[Distribution Date]]&gt;"2014-04-01",1,2.5)</f>
        <v>0</v>
      </c>
      <c r="AI770" s="352">
        <f>IF(NFI_Expiration=1,IF($A770&lt;VLOOKUP(R$5,NFI,5,0),1,0)*Table_NFI[[#This Row],[Winter Clothes Adult]],Table_NFI[Winter Clothes Adult])</f>
        <v>0</v>
      </c>
      <c r="AJ770" s="352">
        <f>IF(NFI_Expiration=1,IF($A770&lt;VLOOKUP(S$5,NFI,5,0),1,0)*Table_NFI[[#This Row],[Winter Clothes Children]],Table_NFI[Winter Clothes Children])</f>
        <v>0</v>
      </c>
      <c r="AK770" s="352">
        <f>IF(NFI_Expiration=1,IF($A770&lt;VLOOKUP(T$5,NFI,5,0),1,0)*Table_NFI[[#This Row],[Winter Items Other]],Table_NFI[Winter Items Other])</f>
        <v>0</v>
      </c>
      <c r="AL770" s="352">
        <f>IF(NFI_Expiration=1,IF($A770&lt;VLOOKUP(M$5,NFI,5,0),1,0)*Table_NFI[[#This Row],[Winter Blanket]],Table_NFI[[#This Row],[Winter Blanket]])</f>
        <v>0</v>
      </c>
      <c r="AM770" s="352">
        <f>IF(Table_NFI[[#This Row],[Winter Clothes Adult]]+Table_NFI[[#This Row],[Winter Clothes Children]]+Table_NFI[[#This Row],[Winter Items Other]]+Table_NFI[[#This Row],[Winter Blanket]]&gt;0,1,0)</f>
        <v>0</v>
      </c>
      <c r="AN770" s="392">
        <f>IF(NFI_Expiration=1,IF($A770&lt;VLOOKUP(V$5,NFI,5,0),1,0)*Table_NFI[[#This Row],[Jerry Can]],Table_NFI[Jerry Can])</f>
        <v>0</v>
      </c>
      <c r="AO770" s="540" t="str">
        <f>IFERROR(VLOOKUP(Table_NFI[[#This Row],[Camp Name]],CL,2,0),"")</f>
        <v>MMR001CMP193</v>
      </c>
      <c r="AP770" s="535">
        <f ca="1">IF(Table_NFI[[#This Row],[Pcode]]="","",IF(OFFSET(CampList[Opening Date],MATCH(Table_NFI[[#This Row],[Pcode]],CampList[CP_Pcode],0)-1,0,1,1)&gt;=NFI_Monitor_Date,1,0))</f>
        <v>0</v>
      </c>
      <c r="AQ770" s="540" t="str">
        <f>IFERROR(VLOOKUP(Table_NFI[[#This Row],[Camp Name]],CL,3,0),"")</f>
        <v>Open</v>
      </c>
      <c r="AR770" s="352" t="str">
        <f ca="1">IF(Table_NFI[[#This Row],[Pcode]]="","",OFFSET(CampList[Priority],MATCH(Table_NFI[[#This Row],[Pcode]],CampList[CP_Pcode],0)-1,0,1,1))</f>
        <v>P4</v>
      </c>
      <c r="AS770" s="351">
        <f>IFERROR(Table_NFI[[#This Row],[Kitchen Set]]/VLOOKUP(Table_NFI[[#This Row],[Camp Name]],CL,4,0),"")</f>
        <v>0</v>
      </c>
      <c r="AT770" s="533"/>
      <c r="AU770" s="536"/>
    </row>
    <row r="771" spans="1:47" s="537" customFormat="1" hidden="1" x14ac:dyDescent="0.25">
      <c r="A771" s="355">
        <f t="shared" si="11"/>
        <v>4.8666666666666663</v>
      </c>
      <c r="B771" s="532">
        <v>42425</v>
      </c>
      <c r="C771" s="533" t="s">
        <v>907</v>
      </c>
      <c r="D771" s="533" t="s">
        <v>907</v>
      </c>
      <c r="E771" s="533" t="s">
        <v>380</v>
      </c>
      <c r="F771" s="533" t="s">
        <v>5</v>
      </c>
      <c r="G771" s="533" t="s">
        <v>366</v>
      </c>
      <c r="H771" s="349"/>
      <c r="I771" s="349"/>
      <c r="J771" s="349"/>
      <c r="K771" s="349"/>
      <c r="L771" s="350"/>
      <c r="M771" s="350"/>
      <c r="N771" s="350"/>
      <c r="O771" s="350"/>
      <c r="P771" s="352"/>
      <c r="Q771" s="392"/>
      <c r="R771" s="392"/>
      <c r="S771" s="392"/>
      <c r="T771" s="392"/>
      <c r="U771" s="392"/>
      <c r="V771" s="497"/>
      <c r="W771" s="392">
        <v>24</v>
      </c>
      <c r="X771" s="392"/>
      <c r="Y771" s="352">
        <f>IF(NFI_Expiration=1,IF($A771&lt;VLOOKUP(H$5,NFI,5,0),1,0)*Table_NFI[[#This Row],[Hygiene Kit]],Table_NFI[Hygiene Kit])</f>
        <v>0</v>
      </c>
      <c r="Z771" s="352">
        <f>IF(NFI_Expiration=1,IF($A771&lt;VLOOKUP(I$5,NFI,5,0),1,0)*Table_NFI[[#This Row],[NFI Core Kit]],Table_NFI[NFI Core Kit])</f>
        <v>0</v>
      </c>
      <c r="AA771" s="352">
        <f>IF(NFI_Expiration=1,IF($A771&lt;VLOOKUP(J$5,NFI,5,0),1,0)*Table_NFI[[#This Row],[Sanitary Kit]],Table_NFI[Sanitary Kit])</f>
        <v>0</v>
      </c>
      <c r="AB771" s="352">
        <f>IF(NFI_Expiration=1,IF($A771&lt;VLOOKUP(K$5,NFI,5,0),1,0)*Table_NFI[[#This Row],[Mosquito net]],Table_NFI[Mosquito net])</f>
        <v>0</v>
      </c>
      <c r="AC771" s="352">
        <f>IF(NFI_Expiration=1,IF($A771&lt;VLOOKUP(L$5,NFI,5,0),1,0)*Table_NFI[[#This Row],[Tarpaulin]],Table_NFI[[#This Row],[Tarpaulin]])</f>
        <v>0</v>
      </c>
      <c r="AD771" s="352">
        <f>IF(NFI_Expiration=1,IF($A771&lt;VLOOKUP(M$5,NFI,5,0),1,0)*Table_NFI[[#This Row],[Blanket]],Table_NFI[[#This Row],[Blanket]])</f>
        <v>0</v>
      </c>
      <c r="AE771" s="352">
        <f>IF(NFI_Expiration=1,IF($A771&lt;VLOOKUP(N$5,NFI,5,0),1,0)*Table_NFI[[#This Row],[Kitchen Set]],Table_NFI[Kitchen Set])</f>
        <v>0</v>
      </c>
      <c r="AF771" s="352">
        <f>IF(NFI_Expiration=1,IF($A771&lt;VLOOKUP(O$5,NFI,5,0),1,0)*Table_NFI[[#This Row],[Clothes Kit]],Table_NFI[Clothes Kit])</f>
        <v>0</v>
      </c>
      <c r="AG771" s="352">
        <f>IF(NFI_Expiration=1,IF($A771&lt;VLOOKUP(P$5,NFI,5,0),1,0)*Table_NFI[[#This Row],[Plastic Bucket]],Table_NFI[Plastic Bucket])</f>
        <v>0</v>
      </c>
      <c r="AH771" s="352">
        <f>IF(NFI_Expiration=1,IF($A771&lt;VLOOKUP(Q$5,NFI,5,0),1,0)*Table_NFI[[#This Row],[Plastic Mat]],Table_NFI[Plastic Mat])*IF(Table_NFI[[#This Row],[Distribution Date]]&gt;"2014-04-01",1,2.5)</f>
        <v>0</v>
      </c>
      <c r="AI771" s="352">
        <f>IF(NFI_Expiration=1,IF($A771&lt;VLOOKUP(R$5,NFI,5,0),1,0)*Table_NFI[[#This Row],[Winter Clothes Adult]],Table_NFI[Winter Clothes Adult])</f>
        <v>0</v>
      </c>
      <c r="AJ771" s="352">
        <f>IF(NFI_Expiration=1,IF($A771&lt;VLOOKUP(S$5,NFI,5,0),1,0)*Table_NFI[[#This Row],[Winter Clothes Children]],Table_NFI[Winter Clothes Children])</f>
        <v>0</v>
      </c>
      <c r="AK771" s="352">
        <f>IF(NFI_Expiration=1,IF($A771&lt;VLOOKUP(T$5,NFI,5,0),1,0)*Table_NFI[[#This Row],[Winter Items Other]],Table_NFI[Winter Items Other])</f>
        <v>0</v>
      </c>
      <c r="AL771" s="352">
        <f>IF(NFI_Expiration=1,IF($A771&lt;VLOOKUP(M$5,NFI,5,0),1,0)*Table_NFI[[#This Row],[Winter Blanket]],Table_NFI[[#This Row],[Winter Blanket]])</f>
        <v>0</v>
      </c>
      <c r="AM771" s="352">
        <f>IF(Table_NFI[[#This Row],[Winter Clothes Adult]]+Table_NFI[[#This Row],[Winter Clothes Children]]+Table_NFI[[#This Row],[Winter Items Other]]+Table_NFI[[#This Row],[Winter Blanket]]&gt;0,1,0)</f>
        <v>0</v>
      </c>
      <c r="AN771" s="392">
        <f>IF(NFI_Expiration=1,IF($A771&lt;VLOOKUP(V$5,NFI,5,0),1,0)*Table_NFI[[#This Row],[Jerry Can]],Table_NFI[Jerry Can])</f>
        <v>0</v>
      </c>
      <c r="AO771" s="540" t="str">
        <f>IFERROR(VLOOKUP(Table_NFI[[#This Row],[Camp Name]],CL,2,0),"")</f>
        <v>MMR001CMP193</v>
      </c>
      <c r="AP771" s="535">
        <f ca="1">IF(Table_NFI[[#This Row],[Pcode]]="","",IF(OFFSET(CampList[Opening Date],MATCH(Table_NFI[[#This Row],[Pcode]],CampList[CP_Pcode],0)-1,0,1,1)&gt;=NFI_Monitor_Date,1,0))</f>
        <v>0</v>
      </c>
      <c r="AQ771" s="540" t="str">
        <f>IFERROR(VLOOKUP(Table_NFI[[#This Row],[Camp Name]],CL,3,0),"")</f>
        <v>Open</v>
      </c>
      <c r="AR771" s="352" t="str">
        <f ca="1">IF(Table_NFI[[#This Row],[Pcode]]="","",OFFSET(CampList[Priority],MATCH(Table_NFI[[#This Row],[Pcode]],CampList[CP_Pcode],0)-1,0,1,1))</f>
        <v>P4</v>
      </c>
      <c r="AS771" s="351">
        <f>IFERROR(Table_NFI[[#This Row],[Kitchen Set]]/VLOOKUP(Table_NFI[[#This Row],[Camp Name]],CL,4,0),"")</f>
        <v>0</v>
      </c>
      <c r="AT771" s="533"/>
      <c r="AU771" s="536"/>
    </row>
    <row r="772" spans="1:47" s="537" customFormat="1" hidden="1" x14ac:dyDescent="0.25">
      <c r="A772" s="355">
        <f t="shared" si="11"/>
        <v>2.7333333333333334</v>
      </c>
      <c r="B772" s="532">
        <v>42489</v>
      </c>
      <c r="C772" s="533" t="s">
        <v>907</v>
      </c>
      <c r="D772" s="533" t="s">
        <v>907</v>
      </c>
      <c r="E772" s="533" t="s">
        <v>380</v>
      </c>
      <c r="F772" s="533" t="s">
        <v>5</v>
      </c>
      <c r="G772" s="533" t="s">
        <v>366</v>
      </c>
      <c r="H772" s="349"/>
      <c r="I772" s="349"/>
      <c r="J772" s="349"/>
      <c r="K772" s="349"/>
      <c r="L772" s="350"/>
      <c r="M772" s="350"/>
      <c r="N772" s="350"/>
      <c r="O772" s="350"/>
      <c r="P772" s="352"/>
      <c r="Q772" s="392"/>
      <c r="R772" s="392"/>
      <c r="S772" s="392"/>
      <c r="T772" s="392"/>
      <c r="U772" s="392"/>
      <c r="V772" s="497"/>
      <c r="W772" s="392">
        <v>48</v>
      </c>
      <c r="X772" s="392"/>
      <c r="Y772" s="352">
        <f>IF(NFI_Expiration=1,IF($A772&lt;VLOOKUP(H$5,NFI,5,0),1,0)*Table_NFI[[#This Row],[Hygiene Kit]],Table_NFI[Hygiene Kit])</f>
        <v>0</v>
      </c>
      <c r="Z772" s="352">
        <f>IF(NFI_Expiration=1,IF($A772&lt;VLOOKUP(I$5,NFI,5,0),1,0)*Table_NFI[[#This Row],[NFI Core Kit]],Table_NFI[NFI Core Kit])</f>
        <v>0</v>
      </c>
      <c r="AA772" s="352">
        <f>IF(NFI_Expiration=1,IF($A772&lt;VLOOKUP(J$5,NFI,5,0),1,0)*Table_NFI[[#This Row],[Sanitary Kit]],Table_NFI[Sanitary Kit])</f>
        <v>0</v>
      </c>
      <c r="AB772" s="352">
        <f>IF(NFI_Expiration=1,IF($A772&lt;VLOOKUP(K$5,NFI,5,0),1,0)*Table_NFI[[#This Row],[Mosquito net]],Table_NFI[Mosquito net])</f>
        <v>0</v>
      </c>
      <c r="AC772" s="352">
        <f>IF(NFI_Expiration=1,IF($A772&lt;VLOOKUP(L$5,NFI,5,0),1,0)*Table_NFI[[#This Row],[Tarpaulin]],Table_NFI[[#This Row],[Tarpaulin]])</f>
        <v>0</v>
      </c>
      <c r="AD772" s="352">
        <f>IF(NFI_Expiration=1,IF($A772&lt;VLOOKUP(M$5,NFI,5,0),1,0)*Table_NFI[[#This Row],[Blanket]],Table_NFI[[#This Row],[Blanket]])</f>
        <v>0</v>
      </c>
      <c r="AE772" s="352">
        <f>IF(NFI_Expiration=1,IF($A772&lt;VLOOKUP(N$5,NFI,5,0),1,0)*Table_NFI[[#This Row],[Kitchen Set]],Table_NFI[Kitchen Set])</f>
        <v>0</v>
      </c>
      <c r="AF772" s="352">
        <f>IF(NFI_Expiration=1,IF($A772&lt;VLOOKUP(O$5,NFI,5,0),1,0)*Table_NFI[[#This Row],[Clothes Kit]],Table_NFI[Clothes Kit])</f>
        <v>0</v>
      </c>
      <c r="AG772" s="352">
        <f>IF(NFI_Expiration=1,IF($A772&lt;VLOOKUP(P$5,NFI,5,0),1,0)*Table_NFI[[#This Row],[Plastic Bucket]],Table_NFI[Plastic Bucket])</f>
        <v>0</v>
      </c>
      <c r="AH772" s="352">
        <f>IF(NFI_Expiration=1,IF($A772&lt;VLOOKUP(Q$5,NFI,5,0),1,0)*Table_NFI[[#This Row],[Plastic Mat]],Table_NFI[Plastic Mat])*IF(Table_NFI[[#This Row],[Distribution Date]]&gt;"2014-04-01",1,2.5)</f>
        <v>0</v>
      </c>
      <c r="AI772" s="352">
        <f>IF(NFI_Expiration=1,IF($A772&lt;VLOOKUP(R$5,NFI,5,0),1,0)*Table_NFI[[#This Row],[Winter Clothes Adult]],Table_NFI[Winter Clothes Adult])</f>
        <v>0</v>
      </c>
      <c r="AJ772" s="352">
        <f>IF(NFI_Expiration=1,IF($A772&lt;VLOOKUP(S$5,NFI,5,0),1,0)*Table_NFI[[#This Row],[Winter Clothes Children]],Table_NFI[Winter Clothes Children])</f>
        <v>0</v>
      </c>
      <c r="AK772" s="352">
        <f>IF(NFI_Expiration=1,IF($A772&lt;VLOOKUP(T$5,NFI,5,0),1,0)*Table_NFI[[#This Row],[Winter Items Other]],Table_NFI[Winter Items Other])</f>
        <v>0</v>
      </c>
      <c r="AL772" s="352">
        <f>IF(NFI_Expiration=1,IF($A772&lt;VLOOKUP(M$5,NFI,5,0),1,0)*Table_NFI[[#This Row],[Winter Blanket]],Table_NFI[[#This Row],[Winter Blanket]])</f>
        <v>0</v>
      </c>
      <c r="AM772" s="352">
        <f>IF(Table_NFI[[#This Row],[Winter Clothes Adult]]+Table_NFI[[#This Row],[Winter Clothes Children]]+Table_NFI[[#This Row],[Winter Items Other]]+Table_NFI[[#This Row],[Winter Blanket]]&gt;0,1,0)</f>
        <v>0</v>
      </c>
      <c r="AN772" s="392">
        <f>IF(NFI_Expiration=1,IF($A772&lt;VLOOKUP(V$5,NFI,5,0),1,0)*Table_NFI[[#This Row],[Jerry Can]],Table_NFI[Jerry Can])</f>
        <v>0</v>
      </c>
      <c r="AO772" s="540" t="str">
        <f>IFERROR(VLOOKUP(Table_NFI[[#This Row],[Camp Name]],CL,2,0),"")</f>
        <v>MMR001CMP193</v>
      </c>
      <c r="AP772" s="535">
        <f ca="1">IF(Table_NFI[[#This Row],[Pcode]]="","",IF(OFFSET(CampList[Opening Date],MATCH(Table_NFI[[#This Row],[Pcode]],CampList[CP_Pcode],0)-1,0,1,1)&gt;=NFI_Monitor_Date,1,0))</f>
        <v>0</v>
      </c>
      <c r="AQ772" s="540" t="str">
        <f>IFERROR(VLOOKUP(Table_NFI[[#This Row],[Camp Name]],CL,3,0),"")</f>
        <v>Open</v>
      </c>
      <c r="AR772" s="352" t="str">
        <f ca="1">IF(Table_NFI[[#This Row],[Pcode]]="","",OFFSET(CampList[Priority],MATCH(Table_NFI[[#This Row],[Pcode]],CampList[CP_Pcode],0)-1,0,1,1))</f>
        <v>P4</v>
      </c>
      <c r="AS772" s="351">
        <f>IFERROR(Table_NFI[[#This Row],[Kitchen Set]]/VLOOKUP(Table_NFI[[#This Row],[Camp Name]],CL,4,0),"")</f>
        <v>0</v>
      </c>
      <c r="AT772" s="533"/>
      <c r="AU772" s="536"/>
    </row>
    <row r="773" spans="1:47" s="537" customFormat="1" hidden="1" x14ac:dyDescent="0.2">
      <c r="A773" s="355">
        <f t="shared" si="11"/>
        <v>4.2</v>
      </c>
      <c r="B773" s="532">
        <v>42445</v>
      </c>
      <c r="C773" s="533" t="s">
        <v>907</v>
      </c>
      <c r="D773" s="533" t="s">
        <v>907</v>
      </c>
      <c r="E773" s="533" t="s">
        <v>380</v>
      </c>
      <c r="F773" s="533" t="s">
        <v>5</v>
      </c>
      <c r="G773" s="533" t="s">
        <v>366</v>
      </c>
      <c r="H773" s="349"/>
      <c r="I773" s="349"/>
      <c r="J773" s="349"/>
      <c r="K773" s="349"/>
      <c r="L773" s="350"/>
      <c r="M773" s="350"/>
      <c r="N773" s="350"/>
      <c r="O773" s="350"/>
      <c r="P773" s="352"/>
      <c r="Q773" s="392"/>
      <c r="R773" s="392"/>
      <c r="S773" s="392"/>
      <c r="T773" s="392"/>
      <c r="U773" s="392"/>
      <c r="V773" s="822">
        <v>4</v>
      </c>
      <c r="W773" s="392"/>
      <c r="X773" s="392"/>
      <c r="Y773" s="352">
        <f>IF(NFI_Expiration=1,IF($A773&lt;VLOOKUP(H$5,NFI,5,0),1,0)*Table_NFI[[#This Row],[Hygiene Kit]],Table_NFI[Hygiene Kit])</f>
        <v>0</v>
      </c>
      <c r="Z773" s="352">
        <f>IF(NFI_Expiration=1,IF($A773&lt;VLOOKUP(I$5,NFI,5,0),1,0)*Table_NFI[[#This Row],[NFI Core Kit]],Table_NFI[NFI Core Kit])</f>
        <v>0</v>
      </c>
      <c r="AA773" s="352">
        <f>IF(NFI_Expiration=1,IF($A773&lt;VLOOKUP(J$5,NFI,5,0),1,0)*Table_NFI[[#This Row],[Sanitary Kit]],Table_NFI[Sanitary Kit])</f>
        <v>0</v>
      </c>
      <c r="AB773" s="352">
        <f>IF(NFI_Expiration=1,IF($A773&lt;VLOOKUP(K$5,NFI,5,0),1,0)*Table_NFI[[#This Row],[Mosquito net]],Table_NFI[Mosquito net])</f>
        <v>0</v>
      </c>
      <c r="AC773" s="352">
        <f>IF(NFI_Expiration=1,IF($A773&lt;VLOOKUP(L$5,NFI,5,0),1,0)*Table_NFI[[#This Row],[Tarpaulin]],Table_NFI[[#This Row],[Tarpaulin]])</f>
        <v>0</v>
      </c>
      <c r="AD773" s="352">
        <f>IF(NFI_Expiration=1,IF($A773&lt;VLOOKUP(M$5,NFI,5,0),1,0)*Table_NFI[[#This Row],[Blanket]],Table_NFI[[#This Row],[Blanket]])</f>
        <v>0</v>
      </c>
      <c r="AE773" s="352">
        <f>IF(NFI_Expiration=1,IF($A773&lt;VLOOKUP(N$5,NFI,5,0),1,0)*Table_NFI[[#This Row],[Kitchen Set]],Table_NFI[Kitchen Set])</f>
        <v>0</v>
      </c>
      <c r="AF773" s="352">
        <f>IF(NFI_Expiration=1,IF($A773&lt;VLOOKUP(O$5,NFI,5,0),1,0)*Table_NFI[[#This Row],[Clothes Kit]],Table_NFI[Clothes Kit])</f>
        <v>0</v>
      </c>
      <c r="AG773" s="352">
        <f>IF(NFI_Expiration=1,IF($A773&lt;VLOOKUP(P$5,NFI,5,0),1,0)*Table_NFI[[#This Row],[Plastic Bucket]],Table_NFI[Plastic Bucket])</f>
        <v>0</v>
      </c>
      <c r="AH773" s="352">
        <f>IF(NFI_Expiration=1,IF($A773&lt;VLOOKUP(Q$5,NFI,5,0),1,0)*Table_NFI[[#This Row],[Plastic Mat]],Table_NFI[Plastic Mat])*IF(Table_NFI[[#This Row],[Distribution Date]]&gt;"2014-04-01",1,2.5)</f>
        <v>0</v>
      </c>
      <c r="AI773" s="352">
        <f>IF(NFI_Expiration=1,IF($A773&lt;VLOOKUP(R$5,NFI,5,0),1,0)*Table_NFI[[#This Row],[Winter Clothes Adult]],Table_NFI[Winter Clothes Adult])</f>
        <v>0</v>
      </c>
      <c r="AJ773" s="352">
        <f>IF(NFI_Expiration=1,IF($A773&lt;VLOOKUP(S$5,NFI,5,0),1,0)*Table_NFI[[#This Row],[Winter Clothes Children]],Table_NFI[Winter Clothes Children])</f>
        <v>0</v>
      </c>
      <c r="AK773" s="352">
        <f>IF(NFI_Expiration=1,IF($A773&lt;VLOOKUP(T$5,NFI,5,0),1,0)*Table_NFI[[#This Row],[Winter Items Other]],Table_NFI[Winter Items Other])</f>
        <v>0</v>
      </c>
      <c r="AL773" s="352">
        <f>IF(NFI_Expiration=1,IF($A773&lt;VLOOKUP(M$5,NFI,5,0),1,0)*Table_NFI[[#This Row],[Winter Blanket]],Table_NFI[[#This Row],[Winter Blanket]])</f>
        <v>0</v>
      </c>
      <c r="AM773" s="352">
        <f>IF(Table_NFI[[#This Row],[Winter Clothes Adult]]+Table_NFI[[#This Row],[Winter Clothes Children]]+Table_NFI[[#This Row],[Winter Items Other]]+Table_NFI[[#This Row],[Winter Blanket]]&gt;0,1,0)</f>
        <v>0</v>
      </c>
      <c r="AN773" s="392">
        <f>IF(NFI_Expiration=1,IF($A773&lt;VLOOKUP(V$5,NFI,5,0),1,0)*Table_NFI[[#This Row],[Jerry Can]],Table_NFI[Jerry Can])</f>
        <v>4</v>
      </c>
      <c r="AO773" s="540" t="str">
        <f>IFERROR(VLOOKUP(Table_NFI[[#This Row],[Camp Name]],CL,2,0),"")</f>
        <v>MMR001CMP193</v>
      </c>
      <c r="AP773" s="535">
        <f ca="1">IF(Table_NFI[[#This Row],[Pcode]]="","",IF(OFFSET(CampList[Opening Date],MATCH(Table_NFI[[#This Row],[Pcode]],CampList[CP_Pcode],0)-1,0,1,1)&gt;=NFI_Monitor_Date,1,0))</f>
        <v>0</v>
      </c>
      <c r="AQ773" s="540" t="str">
        <f>IFERROR(VLOOKUP(Table_NFI[[#This Row],[Camp Name]],CL,3,0),"")</f>
        <v>Open</v>
      </c>
      <c r="AR773" s="352" t="str">
        <f ca="1">IF(Table_NFI[[#This Row],[Pcode]]="","",OFFSET(CampList[Priority],MATCH(Table_NFI[[#This Row],[Pcode]],CampList[CP_Pcode],0)-1,0,1,1))</f>
        <v>P4</v>
      </c>
      <c r="AS773" s="351">
        <f>IFERROR(Table_NFI[[#This Row],[Kitchen Set]]/VLOOKUP(Table_NFI[[#This Row],[Camp Name]],CL,4,0),"")</f>
        <v>0</v>
      </c>
      <c r="AT773" s="533"/>
      <c r="AU773" s="536"/>
    </row>
    <row r="774" spans="1:47" s="537" customFormat="1" hidden="1" x14ac:dyDescent="0.2">
      <c r="A774" s="355">
        <f t="shared" ref="A774:A837" si="12">IF(ISBLANK(B774),"",(Report_Date-B774)/30)</f>
        <v>19.600000000000001</v>
      </c>
      <c r="B774" s="532">
        <v>41983</v>
      </c>
      <c r="C774" s="533" t="s">
        <v>907</v>
      </c>
      <c r="D774" s="533" t="s">
        <v>907</v>
      </c>
      <c r="E774" s="533" t="s">
        <v>380</v>
      </c>
      <c r="F774" s="533" t="s">
        <v>5</v>
      </c>
      <c r="G774" s="533" t="s">
        <v>366</v>
      </c>
      <c r="H774" s="349"/>
      <c r="I774" s="349"/>
      <c r="J774" s="677">
        <v>245</v>
      </c>
      <c r="K774" s="349"/>
      <c r="L774" s="350"/>
      <c r="M774" s="350"/>
      <c r="N774" s="350"/>
      <c r="O774" s="350"/>
      <c r="P774" s="352"/>
      <c r="Q774" s="392"/>
      <c r="R774" s="392"/>
      <c r="S774" s="392"/>
      <c r="T774" s="392"/>
      <c r="U774" s="392"/>
      <c r="V774" s="497"/>
      <c r="W774" s="392"/>
      <c r="X774" s="392"/>
      <c r="Y774" s="352">
        <f>IF(NFI_Expiration=1,IF($A774&lt;VLOOKUP(H$5,NFI,5,0),1,0)*Table_NFI[[#This Row],[Hygiene Kit]],Table_NFI[Hygiene Kit])</f>
        <v>0</v>
      </c>
      <c r="Z774" s="352">
        <f>IF(NFI_Expiration=1,IF($A774&lt;VLOOKUP(I$5,NFI,5,0),1,0)*Table_NFI[[#This Row],[NFI Core Kit]],Table_NFI[NFI Core Kit])</f>
        <v>0</v>
      </c>
      <c r="AA774" s="352">
        <f>IF(NFI_Expiration=1,IF($A774&lt;VLOOKUP(J$5,NFI,5,0),1,0)*Table_NFI[[#This Row],[Sanitary Kit]],Table_NFI[Sanitary Kit])</f>
        <v>0</v>
      </c>
      <c r="AB774" s="352">
        <f>IF(NFI_Expiration=1,IF($A774&lt;VLOOKUP(K$5,NFI,5,0),1,0)*Table_NFI[[#This Row],[Mosquito net]],Table_NFI[Mosquito net])</f>
        <v>0</v>
      </c>
      <c r="AC774" s="352">
        <f>IF(NFI_Expiration=1,IF($A774&lt;VLOOKUP(L$5,NFI,5,0),1,0)*Table_NFI[[#This Row],[Tarpaulin]],Table_NFI[[#This Row],[Tarpaulin]])</f>
        <v>0</v>
      </c>
      <c r="AD774" s="352">
        <f>IF(NFI_Expiration=1,IF($A774&lt;VLOOKUP(M$5,NFI,5,0),1,0)*Table_NFI[[#This Row],[Blanket]],Table_NFI[[#This Row],[Blanket]])</f>
        <v>0</v>
      </c>
      <c r="AE774" s="352">
        <f>IF(NFI_Expiration=1,IF($A774&lt;VLOOKUP(N$5,NFI,5,0),1,0)*Table_NFI[[#This Row],[Kitchen Set]],Table_NFI[Kitchen Set])</f>
        <v>0</v>
      </c>
      <c r="AF774" s="352">
        <f>IF(NFI_Expiration=1,IF($A774&lt;VLOOKUP(O$5,NFI,5,0),1,0)*Table_NFI[[#This Row],[Clothes Kit]],Table_NFI[Clothes Kit])</f>
        <v>0</v>
      </c>
      <c r="AG774" s="352">
        <f>IF(NFI_Expiration=1,IF($A774&lt;VLOOKUP(P$5,NFI,5,0),1,0)*Table_NFI[[#This Row],[Plastic Bucket]],Table_NFI[Plastic Bucket])</f>
        <v>0</v>
      </c>
      <c r="AH774" s="352">
        <f>IF(NFI_Expiration=1,IF($A774&lt;VLOOKUP(Q$5,NFI,5,0),1,0)*Table_NFI[[#This Row],[Plastic Mat]],Table_NFI[Plastic Mat])*IF(Table_NFI[[#This Row],[Distribution Date]]&gt;"2014-04-01",1,2.5)</f>
        <v>0</v>
      </c>
      <c r="AI774" s="352">
        <f>IF(NFI_Expiration=1,IF($A774&lt;VLOOKUP(R$5,NFI,5,0),1,0)*Table_NFI[[#This Row],[Winter Clothes Adult]],Table_NFI[Winter Clothes Adult])</f>
        <v>0</v>
      </c>
      <c r="AJ774" s="352">
        <f>IF(NFI_Expiration=1,IF($A774&lt;VLOOKUP(S$5,NFI,5,0),1,0)*Table_NFI[[#This Row],[Winter Clothes Children]],Table_NFI[Winter Clothes Children])</f>
        <v>0</v>
      </c>
      <c r="AK774" s="352">
        <f>IF(NFI_Expiration=1,IF($A774&lt;VLOOKUP(T$5,NFI,5,0),1,0)*Table_NFI[[#This Row],[Winter Items Other]],Table_NFI[Winter Items Other])</f>
        <v>0</v>
      </c>
      <c r="AL774" s="352">
        <f>IF(NFI_Expiration=1,IF($A774&lt;VLOOKUP(M$5,NFI,5,0),1,0)*Table_NFI[[#This Row],[Winter Blanket]],Table_NFI[[#This Row],[Winter Blanket]])</f>
        <v>0</v>
      </c>
      <c r="AM774" s="352">
        <f>IF(Table_NFI[[#This Row],[Winter Clothes Adult]]+Table_NFI[[#This Row],[Winter Clothes Children]]+Table_NFI[[#This Row],[Winter Items Other]]+Table_NFI[[#This Row],[Winter Blanket]]&gt;0,1,0)</f>
        <v>0</v>
      </c>
      <c r="AN774" s="392">
        <f>IF(NFI_Expiration=1,IF($A774&lt;VLOOKUP(V$5,NFI,5,0),1,0)*Table_NFI[[#This Row],[Jerry Can]],Table_NFI[Jerry Can])</f>
        <v>0</v>
      </c>
      <c r="AO774" s="540" t="str">
        <f>IFERROR(VLOOKUP(Table_NFI[[#This Row],[Camp Name]],CL,2,0),"")</f>
        <v>MMR001CMP193</v>
      </c>
      <c r="AP774" s="535">
        <f ca="1">IF(Table_NFI[[#This Row],[Pcode]]="","",IF(OFFSET(CampList[Opening Date],MATCH(Table_NFI[[#This Row],[Pcode]],CampList[CP_Pcode],0)-1,0,1,1)&gt;=NFI_Monitor_Date,1,0))</f>
        <v>0</v>
      </c>
      <c r="AQ774" s="540" t="str">
        <f>IFERROR(VLOOKUP(Table_NFI[[#This Row],[Camp Name]],CL,3,0),"")</f>
        <v>Open</v>
      </c>
      <c r="AR774" s="352" t="str">
        <f ca="1">IF(Table_NFI[[#This Row],[Pcode]]="","",OFFSET(CampList[Priority],MATCH(Table_NFI[[#This Row],[Pcode]],CampList[CP_Pcode],0)-1,0,1,1))</f>
        <v>P4</v>
      </c>
      <c r="AS774" s="351">
        <f>IFERROR(Table_NFI[[#This Row],[Kitchen Set]]/VLOOKUP(Table_NFI[[#This Row],[Camp Name]],CL,4,0),"")</f>
        <v>0</v>
      </c>
      <c r="AT774" s="533"/>
      <c r="AU774" s="536"/>
    </row>
    <row r="775" spans="1:47" s="537" customFormat="1" hidden="1" x14ac:dyDescent="0.2">
      <c r="A775" s="355">
        <f t="shared" si="12"/>
        <v>13.933333333333334</v>
      </c>
      <c r="B775" s="532">
        <v>42153</v>
      </c>
      <c r="C775" s="533" t="s">
        <v>907</v>
      </c>
      <c r="D775" s="533" t="s">
        <v>907</v>
      </c>
      <c r="E775" s="533" t="s">
        <v>380</v>
      </c>
      <c r="F775" s="533" t="s">
        <v>5</v>
      </c>
      <c r="G775" s="533" t="s">
        <v>366</v>
      </c>
      <c r="H775" s="349"/>
      <c r="I775" s="349"/>
      <c r="J775" s="677">
        <v>258</v>
      </c>
      <c r="K775" s="349"/>
      <c r="L775" s="350"/>
      <c r="M775" s="350"/>
      <c r="N775" s="350"/>
      <c r="O775" s="350"/>
      <c r="P775" s="352"/>
      <c r="Q775" s="392"/>
      <c r="R775" s="392"/>
      <c r="S775" s="392"/>
      <c r="T775" s="392"/>
      <c r="U775" s="392"/>
      <c r="V775" s="497"/>
      <c r="W775" s="392"/>
      <c r="X775" s="392"/>
      <c r="Y775" s="352">
        <f>IF(NFI_Expiration=1,IF($A775&lt;VLOOKUP(H$5,NFI,5,0),1,0)*Table_NFI[[#This Row],[Hygiene Kit]],Table_NFI[Hygiene Kit])</f>
        <v>0</v>
      </c>
      <c r="Z775" s="352">
        <f>IF(NFI_Expiration=1,IF($A775&lt;VLOOKUP(I$5,NFI,5,0),1,0)*Table_NFI[[#This Row],[NFI Core Kit]],Table_NFI[NFI Core Kit])</f>
        <v>0</v>
      </c>
      <c r="AA775" s="352">
        <f>IF(NFI_Expiration=1,IF($A775&lt;VLOOKUP(J$5,NFI,5,0),1,0)*Table_NFI[[#This Row],[Sanitary Kit]],Table_NFI[Sanitary Kit])</f>
        <v>0</v>
      </c>
      <c r="AB775" s="352">
        <f>IF(NFI_Expiration=1,IF($A775&lt;VLOOKUP(K$5,NFI,5,0),1,0)*Table_NFI[[#This Row],[Mosquito net]],Table_NFI[Mosquito net])</f>
        <v>0</v>
      </c>
      <c r="AC775" s="352">
        <f>IF(NFI_Expiration=1,IF($A775&lt;VLOOKUP(L$5,NFI,5,0),1,0)*Table_NFI[[#This Row],[Tarpaulin]],Table_NFI[[#This Row],[Tarpaulin]])</f>
        <v>0</v>
      </c>
      <c r="AD775" s="352">
        <f>IF(NFI_Expiration=1,IF($A775&lt;VLOOKUP(M$5,NFI,5,0),1,0)*Table_NFI[[#This Row],[Blanket]],Table_NFI[[#This Row],[Blanket]])</f>
        <v>0</v>
      </c>
      <c r="AE775" s="352">
        <f>IF(NFI_Expiration=1,IF($A775&lt;VLOOKUP(N$5,NFI,5,0),1,0)*Table_NFI[[#This Row],[Kitchen Set]],Table_NFI[Kitchen Set])</f>
        <v>0</v>
      </c>
      <c r="AF775" s="352">
        <f>IF(NFI_Expiration=1,IF($A775&lt;VLOOKUP(O$5,NFI,5,0),1,0)*Table_NFI[[#This Row],[Clothes Kit]],Table_NFI[Clothes Kit])</f>
        <v>0</v>
      </c>
      <c r="AG775" s="352">
        <f>IF(NFI_Expiration=1,IF($A775&lt;VLOOKUP(P$5,NFI,5,0),1,0)*Table_NFI[[#This Row],[Plastic Bucket]],Table_NFI[Plastic Bucket])</f>
        <v>0</v>
      </c>
      <c r="AH775" s="352">
        <f>IF(NFI_Expiration=1,IF($A775&lt;VLOOKUP(Q$5,NFI,5,0),1,0)*Table_NFI[[#This Row],[Plastic Mat]],Table_NFI[Plastic Mat])*IF(Table_NFI[[#This Row],[Distribution Date]]&gt;"2014-04-01",1,2.5)</f>
        <v>0</v>
      </c>
      <c r="AI775" s="352">
        <f>IF(NFI_Expiration=1,IF($A775&lt;VLOOKUP(R$5,NFI,5,0),1,0)*Table_NFI[[#This Row],[Winter Clothes Adult]],Table_NFI[Winter Clothes Adult])</f>
        <v>0</v>
      </c>
      <c r="AJ775" s="352">
        <f>IF(NFI_Expiration=1,IF($A775&lt;VLOOKUP(S$5,NFI,5,0),1,0)*Table_NFI[[#This Row],[Winter Clothes Children]],Table_NFI[Winter Clothes Children])</f>
        <v>0</v>
      </c>
      <c r="AK775" s="352">
        <f>IF(NFI_Expiration=1,IF($A775&lt;VLOOKUP(T$5,NFI,5,0),1,0)*Table_NFI[[#This Row],[Winter Items Other]],Table_NFI[Winter Items Other])</f>
        <v>0</v>
      </c>
      <c r="AL775" s="352">
        <f>IF(NFI_Expiration=1,IF($A775&lt;VLOOKUP(M$5,NFI,5,0),1,0)*Table_NFI[[#This Row],[Winter Blanket]],Table_NFI[[#This Row],[Winter Blanket]])</f>
        <v>0</v>
      </c>
      <c r="AM775" s="352">
        <f>IF(Table_NFI[[#This Row],[Winter Clothes Adult]]+Table_NFI[[#This Row],[Winter Clothes Children]]+Table_NFI[[#This Row],[Winter Items Other]]+Table_NFI[[#This Row],[Winter Blanket]]&gt;0,1,0)</f>
        <v>0</v>
      </c>
      <c r="AN775" s="392">
        <f>IF(NFI_Expiration=1,IF($A775&lt;VLOOKUP(V$5,NFI,5,0),1,0)*Table_NFI[[#This Row],[Jerry Can]],Table_NFI[Jerry Can])</f>
        <v>0</v>
      </c>
      <c r="AO775" s="540" t="str">
        <f>IFERROR(VLOOKUP(Table_NFI[[#This Row],[Camp Name]],CL,2,0),"")</f>
        <v>MMR001CMP193</v>
      </c>
      <c r="AP775" s="535">
        <f ca="1">IF(Table_NFI[[#This Row],[Pcode]]="","",IF(OFFSET(CampList[Opening Date],MATCH(Table_NFI[[#This Row],[Pcode]],CampList[CP_Pcode],0)-1,0,1,1)&gt;=NFI_Monitor_Date,1,0))</f>
        <v>0</v>
      </c>
      <c r="AQ775" s="540" t="str">
        <f>IFERROR(VLOOKUP(Table_NFI[[#This Row],[Camp Name]],CL,3,0),"")</f>
        <v>Open</v>
      </c>
      <c r="AR775" s="352" t="str">
        <f ca="1">IF(Table_NFI[[#This Row],[Pcode]]="","",OFFSET(CampList[Priority],MATCH(Table_NFI[[#This Row],[Pcode]],CampList[CP_Pcode],0)-1,0,1,1))</f>
        <v>P4</v>
      </c>
      <c r="AS775" s="351">
        <f>IFERROR(Table_NFI[[#This Row],[Kitchen Set]]/VLOOKUP(Table_NFI[[#This Row],[Camp Name]],CL,4,0),"")</f>
        <v>0</v>
      </c>
      <c r="AT775" s="533"/>
      <c r="AU775" s="536"/>
    </row>
    <row r="776" spans="1:47" s="537" customFormat="1" hidden="1" x14ac:dyDescent="0.2">
      <c r="A776" s="355">
        <f t="shared" si="12"/>
        <v>5.6333333333333337</v>
      </c>
      <c r="B776" s="532">
        <v>42402</v>
      </c>
      <c r="C776" s="533" t="s">
        <v>907</v>
      </c>
      <c r="D776" s="533" t="s">
        <v>907</v>
      </c>
      <c r="E776" s="533" t="s">
        <v>380</v>
      </c>
      <c r="F776" s="533" t="s">
        <v>5</v>
      </c>
      <c r="G776" s="533" t="s">
        <v>366</v>
      </c>
      <c r="H776" s="349"/>
      <c r="I776" s="349"/>
      <c r="J776" s="677">
        <v>204</v>
      </c>
      <c r="K776" s="349"/>
      <c r="L776" s="350"/>
      <c r="M776" s="350"/>
      <c r="N776" s="350"/>
      <c r="O776" s="350"/>
      <c r="P776" s="352"/>
      <c r="Q776" s="392"/>
      <c r="R776" s="392"/>
      <c r="S776" s="392"/>
      <c r="T776" s="392"/>
      <c r="U776" s="392"/>
      <c r="V776" s="497"/>
      <c r="W776" s="392"/>
      <c r="X776" s="392"/>
      <c r="Y776" s="352">
        <f>IF(NFI_Expiration=1,IF($A776&lt;VLOOKUP(H$5,NFI,5,0),1,0)*Table_NFI[[#This Row],[Hygiene Kit]],Table_NFI[Hygiene Kit])</f>
        <v>0</v>
      </c>
      <c r="Z776" s="352">
        <f>IF(NFI_Expiration=1,IF($A776&lt;VLOOKUP(I$5,NFI,5,0),1,0)*Table_NFI[[#This Row],[NFI Core Kit]],Table_NFI[NFI Core Kit])</f>
        <v>0</v>
      </c>
      <c r="AA776" s="352">
        <f>IF(NFI_Expiration=1,IF($A776&lt;VLOOKUP(J$5,NFI,5,0),1,0)*Table_NFI[[#This Row],[Sanitary Kit]],Table_NFI[Sanitary Kit])</f>
        <v>204</v>
      </c>
      <c r="AB776" s="352">
        <f>IF(NFI_Expiration=1,IF($A776&lt;VLOOKUP(K$5,NFI,5,0),1,0)*Table_NFI[[#This Row],[Mosquito net]],Table_NFI[Mosquito net])</f>
        <v>0</v>
      </c>
      <c r="AC776" s="352">
        <f>IF(NFI_Expiration=1,IF($A776&lt;VLOOKUP(L$5,NFI,5,0),1,0)*Table_NFI[[#This Row],[Tarpaulin]],Table_NFI[[#This Row],[Tarpaulin]])</f>
        <v>0</v>
      </c>
      <c r="AD776" s="352">
        <f>IF(NFI_Expiration=1,IF($A776&lt;VLOOKUP(M$5,NFI,5,0),1,0)*Table_NFI[[#This Row],[Blanket]],Table_NFI[[#This Row],[Blanket]])</f>
        <v>0</v>
      </c>
      <c r="AE776" s="352">
        <f>IF(NFI_Expiration=1,IF($A776&lt;VLOOKUP(N$5,NFI,5,0),1,0)*Table_NFI[[#This Row],[Kitchen Set]],Table_NFI[Kitchen Set])</f>
        <v>0</v>
      </c>
      <c r="AF776" s="352">
        <f>IF(NFI_Expiration=1,IF($A776&lt;VLOOKUP(O$5,NFI,5,0),1,0)*Table_NFI[[#This Row],[Clothes Kit]],Table_NFI[Clothes Kit])</f>
        <v>0</v>
      </c>
      <c r="AG776" s="352">
        <f>IF(NFI_Expiration=1,IF($A776&lt;VLOOKUP(P$5,NFI,5,0),1,0)*Table_NFI[[#This Row],[Plastic Bucket]],Table_NFI[Plastic Bucket])</f>
        <v>0</v>
      </c>
      <c r="AH776" s="352">
        <f>IF(NFI_Expiration=1,IF($A776&lt;VLOOKUP(Q$5,NFI,5,0),1,0)*Table_NFI[[#This Row],[Plastic Mat]],Table_NFI[Plastic Mat])*IF(Table_NFI[[#This Row],[Distribution Date]]&gt;"2014-04-01",1,2.5)</f>
        <v>0</v>
      </c>
      <c r="AI776" s="352">
        <f>IF(NFI_Expiration=1,IF($A776&lt;VLOOKUP(R$5,NFI,5,0),1,0)*Table_NFI[[#This Row],[Winter Clothes Adult]],Table_NFI[Winter Clothes Adult])</f>
        <v>0</v>
      </c>
      <c r="AJ776" s="352">
        <f>IF(NFI_Expiration=1,IF($A776&lt;VLOOKUP(S$5,NFI,5,0),1,0)*Table_NFI[[#This Row],[Winter Clothes Children]],Table_NFI[Winter Clothes Children])</f>
        <v>0</v>
      </c>
      <c r="AK776" s="352">
        <f>IF(NFI_Expiration=1,IF($A776&lt;VLOOKUP(T$5,NFI,5,0),1,0)*Table_NFI[[#This Row],[Winter Items Other]],Table_NFI[Winter Items Other])</f>
        <v>0</v>
      </c>
      <c r="AL776" s="352">
        <f>IF(NFI_Expiration=1,IF($A776&lt;VLOOKUP(M$5,NFI,5,0),1,0)*Table_NFI[[#This Row],[Winter Blanket]],Table_NFI[[#This Row],[Winter Blanket]])</f>
        <v>0</v>
      </c>
      <c r="AM776" s="352">
        <f>IF(Table_NFI[[#This Row],[Winter Clothes Adult]]+Table_NFI[[#This Row],[Winter Clothes Children]]+Table_NFI[[#This Row],[Winter Items Other]]+Table_NFI[[#This Row],[Winter Blanket]]&gt;0,1,0)</f>
        <v>0</v>
      </c>
      <c r="AN776" s="392">
        <f>IF(NFI_Expiration=1,IF($A776&lt;VLOOKUP(V$5,NFI,5,0),1,0)*Table_NFI[[#This Row],[Jerry Can]],Table_NFI[Jerry Can])</f>
        <v>0</v>
      </c>
      <c r="AO776" s="540" t="str">
        <f>IFERROR(VLOOKUP(Table_NFI[[#This Row],[Camp Name]],CL,2,0),"")</f>
        <v>MMR001CMP193</v>
      </c>
      <c r="AP776" s="535">
        <f ca="1">IF(Table_NFI[[#This Row],[Pcode]]="","",IF(OFFSET(CampList[Opening Date],MATCH(Table_NFI[[#This Row],[Pcode]],CampList[CP_Pcode],0)-1,0,1,1)&gt;=NFI_Monitor_Date,1,0))</f>
        <v>0</v>
      </c>
      <c r="AQ776" s="540" t="str">
        <f>IFERROR(VLOOKUP(Table_NFI[[#This Row],[Camp Name]],CL,3,0),"")</f>
        <v>Open</v>
      </c>
      <c r="AR776" s="352" t="str">
        <f ca="1">IF(Table_NFI[[#This Row],[Pcode]]="","",OFFSET(CampList[Priority],MATCH(Table_NFI[[#This Row],[Pcode]],CampList[CP_Pcode],0)-1,0,1,1))</f>
        <v>P4</v>
      </c>
      <c r="AS776" s="351">
        <f>IFERROR(Table_NFI[[#This Row],[Kitchen Set]]/VLOOKUP(Table_NFI[[#This Row],[Camp Name]],CL,4,0),"")</f>
        <v>0</v>
      </c>
      <c r="AT776" s="533"/>
      <c r="AU776" s="536"/>
    </row>
    <row r="777" spans="1:47" s="537" customFormat="1" hidden="1" x14ac:dyDescent="0.25">
      <c r="A777" s="355">
        <f t="shared" si="12"/>
        <v>32.1</v>
      </c>
      <c r="B777" s="532">
        <v>41608</v>
      </c>
      <c r="C777" s="533" t="s">
        <v>907</v>
      </c>
      <c r="D777" s="533"/>
      <c r="E777" s="533" t="s">
        <v>380</v>
      </c>
      <c r="F777" s="348" t="s">
        <v>5</v>
      </c>
      <c r="G777" s="348" t="s">
        <v>366</v>
      </c>
      <c r="H777" s="349"/>
      <c r="I777" s="349"/>
      <c r="J777" s="349"/>
      <c r="K777" s="349"/>
      <c r="L777" s="350"/>
      <c r="M777" s="350"/>
      <c r="N777" s="350"/>
      <c r="O777" s="350"/>
      <c r="P777" s="352"/>
      <c r="Q777" s="352"/>
      <c r="R777" s="352"/>
      <c r="S777" s="352"/>
      <c r="T777" s="352"/>
      <c r="U777" s="352"/>
      <c r="V777" s="497"/>
      <c r="W777" s="352"/>
      <c r="X777" s="352"/>
      <c r="Y777" s="352">
        <f>IF(NFI_Expiration=1,IF($A777&lt;VLOOKUP(H$5,NFI,5,0),1,0)*Table_NFI[[#This Row],[Hygiene Kit]],Table_NFI[Hygiene Kit])</f>
        <v>0</v>
      </c>
      <c r="Z777" s="352">
        <f>IF(NFI_Expiration=1,IF($A777&lt;VLOOKUP(I$5,NFI,5,0),1,0)*Table_NFI[[#This Row],[NFI Core Kit]],Table_NFI[NFI Core Kit])</f>
        <v>0</v>
      </c>
      <c r="AA777" s="352">
        <f>IF(NFI_Expiration=1,IF($A777&lt;VLOOKUP(J$5,NFI,5,0),1,0)*Table_NFI[[#This Row],[Sanitary Kit]],Table_NFI[Sanitary Kit])</f>
        <v>0</v>
      </c>
      <c r="AB777" s="352">
        <f>IF(NFI_Expiration=1,IF($A777&lt;VLOOKUP(K$5,NFI,5,0),1,0)*Table_NFI[[#This Row],[Mosquito net]],Table_NFI[Mosquito net])</f>
        <v>0</v>
      </c>
      <c r="AC777" s="352">
        <f>IF(NFI_Expiration=1,IF($A777&lt;VLOOKUP(L$5,NFI,5,0),1,0)*Table_NFI[[#This Row],[Tarpaulin]],Table_NFI[[#This Row],[Tarpaulin]])</f>
        <v>0</v>
      </c>
      <c r="AD777" s="352">
        <f>IF(NFI_Expiration=1,IF($A777&lt;VLOOKUP(M$5,NFI,5,0),1,0)*Table_NFI[[#This Row],[Blanket]],Table_NFI[[#This Row],[Blanket]])</f>
        <v>0</v>
      </c>
      <c r="AE777" s="352">
        <f>IF(NFI_Expiration=1,IF($A777&lt;VLOOKUP(N$5,NFI,5,0),1,0)*Table_NFI[[#This Row],[Kitchen Set]],Table_NFI[Kitchen Set])</f>
        <v>0</v>
      </c>
      <c r="AF777" s="352">
        <f>IF(NFI_Expiration=1,IF($A777&lt;VLOOKUP(O$5,NFI,5,0),1,0)*Table_NFI[[#This Row],[Clothes Kit]],Table_NFI[Clothes Kit])</f>
        <v>0</v>
      </c>
      <c r="AG777" s="352">
        <f>IF(NFI_Expiration=1,IF($A777&lt;VLOOKUP(P$5,NFI,5,0),1,0)*Table_NFI[[#This Row],[Plastic Bucket]],Table_NFI[Plastic Bucket])</f>
        <v>0</v>
      </c>
      <c r="AH777" s="352">
        <f>IF(NFI_Expiration=1,IF($A777&lt;VLOOKUP(Q$5,NFI,5,0),1,0)*Table_NFI[[#This Row],[Plastic Mat]],Table_NFI[Plastic Mat])*IF(Table_NFI[[#This Row],[Distribution Date]]&gt;"2014-04-01",1,2.5)</f>
        <v>0</v>
      </c>
      <c r="AI777" s="352">
        <f>IF(NFI_Expiration=1,IF($A777&lt;VLOOKUP(R$5,NFI,5,0),1,0)*Table_NFI[[#This Row],[Winter Clothes Adult]],Table_NFI[Winter Clothes Adult])</f>
        <v>0</v>
      </c>
      <c r="AJ777" s="352">
        <f>IF(NFI_Expiration=1,IF($A777&lt;VLOOKUP(S$5,NFI,5,0),1,0)*Table_NFI[[#This Row],[Winter Clothes Children]],Table_NFI[Winter Clothes Children])</f>
        <v>0</v>
      </c>
      <c r="AK777" s="352">
        <f>IF(NFI_Expiration=1,IF($A777&lt;VLOOKUP(T$5,NFI,5,0),1,0)*Table_NFI[[#This Row],[Winter Items Other]],Table_NFI[Winter Items Other])</f>
        <v>0</v>
      </c>
      <c r="AL777" s="352">
        <f>IF(NFI_Expiration=1,IF($A777&lt;VLOOKUP(M$5,NFI,5,0),1,0)*Table_NFI[[#This Row],[Winter Blanket]],Table_NFI[[#This Row],[Winter Blanket]])</f>
        <v>0</v>
      </c>
      <c r="AM777" s="352">
        <f>IF(Table_NFI[[#This Row],[Winter Clothes Adult]]+Table_NFI[[#This Row],[Winter Clothes Children]]+Table_NFI[[#This Row],[Winter Items Other]]+Table_NFI[[#This Row],[Winter Blanket]]&gt;0,1,0)</f>
        <v>0</v>
      </c>
      <c r="AN777" s="392">
        <f>IF(NFI_Expiration=1,IF($A777&lt;VLOOKUP(V$5,NFI,5,0),1,0)*Table_NFI[[#This Row],[Jerry Can]],Table_NFI[Jerry Can])</f>
        <v>0</v>
      </c>
      <c r="AO777" s="540" t="str">
        <f>IFERROR(VLOOKUP(Table_NFI[[#This Row],[Camp Name]],CL,2,0),"")</f>
        <v>MMR001CMP193</v>
      </c>
      <c r="AP777" s="535">
        <f ca="1">IF(Table_NFI[[#This Row],[Pcode]]="","",IF(OFFSET(CampList[Opening Date],MATCH(Table_NFI[[#This Row],[Pcode]],CampList[CP_Pcode],0)-1,0,1,1)&gt;=NFI_Monitor_Date,1,0))</f>
        <v>0</v>
      </c>
      <c r="AQ777" s="540" t="str">
        <f>IFERROR(VLOOKUP(Table_NFI[[#This Row],[Camp Name]],CL,3,0),"")</f>
        <v>Open</v>
      </c>
      <c r="AR777" s="352" t="str">
        <f ca="1">IF(Table_NFI[[#This Row],[Pcode]]="","",OFFSET(CampList[Priority],MATCH(Table_NFI[[#This Row],[Pcode]],CampList[CP_Pcode],0)-1,0,1,1))</f>
        <v>P4</v>
      </c>
      <c r="AS777" s="351">
        <f>IFERROR(Table_NFI[[#This Row],[Kitchen Set]]/VLOOKUP(Table_NFI[[#This Row],[Camp Name]],CL,4,0),"")</f>
        <v>0</v>
      </c>
      <c r="AT777" s="533" t="s">
        <v>1094</v>
      </c>
      <c r="AU777" s="536"/>
    </row>
    <row r="778" spans="1:47" s="537" customFormat="1" ht="14.45" customHeight="1" x14ac:dyDescent="0.25">
      <c r="A778" s="355">
        <f t="shared" si="12"/>
        <v>48.8</v>
      </c>
      <c r="B778" s="532">
        <v>41107</v>
      </c>
      <c r="C778" s="533" t="s">
        <v>453</v>
      </c>
      <c r="D778" s="534" t="s">
        <v>453</v>
      </c>
      <c r="E778" s="533" t="s">
        <v>380</v>
      </c>
      <c r="F778" s="348" t="s">
        <v>237</v>
      </c>
      <c r="G778" s="348" t="s">
        <v>253</v>
      </c>
      <c r="H778" s="349"/>
      <c r="I778" s="349"/>
      <c r="J778" s="349"/>
      <c r="K778" s="349">
        <v>21</v>
      </c>
      <c r="L778" s="350">
        <v>21</v>
      </c>
      <c r="M778" s="350">
        <v>21</v>
      </c>
      <c r="N778" s="350">
        <v>21</v>
      </c>
      <c r="O778" s="350">
        <v>21</v>
      </c>
      <c r="P778" s="352">
        <v>21</v>
      </c>
      <c r="Q778" s="352">
        <v>21</v>
      </c>
      <c r="R778" s="352"/>
      <c r="S778" s="352"/>
      <c r="T778" s="352"/>
      <c r="U778" s="352"/>
      <c r="V778" s="497"/>
      <c r="W778" s="352"/>
      <c r="X778" s="352"/>
      <c r="Y778" s="352">
        <f>IF(NFI_Expiration=1,IF($A778&lt;VLOOKUP(H$5,NFI,5,0),1,0)*Table_NFI[[#This Row],[Hygiene Kit]],Table_NFI[Hygiene Kit])</f>
        <v>0</v>
      </c>
      <c r="Z778" s="352">
        <f>IF(NFI_Expiration=1,IF($A778&lt;VLOOKUP(I$5,NFI,5,0),1,0)*Table_NFI[[#This Row],[NFI Core Kit]],Table_NFI[NFI Core Kit])</f>
        <v>0</v>
      </c>
      <c r="AA778" s="352">
        <f>IF(NFI_Expiration=1,IF($A778&lt;VLOOKUP(J$5,NFI,5,0),1,0)*Table_NFI[[#This Row],[Sanitary Kit]],Table_NFI[Sanitary Kit])</f>
        <v>0</v>
      </c>
      <c r="AB778" s="352">
        <f>IF(NFI_Expiration=1,IF($A778&lt;VLOOKUP(K$5,NFI,5,0),1,0)*Table_NFI[[#This Row],[Mosquito net]],Table_NFI[Mosquito net])</f>
        <v>0</v>
      </c>
      <c r="AC778" s="352">
        <f>IF(NFI_Expiration=1,IF($A778&lt;VLOOKUP(L$5,NFI,5,0),1,0)*Table_NFI[[#This Row],[Tarpaulin]],Table_NFI[[#This Row],[Tarpaulin]])</f>
        <v>0</v>
      </c>
      <c r="AD778" s="352">
        <f>IF(NFI_Expiration=1,IF($A778&lt;VLOOKUP(M$5,NFI,5,0),1,0)*Table_NFI[[#This Row],[Blanket]],Table_NFI[[#This Row],[Blanket]])</f>
        <v>0</v>
      </c>
      <c r="AE778" s="352">
        <f>IF(NFI_Expiration=1,IF($A778&lt;VLOOKUP(N$5,NFI,5,0),1,0)*Table_NFI[[#This Row],[Kitchen Set]],Table_NFI[Kitchen Set])</f>
        <v>0</v>
      </c>
      <c r="AF778" s="352">
        <f>IF(NFI_Expiration=1,IF($A778&lt;VLOOKUP(O$5,NFI,5,0),1,0)*Table_NFI[[#This Row],[Clothes Kit]],Table_NFI[Clothes Kit])</f>
        <v>0</v>
      </c>
      <c r="AG778" s="352">
        <f>IF(NFI_Expiration=1,IF($A778&lt;VLOOKUP(P$5,NFI,5,0),1,0)*Table_NFI[[#This Row],[Plastic Bucket]],Table_NFI[Plastic Bucket])</f>
        <v>0</v>
      </c>
      <c r="AH778" s="352">
        <f>IF(NFI_Expiration=1,IF($A778&lt;VLOOKUP(Q$5,NFI,5,0),1,0)*Table_NFI[[#This Row],[Plastic Mat]],Table_NFI[Plastic Mat])*IF(Table_NFI[[#This Row],[Distribution Date]]&gt;"2014-04-01",1,2.5)</f>
        <v>0</v>
      </c>
      <c r="AI778" s="352">
        <f>IF(NFI_Expiration=1,IF($A778&lt;VLOOKUP(R$5,NFI,5,0),1,0)*Table_NFI[[#This Row],[Winter Clothes Adult]],Table_NFI[Winter Clothes Adult])</f>
        <v>0</v>
      </c>
      <c r="AJ778" s="352">
        <f>IF(NFI_Expiration=1,IF($A778&lt;VLOOKUP(S$5,NFI,5,0),1,0)*Table_NFI[[#This Row],[Winter Clothes Children]],Table_NFI[Winter Clothes Children])</f>
        <v>0</v>
      </c>
      <c r="AK778" s="352">
        <f>IF(NFI_Expiration=1,IF($A778&lt;VLOOKUP(T$5,NFI,5,0),1,0)*Table_NFI[[#This Row],[Winter Items Other]],Table_NFI[Winter Items Other])</f>
        <v>0</v>
      </c>
      <c r="AL778" s="352">
        <f>IF(NFI_Expiration=1,IF($A778&lt;VLOOKUP(M$5,NFI,5,0),1,0)*Table_NFI[[#This Row],[Winter Blanket]],Table_NFI[[#This Row],[Winter Blanket]])</f>
        <v>0</v>
      </c>
      <c r="AM778" s="352">
        <f>IF(Table_NFI[[#This Row],[Winter Clothes Adult]]+Table_NFI[[#This Row],[Winter Clothes Children]]+Table_NFI[[#This Row],[Winter Items Other]]+Table_NFI[[#This Row],[Winter Blanket]]&gt;0,1,0)</f>
        <v>0</v>
      </c>
      <c r="AN778" s="392">
        <f>IF(NFI_Expiration=1,IF($A778&lt;VLOOKUP(V$5,NFI,5,0),1,0)*Table_NFI[[#This Row],[Jerry Can]],Table_NFI[Jerry Can])</f>
        <v>0</v>
      </c>
      <c r="AO778" s="540" t="str">
        <f>IFERROR(VLOOKUP(Table_NFI[[#This Row],[Camp Name]],CL,2,0),"")</f>
        <v>MMR001CMP018</v>
      </c>
      <c r="AP778" s="535">
        <f ca="1">IF(Table_NFI[[#This Row],[Pcode]]="","",IF(OFFSET(CampList[Opening Date],MATCH(Table_NFI[[#This Row],[Pcode]],CampList[CP_Pcode],0)-1,0,1,1)&gt;=NFI_Monitor_Date,1,0))</f>
        <v>0</v>
      </c>
      <c r="AQ778" s="540" t="str">
        <f>IFERROR(VLOOKUP(Table_NFI[[#This Row],[Camp Name]],CL,3,0),"")</f>
        <v>Open</v>
      </c>
      <c r="AR778" s="352" t="str">
        <f ca="1">IF(Table_NFI[[#This Row],[Pcode]]="","",OFFSET(CampList[Priority],MATCH(Table_NFI[[#This Row],[Pcode]],CampList[CP_Pcode],0)-1,0,1,1))</f>
        <v>P4</v>
      </c>
      <c r="AS778" s="351">
        <f>IFERROR(Table_NFI[[#This Row],[Kitchen Set]]/VLOOKUP(Table_NFI[[#This Row],[Camp Name]],CL,4,0),"")</f>
        <v>0.10606060606060606</v>
      </c>
      <c r="AT778" s="533" t="s">
        <v>1094</v>
      </c>
      <c r="AU778" s="536"/>
    </row>
    <row r="779" spans="1:47" s="537" customFormat="1" ht="14.45" customHeight="1" x14ac:dyDescent="0.25">
      <c r="A779" s="355">
        <f t="shared" si="12"/>
        <v>48.8</v>
      </c>
      <c r="B779" s="532">
        <v>41107</v>
      </c>
      <c r="C779" s="533" t="s">
        <v>453</v>
      </c>
      <c r="D779" s="534" t="s">
        <v>453</v>
      </c>
      <c r="E779" s="533" t="s">
        <v>380</v>
      </c>
      <c r="F779" s="348" t="s">
        <v>185</v>
      </c>
      <c r="G779" s="348" t="s">
        <v>190</v>
      </c>
      <c r="H779" s="349"/>
      <c r="I779" s="349"/>
      <c r="J779" s="349"/>
      <c r="K779" s="349">
        <v>0</v>
      </c>
      <c r="L779" s="350">
        <v>0</v>
      </c>
      <c r="M779" s="350">
        <v>0</v>
      </c>
      <c r="N779" s="350">
        <v>0</v>
      </c>
      <c r="O779" s="350">
        <v>0</v>
      </c>
      <c r="P779" s="352"/>
      <c r="Q779" s="352"/>
      <c r="R779" s="352"/>
      <c r="S779" s="352"/>
      <c r="T779" s="352"/>
      <c r="U779" s="352"/>
      <c r="V779" s="497"/>
      <c r="W779" s="352"/>
      <c r="X779" s="352"/>
      <c r="Y779" s="352">
        <f>IF(NFI_Expiration=1,IF($A779&lt;VLOOKUP(H$5,NFI,5,0),1,0)*Table_NFI[[#This Row],[Hygiene Kit]],Table_NFI[Hygiene Kit])</f>
        <v>0</v>
      </c>
      <c r="Z779" s="352">
        <f>IF(NFI_Expiration=1,IF($A779&lt;VLOOKUP(I$5,NFI,5,0),1,0)*Table_NFI[[#This Row],[NFI Core Kit]],Table_NFI[NFI Core Kit])</f>
        <v>0</v>
      </c>
      <c r="AA779" s="352">
        <f>IF(NFI_Expiration=1,IF($A779&lt;VLOOKUP(J$5,NFI,5,0),1,0)*Table_NFI[[#This Row],[Sanitary Kit]],Table_NFI[Sanitary Kit])</f>
        <v>0</v>
      </c>
      <c r="AB779" s="352">
        <f>IF(NFI_Expiration=1,IF($A779&lt;VLOOKUP(K$5,NFI,5,0),1,0)*Table_NFI[[#This Row],[Mosquito net]],Table_NFI[Mosquito net])</f>
        <v>0</v>
      </c>
      <c r="AC779" s="352">
        <f>IF(NFI_Expiration=1,IF($A779&lt;VLOOKUP(L$5,NFI,5,0),1,0)*Table_NFI[[#This Row],[Tarpaulin]],Table_NFI[[#This Row],[Tarpaulin]])</f>
        <v>0</v>
      </c>
      <c r="AD779" s="352">
        <f>IF(NFI_Expiration=1,IF($A779&lt;VLOOKUP(M$5,NFI,5,0),1,0)*Table_NFI[[#This Row],[Blanket]],Table_NFI[[#This Row],[Blanket]])</f>
        <v>0</v>
      </c>
      <c r="AE779" s="352">
        <f>IF(NFI_Expiration=1,IF($A779&lt;VLOOKUP(N$5,NFI,5,0),1,0)*Table_NFI[[#This Row],[Kitchen Set]],Table_NFI[Kitchen Set])</f>
        <v>0</v>
      </c>
      <c r="AF779" s="352">
        <f>IF(NFI_Expiration=1,IF($A779&lt;VLOOKUP(O$5,NFI,5,0),1,0)*Table_NFI[[#This Row],[Clothes Kit]],Table_NFI[Clothes Kit])</f>
        <v>0</v>
      </c>
      <c r="AG779" s="352">
        <f>IF(NFI_Expiration=1,IF($A779&lt;VLOOKUP(P$5,NFI,5,0),1,0)*Table_NFI[[#This Row],[Plastic Bucket]],Table_NFI[Plastic Bucket])</f>
        <v>0</v>
      </c>
      <c r="AH779" s="352">
        <f>IF(NFI_Expiration=1,IF($A779&lt;VLOOKUP(Q$5,NFI,5,0),1,0)*Table_NFI[[#This Row],[Plastic Mat]],Table_NFI[Plastic Mat])*IF(Table_NFI[[#This Row],[Distribution Date]]&gt;"2014-04-01",1,2.5)</f>
        <v>0</v>
      </c>
      <c r="AI779" s="352">
        <f>IF(NFI_Expiration=1,IF($A779&lt;VLOOKUP(R$5,NFI,5,0),1,0)*Table_NFI[[#This Row],[Winter Clothes Adult]],Table_NFI[Winter Clothes Adult])</f>
        <v>0</v>
      </c>
      <c r="AJ779" s="352">
        <f>IF(NFI_Expiration=1,IF($A779&lt;VLOOKUP(S$5,NFI,5,0),1,0)*Table_NFI[[#This Row],[Winter Clothes Children]],Table_NFI[Winter Clothes Children])</f>
        <v>0</v>
      </c>
      <c r="AK779" s="352">
        <f>IF(NFI_Expiration=1,IF($A779&lt;VLOOKUP(T$5,NFI,5,0),1,0)*Table_NFI[[#This Row],[Winter Items Other]],Table_NFI[Winter Items Other])</f>
        <v>0</v>
      </c>
      <c r="AL779" s="352">
        <f>IF(NFI_Expiration=1,IF($A779&lt;VLOOKUP(M$5,NFI,5,0),1,0)*Table_NFI[[#This Row],[Winter Blanket]],Table_NFI[[#This Row],[Winter Blanket]])</f>
        <v>0</v>
      </c>
      <c r="AM779" s="352">
        <f>IF(Table_NFI[[#This Row],[Winter Clothes Adult]]+Table_NFI[[#This Row],[Winter Clothes Children]]+Table_NFI[[#This Row],[Winter Items Other]]+Table_NFI[[#This Row],[Winter Blanket]]&gt;0,1,0)</f>
        <v>0</v>
      </c>
      <c r="AN779" s="392">
        <f>IF(NFI_Expiration=1,IF($A779&lt;VLOOKUP(V$5,NFI,5,0),1,0)*Table_NFI[[#This Row],[Jerry Can]],Table_NFI[Jerry Can])</f>
        <v>0</v>
      </c>
      <c r="AO779" s="540" t="str">
        <f>IFERROR(VLOOKUP(Table_NFI[[#This Row],[Camp Name]],CL,2,0),"")</f>
        <v>MMR001CMP070</v>
      </c>
      <c r="AP779" s="535">
        <f ca="1">IF(Table_NFI[[#This Row],[Pcode]]="","",IF(OFFSET(CampList[Opening Date],MATCH(Table_NFI[[#This Row],[Pcode]],CampList[CP_Pcode],0)-1,0,1,1)&gt;=NFI_Monitor_Date,1,0))</f>
        <v>0</v>
      </c>
      <c r="AQ779" s="540" t="str">
        <f>IFERROR(VLOOKUP(Table_NFI[[#This Row],[Camp Name]],CL,3,0),"")</f>
        <v>Open</v>
      </c>
      <c r="AR779" s="352" t="str">
        <f ca="1">IF(Table_NFI[[#This Row],[Pcode]]="","",OFFSET(CampList[Priority],MATCH(Table_NFI[[#This Row],[Pcode]],CampList[CP_Pcode],0)-1,0,1,1))</f>
        <v>P3</v>
      </c>
      <c r="AS779" s="351">
        <f>IFERROR(Table_NFI[[#This Row],[Kitchen Set]]/VLOOKUP(Table_NFI[[#This Row],[Camp Name]],CL,4,0),"")</f>
        <v>0</v>
      </c>
      <c r="AT779" s="533" t="s">
        <v>1094</v>
      </c>
      <c r="AU779" s="536"/>
    </row>
    <row r="780" spans="1:47" s="537" customFormat="1" hidden="1" x14ac:dyDescent="0.25">
      <c r="A780" s="355">
        <f t="shared" si="12"/>
        <v>32.866666666666667</v>
      </c>
      <c r="B780" s="532">
        <v>41585</v>
      </c>
      <c r="C780" s="533" t="s">
        <v>907</v>
      </c>
      <c r="D780" s="533" t="s">
        <v>907</v>
      </c>
      <c r="E780" s="533" t="s">
        <v>380</v>
      </c>
      <c r="F780" s="533" t="s">
        <v>5</v>
      </c>
      <c r="G780" s="533" t="s">
        <v>366</v>
      </c>
      <c r="H780" s="349"/>
      <c r="I780" s="349"/>
      <c r="J780" s="349"/>
      <c r="K780" s="349"/>
      <c r="L780" s="350"/>
      <c r="M780" s="350"/>
      <c r="N780" s="350"/>
      <c r="O780" s="350"/>
      <c r="P780" s="352"/>
      <c r="Q780" s="352"/>
      <c r="R780" s="352">
        <v>23</v>
      </c>
      <c r="S780" s="352">
        <v>41</v>
      </c>
      <c r="T780" s="352">
        <v>128</v>
      </c>
      <c r="U780" s="352">
        <v>64</v>
      </c>
      <c r="V780" s="497"/>
      <c r="W780" s="352"/>
      <c r="X780" s="352"/>
      <c r="Y780" s="352">
        <f>IF(NFI_Expiration=1,IF($A780&lt;VLOOKUP(H$5,NFI,5,0),1,0)*Table_NFI[[#This Row],[Hygiene Kit]],Table_NFI[Hygiene Kit])</f>
        <v>0</v>
      </c>
      <c r="Z780" s="352">
        <f>IF(NFI_Expiration=1,IF($A780&lt;VLOOKUP(I$5,NFI,5,0),1,0)*Table_NFI[[#This Row],[NFI Core Kit]],Table_NFI[NFI Core Kit])</f>
        <v>0</v>
      </c>
      <c r="AA780" s="352">
        <f>IF(NFI_Expiration=1,IF($A780&lt;VLOOKUP(J$5,NFI,5,0),1,0)*Table_NFI[[#This Row],[Sanitary Kit]],Table_NFI[Sanitary Kit])</f>
        <v>0</v>
      </c>
      <c r="AB780" s="352">
        <f>IF(NFI_Expiration=1,IF($A780&lt;VLOOKUP(K$5,NFI,5,0),1,0)*Table_NFI[[#This Row],[Mosquito net]],Table_NFI[Mosquito net])</f>
        <v>0</v>
      </c>
      <c r="AC780" s="352">
        <f>IF(NFI_Expiration=1,IF($A780&lt;VLOOKUP(L$5,NFI,5,0),1,0)*Table_NFI[[#This Row],[Tarpaulin]],Table_NFI[[#This Row],[Tarpaulin]])</f>
        <v>0</v>
      </c>
      <c r="AD780" s="352">
        <f>IF(NFI_Expiration=1,IF($A780&lt;VLOOKUP(M$5,NFI,5,0),1,0)*Table_NFI[[#This Row],[Blanket]],Table_NFI[[#This Row],[Blanket]])</f>
        <v>0</v>
      </c>
      <c r="AE780" s="352">
        <f>IF(NFI_Expiration=1,IF($A780&lt;VLOOKUP(N$5,NFI,5,0),1,0)*Table_NFI[[#This Row],[Kitchen Set]],Table_NFI[Kitchen Set])</f>
        <v>0</v>
      </c>
      <c r="AF780" s="352">
        <f>IF(NFI_Expiration=1,IF($A780&lt;VLOOKUP(O$5,NFI,5,0),1,0)*Table_NFI[[#This Row],[Clothes Kit]],Table_NFI[Clothes Kit])</f>
        <v>0</v>
      </c>
      <c r="AG780" s="352">
        <f>IF(NFI_Expiration=1,IF($A780&lt;VLOOKUP(P$5,NFI,5,0),1,0)*Table_NFI[[#This Row],[Plastic Bucket]],Table_NFI[Plastic Bucket])</f>
        <v>0</v>
      </c>
      <c r="AH780" s="352">
        <f>IF(NFI_Expiration=1,IF($A780&lt;VLOOKUP(Q$5,NFI,5,0),1,0)*Table_NFI[[#This Row],[Plastic Mat]],Table_NFI[Plastic Mat])*IF(Table_NFI[[#This Row],[Distribution Date]]&gt;"2014-04-01",1,2.5)</f>
        <v>0</v>
      </c>
      <c r="AI780" s="352">
        <f>IF(NFI_Expiration=1,IF($A780&lt;VLOOKUP(R$5,NFI,5,0),1,0)*Table_NFI[[#This Row],[Winter Clothes Adult]],Table_NFI[Winter Clothes Adult])</f>
        <v>0</v>
      </c>
      <c r="AJ780" s="352">
        <f>IF(NFI_Expiration=1,IF($A780&lt;VLOOKUP(S$5,NFI,5,0),1,0)*Table_NFI[[#This Row],[Winter Clothes Children]],Table_NFI[Winter Clothes Children])</f>
        <v>0</v>
      </c>
      <c r="AK780" s="352">
        <f>IF(NFI_Expiration=1,IF($A780&lt;VLOOKUP(T$5,NFI,5,0),1,0)*Table_NFI[[#This Row],[Winter Items Other]],Table_NFI[Winter Items Other])</f>
        <v>0</v>
      </c>
      <c r="AL780" s="352">
        <f>IF(NFI_Expiration=1,IF($A780&lt;VLOOKUP(M$5,NFI,5,0),1,0)*Table_NFI[[#This Row],[Winter Blanket]],Table_NFI[[#This Row],[Winter Blanket]])</f>
        <v>0</v>
      </c>
      <c r="AM780" s="352">
        <f>IF(Table_NFI[[#This Row],[Winter Clothes Adult]]+Table_NFI[[#This Row],[Winter Clothes Children]]+Table_NFI[[#This Row],[Winter Items Other]]+Table_NFI[[#This Row],[Winter Blanket]]&gt;0,1,0)</f>
        <v>1</v>
      </c>
      <c r="AN780" s="392">
        <f>IF(NFI_Expiration=1,IF($A780&lt;VLOOKUP(V$5,NFI,5,0),1,0)*Table_NFI[[#This Row],[Jerry Can]],Table_NFI[Jerry Can])</f>
        <v>0</v>
      </c>
      <c r="AO780" s="540" t="str">
        <f>IFERROR(VLOOKUP(Table_NFI[[#This Row],[Camp Name]],CL,2,0),"")</f>
        <v>MMR001CMP193</v>
      </c>
      <c r="AP780" s="535">
        <f ca="1">IF(Table_NFI[[#This Row],[Pcode]]="","",IF(OFFSET(CampList[Opening Date],MATCH(Table_NFI[[#This Row],[Pcode]],CampList[CP_Pcode],0)-1,0,1,1)&gt;=NFI_Monitor_Date,1,0))</f>
        <v>0</v>
      </c>
      <c r="AQ780" s="540" t="str">
        <f>IFERROR(VLOOKUP(Table_NFI[[#This Row],[Camp Name]],CL,3,0),"")</f>
        <v>Open</v>
      </c>
      <c r="AR780" s="352" t="str">
        <f ca="1">IF(Table_NFI[[#This Row],[Pcode]]="","",OFFSET(CampList[Priority],MATCH(Table_NFI[[#This Row],[Pcode]],CampList[CP_Pcode],0)-1,0,1,1))</f>
        <v>P4</v>
      </c>
      <c r="AS780" s="351">
        <f>IFERROR(Table_NFI[[#This Row],[Kitchen Set]]/VLOOKUP(Table_NFI[[#This Row],[Camp Name]],CL,4,0),"")</f>
        <v>0</v>
      </c>
      <c r="AT780" s="533"/>
      <c r="AU780" s="536"/>
    </row>
    <row r="781" spans="1:47" s="537" customFormat="1" ht="14.45" customHeight="1" x14ac:dyDescent="0.25">
      <c r="A781" s="355">
        <f t="shared" si="12"/>
        <v>48.8</v>
      </c>
      <c r="B781" s="532">
        <v>41107</v>
      </c>
      <c r="C781" s="533" t="s">
        <v>453</v>
      </c>
      <c r="D781" s="534" t="s">
        <v>453</v>
      </c>
      <c r="E781" s="533" t="s">
        <v>380</v>
      </c>
      <c r="F781" s="348" t="s">
        <v>151</v>
      </c>
      <c r="G781" s="348" t="s">
        <v>158</v>
      </c>
      <c r="H781" s="349"/>
      <c r="I781" s="349"/>
      <c r="J781" s="349"/>
      <c r="K781" s="349">
        <v>0</v>
      </c>
      <c r="L781" s="350">
        <v>0</v>
      </c>
      <c r="M781" s="350">
        <v>0</v>
      </c>
      <c r="N781" s="350">
        <v>0</v>
      </c>
      <c r="O781" s="350">
        <v>0</v>
      </c>
      <c r="P781" s="352"/>
      <c r="Q781" s="352"/>
      <c r="R781" s="352"/>
      <c r="S781" s="352"/>
      <c r="T781" s="352"/>
      <c r="U781" s="352"/>
      <c r="V781" s="497"/>
      <c r="W781" s="352"/>
      <c r="X781" s="352"/>
      <c r="Y781" s="352">
        <f>IF(NFI_Expiration=1,IF($A781&lt;VLOOKUP(H$5,NFI,5,0),1,0)*Table_NFI[[#This Row],[Hygiene Kit]],Table_NFI[Hygiene Kit])</f>
        <v>0</v>
      </c>
      <c r="Z781" s="352">
        <f>IF(NFI_Expiration=1,IF($A781&lt;VLOOKUP(I$5,NFI,5,0),1,0)*Table_NFI[[#This Row],[NFI Core Kit]],Table_NFI[NFI Core Kit])</f>
        <v>0</v>
      </c>
      <c r="AA781" s="352">
        <f>IF(NFI_Expiration=1,IF($A781&lt;VLOOKUP(J$5,NFI,5,0),1,0)*Table_NFI[[#This Row],[Sanitary Kit]],Table_NFI[Sanitary Kit])</f>
        <v>0</v>
      </c>
      <c r="AB781" s="352">
        <f>IF(NFI_Expiration=1,IF($A781&lt;VLOOKUP(K$5,NFI,5,0),1,0)*Table_NFI[[#This Row],[Mosquito net]],Table_NFI[Mosquito net])</f>
        <v>0</v>
      </c>
      <c r="AC781" s="352">
        <f>IF(NFI_Expiration=1,IF($A781&lt;VLOOKUP(L$5,NFI,5,0),1,0)*Table_NFI[[#This Row],[Tarpaulin]],Table_NFI[[#This Row],[Tarpaulin]])</f>
        <v>0</v>
      </c>
      <c r="AD781" s="352">
        <f>IF(NFI_Expiration=1,IF($A781&lt;VLOOKUP(M$5,NFI,5,0),1,0)*Table_NFI[[#This Row],[Blanket]],Table_NFI[[#This Row],[Blanket]])</f>
        <v>0</v>
      </c>
      <c r="AE781" s="352">
        <f>IF(NFI_Expiration=1,IF($A781&lt;VLOOKUP(N$5,NFI,5,0),1,0)*Table_NFI[[#This Row],[Kitchen Set]],Table_NFI[Kitchen Set])</f>
        <v>0</v>
      </c>
      <c r="AF781" s="352">
        <f>IF(NFI_Expiration=1,IF($A781&lt;VLOOKUP(O$5,NFI,5,0),1,0)*Table_NFI[[#This Row],[Clothes Kit]],Table_NFI[Clothes Kit])</f>
        <v>0</v>
      </c>
      <c r="AG781" s="352">
        <f>IF(NFI_Expiration=1,IF($A781&lt;VLOOKUP(P$5,NFI,5,0),1,0)*Table_NFI[[#This Row],[Plastic Bucket]],Table_NFI[Plastic Bucket])</f>
        <v>0</v>
      </c>
      <c r="AH781" s="352">
        <f>IF(NFI_Expiration=1,IF($A781&lt;VLOOKUP(Q$5,NFI,5,0),1,0)*Table_NFI[[#This Row],[Plastic Mat]],Table_NFI[Plastic Mat])*IF(Table_NFI[[#This Row],[Distribution Date]]&gt;"2014-04-01",1,2.5)</f>
        <v>0</v>
      </c>
      <c r="AI781" s="352">
        <f>IF(NFI_Expiration=1,IF($A781&lt;VLOOKUP(R$5,NFI,5,0),1,0)*Table_NFI[[#This Row],[Winter Clothes Adult]],Table_NFI[Winter Clothes Adult])</f>
        <v>0</v>
      </c>
      <c r="AJ781" s="352">
        <f>IF(NFI_Expiration=1,IF($A781&lt;VLOOKUP(S$5,NFI,5,0),1,0)*Table_NFI[[#This Row],[Winter Clothes Children]],Table_NFI[Winter Clothes Children])</f>
        <v>0</v>
      </c>
      <c r="AK781" s="352">
        <f>IF(NFI_Expiration=1,IF($A781&lt;VLOOKUP(T$5,NFI,5,0),1,0)*Table_NFI[[#This Row],[Winter Items Other]],Table_NFI[Winter Items Other])</f>
        <v>0</v>
      </c>
      <c r="AL781" s="352">
        <f>IF(NFI_Expiration=1,IF($A781&lt;VLOOKUP(M$5,NFI,5,0),1,0)*Table_NFI[[#This Row],[Winter Blanket]],Table_NFI[[#This Row],[Winter Blanket]])</f>
        <v>0</v>
      </c>
      <c r="AM781" s="352">
        <f>IF(Table_NFI[[#This Row],[Winter Clothes Adult]]+Table_NFI[[#This Row],[Winter Clothes Children]]+Table_NFI[[#This Row],[Winter Items Other]]+Table_NFI[[#This Row],[Winter Blanket]]&gt;0,1,0)</f>
        <v>0</v>
      </c>
      <c r="AN781" s="392">
        <f>IF(NFI_Expiration=1,IF($A781&lt;VLOOKUP(V$5,NFI,5,0),1,0)*Table_NFI[[#This Row],[Jerry Can]],Table_NFI[Jerry Can])</f>
        <v>0</v>
      </c>
      <c r="AO781" s="540" t="str">
        <f>IFERROR(VLOOKUP(Table_NFI[[#This Row],[Camp Name]],CL,2,0),"")</f>
        <v>MMR001CMP135</v>
      </c>
      <c r="AP781" s="535">
        <f ca="1">IF(Table_NFI[[#This Row],[Pcode]]="","",IF(OFFSET(CampList[Opening Date],MATCH(Table_NFI[[#This Row],[Pcode]],CampList[CP_Pcode],0)-1,0,1,1)&gt;=NFI_Monitor_Date,1,0))</f>
        <v>0</v>
      </c>
      <c r="AQ781" s="540" t="str">
        <f>IFERROR(VLOOKUP(Table_NFI[[#This Row],[Camp Name]],CL,3,0),"")</f>
        <v>Closed</v>
      </c>
      <c r="AR781" s="352" t="str">
        <f ca="1">IF(Table_NFI[[#This Row],[Pcode]]="","",OFFSET(CampList[Priority],MATCH(Table_NFI[[#This Row],[Pcode]],CampList[CP_Pcode],0)-1,0,1,1))</f>
        <v>P2</v>
      </c>
      <c r="AS781" s="351" t="str">
        <f>IFERROR(Table_NFI[[#This Row],[Kitchen Set]]/VLOOKUP(Table_NFI[[#This Row],[Camp Name]],CL,4,0),"")</f>
        <v/>
      </c>
      <c r="AT781" s="533" t="s">
        <v>1094</v>
      </c>
      <c r="AU781" s="536"/>
    </row>
    <row r="782" spans="1:47" s="537" customFormat="1" ht="14.45" hidden="1" customHeight="1" x14ac:dyDescent="0.25">
      <c r="A782" s="355">
        <f t="shared" si="12"/>
        <v>33</v>
      </c>
      <c r="B782" s="532">
        <v>41581</v>
      </c>
      <c r="C782" s="533" t="s">
        <v>902</v>
      </c>
      <c r="D782" s="534" t="s">
        <v>902</v>
      </c>
      <c r="E782" s="533" t="s">
        <v>380</v>
      </c>
      <c r="F782" s="348" t="s">
        <v>5</v>
      </c>
      <c r="G782" s="348" t="s">
        <v>366</v>
      </c>
      <c r="H782" s="349"/>
      <c r="I782" s="349"/>
      <c r="J782" s="349">
        <v>49</v>
      </c>
      <c r="K782" s="349"/>
      <c r="L782" s="350"/>
      <c r="M782" s="350"/>
      <c r="N782" s="350">
        <v>49</v>
      </c>
      <c r="O782" s="350"/>
      <c r="P782" s="352"/>
      <c r="Q782" s="352"/>
      <c r="R782" s="352"/>
      <c r="S782" s="352"/>
      <c r="T782" s="352"/>
      <c r="U782" s="352"/>
      <c r="V782" s="497"/>
      <c r="W782" s="352"/>
      <c r="X782" s="352"/>
      <c r="Y782" s="352">
        <f>IF(NFI_Expiration=1,IF($A782&lt;VLOOKUP(H$5,NFI,5,0),1,0)*Table_NFI[[#This Row],[Hygiene Kit]],Table_NFI[Hygiene Kit])</f>
        <v>0</v>
      </c>
      <c r="Z782" s="352">
        <f>IF(NFI_Expiration=1,IF($A782&lt;VLOOKUP(I$5,NFI,5,0),1,0)*Table_NFI[[#This Row],[NFI Core Kit]],Table_NFI[NFI Core Kit])</f>
        <v>0</v>
      </c>
      <c r="AA782" s="352">
        <f>IF(NFI_Expiration=1,IF($A782&lt;VLOOKUP(J$5,NFI,5,0),1,0)*Table_NFI[[#This Row],[Sanitary Kit]],Table_NFI[Sanitary Kit])</f>
        <v>0</v>
      </c>
      <c r="AB782" s="352">
        <f>IF(NFI_Expiration=1,IF($A782&lt;VLOOKUP(K$5,NFI,5,0),1,0)*Table_NFI[[#This Row],[Mosquito net]],Table_NFI[Mosquito net])</f>
        <v>0</v>
      </c>
      <c r="AC782" s="352">
        <f>IF(NFI_Expiration=1,IF($A782&lt;VLOOKUP(L$5,NFI,5,0),1,0)*Table_NFI[[#This Row],[Tarpaulin]],Table_NFI[[#This Row],[Tarpaulin]])</f>
        <v>0</v>
      </c>
      <c r="AD782" s="352">
        <f>IF(NFI_Expiration=1,IF($A782&lt;VLOOKUP(M$5,NFI,5,0),1,0)*Table_NFI[[#This Row],[Blanket]],Table_NFI[[#This Row],[Blanket]])</f>
        <v>0</v>
      </c>
      <c r="AE782" s="352">
        <f>IF(NFI_Expiration=1,IF($A782&lt;VLOOKUP(N$5,NFI,5,0),1,0)*Table_NFI[[#This Row],[Kitchen Set]],Table_NFI[Kitchen Set])</f>
        <v>0</v>
      </c>
      <c r="AF782" s="352">
        <f>IF(NFI_Expiration=1,IF($A782&lt;VLOOKUP(O$5,NFI,5,0),1,0)*Table_NFI[[#This Row],[Clothes Kit]],Table_NFI[Clothes Kit])</f>
        <v>0</v>
      </c>
      <c r="AG782" s="352">
        <f>IF(NFI_Expiration=1,IF($A782&lt;VLOOKUP(P$5,NFI,5,0),1,0)*Table_NFI[[#This Row],[Plastic Bucket]],Table_NFI[Plastic Bucket])</f>
        <v>0</v>
      </c>
      <c r="AH782" s="352">
        <f>IF(NFI_Expiration=1,IF($A782&lt;VLOOKUP(Q$5,NFI,5,0),1,0)*Table_NFI[[#This Row],[Plastic Mat]],Table_NFI[Plastic Mat])*IF(Table_NFI[[#This Row],[Distribution Date]]&gt;"2014-04-01",1,2.5)</f>
        <v>0</v>
      </c>
      <c r="AI782" s="352">
        <f>IF(NFI_Expiration=1,IF($A782&lt;VLOOKUP(R$5,NFI,5,0),1,0)*Table_NFI[[#This Row],[Winter Clothes Adult]],Table_NFI[Winter Clothes Adult])</f>
        <v>0</v>
      </c>
      <c r="AJ782" s="352">
        <f>IF(NFI_Expiration=1,IF($A782&lt;VLOOKUP(S$5,NFI,5,0),1,0)*Table_NFI[[#This Row],[Winter Clothes Children]],Table_NFI[Winter Clothes Children])</f>
        <v>0</v>
      </c>
      <c r="AK782" s="352">
        <f>IF(NFI_Expiration=1,IF($A782&lt;VLOOKUP(T$5,NFI,5,0),1,0)*Table_NFI[[#This Row],[Winter Items Other]],Table_NFI[Winter Items Other])</f>
        <v>0</v>
      </c>
      <c r="AL782" s="352">
        <f>IF(NFI_Expiration=1,IF($A782&lt;VLOOKUP(M$5,NFI,5,0),1,0)*Table_NFI[[#This Row],[Winter Blanket]],Table_NFI[[#This Row],[Winter Blanket]])</f>
        <v>0</v>
      </c>
      <c r="AM782" s="352">
        <f>IF(Table_NFI[[#This Row],[Winter Clothes Adult]]+Table_NFI[[#This Row],[Winter Clothes Children]]+Table_NFI[[#This Row],[Winter Items Other]]+Table_NFI[[#This Row],[Winter Blanket]]&gt;0,1,0)</f>
        <v>0</v>
      </c>
      <c r="AN782" s="392">
        <f>IF(NFI_Expiration=1,IF($A782&lt;VLOOKUP(V$5,NFI,5,0),1,0)*Table_NFI[[#This Row],[Jerry Can]],Table_NFI[Jerry Can])</f>
        <v>0</v>
      </c>
      <c r="AO782" s="540" t="str">
        <f>IFERROR(VLOOKUP(Table_NFI[[#This Row],[Camp Name]],CL,2,0),"")</f>
        <v>MMR001CMP193</v>
      </c>
      <c r="AP782" s="535">
        <f ca="1">IF(Table_NFI[[#This Row],[Pcode]]="","",IF(OFFSET(CampList[Opening Date],MATCH(Table_NFI[[#This Row],[Pcode]],CampList[CP_Pcode],0)-1,0,1,1)&gt;=NFI_Monitor_Date,1,0))</f>
        <v>0</v>
      </c>
      <c r="AQ782" s="540" t="str">
        <f>IFERROR(VLOOKUP(Table_NFI[[#This Row],[Camp Name]],CL,3,0),"")</f>
        <v>Open</v>
      </c>
      <c r="AR782" s="352" t="str">
        <f ca="1">IF(Table_NFI[[#This Row],[Pcode]]="","",OFFSET(CampList[Priority],MATCH(Table_NFI[[#This Row],[Pcode]],CampList[CP_Pcode],0)-1,0,1,1))</f>
        <v>P4</v>
      </c>
      <c r="AS782" s="351">
        <f>IFERROR(Table_NFI[[#This Row],[Kitchen Set]]/VLOOKUP(Table_NFI[[#This Row],[Camp Name]],CL,4,0),"")</f>
        <v>0.32666666666666666</v>
      </c>
      <c r="AT782" s="533" t="s">
        <v>1094</v>
      </c>
      <c r="AU782" s="536"/>
    </row>
    <row r="783" spans="1:47" s="537" customFormat="1" ht="14.45" customHeight="1" x14ac:dyDescent="0.25">
      <c r="A783" s="355">
        <f t="shared" si="12"/>
        <v>48.8</v>
      </c>
      <c r="B783" s="532">
        <v>41107</v>
      </c>
      <c r="C783" s="533" t="s">
        <v>453</v>
      </c>
      <c r="D783" s="533" t="s">
        <v>453</v>
      </c>
      <c r="E783" s="533" t="s">
        <v>380</v>
      </c>
      <c r="F783" s="348" t="s">
        <v>185</v>
      </c>
      <c r="G783" s="348" t="s">
        <v>200</v>
      </c>
      <c r="H783" s="349"/>
      <c r="I783" s="349"/>
      <c r="J783" s="349"/>
      <c r="K783" s="349">
        <v>0</v>
      </c>
      <c r="L783" s="350">
        <v>0</v>
      </c>
      <c r="M783" s="350">
        <v>0</v>
      </c>
      <c r="N783" s="350">
        <v>0</v>
      </c>
      <c r="O783" s="350">
        <v>0</v>
      </c>
      <c r="P783" s="352"/>
      <c r="Q783" s="352"/>
      <c r="R783" s="352"/>
      <c r="S783" s="352"/>
      <c r="T783" s="352"/>
      <c r="U783" s="352"/>
      <c r="V783" s="497"/>
      <c r="W783" s="352"/>
      <c r="X783" s="352"/>
      <c r="Y783" s="352">
        <f>IF(NFI_Expiration=1,IF($A783&lt;VLOOKUP(H$5,NFI,5,0),1,0)*Table_NFI[[#This Row],[Hygiene Kit]],Table_NFI[Hygiene Kit])</f>
        <v>0</v>
      </c>
      <c r="Z783" s="352">
        <f>IF(NFI_Expiration=1,IF($A783&lt;VLOOKUP(I$5,NFI,5,0),1,0)*Table_NFI[[#This Row],[NFI Core Kit]],Table_NFI[NFI Core Kit])</f>
        <v>0</v>
      </c>
      <c r="AA783" s="352">
        <f>IF(NFI_Expiration=1,IF($A783&lt;VLOOKUP(J$5,NFI,5,0),1,0)*Table_NFI[[#This Row],[Sanitary Kit]],Table_NFI[Sanitary Kit])</f>
        <v>0</v>
      </c>
      <c r="AB783" s="352">
        <f>IF(NFI_Expiration=1,IF($A783&lt;VLOOKUP(K$5,NFI,5,0),1,0)*Table_NFI[[#This Row],[Mosquito net]],Table_NFI[Mosquito net])</f>
        <v>0</v>
      </c>
      <c r="AC783" s="352">
        <f>IF(NFI_Expiration=1,IF($A783&lt;VLOOKUP(L$5,NFI,5,0),1,0)*Table_NFI[[#This Row],[Tarpaulin]],Table_NFI[[#This Row],[Tarpaulin]])</f>
        <v>0</v>
      </c>
      <c r="AD783" s="352">
        <f>IF(NFI_Expiration=1,IF($A783&lt;VLOOKUP(M$5,NFI,5,0),1,0)*Table_NFI[[#This Row],[Blanket]],Table_NFI[[#This Row],[Blanket]])</f>
        <v>0</v>
      </c>
      <c r="AE783" s="352">
        <f>IF(NFI_Expiration=1,IF($A783&lt;VLOOKUP(N$5,NFI,5,0),1,0)*Table_NFI[[#This Row],[Kitchen Set]],Table_NFI[Kitchen Set])</f>
        <v>0</v>
      </c>
      <c r="AF783" s="352">
        <f>IF(NFI_Expiration=1,IF($A783&lt;VLOOKUP(O$5,NFI,5,0),1,0)*Table_NFI[[#This Row],[Clothes Kit]],Table_NFI[Clothes Kit])</f>
        <v>0</v>
      </c>
      <c r="AG783" s="352">
        <f>IF(NFI_Expiration=1,IF($A783&lt;VLOOKUP(P$5,NFI,5,0),1,0)*Table_NFI[[#This Row],[Plastic Bucket]],Table_NFI[Plastic Bucket])</f>
        <v>0</v>
      </c>
      <c r="AH783" s="352">
        <f>IF(NFI_Expiration=1,IF($A783&lt;VLOOKUP(Q$5,NFI,5,0),1,0)*Table_NFI[[#This Row],[Plastic Mat]],Table_NFI[Plastic Mat])*IF(Table_NFI[[#This Row],[Distribution Date]]&gt;"2014-04-01",1,2.5)</f>
        <v>0</v>
      </c>
      <c r="AI783" s="352">
        <f>IF(NFI_Expiration=1,IF($A783&lt;VLOOKUP(R$5,NFI,5,0),1,0)*Table_NFI[[#This Row],[Winter Clothes Adult]],Table_NFI[Winter Clothes Adult])</f>
        <v>0</v>
      </c>
      <c r="AJ783" s="352">
        <f>IF(NFI_Expiration=1,IF($A783&lt;VLOOKUP(S$5,NFI,5,0),1,0)*Table_NFI[[#This Row],[Winter Clothes Children]],Table_NFI[Winter Clothes Children])</f>
        <v>0</v>
      </c>
      <c r="AK783" s="352">
        <f>IF(NFI_Expiration=1,IF($A783&lt;VLOOKUP(T$5,NFI,5,0),1,0)*Table_NFI[[#This Row],[Winter Items Other]],Table_NFI[Winter Items Other])</f>
        <v>0</v>
      </c>
      <c r="AL783" s="352">
        <f>IF(NFI_Expiration=1,IF($A783&lt;VLOOKUP(M$5,NFI,5,0),1,0)*Table_NFI[[#This Row],[Winter Blanket]],Table_NFI[[#This Row],[Winter Blanket]])</f>
        <v>0</v>
      </c>
      <c r="AM783" s="352">
        <f>IF(Table_NFI[[#This Row],[Winter Clothes Adult]]+Table_NFI[[#This Row],[Winter Clothes Children]]+Table_NFI[[#This Row],[Winter Items Other]]+Table_NFI[[#This Row],[Winter Blanket]]&gt;0,1,0)</f>
        <v>0</v>
      </c>
      <c r="AN783" s="392">
        <f>IF(NFI_Expiration=1,IF($A783&lt;VLOOKUP(V$5,NFI,5,0),1,0)*Table_NFI[[#This Row],[Jerry Can]],Table_NFI[Jerry Can])</f>
        <v>0</v>
      </c>
      <c r="AO783" s="540" t="str">
        <f>IFERROR(VLOOKUP(Table_NFI[[#This Row],[Camp Name]],CL,2,0),"")</f>
        <v>MMR001CMP064</v>
      </c>
      <c r="AP783" s="535">
        <f ca="1">IF(Table_NFI[[#This Row],[Pcode]]="","",IF(OFFSET(CampList[Opening Date],MATCH(Table_NFI[[#This Row],[Pcode]],CampList[CP_Pcode],0)-1,0,1,1)&gt;=NFI_Monitor_Date,1,0))</f>
        <v>0</v>
      </c>
      <c r="AQ783" s="540" t="str">
        <f>IFERROR(VLOOKUP(Table_NFI[[#This Row],[Camp Name]],CL,3,0),"")</f>
        <v>Open</v>
      </c>
      <c r="AR783" s="352" t="str">
        <f ca="1">IF(Table_NFI[[#This Row],[Pcode]]="","",OFFSET(CampList[Priority],MATCH(Table_NFI[[#This Row],[Pcode]],CampList[CP_Pcode],0)-1,0,1,1))</f>
        <v>P4</v>
      </c>
      <c r="AS783" s="351">
        <f>IFERROR(Table_NFI[[#This Row],[Kitchen Set]]/VLOOKUP(Table_NFI[[#This Row],[Camp Name]],CL,4,0),"")</f>
        <v>0</v>
      </c>
      <c r="AT783" s="533" t="s">
        <v>1094</v>
      </c>
      <c r="AU783" s="536"/>
    </row>
    <row r="784" spans="1:47" s="537" customFormat="1" ht="14.45" customHeight="1" x14ac:dyDescent="0.25">
      <c r="A784" s="355">
        <f t="shared" si="12"/>
        <v>48.8</v>
      </c>
      <c r="B784" s="532">
        <v>41107</v>
      </c>
      <c r="C784" s="533" t="s">
        <v>453</v>
      </c>
      <c r="D784" s="534" t="s">
        <v>453</v>
      </c>
      <c r="E784" s="533" t="s">
        <v>380</v>
      </c>
      <c r="F784" s="348" t="s">
        <v>185</v>
      </c>
      <c r="G784" s="348" t="s">
        <v>200</v>
      </c>
      <c r="H784" s="349"/>
      <c r="I784" s="349"/>
      <c r="J784" s="349"/>
      <c r="K784" s="349">
        <v>0</v>
      </c>
      <c r="L784" s="350">
        <v>0</v>
      </c>
      <c r="M784" s="350">
        <v>0</v>
      </c>
      <c r="N784" s="350">
        <v>0</v>
      </c>
      <c r="O784" s="350">
        <v>0</v>
      </c>
      <c r="P784" s="352"/>
      <c r="Q784" s="352"/>
      <c r="R784" s="352"/>
      <c r="S784" s="352"/>
      <c r="T784" s="352"/>
      <c r="U784" s="352"/>
      <c r="V784" s="497"/>
      <c r="W784" s="352"/>
      <c r="X784" s="352"/>
      <c r="Y784" s="352">
        <f>IF(NFI_Expiration=1,IF($A784&lt;VLOOKUP(H$5,NFI,5,0),1,0)*Table_NFI[[#This Row],[Hygiene Kit]],Table_NFI[Hygiene Kit])</f>
        <v>0</v>
      </c>
      <c r="Z784" s="352">
        <f>IF(NFI_Expiration=1,IF($A784&lt;VLOOKUP(I$5,NFI,5,0),1,0)*Table_NFI[[#This Row],[NFI Core Kit]],Table_NFI[NFI Core Kit])</f>
        <v>0</v>
      </c>
      <c r="AA784" s="352">
        <f>IF(NFI_Expiration=1,IF($A784&lt;VLOOKUP(J$5,NFI,5,0),1,0)*Table_NFI[[#This Row],[Sanitary Kit]],Table_NFI[Sanitary Kit])</f>
        <v>0</v>
      </c>
      <c r="AB784" s="352">
        <f>IF(NFI_Expiration=1,IF($A784&lt;VLOOKUP(K$5,NFI,5,0),1,0)*Table_NFI[[#This Row],[Mosquito net]],Table_NFI[Mosquito net])</f>
        <v>0</v>
      </c>
      <c r="AC784" s="352">
        <f>IF(NFI_Expiration=1,IF($A784&lt;VLOOKUP(L$5,NFI,5,0),1,0)*Table_NFI[[#This Row],[Tarpaulin]],Table_NFI[[#This Row],[Tarpaulin]])</f>
        <v>0</v>
      </c>
      <c r="AD784" s="352">
        <f>IF(NFI_Expiration=1,IF($A784&lt;VLOOKUP(M$5,NFI,5,0),1,0)*Table_NFI[[#This Row],[Blanket]],Table_NFI[[#This Row],[Blanket]])</f>
        <v>0</v>
      </c>
      <c r="AE784" s="352">
        <f>IF(NFI_Expiration=1,IF($A784&lt;VLOOKUP(N$5,NFI,5,0),1,0)*Table_NFI[[#This Row],[Kitchen Set]],Table_NFI[Kitchen Set])</f>
        <v>0</v>
      </c>
      <c r="AF784" s="352">
        <f>IF(NFI_Expiration=1,IF($A784&lt;VLOOKUP(O$5,NFI,5,0),1,0)*Table_NFI[[#This Row],[Clothes Kit]],Table_NFI[Clothes Kit])</f>
        <v>0</v>
      </c>
      <c r="AG784" s="352">
        <f>IF(NFI_Expiration=1,IF($A784&lt;VLOOKUP(P$5,NFI,5,0),1,0)*Table_NFI[[#This Row],[Plastic Bucket]],Table_NFI[Plastic Bucket])</f>
        <v>0</v>
      </c>
      <c r="AH784" s="352">
        <f>IF(NFI_Expiration=1,IF($A784&lt;VLOOKUP(Q$5,NFI,5,0),1,0)*Table_NFI[[#This Row],[Plastic Mat]],Table_NFI[Plastic Mat])*IF(Table_NFI[[#This Row],[Distribution Date]]&gt;"2014-04-01",1,2.5)</f>
        <v>0</v>
      </c>
      <c r="AI784" s="352">
        <f>IF(NFI_Expiration=1,IF($A784&lt;VLOOKUP(R$5,NFI,5,0),1,0)*Table_NFI[[#This Row],[Winter Clothes Adult]],Table_NFI[Winter Clothes Adult])</f>
        <v>0</v>
      </c>
      <c r="AJ784" s="352">
        <f>IF(NFI_Expiration=1,IF($A784&lt;VLOOKUP(S$5,NFI,5,0),1,0)*Table_NFI[[#This Row],[Winter Clothes Children]],Table_NFI[Winter Clothes Children])</f>
        <v>0</v>
      </c>
      <c r="AK784" s="352">
        <f>IF(NFI_Expiration=1,IF($A784&lt;VLOOKUP(T$5,NFI,5,0),1,0)*Table_NFI[[#This Row],[Winter Items Other]],Table_NFI[Winter Items Other])</f>
        <v>0</v>
      </c>
      <c r="AL784" s="352">
        <f>IF(NFI_Expiration=1,IF($A784&lt;VLOOKUP(M$5,NFI,5,0),1,0)*Table_NFI[[#This Row],[Winter Blanket]],Table_NFI[[#This Row],[Winter Blanket]])</f>
        <v>0</v>
      </c>
      <c r="AM784" s="352">
        <f>IF(Table_NFI[[#This Row],[Winter Clothes Adult]]+Table_NFI[[#This Row],[Winter Clothes Children]]+Table_NFI[[#This Row],[Winter Items Other]]+Table_NFI[[#This Row],[Winter Blanket]]&gt;0,1,0)</f>
        <v>0</v>
      </c>
      <c r="AN784" s="392">
        <f>IF(NFI_Expiration=1,IF($A784&lt;VLOOKUP(V$5,NFI,5,0),1,0)*Table_NFI[[#This Row],[Jerry Can]],Table_NFI[Jerry Can])</f>
        <v>0</v>
      </c>
      <c r="AO784" s="540" t="str">
        <f>IFERROR(VLOOKUP(Table_NFI[[#This Row],[Camp Name]],CL,2,0),"")</f>
        <v>MMR001CMP064</v>
      </c>
      <c r="AP784" s="535">
        <f ca="1">IF(Table_NFI[[#This Row],[Pcode]]="","",IF(OFFSET(CampList[Opening Date],MATCH(Table_NFI[[#This Row],[Pcode]],CampList[CP_Pcode],0)-1,0,1,1)&gt;=NFI_Monitor_Date,1,0))</f>
        <v>0</v>
      </c>
      <c r="AQ784" s="540" t="str">
        <f>IFERROR(VLOOKUP(Table_NFI[[#This Row],[Camp Name]],CL,3,0),"")</f>
        <v>Open</v>
      </c>
      <c r="AR784" s="352" t="str">
        <f ca="1">IF(Table_NFI[[#This Row],[Pcode]]="","",OFFSET(CampList[Priority],MATCH(Table_NFI[[#This Row],[Pcode]],CampList[CP_Pcode],0)-1,0,1,1))</f>
        <v>P4</v>
      </c>
      <c r="AS784" s="351">
        <f>IFERROR(Table_NFI[[#This Row],[Kitchen Set]]/VLOOKUP(Table_NFI[[#This Row],[Camp Name]],CL,4,0),"")</f>
        <v>0</v>
      </c>
      <c r="AT784" s="533" t="s">
        <v>1094</v>
      </c>
      <c r="AU784" s="536"/>
    </row>
    <row r="785" spans="1:47" ht="14.45" hidden="1" customHeight="1" x14ac:dyDescent="0.25">
      <c r="A785" s="355">
        <f t="shared" si="12"/>
        <v>30.4</v>
      </c>
      <c r="B785" s="532">
        <v>41659</v>
      </c>
      <c r="C785" s="533" t="s">
        <v>454</v>
      </c>
      <c r="D785" s="533" t="s">
        <v>507</v>
      </c>
      <c r="E785" s="533" t="s">
        <v>380</v>
      </c>
      <c r="F785" s="533" t="s">
        <v>310</v>
      </c>
      <c r="G785" s="533" t="s">
        <v>355</v>
      </c>
      <c r="H785" s="349"/>
      <c r="I785" s="349"/>
      <c r="J785" s="349"/>
      <c r="K785" s="349"/>
      <c r="L785" s="350"/>
      <c r="M785" s="350"/>
      <c r="N785" s="350"/>
      <c r="O785" s="350">
        <v>127</v>
      </c>
      <c r="P785" s="352"/>
      <c r="Q785" s="352"/>
      <c r="R785" s="352"/>
      <c r="S785" s="352"/>
      <c r="T785" s="352"/>
      <c r="U785" s="352"/>
      <c r="V785" s="497"/>
      <c r="W785" s="352"/>
      <c r="X785" s="352"/>
      <c r="Y785" s="352">
        <f>IF(NFI_Expiration=1,IF($A785&lt;VLOOKUP(H$5,NFI,5,0),1,0)*Table_NFI[[#This Row],[Hygiene Kit]],Table_NFI[Hygiene Kit])</f>
        <v>0</v>
      </c>
      <c r="Z785" s="352">
        <f>IF(NFI_Expiration=1,IF($A785&lt;VLOOKUP(I$5,NFI,5,0),1,0)*Table_NFI[[#This Row],[NFI Core Kit]],Table_NFI[NFI Core Kit])</f>
        <v>0</v>
      </c>
      <c r="AA785" s="352">
        <f>IF(NFI_Expiration=1,IF($A785&lt;VLOOKUP(J$5,NFI,5,0),1,0)*Table_NFI[[#This Row],[Sanitary Kit]],Table_NFI[Sanitary Kit])</f>
        <v>0</v>
      </c>
      <c r="AB785" s="352">
        <f>IF(NFI_Expiration=1,IF($A785&lt;VLOOKUP(K$5,NFI,5,0),1,0)*Table_NFI[[#This Row],[Mosquito net]],Table_NFI[Mosquito net])</f>
        <v>0</v>
      </c>
      <c r="AC785" s="352">
        <f>IF(NFI_Expiration=1,IF($A785&lt;VLOOKUP(L$5,NFI,5,0),1,0)*Table_NFI[[#This Row],[Tarpaulin]],Table_NFI[[#This Row],[Tarpaulin]])</f>
        <v>0</v>
      </c>
      <c r="AD785" s="352">
        <f>IF(NFI_Expiration=1,IF($A785&lt;VLOOKUP(M$5,NFI,5,0),1,0)*Table_NFI[[#This Row],[Blanket]],Table_NFI[[#This Row],[Blanket]])</f>
        <v>0</v>
      </c>
      <c r="AE785" s="352">
        <f>IF(NFI_Expiration=1,IF($A785&lt;VLOOKUP(N$5,NFI,5,0),1,0)*Table_NFI[[#This Row],[Kitchen Set]],Table_NFI[Kitchen Set])</f>
        <v>0</v>
      </c>
      <c r="AF785" s="352">
        <f>IF(NFI_Expiration=1,IF($A785&lt;VLOOKUP(O$5,NFI,5,0),1,0)*Table_NFI[[#This Row],[Clothes Kit]],Table_NFI[Clothes Kit])</f>
        <v>0</v>
      </c>
      <c r="AG785" s="352">
        <f>IF(NFI_Expiration=1,IF($A785&lt;VLOOKUP(P$5,NFI,5,0),1,0)*Table_NFI[[#This Row],[Plastic Bucket]],Table_NFI[Plastic Bucket])</f>
        <v>0</v>
      </c>
      <c r="AH785" s="352">
        <f>IF(NFI_Expiration=1,IF($A785&lt;VLOOKUP(Q$5,NFI,5,0),1,0)*Table_NFI[[#This Row],[Plastic Mat]],Table_NFI[Plastic Mat])*IF(Table_NFI[[#This Row],[Distribution Date]]&gt;"2014-04-01",1,2.5)</f>
        <v>0</v>
      </c>
      <c r="AI785" s="352">
        <f>IF(NFI_Expiration=1,IF($A785&lt;VLOOKUP(R$5,NFI,5,0),1,0)*Table_NFI[[#This Row],[Winter Clothes Adult]],Table_NFI[Winter Clothes Adult])</f>
        <v>0</v>
      </c>
      <c r="AJ785" s="352">
        <f>IF(NFI_Expiration=1,IF($A785&lt;VLOOKUP(S$5,NFI,5,0),1,0)*Table_NFI[[#This Row],[Winter Clothes Children]],Table_NFI[Winter Clothes Children])</f>
        <v>0</v>
      </c>
      <c r="AK785" s="352">
        <f>IF(NFI_Expiration=1,IF($A785&lt;VLOOKUP(T$5,NFI,5,0),1,0)*Table_NFI[[#This Row],[Winter Items Other]],Table_NFI[Winter Items Other])</f>
        <v>0</v>
      </c>
      <c r="AL785" s="352">
        <f>IF(NFI_Expiration=1,IF($A785&lt;VLOOKUP(M$5,NFI,5,0),1,0)*Table_NFI[[#This Row],[Winter Blanket]],Table_NFI[[#This Row],[Winter Blanket]])</f>
        <v>0</v>
      </c>
      <c r="AM785" s="352">
        <f>IF(Table_NFI[[#This Row],[Winter Clothes Adult]]+Table_NFI[[#This Row],[Winter Clothes Children]]+Table_NFI[[#This Row],[Winter Items Other]]+Table_NFI[[#This Row],[Winter Blanket]]&gt;0,1,0)</f>
        <v>0</v>
      </c>
      <c r="AN785" s="392">
        <f>IF(NFI_Expiration=1,IF($A785&lt;VLOOKUP(V$5,NFI,5,0),1,0)*Table_NFI[[#This Row],[Jerry Can]],Table_NFI[Jerry Can])</f>
        <v>0</v>
      </c>
      <c r="AO785" s="540" t="str">
        <f>IFERROR(VLOOKUP(Table_NFI[[#This Row],[Camp Name]],CL,2,0),"")</f>
        <v>MMR001CMP160</v>
      </c>
      <c r="AP785" s="535">
        <f ca="1">IF(Table_NFI[[#This Row],[Pcode]]="","",IF(OFFSET(CampList[Opening Date],MATCH(Table_NFI[[#This Row],[Pcode]],CampList[CP_Pcode],0)-1,0,1,1)&gt;=NFI_Monitor_Date,1,0))</f>
        <v>0</v>
      </c>
      <c r="AQ785" s="540" t="str">
        <f>IFERROR(VLOOKUP(Table_NFI[[#This Row],[Camp Name]],CL,3,0),"")</f>
        <v>Open</v>
      </c>
      <c r="AR785" s="352" t="str">
        <f ca="1">IF(Table_NFI[[#This Row],[Pcode]]="","",OFFSET(CampList[Priority],MATCH(Table_NFI[[#This Row],[Pcode]],CampList[CP_Pcode],0)-1,0,1,1))</f>
        <v>P1</v>
      </c>
      <c r="AS785" s="351">
        <f>IFERROR(Table_NFI[[#This Row],[Kitchen Set]]/VLOOKUP(Table_NFI[[#This Row],[Camp Name]],CL,4,0),"")</f>
        <v>0</v>
      </c>
      <c r="AT785" s="533" t="s">
        <v>1094</v>
      </c>
      <c r="AU785" s="536"/>
    </row>
    <row r="786" spans="1:47" ht="14.45" hidden="1" customHeight="1" x14ac:dyDescent="0.25">
      <c r="A786" s="355">
        <f t="shared" si="12"/>
        <v>30.4</v>
      </c>
      <c r="B786" s="532">
        <v>41659</v>
      </c>
      <c r="C786" s="533" t="s">
        <v>454</v>
      </c>
      <c r="D786" s="533" t="s">
        <v>507</v>
      </c>
      <c r="E786" s="533" t="s">
        <v>380</v>
      </c>
      <c r="F786" s="533" t="s">
        <v>310</v>
      </c>
      <c r="G786" s="533" t="s">
        <v>355</v>
      </c>
      <c r="H786" s="349"/>
      <c r="I786" s="349"/>
      <c r="J786" s="349"/>
      <c r="K786" s="349"/>
      <c r="L786" s="350"/>
      <c r="M786" s="350"/>
      <c r="N786" s="350"/>
      <c r="O786" s="350"/>
      <c r="P786" s="352"/>
      <c r="Q786" s="352"/>
      <c r="R786" s="352">
        <v>443</v>
      </c>
      <c r="S786" s="352">
        <v>218</v>
      </c>
      <c r="T786" s="352"/>
      <c r="U786" s="352"/>
      <c r="V786" s="497"/>
      <c r="W786" s="352"/>
      <c r="X786" s="352"/>
      <c r="Y786" s="352">
        <f>IF(NFI_Expiration=1,IF($A786&lt;VLOOKUP(H$5,NFI,5,0),1,0)*Table_NFI[[#This Row],[Hygiene Kit]],Table_NFI[Hygiene Kit])</f>
        <v>0</v>
      </c>
      <c r="Z786" s="352">
        <f>IF(NFI_Expiration=1,IF($A786&lt;VLOOKUP(I$5,NFI,5,0),1,0)*Table_NFI[[#This Row],[NFI Core Kit]],Table_NFI[NFI Core Kit])</f>
        <v>0</v>
      </c>
      <c r="AA786" s="352">
        <f>IF(NFI_Expiration=1,IF($A786&lt;VLOOKUP(J$5,NFI,5,0),1,0)*Table_NFI[[#This Row],[Sanitary Kit]],Table_NFI[Sanitary Kit])</f>
        <v>0</v>
      </c>
      <c r="AB786" s="352">
        <f>IF(NFI_Expiration=1,IF($A786&lt;VLOOKUP(K$5,NFI,5,0),1,0)*Table_NFI[[#This Row],[Mosquito net]],Table_NFI[Mosquito net])</f>
        <v>0</v>
      </c>
      <c r="AC786" s="352">
        <f>IF(NFI_Expiration=1,IF($A786&lt;VLOOKUP(L$5,NFI,5,0),1,0)*Table_NFI[[#This Row],[Tarpaulin]],Table_NFI[[#This Row],[Tarpaulin]])</f>
        <v>0</v>
      </c>
      <c r="AD786" s="352">
        <f>IF(NFI_Expiration=1,IF($A786&lt;VLOOKUP(M$5,NFI,5,0),1,0)*Table_NFI[[#This Row],[Blanket]],Table_NFI[[#This Row],[Blanket]])</f>
        <v>0</v>
      </c>
      <c r="AE786" s="352">
        <f>IF(NFI_Expiration=1,IF($A786&lt;VLOOKUP(N$5,NFI,5,0),1,0)*Table_NFI[[#This Row],[Kitchen Set]],Table_NFI[Kitchen Set])</f>
        <v>0</v>
      </c>
      <c r="AF786" s="352">
        <f>IF(NFI_Expiration=1,IF($A786&lt;VLOOKUP(O$5,NFI,5,0),1,0)*Table_NFI[[#This Row],[Clothes Kit]],Table_NFI[Clothes Kit])</f>
        <v>0</v>
      </c>
      <c r="AG786" s="352">
        <f>IF(NFI_Expiration=1,IF($A786&lt;VLOOKUP(P$5,NFI,5,0),1,0)*Table_NFI[[#This Row],[Plastic Bucket]],Table_NFI[Plastic Bucket])</f>
        <v>0</v>
      </c>
      <c r="AH786" s="352">
        <f>IF(NFI_Expiration=1,IF($A786&lt;VLOOKUP(Q$5,NFI,5,0),1,0)*Table_NFI[[#This Row],[Plastic Mat]],Table_NFI[Plastic Mat])*IF(Table_NFI[[#This Row],[Distribution Date]]&gt;"2014-04-01",1,2.5)</f>
        <v>0</v>
      </c>
      <c r="AI786" s="352">
        <f>IF(NFI_Expiration=1,IF($A786&lt;VLOOKUP(R$5,NFI,5,0),1,0)*Table_NFI[[#This Row],[Winter Clothes Adult]],Table_NFI[Winter Clothes Adult])</f>
        <v>0</v>
      </c>
      <c r="AJ786" s="352">
        <f>IF(NFI_Expiration=1,IF($A786&lt;VLOOKUP(S$5,NFI,5,0),1,0)*Table_NFI[[#This Row],[Winter Clothes Children]],Table_NFI[Winter Clothes Children])</f>
        <v>0</v>
      </c>
      <c r="AK786" s="352">
        <f>IF(NFI_Expiration=1,IF($A786&lt;VLOOKUP(T$5,NFI,5,0),1,0)*Table_NFI[[#This Row],[Winter Items Other]],Table_NFI[Winter Items Other])</f>
        <v>0</v>
      </c>
      <c r="AL786" s="352">
        <f>IF(NFI_Expiration=1,IF($A786&lt;VLOOKUP(M$5,NFI,5,0),1,0)*Table_NFI[[#This Row],[Winter Blanket]],Table_NFI[[#This Row],[Winter Blanket]])</f>
        <v>0</v>
      </c>
      <c r="AM786" s="352">
        <f>IF(Table_NFI[[#This Row],[Winter Clothes Adult]]+Table_NFI[[#This Row],[Winter Clothes Children]]+Table_NFI[[#This Row],[Winter Items Other]]+Table_NFI[[#This Row],[Winter Blanket]]&gt;0,1,0)</f>
        <v>1</v>
      </c>
      <c r="AN786" s="392">
        <f>IF(NFI_Expiration=1,IF($A786&lt;VLOOKUP(V$5,NFI,5,0),1,0)*Table_NFI[[#This Row],[Jerry Can]],Table_NFI[Jerry Can])</f>
        <v>0</v>
      </c>
      <c r="AO786" s="540" t="str">
        <f>IFERROR(VLOOKUP(Table_NFI[[#This Row],[Camp Name]],CL,2,0),"")</f>
        <v>MMR001CMP160</v>
      </c>
      <c r="AP786" s="535">
        <f ca="1">IF(Table_NFI[[#This Row],[Pcode]]="","",IF(OFFSET(CampList[Opening Date],MATCH(Table_NFI[[#This Row],[Pcode]],CampList[CP_Pcode],0)-1,0,1,1)&gt;=NFI_Monitor_Date,1,0))</f>
        <v>0</v>
      </c>
      <c r="AQ786" s="540" t="str">
        <f>IFERROR(VLOOKUP(Table_NFI[[#This Row],[Camp Name]],CL,3,0),"")</f>
        <v>Open</v>
      </c>
      <c r="AR786" s="352" t="str">
        <f ca="1">IF(Table_NFI[[#This Row],[Pcode]]="","",OFFSET(CampList[Priority],MATCH(Table_NFI[[#This Row],[Pcode]],CampList[CP_Pcode],0)-1,0,1,1))</f>
        <v>P1</v>
      </c>
      <c r="AS786" s="351">
        <f>IFERROR(Table_NFI[[#This Row],[Kitchen Set]]/VLOOKUP(Table_NFI[[#This Row],[Camp Name]],CL,4,0),"")</f>
        <v>0</v>
      </c>
      <c r="AT786" s="533" t="s">
        <v>1094</v>
      </c>
      <c r="AU786" s="536"/>
    </row>
    <row r="787" spans="1:47" hidden="1" x14ac:dyDescent="0.25">
      <c r="A787" s="355">
        <f t="shared" si="12"/>
        <v>32.033333333333331</v>
      </c>
      <c r="B787" s="532">
        <v>41610</v>
      </c>
      <c r="C787" s="533" t="s">
        <v>907</v>
      </c>
      <c r="D787" s="533" t="s">
        <v>461</v>
      </c>
      <c r="E787" s="533" t="s">
        <v>380</v>
      </c>
      <c r="F787" s="533" t="s">
        <v>310</v>
      </c>
      <c r="G787" s="533" t="s">
        <v>355</v>
      </c>
      <c r="H787" s="349"/>
      <c r="I787" s="349"/>
      <c r="J787" s="349"/>
      <c r="K787" s="349"/>
      <c r="L787" s="350"/>
      <c r="M787" s="350"/>
      <c r="N787" s="350"/>
      <c r="O787" s="350"/>
      <c r="P787" s="352"/>
      <c r="Q787" s="352"/>
      <c r="R787" s="352">
        <v>124</v>
      </c>
      <c r="S787" s="352">
        <v>248</v>
      </c>
      <c r="T787" s="352">
        <v>744</v>
      </c>
      <c r="U787" s="352">
        <v>372</v>
      </c>
      <c r="V787" s="497"/>
      <c r="W787" s="352"/>
      <c r="X787" s="352"/>
      <c r="Y787" s="352">
        <f>IF(NFI_Expiration=1,IF($A787&lt;VLOOKUP(H$5,NFI,5,0),1,0)*Table_NFI[[#This Row],[Hygiene Kit]],Table_NFI[Hygiene Kit])</f>
        <v>0</v>
      </c>
      <c r="Z787" s="352">
        <f>IF(NFI_Expiration=1,IF($A787&lt;VLOOKUP(I$5,NFI,5,0),1,0)*Table_NFI[[#This Row],[NFI Core Kit]],Table_NFI[NFI Core Kit])</f>
        <v>0</v>
      </c>
      <c r="AA787" s="352">
        <f>IF(NFI_Expiration=1,IF($A787&lt;VLOOKUP(J$5,NFI,5,0),1,0)*Table_NFI[[#This Row],[Sanitary Kit]],Table_NFI[Sanitary Kit])</f>
        <v>0</v>
      </c>
      <c r="AB787" s="352">
        <f>IF(NFI_Expiration=1,IF($A787&lt;VLOOKUP(K$5,NFI,5,0),1,0)*Table_NFI[[#This Row],[Mosquito net]],Table_NFI[Mosquito net])</f>
        <v>0</v>
      </c>
      <c r="AC787" s="352">
        <f>IF(NFI_Expiration=1,IF($A787&lt;VLOOKUP(L$5,NFI,5,0),1,0)*Table_NFI[[#This Row],[Tarpaulin]],Table_NFI[[#This Row],[Tarpaulin]])</f>
        <v>0</v>
      </c>
      <c r="AD787" s="352">
        <f>IF(NFI_Expiration=1,IF($A787&lt;VLOOKUP(M$5,NFI,5,0),1,0)*Table_NFI[[#This Row],[Blanket]],Table_NFI[[#This Row],[Blanket]])</f>
        <v>0</v>
      </c>
      <c r="AE787" s="352">
        <f>IF(NFI_Expiration=1,IF($A787&lt;VLOOKUP(N$5,NFI,5,0),1,0)*Table_NFI[[#This Row],[Kitchen Set]],Table_NFI[Kitchen Set])</f>
        <v>0</v>
      </c>
      <c r="AF787" s="352">
        <f>IF(NFI_Expiration=1,IF($A787&lt;VLOOKUP(O$5,NFI,5,0),1,0)*Table_NFI[[#This Row],[Clothes Kit]],Table_NFI[Clothes Kit])</f>
        <v>0</v>
      </c>
      <c r="AG787" s="352">
        <f>IF(NFI_Expiration=1,IF($A787&lt;VLOOKUP(P$5,NFI,5,0),1,0)*Table_NFI[[#This Row],[Plastic Bucket]],Table_NFI[Plastic Bucket])</f>
        <v>0</v>
      </c>
      <c r="AH787" s="352">
        <f>IF(NFI_Expiration=1,IF($A787&lt;VLOOKUP(Q$5,NFI,5,0),1,0)*Table_NFI[[#This Row],[Plastic Mat]],Table_NFI[Plastic Mat])*IF(Table_NFI[[#This Row],[Distribution Date]]&gt;"2014-04-01",1,2.5)</f>
        <v>0</v>
      </c>
      <c r="AI787" s="352">
        <f>IF(NFI_Expiration=1,IF($A787&lt;VLOOKUP(R$5,NFI,5,0),1,0)*Table_NFI[[#This Row],[Winter Clothes Adult]],Table_NFI[Winter Clothes Adult])</f>
        <v>0</v>
      </c>
      <c r="AJ787" s="352">
        <f>IF(NFI_Expiration=1,IF($A787&lt;VLOOKUP(S$5,NFI,5,0),1,0)*Table_NFI[[#This Row],[Winter Clothes Children]],Table_NFI[Winter Clothes Children])</f>
        <v>0</v>
      </c>
      <c r="AK787" s="352">
        <f>IF(NFI_Expiration=1,IF($A787&lt;VLOOKUP(T$5,NFI,5,0),1,0)*Table_NFI[[#This Row],[Winter Items Other]],Table_NFI[Winter Items Other])</f>
        <v>0</v>
      </c>
      <c r="AL787" s="352">
        <f>IF(NFI_Expiration=1,IF($A787&lt;VLOOKUP(M$5,NFI,5,0),1,0)*Table_NFI[[#This Row],[Winter Blanket]],Table_NFI[[#This Row],[Winter Blanket]])</f>
        <v>0</v>
      </c>
      <c r="AM787" s="352">
        <f>IF(Table_NFI[[#This Row],[Winter Clothes Adult]]+Table_NFI[[#This Row],[Winter Clothes Children]]+Table_NFI[[#This Row],[Winter Items Other]]+Table_NFI[[#This Row],[Winter Blanket]]&gt;0,1,0)</f>
        <v>1</v>
      </c>
      <c r="AN787" s="392">
        <f>IF(NFI_Expiration=1,IF($A787&lt;VLOOKUP(V$5,NFI,5,0),1,0)*Table_NFI[[#This Row],[Jerry Can]],Table_NFI[Jerry Can])</f>
        <v>0</v>
      </c>
      <c r="AO787" s="540" t="str">
        <f>IFERROR(VLOOKUP(Table_NFI[[#This Row],[Camp Name]],CL,2,0),"")</f>
        <v>MMR001CMP160</v>
      </c>
      <c r="AP787" s="535">
        <f ca="1">IF(Table_NFI[[#This Row],[Pcode]]="","",IF(OFFSET(CampList[Opening Date],MATCH(Table_NFI[[#This Row],[Pcode]],CampList[CP_Pcode],0)-1,0,1,1)&gt;=NFI_Monitor_Date,1,0))</f>
        <v>0</v>
      </c>
      <c r="AQ787" s="540" t="str">
        <f>IFERROR(VLOOKUP(Table_NFI[[#This Row],[Camp Name]],CL,3,0),"")</f>
        <v>Open</v>
      </c>
      <c r="AR787" s="352" t="str">
        <f ca="1">IF(Table_NFI[[#This Row],[Pcode]]="","",OFFSET(CampList[Priority],MATCH(Table_NFI[[#This Row],[Pcode]],CampList[CP_Pcode],0)-1,0,1,1))</f>
        <v>P1</v>
      </c>
      <c r="AS787" s="351">
        <f>IFERROR(Table_NFI[[#This Row],[Kitchen Set]]/VLOOKUP(Table_NFI[[#This Row],[Camp Name]],CL,4,0),"")</f>
        <v>0</v>
      </c>
      <c r="AT787" s="533"/>
      <c r="AU787" s="536"/>
    </row>
    <row r="788" spans="1:47" hidden="1" x14ac:dyDescent="0.25">
      <c r="A788" s="355">
        <f t="shared" si="12"/>
        <v>32.1</v>
      </c>
      <c r="B788" s="532">
        <v>41608</v>
      </c>
      <c r="C788" s="533" t="s">
        <v>907</v>
      </c>
      <c r="D788" s="534" t="s">
        <v>461</v>
      </c>
      <c r="E788" s="533" t="s">
        <v>380</v>
      </c>
      <c r="F788" s="348" t="s">
        <v>310</v>
      </c>
      <c r="G788" s="348" t="s">
        <v>355</v>
      </c>
      <c r="H788" s="349"/>
      <c r="I788" s="349"/>
      <c r="J788" s="349"/>
      <c r="K788" s="349"/>
      <c r="L788" s="350"/>
      <c r="M788" s="350"/>
      <c r="N788" s="350"/>
      <c r="O788" s="350"/>
      <c r="P788" s="352"/>
      <c r="Q788" s="352"/>
      <c r="R788" s="352"/>
      <c r="S788" s="352"/>
      <c r="T788" s="352"/>
      <c r="U788" s="352"/>
      <c r="V788" s="497"/>
      <c r="W788" s="352"/>
      <c r="X788" s="352"/>
      <c r="Y788" s="352">
        <f>IF(NFI_Expiration=1,IF($A788&lt;VLOOKUP(H$5,NFI,5,0),1,0)*Table_NFI[[#This Row],[Hygiene Kit]],Table_NFI[Hygiene Kit])</f>
        <v>0</v>
      </c>
      <c r="Z788" s="352">
        <f>IF(NFI_Expiration=1,IF($A788&lt;VLOOKUP(I$5,NFI,5,0),1,0)*Table_NFI[[#This Row],[NFI Core Kit]],Table_NFI[NFI Core Kit])</f>
        <v>0</v>
      </c>
      <c r="AA788" s="352">
        <f>IF(NFI_Expiration=1,IF($A788&lt;VLOOKUP(J$5,NFI,5,0),1,0)*Table_NFI[[#This Row],[Sanitary Kit]],Table_NFI[Sanitary Kit])</f>
        <v>0</v>
      </c>
      <c r="AB788" s="352">
        <f>IF(NFI_Expiration=1,IF($A788&lt;VLOOKUP(K$5,NFI,5,0),1,0)*Table_NFI[[#This Row],[Mosquito net]],Table_NFI[Mosquito net])</f>
        <v>0</v>
      </c>
      <c r="AC788" s="352">
        <f>IF(NFI_Expiration=1,IF($A788&lt;VLOOKUP(L$5,NFI,5,0),1,0)*Table_NFI[[#This Row],[Tarpaulin]],Table_NFI[[#This Row],[Tarpaulin]])</f>
        <v>0</v>
      </c>
      <c r="AD788" s="352">
        <f>IF(NFI_Expiration=1,IF($A788&lt;VLOOKUP(M$5,NFI,5,0),1,0)*Table_NFI[[#This Row],[Blanket]],Table_NFI[[#This Row],[Blanket]])</f>
        <v>0</v>
      </c>
      <c r="AE788" s="352">
        <f>IF(NFI_Expiration=1,IF($A788&lt;VLOOKUP(N$5,NFI,5,0),1,0)*Table_NFI[[#This Row],[Kitchen Set]],Table_NFI[Kitchen Set])</f>
        <v>0</v>
      </c>
      <c r="AF788" s="352">
        <f>IF(NFI_Expiration=1,IF($A788&lt;VLOOKUP(O$5,NFI,5,0),1,0)*Table_NFI[[#This Row],[Clothes Kit]],Table_NFI[Clothes Kit])</f>
        <v>0</v>
      </c>
      <c r="AG788" s="352">
        <f>IF(NFI_Expiration=1,IF($A788&lt;VLOOKUP(P$5,NFI,5,0),1,0)*Table_NFI[[#This Row],[Plastic Bucket]],Table_NFI[Plastic Bucket])</f>
        <v>0</v>
      </c>
      <c r="AH788" s="352">
        <f>IF(NFI_Expiration=1,IF($A788&lt;VLOOKUP(Q$5,NFI,5,0),1,0)*Table_NFI[[#This Row],[Plastic Mat]],Table_NFI[Plastic Mat])*IF(Table_NFI[[#This Row],[Distribution Date]]&gt;"2014-04-01",1,2.5)</f>
        <v>0</v>
      </c>
      <c r="AI788" s="352">
        <f>IF(NFI_Expiration=1,IF($A788&lt;VLOOKUP(R$5,NFI,5,0),1,0)*Table_NFI[[#This Row],[Winter Clothes Adult]],Table_NFI[Winter Clothes Adult])</f>
        <v>0</v>
      </c>
      <c r="AJ788" s="352">
        <f>IF(NFI_Expiration=1,IF($A788&lt;VLOOKUP(S$5,NFI,5,0),1,0)*Table_NFI[[#This Row],[Winter Clothes Children]],Table_NFI[Winter Clothes Children])</f>
        <v>0</v>
      </c>
      <c r="AK788" s="352">
        <f>IF(NFI_Expiration=1,IF($A788&lt;VLOOKUP(T$5,NFI,5,0),1,0)*Table_NFI[[#This Row],[Winter Items Other]],Table_NFI[Winter Items Other])</f>
        <v>0</v>
      </c>
      <c r="AL788" s="352">
        <f>IF(NFI_Expiration=1,IF($A788&lt;VLOOKUP(M$5,NFI,5,0),1,0)*Table_NFI[[#This Row],[Winter Blanket]],Table_NFI[[#This Row],[Winter Blanket]])</f>
        <v>0</v>
      </c>
      <c r="AM788" s="352">
        <f>IF(Table_NFI[[#This Row],[Winter Clothes Adult]]+Table_NFI[[#This Row],[Winter Clothes Children]]+Table_NFI[[#This Row],[Winter Items Other]]+Table_NFI[[#This Row],[Winter Blanket]]&gt;0,1,0)</f>
        <v>0</v>
      </c>
      <c r="AN788" s="392">
        <f>IF(NFI_Expiration=1,IF($A788&lt;VLOOKUP(V$5,NFI,5,0),1,0)*Table_NFI[[#This Row],[Jerry Can]],Table_NFI[Jerry Can])</f>
        <v>0</v>
      </c>
      <c r="AO788" s="540" t="str">
        <f>IFERROR(VLOOKUP(Table_NFI[[#This Row],[Camp Name]],CL,2,0),"")</f>
        <v>MMR001CMP160</v>
      </c>
      <c r="AP788" s="535">
        <f ca="1">IF(Table_NFI[[#This Row],[Pcode]]="","",IF(OFFSET(CampList[Opening Date],MATCH(Table_NFI[[#This Row],[Pcode]],CampList[CP_Pcode],0)-1,0,1,1)&gt;=NFI_Monitor_Date,1,0))</f>
        <v>0</v>
      </c>
      <c r="AQ788" s="540" t="str">
        <f>IFERROR(VLOOKUP(Table_NFI[[#This Row],[Camp Name]],CL,3,0),"")</f>
        <v>Open</v>
      </c>
      <c r="AR788" s="352" t="str">
        <f ca="1">IF(Table_NFI[[#This Row],[Pcode]]="","",OFFSET(CampList[Priority],MATCH(Table_NFI[[#This Row],[Pcode]],CampList[CP_Pcode],0)-1,0,1,1))</f>
        <v>P1</v>
      </c>
      <c r="AS788" s="351">
        <f>IFERROR(Table_NFI[[#This Row],[Kitchen Set]]/VLOOKUP(Table_NFI[[#This Row],[Camp Name]],CL,4,0),"")</f>
        <v>0</v>
      </c>
      <c r="AT788" s="533" t="s">
        <v>1094</v>
      </c>
      <c r="AU788" s="536"/>
    </row>
    <row r="789" spans="1:47" ht="14.45" hidden="1" customHeight="1" x14ac:dyDescent="0.25">
      <c r="A789" s="355">
        <f t="shared" si="12"/>
        <v>38.866666666666667</v>
      </c>
      <c r="B789" s="532">
        <v>41405</v>
      </c>
      <c r="C789" s="533" t="s">
        <v>903</v>
      </c>
      <c r="D789" s="534" t="s">
        <v>507</v>
      </c>
      <c r="E789" s="533" t="s">
        <v>380</v>
      </c>
      <c r="F789" s="348" t="s">
        <v>310</v>
      </c>
      <c r="G789" s="348" t="s">
        <v>355</v>
      </c>
      <c r="H789" s="349">
        <v>490</v>
      </c>
      <c r="I789" s="349"/>
      <c r="J789" s="349"/>
      <c r="K789" s="349"/>
      <c r="L789" s="350"/>
      <c r="M789" s="350"/>
      <c r="N789" s="350"/>
      <c r="O789" s="350"/>
      <c r="P789" s="352"/>
      <c r="Q789" s="352"/>
      <c r="R789" s="352"/>
      <c r="S789" s="352"/>
      <c r="T789" s="352"/>
      <c r="U789" s="352"/>
      <c r="V789" s="497"/>
      <c r="W789" s="352"/>
      <c r="X789" s="352"/>
      <c r="Y789" s="352">
        <f>IF(NFI_Expiration=1,IF($A789&lt;VLOOKUP(H$5,NFI,5,0),1,0)*Table_NFI[[#This Row],[Hygiene Kit]],Table_NFI[Hygiene Kit])</f>
        <v>0</v>
      </c>
      <c r="Z789" s="352">
        <f>IF(NFI_Expiration=1,IF($A789&lt;VLOOKUP(I$5,NFI,5,0),1,0)*Table_NFI[[#This Row],[NFI Core Kit]],Table_NFI[NFI Core Kit])</f>
        <v>0</v>
      </c>
      <c r="AA789" s="352">
        <f>IF(NFI_Expiration=1,IF($A789&lt;VLOOKUP(J$5,NFI,5,0),1,0)*Table_NFI[[#This Row],[Sanitary Kit]],Table_NFI[Sanitary Kit])</f>
        <v>0</v>
      </c>
      <c r="AB789" s="352">
        <f>IF(NFI_Expiration=1,IF($A789&lt;VLOOKUP(K$5,NFI,5,0),1,0)*Table_NFI[[#This Row],[Mosquito net]],Table_NFI[Mosquito net])</f>
        <v>0</v>
      </c>
      <c r="AC789" s="352">
        <f>IF(NFI_Expiration=1,IF($A789&lt;VLOOKUP(L$5,NFI,5,0),1,0)*Table_NFI[[#This Row],[Tarpaulin]],Table_NFI[[#This Row],[Tarpaulin]])</f>
        <v>0</v>
      </c>
      <c r="AD789" s="352">
        <f>IF(NFI_Expiration=1,IF($A789&lt;VLOOKUP(M$5,NFI,5,0),1,0)*Table_NFI[[#This Row],[Blanket]],Table_NFI[[#This Row],[Blanket]])</f>
        <v>0</v>
      </c>
      <c r="AE789" s="352">
        <f>IF(NFI_Expiration=1,IF($A789&lt;VLOOKUP(N$5,NFI,5,0),1,0)*Table_NFI[[#This Row],[Kitchen Set]],Table_NFI[Kitchen Set])</f>
        <v>0</v>
      </c>
      <c r="AF789" s="352">
        <f>IF(NFI_Expiration=1,IF($A789&lt;VLOOKUP(O$5,NFI,5,0),1,0)*Table_NFI[[#This Row],[Clothes Kit]],Table_NFI[Clothes Kit])</f>
        <v>0</v>
      </c>
      <c r="AG789" s="352">
        <f>IF(NFI_Expiration=1,IF($A789&lt;VLOOKUP(P$5,NFI,5,0),1,0)*Table_NFI[[#This Row],[Plastic Bucket]],Table_NFI[Plastic Bucket])</f>
        <v>0</v>
      </c>
      <c r="AH789" s="352">
        <f>IF(NFI_Expiration=1,IF($A789&lt;VLOOKUP(Q$5,NFI,5,0),1,0)*Table_NFI[[#This Row],[Plastic Mat]],Table_NFI[Plastic Mat])*IF(Table_NFI[[#This Row],[Distribution Date]]&gt;"2014-04-01",1,2.5)</f>
        <v>0</v>
      </c>
      <c r="AI789" s="352">
        <f>IF(NFI_Expiration=1,IF($A789&lt;VLOOKUP(R$5,NFI,5,0),1,0)*Table_NFI[[#This Row],[Winter Clothes Adult]],Table_NFI[Winter Clothes Adult])</f>
        <v>0</v>
      </c>
      <c r="AJ789" s="352">
        <f>IF(NFI_Expiration=1,IF($A789&lt;VLOOKUP(S$5,NFI,5,0),1,0)*Table_NFI[[#This Row],[Winter Clothes Children]],Table_NFI[Winter Clothes Children])</f>
        <v>0</v>
      </c>
      <c r="AK789" s="352">
        <f>IF(NFI_Expiration=1,IF($A789&lt;VLOOKUP(T$5,NFI,5,0),1,0)*Table_NFI[[#This Row],[Winter Items Other]],Table_NFI[Winter Items Other])</f>
        <v>0</v>
      </c>
      <c r="AL789" s="352">
        <f>IF(NFI_Expiration=1,IF($A789&lt;VLOOKUP(M$5,NFI,5,0),1,0)*Table_NFI[[#This Row],[Winter Blanket]],Table_NFI[[#This Row],[Winter Blanket]])</f>
        <v>0</v>
      </c>
      <c r="AM789" s="352">
        <f>IF(Table_NFI[[#This Row],[Winter Clothes Adult]]+Table_NFI[[#This Row],[Winter Clothes Children]]+Table_NFI[[#This Row],[Winter Items Other]]+Table_NFI[[#This Row],[Winter Blanket]]&gt;0,1,0)</f>
        <v>0</v>
      </c>
      <c r="AN789" s="392">
        <f>IF(NFI_Expiration=1,IF($A789&lt;VLOOKUP(V$5,NFI,5,0),1,0)*Table_NFI[[#This Row],[Jerry Can]],Table_NFI[Jerry Can])</f>
        <v>0</v>
      </c>
      <c r="AO789" s="540" t="str">
        <f>IFERROR(VLOOKUP(Table_NFI[[#This Row],[Camp Name]],CL,2,0),"")</f>
        <v>MMR001CMP160</v>
      </c>
      <c r="AP789" s="535">
        <f ca="1">IF(Table_NFI[[#This Row],[Pcode]]="","",IF(OFFSET(CampList[Opening Date],MATCH(Table_NFI[[#This Row],[Pcode]],CampList[CP_Pcode],0)-1,0,1,1)&gt;=NFI_Monitor_Date,1,0))</f>
        <v>0</v>
      </c>
      <c r="AQ789" s="540" t="str">
        <f>IFERROR(VLOOKUP(Table_NFI[[#This Row],[Camp Name]],CL,3,0),"")</f>
        <v>Open</v>
      </c>
      <c r="AR789" s="352" t="str">
        <f ca="1">IF(Table_NFI[[#This Row],[Pcode]]="","",OFFSET(CampList[Priority],MATCH(Table_NFI[[#This Row],[Pcode]],CampList[CP_Pcode],0)-1,0,1,1))</f>
        <v>P1</v>
      </c>
      <c r="AS789" s="351">
        <f>IFERROR(Table_NFI[[#This Row],[Kitchen Set]]/VLOOKUP(Table_NFI[[#This Row],[Camp Name]],CL,4,0),"")</f>
        <v>0</v>
      </c>
      <c r="AT789" s="533" t="s">
        <v>1094</v>
      </c>
      <c r="AU789" s="536"/>
    </row>
    <row r="790" spans="1:47" ht="14.45" customHeight="1" x14ac:dyDescent="0.25">
      <c r="A790" s="355">
        <f t="shared" si="12"/>
        <v>48.8</v>
      </c>
      <c r="B790" s="532">
        <v>41107</v>
      </c>
      <c r="C790" s="533" t="s">
        <v>453</v>
      </c>
      <c r="D790" s="534" t="s">
        <v>453</v>
      </c>
      <c r="E790" s="533" t="s">
        <v>380</v>
      </c>
      <c r="F790" s="348" t="s">
        <v>151</v>
      </c>
      <c r="G790" s="348" t="s">
        <v>160</v>
      </c>
      <c r="H790" s="349"/>
      <c r="I790" s="349"/>
      <c r="J790" s="349"/>
      <c r="K790" s="349">
        <v>0</v>
      </c>
      <c r="L790" s="350">
        <v>0</v>
      </c>
      <c r="M790" s="350">
        <v>0</v>
      </c>
      <c r="N790" s="350">
        <v>0</v>
      </c>
      <c r="O790" s="350">
        <v>0</v>
      </c>
      <c r="P790" s="352"/>
      <c r="Q790" s="352"/>
      <c r="R790" s="352"/>
      <c r="S790" s="352"/>
      <c r="T790" s="352"/>
      <c r="U790" s="352"/>
      <c r="V790" s="497"/>
      <c r="W790" s="352"/>
      <c r="X790" s="352"/>
      <c r="Y790" s="352">
        <f>IF(NFI_Expiration=1,IF($A790&lt;VLOOKUP(H$5,NFI,5,0),1,0)*Table_NFI[[#This Row],[Hygiene Kit]],Table_NFI[Hygiene Kit])</f>
        <v>0</v>
      </c>
      <c r="Z790" s="352">
        <f>IF(NFI_Expiration=1,IF($A790&lt;VLOOKUP(I$5,NFI,5,0),1,0)*Table_NFI[[#This Row],[NFI Core Kit]],Table_NFI[NFI Core Kit])</f>
        <v>0</v>
      </c>
      <c r="AA790" s="352">
        <f>IF(NFI_Expiration=1,IF($A790&lt;VLOOKUP(J$5,NFI,5,0),1,0)*Table_NFI[[#This Row],[Sanitary Kit]],Table_NFI[Sanitary Kit])</f>
        <v>0</v>
      </c>
      <c r="AB790" s="352">
        <f>IF(NFI_Expiration=1,IF($A790&lt;VLOOKUP(K$5,NFI,5,0),1,0)*Table_NFI[[#This Row],[Mosquito net]],Table_NFI[Mosquito net])</f>
        <v>0</v>
      </c>
      <c r="AC790" s="352">
        <f>IF(NFI_Expiration=1,IF($A790&lt;VLOOKUP(L$5,NFI,5,0),1,0)*Table_NFI[[#This Row],[Tarpaulin]],Table_NFI[[#This Row],[Tarpaulin]])</f>
        <v>0</v>
      </c>
      <c r="AD790" s="352">
        <f>IF(NFI_Expiration=1,IF($A790&lt;VLOOKUP(M$5,NFI,5,0),1,0)*Table_NFI[[#This Row],[Blanket]],Table_NFI[[#This Row],[Blanket]])</f>
        <v>0</v>
      </c>
      <c r="AE790" s="352">
        <f>IF(NFI_Expiration=1,IF($A790&lt;VLOOKUP(N$5,NFI,5,0),1,0)*Table_NFI[[#This Row],[Kitchen Set]],Table_NFI[Kitchen Set])</f>
        <v>0</v>
      </c>
      <c r="AF790" s="352">
        <f>IF(NFI_Expiration=1,IF($A790&lt;VLOOKUP(O$5,NFI,5,0),1,0)*Table_NFI[[#This Row],[Clothes Kit]],Table_NFI[Clothes Kit])</f>
        <v>0</v>
      </c>
      <c r="AG790" s="352">
        <f>IF(NFI_Expiration=1,IF($A790&lt;VLOOKUP(P$5,NFI,5,0),1,0)*Table_NFI[[#This Row],[Plastic Bucket]],Table_NFI[Plastic Bucket])</f>
        <v>0</v>
      </c>
      <c r="AH790" s="352">
        <f>IF(NFI_Expiration=1,IF($A790&lt;VLOOKUP(Q$5,NFI,5,0),1,0)*Table_NFI[[#This Row],[Plastic Mat]],Table_NFI[Plastic Mat])*IF(Table_NFI[[#This Row],[Distribution Date]]&gt;"2014-04-01",1,2.5)</f>
        <v>0</v>
      </c>
      <c r="AI790" s="352">
        <f>IF(NFI_Expiration=1,IF($A790&lt;VLOOKUP(R$5,NFI,5,0),1,0)*Table_NFI[[#This Row],[Winter Clothes Adult]],Table_NFI[Winter Clothes Adult])</f>
        <v>0</v>
      </c>
      <c r="AJ790" s="352">
        <f>IF(NFI_Expiration=1,IF($A790&lt;VLOOKUP(S$5,NFI,5,0),1,0)*Table_NFI[[#This Row],[Winter Clothes Children]],Table_NFI[Winter Clothes Children])</f>
        <v>0</v>
      </c>
      <c r="AK790" s="352">
        <f>IF(NFI_Expiration=1,IF($A790&lt;VLOOKUP(T$5,NFI,5,0),1,0)*Table_NFI[[#This Row],[Winter Items Other]],Table_NFI[Winter Items Other])</f>
        <v>0</v>
      </c>
      <c r="AL790" s="352">
        <f>IF(NFI_Expiration=1,IF($A790&lt;VLOOKUP(M$5,NFI,5,0),1,0)*Table_NFI[[#This Row],[Winter Blanket]],Table_NFI[[#This Row],[Winter Blanket]])</f>
        <v>0</v>
      </c>
      <c r="AM790" s="352">
        <f>IF(Table_NFI[[#This Row],[Winter Clothes Adult]]+Table_NFI[[#This Row],[Winter Clothes Children]]+Table_NFI[[#This Row],[Winter Items Other]]+Table_NFI[[#This Row],[Winter Blanket]]&gt;0,1,0)</f>
        <v>0</v>
      </c>
      <c r="AN790" s="392">
        <f>IF(NFI_Expiration=1,IF($A790&lt;VLOOKUP(V$5,NFI,5,0),1,0)*Table_NFI[[#This Row],[Jerry Can]],Table_NFI[Jerry Can])</f>
        <v>0</v>
      </c>
      <c r="AO790" s="540" t="str">
        <f>IFERROR(VLOOKUP(Table_NFI[[#This Row],[Camp Name]],CL,2,0),"")</f>
        <v>MMR001CMP133</v>
      </c>
      <c r="AP790" s="535">
        <f ca="1">IF(Table_NFI[[#This Row],[Pcode]]="","",IF(OFFSET(CampList[Opening Date],MATCH(Table_NFI[[#This Row],[Pcode]],CampList[CP_Pcode],0)-1,0,1,1)&gt;=NFI_Monitor_Date,1,0))</f>
        <v>0</v>
      </c>
      <c r="AQ790" s="540" t="str">
        <f>IFERROR(VLOOKUP(Table_NFI[[#This Row],[Camp Name]],CL,3,0),"")</f>
        <v>Open</v>
      </c>
      <c r="AR790" s="352" t="str">
        <f ca="1">IF(Table_NFI[[#This Row],[Pcode]]="","",OFFSET(CampList[Priority],MATCH(Table_NFI[[#This Row],[Pcode]],CampList[CP_Pcode],0)-1,0,1,1))</f>
        <v>P4</v>
      </c>
      <c r="AS790" s="351">
        <f>IFERROR(Table_NFI[[#This Row],[Kitchen Set]]/VLOOKUP(Table_NFI[[#This Row],[Camp Name]],CL,4,0),"")</f>
        <v>0</v>
      </c>
      <c r="AT790" s="533" t="s">
        <v>1094</v>
      </c>
      <c r="AU790" s="536"/>
    </row>
    <row r="791" spans="1:47" ht="14.45" customHeight="1" x14ac:dyDescent="0.25">
      <c r="A791" s="355">
        <f t="shared" si="12"/>
        <v>48.8</v>
      </c>
      <c r="B791" s="532">
        <v>41107</v>
      </c>
      <c r="C791" s="533" t="s">
        <v>453</v>
      </c>
      <c r="D791" s="534" t="s">
        <v>453</v>
      </c>
      <c r="E791" s="533" t="s">
        <v>380</v>
      </c>
      <c r="F791" s="348" t="s">
        <v>237</v>
      </c>
      <c r="G791" s="348" t="s">
        <v>263</v>
      </c>
      <c r="H791" s="349"/>
      <c r="I791" s="349"/>
      <c r="J791" s="349"/>
      <c r="K791" s="349">
        <v>0</v>
      </c>
      <c r="L791" s="350">
        <v>0</v>
      </c>
      <c r="M791" s="350">
        <v>0</v>
      </c>
      <c r="N791" s="350">
        <v>0</v>
      </c>
      <c r="O791" s="350">
        <v>0</v>
      </c>
      <c r="P791" s="352"/>
      <c r="Q791" s="352"/>
      <c r="R791" s="352"/>
      <c r="S791" s="352"/>
      <c r="T791" s="352"/>
      <c r="U791" s="352"/>
      <c r="V791" s="497"/>
      <c r="W791" s="352"/>
      <c r="X791" s="352"/>
      <c r="Y791" s="352">
        <f>IF(NFI_Expiration=1,IF($A791&lt;VLOOKUP(H$5,NFI,5,0),1,0)*Table_NFI[[#This Row],[Hygiene Kit]],Table_NFI[Hygiene Kit])</f>
        <v>0</v>
      </c>
      <c r="Z791" s="352">
        <f>IF(NFI_Expiration=1,IF($A791&lt;VLOOKUP(I$5,NFI,5,0),1,0)*Table_NFI[[#This Row],[NFI Core Kit]],Table_NFI[NFI Core Kit])</f>
        <v>0</v>
      </c>
      <c r="AA791" s="352">
        <f>IF(NFI_Expiration=1,IF($A791&lt;VLOOKUP(J$5,NFI,5,0),1,0)*Table_NFI[[#This Row],[Sanitary Kit]],Table_NFI[Sanitary Kit])</f>
        <v>0</v>
      </c>
      <c r="AB791" s="352">
        <f>IF(NFI_Expiration=1,IF($A791&lt;VLOOKUP(K$5,NFI,5,0),1,0)*Table_NFI[[#This Row],[Mosquito net]],Table_NFI[Mosquito net])</f>
        <v>0</v>
      </c>
      <c r="AC791" s="352">
        <f>IF(NFI_Expiration=1,IF($A791&lt;VLOOKUP(L$5,NFI,5,0),1,0)*Table_NFI[[#This Row],[Tarpaulin]],Table_NFI[[#This Row],[Tarpaulin]])</f>
        <v>0</v>
      </c>
      <c r="AD791" s="352">
        <f>IF(NFI_Expiration=1,IF($A791&lt;VLOOKUP(M$5,NFI,5,0),1,0)*Table_NFI[[#This Row],[Blanket]],Table_NFI[[#This Row],[Blanket]])</f>
        <v>0</v>
      </c>
      <c r="AE791" s="352">
        <f>IF(NFI_Expiration=1,IF($A791&lt;VLOOKUP(N$5,NFI,5,0),1,0)*Table_NFI[[#This Row],[Kitchen Set]],Table_NFI[Kitchen Set])</f>
        <v>0</v>
      </c>
      <c r="AF791" s="352">
        <f>IF(NFI_Expiration=1,IF($A791&lt;VLOOKUP(O$5,NFI,5,0),1,0)*Table_NFI[[#This Row],[Clothes Kit]],Table_NFI[Clothes Kit])</f>
        <v>0</v>
      </c>
      <c r="AG791" s="352">
        <f>IF(NFI_Expiration=1,IF($A791&lt;VLOOKUP(P$5,NFI,5,0),1,0)*Table_NFI[[#This Row],[Plastic Bucket]],Table_NFI[Plastic Bucket])</f>
        <v>0</v>
      </c>
      <c r="AH791" s="352">
        <f>IF(NFI_Expiration=1,IF($A791&lt;VLOOKUP(Q$5,NFI,5,0),1,0)*Table_NFI[[#This Row],[Plastic Mat]],Table_NFI[Plastic Mat])*IF(Table_NFI[[#This Row],[Distribution Date]]&gt;"2014-04-01",1,2.5)</f>
        <v>0</v>
      </c>
      <c r="AI791" s="352">
        <f>IF(NFI_Expiration=1,IF($A791&lt;VLOOKUP(R$5,NFI,5,0),1,0)*Table_NFI[[#This Row],[Winter Clothes Adult]],Table_NFI[Winter Clothes Adult])</f>
        <v>0</v>
      </c>
      <c r="AJ791" s="352">
        <f>IF(NFI_Expiration=1,IF($A791&lt;VLOOKUP(S$5,NFI,5,0),1,0)*Table_NFI[[#This Row],[Winter Clothes Children]],Table_NFI[Winter Clothes Children])</f>
        <v>0</v>
      </c>
      <c r="AK791" s="352">
        <f>IF(NFI_Expiration=1,IF($A791&lt;VLOOKUP(T$5,NFI,5,0),1,0)*Table_NFI[[#This Row],[Winter Items Other]],Table_NFI[Winter Items Other])</f>
        <v>0</v>
      </c>
      <c r="AL791" s="352">
        <f>IF(NFI_Expiration=1,IF($A791&lt;VLOOKUP(M$5,NFI,5,0),1,0)*Table_NFI[[#This Row],[Winter Blanket]],Table_NFI[[#This Row],[Winter Blanket]])</f>
        <v>0</v>
      </c>
      <c r="AM791" s="352">
        <f>IF(Table_NFI[[#This Row],[Winter Clothes Adult]]+Table_NFI[[#This Row],[Winter Clothes Children]]+Table_NFI[[#This Row],[Winter Items Other]]+Table_NFI[[#This Row],[Winter Blanket]]&gt;0,1,0)</f>
        <v>0</v>
      </c>
      <c r="AN791" s="392">
        <f>IF(NFI_Expiration=1,IF($A791&lt;VLOOKUP(V$5,NFI,5,0),1,0)*Table_NFI[[#This Row],[Jerry Can]],Table_NFI[Jerry Can])</f>
        <v>0</v>
      </c>
      <c r="AO791" s="540" t="str">
        <f>IFERROR(VLOOKUP(Table_NFI[[#This Row],[Camp Name]],CL,2,0),"")</f>
        <v>MMR001CMP020</v>
      </c>
      <c r="AP791" s="535">
        <f ca="1">IF(Table_NFI[[#This Row],[Pcode]]="","",IF(OFFSET(CampList[Opening Date],MATCH(Table_NFI[[#This Row],[Pcode]],CampList[CP_Pcode],0)-1,0,1,1)&gt;=NFI_Monitor_Date,1,0))</f>
        <v>0</v>
      </c>
      <c r="AQ791" s="540" t="str">
        <f>IFERROR(VLOOKUP(Table_NFI[[#This Row],[Camp Name]],CL,3,0),"")</f>
        <v>Open</v>
      </c>
      <c r="AR791" s="352" t="str">
        <f ca="1">IF(Table_NFI[[#This Row],[Pcode]]="","",OFFSET(CampList[Priority],MATCH(Table_NFI[[#This Row],[Pcode]],CampList[CP_Pcode],0)-1,0,1,1))</f>
        <v>P4</v>
      </c>
      <c r="AS791" s="351">
        <f>IFERROR(Table_NFI[[#This Row],[Kitchen Set]]/VLOOKUP(Table_NFI[[#This Row],[Camp Name]],CL,4,0),"")</f>
        <v>0</v>
      </c>
      <c r="AT791" s="533" t="s">
        <v>1094</v>
      </c>
      <c r="AU791" s="536"/>
    </row>
    <row r="792" spans="1:47" ht="14.45" customHeight="1" x14ac:dyDescent="0.25">
      <c r="A792" s="355">
        <f t="shared" si="12"/>
        <v>48.8</v>
      </c>
      <c r="B792" s="532">
        <v>41107</v>
      </c>
      <c r="C792" s="533" t="s">
        <v>453</v>
      </c>
      <c r="D792" s="534" t="s">
        <v>453</v>
      </c>
      <c r="E792" s="533" t="s">
        <v>380</v>
      </c>
      <c r="F792" s="348" t="s">
        <v>237</v>
      </c>
      <c r="G792" s="348" t="s">
        <v>263</v>
      </c>
      <c r="H792" s="349"/>
      <c r="I792" s="349"/>
      <c r="J792" s="349"/>
      <c r="K792" s="349">
        <v>19</v>
      </c>
      <c r="L792" s="350">
        <v>19</v>
      </c>
      <c r="M792" s="350">
        <v>19</v>
      </c>
      <c r="N792" s="350">
        <v>19</v>
      </c>
      <c r="O792" s="350">
        <v>19</v>
      </c>
      <c r="P792" s="352">
        <v>19</v>
      </c>
      <c r="Q792" s="352">
        <v>19</v>
      </c>
      <c r="R792" s="352"/>
      <c r="S792" s="352"/>
      <c r="T792" s="352"/>
      <c r="U792" s="352"/>
      <c r="V792" s="497"/>
      <c r="W792" s="352"/>
      <c r="X792" s="352"/>
      <c r="Y792" s="352">
        <f>IF(NFI_Expiration=1,IF($A792&lt;VLOOKUP(H$5,NFI,5,0),1,0)*Table_NFI[[#This Row],[Hygiene Kit]],Table_NFI[Hygiene Kit])</f>
        <v>0</v>
      </c>
      <c r="Z792" s="352">
        <f>IF(NFI_Expiration=1,IF($A792&lt;VLOOKUP(I$5,NFI,5,0),1,0)*Table_NFI[[#This Row],[NFI Core Kit]],Table_NFI[NFI Core Kit])</f>
        <v>0</v>
      </c>
      <c r="AA792" s="352">
        <f>IF(NFI_Expiration=1,IF($A792&lt;VLOOKUP(J$5,NFI,5,0),1,0)*Table_NFI[[#This Row],[Sanitary Kit]],Table_NFI[Sanitary Kit])</f>
        <v>0</v>
      </c>
      <c r="AB792" s="352">
        <f>IF(NFI_Expiration=1,IF($A792&lt;VLOOKUP(K$5,NFI,5,0),1,0)*Table_NFI[[#This Row],[Mosquito net]],Table_NFI[Mosquito net])</f>
        <v>0</v>
      </c>
      <c r="AC792" s="352">
        <f>IF(NFI_Expiration=1,IF($A792&lt;VLOOKUP(L$5,NFI,5,0),1,0)*Table_NFI[[#This Row],[Tarpaulin]],Table_NFI[[#This Row],[Tarpaulin]])</f>
        <v>0</v>
      </c>
      <c r="AD792" s="352">
        <f>IF(NFI_Expiration=1,IF($A792&lt;VLOOKUP(M$5,NFI,5,0),1,0)*Table_NFI[[#This Row],[Blanket]],Table_NFI[[#This Row],[Blanket]])</f>
        <v>0</v>
      </c>
      <c r="AE792" s="352">
        <f>IF(NFI_Expiration=1,IF($A792&lt;VLOOKUP(N$5,NFI,5,0),1,0)*Table_NFI[[#This Row],[Kitchen Set]],Table_NFI[Kitchen Set])</f>
        <v>0</v>
      </c>
      <c r="AF792" s="352">
        <f>IF(NFI_Expiration=1,IF($A792&lt;VLOOKUP(O$5,NFI,5,0),1,0)*Table_NFI[[#This Row],[Clothes Kit]],Table_NFI[Clothes Kit])</f>
        <v>0</v>
      </c>
      <c r="AG792" s="352">
        <f>IF(NFI_Expiration=1,IF($A792&lt;VLOOKUP(P$5,NFI,5,0),1,0)*Table_NFI[[#This Row],[Plastic Bucket]],Table_NFI[Plastic Bucket])</f>
        <v>0</v>
      </c>
      <c r="AH792" s="352">
        <f>IF(NFI_Expiration=1,IF($A792&lt;VLOOKUP(Q$5,NFI,5,0),1,0)*Table_NFI[[#This Row],[Plastic Mat]],Table_NFI[Plastic Mat])*IF(Table_NFI[[#This Row],[Distribution Date]]&gt;"2014-04-01",1,2.5)</f>
        <v>0</v>
      </c>
      <c r="AI792" s="352">
        <f>IF(NFI_Expiration=1,IF($A792&lt;VLOOKUP(R$5,NFI,5,0),1,0)*Table_NFI[[#This Row],[Winter Clothes Adult]],Table_NFI[Winter Clothes Adult])</f>
        <v>0</v>
      </c>
      <c r="AJ792" s="352">
        <f>IF(NFI_Expiration=1,IF($A792&lt;VLOOKUP(S$5,NFI,5,0),1,0)*Table_NFI[[#This Row],[Winter Clothes Children]],Table_NFI[Winter Clothes Children])</f>
        <v>0</v>
      </c>
      <c r="AK792" s="352">
        <f>IF(NFI_Expiration=1,IF($A792&lt;VLOOKUP(T$5,NFI,5,0),1,0)*Table_NFI[[#This Row],[Winter Items Other]],Table_NFI[Winter Items Other])</f>
        <v>0</v>
      </c>
      <c r="AL792" s="352">
        <f>IF(NFI_Expiration=1,IF($A792&lt;VLOOKUP(M$5,NFI,5,0),1,0)*Table_NFI[[#This Row],[Winter Blanket]],Table_NFI[[#This Row],[Winter Blanket]])</f>
        <v>0</v>
      </c>
      <c r="AM792" s="352">
        <f>IF(Table_NFI[[#This Row],[Winter Clothes Adult]]+Table_NFI[[#This Row],[Winter Clothes Children]]+Table_NFI[[#This Row],[Winter Items Other]]+Table_NFI[[#This Row],[Winter Blanket]]&gt;0,1,0)</f>
        <v>0</v>
      </c>
      <c r="AN792" s="392">
        <f>IF(NFI_Expiration=1,IF($A792&lt;VLOOKUP(V$5,NFI,5,0),1,0)*Table_NFI[[#This Row],[Jerry Can]],Table_NFI[Jerry Can])</f>
        <v>0</v>
      </c>
      <c r="AO792" s="540" t="str">
        <f>IFERROR(VLOOKUP(Table_NFI[[#This Row],[Camp Name]],CL,2,0),"")</f>
        <v>MMR001CMP020</v>
      </c>
      <c r="AP792" s="535">
        <f ca="1">IF(Table_NFI[[#This Row],[Pcode]]="","",IF(OFFSET(CampList[Opening Date],MATCH(Table_NFI[[#This Row],[Pcode]],CampList[CP_Pcode],0)-1,0,1,1)&gt;=NFI_Monitor_Date,1,0))</f>
        <v>0</v>
      </c>
      <c r="AQ792" s="540" t="str">
        <f>IFERROR(VLOOKUP(Table_NFI[[#This Row],[Camp Name]],CL,3,0),"")</f>
        <v>Open</v>
      </c>
      <c r="AR792" s="352" t="str">
        <f ca="1">IF(Table_NFI[[#This Row],[Pcode]]="","",OFFSET(CampList[Priority],MATCH(Table_NFI[[#This Row],[Pcode]],CampList[CP_Pcode],0)-1,0,1,1))</f>
        <v>P4</v>
      </c>
      <c r="AS792" s="351">
        <f>IFERROR(Table_NFI[[#This Row],[Kitchen Set]]/VLOOKUP(Table_NFI[[#This Row],[Camp Name]],CL,4,0),"")</f>
        <v>0.90476190476190477</v>
      </c>
      <c r="AT792" s="533" t="s">
        <v>1094</v>
      </c>
      <c r="AU792" s="536"/>
    </row>
    <row r="793" spans="1:47" ht="14.45" customHeight="1" x14ac:dyDescent="0.25">
      <c r="A793" s="355">
        <f t="shared" si="12"/>
        <v>48.8</v>
      </c>
      <c r="B793" s="532">
        <v>41107</v>
      </c>
      <c r="C793" s="533" t="s">
        <v>453</v>
      </c>
      <c r="D793" s="534" t="s">
        <v>453</v>
      </c>
      <c r="E793" s="533" t="s">
        <v>380</v>
      </c>
      <c r="F793" s="348" t="s">
        <v>310</v>
      </c>
      <c r="G793" s="348" t="s">
        <v>1249</v>
      </c>
      <c r="H793" s="349"/>
      <c r="I793" s="349"/>
      <c r="J793" s="349"/>
      <c r="K793" s="349">
        <v>0</v>
      </c>
      <c r="L793" s="350">
        <v>0</v>
      </c>
      <c r="M793" s="350">
        <v>0</v>
      </c>
      <c r="N793" s="350">
        <v>0</v>
      </c>
      <c r="O793" s="350">
        <v>0</v>
      </c>
      <c r="P793" s="352"/>
      <c r="Q793" s="352"/>
      <c r="R793" s="352"/>
      <c r="S793" s="352"/>
      <c r="T793" s="352"/>
      <c r="U793" s="352"/>
      <c r="V793" s="497"/>
      <c r="W793" s="352"/>
      <c r="X793" s="352"/>
      <c r="Y793" s="352">
        <f>IF(NFI_Expiration=1,IF($A793&lt;VLOOKUP(H$5,NFI,5,0),1,0)*Table_NFI[[#This Row],[Hygiene Kit]],Table_NFI[Hygiene Kit])</f>
        <v>0</v>
      </c>
      <c r="Z793" s="352">
        <f>IF(NFI_Expiration=1,IF($A793&lt;VLOOKUP(I$5,NFI,5,0),1,0)*Table_NFI[[#This Row],[NFI Core Kit]],Table_NFI[NFI Core Kit])</f>
        <v>0</v>
      </c>
      <c r="AA793" s="352">
        <f>IF(NFI_Expiration=1,IF($A793&lt;VLOOKUP(J$5,NFI,5,0),1,0)*Table_NFI[[#This Row],[Sanitary Kit]],Table_NFI[Sanitary Kit])</f>
        <v>0</v>
      </c>
      <c r="AB793" s="352">
        <f>IF(NFI_Expiration=1,IF($A793&lt;VLOOKUP(K$5,NFI,5,0),1,0)*Table_NFI[[#This Row],[Mosquito net]],Table_NFI[Mosquito net])</f>
        <v>0</v>
      </c>
      <c r="AC793" s="352">
        <f>IF(NFI_Expiration=1,IF($A793&lt;VLOOKUP(L$5,NFI,5,0),1,0)*Table_NFI[[#This Row],[Tarpaulin]],Table_NFI[[#This Row],[Tarpaulin]])</f>
        <v>0</v>
      </c>
      <c r="AD793" s="352">
        <f>IF(NFI_Expiration=1,IF($A793&lt;VLOOKUP(M$5,NFI,5,0),1,0)*Table_NFI[[#This Row],[Blanket]],Table_NFI[[#This Row],[Blanket]])</f>
        <v>0</v>
      </c>
      <c r="AE793" s="352">
        <f>IF(NFI_Expiration=1,IF($A793&lt;VLOOKUP(N$5,NFI,5,0),1,0)*Table_NFI[[#This Row],[Kitchen Set]],Table_NFI[Kitchen Set])</f>
        <v>0</v>
      </c>
      <c r="AF793" s="352">
        <f>IF(NFI_Expiration=1,IF($A793&lt;VLOOKUP(O$5,NFI,5,0),1,0)*Table_NFI[[#This Row],[Clothes Kit]],Table_NFI[Clothes Kit])</f>
        <v>0</v>
      </c>
      <c r="AG793" s="352">
        <f>IF(NFI_Expiration=1,IF($A793&lt;VLOOKUP(P$5,NFI,5,0),1,0)*Table_NFI[[#This Row],[Plastic Bucket]],Table_NFI[Plastic Bucket])</f>
        <v>0</v>
      </c>
      <c r="AH793" s="352">
        <f>IF(NFI_Expiration=1,IF($A793&lt;VLOOKUP(Q$5,NFI,5,0),1,0)*Table_NFI[[#This Row],[Plastic Mat]],Table_NFI[Plastic Mat])*IF(Table_NFI[[#This Row],[Distribution Date]]&gt;"2014-04-01",1,2.5)</f>
        <v>0</v>
      </c>
      <c r="AI793" s="352">
        <f>IF(NFI_Expiration=1,IF($A793&lt;VLOOKUP(R$5,NFI,5,0),1,0)*Table_NFI[[#This Row],[Winter Clothes Adult]],Table_NFI[Winter Clothes Adult])</f>
        <v>0</v>
      </c>
      <c r="AJ793" s="352">
        <f>IF(NFI_Expiration=1,IF($A793&lt;VLOOKUP(S$5,NFI,5,0),1,0)*Table_NFI[[#This Row],[Winter Clothes Children]],Table_NFI[Winter Clothes Children])</f>
        <v>0</v>
      </c>
      <c r="AK793" s="352">
        <f>IF(NFI_Expiration=1,IF($A793&lt;VLOOKUP(T$5,NFI,5,0),1,0)*Table_NFI[[#This Row],[Winter Items Other]],Table_NFI[Winter Items Other])</f>
        <v>0</v>
      </c>
      <c r="AL793" s="352">
        <f>IF(NFI_Expiration=1,IF($A793&lt;VLOOKUP(M$5,NFI,5,0),1,0)*Table_NFI[[#This Row],[Winter Blanket]],Table_NFI[[#This Row],[Winter Blanket]])</f>
        <v>0</v>
      </c>
      <c r="AM793" s="352">
        <f>IF(Table_NFI[[#This Row],[Winter Clothes Adult]]+Table_NFI[[#This Row],[Winter Clothes Children]]+Table_NFI[[#This Row],[Winter Items Other]]+Table_NFI[[#This Row],[Winter Blanket]]&gt;0,1,0)</f>
        <v>0</v>
      </c>
      <c r="AN793" s="392">
        <f>IF(NFI_Expiration=1,IF($A793&lt;VLOOKUP(V$5,NFI,5,0),1,0)*Table_NFI[[#This Row],[Jerry Can]],Table_NFI[Jerry Can])</f>
        <v>0</v>
      </c>
      <c r="AO793" s="540" t="str">
        <f>IFERROR(VLOOKUP(Table_NFI[[#This Row],[Camp Name]],CL,2,0),"")</f>
        <v>MMR001CMP035</v>
      </c>
      <c r="AP793" s="535">
        <f ca="1">IF(Table_NFI[[#This Row],[Pcode]]="","",IF(OFFSET(CampList[Opening Date],MATCH(Table_NFI[[#This Row],[Pcode]],CampList[CP_Pcode],0)-1,0,1,1)&gt;=NFI_Monitor_Date,1,0))</f>
        <v>0</v>
      </c>
      <c r="AQ793" s="540" t="str">
        <f>IFERROR(VLOOKUP(Table_NFI[[#This Row],[Camp Name]],CL,3,0),"")</f>
        <v>Closed</v>
      </c>
      <c r="AR793" s="352" t="str">
        <f ca="1">IF(Table_NFI[[#This Row],[Pcode]]="","",OFFSET(CampList[Priority],MATCH(Table_NFI[[#This Row],[Pcode]],CampList[CP_Pcode],0)-1,0,1,1))</f>
        <v/>
      </c>
      <c r="AS793" s="351" t="str">
        <f>IFERROR(Table_NFI[[#This Row],[Kitchen Set]]/VLOOKUP(Table_NFI[[#This Row],[Camp Name]],CL,4,0),"")</f>
        <v/>
      </c>
      <c r="AT793" s="533" t="s">
        <v>1094</v>
      </c>
      <c r="AU793" s="536"/>
    </row>
    <row r="794" spans="1:47" ht="14.45" customHeight="1" x14ac:dyDescent="0.25">
      <c r="A794" s="355">
        <f t="shared" si="12"/>
        <v>48.8</v>
      </c>
      <c r="B794" s="532">
        <v>41107</v>
      </c>
      <c r="C794" s="533" t="s">
        <v>453</v>
      </c>
      <c r="D794" s="534" t="s">
        <v>453</v>
      </c>
      <c r="E794" s="533" t="s">
        <v>380</v>
      </c>
      <c r="F794" s="348" t="s">
        <v>237</v>
      </c>
      <c r="G794" s="348" t="s">
        <v>271</v>
      </c>
      <c r="H794" s="349"/>
      <c r="I794" s="349"/>
      <c r="J794" s="349"/>
      <c r="K794" s="349">
        <v>6</v>
      </c>
      <c r="L794" s="350">
        <v>6</v>
      </c>
      <c r="M794" s="350">
        <v>6</v>
      </c>
      <c r="N794" s="350">
        <v>6</v>
      </c>
      <c r="O794" s="350">
        <v>6</v>
      </c>
      <c r="P794" s="352">
        <v>6</v>
      </c>
      <c r="Q794" s="352">
        <v>6</v>
      </c>
      <c r="R794" s="352"/>
      <c r="S794" s="352"/>
      <c r="T794" s="352"/>
      <c r="U794" s="352"/>
      <c r="V794" s="497"/>
      <c r="W794" s="352"/>
      <c r="X794" s="352"/>
      <c r="Y794" s="352">
        <f>IF(NFI_Expiration=1,IF($A794&lt;VLOOKUP(H$5,NFI,5,0),1,0)*Table_NFI[[#This Row],[Hygiene Kit]],Table_NFI[Hygiene Kit])</f>
        <v>0</v>
      </c>
      <c r="Z794" s="352">
        <f>IF(NFI_Expiration=1,IF($A794&lt;VLOOKUP(I$5,NFI,5,0),1,0)*Table_NFI[[#This Row],[NFI Core Kit]],Table_NFI[NFI Core Kit])</f>
        <v>0</v>
      </c>
      <c r="AA794" s="352">
        <f>IF(NFI_Expiration=1,IF($A794&lt;VLOOKUP(J$5,NFI,5,0),1,0)*Table_NFI[[#This Row],[Sanitary Kit]],Table_NFI[Sanitary Kit])</f>
        <v>0</v>
      </c>
      <c r="AB794" s="352">
        <f>IF(NFI_Expiration=1,IF($A794&lt;VLOOKUP(K$5,NFI,5,0),1,0)*Table_NFI[[#This Row],[Mosquito net]],Table_NFI[Mosquito net])</f>
        <v>0</v>
      </c>
      <c r="AC794" s="352">
        <f>IF(NFI_Expiration=1,IF($A794&lt;VLOOKUP(L$5,NFI,5,0),1,0)*Table_NFI[[#This Row],[Tarpaulin]],Table_NFI[[#This Row],[Tarpaulin]])</f>
        <v>0</v>
      </c>
      <c r="AD794" s="352">
        <f>IF(NFI_Expiration=1,IF($A794&lt;VLOOKUP(M$5,NFI,5,0),1,0)*Table_NFI[[#This Row],[Blanket]],Table_NFI[[#This Row],[Blanket]])</f>
        <v>0</v>
      </c>
      <c r="AE794" s="352">
        <f>IF(NFI_Expiration=1,IF($A794&lt;VLOOKUP(N$5,NFI,5,0),1,0)*Table_NFI[[#This Row],[Kitchen Set]],Table_NFI[Kitchen Set])</f>
        <v>0</v>
      </c>
      <c r="AF794" s="352">
        <f>IF(NFI_Expiration=1,IF($A794&lt;VLOOKUP(O$5,NFI,5,0),1,0)*Table_NFI[[#This Row],[Clothes Kit]],Table_NFI[Clothes Kit])</f>
        <v>0</v>
      </c>
      <c r="AG794" s="352">
        <f>IF(NFI_Expiration=1,IF($A794&lt;VLOOKUP(P$5,NFI,5,0),1,0)*Table_NFI[[#This Row],[Plastic Bucket]],Table_NFI[Plastic Bucket])</f>
        <v>0</v>
      </c>
      <c r="AH794" s="352">
        <f>IF(NFI_Expiration=1,IF($A794&lt;VLOOKUP(Q$5,NFI,5,0),1,0)*Table_NFI[[#This Row],[Plastic Mat]],Table_NFI[Plastic Mat])*IF(Table_NFI[[#This Row],[Distribution Date]]&gt;"2014-04-01",1,2.5)</f>
        <v>0</v>
      </c>
      <c r="AI794" s="352">
        <f>IF(NFI_Expiration=1,IF($A794&lt;VLOOKUP(R$5,NFI,5,0),1,0)*Table_NFI[[#This Row],[Winter Clothes Adult]],Table_NFI[Winter Clothes Adult])</f>
        <v>0</v>
      </c>
      <c r="AJ794" s="352">
        <f>IF(NFI_Expiration=1,IF($A794&lt;VLOOKUP(S$5,NFI,5,0),1,0)*Table_NFI[[#This Row],[Winter Clothes Children]],Table_NFI[Winter Clothes Children])</f>
        <v>0</v>
      </c>
      <c r="AK794" s="352">
        <f>IF(NFI_Expiration=1,IF($A794&lt;VLOOKUP(T$5,NFI,5,0),1,0)*Table_NFI[[#This Row],[Winter Items Other]],Table_NFI[Winter Items Other])</f>
        <v>0</v>
      </c>
      <c r="AL794" s="352">
        <f>IF(NFI_Expiration=1,IF($A794&lt;VLOOKUP(M$5,NFI,5,0),1,0)*Table_NFI[[#This Row],[Winter Blanket]],Table_NFI[[#This Row],[Winter Blanket]])</f>
        <v>0</v>
      </c>
      <c r="AM794" s="352">
        <f>IF(Table_NFI[[#This Row],[Winter Clothes Adult]]+Table_NFI[[#This Row],[Winter Clothes Children]]+Table_NFI[[#This Row],[Winter Items Other]]+Table_NFI[[#This Row],[Winter Blanket]]&gt;0,1,0)</f>
        <v>0</v>
      </c>
      <c r="AN794" s="392">
        <f>IF(NFI_Expiration=1,IF($A794&lt;VLOOKUP(V$5,NFI,5,0),1,0)*Table_NFI[[#This Row],[Jerry Can]],Table_NFI[Jerry Can])</f>
        <v>0</v>
      </c>
      <c r="AO794" s="540" t="str">
        <f>IFERROR(VLOOKUP(Table_NFI[[#This Row],[Camp Name]],CL,2,0),"")</f>
        <v>MMR001CMP024</v>
      </c>
      <c r="AP794" s="535">
        <f ca="1">IF(Table_NFI[[#This Row],[Pcode]]="","",IF(OFFSET(CampList[Opening Date],MATCH(Table_NFI[[#This Row],[Pcode]],CampList[CP_Pcode],0)-1,0,1,1)&gt;=NFI_Monitor_Date,1,0))</f>
        <v>0</v>
      </c>
      <c r="AQ794" s="540" t="str">
        <f>IFERROR(VLOOKUP(Table_NFI[[#This Row],[Camp Name]],CL,3,0),"")</f>
        <v>Open</v>
      </c>
      <c r="AR794" s="352" t="str">
        <f ca="1">IF(Table_NFI[[#This Row],[Pcode]]="","",OFFSET(CampList[Priority],MATCH(Table_NFI[[#This Row],[Pcode]],CampList[CP_Pcode],0)-1,0,1,1))</f>
        <v>P4</v>
      </c>
      <c r="AS794" s="351">
        <f>IFERROR(Table_NFI[[#This Row],[Kitchen Set]]/VLOOKUP(Table_NFI[[#This Row],[Camp Name]],CL,4,0),"")</f>
        <v>8.8235294117647065E-2</v>
      </c>
      <c r="AT794" s="533" t="s">
        <v>1094</v>
      </c>
      <c r="AU794" s="536"/>
    </row>
    <row r="795" spans="1:47" ht="14.45" hidden="1" customHeight="1" x14ac:dyDescent="0.25">
      <c r="A795" s="355">
        <f t="shared" si="12"/>
        <v>26.333333333333332</v>
      </c>
      <c r="B795" s="532">
        <v>41781</v>
      </c>
      <c r="C795" s="533" t="s">
        <v>1106</v>
      </c>
      <c r="D795" s="533" t="s">
        <v>902</v>
      </c>
      <c r="E795" s="533" t="s">
        <v>380</v>
      </c>
      <c r="F795" s="533" t="s">
        <v>310</v>
      </c>
      <c r="G795" s="533" t="s">
        <v>318</v>
      </c>
      <c r="H795" s="349"/>
      <c r="I795" s="349"/>
      <c r="J795" s="349"/>
      <c r="K795" s="349"/>
      <c r="L795" s="350"/>
      <c r="M795" s="350"/>
      <c r="N795" s="350"/>
      <c r="O795" s="350"/>
      <c r="P795" s="352"/>
      <c r="Q795" s="352"/>
      <c r="R795" s="352"/>
      <c r="S795" s="352"/>
      <c r="T795" s="352"/>
      <c r="U795" s="352">
        <v>88</v>
      </c>
      <c r="V795" s="497"/>
      <c r="W795" s="352"/>
      <c r="X795" s="352"/>
      <c r="Y795" s="352">
        <f>IF(NFI_Expiration=1,IF($A795&lt;VLOOKUP(H$5,NFI,5,0),1,0)*Table_NFI[[#This Row],[Hygiene Kit]],Table_NFI[Hygiene Kit])</f>
        <v>0</v>
      </c>
      <c r="Z795" s="352">
        <f>IF(NFI_Expiration=1,IF($A795&lt;VLOOKUP(I$5,NFI,5,0),1,0)*Table_NFI[[#This Row],[NFI Core Kit]],Table_NFI[NFI Core Kit])</f>
        <v>0</v>
      </c>
      <c r="AA795" s="352">
        <f>IF(NFI_Expiration=1,IF($A795&lt;VLOOKUP(J$5,NFI,5,0),1,0)*Table_NFI[[#This Row],[Sanitary Kit]],Table_NFI[Sanitary Kit])</f>
        <v>0</v>
      </c>
      <c r="AB795" s="352">
        <f>IF(NFI_Expiration=1,IF($A795&lt;VLOOKUP(K$5,NFI,5,0),1,0)*Table_NFI[[#This Row],[Mosquito net]],Table_NFI[Mosquito net])</f>
        <v>0</v>
      </c>
      <c r="AC795" s="352">
        <f>IF(NFI_Expiration=1,IF($A795&lt;VLOOKUP(L$5,NFI,5,0),1,0)*Table_NFI[[#This Row],[Tarpaulin]],Table_NFI[[#This Row],[Tarpaulin]])</f>
        <v>0</v>
      </c>
      <c r="AD795" s="352">
        <f>IF(NFI_Expiration=1,IF($A795&lt;VLOOKUP(M$5,NFI,5,0),1,0)*Table_NFI[[#This Row],[Blanket]],Table_NFI[[#This Row],[Blanket]])</f>
        <v>0</v>
      </c>
      <c r="AE795" s="352">
        <f>IF(NFI_Expiration=1,IF($A795&lt;VLOOKUP(N$5,NFI,5,0),1,0)*Table_NFI[[#This Row],[Kitchen Set]],Table_NFI[Kitchen Set])</f>
        <v>0</v>
      </c>
      <c r="AF795" s="352">
        <f>IF(NFI_Expiration=1,IF($A795&lt;VLOOKUP(O$5,NFI,5,0),1,0)*Table_NFI[[#This Row],[Clothes Kit]],Table_NFI[Clothes Kit])</f>
        <v>0</v>
      </c>
      <c r="AG795" s="352">
        <f>IF(NFI_Expiration=1,IF($A795&lt;VLOOKUP(P$5,NFI,5,0),1,0)*Table_NFI[[#This Row],[Plastic Bucket]],Table_NFI[Plastic Bucket])</f>
        <v>0</v>
      </c>
      <c r="AH795" s="352">
        <f>IF(NFI_Expiration=1,IF($A795&lt;VLOOKUP(Q$5,NFI,5,0),1,0)*Table_NFI[[#This Row],[Plastic Mat]],Table_NFI[Plastic Mat])*IF(Table_NFI[[#This Row],[Distribution Date]]&gt;"2014-04-01",1,2.5)</f>
        <v>0</v>
      </c>
      <c r="AI795" s="352">
        <f>IF(NFI_Expiration=1,IF($A795&lt;VLOOKUP(R$5,NFI,5,0),1,0)*Table_NFI[[#This Row],[Winter Clothes Adult]],Table_NFI[Winter Clothes Adult])</f>
        <v>0</v>
      </c>
      <c r="AJ795" s="352">
        <f>IF(NFI_Expiration=1,IF($A795&lt;VLOOKUP(S$5,NFI,5,0),1,0)*Table_NFI[[#This Row],[Winter Clothes Children]],Table_NFI[Winter Clothes Children])</f>
        <v>0</v>
      </c>
      <c r="AK795" s="352">
        <f>IF(NFI_Expiration=1,IF($A795&lt;VLOOKUP(T$5,NFI,5,0),1,0)*Table_NFI[[#This Row],[Winter Items Other]],Table_NFI[Winter Items Other])</f>
        <v>0</v>
      </c>
      <c r="AL795" s="352">
        <f>IF(NFI_Expiration=1,IF($A795&lt;VLOOKUP(M$5,NFI,5,0),1,0)*Table_NFI[[#This Row],[Winter Blanket]],Table_NFI[[#This Row],[Winter Blanket]])</f>
        <v>0</v>
      </c>
      <c r="AM795" s="352">
        <f>IF(Table_NFI[[#This Row],[Winter Clothes Adult]]+Table_NFI[[#This Row],[Winter Clothes Children]]+Table_NFI[[#This Row],[Winter Items Other]]+Table_NFI[[#This Row],[Winter Blanket]]&gt;0,1,0)</f>
        <v>1</v>
      </c>
      <c r="AN795" s="392">
        <f>IF(NFI_Expiration=1,IF($A795&lt;VLOOKUP(V$5,NFI,5,0),1,0)*Table_NFI[[#This Row],[Jerry Can]],Table_NFI[Jerry Can])</f>
        <v>0</v>
      </c>
      <c r="AO795" s="540" t="str">
        <f>IFERROR(VLOOKUP(Table_NFI[[#This Row],[Camp Name]],CL,2,0),"")</f>
        <v>MMR001CMP032</v>
      </c>
      <c r="AP795" s="535">
        <f ca="1">IF(Table_NFI[[#This Row],[Pcode]]="","",IF(OFFSET(CampList[Opening Date],MATCH(Table_NFI[[#This Row],[Pcode]],CampList[CP_Pcode],0)-1,0,1,1)&gt;=NFI_Monitor_Date,1,0))</f>
        <v>0</v>
      </c>
      <c r="AQ795" s="540" t="str">
        <f>IFERROR(VLOOKUP(Table_NFI[[#This Row],[Camp Name]],CL,3,0),"")</f>
        <v>Open</v>
      </c>
      <c r="AR795" s="352" t="str">
        <f ca="1">IF(Table_NFI[[#This Row],[Pcode]]="","",OFFSET(CampList[Priority],MATCH(Table_NFI[[#This Row],[Pcode]],CampList[CP_Pcode],0)-1,0,1,1))</f>
        <v>P4</v>
      </c>
      <c r="AS795" s="351">
        <f>IFERROR(Table_NFI[[#This Row],[Kitchen Set]]/VLOOKUP(Table_NFI[[#This Row],[Camp Name]],CL,4,0),"")</f>
        <v>0</v>
      </c>
      <c r="AT795" s="533"/>
      <c r="AU795" s="536"/>
    </row>
    <row r="796" spans="1:47" hidden="1" x14ac:dyDescent="0.25">
      <c r="A796" s="355">
        <f t="shared" si="12"/>
        <v>31.333333333333332</v>
      </c>
      <c r="B796" s="532">
        <v>41631</v>
      </c>
      <c r="C796" s="533" t="s">
        <v>907</v>
      </c>
      <c r="D796" s="533" t="s">
        <v>461</v>
      </c>
      <c r="E796" s="533" t="s">
        <v>380</v>
      </c>
      <c r="F796" s="533" t="s">
        <v>310</v>
      </c>
      <c r="G796" s="533" t="s">
        <v>318</v>
      </c>
      <c r="H796" s="349"/>
      <c r="I796" s="349"/>
      <c r="J796" s="349"/>
      <c r="K796" s="349"/>
      <c r="L796" s="350"/>
      <c r="M796" s="350"/>
      <c r="N796" s="350"/>
      <c r="O796" s="350"/>
      <c r="P796" s="352"/>
      <c r="Q796" s="352"/>
      <c r="R796" s="352">
        <v>59</v>
      </c>
      <c r="S796" s="352">
        <v>196</v>
      </c>
      <c r="T796" s="352">
        <v>510</v>
      </c>
      <c r="U796" s="352">
        <v>255</v>
      </c>
      <c r="V796" s="497"/>
      <c r="W796" s="352"/>
      <c r="X796" s="352"/>
      <c r="Y796" s="352">
        <f>IF(NFI_Expiration=1,IF($A796&lt;VLOOKUP(H$5,NFI,5,0),1,0)*Table_NFI[[#This Row],[Hygiene Kit]],Table_NFI[Hygiene Kit])</f>
        <v>0</v>
      </c>
      <c r="Z796" s="352">
        <f>IF(NFI_Expiration=1,IF($A796&lt;VLOOKUP(I$5,NFI,5,0),1,0)*Table_NFI[[#This Row],[NFI Core Kit]],Table_NFI[NFI Core Kit])</f>
        <v>0</v>
      </c>
      <c r="AA796" s="352">
        <f>IF(NFI_Expiration=1,IF($A796&lt;VLOOKUP(J$5,NFI,5,0),1,0)*Table_NFI[[#This Row],[Sanitary Kit]],Table_NFI[Sanitary Kit])</f>
        <v>0</v>
      </c>
      <c r="AB796" s="352">
        <f>IF(NFI_Expiration=1,IF($A796&lt;VLOOKUP(K$5,NFI,5,0),1,0)*Table_NFI[[#This Row],[Mosquito net]],Table_NFI[Mosquito net])</f>
        <v>0</v>
      </c>
      <c r="AC796" s="352">
        <f>IF(NFI_Expiration=1,IF($A796&lt;VLOOKUP(L$5,NFI,5,0),1,0)*Table_NFI[[#This Row],[Tarpaulin]],Table_NFI[[#This Row],[Tarpaulin]])</f>
        <v>0</v>
      </c>
      <c r="AD796" s="352">
        <f>IF(NFI_Expiration=1,IF($A796&lt;VLOOKUP(M$5,NFI,5,0),1,0)*Table_NFI[[#This Row],[Blanket]],Table_NFI[[#This Row],[Blanket]])</f>
        <v>0</v>
      </c>
      <c r="AE796" s="352">
        <f>IF(NFI_Expiration=1,IF($A796&lt;VLOOKUP(N$5,NFI,5,0),1,0)*Table_NFI[[#This Row],[Kitchen Set]],Table_NFI[Kitchen Set])</f>
        <v>0</v>
      </c>
      <c r="AF796" s="352">
        <f>IF(NFI_Expiration=1,IF($A796&lt;VLOOKUP(O$5,NFI,5,0),1,0)*Table_NFI[[#This Row],[Clothes Kit]],Table_NFI[Clothes Kit])</f>
        <v>0</v>
      </c>
      <c r="AG796" s="352">
        <f>IF(NFI_Expiration=1,IF($A796&lt;VLOOKUP(P$5,NFI,5,0),1,0)*Table_NFI[[#This Row],[Plastic Bucket]],Table_NFI[Plastic Bucket])</f>
        <v>0</v>
      </c>
      <c r="AH796" s="352">
        <f>IF(NFI_Expiration=1,IF($A796&lt;VLOOKUP(Q$5,NFI,5,0),1,0)*Table_NFI[[#This Row],[Plastic Mat]],Table_NFI[Plastic Mat])*IF(Table_NFI[[#This Row],[Distribution Date]]&gt;"2014-04-01",1,2.5)</f>
        <v>0</v>
      </c>
      <c r="AI796" s="352">
        <f>IF(NFI_Expiration=1,IF($A796&lt;VLOOKUP(R$5,NFI,5,0),1,0)*Table_NFI[[#This Row],[Winter Clothes Adult]],Table_NFI[Winter Clothes Adult])</f>
        <v>0</v>
      </c>
      <c r="AJ796" s="352">
        <f>IF(NFI_Expiration=1,IF($A796&lt;VLOOKUP(S$5,NFI,5,0),1,0)*Table_NFI[[#This Row],[Winter Clothes Children]],Table_NFI[Winter Clothes Children])</f>
        <v>0</v>
      </c>
      <c r="AK796" s="352">
        <f>IF(NFI_Expiration=1,IF($A796&lt;VLOOKUP(T$5,NFI,5,0),1,0)*Table_NFI[[#This Row],[Winter Items Other]],Table_NFI[Winter Items Other])</f>
        <v>0</v>
      </c>
      <c r="AL796" s="352">
        <f>IF(NFI_Expiration=1,IF($A796&lt;VLOOKUP(M$5,NFI,5,0),1,0)*Table_NFI[[#This Row],[Winter Blanket]],Table_NFI[[#This Row],[Winter Blanket]])</f>
        <v>0</v>
      </c>
      <c r="AM796" s="352">
        <f>IF(Table_NFI[[#This Row],[Winter Clothes Adult]]+Table_NFI[[#This Row],[Winter Clothes Children]]+Table_NFI[[#This Row],[Winter Items Other]]+Table_NFI[[#This Row],[Winter Blanket]]&gt;0,1,0)</f>
        <v>1</v>
      </c>
      <c r="AN796" s="392">
        <f>IF(NFI_Expiration=1,IF($A796&lt;VLOOKUP(V$5,NFI,5,0),1,0)*Table_NFI[[#This Row],[Jerry Can]],Table_NFI[Jerry Can])</f>
        <v>0</v>
      </c>
      <c r="AO796" s="540" t="str">
        <f>IFERROR(VLOOKUP(Table_NFI[[#This Row],[Camp Name]],CL,2,0),"")</f>
        <v>MMR001CMP032</v>
      </c>
      <c r="AP796" s="535">
        <f ca="1">IF(Table_NFI[[#This Row],[Pcode]]="","",IF(OFFSET(CampList[Opening Date],MATCH(Table_NFI[[#This Row],[Pcode]],CampList[CP_Pcode],0)-1,0,1,1)&gt;=NFI_Monitor_Date,1,0))</f>
        <v>0</v>
      </c>
      <c r="AQ796" s="540" t="str">
        <f>IFERROR(VLOOKUP(Table_NFI[[#This Row],[Camp Name]],CL,3,0),"")</f>
        <v>Open</v>
      </c>
      <c r="AR796" s="352" t="str">
        <f ca="1">IF(Table_NFI[[#This Row],[Pcode]]="","",OFFSET(CampList[Priority],MATCH(Table_NFI[[#This Row],[Pcode]],CampList[CP_Pcode],0)-1,0,1,1))</f>
        <v>P4</v>
      </c>
      <c r="AS796" s="351">
        <f>IFERROR(Table_NFI[[#This Row],[Kitchen Set]]/VLOOKUP(Table_NFI[[#This Row],[Camp Name]],CL,4,0),"")</f>
        <v>0</v>
      </c>
      <c r="AT796" s="533"/>
      <c r="AU796" s="536"/>
    </row>
    <row r="797" spans="1:47" ht="14.45" customHeight="1" x14ac:dyDescent="0.25">
      <c r="A797" s="355">
        <f t="shared" si="12"/>
        <v>48.8</v>
      </c>
      <c r="B797" s="532">
        <v>41107</v>
      </c>
      <c r="C797" s="533" t="s">
        <v>453</v>
      </c>
      <c r="D797" s="534" t="s">
        <v>453</v>
      </c>
      <c r="E797" s="533" t="s">
        <v>380</v>
      </c>
      <c r="F797" s="348" t="s">
        <v>185</v>
      </c>
      <c r="G797" s="348" t="s">
        <v>219</v>
      </c>
      <c r="H797" s="349"/>
      <c r="I797" s="349"/>
      <c r="J797" s="349"/>
      <c r="K797" s="349">
        <v>0</v>
      </c>
      <c r="L797" s="350">
        <v>0</v>
      </c>
      <c r="M797" s="350">
        <v>0</v>
      </c>
      <c r="N797" s="350">
        <v>0</v>
      </c>
      <c r="O797" s="350">
        <v>0</v>
      </c>
      <c r="P797" s="352"/>
      <c r="Q797" s="352"/>
      <c r="R797" s="352"/>
      <c r="S797" s="352"/>
      <c r="T797" s="352"/>
      <c r="U797" s="352"/>
      <c r="V797" s="497"/>
      <c r="W797" s="352"/>
      <c r="X797" s="352"/>
      <c r="Y797" s="352">
        <f>IF(NFI_Expiration=1,IF($A797&lt;VLOOKUP(H$5,NFI,5,0),1,0)*Table_NFI[[#This Row],[Hygiene Kit]],Table_NFI[Hygiene Kit])</f>
        <v>0</v>
      </c>
      <c r="Z797" s="352">
        <f>IF(NFI_Expiration=1,IF($A797&lt;VLOOKUP(I$5,NFI,5,0),1,0)*Table_NFI[[#This Row],[NFI Core Kit]],Table_NFI[NFI Core Kit])</f>
        <v>0</v>
      </c>
      <c r="AA797" s="352">
        <f>IF(NFI_Expiration=1,IF($A797&lt;VLOOKUP(J$5,NFI,5,0),1,0)*Table_NFI[[#This Row],[Sanitary Kit]],Table_NFI[Sanitary Kit])</f>
        <v>0</v>
      </c>
      <c r="AB797" s="352">
        <f>IF(NFI_Expiration=1,IF($A797&lt;VLOOKUP(K$5,NFI,5,0),1,0)*Table_NFI[[#This Row],[Mosquito net]],Table_NFI[Mosquito net])</f>
        <v>0</v>
      </c>
      <c r="AC797" s="352">
        <f>IF(NFI_Expiration=1,IF($A797&lt;VLOOKUP(L$5,NFI,5,0),1,0)*Table_NFI[[#This Row],[Tarpaulin]],Table_NFI[[#This Row],[Tarpaulin]])</f>
        <v>0</v>
      </c>
      <c r="AD797" s="352">
        <f>IF(NFI_Expiration=1,IF($A797&lt;VLOOKUP(M$5,NFI,5,0),1,0)*Table_NFI[[#This Row],[Blanket]],Table_NFI[[#This Row],[Blanket]])</f>
        <v>0</v>
      </c>
      <c r="AE797" s="352">
        <f>IF(NFI_Expiration=1,IF($A797&lt;VLOOKUP(N$5,NFI,5,0),1,0)*Table_NFI[[#This Row],[Kitchen Set]],Table_NFI[Kitchen Set])</f>
        <v>0</v>
      </c>
      <c r="AF797" s="352">
        <f>IF(NFI_Expiration=1,IF($A797&lt;VLOOKUP(O$5,NFI,5,0),1,0)*Table_NFI[[#This Row],[Clothes Kit]],Table_NFI[Clothes Kit])</f>
        <v>0</v>
      </c>
      <c r="AG797" s="352">
        <f>IF(NFI_Expiration=1,IF($A797&lt;VLOOKUP(P$5,NFI,5,0),1,0)*Table_NFI[[#This Row],[Plastic Bucket]],Table_NFI[Plastic Bucket])</f>
        <v>0</v>
      </c>
      <c r="AH797" s="352">
        <f>IF(NFI_Expiration=1,IF($A797&lt;VLOOKUP(Q$5,NFI,5,0),1,0)*Table_NFI[[#This Row],[Plastic Mat]],Table_NFI[Plastic Mat])*IF(Table_NFI[[#This Row],[Distribution Date]]&gt;"2014-04-01",1,2.5)</f>
        <v>0</v>
      </c>
      <c r="AI797" s="352">
        <f>IF(NFI_Expiration=1,IF($A797&lt;VLOOKUP(R$5,NFI,5,0),1,0)*Table_NFI[[#This Row],[Winter Clothes Adult]],Table_NFI[Winter Clothes Adult])</f>
        <v>0</v>
      </c>
      <c r="AJ797" s="352">
        <f>IF(NFI_Expiration=1,IF($A797&lt;VLOOKUP(S$5,NFI,5,0),1,0)*Table_NFI[[#This Row],[Winter Clothes Children]],Table_NFI[Winter Clothes Children])</f>
        <v>0</v>
      </c>
      <c r="AK797" s="352">
        <f>IF(NFI_Expiration=1,IF($A797&lt;VLOOKUP(T$5,NFI,5,0),1,0)*Table_NFI[[#This Row],[Winter Items Other]],Table_NFI[Winter Items Other])</f>
        <v>0</v>
      </c>
      <c r="AL797" s="352">
        <f>IF(NFI_Expiration=1,IF($A797&lt;VLOOKUP(M$5,NFI,5,0),1,0)*Table_NFI[[#This Row],[Winter Blanket]],Table_NFI[[#This Row],[Winter Blanket]])</f>
        <v>0</v>
      </c>
      <c r="AM797" s="352">
        <f>IF(Table_NFI[[#This Row],[Winter Clothes Adult]]+Table_NFI[[#This Row],[Winter Clothes Children]]+Table_NFI[[#This Row],[Winter Items Other]]+Table_NFI[[#This Row],[Winter Blanket]]&gt;0,1,0)</f>
        <v>0</v>
      </c>
      <c r="AN797" s="392">
        <f>IF(NFI_Expiration=1,IF($A797&lt;VLOOKUP(V$5,NFI,5,0),1,0)*Table_NFI[[#This Row],[Jerry Can]],Table_NFI[Jerry Can])</f>
        <v>0</v>
      </c>
      <c r="AO797" s="540" t="str">
        <f>IFERROR(VLOOKUP(Table_NFI[[#This Row],[Camp Name]],CL,2,0),"")</f>
        <v>MMR001CMP126</v>
      </c>
      <c r="AP797" s="535">
        <f ca="1">IF(Table_NFI[[#This Row],[Pcode]]="","",IF(OFFSET(CampList[Opening Date],MATCH(Table_NFI[[#This Row],[Pcode]],CampList[CP_Pcode],0)-1,0,1,1)&gt;=NFI_Monitor_Date,1,0))</f>
        <v>0</v>
      </c>
      <c r="AQ797" s="540" t="str">
        <f>IFERROR(VLOOKUP(Table_NFI[[#This Row],[Camp Name]],CL,3,0),"")</f>
        <v>Open</v>
      </c>
      <c r="AR797" s="352" t="str">
        <f ca="1">IF(Table_NFI[[#This Row],[Pcode]]="","",OFFSET(CampList[Priority],MATCH(Table_NFI[[#This Row],[Pcode]],CampList[CP_Pcode],0)-1,0,1,1))</f>
        <v>P2</v>
      </c>
      <c r="AS797" s="351">
        <f>IFERROR(Table_NFI[[#This Row],[Kitchen Set]]/VLOOKUP(Table_NFI[[#This Row],[Camp Name]],CL,4,0),"")</f>
        <v>0</v>
      </c>
      <c r="AT797" s="533" t="s">
        <v>1094</v>
      </c>
      <c r="AU797" s="536"/>
    </row>
    <row r="798" spans="1:47" ht="14.45" customHeight="1" x14ac:dyDescent="0.25">
      <c r="A798" s="355">
        <f t="shared" si="12"/>
        <v>48.8</v>
      </c>
      <c r="B798" s="532">
        <v>41107</v>
      </c>
      <c r="C798" s="533" t="s">
        <v>453</v>
      </c>
      <c r="D798" s="534" t="s">
        <v>453</v>
      </c>
      <c r="E798" s="533" t="s">
        <v>380</v>
      </c>
      <c r="F798" s="348" t="s">
        <v>185</v>
      </c>
      <c r="G798" s="348" t="s">
        <v>219</v>
      </c>
      <c r="H798" s="349"/>
      <c r="I798" s="349"/>
      <c r="J798" s="349"/>
      <c r="K798" s="349">
        <v>0</v>
      </c>
      <c r="L798" s="350">
        <v>0</v>
      </c>
      <c r="M798" s="350">
        <v>0</v>
      </c>
      <c r="N798" s="350">
        <v>0</v>
      </c>
      <c r="O798" s="350">
        <v>0</v>
      </c>
      <c r="P798" s="352"/>
      <c r="Q798" s="352"/>
      <c r="R798" s="352"/>
      <c r="S798" s="352"/>
      <c r="T798" s="352"/>
      <c r="U798" s="352"/>
      <c r="V798" s="497"/>
      <c r="W798" s="352"/>
      <c r="X798" s="352"/>
      <c r="Y798" s="352">
        <f>IF(NFI_Expiration=1,IF($A798&lt;VLOOKUP(H$5,NFI,5,0),1,0)*Table_NFI[[#This Row],[Hygiene Kit]],Table_NFI[Hygiene Kit])</f>
        <v>0</v>
      </c>
      <c r="Z798" s="352">
        <f>IF(NFI_Expiration=1,IF($A798&lt;VLOOKUP(I$5,NFI,5,0),1,0)*Table_NFI[[#This Row],[NFI Core Kit]],Table_NFI[NFI Core Kit])</f>
        <v>0</v>
      </c>
      <c r="AA798" s="352">
        <f>IF(NFI_Expiration=1,IF($A798&lt;VLOOKUP(J$5,NFI,5,0),1,0)*Table_NFI[[#This Row],[Sanitary Kit]],Table_NFI[Sanitary Kit])</f>
        <v>0</v>
      </c>
      <c r="AB798" s="352">
        <f>IF(NFI_Expiration=1,IF($A798&lt;VLOOKUP(K$5,NFI,5,0),1,0)*Table_NFI[[#This Row],[Mosquito net]],Table_NFI[Mosquito net])</f>
        <v>0</v>
      </c>
      <c r="AC798" s="352">
        <f>IF(NFI_Expiration=1,IF($A798&lt;VLOOKUP(L$5,NFI,5,0),1,0)*Table_NFI[[#This Row],[Tarpaulin]],Table_NFI[[#This Row],[Tarpaulin]])</f>
        <v>0</v>
      </c>
      <c r="AD798" s="352">
        <f>IF(NFI_Expiration=1,IF($A798&lt;VLOOKUP(M$5,NFI,5,0),1,0)*Table_NFI[[#This Row],[Blanket]],Table_NFI[[#This Row],[Blanket]])</f>
        <v>0</v>
      </c>
      <c r="AE798" s="352">
        <f>IF(NFI_Expiration=1,IF($A798&lt;VLOOKUP(N$5,NFI,5,0),1,0)*Table_NFI[[#This Row],[Kitchen Set]],Table_NFI[Kitchen Set])</f>
        <v>0</v>
      </c>
      <c r="AF798" s="352">
        <f>IF(NFI_Expiration=1,IF($A798&lt;VLOOKUP(O$5,NFI,5,0),1,0)*Table_NFI[[#This Row],[Clothes Kit]],Table_NFI[Clothes Kit])</f>
        <v>0</v>
      </c>
      <c r="AG798" s="352">
        <f>IF(NFI_Expiration=1,IF($A798&lt;VLOOKUP(P$5,NFI,5,0),1,0)*Table_NFI[[#This Row],[Plastic Bucket]],Table_NFI[Plastic Bucket])</f>
        <v>0</v>
      </c>
      <c r="AH798" s="352">
        <f>IF(NFI_Expiration=1,IF($A798&lt;VLOOKUP(Q$5,NFI,5,0),1,0)*Table_NFI[[#This Row],[Plastic Mat]],Table_NFI[Plastic Mat])*IF(Table_NFI[[#This Row],[Distribution Date]]&gt;"2014-04-01",1,2.5)</f>
        <v>0</v>
      </c>
      <c r="AI798" s="352">
        <f>IF(NFI_Expiration=1,IF($A798&lt;VLOOKUP(R$5,NFI,5,0),1,0)*Table_NFI[[#This Row],[Winter Clothes Adult]],Table_NFI[Winter Clothes Adult])</f>
        <v>0</v>
      </c>
      <c r="AJ798" s="352">
        <f>IF(NFI_Expiration=1,IF($A798&lt;VLOOKUP(S$5,NFI,5,0),1,0)*Table_NFI[[#This Row],[Winter Clothes Children]],Table_NFI[Winter Clothes Children])</f>
        <v>0</v>
      </c>
      <c r="AK798" s="352">
        <f>IF(NFI_Expiration=1,IF($A798&lt;VLOOKUP(T$5,NFI,5,0),1,0)*Table_NFI[[#This Row],[Winter Items Other]],Table_NFI[Winter Items Other])</f>
        <v>0</v>
      </c>
      <c r="AL798" s="352">
        <f>IF(NFI_Expiration=1,IF($A798&lt;VLOOKUP(M$5,NFI,5,0),1,0)*Table_NFI[[#This Row],[Winter Blanket]],Table_NFI[[#This Row],[Winter Blanket]])</f>
        <v>0</v>
      </c>
      <c r="AM798" s="352">
        <f>IF(Table_NFI[[#This Row],[Winter Clothes Adult]]+Table_NFI[[#This Row],[Winter Clothes Children]]+Table_NFI[[#This Row],[Winter Items Other]]+Table_NFI[[#This Row],[Winter Blanket]]&gt;0,1,0)</f>
        <v>0</v>
      </c>
      <c r="AN798" s="392">
        <f>IF(NFI_Expiration=1,IF($A798&lt;VLOOKUP(V$5,NFI,5,0),1,0)*Table_NFI[[#This Row],[Jerry Can]],Table_NFI[Jerry Can])</f>
        <v>0</v>
      </c>
      <c r="AO798" s="540" t="str">
        <f>IFERROR(VLOOKUP(Table_NFI[[#This Row],[Camp Name]],CL,2,0),"")</f>
        <v>MMR001CMP126</v>
      </c>
      <c r="AP798" s="535">
        <f ca="1">IF(Table_NFI[[#This Row],[Pcode]]="","",IF(OFFSET(CampList[Opening Date],MATCH(Table_NFI[[#This Row],[Pcode]],CampList[CP_Pcode],0)-1,0,1,1)&gt;=NFI_Monitor_Date,1,0))</f>
        <v>0</v>
      </c>
      <c r="AQ798" s="540" t="str">
        <f>IFERROR(VLOOKUP(Table_NFI[[#This Row],[Camp Name]],CL,3,0),"")</f>
        <v>Open</v>
      </c>
      <c r="AR798" s="352" t="str">
        <f ca="1">IF(Table_NFI[[#This Row],[Pcode]]="","",OFFSET(CampList[Priority],MATCH(Table_NFI[[#This Row],[Pcode]],CampList[CP_Pcode],0)-1,0,1,1))</f>
        <v>P2</v>
      </c>
      <c r="AS798" s="351">
        <f>IFERROR(Table_NFI[[#This Row],[Kitchen Set]]/VLOOKUP(Table_NFI[[#This Row],[Camp Name]],CL,4,0),"")</f>
        <v>0</v>
      </c>
      <c r="AT798" s="533" t="s">
        <v>1094</v>
      </c>
      <c r="AU798" s="536"/>
    </row>
    <row r="799" spans="1:47" ht="14.45" customHeight="1" x14ac:dyDescent="0.25">
      <c r="A799" s="355">
        <f t="shared" si="12"/>
        <v>48.8</v>
      </c>
      <c r="B799" s="532">
        <v>41107</v>
      </c>
      <c r="C799" s="533" t="s">
        <v>453</v>
      </c>
      <c r="D799" s="533" t="s">
        <v>453</v>
      </c>
      <c r="E799" s="533" t="s">
        <v>380</v>
      </c>
      <c r="F799" s="533" t="s">
        <v>237</v>
      </c>
      <c r="G799" s="348" t="s">
        <v>279</v>
      </c>
      <c r="H799" s="349"/>
      <c r="I799" s="349"/>
      <c r="J799" s="349"/>
      <c r="K799" s="349">
        <v>3</v>
      </c>
      <c r="L799" s="350">
        <v>3</v>
      </c>
      <c r="M799" s="350">
        <v>3</v>
      </c>
      <c r="N799" s="350">
        <v>3</v>
      </c>
      <c r="O799" s="350">
        <v>3</v>
      </c>
      <c r="P799" s="352">
        <v>3</v>
      </c>
      <c r="Q799" s="352">
        <v>3</v>
      </c>
      <c r="R799" s="352"/>
      <c r="S799" s="352"/>
      <c r="T799" s="352"/>
      <c r="U799" s="352"/>
      <c r="V799" s="497"/>
      <c r="W799" s="352"/>
      <c r="X799" s="352"/>
      <c r="Y799" s="352">
        <f>IF(NFI_Expiration=1,IF($A799&lt;VLOOKUP(H$5,NFI,5,0),1,0)*Table_NFI[[#This Row],[Hygiene Kit]],Table_NFI[Hygiene Kit])</f>
        <v>0</v>
      </c>
      <c r="Z799" s="352">
        <f>IF(NFI_Expiration=1,IF($A799&lt;VLOOKUP(I$5,NFI,5,0),1,0)*Table_NFI[[#This Row],[NFI Core Kit]],Table_NFI[NFI Core Kit])</f>
        <v>0</v>
      </c>
      <c r="AA799" s="352">
        <f>IF(NFI_Expiration=1,IF($A799&lt;VLOOKUP(J$5,NFI,5,0),1,0)*Table_NFI[[#This Row],[Sanitary Kit]],Table_NFI[Sanitary Kit])</f>
        <v>0</v>
      </c>
      <c r="AB799" s="352">
        <f>IF(NFI_Expiration=1,IF($A799&lt;VLOOKUP(K$5,NFI,5,0),1,0)*Table_NFI[[#This Row],[Mosquito net]],Table_NFI[Mosquito net])</f>
        <v>0</v>
      </c>
      <c r="AC799" s="352">
        <f>IF(NFI_Expiration=1,IF($A799&lt;VLOOKUP(L$5,NFI,5,0),1,0)*Table_NFI[[#This Row],[Tarpaulin]],Table_NFI[[#This Row],[Tarpaulin]])</f>
        <v>0</v>
      </c>
      <c r="AD799" s="352">
        <f>IF(NFI_Expiration=1,IF($A799&lt;VLOOKUP(M$5,NFI,5,0),1,0)*Table_NFI[[#This Row],[Blanket]],Table_NFI[[#This Row],[Blanket]])</f>
        <v>0</v>
      </c>
      <c r="AE799" s="352">
        <f>IF(NFI_Expiration=1,IF($A799&lt;VLOOKUP(N$5,NFI,5,0),1,0)*Table_NFI[[#This Row],[Kitchen Set]],Table_NFI[Kitchen Set])</f>
        <v>0</v>
      </c>
      <c r="AF799" s="352">
        <f>IF(NFI_Expiration=1,IF($A799&lt;VLOOKUP(O$5,NFI,5,0),1,0)*Table_NFI[[#This Row],[Clothes Kit]],Table_NFI[Clothes Kit])</f>
        <v>0</v>
      </c>
      <c r="AG799" s="352">
        <f>IF(NFI_Expiration=1,IF($A799&lt;VLOOKUP(P$5,NFI,5,0),1,0)*Table_NFI[[#This Row],[Plastic Bucket]],Table_NFI[Plastic Bucket])</f>
        <v>0</v>
      </c>
      <c r="AH799" s="352">
        <f>IF(NFI_Expiration=1,IF($A799&lt;VLOOKUP(Q$5,NFI,5,0),1,0)*Table_NFI[[#This Row],[Plastic Mat]],Table_NFI[Plastic Mat])*IF(Table_NFI[[#This Row],[Distribution Date]]&gt;"2014-04-01",1,2.5)</f>
        <v>0</v>
      </c>
      <c r="AI799" s="352">
        <f>IF(NFI_Expiration=1,IF($A799&lt;VLOOKUP(R$5,NFI,5,0),1,0)*Table_NFI[[#This Row],[Winter Clothes Adult]],Table_NFI[Winter Clothes Adult])</f>
        <v>0</v>
      </c>
      <c r="AJ799" s="352">
        <f>IF(NFI_Expiration=1,IF($A799&lt;VLOOKUP(S$5,NFI,5,0),1,0)*Table_NFI[[#This Row],[Winter Clothes Children]],Table_NFI[Winter Clothes Children])</f>
        <v>0</v>
      </c>
      <c r="AK799" s="352">
        <f>IF(NFI_Expiration=1,IF($A799&lt;VLOOKUP(T$5,NFI,5,0),1,0)*Table_NFI[[#This Row],[Winter Items Other]],Table_NFI[Winter Items Other])</f>
        <v>0</v>
      </c>
      <c r="AL799" s="352">
        <f>IF(NFI_Expiration=1,IF($A799&lt;VLOOKUP(M$5,NFI,5,0),1,0)*Table_NFI[[#This Row],[Winter Blanket]],Table_NFI[[#This Row],[Winter Blanket]])</f>
        <v>0</v>
      </c>
      <c r="AM799" s="352">
        <f>IF(Table_NFI[[#This Row],[Winter Clothes Adult]]+Table_NFI[[#This Row],[Winter Clothes Children]]+Table_NFI[[#This Row],[Winter Items Other]]+Table_NFI[[#This Row],[Winter Blanket]]&gt;0,1,0)</f>
        <v>0</v>
      </c>
      <c r="AN799" s="392">
        <f>IF(NFI_Expiration=1,IF($A799&lt;VLOOKUP(V$5,NFI,5,0),1,0)*Table_NFI[[#This Row],[Jerry Can]],Table_NFI[Jerry Can])</f>
        <v>0</v>
      </c>
      <c r="AO799" s="540" t="str">
        <f>IFERROR(VLOOKUP(Table_NFI[[#This Row],[Camp Name]],CL,2,0),"")</f>
        <v>MMR001CMP007</v>
      </c>
      <c r="AP799" s="535">
        <f ca="1">IF(Table_NFI[[#This Row],[Pcode]]="","",IF(OFFSET(CampList[Opening Date],MATCH(Table_NFI[[#This Row],[Pcode]],CampList[CP_Pcode],0)-1,0,1,1)&gt;=NFI_Monitor_Date,1,0))</f>
        <v>0</v>
      </c>
      <c r="AQ799" s="540" t="str">
        <f>IFERROR(VLOOKUP(Table_NFI[[#This Row],[Camp Name]],CL,3,0),"")</f>
        <v>Open</v>
      </c>
      <c r="AR799" s="352" t="str">
        <f ca="1">IF(Table_NFI[[#This Row],[Pcode]]="","",OFFSET(CampList[Priority],MATCH(Table_NFI[[#This Row],[Pcode]],CampList[CP_Pcode],0)-1,0,1,1))</f>
        <v>P4</v>
      </c>
      <c r="AS799" s="351">
        <f>IFERROR(Table_NFI[[#This Row],[Kitchen Set]]/VLOOKUP(Table_NFI[[#This Row],[Camp Name]],CL,4,0),"")</f>
        <v>0.13636363636363635</v>
      </c>
      <c r="AT799" s="533" t="s">
        <v>1094</v>
      </c>
      <c r="AU799" s="536"/>
    </row>
    <row r="800" spans="1:47" ht="14.45" hidden="1" customHeight="1" x14ac:dyDescent="0.25">
      <c r="A800" s="355">
        <f t="shared" si="12"/>
        <v>42.2</v>
      </c>
      <c r="B800" s="532">
        <v>41305</v>
      </c>
      <c r="C800" s="533" t="s">
        <v>570</v>
      </c>
      <c r="D800" s="534" t="s">
        <v>570</v>
      </c>
      <c r="E800" s="533" t="s">
        <v>380</v>
      </c>
      <c r="F800" s="348" t="s">
        <v>310</v>
      </c>
      <c r="G800" s="348" t="s">
        <v>318</v>
      </c>
      <c r="H800" s="349"/>
      <c r="I800" s="349"/>
      <c r="J800" s="349"/>
      <c r="K800" s="349"/>
      <c r="L800" s="350"/>
      <c r="M800" s="350">
        <v>184</v>
      </c>
      <c r="N800" s="350"/>
      <c r="O800" s="350"/>
      <c r="P800" s="352">
        <v>0</v>
      </c>
      <c r="Q800" s="352">
        <v>0</v>
      </c>
      <c r="R800" s="352"/>
      <c r="S800" s="352"/>
      <c r="T800" s="352"/>
      <c r="U800" s="352"/>
      <c r="V800" s="497"/>
      <c r="W800" s="352"/>
      <c r="X800" s="352"/>
      <c r="Y800" s="352">
        <f>IF(NFI_Expiration=1,IF($A800&lt;VLOOKUP(H$5,NFI,5,0),1,0)*Table_NFI[[#This Row],[Hygiene Kit]],Table_NFI[Hygiene Kit])</f>
        <v>0</v>
      </c>
      <c r="Z800" s="352">
        <f>IF(NFI_Expiration=1,IF($A800&lt;VLOOKUP(I$5,NFI,5,0),1,0)*Table_NFI[[#This Row],[NFI Core Kit]],Table_NFI[NFI Core Kit])</f>
        <v>0</v>
      </c>
      <c r="AA800" s="352">
        <f>IF(NFI_Expiration=1,IF($A800&lt;VLOOKUP(J$5,NFI,5,0),1,0)*Table_NFI[[#This Row],[Sanitary Kit]],Table_NFI[Sanitary Kit])</f>
        <v>0</v>
      </c>
      <c r="AB800" s="352">
        <f>IF(NFI_Expiration=1,IF($A800&lt;VLOOKUP(K$5,NFI,5,0),1,0)*Table_NFI[[#This Row],[Mosquito net]],Table_NFI[Mosquito net])</f>
        <v>0</v>
      </c>
      <c r="AC800" s="352">
        <f>IF(NFI_Expiration=1,IF($A800&lt;VLOOKUP(L$5,NFI,5,0),1,0)*Table_NFI[[#This Row],[Tarpaulin]],Table_NFI[[#This Row],[Tarpaulin]])</f>
        <v>0</v>
      </c>
      <c r="AD800" s="352">
        <f>IF(NFI_Expiration=1,IF($A800&lt;VLOOKUP(M$5,NFI,5,0),1,0)*Table_NFI[[#This Row],[Blanket]],Table_NFI[[#This Row],[Blanket]])</f>
        <v>0</v>
      </c>
      <c r="AE800" s="352">
        <f>IF(NFI_Expiration=1,IF($A800&lt;VLOOKUP(N$5,NFI,5,0),1,0)*Table_NFI[[#This Row],[Kitchen Set]],Table_NFI[Kitchen Set])</f>
        <v>0</v>
      </c>
      <c r="AF800" s="352">
        <f>IF(NFI_Expiration=1,IF($A800&lt;VLOOKUP(O$5,NFI,5,0),1,0)*Table_NFI[[#This Row],[Clothes Kit]],Table_NFI[Clothes Kit])</f>
        <v>0</v>
      </c>
      <c r="AG800" s="352">
        <f>IF(NFI_Expiration=1,IF($A800&lt;VLOOKUP(P$5,NFI,5,0),1,0)*Table_NFI[[#This Row],[Plastic Bucket]],Table_NFI[Plastic Bucket])</f>
        <v>0</v>
      </c>
      <c r="AH800" s="352">
        <f>IF(NFI_Expiration=1,IF($A800&lt;VLOOKUP(Q$5,NFI,5,0),1,0)*Table_NFI[[#This Row],[Plastic Mat]],Table_NFI[Plastic Mat])*IF(Table_NFI[[#This Row],[Distribution Date]]&gt;"2014-04-01",1,2.5)</f>
        <v>0</v>
      </c>
      <c r="AI800" s="352">
        <f>IF(NFI_Expiration=1,IF($A800&lt;VLOOKUP(R$5,NFI,5,0),1,0)*Table_NFI[[#This Row],[Winter Clothes Adult]],Table_NFI[Winter Clothes Adult])</f>
        <v>0</v>
      </c>
      <c r="AJ800" s="352">
        <f>IF(NFI_Expiration=1,IF($A800&lt;VLOOKUP(S$5,NFI,5,0),1,0)*Table_NFI[[#This Row],[Winter Clothes Children]],Table_NFI[Winter Clothes Children])</f>
        <v>0</v>
      </c>
      <c r="AK800" s="352">
        <f>IF(NFI_Expiration=1,IF($A800&lt;VLOOKUP(T$5,NFI,5,0),1,0)*Table_NFI[[#This Row],[Winter Items Other]],Table_NFI[Winter Items Other])</f>
        <v>0</v>
      </c>
      <c r="AL800" s="352">
        <f>IF(NFI_Expiration=1,IF($A800&lt;VLOOKUP(M$5,NFI,5,0),1,0)*Table_NFI[[#This Row],[Winter Blanket]],Table_NFI[[#This Row],[Winter Blanket]])</f>
        <v>0</v>
      </c>
      <c r="AM800" s="352">
        <f>IF(Table_NFI[[#This Row],[Winter Clothes Adult]]+Table_NFI[[#This Row],[Winter Clothes Children]]+Table_NFI[[#This Row],[Winter Items Other]]+Table_NFI[[#This Row],[Winter Blanket]]&gt;0,1,0)</f>
        <v>0</v>
      </c>
      <c r="AN800" s="392">
        <f>IF(NFI_Expiration=1,IF($A800&lt;VLOOKUP(V$5,NFI,5,0),1,0)*Table_NFI[[#This Row],[Jerry Can]],Table_NFI[Jerry Can])</f>
        <v>0</v>
      </c>
      <c r="AO800" s="540" t="str">
        <f>IFERROR(VLOOKUP(Table_NFI[[#This Row],[Camp Name]],CL,2,0),"")</f>
        <v>MMR001CMP032</v>
      </c>
      <c r="AP800" s="535">
        <f ca="1">IF(Table_NFI[[#This Row],[Pcode]]="","",IF(OFFSET(CampList[Opening Date],MATCH(Table_NFI[[#This Row],[Pcode]],CampList[CP_Pcode],0)-1,0,1,1)&gt;=NFI_Monitor_Date,1,0))</f>
        <v>0</v>
      </c>
      <c r="AQ800" s="540" t="str">
        <f>IFERROR(VLOOKUP(Table_NFI[[#This Row],[Camp Name]],CL,3,0),"")</f>
        <v>Open</v>
      </c>
      <c r="AR800" s="352" t="str">
        <f ca="1">IF(Table_NFI[[#This Row],[Pcode]]="","",OFFSET(CampList[Priority],MATCH(Table_NFI[[#This Row],[Pcode]],CampList[CP_Pcode],0)-1,0,1,1))</f>
        <v>P4</v>
      </c>
      <c r="AS800" s="351">
        <f>IFERROR(Table_NFI[[#This Row],[Kitchen Set]]/VLOOKUP(Table_NFI[[#This Row],[Camp Name]],CL,4,0),"")</f>
        <v>0</v>
      </c>
      <c r="AT800" s="533" t="s">
        <v>1094</v>
      </c>
      <c r="AU800" s="536"/>
    </row>
    <row r="801" spans="1:47" ht="14.45" hidden="1" customHeight="1" x14ac:dyDescent="0.25">
      <c r="A801" s="355">
        <f t="shared" si="12"/>
        <v>43.233333333333334</v>
      </c>
      <c r="B801" s="532">
        <v>41274</v>
      </c>
      <c r="C801" s="533" t="s">
        <v>454</v>
      </c>
      <c r="D801" s="534" t="s">
        <v>454</v>
      </c>
      <c r="E801" s="533" t="s">
        <v>380</v>
      </c>
      <c r="F801" s="348" t="s">
        <v>310</v>
      </c>
      <c r="G801" s="348" t="s">
        <v>318</v>
      </c>
      <c r="H801" s="349">
        <v>92</v>
      </c>
      <c r="I801" s="349"/>
      <c r="J801" s="349"/>
      <c r="K801" s="349"/>
      <c r="L801" s="350"/>
      <c r="M801" s="350"/>
      <c r="N801" s="350"/>
      <c r="O801" s="350"/>
      <c r="P801" s="352">
        <v>0</v>
      </c>
      <c r="Q801" s="352">
        <v>0</v>
      </c>
      <c r="R801" s="352"/>
      <c r="S801" s="352"/>
      <c r="T801" s="352"/>
      <c r="U801" s="352"/>
      <c r="V801" s="497"/>
      <c r="W801" s="352"/>
      <c r="X801" s="352"/>
      <c r="Y801" s="352">
        <f>IF(NFI_Expiration=1,IF($A801&lt;VLOOKUP(H$5,NFI,5,0),1,0)*Table_NFI[[#This Row],[Hygiene Kit]],Table_NFI[Hygiene Kit])</f>
        <v>0</v>
      </c>
      <c r="Z801" s="352">
        <f>IF(NFI_Expiration=1,IF($A801&lt;VLOOKUP(I$5,NFI,5,0),1,0)*Table_NFI[[#This Row],[NFI Core Kit]],Table_NFI[NFI Core Kit])</f>
        <v>0</v>
      </c>
      <c r="AA801" s="352">
        <f>IF(NFI_Expiration=1,IF($A801&lt;VLOOKUP(J$5,NFI,5,0),1,0)*Table_NFI[[#This Row],[Sanitary Kit]],Table_NFI[Sanitary Kit])</f>
        <v>0</v>
      </c>
      <c r="AB801" s="352">
        <f>IF(NFI_Expiration=1,IF($A801&lt;VLOOKUP(K$5,NFI,5,0),1,0)*Table_NFI[[#This Row],[Mosquito net]],Table_NFI[Mosquito net])</f>
        <v>0</v>
      </c>
      <c r="AC801" s="352">
        <f>IF(NFI_Expiration=1,IF($A801&lt;VLOOKUP(L$5,NFI,5,0),1,0)*Table_NFI[[#This Row],[Tarpaulin]],Table_NFI[[#This Row],[Tarpaulin]])</f>
        <v>0</v>
      </c>
      <c r="AD801" s="352">
        <f>IF(NFI_Expiration=1,IF($A801&lt;VLOOKUP(M$5,NFI,5,0),1,0)*Table_NFI[[#This Row],[Blanket]],Table_NFI[[#This Row],[Blanket]])</f>
        <v>0</v>
      </c>
      <c r="AE801" s="352">
        <f>IF(NFI_Expiration=1,IF($A801&lt;VLOOKUP(N$5,NFI,5,0),1,0)*Table_NFI[[#This Row],[Kitchen Set]],Table_NFI[Kitchen Set])</f>
        <v>0</v>
      </c>
      <c r="AF801" s="352">
        <f>IF(NFI_Expiration=1,IF($A801&lt;VLOOKUP(O$5,NFI,5,0),1,0)*Table_NFI[[#This Row],[Clothes Kit]],Table_NFI[Clothes Kit])</f>
        <v>0</v>
      </c>
      <c r="AG801" s="352">
        <f>IF(NFI_Expiration=1,IF($A801&lt;VLOOKUP(P$5,NFI,5,0),1,0)*Table_NFI[[#This Row],[Plastic Bucket]],Table_NFI[Plastic Bucket])</f>
        <v>0</v>
      </c>
      <c r="AH801" s="352">
        <f>IF(NFI_Expiration=1,IF($A801&lt;VLOOKUP(Q$5,NFI,5,0),1,0)*Table_NFI[[#This Row],[Plastic Mat]],Table_NFI[Plastic Mat])*IF(Table_NFI[[#This Row],[Distribution Date]]&gt;"2014-04-01",1,2.5)</f>
        <v>0</v>
      </c>
      <c r="AI801" s="352">
        <f>IF(NFI_Expiration=1,IF($A801&lt;VLOOKUP(R$5,NFI,5,0),1,0)*Table_NFI[[#This Row],[Winter Clothes Adult]],Table_NFI[Winter Clothes Adult])</f>
        <v>0</v>
      </c>
      <c r="AJ801" s="352">
        <f>IF(NFI_Expiration=1,IF($A801&lt;VLOOKUP(S$5,NFI,5,0),1,0)*Table_NFI[[#This Row],[Winter Clothes Children]],Table_NFI[Winter Clothes Children])</f>
        <v>0</v>
      </c>
      <c r="AK801" s="352">
        <f>IF(NFI_Expiration=1,IF($A801&lt;VLOOKUP(T$5,NFI,5,0),1,0)*Table_NFI[[#This Row],[Winter Items Other]],Table_NFI[Winter Items Other])</f>
        <v>0</v>
      </c>
      <c r="AL801" s="352">
        <f>IF(NFI_Expiration=1,IF($A801&lt;VLOOKUP(M$5,NFI,5,0),1,0)*Table_NFI[[#This Row],[Winter Blanket]],Table_NFI[[#This Row],[Winter Blanket]])</f>
        <v>0</v>
      </c>
      <c r="AM801" s="352">
        <f>IF(Table_NFI[[#This Row],[Winter Clothes Adult]]+Table_NFI[[#This Row],[Winter Clothes Children]]+Table_NFI[[#This Row],[Winter Items Other]]+Table_NFI[[#This Row],[Winter Blanket]]&gt;0,1,0)</f>
        <v>0</v>
      </c>
      <c r="AN801" s="392">
        <f>IF(NFI_Expiration=1,IF($A801&lt;VLOOKUP(V$5,NFI,5,0),1,0)*Table_NFI[[#This Row],[Jerry Can]],Table_NFI[Jerry Can])</f>
        <v>0</v>
      </c>
      <c r="AO801" s="540" t="str">
        <f>IFERROR(VLOOKUP(Table_NFI[[#This Row],[Camp Name]],CL,2,0),"")</f>
        <v>MMR001CMP032</v>
      </c>
      <c r="AP801" s="535">
        <f ca="1">IF(Table_NFI[[#This Row],[Pcode]]="","",IF(OFFSET(CampList[Opening Date],MATCH(Table_NFI[[#This Row],[Pcode]],CampList[CP_Pcode],0)-1,0,1,1)&gt;=NFI_Monitor_Date,1,0))</f>
        <v>0</v>
      </c>
      <c r="AQ801" s="540" t="str">
        <f>IFERROR(VLOOKUP(Table_NFI[[#This Row],[Camp Name]],CL,3,0),"")</f>
        <v>Open</v>
      </c>
      <c r="AR801" s="352" t="str">
        <f ca="1">IF(Table_NFI[[#This Row],[Pcode]]="","",OFFSET(CampList[Priority],MATCH(Table_NFI[[#This Row],[Pcode]],CampList[CP_Pcode],0)-1,0,1,1))</f>
        <v>P4</v>
      </c>
      <c r="AS801" s="351">
        <f>IFERROR(Table_NFI[[#This Row],[Kitchen Set]]/VLOOKUP(Table_NFI[[#This Row],[Camp Name]],CL,4,0),"")</f>
        <v>0</v>
      </c>
      <c r="AT801" s="533" t="s">
        <v>1094</v>
      </c>
      <c r="AU801" s="536"/>
    </row>
    <row r="802" spans="1:47" ht="14.45" customHeight="1" x14ac:dyDescent="0.25">
      <c r="A802" s="355">
        <f t="shared" si="12"/>
        <v>48.8</v>
      </c>
      <c r="B802" s="532">
        <v>41107</v>
      </c>
      <c r="C802" s="533" t="s">
        <v>453</v>
      </c>
      <c r="D802" s="534" t="s">
        <v>453</v>
      </c>
      <c r="E802" s="533" t="s">
        <v>380</v>
      </c>
      <c r="F802" s="348" t="s">
        <v>237</v>
      </c>
      <c r="G802" s="348" t="s">
        <v>251</v>
      </c>
      <c r="H802" s="349"/>
      <c r="I802" s="349"/>
      <c r="J802" s="349"/>
      <c r="K802" s="349">
        <v>7</v>
      </c>
      <c r="L802" s="350">
        <v>7</v>
      </c>
      <c r="M802" s="350">
        <v>7</v>
      </c>
      <c r="N802" s="350">
        <v>7</v>
      </c>
      <c r="O802" s="350">
        <v>7</v>
      </c>
      <c r="P802" s="352">
        <v>7</v>
      </c>
      <c r="Q802" s="352">
        <v>7</v>
      </c>
      <c r="R802" s="352"/>
      <c r="S802" s="352"/>
      <c r="T802" s="352"/>
      <c r="U802" s="352"/>
      <c r="V802" s="497"/>
      <c r="W802" s="352"/>
      <c r="X802" s="352"/>
      <c r="Y802" s="352">
        <f>IF(NFI_Expiration=1,IF($A802&lt;VLOOKUP(H$5,NFI,5,0),1,0)*Table_NFI[[#This Row],[Hygiene Kit]],Table_NFI[Hygiene Kit])</f>
        <v>0</v>
      </c>
      <c r="Z802" s="352">
        <f>IF(NFI_Expiration=1,IF($A802&lt;VLOOKUP(I$5,NFI,5,0),1,0)*Table_NFI[[#This Row],[NFI Core Kit]],Table_NFI[NFI Core Kit])</f>
        <v>0</v>
      </c>
      <c r="AA802" s="352">
        <f>IF(NFI_Expiration=1,IF($A802&lt;VLOOKUP(J$5,NFI,5,0),1,0)*Table_NFI[[#This Row],[Sanitary Kit]],Table_NFI[Sanitary Kit])</f>
        <v>0</v>
      </c>
      <c r="AB802" s="352">
        <f>IF(NFI_Expiration=1,IF($A802&lt;VLOOKUP(K$5,NFI,5,0),1,0)*Table_NFI[[#This Row],[Mosquito net]],Table_NFI[Mosquito net])</f>
        <v>0</v>
      </c>
      <c r="AC802" s="352">
        <f>IF(NFI_Expiration=1,IF($A802&lt;VLOOKUP(L$5,NFI,5,0),1,0)*Table_NFI[[#This Row],[Tarpaulin]],Table_NFI[[#This Row],[Tarpaulin]])</f>
        <v>0</v>
      </c>
      <c r="AD802" s="352">
        <f>IF(NFI_Expiration=1,IF($A802&lt;VLOOKUP(M$5,NFI,5,0),1,0)*Table_NFI[[#This Row],[Blanket]],Table_NFI[[#This Row],[Blanket]])</f>
        <v>0</v>
      </c>
      <c r="AE802" s="352">
        <f>IF(NFI_Expiration=1,IF($A802&lt;VLOOKUP(N$5,NFI,5,0),1,0)*Table_NFI[[#This Row],[Kitchen Set]],Table_NFI[Kitchen Set])</f>
        <v>0</v>
      </c>
      <c r="AF802" s="352">
        <f>IF(NFI_Expiration=1,IF($A802&lt;VLOOKUP(O$5,NFI,5,0),1,0)*Table_NFI[[#This Row],[Clothes Kit]],Table_NFI[Clothes Kit])</f>
        <v>0</v>
      </c>
      <c r="AG802" s="352">
        <f>IF(NFI_Expiration=1,IF($A802&lt;VLOOKUP(P$5,NFI,5,0),1,0)*Table_NFI[[#This Row],[Plastic Bucket]],Table_NFI[Plastic Bucket])</f>
        <v>0</v>
      </c>
      <c r="AH802" s="352">
        <f>IF(NFI_Expiration=1,IF($A802&lt;VLOOKUP(Q$5,NFI,5,0),1,0)*Table_NFI[[#This Row],[Plastic Mat]],Table_NFI[Plastic Mat])*IF(Table_NFI[[#This Row],[Distribution Date]]&gt;"2014-04-01",1,2.5)</f>
        <v>0</v>
      </c>
      <c r="AI802" s="352">
        <f>IF(NFI_Expiration=1,IF($A802&lt;VLOOKUP(R$5,NFI,5,0),1,0)*Table_NFI[[#This Row],[Winter Clothes Adult]],Table_NFI[Winter Clothes Adult])</f>
        <v>0</v>
      </c>
      <c r="AJ802" s="352">
        <f>IF(NFI_Expiration=1,IF($A802&lt;VLOOKUP(S$5,NFI,5,0),1,0)*Table_NFI[[#This Row],[Winter Clothes Children]],Table_NFI[Winter Clothes Children])</f>
        <v>0</v>
      </c>
      <c r="AK802" s="352">
        <f>IF(NFI_Expiration=1,IF($A802&lt;VLOOKUP(T$5,NFI,5,0),1,0)*Table_NFI[[#This Row],[Winter Items Other]],Table_NFI[Winter Items Other])</f>
        <v>0</v>
      </c>
      <c r="AL802" s="352">
        <f>IF(NFI_Expiration=1,IF($A802&lt;VLOOKUP(M$5,NFI,5,0),1,0)*Table_NFI[[#This Row],[Winter Blanket]],Table_NFI[[#This Row],[Winter Blanket]])</f>
        <v>0</v>
      </c>
      <c r="AM802" s="352">
        <f>IF(Table_NFI[[#This Row],[Winter Clothes Adult]]+Table_NFI[[#This Row],[Winter Clothes Children]]+Table_NFI[[#This Row],[Winter Items Other]]+Table_NFI[[#This Row],[Winter Blanket]]&gt;0,1,0)</f>
        <v>0</v>
      </c>
      <c r="AN802" s="392">
        <f>IF(NFI_Expiration=1,IF($A802&lt;VLOOKUP(V$5,NFI,5,0),1,0)*Table_NFI[[#This Row],[Jerry Can]],Table_NFI[Jerry Can])</f>
        <v>0</v>
      </c>
      <c r="AO802" s="540" t="str">
        <f>IFERROR(VLOOKUP(Table_NFI[[#This Row],[Camp Name]],CL,2,0),"")</f>
        <v>MMR001CMP003</v>
      </c>
      <c r="AP802" s="535">
        <f ca="1">IF(Table_NFI[[#This Row],[Pcode]]="","",IF(OFFSET(CampList[Opening Date],MATCH(Table_NFI[[#This Row],[Pcode]],CampList[CP_Pcode],0)-1,0,1,1)&gt;=NFI_Monitor_Date,1,0))</f>
        <v>0</v>
      </c>
      <c r="AQ802" s="540" t="str">
        <f>IFERROR(VLOOKUP(Table_NFI[[#This Row],[Camp Name]],CL,3,0),"")</f>
        <v>Open</v>
      </c>
      <c r="AR802" s="352" t="str">
        <f ca="1">IF(Table_NFI[[#This Row],[Pcode]]="","",OFFSET(CampList[Priority],MATCH(Table_NFI[[#This Row],[Pcode]],CampList[CP_Pcode],0)-1,0,1,1))</f>
        <v>P4</v>
      </c>
      <c r="AS802" s="351">
        <f>IFERROR(Table_NFI[[#This Row],[Kitchen Set]]/VLOOKUP(Table_NFI[[#This Row],[Camp Name]],CL,4,0),"")</f>
        <v>0.21875</v>
      </c>
      <c r="AT802" s="533" t="s">
        <v>1094</v>
      </c>
      <c r="AU802" s="536"/>
    </row>
    <row r="803" spans="1:47" ht="14.45" customHeight="1" x14ac:dyDescent="0.25">
      <c r="A803" s="355">
        <f t="shared" si="12"/>
        <v>48.833333333333336</v>
      </c>
      <c r="B803" s="532">
        <v>41106</v>
      </c>
      <c r="C803" s="533" t="s">
        <v>453</v>
      </c>
      <c r="D803" s="534" t="s">
        <v>453</v>
      </c>
      <c r="E803" s="533" t="s">
        <v>380</v>
      </c>
      <c r="F803" s="348" t="s">
        <v>237</v>
      </c>
      <c r="G803" s="348" t="s">
        <v>257</v>
      </c>
      <c r="H803" s="349"/>
      <c r="I803" s="349"/>
      <c r="J803" s="349"/>
      <c r="K803" s="349">
        <v>33</v>
      </c>
      <c r="L803" s="350">
        <v>33</v>
      </c>
      <c r="M803" s="350">
        <v>33</v>
      </c>
      <c r="N803" s="350">
        <v>33</v>
      </c>
      <c r="O803" s="350">
        <v>33</v>
      </c>
      <c r="P803" s="352">
        <v>33</v>
      </c>
      <c r="Q803" s="352">
        <v>33</v>
      </c>
      <c r="R803" s="352"/>
      <c r="S803" s="352"/>
      <c r="T803" s="352"/>
      <c r="U803" s="352"/>
      <c r="V803" s="497"/>
      <c r="W803" s="352"/>
      <c r="X803" s="352"/>
      <c r="Y803" s="352">
        <f>IF(NFI_Expiration=1,IF($A803&lt;VLOOKUP(H$5,NFI,5,0),1,0)*Table_NFI[[#This Row],[Hygiene Kit]],Table_NFI[Hygiene Kit])</f>
        <v>0</v>
      </c>
      <c r="Z803" s="352">
        <f>IF(NFI_Expiration=1,IF($A803&lt;VLOOKUP(I$5,NFI,5,0),1,0)*Table_NFI[[#This Row],[NFI Core Kit]],Table_NFI[NFI Core Kit])</f>
        <v>0</v>
      </c>
      <c r="AA803" s="352">
        <f>IF(NFI_Expiration=1,IF($A803&lt;VLOOKUP(J$5,NFI,5,0),1,0)*Table_NFI[[#This Row],[Sanitary Kit]],Table_NFI[Sanitary Kit])</f>
        <v>0</v>
      </c>
      <c r="AB803" s="352">
        <f>IF(NFI_Expiration=1,IF($A803&lt;VLOOKUP(K$5,NFI,5,0),1,0)*Table_NFI[[#This Row],[Mosquito net]],Table_NFI[Mosquito net])</f>
        <v>0</v>
      </c>
      <c r="AC803" s="352">
        <f>IF(NFI_Expiration=1,IF($A803&lt;VLOOKUP(L$5,NFI,5,0),1,0)*Table_NFI[[#This Row],[Tarpaulin]],Table_NFI[[#This Row],[Tarpaulin]])</f>
        <v>0</v>
      </c>
      <c r="AD803" s="352">
        <f>IF(NFI_Expiration=1,IF($A803&lt;VLOOKUP(M$5,NFI,5,0),1,0)*Table_NFI[[#This Row],[Blanket]],Table_NFI[[#This Row],[Blanket]])</f>
        <v>0</v>
      </c>
      <c r="AE803" s="352">
        <f>IF(NFI_Expiration=1,IF($A803&lt;VLOOKUP(N$5,NFI,5,0),1,0)*Table_NFI[[#This Row],[Kitchen Set]],Table_NFI[Kitchen Set])</f>
        <v>0</v>
      </c>
      <c r="AF803" s="352">
        <f>IF(NFI_Expiration=1,IF($A803&lt;VLOOKUP(O$5,NFI,5,0),1,0)*Table_NFI[[#This Row],[Clothes Kit]],Table_NFI[Clothes Kit])</f>
        <v>0</v>
      </c>
      <c r="AG803" s="352">
        <f>IF(NFI_Expiration=1,IF($A803&lt;VLOOKUP(P$5,NFI,5,0),1,0)*Table_NFI[[#This Row],[Plastic Bucket]],Table_NFI[Plastic Bucket])</f>
        <v>0</v>
      </c>
      <c r="AH803" s="352">
        <f>IF(NFI_Expiration=1,IF($A803&lt;VLOOKUP(Q$5,NFI,5,0),1,0)*Table_NFI[[#This Row],[Plastic Mat]],Table_NFI[Plastic Mat])*IF(Table_NFI[[#This Row],[Distribution Date]]&gt;"2014-04-01",1,2.5)</f>
        <v>0</v>
      </c>
      <c r="AI803" s="352">
        <f>IF(NFI_Expiration=1,IF($A803&lt;VLOOKUP(R$5,NFI,5,0),1,0)*Table_NFI[[#This Row],[Winter Clothes Adult]],Table_NFI[Winter Clothes Adult])</f>
        <v>0</v>
      </c>
      <c r="AJ803" s="352">
        <f>IF(NFI_Expiration=1,IF($A803&lt;VLOOKUP(S$5,NFI,5,0),1,0)*Table_NFI[[#This Row],[Winter Clothes Children]],Table_NFI[Winter Clothes Children])</f>
        <v>0</v>
      </c>
      <c r="AK803" s="352">
        <f>IF(NFI_Expiration=1,IF($A803&lt;VLOOKUP(T$5,NFI,5,0),1,0)*Table_NFI[[#This Row],[Winter Items Other]],Table_NFI[Winter Items Other])</f>
        <v>0</v>
      </c>
      <c r="AL803" s="352">
        <f>IF(NFI_Expiration=1,IF($A803&lt;VLOOKUP(M$5,NFI,5,0),1,0)*Table_NFI[[#This Row],[Winter Blanket]],Table_NFI[[#This Row],[Winter Blanket]])</f>
        <v>0</v>
      </c>
      <c r="AM803" s="352">
        <f>IF(Table_NFI[[#This Row],[Winter Clothes Adult]]+Table_NFI[[#This Row],[Winter Clothes Children]]+Table_NFI[[#This Row],[Winter Items Other]]+Table_NFI[[#This Row],[Winter Blanket]]&gt;0,1,0)</f>
        <v>0</v>
      </c>
      <c r="AN803" s="392">
        <f>IF(NFI_Expiration=1,IF($A803&lt;VLOOKUP(V$5,NFI,5,0),1,0)*Table_NFI[[#This Row],[Jerry Can]],Table_NFI[Jerry Can])</f>
        <v>0</v>
      </c>
      <c r="AO803" s="540" t="str">
        <f>IFERROR(VLOOKUP(Table_NFI[[#This Row],[Camp Name]],CL,2,0),"")</f>
        <v>MMR001CMP013</v>
      </c>
      <c r="AP803" s="535">
        <f ca="1">IF(Table_NFI[[#This Row],[Pcode]]="","",IF(OFFSET(CampList[Opening Date],MATCH(Table_NFI[[#This Row],[Pcode]],CampList[CP_Pcode],0)-1,0,1,1)&gt;=NFI_Monitor_Date,1,0))</f>
        <v>0</v>
      </c>
      <c r="AQ803" s="540" t="str">
        <f>IFERROR(VLOOKUP(Table_NFI[[#This Row],[Camp Name]],CL,3,0),"")</f>
        <v>Open</v>
      </c>
      <c r="AR803" s="352" t="str">
        <f ca="1">IF(Table_NFI[[#This Row],[Pcode]]="","",OFFSET(CampList[Priority],MATCH(Table_NFI[[#This Row],[Pcode]],CampList[CP_Pcode],0)-1,0,1,1))</f>
        <v>P4</v>
      </c>
      <c r="AS803" s="351">
        <f>IFERROR(Table_NFI[[#This Row],[Kitchen Set]]/VLOOKUP(Table_NFI[[#This Row],[Camp Name]],CL,4,0),"")</f>
        <v>0.75</v>
      </c>
      <c r="AT803" s="533" t="s">
        <v>1094</v>
      </c>
      <c r="AU803" s="536"/>
    </row>
    <row r="804" spans="1:47" ht="14.45" customHeight="1" x14ac:dyDescent="0.25">
      <c r="A804" s="355">
        <f t="shared" si="12"/>
        <v>48.833333333333336</v>
      </c>
      <c r="B804" s="532">
        <v>41106</v>
      </c>
      <c r="C804" s="533" t="s">
        <v>453</v>
      </c>
      <c r="D804" s="534" t="s">
        <v>453</v>
      </c>
      <c r="E804" s="533" t="s">
        <v>380</v>
      </c>
      <c r="F804" s="348" t="s">
        <v>237</v>
      </c>
      <c r="G804" s="348" t="s">
        <v>240</v>
      </c>
      <c r="H804" s="349"/>
      <c r="I804" s="349"/>
      <c r="J804" s="349"/>
      <c r="K804" s="349">
        <v>6</v>
      </c>
      <c r="L804" s="350">
        <v>6</v>
      </c>
      <c r="M804" s="350">
        <v>6</v>
      </c>
      <c r="N804" s="350">
        <v>6</v>
      </c>
      <c r="O804" s="350">
        <v>6</v>
      </c>
      <c r="P804" s="352">
        <v>6</v>
      </c>
      <c r="Q804" s="352">
        <v>6</v>
      </c>
      <c r="R804" s="352"/>
      <c r="S804" s="352"/>
      <c r="T804" s="352"/>
      <c r="U804" s="352"/>
      <c r="V804" s="497"/>
      <c r="W804" s="352"/>
      <c r="X804" s="352"/>
      <c r="Y804" s="352">
        <f>IF(NFI_Expiration=1,IF($A804&lt;VLOOKUP(H$5,NFI,5,0),1,0)*Table_NFI[[#This Row],[Hygiene Kit]],Table_NFI[Hygiene Kit])</f>
        <v>0</v>
      </c>
      <c r="Z804" s="352">
        <f>IF(NFI_Expiration=1,IF($A804&lt;VLOOKUP(I$5,NFI,5,0),1,0)*Table_NFI[[#This Row],[NFI Core Kit]],Table_NFI[NFI Core Kit])</f>
        <v>0</v>
      </c>
      <c r="AA804" s="352">
        <f>IF(NFI_Expiration=1,IF($A804&lt;VLOOKUP(J$5,NFI,5,0),1,0)*Table_NFI[[#This Row],[Sanitary Kit]],Table_NFI[Sanitary Kit])</f>
        <v>0</v>
      </c>
      <c r="AB804" s="352">
        <f>IF(NFI_Expiration=1,IF($A804&lt;VLOOKUP(K$5,NFI,5,0),1,0)*Table_NFI[[#This Row],[Mosquito net]],Table_NFI[Mosquito net])</f>
        <v>0</v>
      </c>
      <c r="AC804" s="352">
        <f>IF(NFI_Expiration=1,IF($A804&lt;VLOOKUP(L$5,NFI,5,0),1,0)*Table_NFI[[#This Row],[Tarpaulin]],Table_NFI[[#This Row],[Tarpaulin]])</f>
        <v>0</v>
      </c>
      <c r="AD804" s="352">
        <f>IF(NFI_Expiration=1,IF($A804&lt;VLOOKUP(M$5,NFI,5,0),1,0)*Table_NFI[[#This Row],[Blanket]],Table_NFI[[#This Row],[Blanket]])</f>
        <v>0</v>
      </c>
      <c r="AE804" s="352">
        <f>IF(NFI_Expiration=1,IF($A804&lt;VLOOKUP(N$5,NFI,5,0),1,0)*Table_NFI[[#This Row],[Kitchen Set]],Table_NFI[Kitchen Set])</f>
        <v>0</v>
      </c>
      <c r="AF804" s="352">
        <f>IF(NFI_Expiration=1,IF($A804&lt;VLOOKUP(O$5,NFI,5,0),1,0)*Table_NFI[[#This Row],[Clothes Kit]],Table_NFI[Clothes Kit])</f>
        <v>0</v>
      </c>
      <c r="AG804" s="352">
        <f>IF(NFI_Expiration=1,IF($A804&lt;VLOOKUP(P$5,NFI,5,0),1,0)*Table_NFI[[#This Row],[Plastic Bucket]],Table_NFI[Plastic Bucket])</f>
        <v>0</v>
      </c>
      <c r="AH804" s="352">
        <f>IF(NFI_Expiration=1,IF($A804&lt;VLOOKUP(Q$5,NFI,5,0),1,0)*Table_NFI[[#This Row],[Plastic Mat]],Table_NFI[Plastic Mat])*IF(Table_NFI[[#This Row],[Distribution Date]]&gt;"2014-04-01",1,2.5)</f>
        <v>0</v>
      </c>
      <c r="AI804" s="352">
        <f>IF(NFI_Expiration=1,IF($A804&lt;VLOOKUP(R$5,NFI,5,0),1,0)*Table_NFI[[#This Row],[Winter Clothes Adult]],Table_NFI[Winter Clothes Adult])</f>
        <v>0</v>
      </c>
      <c r="AJ804" s="352">
        <f>IF(NFI_Expiration=1,IF($A804&lt;VLOOKUP(S$5,NFI,5,0),1,0)*Table_NFI[[#This Row],[Winter Clothes Children]],Table_NFI[Winter Clothes Children])</f>
        <v>0</v>
      </c>
      <c r="AK804" s="352">
        <f>IF(NFI_Expiration=1,IF($A804&lt;VLOOKUP(T$5,NFI,5,0),1,0)*Table_NFI[[#This Row],[Winter Items Other]],Table_NFI[Winter Items Other])</f>
        <v>0</v>
      </c>
      <c r="AL804" s="352">
        <f>IF(NFI_Expiration=1,IF($A804&lt;VLOOKUP(M$5,NFI,5,0),1,0)*Table_NFI[[#This Row],[Winter Blanket]],Table_NFI[[#This Row],[Winter Blanket]])</f>
        <v>0</v>
      </c>
      <c r="AM804" s="352">
        <f>IF(Table_NFI[[#This Row],[Winter Clothes Adult]]+Table_NFI[[#This Row],[Winter Clothes Children]]+Table_NFI[[#This Row],[Winter Items Other]]+Table_NFI[[#This Row],[Winter Blanket]]&gt;0,1,0)</f>
        <v>0</v>
      </c>
      <c r="AN804" s="392">
        <f>IF(NFI_Expiration=1,IF($A804&lt;VLOOKUP(V$5,NFI,5,0),1,0)*Table_NFI[[#This Row],[Jerry Can]],Table_NFI[Jerry Can])</f>
        <v>0</v>
      </c>
      <c r="AO804" s="540" t="str">
        <f>IFERROR(VLOOKUP(Table_NFI[[#This Row],[Camp Name]],CL,2,0),"")</f>
        <v>MMR001CMP015</v>
      </c>
      <c r="AP804" s="535">
        <f ca="1">IF(Table_NFI[[#This Row],[Pcode]]="","",IF(OFFSET(CampList[Opening Date],MATCH(Table_NFI[[#This Row],[Pcode]],CampList[CP_Pcode],0)-1,0,1,1)&gt;=NFI_Monitor_Date,1,0))</f>
        <v>0</v>
      </c>
      <c r="AQ804" s="540" t="str">
        <f>IFERROR(VLOOKUP(Table_NFI[[#This Row],[Camp Name]],CL,3,0),"")</f>
        <v>Open</v>
      </c>
      <c r="AR804" s="352" t="str">
        <f ca="1">IF(Table_NFI[[#This Row],[Pcode]]="","",OFFSET(CampList[Priority],MATCH(Table_NFI[[#This Row],[Pcode]],CampList[CP_Pcode],0)-1,0,1,1))</f>
        <v>P4</v>
      </c>
      <c r="AS804" s="351">
        <f>IFERROR(Table_NFI[[#This Row],[Kitchen Set]]/VLOOKUP(Table_NFI[[#This Row],[Camp Name]],CL,4,0),"")</f>
        <v>6.25E-2</v>
      </c>
      <c r="AT804" s="533" t="s">
        <v>1094</v>
      </c>
      <c r="AU804" s="536"/>
    </row>
    <row r="805" spans="1:47" ht="14.45" customHeight="1" x14ac:dyDescent="0.25">
      <c r="A805" s="355">
        <f t="shared" si="12"/>
        <v>48.833333333333336</v>
      </c>
      <c r="B805" s="532">
        <v>41106</v>
      </c>
      <c r="C805" s="533" t="s">
        <v>453</v>
      </c>
      <c r="D805" s="533" t="s">
        <v>453</v>
      </c>
      <c r="E805" s="533" t="s">
        <v>380</v>
      </c>
      <c r="F805" s="348" t="s">
        <v>237</v>
      </c>
      <c r="G805" s="348" t="s">
        <v>240</v>
      </c>
      <c r="H805" s="349"/>
      <c r="I805" s="349"/>
      <c r="J805" s="349"/>
      <c r="K805" s="349">
        <v>13</v>
      </c>
      <c r="L805" s="350">
        <v>13</v>
      </c>
      <c r="M805" s="350">
        <v>13</v>
      </c>
      <c r="N805" s="350">
        <v>13</v>
      </c>
      <c r="O805" s="350">
        <v>13</v>
      </c>
      <c r="P805" s="352">
        <v>13</v>
      </c>
      <c r="Q805" s="352">
        <v>13</v>
      </c>
      <c r="R805" s="352"/>
      <c r="S805" s="352"/>
      <c r="T805" s="352"/>
      <c r="U805" s="352"/>
      <c r="V805" s="497"/>
      <c r="W805" s="352"/>
      <c r="X805" s="352"/>
      <c r="Y805" s="352">
        <f>IF(NFI_Expiration=1,IF($A805&lt;VLOOKUP(H$5,NFI,5,0),1,0)*Table_NFI[[#This Row],[Hygiene Kit]],Table_NFI[Hygiene Kit])</f>
        <v>0</v>
      </c>
      <c r="Z805" s="352">
        <f>IF(NFI_Expiration=1,IF($A805&lt;VLOOKUP(I$5,NFI,5,0),1,0)*Table_NFI[[#This Row],[NFI Core Kit]],Table_NFI[NFI Core Kit])</f>
        <v>0</v>
      </c>
      <c r="AA805" s="352">
        <f>IF(NFI_Expiration=1,IF($A805&lt;VLOOKUP(J$5,NFI,5,0),1,0)*Table_NFI[[#This Row],[Sanitary Kit]],Table_NFI[Sanitary Kit])</f>
        <v>0</v>
      </c>
      <c r="AB805" s="352">
        <f>IF(NFI_Expiration=1,IF($A805&lt;VLOOKUP(K$5,NFI,5,0),1,0)*Table_NFI[[#This Row],[Mosquito net]],Table_NFI[Mosquito net])</f>
        <v>0</v>
      </c>
      <c r="AC805" s="352">
        <f>IF(NFI_Expiration=1,IF($A805&lt;VLOOKUP(L$5,NFI,5,0),1,0)*Table_NFI[[#This Row],[Tarpaulin]],Table_NFI[[#This Row],[Tarpaulin]])</f>
        <v>0</v>
      </c>
      <c r="AD805" s="352">
        <f>IF(NFI_Expiration=1,IF($A805&lt;VLOOKUP(M$5,NFI,5,0),1,0)*Table_NFI[[#This Row],[Blanket]],Table_NFI[[#This Row],[Blanket]])</f>
        <v>0</v>
      </c>
      <c r="AE805" s="352">
        <f>IF(NFI_Expiration=1,IF($A805&lt;VLOOKUP(N$5,NFI,5,0),1,0)*Table_NFI[[#This Row],[Kitchen Set]],Table_NFI[Kitchen Set])</f>
        <v>0</v>
      </c>
      <c r="AF805" s="352">
        <f>IF(NFI_Expiration=1,IF($A805&lt;VLOOKUP(O$5,NFI,5,0),1,0)*Table_NFI[[#This Row],[Clothes Kit]],Table_NFI[Clothes Kit])</f>
        <v>0</v>
      </c>
      <c r="AG805" s="352">
        <f>IF(NFI_Expiration=1,IF($A805&lt;VLOOKUP(P$5,NFI,5,0),1,0)*Table_NFI[[#This Row],[Plastic Bucket]],Table_NFI[Plastic Bucket])</f>
        <v>0</v>
      </c>
      <c r="AH805" s="352">
        <f>IF(NFI_Expiration=1,IF($A805&lt;VLOOKUP(Q$5,NFI,5,0),1,0)*Table_NFI[[#This Row],[Plastic Mat]],Table_NFI[Plastic Mat])*IF(Table_NFI[[#This Row],[Distribution Date]]&gt;"2014-04-01",1,2.5)</f>
        <v>0</v>
      </c>
      <c r="AI805" s="352">
        <f>IF(NFI_Expiration=1,IF($A805&lt;VLOOKUP(R$5,NFI,5,0),1,0)*Table_NFI[[#This Row],[Winter Clothes Adult]],Table_NFI[Winter Clothes Adult])</f>
        <v>0</v>
      </c>
      <c r="AJ805" s="352">
        <f>IF(NFI_Expiration=1,IF($A805&lt;VLOOKUP(S$5,NFI,5,0),1,0)*Table_NFI[[#This Row],[Winter Clothes Children]],Table_NFI[Winter Clothes Children])</f>
        <v>0</v>
      </c>
      <c r="AK805" s="352">
        <f>IF(NFI_Expiration=1,IF($A805&lt;VLOOKUP(T$5,NFI,5,0),1,0)*Table_NFI[[#This Row],[Winter Items Other]],Table_NFI[Winter Items Other])</f>
        <v>0</v>
      </c>
      <c r="AL805" s="352">
        <f>IF(NFI_Expiration=1,IF($A805&lt;VLOOKUP(M$5,NFI,5,0),1,0)*Table_NFI[[#This Row],[Winter Blanket]],Table_NFI[[#This Row],[Winter Blanket]])</f>
        <v>0</v>
      </c>
      <c r="AM805" s="352">
        <f>IF(Table_NFI[[#This Row],[Winter Clothes Adult]]+Table_NFI[[#This Row],[Winter Clothes Children]]+Table_NFI[[#This Row],[Winter Items Other]]+Table_NFI[[#This Row],[Winter Blanket]]&gt;0,1,0)</f>
        <v>0</v>
      </c>
      <c r="AN805" s="392">
        <f>IF(NFI_Expiration=1,IF($A805&lt;VLOOKUP(V$5,NFI,5,0),1,0)*Table_NFI[[#This Row],[Jerry Can]],Table_NFI[Jerry Can])</f>
        <v>0</v>
      </c>
      <c r="AO805" s="540" t="str">
        <f>IFERROR(VLOOKUP(Table_NFI[[#This Row],[Camp Name]],CL,2,0),"")</f>
        <v>MMR001CMP015</v>
      </c>
      <c r="AP805" s="535">
        <f ca="1">IF(Table_NFI[[#This Row],[Pcode]]="","",IF(OFFSET(CampList[Opening Date],MATCH(Table_NFI[[#This Row],[Pcode]],CampList[CP_Pcode],0)-1,0,1,1)&gt;=NFI_Monitor_Date,1,0))</f>
        <v>0</v>
      </c>
      <c r="AQ805" s="540" t="str">
        <f>IFERROR(VLOOKUP(Table_NFI[[#This Row],[Camp Name]],CL,3,0),"")</f>
        <v>Open</v>
      </c>
      <c r="AR805" s="352" t="str">
        <f ca="1">IF(Table_NFI[[#This Row],[Pcode]]="","",OFFSET(CampList[Priority],MATCH(Table_NFI[[#This Row],[Pcode]],CampList[CP_Pcode],0)-1,0,1,1))</f>
        <v>P4</v>
      </c>
      <c r="AS805" s="351">
        <f>IFERROR(Table_NFI[[#This Row],[Kitchen Set]]/VLOOKUP(Table_NFI[[#This Row],[Camp Name]],CL,4,0),"")</f>
        <v>0.13541666666666666</v>
      </c>
      <c r="AT805" s="533" t="s">
        <v>1094</v>
      </c>
      <c r="AU805" s="536"/>
    </row>
    <row r="806" spans="1:47" ht="14.45" customHeight="1" x14ac:dyDescent="0.25">
      <c r="A806" s="355">
        <f t="shared" si="12"/>
        <v>48.833333333333336</v>
      </c>
      <c r="B806" s="532">
        <v>41106</v>
      </c>
      <c r="C806" s="533" t="s">
        <v>453</v>
      </c>
      <c r="D806" s="534" t="s">
        <v>453</v>
      </c>
      <c r="E806" s="533" t="s">
        <v>380</v>
      </c>
      <c r="F806" s="348" t="s">
        <v>237</v>
      </c>
      <c r="G806" s="348" t="s">
        <v>285</v>
      </c>
      <c r="H806" s="349"/>
      <c r="I806" s="349"/>
      <c r="J806" s="349"/>
      <c r="K806" s="349">
        <v>50</v>
      </c>
      <c r="L806" s="350">
        <v>50</v>
      </c>
      <c r="M806" s="350">
        <v>50</v>
      </c>
      <c r="N806" s="350">
        <v>50</v>
      </c>
      <c r="O806" s="350">
        <v>50</v>
      </c>
      <c r="P806" s="352">
        <v>50</v>
      </c>
      <c r="Q806" s="352">
        <v>50</v>
      </c>
      <c r="R806" s="352"/>
      <c r="S806" s="352"/>
      <c r="T806" s="352"/>
      <c r="U806" s="352"/>
      <c r="V806" s="497"/>
      <c r="W806" s="352"/>
      <c r="X806" s="352"/>
      <c r="Y806" s="352">
        <f>IF(NFI_Expiration=1,IF($A806&lt;VLOOKUP(H$5,NFI,5,0),1,0)*Table_NFI[[#This Row],[Hygiene Kit]],Table_NFI[Hygiene Kit])</f>
        <v>0</v>
      </c>
      <c r="Z806" s="352">
        <f>IF(NFI_Expiration=1,IF($A806&lt;VLOOKUP(I$5,NFI,5,0),1,0)*Table_NFI[[#This Row],[NFI Core Kit]],Table_NFI[NFI Core Kit])</f>
        <v>0</v>
      </c>
      <c r="AA806" s="352">
        <f>IF(NFI_Expiration=1,IF($A806&lt;VLOOKUP(J$5,NFI,5,0),1,0)*Table_NFI[[#This Row],[Sanitary Kit]],Table_NFI[Sanitary Kit])</f>
        <v>0</v>
      </c>
      <c r="AB806" s="352">
        <f>IF(NFI_Expiration=1,IF($A806&lt;VLOOKUP(K$5,NFI,5,0),1,0)*Table_NFI[[#This Row],[Mosquito net]],Table_NFI[Mosquito net])</f>
        <v>0</v>
      </c>
      <c r="AC806" s="352">
        <f>IF(NFI_Expiration=1,IF($A806&lt;VLOOKUP(L$5,NFI,5,0),1,0)*Table_NFI[[#This Row],[Tarpaulin]],Table_NFI[[#This Row],[Tarpaulin]])</f>
        <v>0</v>
      </c>
      <c r="AD806" s="352">
        <f>IF(NFI_Expiration=1,IF($A806&lt;VLOOKUP(M$5,NFI,5,0),1,0)*Table_NFI[[#This Row],[Blanket]],Table_NFI[[#This Row],[Blanket]])</f>
        <v>0</v>
      </c>
      <c r="AE806" s="352">
        <f>IF(NFI_Expiration=1,IF($A806&lt;VLOOKUP(N$5,NFI,5,0),1,0)*Table_NFI[[#This Row],[Kitchen Set]],Table_NFI[Kitchen Set])</f>
        <v>0</v>
      </c>
      <c r="AF806" s="352">
        <f>IF(NFI_Expiration=1,IF($A806&lt;VLOOKUP(O$5,NFI,5,0),1,0)*Table_NFI[[#This Row],[Clothes Kit]],Table_NFI[Clothes Kit])</f>
        <v>0</v>
      </c>
      <c r="AG806" s="352">
        <f>IF(NFI_Expiration=1,IF($A806&lt;VLOOKUP(P$5,NFI,5,0),1,0)*Table_NFI[[#This Row],[Plastic Bucket]],Table_NFI[Plastic Bucket])</f>
        <v>0</v>
      </c>
      <c r="AH806" s="352">
        <f>IF(NFI_Expiration=1,IF($A806&lt;VLOOKUP(Q$5,NFI,5,0),1,0)*Table_NFI[[#This Row],[Plastic Mat]],Table_NFI[Plastic Mat])*IF(Table_NFI[[#This Row],[Distribution Date]]&gt;"2014-04-01",1,2.5)</f>
        <v>0</v>
      </c>
      <c r="AI806" s="352">
        <f>IF(NFI_Expiration=1,IF($A806&lt;VLOOKUP(R$5,NFI,5,0),1,0)*Table_NFI[[#This Row],[Winter Clothes Adult]],Table_NFI[Winter Clothes Adult])</f>
        <v>0</v>
      </c>
      <c r="AJ806" s="352">
        <f>IF(NFI_Expiration=1,IF($A806&lt;VLOOKUP(S$5,NFI,5,0),1,0)*Table_NFI[[#This Row],[Winter Clothes Children]],Table_NFI[Winter Clothes Children])</f>
        <v>0</v>
      </c>
      <c r="AK806" s="352">
        <f>IF(NFI_Expiration=1,IF($A806&lt;VLOOKUP(T$5,NFI,5,0),1,0)*Table_NFI[[#This Row],[Winter Items Other]],Table_NFI[Winter Items Other])</f>
        <v>0</v>
      </c>
      <c r="AL806" s="352">
        <f>IF(NFI_Expiration=1,IF($A806&lt;VLOOKUP(M$5,NFI,5,0),1,0)*Table_NFI[[#This Row],[Winter Blanket]],Table_NFI[[#This Row],[Winter Blanket]])</f>
        <v>0</v>
      </c>
      <c r="AM806" s="352">
        <f>IF(Table_NFI[[#This Row],[Winter Clothes Adult]]+Table_NFI[[#This Row],[Winter Clothes Children]]+Table_NFI[[#This Row],[Winter Items Other]]+Table_NFI[[#This Row],[Winter Blanket]]&gt;0,1,0)</f>
        <v>0</v>
      </c>
      <c r="AN806" s="392">
        <f>IF(NFI_Expiration=1,IF($A806&lt;VLOOKUP(V$5,NFI,5,0),1,0)*Table_NFI[[#This Row],[Jerry Can]],Table_NFI[Jerry Can])</f>
        <v>0</v>
      </c>
      <c r="AO806" s="540" t="str">
        <f>IFERROR(VLOOKUP(Table_NFI[[#This Row],[Camp Name]],CL,2,0),"")</f>
        <v>MMR001CMP014</v>
      </c>
      <c r="AP806" s="535">
        <f ca="1">IF(Table_NFI[[#This Row],[Pcode]]="","",IF(OFFSET(CampList[Opening Date],MATCH(Table_NFI[[#This Row],[Pcode]],CampList[CP_Pcode],0)-1,0,1,1)&gt;=NFI_Monitor_Date,1,0))</f>
        <v>0</v>
      </c>
      <c r="AQ806" s="540" t="str">
        <f>IFERROR(VLOOKUP(Table_NFI[[#This Row],[Camp Name]],CL,3,0),"")</f>
        <v>Open</v>
      </c>
      <c r="AR806" s="352" t="str">
        <f ca="1">IF(Table_NFI[[#This Row],[Pcode]]="","",OFFSET(CampList[Priority],MATCH(Table_NFI[[#This Row],[Pcode]],CampList[CP_Pcode],0)-1,0,1,1))</f>
        <v>P4</v>
      </c>
      <c r="AS806" s="351">
        <f>IFERROR(Table_NFI[[#This Row],[Kitchen Set]]/VLOOKUP(Table_NFI[[#This Row],[Camp Name]],CL,4,0),"")</f>
        <v>0.36231884057971014</v>
      </c>
      <c r="AT806" s="533" t="s">
        <v>1094</v>
      </c>
      <c r="AU806" s="536"/>
    </row>
    <row r="807" spans="1:47" ht="14.45" hidden="1" customHeight="1" x14ac:dyDescent="0.25">
      <c r="A807" s="355">
        <f t="shared" si="12"/>
        <v>26.333333333333332</v>
      </c>
      <c r="B807" s="532">
        <v>41781</v>
      </c>
      <c r="C807" s="533" t="s">
        <v>1106</v>
      </c>
      <c r="D807" s="533" t="s">
        <v>902</v>
      </c>
      <c r="E807" s="533" t="s">
        <v>380</v>
      </c>
      <c r="F807" s="348" t="s">
        <v>310</v>
      </c>
      <c r="G807" s="533" t="s">
        <v>342</v>
      </c>
      <c r="H807" s="349"/>
      <c r="I807" s="349"/>
      <c r="J807" s="349"/>
      <c r="K807" s="349"/>
      <c r="L807" s="350"/>
      <c r="M807" s="350"/>
      <c r="N807" s="350"/>
      <c r="O807" s="350"/>
      <c r="P807" s="352"/>
      <c r="Q807" s="352"/>
      <c r="R807" s="352"/>
      <c r="S807" s="352"/>
      <c r="T807" s="352"/>
      <c r="U807" s="352">
        <v>140</v>
      </c>
      <c r="V807" s="497"/>
      <c r="W807" s="352"/>
      <c r="X807" s="352"/>
      <c r="Y807" s="352">
        <f>IF(NFI_Expiration=1,IF($A807&lt;VLOOKUP(H$5,NFI,5,0),1,0)*Table_NFI[[#This Row],[Hygiene Kit]],Table_NFI[Hygiene Kit])</f>
        <v>0</v>
      </c>
      <c r="Z807" s="352">
        <f>IF(NFI_Expiration=1,IF($A807&lt;VLOOKUP(I$5,NFI,5,0),1,0)*Table_NFI[[#This Row],[NFI Core Kit]],Table_NFI[NFI Core Kit])</f>
        <v>0</v>
      </c>
      <c r="AA807" s="352">
        <f>IF(NFI_Expiration=1,IF($A807&lt;VLOOKUP(J$5,NFI,5,0),1,0)*Table_NFI[[#This Row],[Sanitary Kit]],Table_NFI[Sanitary Kit])</f>
        <v>0</v>
      </c>
      <c r="AB807" s="352">
        <f>IF(NFI_Expiration=1,IF($A807&lt;VLOOKUP(K$5,NFI,5,0),1,0)*Table_NFI[[#This Row],[Mosquito net]],Table_NFI[Mosquito net])</f>
        <v>0</v>
      </c>
      <c r="AC807" s="352">
        <f>IF(NFI_Expiration=1,IF($A807&lt;VLOOKUP(L$5,NFI,5,0),1,0)*Table_NFI[[#This Row],[Tarpaulin]],Table_NFI[[#This Row],[Tarpaulin]])</f>
        <v>0</v>
      </c>
      <c r="AD807" s="352">
        <f>IF(NFI_Expiration=1,IF($A807&lt;VLOOKUP(M$5,NFI,5,0),1,0)*Table_NFI[[#This Row],[Blanket]],Table_NFI[[#This Row],[Blanket]])</f>
        <v>0</v>
      </c>
      <c r="AE807" s="352">
        <f>IF(NFI_Expiration=1,IF($A807&lt;VLOOKUP(N$5,NFI,5,0),1,0)*Table_NFI[[#This Row],[Kitchen Set]],Table_NFI[Kitchen Set])</f>
        <v>0</v>
      </c>
      <c r="AF807" s="352">
        <f>IF(NFI_Expiration=1,IF($A807&lt;VLOOKUP(O$5,NFI,5,0),1,0)*Table_NFI[[#This Row],[Clothes Kit]],Table_NFI[Clothes Kit])</f>
        <v>0</v>
      </c>
      <c r="AG807" s="352">
        <f>IF(NFI_Expiration=1,IF($A807&lt;VLOOKUP(P$5,NFI,5,0),1,0)*Table_NFI[[#This Row],[Plastic Bucket]],Table_NFI[Plastic Bucket])</f>
        <v>0</v>
      </c>
      <c r="AH807" s="352">
        <f>IF(NFI_Expiration=1,IF($A807&lt;VLOOKUP(Q$5,NFI,5,0),1,0)*Table_NFI[[#This Row],[Plastic Mat]],Table_NFI[Plastic Mat])*IF(Table_NFI[[#This Row],[Distribution Date]]&gt;"2014-04-01",1,2.5)</f>
        <v>0</v>
      </c>
      <c r="AI807" s="352">
        <f>IF(NFI_Expiration=1,IF($A807&lt;VLOOKUP(R$5,NFI,5,0),1,0)*Table_NFI[[#This Row],[Winter Clothes Adult]],Table_NFI[Winter Clothes Adult])</f>
        <v>0</v>
      </c>
      <c r="AJ807" s="352">
        <f>IF(NFI_Expiration=1,IF($A807&lt;VLOOKUP(S$5,NFI,5,0),1,0)*Table_NFI[[#This Row],[Winter Clothes Children]],Table_NFI[Winter Clothes Children])</f>
        <v>0</v>
      </c>
      <c r="AK807" s="352">
        <f>IF(NFI_Expiration=1,IF($A807&lt;VLOOKUP(T$5,NFI,5,0),1,0)*Table_NFI[[#This Row],[Winter Items Other]],Table_NFI[Winter Items Other])</f>
        <v>0</v>
      </c>
      <c r="AL807" s="352">
        <f>IF(NFI_Expiration=1,IF($A807&lt;VLOOKUP(M$5,NFI,5,0),1,0)*Table_NFI[[#This Row],[Winter Blanket]],Table_NFI[[#This Row],[Winter Blanket]])</f>
        <v>0</v>
      </c>
      <c r="AM807" s="352">
        <f>IF(Table_NFI[[#This Row],[Winter Clothes Adult]]+Table_NFI[[#This Row],[Winter Clothes Children]]+Table_NFI[[#This Row],[Winter Items Other]]+Table_NFI[[#This Row],[Winter Blanket]]&gt;0,1,0)</f>
        <v>1</v>
      </c>
      <c r="AN807" s="392">
        <f>IF(NFI_Expiration=1,IF($A807&lt;VLOOKUP(V$5,NFI,5,0),1,0)*Table_NFI[[#This Row],[Jerry Can]],Table_NFI[Jerry Can])</f>
        <v>0</v>
      </c>
      <c r="AO807" s="540" t="str">
        <f>IFERROR(VLOOKUP(Table_NFI[[#This Row],[Camp Name]],CL,2,0),"")</f>
        <v>MMR001CMP025</v>
      </c>
      <c r="AP807" s="535">
        <f ca="1">IF(Table_NFI[[#This Row],[Pcode]]="","",IF(OFFSET(CampList[Opening Date],MATCH(Table_NFI[[#This Row],[Pcode]],CampList[CP_Pcode],0)-1,0,1,1)&gt;=NFI_Monitor_Date,1,0))</f>
        <v>0</v>
      </c>
      <c r="AQ807" s="540" t="str">
        <f>IFERROR(VLOOKUP(Table_NFI[[#This Row],[Camp Name]],CL,3,0),"")</f>
        <v>Open</v>
      </c>
      <c r="AR807" s="352" t="str">
        <f ca="1">IF(Table_NFI[[#This Row],[Pcode]]="","",OFFSET(CampList[Priority],MATCH(Table_NFI[[#This Row],[Pcode]],CampList[CP_Pcode],0)-1,0,1,1))</f>
        <v>P4</v>
      </c>
      <c r="AS807" s="351">
        <f>IFERROR(Table_NFI[[#This Row],[Kitchen Set]]/VLOOKUP(Table_NFI[[#This Row],[Camp Name]],CL,4,0),"")</f>
        <v>0</v>
      </c>
      <c r="AT807" s="533"/>
      <c r="AU807" s="536"/>
    </row>
    <row r="808" spans="1:47" hidden="1" x14ac:dyDescent="0.25">
      <c r="A808" s="355">
        <f t="shared" si="12"/>
        <v>31.533333333333335</v>
      </c>
      <c r="B808" s="532">
        <v>41625</v>
      </c>
      <c r="C808" s="533" t="s">
        <v>907</v>
      </c>
      <c r="D808" s="533" t="s">
        <v>461</v>
      </c>
      <c r="E808" s="533" t="s">
        <v>380</v>
      </c>
      <c r="F808" s="348" t="s">
        <v>310</v>
      </c>
      <c r="G808" s="533" t="s">
        <v>342</v>
      </c>
      <c r="H808" s="349"/>
      <c r="I808" s="349"/>
      <c r="J808" s="349"/>
      <c r="K808" s="349"/>
      <c r="L808" s="350"/>
      <c r="M808" s="350"/>
      <c r="N808" s="350"/>
      <c r="O808" s="350"/>
      <c r="P808" s="352"/>
      <c r="Q808" s="352"/>
      <c r="R808" s="352">
        <v>73</v>
      </c>
      <c r="S808" s="352">
        <v>146</v>
      </c>
      <c r="T808" s="352">
        <v>438</v>
      </c>
      <c r="U808" s="352">
        <v>219</v>
      </c>
      <c r="V808" s="497"/>
      <c r="W808" s="352"/>
      <c r="X808" s="352"/>
      <c r="Y808" s="352">
        <f>IF(NFI_Expiration=1,IF($A808&lt;VLOOKUP(H$5,NFI,5,0),1,0)*Table_NFI[[#This Row],[Hygiene Kit]],Table_NFI[Hygiene Kit])</f>
        <v>0</v>
      </c>
      <c r="Z808" s="352">
        <f>IF(NFI_Expiration=1,IF($A808&lt;VLOOKUP(I$5,NFI,5,0),1,0)*Table_NFI[[#This Row],[NFI Core Kit]],Table_NFI[NFI Core Kit])</f>
        <v>0</v>
      </c>
      <c r="AA808" s="352">
        <f>IF(NFI_Expiration=1,IF($A808&lt;VLOOKUP(J$5,NFI,5,0),1,0)*Table_NFI[[#This Row],[Sanitary Kit]],Table_NFI[Sanitary Kit])</f>
        <v>0</v>
      </c>
      <c r="AB808" s="352">
        <f>IF(NFI_Expiration=1,IF($A808&lt;VLOOKUP(K$5,NFI,5,0),1,0)*Table_NFI[[#This Row],[Mosquito net]],Table_NFI[Mosquito net])</f>
        <v>0</v>
      </c>
      <c r="AC808" s="352">
        <f>IF(NFI_Expiration=1,IF($A808&lt;VLOOKUP(L$5,NFI,5,0),1,0)*Table_NFI[[#This Row],[Tarpaulin]],Table_NFI[[#This Row],[Tarpaulin]])</f>
        <v>0</v>
      </c>
      <c r="AD808" s="352">
        <f>IF(NFI_Expiration=1,IF($A808&lt;VLOOKUP(M$5,NFI,5,0),1,0)*Table_NFI[[#This Row],[Blanket]],Table_NFI[[#This Row],[Blanket]])</f>
        <v>0</v>
      </c>
      <c r="AE808" s="352">
        <f>IF(NFI_Expiration=1,IF($A808&lt;VLOOKUP(N$5,NFI,5,0),1,0)*Table_NFI[[#This Row],[Kitchen Set]],Table_NFI[Kitchen Set])</f>
        <v>0</v>
      </c>
      <c r="AF808" s="352">
        <f>IF(NFI_Expiration=1,IF($A808&lt;VLOOKUP(O$5,NFI,5,0),1,0)*Table_NFI[[#This Row],[Clothes Kit]],Table_NFI[Clothes Kit])</f>
        <v>0</v>
      </c>
      <c r="AG808" s="352">
        <f>IF(NFI_Expiration=1,IF($A808&lt;VLOOKUP(P$5,NFI,5,0),1,0)*Table_NFI[[#This Row],[Plastic Bucket]],Table_NFI[Plastic Bucket])</f>
        <v>0</v>
      </c>
      <c r="AH808" s="352">
        <f>IF(NFI_Expiration=1,IF($A808&lt;VLOOKUP(Q$5,NFI,5,0),1,0)*Table_NFI[[#This Row],[Plastic Mat]],Table_NFI[Plastic Mat])*IF(Table_NFI[[#This Row],[Distribution Date]]&gt;"2014-04-01",1,2.5)</f>
        <v>0</v>
      </c>
      <c r="AI808" s="352">
        <f>IF(NFI_Expiration=1,IF($A808&lt;VLOOKUP(R$5,NFI,5,0),1,0)*Table_NFI[[#This Row],[Winter Clothes Adult]],Table_NFI[Winter Clothes Adult])</f>
        <v>0</v>
      </c>
      <c r="AJ808" s="352">
        <f>IF(NFI_Expiration=1,IF($A808&lt;VLOOKUP(S$5,NFI,5,0),1,0)*Table_NFI[[#This Row],[Winter Clothes Children]],Table_NFI[Winter Clothes Children])</f>
        <v>0</v>
      </c>
      <c r="AK808" s="352">
        <f>IF(NFI_Expiration=1,IF($A808&lt;VLOOKUP(T$5,NFI,5,0),1,0)*Table_NFI[[#This Row],[Winter Items Other]],Table_NFI[Winter Items Other])</f>
        <v>0</v>
      </c>
      <c r="AL808" s="352">
        <f>IF(NFI_Expiration=1,IF($A808&lt;VLOOKUP(M$5,NFI,5,0),1,0)*Table_NFI[[#This Row],[Winter Blanket]],Table_NFI[[#This Row],[Winter Blanket]])</f>
        <v>0</v>
      </c>
      <c r="AM808" s="352">
        <f>IF(Table_NFI[[#This Row],[Winter Clothes Adult]]+Table_NFI[[#This Row],[Winter Clothes Children]]+Table_NFI[[#This Row],[Winter Items Other]]+Table_NFI[[#This Row],[Winter Blanket]]&gt;0,1,0)</f>
        <v>1</v>
      </c>
      <c r="AN808" s="392">
        <f>IF(NFI_Expiration=1,IF($A808&lt;VLOOKUP(V$5,NFI,5,0),1,0)*Table_NFI[[#This Row],[Jerry Can]],Table_NFI[Jerry Can])</f>
        <v>0</v>
      </c>
      <c r="AO808" s="540" t="str">
        <f>IFERROR(VLOOKUP(Table_NFI[[#This Row],[Camp Name]],CL,2,0),"")</f>
        <v>MMR001CMP025</v>
      </c>
      <c r="AP808" s="535">
        <f ca="1">IF(Table_NFI[[#This Row],[Pcode]]="","",IF(OFFSET(CampList[Opening Date],MATCH(Table_NFI[[#This Row],[Pcode]],CampList[CP_Pcode],0)-1,0,1,1)&gt;=NFI_Monitor_Date,1,0))</f>
        <v>0</v>
      </c>
      <c r="AQ808" s="540" t="str">
        <f>IFERROR(VLOOKUP(Table_NFI[[#This Row],[Camp Name]],CL,3,0),"")</f>
        <v>Open</v>
      </c>
      <c r="AR808" s="352" t="str">
        <f ca="1">IF(Table_NFI[[#This Row],[Pcode]]="","",OFFSET(CampList[Priority],MATCH(Table_NFI[[#This Row],[Pcode]],CampList[CP_Pcode],0)-1,0,1,1))</f>
        <v>P4</v>
      </c>
      <c r="AS808" s="351">
        <f>IFERROR(Table_NFI[[#This Row],[Kitchen Set]]/VLOOKUP(Table_NFI[[#This Row],[Camp Name]],CL,4,0),"")</f>
        <v>0</v>
      </c>
      <c r="AT808" s="533"/>
      <c r="AU808" s="536"/>
    </row>
    <row r="809" spans="1:47" hidden="1" x14ac:dyDescent="0.25">
      <c r="A809" s="355">
        <f t="shared" si="12"/>
        <v>32.1</v>
      </c>
      <c r="B809" s="532">
        <v>41608</v>
      </c>
      <c r="C809" s="533" t="s">
        <v>907</v>
      </c>
      <c r="D809" s="534" t="s">
        <v>461</v>
      </c>
      <c r="E809" s="533" t="s">
        <v>380</v>
      </c>
      <c r="F809" s="348" t="s">
        <v>310</v>
      </c>
      <c r="G809" s="348" t="s">
        <v>342</v>
      </c>
      <c r="H809" s="349"/>
      <c r="I809" s="349"/>
      <c r="J809" s="349"/>
      <c r="K809" s="349"/>
      <c r="L809" s="350"/>
      <c r="M809" s="350"/>
      <c r="N809" s="350"/>
      <c r="O809" s="350"/>
      <c r="P809" s="352"/>
      <c r="Q809" s="352"/>
      <c r="R809" s="352"/>
      <c r="S809" s="352"/>
      <c r="T809" s="352"/>
      <c r="U809" s="352"/>
      <c r="V809" s="497"/>
      <c r="W809" s="352"/>
      <c r="X809" s="352"/>
      <c r="Y809" s="352">
        <f>IF(NFI_Expiration=1,IF($A809&lt;VLOOKUP(H$5,NFI,5,0),1,0)*Table_NFI[[#This Row],[Hygiene Kit]],Table_NFI[Hygiene Kit])</f>
        <v>0</v>
      </c>
      <c r="Z809" s="352">
        <f>IF(NFI_Expiration=1,IF($A809&lt;VLOOKUP(I$5,NFI,5,0),1,0)*Table_NFI[[#This Row],[NFI Core Kit]],Table_NFI[NFI Core Kit])</f>
        <v>0</v>
      </c>
      <c r="AA809" s="352">
        <f>IF(NFI_Expiration=1,IF($A809&lt;VLOOKUP(J$5,NFI,5,0),1,0)*Table_NFI[[#This Row],[Sanitary Kit]],Table_NFI[Sanitary Kit])</f>
        <v>0</v>
      </c>
      <c r="AB809" s="352">
        <f>IF(NFI_Expiration=1,IF($A809&lt;VLOOKUP(K$5,NFI,5,0),1,0)*Table_NFI[[#This Row],[Mosquito net]],Table_NFI[Mosquito net])</f>
        <v>0</v>
      </c>
      <c r="AC809" s="352">
        <f>IF(NFI_Expiration=1,IF($A809&lt;VLOOKUP(L$5,NFI,5,0),1,0)*Table_NFI[[#This Row],[Tarpaulin]],Table_NFI[[#This Row],[Tarpaulin]])</f>
        <v>0</v>
      </c>
      <c r="AD809" s="352">
        <f>IF(NFI_Expiration=1,IF($A809&lt;VLOOKUP(M$5,NFI,5,0),1,0)*Table_NFI[[#This Row],[Blanket]],Table_NFI[[#This Row],[Blanket]])</f>
        <v>0</v>
      </c>
      <c r="AE809" s="352">
        <f>IF(NFI_Expiration=1,IF($A809&lt;VLOOKUP(N$5,NFI,5,0),1,0)*Table_NFI[[#This Row],[Kitchen Set]],Table_NFI[Kitchen Set])</f>
        <v>0</v>
      </c>
      <c r="AF809" s="352">
        <f>IF(NFI_Expiration=1,IF($A809&lt;VLOOKUP(O$5,NFI,5,0),1,0)*Table_NFI[[#This Row],[Clothes Kit]],Table_NFI[Clothes Kit])</f>
        <v>0</v>
      </c>
      <c r="AG809" s="352">
        <f>IF(NFI_Expiration=1,IF($A809&lt;VLOOKUP(P$5,NFI,5,0),1,0)*Table_NFI[[#This Row],[Plastic Bucket]],Table_NFI[Plastic Bucket])</f>
        <v>0</v>
      </c>
      <c r="AH809" s="352">
        <f>IF(NFI_Expiration=1,IF($A809&lt;VLOOKUP(Q$5,NFI,5,0),1,0)*Table_NFI[[#This Row],[Plastic Mat]],Table_NFI[Plastic Mat])*IF(Table_NFI[[#This Row],[Distribution Date]]&gt;"2014-04-01",1,2.5)</f>
        <v>0</v>
      </c>
      <c r="AI809" s="352">
        <f>IF(NFI_Expiration=1,IF($A809&lt;VLOOKUP(R$5,NFI,5,0),1,0)*Table_NFI[[#This Row],[Winter Clothes Adult]],Table_NFI[Winter Clothes Adult])</f>
        <v>0</v>
      </c>
      <c r="AJ809" s="352">
        <f>IF(NFI_Expiration=1,IF($A809&lt;VLOOKUP(S$5,NFI,5,0),1,0)*Table_NFI[[#This Row],[Winter Clothes Children]],Table_NFI[Winter Clothes Children])</f>
        <v>0</v>
      </c>
      <c r="AK809" s="352">
        <f>IF(NFI_Expiration=1,IF($A809&lt;VLOOKUP(T$5,NFI,5,0),1,0)*Table_NFI[[#This Row],[Winter Items Other]],Table_NFI[Winter Items Other])</f>
        <v>0</v>
      </c>
      <c r="AL809" s="352">
        <f>IF(NFI_Expiration=1,IF($A809&lt;VLOOKUP(M$5,NFI,5,0),1,0)*Table_NFI[[#This Row],[Winter Blanket]],Table_NFI[[#This Row],[Winter Blanket]])</f>
        <v>0</v>
      </c>
      <c r="AM809" s="352">
        <f>IF(Table_NFI[[#This Row],[Winter Clothes Adult]]+Table_NFI[[#This Row],[Winter Clothes Children]]+Table_NFI[[#This Row],[Winter Items Other]]+Table_NFI[[#This Row],[Winter Blanket]]&gt;0,1,0)</f>
        <v>0</v>
      </c>
      <c r="AN809" s="392">
        <f>IF(NFI_Expiration=1,IF($A809&lt;VLOOKUP(V$5,NFI,5,0),1,0)*Table_NFI[[#This Row],[Jerry Can]],Table_NFI[Jerry Can])</f>
        <v>0</v>
      </c>
      <c r="AO809" s="540" t="str">
        <f>IFERROR(VLOOKUP(Table_NFI[[#This Row],[Camp Name]],CL,2,0),"")</f>
        <v>MMR001CMP025</v>
      </c>
      <c r="AP809" s="535">
        <f ca="1">IF(Table_NFI[[#This Row],[Pcode]]="","",IF(OFFSET(CampList[Opening Date],MATCH(Table_NFI[[#This Row],[Pcode]],CampList[CP_Pcode],0)-1,0,1,1)&gt;=NFI_Monitor_Date,1,0))</f>
        <v>0</v>
      </c>
      <c r="AQ809" s="540" t="str">
        <f>IFERROR(VLOOKUP(Table_NFI[[#This Row],[Camp Name]],CL,3,0),"")</f>
        <v>Open</v>
      </c>
      <c r="AR809" s="352" t="str">
        <f ca="1">IF(Table_NFI[[#This Row],[Pcode]]="","",OFFSET(CampList[Priority],MATCH(Table_NFI[[#This Row],[Pcode]],CampList[CP_Pcode],0)-1,0,1,1))</f>
        <v>P4</v>
      </c>
      <c r="AS809" s="351">
        <f>IFERROR(Table_NFI[[#This Row],[Kitchen Set]]/VLOOKUP(Table_NFI[[#This Row],[Camp Name]],CL,4,0),"")</f>
        <v>0</v>
      </c>
      <c r="AT809" s="533" t="s">
        <v>1094</v>
      </c>
      <c r="AU809" s="536"/>
    </row>
    <row r="810" spans="1:47" ht="14.45" customHeight="1" x14ac:dyDescent="0.25">
      <c r="A810" s="355">
        <f t="shared" si="12"/>
        <v>48.833333333333336</v>
      </c>
      <c r="B810" s="532">
        <v>41106</v>
      </c>
      <c r="C810" s="533" t="s">
        <v>453</v>
      </c>
      <c r="D810" s="533" t="s">
        <v>453</v>
      </c>
      <c r="E810" s="533" t="s">
        <v>380</v>
      </c>
      <c r="F810" s="348" t="s">
        <v>237</v>
      </c>
      <c r="G810" s="348" t="s">
        <v>259</v>
      </c>
      <c r="H810" s="349"/>
      <c r="I810" s="349"/>
      <c r="J810" s="349"/>
      <c r="K810" s="349">
        <v>3</v>
      </c>
      <c r="L810" s="350">
        <v>3</v>
      </c>
      <c r="M810" s="350">
        <v>3</v>
      </c>
      <c r="N810" s="350">
        <v>3</v>
      </c>
      <c r="O810" s="350">
        <v>3</v>
      </c>
      <c r="P810" s="352">
        <v>3</v>
      </c>
      <c r="Q810" s="352">
        <v>3</v>
      </c>
      <c r="R810" s="352"/>
      <c r="S810" s="352"/>
      <c r="T810" s="352"/>
      <c r="U810" s="352"/>
      <c r="V810" s="497"/>
      <c r="W810" s="352"/>
      <c r="X810" s="352"/>
      <c r="Y810" s="352">
        <f>IF(NFI_Expiration=1,IF($A810&lt;VLOOKUP(H$5,NFI,5,0),1,0)*Table_NFI[[#This Row],[Hygiene Kit]],Table_NFI[Hygiene Kit])</f>
        <v>0</v>
      </c>
      <c r="Z810" s="352">
        <f>IF(NFI_Expiration=1,IF($A810&lt;VLOOKUP(I$5,NFI,5,0),1,0)*Table_NFI[[#This Row],[NFI Core Kit]],Table_NFI[NFI Core Kit])</f>
        <v>0</v>
      </c>
      <c r="AA810" s="352">
        <f>IF(NFI_Expiration=1,IF($A810&lt;VLOOKUP(J$5,NFI,5,0),1,0)*Table_NFI[[#This Row],[Sanitary Kit]],Table_NFI[Sanitary Kit])</f>
        <v>0</v>
      </c>
      <c r="AB810" s="352">
        <f>IF(NFI_Expiration=1,IF($A810&lt;VLOOKUP(K$5,NFI,5,0),1,0)*Table_NFI[[#This Row],[Mosquito net]],Table_NFI[Mosquito net])</f>
        <v>0</v>
      </c>
      <c r="AC810" s="352">
        <f>IF(NFI_Expiration=1,IF($A810&lt;VLOOKUP(L$5,NFI,5,0),1,0)*Table_NFI[[#This Row],[Tarpaulin]],Table_NFI[[#This Row],[Tarpaulin]])</f>
        <v>0</v>
      </c>
      <c r="AD810" s="352">
        <f>IF(NFI_Expiration=1,IF($A810&lt;VLOOKUP(M$5,NFI,5,0),1,0)*Table_NFI[[#This Row],[Blanket]],Table_NFI[[#This Row],[Blanket]])</f>
        <v>0</v>
      </c>
      <c r="AE810" s="352">
        <f>IF(NFI_Expiration=1,IF($A810&lt;VLOOKUP(N$5,NFI,5,0),1,0)*Table_NFI[[#This Row],[Kitchen Set]],Table_NFI[Kitchen Set])</f>
        <v>0</v>
      </c>
      <c r="AF810" s="352">
        <f>IF(NFI_Expiration=1,IF($A810&lt;VLOOKUP(O$5,NFI,5,0),1,0)*Table_NFI[[#This Row],[Clothes Kit]],Table_NFI[Clothes Kit])</f>
        <v>0</v>
      </c>
      <c r="AG810" s="352">
        <f>IF(NFI_Expiration=1,IF($A810&lt;VLOOKUP(P$5,NFI,5,0),1,0)*Table_NFI[[#This Row],[Plastic Bucket]],Table_NFI[Plastic Bucket])</f>
        <v>0</v>
      </c>
      <c r="AH810" s="352">
        <f>IF(NFI_Expiration=1,IF($A810&lt;VLOOKUP(Q$5,NFI,5,0),1,0)*Table_NFI[[#This Row],[Plastic Mat]],Table_NFI[Plastic Mat])*IF(Table_NFI[[#This Row],[Distribution Date]]&gt;"2014-04-01",1,2.5)</f>
        <v>0</v>
      </c>
      <c r="AI810" s="352">
        <f>IF(NFI_Expiration=1,IF($A810&lt;VLOOKUP(R$5,NFI,5,0),1,0)*Table_NFI[[#This Row],[Winter Clothes Adult]],Table_NFI[Winter Clothes Adult])</f>
        <v>0</v>
      </c>
      <c r="AJ810" s="352">
        <f>IF(NFI_Expiration=1,IF($A810&lt;VLOOKUP(S$5,NFI,5,0),1,0)*Table_NFI[[#This Row],[Winter Clothes Children]],Table_NFI[Winter Clothes Children])</f>
        <v>0</v>
      </c>
      <c r="AK810" s="352">
        <f>IF(NFI_Expiration=1,IF($A810&lt;VLOOKUP(T$5,NFI,5,0),1,0)*Table_NFI[[#This Row],[Winter Items Other]],Table_NFI[Winter Items Other])</f>
        <v>0</v>
      </c>
      <c r="AL810" s="352">
        <f>IF(NFI_Expiration=1,IF($A810&lt;VLOOKUP(M$5,NFI,5,0),1,0)*Table_NFI[[#This Row],[Winter Blanket]],Table_NFI[[#This Row],[Winter Blanket]])</f>
        <v>0</v>
      </c>
      <c r="AM810" s="352">
        <f>IF(Table_NFI[[#This Row],[Winter Clothes Adult]]+Table_NFI[[#This Row],[Winter Clothes Children]]+Table_NFI[[#This Row],[Winter Items Other]]+Table_NFI[[#This Row],[Winter Blanket]]&gt;0,1,0)</f>
        <v>0</v>
      </c>
      <c r="AN810" s="392">
        <f>IF(NFI_Expiration=1,IF($A810&lt;VLOOKUP(V$5,NFI,5,0),1,0)*Table_NFI[[#This Row],[Jerry Can]],Table_NFI[Jerry Can])</f>
        <v>0</v>
      </c>
      <c r="AO810" s="540" t="str">
        <f>IFERROR(VLOOKUP(Table_NFI[[#This Row],[Camp Name]],CL,2,0),"")</f>
        <v>MMR001CMP016</v>
      </c>
      <c r="AP810" s="535">
        <f ca="1">IF(Table_NFI[[#This Row],[Pcode]]="","",IF(OFFSET(CampList[Opening Date],MATCH(Table_NFI[[#This Row],[Pcode]],CampList[CP_Pcode],0)-1,0,1,1)&gt;=NFI_Monitor_Date,1,0))</f>
        <v>0</v>
      </c>
      <c r="AQ810" s="540" t="str">
        <f>IFERROR(VLOOKUP(Table_NFI[[#This Row],[Camp Name]],CL,3,0),"")</f>
        <v>Open</v>
      </c>
      <c r="AR810" s="352" t="str">
        <f ca="1">IF(Table_NFI[[#This Row],[Pcode]]="","",OFFSET(CampList[Priority],MATCH(Table_NFI[[#This Row],[Pcode]],CampList[CP_Pcode],0)-1,0,1,1))</f>
        <v>P4</v>
      </c>
      <c r="AS810" s="351">
        <f>IFERROR(Table_NFI[[#This Row],[Kitchen Set]]/VLOOKUP(Table_NFI[[#This Row],[Camp Name]],CL,4,0),"")</f>
        <v>0.05</v>
      </c>
      <c r="AT810" s="533" t="s">
        <v>1094</v>
      </c>
      <c r="AU810" s="536"/>
    </row>
    <row r="811" spans="1:47" ht="14.45" hidden="1" customHeight="1" x14ac:dyDescent="0.25">
      <c r="A811" s="355">
        <f t="shared" si="12"/>
        <v>42.2</v>
      </c>
      <c r="B811" s="532">
        <v>41305</v>
      </c>
      <c r="C811" s="533" t="s">
        <v>570</v>
      </c>
      <c r="D811" s="534" t="s">
        <v>570</v>
      </c>
      <c r="E811" s="533" t="s">
        <v>380</v>
      </c>
      <c r="F811" s="348" t="s">
        <v>310</v>
      </c>
      <c r="G811" s="348" t="s">
        <v>342</v>
      </c>
      <c r="H811" s="349"/>
      <c r="I811" s="349"/>
      <c r="J811" s="349"/>
      <c r="K811" s="349"/>
      <c r="L811" s="350"/>
      <c r="M811" s="350">
        <v>242</v>
      </c>
      <c r="N811" s="350"/>
      <c r="O811" s="350"/>
      <c r="P811" s="352">
        <v>0</v>
      </c>
      <c r="Q811" s="352">
        <v>0</v>
      </c>
      <c r="R811" s="352"/>
      <c r="S811" s="352"/>
      <c r="T811" s="352"/>
      <c r="U811" s="352"/>
      <c r="V811" s="497"/>
      <c r="W811" s="352"/>
      <c r="X811" s="352"/>
      <c r="Y811" s="352">
        <f>IF(NFI_Expiration=1,IF($A811&lt;VLOOKUP(H$5,NFI,5,0),1,0)*Table_NFI[[#This Row],[Hygiene Kit]],Table_NFI[Hygiene Kit])</f>
        <v>0</v>
      </c>
      <c r="Z811" s="352">
        <f>IF(NFI_Expiration=1,IF($A811&lt;VLOOKUP(I$5,NFI,5,0),1,0)*Table_NFI[[#This Row],[NFI Core Kit]],Table_NFI[NFI Core Kit])</f>
        <v>0</v>
      </c>
      <c r="AA811" s="352">
        <f>IF(NFI_Expiration=1,IF($A811&lt;VLOOKUP(J$5,NFI,5,0),1,0)*Table_NFI[[#This Row],[Sanitary Kit]],Table_NFI[Sanitary Kit])</f>
        <v>0</v>
      </c>
      <c r="AB811" s="352">
        <f>IF(NFI_Expiration=1,IF($A811&lt;VLOOKUP(K$5,NFI,5,0),1,0)*Table_NFI[[#This Row],[Mosquito net]],Table_NFI[Mosquito net])</f>
        <v>0</v>
      </c>
      <c r="AC811" s="352">
        <f>IF(NFI_Expiration=1,IF($A811&lt;VLOOKUP(L$5,NFI,5,0),1,0)*Table_NFI[[#This Row],[Tarpaulin]],Table_NFI[[#This Row],[Tarpaulin]])</f>
        <v>0</v>
      </c>
      <c r="AD811" s="352">
        <f>IF(NFI_Expiration=1,IF($A811&lt;VLOOKUP(M$5,NFI,5,0),1,0)*Table_NFI[[#This Row],[Blanket]],Table_NFI[[#This Row],[Blanket]])</f>
        <v>0</v>
      </c>
      <c r="AE811" s="352">
        <f>IF(NFI_Expiration=1,IF($A811&lt;VLOOKUP(N$5,NFI,5,0),1,0)*Table_NFI[[#This Row],[Kitchen Set]],Table_NFI[Kitchen Set])</f>
        <v>0</v>
      </c>
      <c r="AF811" s="352">
        <f>IF(NFI_Expiration=1,IF($A811&lt;VLOOKUP(O$5,NFI,5,0),1,0)*Table_NFI[[#This Row],[Clothes Kit]],Table_NFI[Clothes Kit])</f>
        <v>0</v>
      </c>
      <c r="AG811" s="352">
        <f>IF(NFI_Expiration=1,IF($A811&lt;VLOOKUP(P$5,NFI,5,0),1,0)*Table_NFI[[#This Row],[Plastic Bucket]],Table_NFI[Plastic Bucket])</f>
        <v>0</v>
      </c>
      <c r="AH811" s="352">
        <f>IF(NFI_Expiration=1,IF($A811&lt;VLOOKUP(Q$5,NFI,5,0),1,0)*Table_NFI[[#This Row],[Plastic Mat]],Table_NFI[Plastic Mat])*IF(Table_NFI[[#This Row],[Distribution Date]]&gt;"2014-04-01",1,2.5)</f>
        <v>0</v>
      </c>
      <c r="AI811" s="352">
        <f>IF(NFI_Expiration=1,IF($A811&lt;VLOOKUP(R$5,NFI,5,0),1,0)*Table_NFI[[#This Row],[Winter Clothes Adult]],Table_NFI[Winter Clothes Adult])</f>
        <v>0</v>
      </c>
      <c r="AJ811" s="352">
        <f>IF(NFI_Expiration=1,IF($A811&lt;VLOOKUP(S$5,NFI,5,0),1,0)*Table_NFI[[#This Row],[Winter Clothes Children]],Table_NFI[Winter Clothes Children])</f>
        <v>0</v>
      </c>
      <c r="AK811" s="352">
        <f>IF(NFI_Expiration=1,IF($A811&lt;VLOOKUP(T$5,NFI,5,0),1,0)*Table_NFI[[#This Row],[Winter Items Other]],Table_NFI[Winter Items Other])</f>
        <v>0</v>
      </c>
      <c r="AL811" s="352">
        <f>IF(NFI_Expiration=1,IF($A811&lt;VLOOKUP(M$5,NFI,5,0),1,0)*Table_NFI[[#This Row],[Winter Blanket]],Table_NFI[[#This Row],[Winter Blanket]])</f>
        <v>0</v>
      </c>
      <c r="AM811" s="352">
        <f>IF(Table_NFI[[#This Row],[Winter Clothes Adult]]+Table_NFI[[#This Row],[Winter Clothes Children]]+Table_NFI[[#This Row],[Winter Items Other]]+Table_NFI[[#This Row],[Winter Blanket]]&gt;0,1,0)</f>
        <v>0</v>
      </c>
      <c r="AN811" s="392">
        <f>IF(NFI_Expiration=1,IF($A811&lt;VLOOKUP(V$5,NFI,5,0),1,0)*Table_NFI[[#This Row],[Jerry Can]],Table_NFI[Jerry Can])</f>
        <v>0</v>
      </c>
      <c r="AO811" s="540" t="str">
        <f>IFERROR(VLOOKUP(Table_NFI[[#This Row],[Camp Name]],CL,2,0),"")</f>
        <v>MMR001CMP025</v>
      </c>
      <c r="AP811" s="535">
        <f ca="1">IF(Table_NFI[[#This Row],[Pcode]]="","",IF(OFFSET(CampList[Opening Date],MATCH(Table_NFI[[#This Row],[Pcode]],CampList[CP_Pcode],0)-1,0,1,1)&gt;=NFI_Monitor_Date,1,0))</f>
        <v>0</v>
      </c>
      <c r="AQ811" s="540" t="str">
        <f>IFERROR(VLOOKUP(Table_NFI[[#This Row],[Camp Name]],CL,3,0),"")</f>
        <v>Open</v>
      </c>
      <c r="AR811" s="352" t="str">
        <f ca="1">IF(Table_NFI[[#This Row],[Pcode]]="","",OFFSET(CampList[Priority],MATCH(Table_NFI[[#This Row],[Pcode]],CampList[CP_Pcode],0)-1,0,1,1))</f>
        <v>P4</v>
      </c>
      <c r="AS811" s="351">
        <f>IFERROR(Table_NFI[[#This Row],[Kitchen Set]]/VLOOKUP(Table_NFI[[#This Row],[Camp Name]],CL,4,0),"")</f>
        <v>0</v>
      </c>
      <c r="AT811" s="533" t="s">
        <v>1094</v>
      </c>
      <c r="AU811" s="536"/>
    </row>
    <row r="812" spans="1:47" ht="14.45" customHeight="1" x14ac:dyDescent="0.25">
      <c r="A812" s="355">
        <f t="shared" si="12"/>
        <v>48.833333333333336</v>
      </c>
      <c r="B812" s="532">
        <v>41106</v>
      </c>
      <c r="C812" s="533" t="s">
        <v>453</v>
      </c>
      <c r="D812" s="533" t="s">
        <v>453</v>
      </c>
      <c r="E812" s="533" t="s">
        <v>380</v>
      </c>
      <c r="F812" s="533" t="s">
        <v>237</v>
      </c>
      <c r="G812" s="348" t="s">
        <v>269</v>
      </c>
      <c r="H812" s="349"/>
      <c r="I812" s="349"/>
      <c r="J812" s="349"/>
      <c r="K812" s="349">
        <v>25</v>
      </c>
      <c r="L812" s="350">
        <v>25</v>
      </c>
      <c r="M812" s="350">
        <v>25</v>
      </c>
      <c r="N812" s="350">
        <v>25</v>
      </c>
      <c r="O812" s="350">
        <v>25</v>
      </c>
      <c r="P812" s="352">
        <v>25</v>
      </c>
      <c r="Q812" s="352">
        <v>25</v>
      </c>
      <c r="R812" s="352"/>
      <c r="S812" s="352"/>
      <c r="T812" s="352"/>
      <c r="U812" s="352"/>
      <c r="V812" s="497"/>
      <c r="W812" s="352"/>
      <c r="X812" s="352"/>
      <c r="Y812" s="352">
        <f>IF(NFI_Expiration=1,IF($A812&lt;VLOOKUP(H$5,NFI,5,0),1,0)*Table_NFI[[#This Row],[Hygiene Kit]],Table_NFI[Hygiene Kit])</f>
        <v>0</v>
      </c>
      <c r="Z812" s="352">
        <f>IF(NFI_Expiration=1,IF($A812&lt;VLOOKUP(I$5,NFI,5,0),1,0)*Table_NFI[[#This Row],[NFI Core Kit]],Table_NFI[NFI Core Kit])</f>
        <v>0</v>
      </c>
      <c r="AA812" s="352">
        <f>IF(NFI_Expiration=1,IF($A812&lt;VLOOKUP(J$5,NFI,5,0),1,0)*Table_NFI[[#This Row],[Sanitary Kit]],Table_NFI[Sanitary Kit])</f>
        <v>0</v>
      </c>
      <c r="AB812" s="352">
        <f>IF(NFI_Expiration=1,IF($A812&lt;VLOOKUP(K$5,NFI,5,0),1,0)*Table_NFI[[#This Row],[Mosquito net]],Table_NFI[Mosquito net])</f>
        <v>0</v>
      </c>
      <c r="AC812" s="352">
        <f>IF(NFI_Expiration=1,IF($A812&lt;VLOOKUP(L$5,NFI,5,0),1,0)*Table_NFI[[#This Row],[Tarpaulin]],Table_NFI[[#This Row],[Tarpaulin]])</f>
        <v>0</v>
      </c>
      <c r="AD812" s="352">
        <f>IF(NFI_Expiration=1,IF($A812&lt;VLOOKUP(M$5,NFI,5,0),1,0)*Table_NFI[[#This Row],[Blanket]],Table_NFI[[#This Row],[Blanket]])</f>
        <v>0</v>
      </c>
      <c r="AE812" s="352">
        <f>IF(NFI_Expiration=1,IF($A812&lt;VLOOKUP(N$5,NFI,5,0),1,0)*Table_NFI[[#This Row],[Kitchen Set]],Table_NFI[Kitchen Set])</f>
        <v>0</v>
      </c>
      <c r="AF812" s="352">
        <f>IF(NFI_Expiration=1,IF($A812&lt;VLOOKUP(O$5,NFI,5,0),1,0)*Table_NFI[[#This Row],[Clothes Kit]],Table_NFI[Clothes Kit])</f>
        <v>0</v>
      </c>
      <c r="AG812" s="352">
        <f>IF(NFI_Expiration=1,IF($A812&lt;VLOOKUP(P$5,NFI,5,0),1,0)*Table_NFI[[#This Row],[Plastic Bucket]],Table_NFI[Plastic Bucket])</f>
        <v>0</v>
      </c>
      <c r="AH812" s="352">
        <f>IF(NFI_Expiration=1,IF($A812&lt;VLOOKUP(Q$5,NFI,5,0),1,0)*Table_NFI[[#This Row],[Plastic Mat]],Table_NFI[Plastic Mat])*IF(Table_NFI[[#This Row],[Distribution Date]]&gt;"2014-04-01",1,2.5)</f>
        <v>0</v>
      </c>
      <c r="AI812" s="352">
        <f>IF(NFI_Expiration=1,IF($A812&lt;VLOOKUP(R$5,NFI,5,0),1,0)*Table_NFI[[#This Row],[Winter Clothes Adult]],Table_NFI[Winter Clothes Adult])</f>
        <v>0</v>
      </c>
      <c r="AJ812" s="352">
        <f>IF(NFI_Expiration=1,IF($A812&lt;VLOOKUP(S$5,NFI,5,0),1,0)*Table_NFI[[#This Row],[Winter Clothes Children]],Table_NFI[Winter Clothes Children])</f>
        <v>0</v>
      </c>
      <c r="AK812" s="352">
        <f>IF(NFI_Expiration=1,IF($A812&lt;VLOOKUP(T$5,NFI,5,0),1,0)*Table_NFI[[#This Row],[Winter Items Other]],Table_NFI[Winter Items Other])</f>
        <v>0</v>
      </c>
      <c r="AL812" s="352">
        <f>IF(NFI_Expiration=1,IF($A812&lt;VLOOKUP(M$5,NFI,5,0),1,0)*Table_NFI[[#This Row],[Winter Blanket]],Table_NFI[[#This Row],[Winter Blanket]])</f>
        <v>0</v>
      </c>
      <c r="AM812" s="352">
        <f>IF(Table_NFI[[#This Row],[Winter Clothes Adult]]+Table_NFI[[#This Row],[Winter Clothes Children]]+Table_NFI[[#This Row],[Winter Items Other]]+Table_NFI[[#This Row],[Winter Blanket]]&gt;0,1,0)</f>
        <v>0</v>
      </c>
      <c r="AN812" s="392">
        <f>IF(NFI_Expiration=1,IF($A812&lt;VLOOKUP(V$5,NFI,5,0),1,0)*Table_NFI[[#This Row],[Jerry Can]],Table_NFI[Jerry Can])</f>
        <v>0</v>
      </c>
      <c r="AO812" s="540" t="str">
        <f>IFERROR(VLOOKUP(Table_NFI[[#This Row],[Camp Name]],CL,2,0),"")</f>
        <v>MMR001CMP002</v>
      </c>
      <c r="AP812" s="535">
        <f ca="1">IF(Table_NFI[[#This Row],[Pcode]]="","",IF(OFFSET(CampList[Opening Date],MATCH(Table_NFI[[#This Row],[Pcode]],CampList[CP_Pcode],0)-1,0,1,1)&gt;=NFI_Monitor_Date,1,0))</f>
        <v>0</v>
      </c>
      <c r="AQ812" s="540" t="str">
        <f>IFERROR(VLOOKUP(Table_NFI[[#This Row],[Camp Name]],CL,3,0),"")</f>
        <v>Open</v>
      </c>
      <c r="AR812" s="352" t="str">
        <f ca="1">IF(Table_NFI[[#This Row],[Pcode]]="","",OFFSET(CampList[Priority],MATCH(Table_NFI[[#This Row],[Pcode]],CampList[CP_Pcode],0)-1,0,1,1))</f>
        <v>P4</v>
      </c>
      <c r="AS812" s="351">
        <f>IFERROR(Table_NFI[[#This Row],[Kitchen Set]]/VLOOKUP(Table_NFI[[#This Row],[Camp Name]],CL,4,0),"")</f>
        <v>0.41666666666666669</v>
      </c>
      <c r="AT812" s="533" t="s">
        <v>1094</v>
      </c>
      <c r="AU812" s="536"/>
    </row>
    <row r="813" spans="1:47" ht="14.45" customHeight="1" x14ac:dyDescent="0.25">
      <c r="A813" s="355">
        <f t="shared" si="12"/>
        <v>48.93333333333333</v>
      </c>
      <c r="B813" s="532">
        <v>41103</v>
      </c>
      <c r="C813" s="533" t="s">
        <v>453</v>
      </c>
      <c r="D813" s="533" t="s">
        <v>453</v>
      </c>
      <c r="E813" s="533" t="s">
        <v>380</v>
      </c>
      <c r="F813" s="533" t="s">
        <v>310</v>
      </c>
      <c r="G813" s="348" t="s">
        <v>313</v>
      </c>
      <c r="H813" s="349"/>
      <c r="I813" s="349"/>
      <c r="J813" s="349"/>
      <c r="K813" s="349">
        <v>9</v>
      </c>
      <c r="L813" s="350">
        <v>9</v>
      </c>
      <c r="M813" s="350">
        <v>9</v>
      </c>
      <c r="N813" s="350">
        <v>9</v>
      </c>
      <c r="O813" s="350">
        <v>9</v>
      </c>
      <c r="P813" s="352">
        <v>9</v>
      </c>
      <c r="Q813" s="352">
        <v>9</v>
      </c>
      <c r="R813" s="352"/>
      <c r="S813" s="352"/>
      <c r="T813" s="352"/>
      <c r="U813" s="352"/>
      <c r="V813" s="497"/>
      <c r="W813" s="352"/>
      <c r="X813" s="352"/>
      <c r="Y813" s="352">
        <f>IF(NFI_Expiration=1,IF($A813&lt;VLOOKUP(H$5,NFI,5,0),1,0)*Table_NFI[[#This Row],[Hygiene Kit]],Table_NFI[Hygiene Kit])</f>
        <v>0</v>
      </c>
      <c r="Z813" s="352">
        <f>IF(NFI_Expiration=1,IF($A813&lt;VLOOKUP(I$5,NFI,5,0),1,0)*Table_NFI[[#This Row],[NFI Core Kit]],Table_NFI[NFI Core Kit])</f>
        <v>0</v>
      </c>
      <c r="AA813" s="352">
        <f>IF(NFI_Expiration=1,IF($A813&lt;VLOOKUP(J$5,NFI,5,0),1,0)*Table_NFI[[#This Row],[Sanitary Kit]],Table_NFI[Sanitary Kit])</f>
        <v>0</v>
      </c>
      <c r="AB813" s="352">
        <f>IF(NFI_Expiration=1,IF($A813&lt;VLOOKUP(K$5,NFI,5,0),1,0)*Table_NFI[[#This Row],[Mosquito net]],Table_NFI[Mosquito net])</f>
        <v>0</v>
      </c>
      <c r="AC813" s="352">
        <f>IF(NFI_Expiration=1,IF($A813&lt;VLOOKUP(L$5,NFI,5,0),1,0)*Table_NFI[[#This Row],[Tarpaulin]],Table_NFI[[#This Row],[Tarpaulin]])</f>
        <v>0</v>
      </c>
      <c r="AD813" s="352">
        <f>IF(NFI_Expiration=1,IF($A813&lt;VLOOKUP(M$5,NFI,5,0),1,0)*Table_NFI[[#This Row],[Blanket]],Table_NFI[[#This Row],[Blanket]])</f>
        <v>0</v>
      </c>
      <c r="AE813" s="352">
        <f>IF(NFI_Expiration=1,IF($A813&lt;VLOOKUP(N$5,NFI,5,0),1,0)*Table_NFI[[#This Row],[Kitchen Set]],Table_NFI[Kitchen Set])</f>
        <v>0</v>
      </c>
      <c r="AF813" s="352">
        <f>IF(NFI_Expiration=1,IF($A813&lt;VLOOKUP(O$5,NFI,5,0),1,0)*Table_NFI[[#This Row],[Clothes Kit]],Table_NFI[Clothes Kit])</f>
        <v>0</v>
      </c>
      <c r="AG813" s="352">
        <f>IF(NFI_Expiration=1,IF($A813&lt;VLOOKUP(P$5,NFI,5,0),1,0)*Table_NFI[[#This Row],[Plastic Bucket]],Table_NFI[Plastic Bucket])</f>
        <v>0</v>
      </c>
      <c r="AH813" s="352">
        <f>IF(NFI_Expiration=1,IF($A813&lt;VLOOKUP(Q$5,NFI,5,0),1,0)*Table_NFI[[#This Row],[Plastic Mat]],Table_NFI[Plastic Mat])*IF(Table_NFI[[#This Row],[Distribution Date]]&gt;"2014-04-01",1,2.5)</f>
        <v>0</v>
      </c>
      <c r="AI813" s="352">
        <f>IF(NFI_Expiration=1,IF($A813&lt;VLOOKUP(R$5,NFI,5,0),1,0)*Table_NFI[[#This Row],[Winter Clothes Adult]],Table_NFI[Winter Clothes Adult])</f>
        <v>0</v>
      </c>
      <c r="AJ813" s="352">
        <f>IF(NFI_Expiration=1,IF($A813&lt;VLOOKUP(S$5,NFI,5,0),1,0)*Table_NFI[[#This Row],[Winter Clothes Children]],Table_NFI[Winter Clothes Children])</f>
        <v>0</v>
      </c>
      <c r="AK813" s="352">
        <f>IF(NFI_Expiration=1,IF($A813&lt;VLOOKUP(T$5,NFI,5,0),1,0)*Table_NFI[[#This Row],[Winter Items Other]],Table_NFI[Winter Items Other])</f>
        <v>0</v>
      </c>
      <c r="AL813" s="352">
        <f>IF(NFI_Expiration=1,IF($A813&lt;VLOOKUP(M$5,NFI,5,0),1,0)*Table_NFI[[#This Row],[Winter Blanket]],Table_NFI[[#This Row],[Winter Blanket]])</f>
        <v>0</v>
      </c>
      <c r="AM813" s="352">
        <f>IF(Table_NFI[[#This Row],[Winter Clothes Adult]]+Table_NFI[[#This Row],[Winter Clothes Children]]+Table_NFI[[#This Row],[Winter Items Other]]+Table_NFI[[#This Row],[Winter Blanket]]&gt;0,1,0)</f>
        <v>0</v>
      </c>
      <c r="AN813" s="392">
        <f>IF(NFI_Expiration=1,IF($A813&lt;VLOOKUP(V$5,NFI,5,0),1,0)*Table_NFI[[#This Row],[Jerry Can]],Table_NFI[Jerry Can])</f>
        <v>0</v>
      </c>
      <c r="AO813" s="540" t="str">
        <f>IFERROR(VLOOKUP(Table_NFI[[#This Row],[Camp Name]],CL,2,0),"")</f>
        <v>MMR001CMP028</v>
      </c>
      <c r="AP813" s="535">
        <f ca="1">IF(Table_NFI[[#This Row],[Pcode]]="","",IF(OFFSET(CampList[Opening Date],MATCH(Table_NFI[[#This Row],[Pcode]],CampList[CP_Pcode],0)-1,0,1,1)&gt;=NFI_Monitor_Date,1,0))</f>
        <v>0</v>
      </c>
      <c r="AQ813" s="540" t="str">
        <f>IFERROR(VLOOKUP(Table_NFI[[#This Row],[Camp Name]],CL,3,0),"")</f>
        <v>Open</v>
      </c>
      <c r="AR813" s="352" t="str">
        <f ca="1">IF(Table_NFI[[#This Row],[Pcode]]="","",OFFSET(CampList[Priority],MATCH(Table_NFI[[#This Row],[Pcode]],CampList[CP_Pcode],0)-1,0,1,1))</f>
        <v>P4</v>
      </c>
      <c r="AS813" s="351">
        <f>IFERROR(Table_NFI[[#This Row],[Kitchen Set]]/VLOOKUP(Table_NFI[[#This Row],[Camp Name]],CL,4,0),"")</f>
        <v>9.0909090909090912E-2</v>
      </c>
      <c r="AT813" s="533" t="s">
        <v>1094</v>
      </c>
      <c r="AU813" s="536"/>
    </row>
    <row r="814" spans="1:47" ht="14.45" hidden="1" customHeight="1" x14ac:dyDescent="0.25">
      <c r="A814" s="355">
        <f t="shared" si="12"/>
        <v>26.433333333333334</v>
      </c>
      <c r="B814" s="532">
        <v>41778</v>
      </c>
      <c r="C814" s="533" t="s">
        <v>1106</v>
      </c>
      <c r="D814" s="533" t="s">
        <v>902</v>
      </c>
      <c r="E814" s="533" t="s">
        <v>380</v>
      </c>
      <c r="F814" s="533" t="s">
        <v>310</v>
      </c>
      <c r="G814" s="533" t="s">
        <v>338</v>
      </c>
      <c r="H814" s="349"/>
      <c r="I814" s="349"/>
      <c r="J814" s="349"/>
      <c r="K814" s="349"/>
      <c r="L814" s="350"/>
      <c r="M814" s="350"/>
      <c r="N814" s="350"/>
      <c r="O814" s="350"/>
      <c r="P814" s="352"/>
      <c r="Q814" s="352"/>
      <c r="R814" s="352"/>
      <c r="S814" s="352"/>
      <c r="T814" s="352"/>
      <c r="U814" s="352">
        <v>60</v>
      </c>
      <c r="V814" s="497"/>
      <c r="W814" s="352"/>
      <c r="X814" s="352"/>
      <c r="Y814" s="352">
        <f>IF(NFI_Expiration=1,IF($A814&lt;VLOOKUP(H$5,NFI,5,0),1,0)*Table_NFI[[#This Row],[Hygiene Kit]],Table_NFI[Hygiene Kit])</f>
        <v>0</v>
      </c>
      <c r="Z814" s="352">
        <f>IF(NFI_Expiration=1,IF($A814&lt;VLOOKUP(I$5,NFI,5,0),1,0)*Table_NFI[[#This Row],[NFI Core Kit]],Table_NFI[NFI Core Kit])</f>
        <v>0</v>
      </c>
      <c r="AA814" s="352">
        <f>IF(NFI_Expiration=1,IF($A814&lt;VLOOKUP(J$5,NFI,5,0),1,0)*Table_NFI[[#This Row],[Sanitary Kit]],Table_NFI[Sanitary Kit])</f>
        <v>0</v>
      </c>
      <c r="AB814" s="352">
        <f>IF(NFI_Expiration=1,IF($A814&lt;VLOOKUP(K$5,NFI,5,0),1,0)*Table_NFI[[#This Row],[Mosquito net]],Table_NFI[Mosquito net])</f>
        <v>0</v>
      </c>
      <c r="AC814" s="352">
        <f>IF(NFI_Expiration=1,IF($A814&lt;VLOOKUP(L$5,NFI,5,0),1,0)*Table_NFI[[#This Row],[Tarpaulin]],Table_NFI[[#This Row],[Tarpaulin]])</f>
        <v>0</v>
      </c>
      <c r="AD814" s="352">
        <f>IF(NFI_Expiration=1,IF($A814&lt;VLOOKUP(M$5,NFI,5,0),1,0)*Table_NFI[[#This Row],[Blanket]],Table_NFI[[#This Row],[Blanket]])</f>
        <v>0</v>
      </c>
      <c r="AE814" s="352">
        <f>IF(NFI_Expiration=1,IF($A814&lt;VLOOKUP(N$5,NFI,5,0),1,0)*Table_NFI[[#This Row],[Kitchen Set]],Table_NFI[Kitchen Set])</f>
        <v>0</v>
      </c>
      <c r="AF814" s="352">
        <f>IF(NFI_Expiration=1,IF($A814&lt;VLOOKUP(O$5,NFI,5,0),1,0)*Table_NFI[[#This Row],[Clothes Kit]],Table_NFI[Clothes Kit])</f>
        <v>0</v>
      </c>
      <c r="AG814" s="352">
        <f>IF(NFI_Expiration=1,IF($A814&lt;VLOOKUP(P$5,NFI,5,0),1,0)*Table_NFI[[#This Row],[Plastic Bucket]],Table_NFI[Plastic Bucket])</f>
        <v>0</v>
      </c>
      <c r="AH814" s="352">
        <f>IF(NFI_Expiration=1,IF($A814&lt;VLOOKUP(Q$5,NFI,5,0),1,0)*Table_NFI[[#This Row],[Plastic Mat]],Table_NFI[Plastic Mat])*IF(Table_NFI[[#This Row],[Distribution Date]]&gt;"2014-04-01",1,2.5)</f>
        <v>0</v>
      </c>
      <c r="AI814" s="352">
        <f>IF(NFI_Expiration=1,IF($A814&lt;VLOOKUP(R$5,NFI,5,0),1,0)*Table_NFI[[#This Row],[Winter Clothes Adult]],Table_NFI[Winter Clothes Adult])</f>
        <v>0</v>
      </c>
      <c r="AJ814" s="352">
        <f>IF(NFI_Expiration=1,IF($A814&lt;VLOOKUP(S$5,NFI,5,0),1,0)*Table_NFI[[#This Row],[Winter Clothes Children]],Table_NFI[Winter Clothes Children])</f>
        <v>0</v>
      </c>
      <c r="AK814" s="352">
        <f>IF(NFI_Expiration=1,IF($A814&lt;VLOOKUP(T$5,NFI,5,0),1,0)*Table_NFI[[#This Row],[Winter Items Other]],Table_NFI[Winter Items Other])</f>
        <v>0</v>
      </c>
      <c r="AL814" s="352">
        <f>IF(NFI_Expiration=1,IF($A814&lt;VLOOKUP(M$5,NFI,5,0),1,0)*Table_NFI[[#This Row],[Winter Blanket]],Table_NFI[[#This Row],[Winter Blanket]])</f>
        <v>0</v>
      </c>
      <c r="AM814" s="352">
        <f>IF(Table_NFI[[#This Row],[Winter Clothes Adult]]+Table_NFI[[#This Row],[Winter Clothes Children]]+Table_NFI[[#This Row],[Winter Items Other]]+Table_NFI[[#This Row],[Winter Blanket]]&gt;0,1,0)</f>
        <v>1</v>
      </c>
      <c r="AN814" s="392">
        <f>IF(NFI_Expiration=1,IF($A814&lt;VLOOKUP(V$5,NFI,5,0),1,0)*Table_NFI[[#This Row],[Jerry Can]],Table_NFI[Jerry Can])</f>
        <v>0</v>
      </c>
      <c r="AO814" s="540" t="str">
        <f>IFERROR(VLOOKUP(Table_NFI[[#This Row],[Camp Name]],CL,2,0),"")</f>
        <v>MMR001CMP030</v>
      </c>
      <c r="AP814" s="535">
        <f ca="1">IF(Table_NFI[[#This Row],[Pcode]]="","",IF(OFFSET(CampList[Opening Date],MATCH(Table_NFI[[#This Row],[Pcode]],CampList[CP_Pcode],0)-1,0,1,1)&gt;=NFI_Monitor_Date,1,0))</f>
        <v>0</v>
      </c>
      <c r="AQ814" s="540" t="str">
        <f>IFERROR(VLOOKUP(Table_NFI[[#This Row],[Camp Name]],CL,3,0),"")</f>
        <v>Open</v>
      </c>
      <c r="AR814" s="352" t="str">
        <f ca="1">IF(Table_NFI[[#This Row],[Pcode]]="","",OFFSET(CampList[Priority],MATCH(Table_NFI[[#This Row],[Pcode]],CampList[CP_Pcode],0)-1,0,1,1))</f>
        <v>P4</v>
      </c>
      <c r="AS814" s="351">
        <f>IFERROR(Table_NFI[[#This Row],[Kitchen Set]]/VLOOKUP(Table_NFI[[#This Row],[Camp Name]],CL,4,0),"")</f>
        <v>0</v>
      </c>
      <c r="AT814" s="533"/>
      <c r="AU814" s="536"/>
    </row>
    <row r="815" spans="1:47" hidden="1" x14ac:dyDescent="0.25">
      <c r="A815" s="355">
        <f t="shared" si="12"/>
        <v>31.5</v>
      </c>
      <c r="B815" s="532">
        <v>41626</v>
      </c>
      <c r="C815" s="533" t="s">
        <v>907</v>
      </c>
      <c r="D815" s="533" t="s">
        <v>461</v>
      </c>
      <c r="E815" s="533" t="s">
        <v>380</v>
      </c>
      <c r="F815" s="533" t="s">
        <v>310</v>
      </c>
      <c r="G815" s="533" t="s">
        <v>338</v>
      </c>
      <c r="H815" s="349"/>
      <c r="I815" s="349"/>
      <c r="J815" s="349"/>
      <c r="K815" s="349"/>
      <c r="L815" s="350"/>
      <c r="M815" s="350"/>
      <c r="N815" s="350"/>
      <c r="O815" s="350"/>
      <c r="P815" s="352"/>
      <c r="Q815" s="352"/>
      <c r="R815" s="352">
        <v>30</v>
      </c>
      <c r="S815" s="352">
        <v>57</v>
      </c>
      <c r="T815" s="352">
        <v>174</v>
      </c>
      <c r="U815" s="352">
        <v>87</v>
      </c>
      <c r="V815" s="497"/>
      <c r="W815" s="352"/>
      <c r="X815" s="352"/>
      <c r="Y815" s="352">
        <f>IF(NFI_Expiration=1,IF($A815&lt;VLOOKUP(H$5,NFI,5,0),1,0)*Table_NFI[[#This Row],[Hygiene Kit]],Table_NFI[Hygiene Kit])</f>
        <v>0</v>
      </c>
      <c r="Z815" s="352">
        <f>IF(NFI_Expiration=1,IF($A815&lt;VLOOKUP(I$5,NFI,5,0),1,0)*Table_NFI[[#This Row],[NFI Core Kit]],Table_NFI[NFI Core Kit])</f>
        <v>0</v>
      </c>
      <c r="AA815" s="352">
        <f>IF(NFI_Expiration=1,IF($A815&lt;VLOOKUP(J$5,NFI,5,0),1,0)*Table_NFI[[#This Row],[Sanitary Kit]],Table_NFI[Sanitary Kit])</f>
        <v>0</v>
      </c>
      <c r="AB815" s="352">
        <f>IF(NFI_Expiration=1,IF($A815&lt;VLOOKUP(K$5,NFI,5,0),1,0)*Table_NFI[[#This Row],[Mosquito net]],Table_NFI[Mosquito net])</f>
        <v>0</v>
      </c>
      <c r="AC815" s="352">
        <f>IF(NFI_Expiration=1,IF($A815&lt;VLOOKUP(L$5,NFI,5,0),1,0)*Table_NFI[[#This Row],[Tarpaulin]],Table_NFI[[#This Row],[Tarpaulin]])</f>
        <v>0</v>
      </c>
      <c r="AD815" s="352">
        <f>IF(NFI_Expiration=1,IF($A815&lt;VLOOKUP(M$5,NFI,5,0),1,0)*Table_NFI[[#This Row],[Blanket]],Table_NFI[[#This Row],[Blanket]])</f>
        <v>0</v>
      </c>
      <c r="AE815" s="352">
        <f>IF(NFI_Expiration=1,IF($A815&lt;VLOOKUP(N$5,NFI,5,0),1,0)*Table_NFI[[#This Row],[Kitchen Set]],Table_NFI[Kitchen Set])</f>
        <v>0</v>
      </c>
      <c r="AF815" s="352">
        <f>IF(NFI_Expiration=1,IF($A815&lt;VLOOKUP(O$5,NFI,5,0),1,0)*Table_NFI[[#This Row],[Clothes Kit]],Table_NFI[Clothes Kit])</f>
        <v>0</v>
      </c>
      <c r="AG815" s="352">
        <f>IF(NFI_Expiration=1,IF($A815&lt;VLOOKUP(P$5,NFI,5,0),1,0)*Table_NFI[[#This Row],[Plastic Bucket]],Table_NFI[Plastic Bucket])</f>
        <v>0</v>
      </c>
      <c r="AH815" s="352">
        <f>IF(NFI_Expiration=1,IF($A815&lt;VLOOKUP(Q$5,NFI,5,0),1,0)*Table_NFI[[#This Row],[Plastic Mat]],Table_NFI[Plastic Mat])*IF(Table_NFI[[#This Row],[Distribution Date]]&gt;"2014-04-01",1,2.5)</f>
        <v>0</v>
      </c>
      <c r="AI815" s="352">
        <f>IF(NFI_Expiration=1,IF($A815&lt;VLOOKUP(R$5,NFI,5,0),1,0)*Table_NFI[[#This Row],[Winter Clothes Adult]],Table_NFI[Winter Clothes Adult])</f>
        <v>0</v>
      </c>
      <c r="AJ815" s="352">
        <f>IF(NFI_Expiration=1,IF($A815&lt;VLOOKUP(S$5,NFI,5,0),1,0)*Table_NFI[[#This Row],[Winter Clothes Children]],Table_NFI[Winter Clothes Children])</f>
        <v>0</v>
      </c>
      <c r="AK815" s="352">
        <f>IF(NFI_Expiration=1,IF($A815&lt;VLOOKUP(T$5,NFI,5,0),1,0)*Table_NFI[[#This Row],[Winter Items Other]],Table_NFI[Winter Items Other])</f>
        <v>0</v>
      </c>
      <c r="AL815" s="352">
        <f>IF(NFI_Expiration=1,IF($A815&lt;VLOOKUP(M$5,NFI,5,0),1,0)*Table_NFI[[#This Row],[Winter Blanket]],Table_NFI[[#This Row],[Winter Blanket]])</f>
        <v>0</v>
      </c>
      <c r="AM815" s="352">
        <f>IF(Table_NFI[[#This Row],[Winter Clothes Adult]]+Table_NFI[[#This Row],[Winter Clothes Children]]+Table_NFI[[#This Row],[Winter Items Other]]+Table_NFI[[#This Row],[Winter Blanket]]&gt;0,1,0)</f>
        <v>1</v>
      </c>
      <c r="AN815" s="392">
        <f>IF(NFI_Expiration=1,IF($A815&lt;VLOOKUP(V$5,NFI,5,0),1,0)*Table_NFI[[#This Row],[Jerry Can]],Table_NFI[Jerry Can])</f>
        <v>0</v>
      </c>
      <c r="AO815" s="540" t="str">
        <f>IFERROR(VLOOKUP(Table_NFI[[#This Row],[Camp Name]],CL,2,0),"")</f>
        <v>MMR001CMP030</v>
      </c>
      <c r="AP815" s="535">
        <f ca="1">IF(Table_NFI[[#This Row],[Pcode]]="","",IF(OFFSET(CampList[Opening Date],MATCH(Table_NFI[[#This Row],[Pcode]],CampList[CP_Pcode],0)-1,0,1,1)&gt;=NFI_Monitor_Date,1,0))</f>
        <v>0</v>
      </c>
      <c r="AQ815" s="540" t="str">
        <f>IFERROR(VLOOKUP(Table_NFI[[#This Row],[Camp Name]],CL,3,0),"")</f>
        <v>Open</v>
      </c>
      <c r="AR815" s="352" t="str">
        <f ca="1">IF(Table_NFI[[#This Row],[Pcode]]="","",OFFSET(CampList[Priority],MATCH(Table_NFI[[#This Row],[Pcode]],CampList[CP_Pcode],0)-1,0,1,1))</f>
        <v>P4</v>
      </c>
      <c r="AS815" s="351">
        <f>IFERROR(Table_NFI[[#This Row],[Kitchen Set]]/VLOOKUP(Table_NFI[[#This Row],[Camp Name]],CL,4,0),"")</f>
        <v>0</v>
      </c>
      <c r="AT815" s="533"/>
      <c r="AU815" s="536"/>
    </row>
    <row r="816" spans="1:47" hidden="1" x14ac:dyDescent="0.25">
      <c r="A816" s="355">
        <f t="shared" si="12"/>
        <v>32.1</v>
      </c>
      <c r="B816" s="532">
        <v>41608</v>
      </c>
      <c r="C816" s="533" t="s">
        <v>907</v>
      </c>
      <c r="D816" s="534" t="s">
        <v>461</v>
      </c>
      <c r="E816" s="533" t="s">
        <v>380</v>
      </c>
      <c r="F816" s="348" t="s">
        <v>310</v>
      </c>
      <c r="G816" s="348" t="s">
        <v>338</v>
      </c>
      <c r="H816" s="349"/>
      <c r="I816" s="349"/>
      <c r="J816" s="349"/>
      <c r="K816" s="349"/>
      <c r="L816" s="350"/>
      <c r="M816" s="350"/>
      <c r="N816" s="350"/>
      <c r="O816" s="350"/>
      <c r="P816" s="352"/>
      <c r="Q816" s="352"/>
      <c r="R816" s="352"/>
      <c r="S816" s="352"/>
      <c r="T816" s="352"/>
      <c r="U816" s="352"/>
      <c r="V816" s="497"/>
      <c r="W816" s="352"/>
      <c r="X816" s="352"/>
      <c r="Y816" s="352">
        <f>IF(NFI_Expiration=1,IF($A816&lt;VLOOKUP(H$5,NFI,5,0),1,0)*Table_NFI[[#This Row],[Hygiene Kit]],Table_NFI[Hygiene Kit])</f>
        <v>0</v>
      </c>
      <c r="Z816" s="352">
        <f>IF(NFI_Expiration=1,IF($A816&lt;VLOOKUP(I$5,NFI,5,0),1,0)*Table_NFI[[#This Row],[NFI Core Kit]],Table_NFI[NFI Core Kit])</f>
        <v>0</v>
      </c>
      <c r="AA816" s="352">
        <f>IF(NFI_Expiration=1,IF($A816&lt;VLOOKUP(J$5,NFI,5,0),1,0)*Table_NFI[[#This Row],[Sanitary Kit]],Table_NFI[Sanitary Kit])</f>
        <v>0</v>
      </c>
      <c r="AB816" s="352">
        <f>IF(NFI_Expiration=1,IF($A816&lt;VLOOKUP(K$5,NFI,5,0),1,0)*Table_NFI[[#This Row],[Mosquito net]],Table_NFI[Mosquito net])</f>
        <v>0</v>
      </c>
      <c r="AC816" s="352">
        <f>IF(NFI_Expiration=1,IF($A816&lt;VLOOKUP(L$5,NFI,5,0),1,0)*Table_NFI[[#This Row],[Tarpaulin]],Table_NFI[[#This Row],[Tarpaulin]])</f>
        <v>0</v>
      </c>
      <c r="AD816" s="352">
        <f>IF(NFI_Expiration=1,IF($A816&lt;VLOOKUP(M$5,NFI,5,0),1,0)*Table_NFI[[#This Row],[Blanket]],Table_NFI[[#This Row],[Blanket]])</f>
        <v>0</v>
      </c>
      <c r="AE816" s="352">
        <f>IF(NFI_Expiration=1,IF($A816&lt;VLOOKUP(N$5,NFI,5,0),1,0)*Table_NFI[[#This Row],[Kitchen Set]],Table_NFI[Kitchen Set])</f>
        <v>0</v>
      </c>
      <c r="AF816" s="352">
        <f>IF(NFI_Expiration=1,IF($A816&lt;VLOOKUP(O$5,NFI,5,0),1,0)*Table_NFI[[#This Row],[Clothes Kit]],Table_NFI[Clothes Kit])</f>
        <v>0</v>
      </c>
      <c r="AG816" s="352">
        <f>IF(NFI_Expiration=1,IF($A816&lt;VLOOKUP(P$5,NFI,5,0),1,0)*Table_NFI[[#This Row],[Plastic Bucket]],Table_NFI[Plastic Bucket])</f>
        <v>0</v>
      </c>
      <c r="AH816" s="352">
        <f>IF(NFI_Expiration=1,IF($A816&lt;VLOOKUP(Q$5,NFI,5,0),1,0)*Table_NFI[[#This Row],[Plastic Mat]],Table_NFI[Plastic Mat])*IF(Table_NFI[[#This Row],[Distribution Date]]&gt;"2014-04-01",1,2.5)</f>
        <v>0</v>
      </c>
      <c r="AI816" s="352">
        <f>IF(NFI_Expiration=1,IF($A816&lt;VLOOKUP(R$5,NFI,5,0),1,0)*Table_NFI[[#This Row],[Winter Clothes Adult]],Table_NFI[Winter Clothes Adult])</f>
        <v>0</v>
      </c>
      <c r="AJ816" s="352">
        <f>IF(NFI_Expiration=1,IF($A816&lt;VLOOKUP(S$5,NFI,5,0),1,0)*Table_NFI[[#This Row],[Winter Clothes Children]],Table_NFI[Winter Clothes Children])</f>
        <v>0</v>
      </c>
      <c r="AK816" s="352">
        <f>IF(NFI_Expiration=1,IF($A816&lt;VLOOKUP(T$5,NFI,5,0),1,0)*Table_NFI[[#This Row],[Winter Items Other]],Table_NFI[Winter Items Other])</f>
        <v>0</v>
      </c>
      <c r="AL816" s="352">
        <f>IF(NFI_Expiration=1,IF($A816&lt;VLOOKUP(M$5,NFI,5,0),1,0)*Table_NFI[[#This Row],[Winter Blanket]],Table_NFI[[#This Row],[Winter Blanket]])</f>
        <v>0</v>
      </c>
      <c r="AM816" s="352">
        <f>IF(Table_NFI[[#This Row],[Winter Clothes Adult]]+Table_NFI[[#This Row],[Winter Clothes Children]]+Table_NFI[[#This Row],[Winter Items Other]]+Table_NFI[[#This Row],[Winter Blanket]]&gt;0,1,0)</f>
        <v>0</v>
      </c>
      <c r="AN816" s="392">
        <f>IF(NFI_Expiration=1,IF($A816&lt;VLOOKUP(V$5,NFI,5,0),1,0)*Table_NFI[[#This Row],[Jerry Can]],Table_NFI[Jerry Can])</f>
        <v>0</v>
      </c>
      <c r="AO816" s="540" t="str">
        <f>IFERROR(VLOOKUP(Table_NFI[[#This Row],[Camp Name]],CL,2,0),"")</f>
        <v>MMR001CMP030</v>
      </c>
      <c r="AP816" s="535">
        <f ca="1">IF(Table_NFI[[#This Row],[Pcode]]="","",IF(OFFSET(CampList[Opening Date],MATCH(Table_NFI[[#This Row],[Pcode]],CampList[CP_Pcode],0)-1,0,1,1)&gt;=NFI_Monitor_Date,1,0))</f>
        <v>0</v>
      </c>
      <c r="AQ816" s="540" t="str">
        <f>IFERROR(VLOOKUP(Table_NFI[[#This Row],[Camp Name]],CL,3,0),"")</f>
        <v>Open</v>
      </c>
      <c r="AR816" s="352" t="str">
        <f ca="1">IF(Table_NFI[[#This Row],[Pcode]]="","",OFFSET(CampList[Priority],MATCH(Table_NFI[[#This Row],[Pcode]],CampList[CP_Pcode],0)-1,0,1,1))</f>
        <v>P4</v>
      </c>
      <c r="AS816" s="351">
        <f>IFERROR(Table_NFI[[#This Row],[Kitchen Set]]/VLOOKUP(Table_NFI[[#This Row],[Camp Name]],CL,4,0),"")</f>
        <v>0</v>
      </c>
      <c r="AT816" s="533" t="s">
        <v>1094</v>
      </c>
      <c r="AU816" s="536"/>
    </row>
    <row r="817" spans="1:47" ht="14.45" hidden="1" customHeight="1" x14ac:dyDescent="0.25">
      <c r="A817" s="355">
        <f t="shared" si="12"/>
        <v>42.2</v>
      </c>
      <c r="B817" s="532">
        <v>41305</v>
      </c>
      <c r="C817" s="533" t="s">
        <v>570</v>
      </c>
      <c r="D817" s="534" t="s">
        <v>570</v>
      </c>
      <c r="E817" s="533" t="s">
        <v>380</v>
      </c>
      <c r="F817" s="348" t="s">
        <v>310</v>
      </c>
      <c r="G817" s="348" t="s">
        <v>338</v>
      </c>
      <c r="H817" s="349"/>
      <c r="I817" s="349"/>
      <c r="J817" s="349"/>
      <c r="K817" s="349"/>
      <c r="L817" s="350"/>
      <c r="M817" s="350">
        <v>54</v>
      </c>
      <c r="N817" s="350"/>
      <c r="O817" s="350"/>
      <c r="P817" s="352">
        <v>0</v>
      </c>
      <c r="Q817" s="352">
        <v>0</v>
      </c>
      <c r="R817" s="352"/>
      <c r="S817" s="352"/>
      <c r="T817" s="352"/>
      <c r="U817" s="352"/>
      <c r="V817" s="497"/>
      <c r="W817" s="352"/>
      <c r="X817" s="352"/>
      <c r="Y817" s="352">
        <f>IF(NFI_Expiration=1,IF($A817&lt;VLOOKUP(H$5,NFI,5,0),1,0)*Table_NFI[[#This Row],[Hygiene Kit]],Table_NFI[Hygiene Kit])</f>
        <v>0</v>
      </c>
      <c r="Z817" s="352">
        <f>IF(NFI_Expiration=1,IF($A817&lt;VLOOKUP(I$5,NFI,5,0),1,0)*Table_NFI[[#This Row],[NFI Core Kit]],Table_NFI[NFI Core Kit])</f>
        <v>0</v>
      </c>
      <c r="AA817" s="352">
        <f>IF(NFI_Expiration=1,IF($A817&lt;VLOOKUP(J$5,NFI,5,0),1,0)*Table_NFI[[#This Row],[Sanitary Kit]],Table_NFI[Sanitary Kit])</f>
        <v>0</v>
      </c>
      <c r="AB817" s="352">
        <f>IF(NFI_Expiration=1,IF($A817&lt;VLOOKUP(K$5,NFI,5,0),1,0)*Table_NFI[[#This Row],[Mosquito net]],Table_NFI[Mosquito net])</f>
        <v>0</v>
      </c>
      <c r="AC817" s="352">
        <f>IF(NFI_Expiration=1,IF($A817&lt;VLOOKUP(L$5,NFI,5,0),1,0)*Table_NFI[[#This Row],[Tarpaulin]],Table_NFI[[#This Row],[Tarpaulin]])</f>
        <v>0</v>
      </c>
      <c r="AD817" s="352">
        <f>IF(NFI_Expiration=1,IF($A817&lt;VLOOKUP(M$5,NFI,5,0),1,0)*Table_NFI[[#This Row],[Blanket]],Table_NFI[[#This Row],[Blanket]])</f>
        <v>0</v>
      </c>
      <c r="AE817" s="352">
        <f>IF(NFI_Expiration=1,IF($A817&lt;VLOOKUP(N$5,NFI,5,0),1,0)*Table_NFI[[#This Row],[Kitchen Set]],Table_NFI[Kitchen Set])</f>
        <v>0</v>
      </c>
      <c r="AF817" s="352">
        <f>IF(NFI_Expiration=1,IF($A817&lt;VLOOKUP(O$5,NFI,5,0),1,0)*Table_NFI[[#This Row],[Clothes Kit]],Table_NFI[Clothes Kit])</f>
        <v>0</v>
      </c>
      <c r="AG817" s="352">
        <f>IF(NFI_Expiration=1,IF($A817&lt;VLOOKUP(P$5,NFI,5,0),1,0)*Table_NFI[[#This Row],[Plastic Bucket]],Table_NFI[Plastic Bucket])</f>
        <v>0</v>
      </c>
      <c r="AH817" s="352">
        <f>IF(NFI_Expiration=1,IF($A817&lt;VLOOKUP(Q$5,NFI,5,0),1,0)*Table_NFI[[#This Row],[Plastic Mat]],Table_NFI[Plastic Mat])*IF(Table_NFI[[#This Row],[Distribution Date]]&gt;"2014-04-01",1,2.5)</f>
        <v>0</v>
      </c>
      <c r="AI817" s="352">
        <f>IF(NFI_Expiration=1,IF($A817&lt;VLOOKUP(R$5,NFI,5,0),1,0)*Table_NFI[[#This Row],[Winter Clothes Adult]],Table_NFI[Winter Clothes Adult])</f>
        <v>0</v>
      </c>
      <c r="AJ817" s="352">
        <f>IF(NFI_Expiration=1,IF($A817&lt;VLOOKUP(S$5,NFI,5,0),1,0)*Table_NFI[[#This Row],[Winter Clothes Children]],Table_NFI[Winter Clothes Children])</f>
        <v>0</v>
      </c>
      <c r="AK817" s="352">
        <f>IF(NFI_Expiration=1,IF($A817&lt;VLOOKUP(T$5,NFI,5,0),1,0)*Table_NFI[[#This Row],[Winter Items Other]],Table_NFI[Winter Items Other])</f>
        <v>0</v>
      </c>
      <c r="AL817" s="352">
        <f>IF(NFI_Expiration=1,IF($A817&lt;VLOOKUP(M$5,NFI,5,0),1,0)*Table_NFI[[#This Row],[Winter Blanket]],Table_NFI[[#This Row],[Winter Blanket]])</f>
        <v>0</v>
      </c>
      <c r="AM817" s="352">
        <f>IF(Table_NFI[[#This Row],[Winter Clothes Adult]]+Table_NFI[[#This Row],[Winter Clothes Children]]+Table_NFI[[#This Row],[Winter Items Other]]+Table_NFI[[#This Row],[Winter Blanket]]&gt;0,1,0)</f>
        <v>0</v>
      </c>
      <c r="AN817" s="392">
        <f>IF(NFI_Expiration=1,IF($A817&lt;VLOOKUP(V$5,NFI,5,0),1,0)*Table_NFI[[#This Row],[Jerry Can]],Table_NFI[Jerry Can])</f>
        <v>0</v>
      </c>
      <c r="AO817" s="540" t="str">
        <f>IFERROR(VLOOKUP(Table_NFI[[#This Row],[Camp Name]],CL,2,0),"")</f>
        <v>MMR001CMP030</v>
      </c>
      <c r="AP817" s="535">
        <f ca="1">IF(Table_NFI[[#This Row],[Pcode]]="","",IF(OFFSET(CampList[Opening Date],MATCH(Table_NFI[[#This Row],[Pcode]],CampList[CP_Pcode],0)-1,0,1,1)&gt;=NFI_Monitor_Date,1,0))</f>
        <v>0</v>
      </c>
      <c r="AQ817" s="540" t="str">
        <f>IFERROR(VLOOKUP(Table_NFI[[#This Row],[Camp Name]],CL,3,0),"")</f>
        <v>Open</v>
      </c>
      <c r="AR817" s="352" t="str">
        <f ca="1">IF(Table_NFI[[#This Row],[Pcode]]="","",OFFSET(CampList[Priority],MATCH(Table_NFI[[#This Row],[Pcode]],CampList[CP_Pcode],0)-1,0,1,1))</f>
        <v>P4</v>
      </c>
      <c r="AS817" s="351">
        <f>IFERROR(Table_NFI[[#This Row],[Kitchen Set]]/VLOOKUP(Table_NFI[[#This Row],[Camp Name]],CL,4,0),"")</f>
        <v>0</v>
      </c>
      <c r="AT817" s="533" t="s">
        <v>1094</v>
      </c>
      <c r="AU817" s="536"/>
    </row>
    <row r="818" spans="1:47" ht="14.45" hidden="1" customHeight="1" x14ac:dyDescent="0.25">
      <c r="A818" s="355">
        <f t="shared" si="12"/>
        <v>43.233333333333334</v>
      </c>
      <c r="B818" s="532">
        <v>41274</v>
      </c>
      <c r="C818" s="533" t="s">
        <v>454</v>
      </c>
      <c r="D818" s="534" t="s">
        <v>454</v>
      </c>
      <c r="E818" s="533" t="s">
        <v>380</v>
      </c>
      <c r="F818" s="348" t="s">
        <v>310</v>
      </c>
      <c r="G818" s="348" t="s">
        <v>338</v>
      </c>
      <c r="H818" s="349">
        <v>27</v>
      </c>
      <c r="I818" s="349"/>
      <c r="J818" s="349"/>
      <c r="K818" s="349"/>
      <c r="L818" s="350"/>
      <c r="M818" s="350"/>
      <c r="N818" s="350"/>
      <c r="O818" s="350"/>
      <c r="P818" s="352">
        <v>0</v>
      </c>
      <c r="Q818" s="352">
        <v>0</v>
      </c>
      <c r="R818" s="352"/>
      <c r="S818" s="352"/>
      <c r="T818" s="352"/>
      <c r="U818" s="352"/>
      <c r="V818" s="497"/>
      <c r="W818" s="352"/>
      <c r="X818" s="352"/>
      <c r="Y818" s="352">
        <f>IF(NFI_Expiration=1,IF($A818&lt;VLOOKUP(H$5,NFI,5,0),1,0)*Table_NFI[[#This Row],[Hygiene Kit]],Table_NFI[Hygiene Kit])</f>
        <v>0</v>
      </c>
      <c r="Z818" s="352">
        <f>IF(NFI_Expiration=1,IF($A818&lt;VLOOKUP(I$5,NFI,5,0),1,0)*Table_NFI[[#This Row],[NFI Core Kit]],Table_NFI[NFI Core Kit])</f>
        <v>0</v>
      </c>
      <c r="AA818" s="352">
        <f>IF(NFI_Expiration=1,IF($A818&lt;VLOOKUP(J$5,NFI,5,0),1,0)*Table_NFI[[#This Row],[Sanitary Kit]],Table_NFI[Sanitary Kit])</f>
        <v>0</v>
      </c>
      <c r="AB818" s="352">
        <f>IF(NFI_Expiration=1,IF($A818&lt;VLOOKUP(K$5,NFI,5,0),1,0)*Table_NFI[[#This Row],[Mosquito net]],Table_NFI[Mosquito net])</f>
        <v>0</v>
      </c>
      <c r="AC818" s="352">
        <f>IF(NFI_Expiration=1,IF($A818&lt;VLOOKUP(L$5,NFI,5,0),1,0)*Table_NFI[[#This Row],[Tarpaulin]],Table_NFI[[#This Row],[Tarpaulin]])</f>
        <v>0</v>
      </c>
      <c r="AD818" s="352">
        <f>IF(NFI_Expiration=1,IF($A818&lt;VLOOKUP(M$5,NFI,5,0),1,0)*Table_NFI[[#This Row],[Blanket]],Table_NFI[[#This Row],[Blanket]])</f>
        <v>0</v>
      </c>
      <c r="AE818" s="352">
        <f>IF(NFI_Expiration=1,IF($A818&lt;VLOOKUP(N$5,NFI,5,0),1,0)*Table_NFI[[#This Row],[Kitchen Set]],Table_NFI[Kitchen Set])</f>
        <v>0</v>
      </c>
      <c r="AF818" s="352">
        <f>IF(NFI_Expiration=1,IF($A818&lt;VLOOKUP(O$5,NFI,5,0),1,0)*Table_NFI[[#This Row],[Clothes Kit]],Table_NFI[Clothes Kit])</f>
        <v>0</v>
      </c>
      <c r="AG818" s="352">
        <f>IF(NFI_Expiration=1,IF($A818&lt;VLOOKUP(P$5,NFI,5,0),1,0)*Table_NFI[[#This Row],[Plastic Bucket]],Table_NFI[Plastic Bucket])</f>
        <v>0</v>
      </c>
      <c r="AH818" s="352">
        <f>IF(NFI_Expiration=1,IF($A818&lt;VLOOKUP(Q$5,NFI,5,0),1,0)*Table_NFI[[#This Row],[Plastic Mat]],Table_NFI[Plastic Mat])*IF(Table_NFI[[#This Row],[Distribution Date]]&gt;"2014-04-01",1,2.5)</f>
        <v>0</v>
      </c>
      <c r="AI818" s="352">
        <f>IF(NFI_Expiration=1,IF($A818&lt;VLOOKUP(R$5,NFI,5,0),1,0)*Table_NFI[[#This Row],[Winter Clothes Adult]],Table_NFI[Winter Clothes Adult])</f>
        <v>0</v>
      </c>
      <c r="AJ818" s="352">
        <f>IF(NFI_Expiration=1,IF($A818&lt;VLOOKUP(S$5,NFI,5,0),1,0)*Table_NFI[[#This Row],[Winter Clothes Children]],Table_NFI[Winter Clothes Children])</f>
        <v>0</v>
      </c>
      <c r="AK818" s="352">
        <f>IF(NFI_Expiration=1,IF($A818&lt;VLOOKUP(T$5,NFI,5,0),1,0)*Table_NFI[[#This Row],[Winter Items Other]],Table_NFI[Winter Items Other])</f>
        <v>0</v>
      </c>
      <c r="AL818" s="352">
        <f>IF(NFI_Expiration=1,IF($A818&lt;VLOOKUP(M$5,NFI,5,0),1,0)*Table_NFI[[#This Row],[Winter Blanket]],Table_NFI[[#This Row],[Winter Blanket]])</f>
        <v>0</v>
      </c>
      <c r="AM818" s="352">
        <f>IF(Table_NFI[[#This Row],[Winter Clothes Adult]]+Table_NFI[[#This Row],[Winter Clothes Children]]+Table_NFI[[#This Row],[Winter Items Other]]+Table_NFI[[#This Row],[Winter Blanket]]&gt;0,1,0)</f>
        <v>0</v>
      </c>
      <c r="AN818" s="392">
        <f>IF(NFI_Expiration=1,IF($A818&lt;VLOOKUP(V$5,NFI,5,0),1,0)*Table_NFI[[#This Row],[Jerry Can]],Table_NFI[Jerry Can])</f>
        <v>0</v>
      </c>
      <c r="AO818" s="540" t="str">
        <f>IFERROR(VLOOKUP(Table_NFI[[#This Row],[Camp Name]],CL,2,0),"")</f>
        <v>MMR001CMP030</v>
      </c>
      <c r="AP818" s="535">
        <f ca="1">IF(Table_NFI[[#This Row],[Pcode]]="","",IF(OFFSET(CampList[Opening Date],MATCH(Table_NFI[[#This Row],[Pcode]],CampList[CP_Pcode],0)-1,0,1,1)&gt;=NFI_Monitor_Date,1,0))</f>
        <v>0</v>
      </c>
      <c r="AQ818" s="540" t="str">
        <f>IFERROR(VLOOKUP(Table_NFI[[#This Row],[Camp Name]],CL,3,0),"")</f>
        <v>Open</v>
      </c>
      <c r="AR818" s="352" t="str">
        <f ca="1">IF(Table_NFI[[#This Row],[Pcode]]="","",OFFSET(CampList[Priority],MATCH(Table_NFI[[#This Row],[Pcode]],CampList[CP_Pcode],0)-1,0,1,1))</f>
        <v>P4</v>
      </c>
      <c r="AS818" s="351">
        <f>IFERROR(Table_NFI[[#This Row],[Kitchen Set]]/VLOOKUP(Table_NFI[[#This Row],[Camp Name]],CL,4,0),"")</f>
        <v>0</v>
      </c>
      <c r="AT818" s="533" t="s">
        <v>1094</v>
      </c>
      <c r="AU818" s="536"/>
    </row>
    <row r="819" spans="1:47" ht="14.45" customHeight="1" x14ac:dyDescent="0.25">
      <c r="A819" s="355">
        <f t="shared" si="12"/>
        <v>48.93333333333333</v>
      </c>
      <c r="B819" s="532">
        <v>41103</v>
      </c>
      <c r="C819" s="533" t="s">
        <v>453</v>
      </c>
      <c r="D819" s="534" t="s">
        <v>453</v>
      </c>
      <c r="E819" s="533" t="s">
        <v>380</v>
      </c>
      <c r="F819" s="348" t="s">
        <v>310</v>
      </c>
      <c r="G819" s="348" t="s">
        <v>326</v>
      </c>
      <c r="H819" s="349"/>
      <c r="I819" s="349"/>
      <c r="J819" s="349"/>
      <c r="K819" s="349">
        <v>6</v>
      </c>
      <c r="L819" s="350">
        <v>6</v>
      </c>
      <c r="M819" s="350">
        <v>6</v>
      </c>
      <c r="N819" s="350">
        <v>6</v>
      </c>
      <c r="O819" s="350">
        <v>6</v>
      </c>
      <c r="P819" s="352">
        <v>6</v>
      </c>
      <c r="Q819" s="352">
        <v>6</v>
      </c>
      <c r="R819" s="352"/>
      <c r="S819" s="352"/>
      <c r="T819" s="352"/>
      <c r="U819" s="352"/>
      <c r="V819" s="497"/>
      <c r="W819" s="352"/>
      <c r="X819" s="352"/>
      <c r="Y819" s="352">
        <f>IF(NFI_Expiration=1,IF($A819&lt;VLOOKUP(H$5,NFI,5,0),1,0)*Table_NFI[[#This Row],[Hygiene Kit]],Table_NFI[Hygiene Kit])</f>
        <v>0</v>
      </c>
      <c r="Z819" s="352">
        <f>IF(NFI_Expiration=1,IF($A819&lt;VLOOKUP(I$5,NFI,5,0),1,0)*Table_NFI[[#This Row],[NFI Core Kit]],Table_NFI[NFI Core Kit])</f>
        <v>0</v>
      </c>
      <c r="AA819" s="352">
        <f>IF(NFI_Expiration=1,IF($A819&lt;VLOOKUP(J$5,NFI,5,0),1,0)*Table_NFI[[#This Row],[Sanitary Kit]],Table_NFI[Sanitary Kit])</f>
        <v>0</v>
      </c>
      <c r="AB819" s="352">
        <f>IF(NFI_Expiration=1,IF($A819&lt;VLOOKUP(K$5,NFI,5,0),1,0)*Table_NFI[[#This Row],[Mosquito net]],Table_NFI[Mosquito net])</f>
        <v>0</v>
      </c>
      <c r="AC819" s="352">
        <f>IF(NFI_Expiration=1,IF($A819&lt;VLOOKUP(L$5,NFI,5,0),1,0)*Table_NFI[[#This Row],[Tarpaulin]],Table_NFI[[#This Row],[Tarpaulin]])</f>
        <v>0</v>
      </c>
      <c r="AD819" s="352">
        <f>IF(NFI_Expiration=1,IF($A819&lt;VLOOKUP(M$5,NFI,5,0),1,0)*Table_NFI[[#This Row],[Blanket]],Table_NFI[[#This Row],[Blanket]])</f>
        <v>0</v>
      </c>
      <c r="AE819" s="352">
        <f>IF(NFI_Expiration=1,IF($A819&lt;VLOOKUP(N$5,NFI,5,0),1,0)*Table_NFI[[#This Row],[Kitchen Set]],Table_NFI[Kitchen Set])</f>
        <v>0</v>
      </c>
      <c r="AF819" s="352">
        <f>IF(NFI_Expiration=1,IF($A819&lt;VLOOKUP(O$5,NFI,5,0),1,0)*Table_NFI[[#This Row],[Clothes Kit]],Table_NFI[Clothes Kit])</f>
        <v>0</v>
      </c>
      <c r="AG819" s="352">
        <f>IF(NFI_Expiration=1,IF($A819&lt;VLOOKUP(P$5,NFI,5,0),1,0)*Table_NFI[[#This Row],[Plastic Bucket]],Table_NFI[Plastic Bucket])</f>
        <v>0</v>
      </c>
      <c r="AH819" s="352">
        <f>IF(NFI_Expiration=1,IF($A819&lt;VLOOKUP(Q$5,NFI,5,0),1,0)*Table_NFI[[#This Row],[Plastic Mat]],Table_NFI[Plastic Mat])*IF(Table_NFI[[#This Row],[Distribution Date]]&gt;"2014-04-01",1,2.5)</f>
        <v>0</v>
      </c>
      <c r="AI819" s="352">
        <f>IF(NFI_Expiration=1,IF($A819&lt;VLOOKUP(R$5,NFI,5,0),1,0)*Table_NFI[[#This Row],[Winter Clothes Adult]],Table_NFI[Winter Clothes Adult])</f>
        <v>0</v>
      </c>
      <c r="AJ819" s="352">
        <f>IF(NFI_Expiration=1,IF($A819&lt;VLOOKUP(S$5,NFI,5,0),1,0)*Table_NFI[[#This Row],[Winter Clothes Children]],Table_NFI[Winter Clothes Children])</f>
        <v>0</v>
      </c>
      <c r="AK819" s="352">
        <f>IF(NFI_Expiration=1,IF($A819&lt;VLOOKUP(T$5,NFI,5,0),1,0)*Table_NFI[[#This Row],[Winter Items Other]],Table_NFI[Winter Items Other])</f>
        <v>0</v>
      </c>
      <c r="AL819" s="352">
        <f>IF(NFI_Expiration=1,IF($A819&lt;VLOOKUP(M$5,NFI,5,0),1,0)*Table_NFI[[#This Row],[Winter Blanket]],Table_NFI[[#This Row],[Winter Blanket]])</f>
        <v>0</v>
      </c>
      <c r="AM819" s="352">
        <f>IF(Table_NFI[[#This Row],[Winter Clothes Adult]]+Table_NFI[[#This Row],[Winter Clothes Children]]+Table_NFI[[#This Row],[Winter Items Other]]+Table_NFI[[#This Row],[Winter Blanket]]&gt;0,1,0)</f>
        <v>0</v>
      </c>
      <c r="AN819" s="392">
        <f>IF(NFI_Expiration=1,IF($A819&lt;VLOOKUP(V$5,NFI,5,0),1,0)*Table_NFI[[#This Row],[Jerry Can]],Table_NFI[Jerry Can])</f>
        <v>0</v>
      </c>
      <c r="AO819" s="540" t="str">
        <f>IFERROR(VLOOKUP(Table_NFI[[#This Row],[Camp Name]],CL,2,0),"")</f>
        <v>MMR001CMP039</v>
      </c>
      <c r="AP819" s="535">
        <f ca="1">IF(Table_NFI[[#This Row],[Pcode]]="","",IF(OFFSET(CampList[Opening Date],MATCH(Table_NFI[[#This Row],[Pcode]],CampList[CP_Pcode],0)-1,0,1,1)&gt;=NFI_Monitor_Date,1,0))</f>
        <v>0</v>
      </c>
      <c r="AQ819" s="540" t="str">
        <f>IFERROR(VLOOKUP(Table_NFI[[#This Row],[Camp Name]],CL,3,0),"")</f>
        <v>Open</v>
      </c>
      <c r="AR819" s="352" t="str">
        <f ca="1">IF(Table_NFI[[#This Row],[Pcode]]="","",OFFSET(CampList[Priority],MATCH(Table_NFI[[#This Row],[Pcode]],CampList[CP_Pcode],0)-1,0,1,1))</f>
        <v>P4</v>
      </c>
      <c r="AS819" s="351">
        <f>IFERROR(Table_NFI[[#This Row],[Kitchen Set]]/VLOOKUP(Table_NFI[[#This Row],[Camp Name]],CL,4,0),"")</f>
        <v>0.13043478260869565</v>
      </c>
      <c r="AT819" s="533" t="s">
        <v>1094</v>
      </c>
      <c r="AU819" s="536"/>
    </row>
    <row r="820" spans="1:47" ht="14.45" customHeight="1" x14ac:dyDescent="0.25">
      <c r="A820" s="355">
        <f t="shared" si="12"/>
        <v>48.93333333333333</v>
      </c>
      <c r="B820" s="532">
        <v>41103</v>
      </c>
      <c r="C820" s="533" t="s">
        <v>453</v>
      </c>
      <c r="D820" s="534" t="s">
        <v>453</v>
      </c>
      <c r="E820" s="533" t="s">
        <v>380</v>
      </c>
      <c r="F820" s="348" t="s">
        <v>310</v>
      </c>
      <c r="G820" s="348" t="s">
        <v>318</v>
      </c>
      <c r="H820" s="349"/>
      <c r="I820" s="349"/>
      <c r="J820" s="349"/>
      <c r="K820" s="349">
        <v>13</v>
      </c>
      <c r="L820" s="350">
        <v>13</v>
      </c>
      <c r="M820" s="350">
        <v>13</v>
      </c>
      <c r="N820" s="350">
        <v>13</v>
      </c>
      <c r="O820" s="350">
        <v>13</v>
      </c>
      <c r="P820" s="352">
        <v>13</v>
      </c>
      <c r="Q820" s="352">
        <v>13</v>
      </c>
      <c r="R820" s="352"/>
      <c r="S820" s="352"/>
      <c r="T820" s="352"/>
      <c r="U820" s="352"/>
      <c r="V820" s="497"/>
      <c r="W820" s="352"/>
      <c r="X820" s="352"/>
      <c r="Y820" s="352">
        <f>IF(NFI_Expiration=1,IF($A820&lt;VLOOKUP(H$5,NFI,5,0),1,0)*Table_NFI[[#This Row],[Hygiene Kit]],Table_NFI[Hygiene Kit])</f>
        <v>0</v>
      </c>
      <c r="Z820" s="352">
        <f>IF(NFI_Expiration=1,IF($A820&lt;VLOOKUP(I$5,NFI,5,0),1,0)*Table_NFI[[#This Row],[NFI Core Kit]],Table_NFI[NFI Core Kit])</f>
        <v>0</v>
      </c>
      <c r="AA820" s="352">
        <f>IF(NFI_Expiration=1,IF($A820&lt;VLOOKUP(J$5,NFI,5,0),1,0)*Table_NFI[[#This Row],[Sanitary Kit]],Table_NFI[Sanitary Kit])</f>
        <v>0</v>
      </c>
      <c r="AB820" s="352">
        <f>IF(NFI_Expiration=1,IF($A820&lt;VLOOKUP(K$5,NFI,5,0),1,0)*Table_NFI[[#This Row],[Mosquito net]],Table_NFI[Mosquito net])</f>
        <v>0</v>
      </c>
      <c r="AC820" s="352">
        <f>IF(NFI_Expiration=1,IF($A820&lt;VLOOKUP(L$5,NFI,5,0),1,0)*Table_NFI[[#This Row],[Tarpaulin]],Table_NFI[[#This Row],[Tarpaulin]])</f>
        <v>0</v>
      </c>
      <c r="AD820" s="352">
        <f>IF(NFI_Expiration=1,IF($A820&lt;VLOOKUP(M$5,NFI,5,0),1,0)*Table_NFI[[#This Row],[Blanket]],Table_NFI[[#This Row],[Blanket]])</f>
        <v>0</v>
      </c>
      <c r="AE820" s="352">
        <f>IF(NFI_Expiration=1,IF($A820&lt;VLOOKUP(N$5,NFI,5,0),1,0)*Table_NFI[[#This Row],[Kitchen Set]],Table_NFI[Kitchen Set])</f>
        <v>0</v>
      </c>
      <c r="AF820" s="352">
        <f>IF(NFI_Expiration=1,IF($A820&lt;VLOOKUP(O$5,NFI,5,0),1,0)*Table_NFI[[#This Row],[Clothes Kit]],Table_NFI[Clothes Kit])</f>
        <v>0</v>
      </c>
      <c r="AG820" s="352">
        <f>IF(NFI_Expiration=1,IF($A820&lt;VLOOKUP(P$5,NFI,5,0),1,0)*Table_NFI[[#This Row],[Plastic Bucket]],Table_NFI[Plastic Bucket])</f>
        <v>0</v>
      </c>
      <c r="AH820" s="352">
        <f>IF(NFI_Expiration=1,IF($A820&lt;VLOOKUP(Q$5,NFI,5,0),1,0)*Table_NFI[[#This Row],[Plastic Mat]],Table_NFI[Plastic Mat])*IF(Table_NFI[[#This Row],[Distribution Date]]&gt;"2014-04-01",1,2.5)</f>
        <v>0</v>
      </c>
      <c r="AI820" s="352">
        <f>IF(NFI_Expiration=1,IF($A820&lt;VLOOKUP(R$5,NFI,5,0),1,0)*Table_NFI[[#This Row],[Winter Clothes Adult]],Table_NFI[Winter Clothes Adult])</f>
        <v>0</v>
      </c>
      <c r="AJ820" s="352">
        <f>IF(NFI_Expiration=1,IF($A820&lt;VLOOKUP(S$5,NFI,5,0),1,0)*Table_NFI[[#This Row],[Winter Clothes Children]],Table_NFI[Winter Clothes Children])</f>
        <v>0</v>
      </c>
      <c r="AK820" s="352">
        <f>IF(NFI_Expiration=1,IF($A820&lt;VLOOKUP(T$5,NFI,5,0),1,0)*Table_NFI[[#This Row],[Winter Items Other]],Table_NFI[Winter Items Other])</f>
        <v>0</v>
      </c>
      <c r="AL820" s="352">
        <f>IF(NFI_Expiration=1,IF($A820&lt;VLOOKUP(M$5,NFI,5,0),1,0)*Table_NFI[[#This Row],[Winter Blanket]],Table_NFI[[#This Row],[Winter Blanket]])</f>
        <v>0</v>
      </c>
      <c r="AM820" s="352">
        <f>IF(Table_NFI[[#This Row],[Winter Clothes Adult]]+Table_NFI[[#This Row],[Winter Clothes Children]]+Table_NFI[[#This Row],[Winter Items Other]]+Table_NFI[[#This Row],[Winter Blanket]]&gt;0,1,0)</f>
        <v>0</v>
      </c>
      <c r="AN820" s="392">
        <f>IF(NFI_Expiration=1,IF($A820&lt;VLOOKUP(V$5,NFI,5,0),1,0)*Table_NFI[[#This Row],[Jerry Can]],Table_NFI[Jerry Can])</f>
        <v>0</v>
      </c>
      <c r="AO820" s="540" t="str">
        <f>IFERROR(VLOOKUP(Table_NFI[[#This Row],[Camp Name]],CL,2,0),"")</f>
        <v>MMR001CMP032</v>
      </c>
      <c r="AP820" s="535">
        <f ca="1">IF(Table_NFI[[#This Row],[Pcode]]="","",IF(OFFSET(CampList[Opening Date],MATCH(Table_NFI[[#This Row],[Pcode]],CampList[CP_Pcode],0)-1,0,1,1)&gt;=NFI_Monitor_Date,1,0))</f>
        <v>0</v>
      </c>
      <c r="AQ820" s="540" t="str">
        <f>IFERROR(VLOOKUP(Table_NFI[[#This Row],[Camp Name]],CL,3,0),"")</f>
        <v>Open</v>
      </c>
      <c r="AR820" s="352" t="str">
        <f ca="1">IF(Table_NFI[[#This Row],[Pcode]]="","",OFFSET(CampList[Priority],MATCH(Table_NFI[[#This Row],[Pcode]],CampList[CP_Pcode],0)-1,0,1,1))</f>
        <v>P4</v>
      </c>
      <c r="AS820" s="351">
        <f>IFERROR(Table_NFI[[#This Row],[Kitchen Set]]/VLOOKUP(Table_NFI[[#This Row],[Camp Name]],CL,4,0),"")</f>
        <v>0.14285714285714285</v>
      </c>
      <c r="AT820" s="533" t="s">
        <v>1094</v>
      </c>
      <c r="AU820" s="536"/>
    </row>
    <row r="821" spans="1:47" ht="14.45" customHeight="1" x14ac:dyDescent="0.25">
      <c r="A821" s="355">
        <f t="shared" si="12"/>
        <v>48.93333333333333</v>
      </c>
      <c r="B821" s="532">
        <v>41103</v>
      </c>
      <c r="C821" s="533" t="s">
        <v>453</v>
      </c>
      <c r="D821" s="534" t="s">
        <v>453</v>
      </c>
      <c r="E821" s="533" t="s">
        <v>380</v>
      </c>
      <c r="F821" s="348" t="s">
        <v>310</v>
      </c>
      <c r="G821" s="348" t="s">
        <v>351</v>
      </c>
      <c r="H821" s="349"/>
      <c r="I821" s="349"/>
      <c r="J821" s="349"/>
      <c r="K821" s="349">
        <v>3</v>
      </c>
      <c r="L821" s="350">
        <v>3</v>
      </c>
      <c r="M821" s="350">
        <v>3</v>
      </c>
      <c r="N821" s="350">
        <v>3</v>
      </c>
      <c r="O821" s="350">
        <v>3</v>
      </c>
      <c r="P821" s="352">
        <v>3</v>
      </c>
      <c r="Q821" s="352">
        <v>3</v>
      </c>
      <c r="R821" s="352"/>
      <c r="S821" s="352"/>
      <c r="T821" s="352"/>
      <c r="U821" s="352"/>
      <c r="V821" s="497"/>
      <c r="W821" s="352"/>
      <c r="X821" s="352"/>
      <c r="Y821" s="352">
        <f>IF(NFI_Expiration=1,IF($A821&lt;VLOOKUP(H$5,NFI,5,0),1,0)*Table_NFI[[#This Row],[Hygiene Kit]],Table_NFI[Hygiene Kit])</f>
        <v>0</v>
      </c>
      <c r="Z821" s="352">
        <f>IF(NFI_Expiration=1,IF($A821&lt;VLOOKUP(I$5,NFI,5,0),1,0)*Table_NFI[[#This Row],[NFI Core Kit]],Table_NFI[NFI Core Kit])</f>
        <v>0</v>
      </c>
      <c r="AA821" s="352">
        <f>IF(NFI_Expiration=1,IF($A821&lt;VLOOKUP(J$5,NFI,5,0),1,0)*Table_NFI[[#This Row],[Sanitary Kit]],Table_NFI[Sanitary Kit])</f>
        <v>0</v>
      </c>
      <c r="AB821" s="352">
        <f>IF(NFI_Expiration=1,IF($A821&lt;VLOOKUP(K$5,NFI,5,0),1,0)*Table_NFI[[#This Row],[Mosquito net]],Table_NFI[Mosquito net])</f>
        <v>0</v>
      </c>
      <c r="AC821" s="352">
        <f>IF(NFI_Expiration=1,IF($A821&lt;VLOOKUP(L$5,NFI,5,0),1,0)*Table_NFI[[#This Row],[Tarpaulin]],Table_NFI[[#This Row],[Tarpaulin]])</f>
        <v>0</v>
      </c>
      <c r="AD821" s="352">
        <f>IF(NFI_Expiration=1,IF($A821&lt;VLOOKUP(M$5,NFI,5,0),1,0)*Table_NFI[[#This Row],[Blanket]],Table_NFI[[#This Row],[Blanket]])</f>
        <v>0</v>
      </c>
      <c r="AE821" s="352">
        <f>IF(NFI_Expiration=1,IF($A821&lt;VLOOKUP(N$5,NFI,5,0),1,0)*Table_NFI[[#This Row],[Kitchen Set]],Table_NFI[Kitchen Set])</f>
        <v>0</v>
      </c>
      <c r="AF821" s="352">
        <f>IF(NFI_Expiration=1,IF($A821&lt;VLOOKUP(O$5,NFI,5,0),1,0)*Table_NFI[[#This Row],[Clothes Kit]],Table_NFI[Clothes Kit])</f>
        <v>0</v>
      </c>
      <c r="AG821" s="352">
        <f>IF(NFI_Expiration=1,IF($A821&lt;VLOOKUP(P$5,NFI,5,0),1,0)*Table_NFI[[#This Row],[Plastic Bucket]],Table_NFI[Plastic Bucket])</f>
        <v>0</v>
      </c>
      <c r="AH821" s="352">
        <f>IF(NFI_Expiration=1,IF($A821&lt;VLOOKUP(Q$5,NFI,5,0),1,0)*Table_NFI[[#This Row],[Plastic Mat]],Table_NFI[Plastic Mat])*IF(Table_NFI[[#This Row],[Distribution Date]]&gt;"2014-04-01",1,2.5)</f>
        <v>0</v>
      </c>
      <c r="AI821" s="352">
        <f>IF(NFI_Expiration=1,IF($A821&lt;VLOOKUP(R$5,NFI,5,0),1,0)*Table_NFI[[#This Row],[Winter Clothes Adult]],Table_NFI[Winter Clothes Adult])</f>
        <v>0</v>
      </c>
      <c r="AJ821" s="352">
        <f>IF(NFI_Expiration=1,IF($A821&lt;VLOOKUP(S$5,NFI,5,0),1,0)*Table_NFI[[#This Row],[Winter Clothes Children]],Table_NFI[Winter Clothes Children])</f>
        <v>0</v>
      </c>
      <c r="AK821" s="352">
        <f>IF(NFI_Expiration=1,IF($A821&lt;VLOOKUP(T$5,NFI,5,0),1,0)*Table_NFI[[#This Row],[Winter Items Other]],Table_NFI[Winter Items Other])</f>
        <v>0</v>
      </c>
      <c r="AL821" s="352">
        <f>IF(NFI_Expiration=1,IF($A821&lt;VLOOKUP(M$5,NFI,5,0),1,0)*Table_NFI[[#This Row],[Winter Blanket]],Table_NFI[[#This Row],[Winter Blanket]])</f>
        <v>0</v>
      </c>
      <c r="AM821" s="352">
        <f>IF(Table_NFI[[#This Row],[Winter Clothes Adult]]+Table_NFI[[#This Row],[Winter Clothes Children]]+Table_NFI[[#This Row],[Winter Items Other]]+Table_NFI[[#This Row],[Winter Blanket]]&gt;0,1,0)</f>
        <v>0</v>
      </c>
      <c r="AN821" s="392">
        <f>IF(NFI_Expiration=1,IF($A821&lt;VLOOKUP(V$5,NFI,5,0),1,0)*Table_NFI[[#This Row],[Jerry Can]],Table_NFI[Jerry Can])</f>
        <v>0</v>
      </c>
      <c r="AO821" s="540" t="str">
        <f>IFERROR(VLOOKUP(Table_NFI[[#This Row],[Camp Name]],CL,2,0),"")</f>
        <v>MMR001CMP026</v>
      </c>
      <c r="AP821" s="535">
        <f ca="1">IF(Table_NFI[[#This Row],[Pcode]]="","",IF(OFFSET(CampList[Opening Date],MATCH(Table_NFI[[#This Row],[Pcode]],CampList[CP_Pcode],0)-1,0,1,1)&gt;=NFI_Monitor_Date,1,0))</f>
        <v>0</v>
      </c>
      <c r="AQ821" s="540" t="str">
        <f>IFERROR(VLOOKUP(Table_NFI[[#This Row],[Camp Name]],CL,3,0),"")</f>
        <v>Open</v>
      </c>
      <c r="AR821" s="352" t="str">
        <f ca="1">IF(Table_NFI[[#This Row],[Pcode]]="","",OFFSET(CampList[Priority],MATCH(Table_NFI[[#This Row],[Pcode]],CampList[CP_Pcode],0)-1,0,1,1))</f>
        <v>P4</v>
      </c>
      <c r="AS821" s="351">
        <f>IFERROR(Table_NFI[[#This Row],[Kitchen Set]]/VLOOKUP(Table_NFI[[#This Row],[Camp Name]],CL,4,0),"")</f>
        <v>3.4090909090909088E-2</v>
      </c>
      <c r="AT821" s="533" t="s">
        <v>1094</v>
      </c>
      <c r="AU821" s="536"/>
    </row>
    <row r="822" spans="1:47" ht="14.45" customHeight="1" x14ac:dyDescent="0.25">
      <c r="A822" s="355">
        <f t="shared" si="12"/>
        <v>48.93333333333333</v>
      </c>
      <c r="B822" s="532">
        <v>41103</v>
      </c>
      <c r="C822" s="533" t="s">
        <v>453</v>
      </c>
      <c r="D822" s="533" t="s">
        <v>453</v>
      </c>
      <c r="E822" s="533" t="s">
        <v>380</v>
      </c>
      <c r="F822" s="348" t="s">
        <v>310</v>
      </c>
      <c r="G822" s="348" t="s">
        <v>349</v>
      </c>
      <c r="H822" s="349"/>
      <c r="I822" s="349"/>
      <c r="J822" s="349"/>
      <c r="K822" s="349">
        <v>8</v>
      </c>
      <c r="L822" s="350">
        <v>8</v>
      </c>
      <c r="M822" s="350">
        <v>8</v>
      </c>
      <c r="N822" s="350">
        <v>8</v>
      </c>
      <c r="O822" s="350">
        <v>8</v>
      </c>
      <c r="P822" s="352">
        <v>8</v>
      </c>
      <c r="Q822" s="352">
        <v>8</v>
      </c>
      <c r="R822" s="352"/>
      <c r="S822" s="352"/>
      <c r="T822" s="352"/>
      <c r="U822" s="352"/>
      <c r="V822" s="497"/>
      <c r="W822" s="352"/>
      <c r="X822" s="352"/>
      <c r="Y822" s="352">
        <f>IF(NFI_Expiration=1,IF($A822&lt;VLOOKUP(H$5,NFI,5,0),1,0)*Table_NFI[[#This Row],[Hygiene Kit]],Table_NFI[Hygiene Kit])</f>
        <v>0</v>
      </c>
      <c r="Z822" s="352">
        <f>IF(NFI_Expiration=1,IF($A822&lt;VLOOKUP(I$5,NFI,5,0),1,0)*Table_NFI[[#This Row],[NFI Core Kit]],Table_NFI[NFI Core Kit])</f>
        <v>0</v>
      </c>
      <c r="AA822" s="352">
        <f>IF(NFI_Expiration=1,IF($A822&lt;VLOOKUP(J$5,NFI,5,0),1,0)*Table_NFI[[#This Row],[Sanitary Kit]],Table_NFI[Sanitary Kit])</f>
        <v>0</v>
      </c>
      <c r="AB822" s="352">
        <f>IF(NFI_Expiration=1,IF($A822&lt;VLOOKUP(K$5,NFI,5,0),1,0)*Table_NFI[[#This Row],[Mosquito net]],Table_NFI[Mosquito net])</f>
        <v>0</v>
      </c>
      <c r="AC822" s="352">
        <f>IF(NFI_Expiration=1,IF($A822&lt;VLOOKUP(L$5,NFI,5,0),1,0)*Table_NFI[[#This Row],[Tarpaulin]],Table_NFI[[#This Row],[Tarpaulin]])</f>
        <v>0</v>
      </c>
      <c r="AD822" s="352">
        <f>IF(NFI_Expiration=1,IF($A822&lt;VLOOKUP(M$5,NFI,5,0),1,0)*Table_NFI[[#This Row],[Blanket]],Table_NFI[[#This Row],[Blanket]])</f>
        <v>0</v>
      </c>
      <c r="AE822" s="352">
        <f>IF(NFI_Expiration=1,IF($A822&lt;VLOOKUP(N$5,NFI,5,0),1,0)*Table_NFI[[#This Row],[Kitchen Set]],Table_NFI[Kitchen Set])</f>
        <v>0</v>
      </c>
      <c r="AF822" s="352">
        <f>IF(NFI_Expiration=1,IF($A822&lt;VLOOKUP(O$5,NFI,5,0),1,0)*Table_NFI[[#This Row],[Clothes Kit]],Table_NFI[Clothes Kit])</f>
        <v>0</v>
      </c>
      <c r="AG822" s="352">
        <f>IF(NFI_Expiration=1,IF($A822&lt;VLOOKUP(P$5,NFI,5,0),1,0)*Table_NFI[[#This Row],[Plastic Bucket]],Table_NFI[Plastic Bucket])</f>
        <v>0</v>
      </c>
      <c r="AH822" s="352">
        <f>IF(NFI_Expiration=1,IF($A822&lt;VLOOKUP(Q$5,NFI,5,0),1,0)*Table_NFI[[#This Row],[Plastic Mat]],Table_NFI[Plastic Mat])*IF(Table_NFI[[#This Row],[Distribution Date]]&gt;"2014-04-01",1,2.5)</f>
        <v>0</v>
      </c>
      <c r="AI822" s="352">
        <f>IF(NFI_Expiration=1,IF($A822&lt;VLOOKUP(R$5,NFI,5,0),1,0)*Table_NFI[[#This Row],[Winter Clothes Adult]],Table_NFI[Winter Clothes Adult])</f>
        <v>0</v>
      </c>
      <c r="AJ822" s="352">
        <f>IF(NFI_Expiration=1,IF($A822&lt;VLOOKUP(S$5,NFI,5,0),1,0)*Table_NFI[[#This Row],[Winter Clothes Children]],Table_NFI[Winter Clothes Children])</f>
        <v>0</v>
      </c>
      <c r="AK822" s="352">
        <f>IF(NFI_Expiration=1,IF($A822&lt;VLOOKUP(T$5,NFI,5,0),1,0)*Table_NFI[[#This Row],[Winter Items Other]],Table_NFI[Winter Items Other])</f>
        <v>0</v>
      </c>
      <c r="AL822" s="352">
        <f>IF(NFI_Expiration=1,IF($A822&lt;VLOOKUP(M$5,NFI,5,0),1,0)*Table_NFI[[#This Row],[Winter Blanket]],Table_NFI[[#This Row],[Winter Blanket]])</f>
        <v>0</v>
      </c>
      <c r="AM822" s="352">
        <f>IF(Table_NFI[[#This Row],[Winter Clothes Adult]]+Table_NFI[[#This Row],[Winter Clothes Children]]+Table_NFI[[#This Row],[Winter Items Other]]+Table_NFI[[#This Row],[Winter Blanket]]&gt;0,1,0)</f>
        <v>0</v>
      </c>
      <c r="AN822" s="392">
        <f>IF(NFI_Expiration=1,IF($A822&lt;VLOOKUP(V$5,NFI,5,0),1,0)*Table_NFI[[#This Row],[Jerry Can]],Table_NFI[Jerry Can])</f>
        <v>0</v>
      </c>
      <c r="AO822" s="540" t="str">
        <f>IFERROR(VLOOKUP(Table_NFI[[#This Row],[Camp Name]],CL,2,0),"")</f>
        <v>MMR001CMP037</v>
      </c>
      <c r="AP822" s="535">
        <f ca="1">IF(Table_NFI[[#This Row],[Pcode]]="","",IF(OFFSET(CampList[Opening Date],MATCH(Table_NFI[[#This Row],[Pcode]],CampList[CP_Pcode],0)-1,0,1,1)&gt;=NFI_Monitor_Date,1,0))</f>
        <v>0</v>
      </c>
      <c r="AQ822" s="540" t="str">
        <f>IFERROR(VLOOKUP(Table_NFI[[#This Row],[Camp Name]],CL,3,0),"")</f>
        <v>Open</v>
      </c>
      <c r="AR822" s="352" t="str">
        <f ca="1">IF(Table_NFI[[#This Row],[Pcode]]="","",OFFSET(CampList[Priority],MATCH(Table_NFI[[#This Row],[Pcode]],CampList[CP_Pcode],0)-1,0,1,1))</f>
        <v>P4</v>
      </c>
      <c r="AS822" s="351">
        <f>IFERROR(Table_NFI[[#This Row],[Kitchen Set]]/VLOOKUP(Table_NFI[[#This Row],[Camp Name]],CL,4,0),"")</f>
        <v>0.18181818181818182</v>
      </c>
      <c r="AT822" s="533" t="s">
        <v>1094</v>
      </c>
      <c r="AU822" s="536"/>
    </row>
    <row r="823" spans="1:47" ht="14.45" hidden="1" customHeight="1" x14ac:dyDescent="0.25">
      <c r="A823" s="355">
        <f t="shared" si="12"/>
        <v>26.233333333333334</v>
      </c>
      <c r="B823" s="532">
        <v>41784</v>
      </c>
      <c r="C823" s="533" t="s">
        <v>1106</v>
      </c>
      <c r="D823" s="533" t="s">
        <v>902</v>
      </c>
      <c r="E823" s="533" t="s">
        <v>380</v>
      </c>
      <c r="F823" s="533" t="s">
        <v>310</v>
      </c>
      <c r="G823" s="533" t="s">
        <v>351</v>
      </c>
      <c r="H823" s="349"/>
      <c r="I823" s="349"/>
      <c r="J823" s="349"/>
      <c r="K823" s="349"/>
      <c r="L823" s="350"/>
      <c r="M823" s="350"/>
      <c r="N823" s="350"/>
      <c r="O823" s="350"/>
      <c r="P823" s="352"/>
      <c r="Q823" s="352"/>
      <c r="R823" s="352"/>
      <c r="S823" s="352"/>
      <c r="T823" s="352"/>
      <c r="U823" s="352">
        <v>182</v>
      </c>
      <c r="V823" s="497"/>
      <c r="W823" s="352"/>
      <c r="X823" s="352"/>
      <c r="Y823" s="352">
        <f>IF(NFI_Expiration=1,IF($A823&lt;VLOOKUP(H$5,NFI,5,0),1,0)*Table_NFI[[#This Row],[Hygiene Kit]],Table_NFI[Hygiene Kit])</f>
        <v>0</v>
      </c>
      <c r="Z823" s="352">
        <f>IF(NFI_Expiration=1,IF($A823&lt;VLOOKUP(I$5,NFI,5,0),1,0)*Table_NFI[[#This Row],[NFI Core Kit]],Table_NFI[NFI Core Kit])</f>
        <v>0</v>
      </c>
      <c r="AA823" s="352">
        <f>IF(NFI_Expiration=1,IF($A823&lt;VLOOKUP(J$5,NFI,5,0),1,0)*Table_NFI[[#This Row],[Sanitary Kit]],Table_NFI[Sanitary Kit])</f>
        <v>0</v>
      </c>
      <c r="AB823" s="352">
        <f>IF(NFI_Expiration=1,IF($A823&lt;VLOOKUP(K$5,NFI,5,0),1,0)*Table_NFI[[#This Row],[Mosquito net]],Table_NFI[Mosquito net])</f>
        <v>0</v>
      </c>
      <c r="AC823" s="352">
        <f>IF(NFI_Expiration=1,IF($A823&lt;VLOOKUP(L$5,NFI,5,0),1,0)*Table_NFI[[#This Row],[Tarpaulin]],Table_NFI[[#This Row],[Tarpaulin]])</f>
        <v>0</v>
      </c>
      <c r="AD823" s="352">
        <f>IF(NFI_Expiration=1,IF($A823&lt;VLOOKUP(M$5,NFI,5,0),1,0)*Table_NFI[[#This Row],[Blanket]],Table_NFI[[#This Row],[Blanket]])</f>
        <v>0</v>
      </c>
      <c r="AE823" s="352">
        <f>IF(NFI_Expiration=1,IF($A823&lt;VLOOKUP(N$5,NFI,5,0),1,0)*Table_NFI[[#This Row],[Kitchen Set]],Table_NFI[Kitchen Set])</f>
        <v>0</v>
      </c>
      <c r="AF823" s="352">
        <f>IF(NFI_Expiration=1,IF($A823&lt;VLOOKUP(O$5,NFI,5,0),1,0)*Table_NFI[[#This Row],[Clothes Kit]],Table_NFI[Clothes Kit])</f>
        <v>0</v>
      </c>
      <c r="AG823" s="352">
        <f>IF(NFI_Expiration=1,IF($A823&lt;VLOOKUP(P$5,NFI,5,0),1,0)*Table_NFI[[#This Row],[Plastic Bucket]],Table_NFI[Plastic Bucket])</f>
        <v>0</v>
      </c>
      <c r="AH823" s="352">
        <f>IF(NFI_Expiration=1,IF($A823&lt;VLOOKUP(Q$5,NFI,5,0),1,0)*Table_NFI[[#This Row],[Plastic Mat]],Table_NFI[Plastic Mat])*IF(Table_NFI[[#This Row],[Distribution Date]]&gt;"2014-04-01",1,2.5)</f>
        <v>0</v>
      </c>
      <c r="AI823" s="352">
        <f>IF(NFI_Expiration=1,IF($A823&lt;VLOOKUP(R$5,NFI,5,0),1,0)*Table_NFI[[#This Row],[Winter Clothes Adult]],Table_NFI[Winter Clothes Adult])</f>
        <v>0</v>
      </c>
      <c r="AJ823" s="352">
        <f>IF(NFI_Expiration=1,IF($A823&lt;VLOOKUP(S$5,NFI,5,0),1,0)*Table_NFI[[#This Row],[Winter Clothes Children]],Table_NFI[Winter Clothes Children])</f>
        <v>0</v>
      </c>
      <c r="AK823" s="352">
        <f>IF(NFI_Expiration=1,IF($A823&lt;VLOOKUP(T$5,NFI,5,0),1,0)*Table_NFI[[#This Row],[Winter Items Other]],Table_NFI[Winter Items Other])</f>
        <v>0</v>
      </c>
      <c r="AL823" s="352">
        <f>IF(NFI_Expiration=1,IF($A823&lt;VLOOKUP(M$5,NFI,5,0),1,0)*Table_NFI[[#This Row],[Winter Blanket]],Table_NFI[[#This Row],[Winter Blanket]])</f>
        <v>0</v>
      </c>
      <c r="AM823" s="352">
        <f>IF(Table_NFI[[#This Row],[Winter Clothes Adult]]+Table_NFI[[#This Row],[Winter Clothes Children]]+Table_NFI[[#This Row],[Winter Items Other]]+Table_NFI[[#This Row],[Winter Blanket]]&gt;0,1,0)</f>
        <v>1</v>
      </c>
      <c r="AN823" s="392">
        <f>IF(NFI_Expiration=1,IF($A823&lt;VLOOKUP(V$5,NFI,5,0),1,0)*Table_NFI[[#This Row],[Jerry Can]],Table_NFI[Jerry Can])</f>
        <v>0</v>
      </c>
      <c r="AO823" s="540" t="str">
        <f>IFERROR(VLOOKUP(Table_NFI[[#This Row],[Camp Name]],CL,2,0),"")</f>
        <v>MMR001CMP026</v>
      </c>
      <c r="AP823" s="535">
        <f ca="1">IF(Table_NFI[[#This Row],[Pcode]]="","",IF(OFFSET(CampList[Opening Date],MATCH(Table_NFI[[#This Row],[Pcode]],CampList[CP_Pcode],0)-1,0,1,1)&gt;=NFI_Monitor_Date,1,0))</f>
        <v>0</v>
      </c>
      <c r="AQ823" s="540" t="str">
        <f>IFERROR(VLOOKUP(Table_NFI[[#This Row],[Camp Name]],CL,3,0),"")</f>
        <v>Open</v>
      </c>
      <c r="AR823" s="352" t="str">
        <f ca="1">IF(Table_NFI[[#This Row],[Pcode]]="","",OFFSET(CampList[Priority],MATCH(Table_NFI[[#This Row],[Pcode]],CampList[CP_Pcode],0)-1,0,1,1))</f>
        <v>P4</v>
      </c>
      <c r="AS823" s="351">
        <f>IFERROR(Table_NFI[[#This Row],[Kitchen Set]]/VLOOKUP(Table_NFI[[#This Row],[Camp Name]],CL,4,0),"")</f>
        <v>0</v>
      </c>
      <c r="AT823" s="533"/>
      <c r="AU823" s="536"/>
    </row>
    <row r="824" spans="1:47" hidden="1" x14ac:dyDescent="0.25">
      <c r="A824" s="355">
        <f t="shared" si="12"/>
        <v>31.433333333333334</v>
      </c>
      <c r="B824" s="532">
        <v>41628</v>
      </c>
      <c r="C824" s="533" t="s">
        <v>907</v>
      </c>
      <c r="D824" s="533" t="s">
        <v>461</v>
      </c>
      <c r="E824" s="533" t="s">
        <v>380</v>
      </c>
      <c r="F824" s="533" t="s">
        <v>310</v>
      </c>
      <c r="G824" s="533" t="s">
        <v>351</v>
      </c>
      <c r="H824" s="349"/>
      <c r="I824" s="349"/>
      <c r="J824" s="349"/>
      <c r="K824" s="349"/>
      <c r="L824" s="350"/>
      <c r="M824" s="350"/>
      <c r="N824" s="350"/>
      <c r="O824" s="350"/>
      <c r="P824" s="352"/>
      <c r="Q824" s="352"/>
      <c r="R824" s="352">
        <v>102</v>
      </c>
      <c r="S824" s="352">
        <v>188</v>
      </c>
      <c r="T824" s="352">
        <v>580</v>
      </c>
      <c r="U824" s="352">
        <v>290</v>
      </c>
      <c r="V824" s="497"/>
      <c r="W824" s="352"/>
      <c r="X824" s="352"/>
      <c r="Y824" s="352">
        <f>IF(NFI_Expiration=1,IF($A824&lt;VLOOKUP(H$5,NFI,5,0),1,0)*Table_NFI[[#This Row],[Hygiene Kit]],Table_NFI[Hygiene Kit])</f>
        <v>0</v>
      </c>
      <c r="Z824" s="352">
        <f>IF(NFI_Expiration=1,IF($A824&lt;VLOOKUP(I$5,NFI,5,0),1,0)*Table_NFI[[#This Row],[NFI Core Kit]],Table_NFI[NFI Core Kit])</f>
        <v>0</v>
      </c>
      <c r="AA824" s="352">
        <f>IF(NFI_Expiration=1,IF($A824&lt;VLOOKUP(J$5,NFI,5,0),1,0)*Table_NFI[[#This Row],[Sanitary Kit]],Table_NFI[Sanitary Kit])</f>
        <v>0</v>
      </c>
      <c r="AB824" s="352">
        <f>IF(NFI_Expiration=1,IF($A824&lt;VLOOKUP(K$5,NFI,5,0),1,0)*Table_NFI[[#This Row],[Mosquito net]],Table_NFI[Mosquito net])</f>
        <v>0</v>
      </c>
      <c r="AC824" s="352">
        <f>IF(NFI_Expiration=1,IF($A824&lt;VLOOKUP(L$5,NFI,5,0),1,0)*Table_NFI[[#This Row],[Tarpaulin]],Table_NFI[[#This Row],[Tarpaulin]])</f>
        <v>0</v>
      </c>
      <c r="AD824" s="352">
        <f>IF(NFI_Expiration=1,IF($A824&lt;VLOOKUP(M$5,NFI,5,0),1,0)*Table_NFI[[#This Row],[Blanket]],Table_NFI[[#This Row],[Blanket]])</f>
        <v>0</v>
      </c>
      <c r="AE824" s="352">
        <f>IF(NFI_Expiration=1,IF($A824&lt;VLOOKUP(N$5,NFI,5,0),1,0)*Table_NFI[[#This Row],[Kitchen Set]],Table_NFI[Kitchen Set])</f>
        <v>0</v>
      </c>
      <c r="AF824" s="352">
        <f>IF(NFI_Expiration=1,IF($A824&lt;VLOOKUP(O$5,NFI,5,0),1,0)*Table_NFI[[#This Row],[Clothes Kit]],Table_NFI[Clothes Kit])</f>
        <v>0</v>
      </c>
      <c r="AG824" s="352">
        <f>IF(NFI_Expiration=1,IF($A824&lt;VLOOKUP(P$5,NFI,5,0),1,0)*Table_NFI[[#This Row],[Plastic Bucket]],Table_NFI[Plastic Bucket])</f>
        <v>0</v>
      </c>
      <c r="AH824" s="352">
        <f>IF(NFI_Expiration=1,IF($A824&lt;VLOOKUP(Q$5,NFI,5,0),1,0)*Table_NFI[[#This Row],[Plastic Mat]],Table_NFI[Plastic Mat])*IF(Table_NFI[[#This Row],[Distribution Date]]&gt;"2014-04-01",1,2.5)</f>
        <v>0</v>
      </c>
      <c r="AI824" s="352">
        <f>IF(NFI_Expiration=1,IF($A824&lt;VLOOKUP(R$5,NFI,5,0),1,0)*Table_NFI[[#This Row],[Winter Clothes Adult]],Table_NFI[Winter Clothes Adult])</f>
        <v>0</v>
      </c>
      <c r="AJ824" s="352">
        <f>IF(NFI_Expiration=1,IF($A824&lt;VLOOKUP(S$5,NFI,5,0),1,0)*Table_NFI[[#This Row],[Winter Clothes Children]],Table_NFI[Winter Clothes Children])</f>
        <v>0</v>
      </c>
      <c r="AK824" s="352">
        <f>IF(NFI_Expiration=1,IF($A824&lt;VLOOKUP(T$5,NFI,5,0),1,0)*Table_NFI[[#This Row],[Winter Items Other]],Table_NFI[Winter Items Other])</f>
        <v>0</v>
      </c>
      <c r="AL824" s="352">
        <f>IF(NFI_Expiration=1,IF($A824&lt;VLOOKUP(M$5,NFI,5,0),1,0)*Table_NFI[[#This Row],[Winter Blanket]],Table_NFI[[#This Row],[Winter Blanket]])</f>
        <v>0</v>
      </c>
      <c r="AM824" s="352">
        <f>IF(Table_NFI[[#This Row],[Winter Clothes Adult]]+Table_NFI[[#This Row],[Winter Clothes Children]]+Table_NFI[[#This Row],[Winter Items Other]]+Table_NFI[[#This Row],[Winter Blanket]]&gt;0,1,0)</f>
        <v>1</v>
      </c>
      <c r="AN824" s="392">
        <f>IF(NFI_Expiration=1,IF($A824&lt;VLOOKUP(V$5,NFI,5,0),1,0)*Table_NFI[[#This Row],[Jerry Can]],Table_NFI[Jerry Can])</f>
        <v>0</v>
      </c>
      <c r="AO824" s="540" t="str">
        <f>IFERROR(VLOOKUP(Table_NFI[[#This Row],[Camp Name]],CL,2,0),"")</f>
        <v>MMR001CMP026</v>
      </c>
      <c r="AP824" s="535">
        <f ca="1">IF(Table_NFI[[#This Row],[Pcode]]="","",IF(OFFSET(CampList[Opening Date],MATCH(Table_NFI[[#This Row],[Pcode]],CampList[CP_Pcode],0)-1,0,1,1)&gt;=NFI_Monitor_Date,1,0))</f>
        <v>0</v>
      </c>
      <c r="AQ824" s="540" t="str">
        <f>IFERROR(VLOOKUP(Table_NFI[[#This Row],[Camp Name]],CL,3,0),"")</f>
        <v>Open</v>
      </c>
      <c r="AR824" s="352" t="str">
        <f ca="1">IF(Table_NFI[[#This Row],[Pcode]]="","",OFFSET(CampList[Priority],MATCH(Table_NFI[[#This Row],[Pcode]],CampList[CP_Pcode],0)-1,0,1,1))</f>
        <v>P4</v>
      </c>
      <c r="AS824" s="351">
        <f>IFERROR(Table_NFI[[#This Row],[Kitchen Set]]/VLOOKUP(Table_NFI[[#This Row],[Camp Name]],CL,4,0),"")</f>
        <v>0</v>
      </c>
      <c r="AT824" s="533"/>
      <c r="AU824" s="536"/>
    </row>
    <row r="825" spans="1:47" hidden="1" x14ac:dyDescent="0.25">
      <c r="A825" s="355">
        <f t="shared" si="12"/>
        <v>32.1</v>
      </c>
      <c r="B825" s="532">
        <v>41608</v>
      </c>
      <c r="C825" s="533" t="s">
        <v>907</v>
      </c>
      <c r="D825" s="533" t="s">
        <v>461</v>
      </c>
      <c r="E825" s="533" t="s">
        <v>380</v>
      </c>
      <c r="F825" s="348" t="s">
        <v>310</v>
      </c>
      <c r="G825" s="348" t="s">
        <v>351</v>
      </c>
      <c r="H825" s="349"/>
      <c r="I825" s="349"/>
      <c r="J825" s="349"/>
      <c r="K825" s="349"/>
      <c r="L825" s="350"/>
      <c r="M825" s="350"/>
      <c r="N825" s="350"/>
      <c r="O825" s="350"/>
      <c r="P825" s="352"/>
      <c r="Q825" s="352"/>
      <c r="R825" s="352"/>
      <c r="S825" s="352"/>
      <c r="T825" s="352"/>
      <c r="U825" s="352"/>
      <c r="V825" s="497"/>
      <c r="W825" s="352"/>
      <c r="X825" s="352"/>
      <c r="Y825" s="352">
        <f>IF(NFI_Expiration=1,IF($A825&lt;VLOOKUP(H$5,NFI,5,0),1,0)*Table_NFI[[#This Row],[Hygiene Kit]],Table_NFI[Hygiene Kit])</f>
        <v>0</v>
      </c>
      <c r="Z825" s="352">
        <f>IF(NFI_Expiration=1,IF($A825&lt;VLOOKUP(I$5,NFI,5,0),1,0)*Table_NFI[[#This Row],[NFI Core Kit]],Table_NFI[NFI Core Kit])</f>
        <v>0</v>
      </c>
      <c r="AA825" s="352">
        <f>IF(NFI_Expiration=1,IF($A825&lt;VLOOKUP(J$5,NFI,5,0),1,0)*Table_NFI[[#This Row],[Sanitary Kit]],Table_NFI[Sanitary Kit])</f>
        <v>0</v>
      </c>
      <c r="AB825" s="352">
        <f>IF(NFI_Expiration=1,IF($A825&lt;VLOOKUP(K$5,NFI,5,0),1,0)*Table_NFI[[#This Row],[Mosquito net]],Table_NFI[Mosquito net])</f>
        <v>0</v>
      </c>
      <c r="AC825" s="352">
        <f>IF(NFI_Expiration=1,IF($A825&lt;VLOOKUP(L$5,NFI,5,0),1,0)*Table_NFI[[#This Row],[Tarpaulin]],Table_NFI[[#This Row],[Tarpaulin]])</f>
        <v>0</v>
      </c>
      <c r="AD825" s="352">
        <f>IF(NFI_Expiration=1,IF($A825&lt;VLOOKUP(M$5,NFI,5,0),1,0)*Table_NFI[[#This Row],[Blanket]],Table_NFI[[#This Row],[Blanket]])</f>
        <v>0</v>
      </c>
      <c r="AE825" s="352">
        <f>IF(NFI_Expiration=1,IF($A825&lt;VLOOKUP(N$5,NFI,5,0),1,0)*Table_NFI[[#This Row],[Kitchen Set]],Table_NFI[Kitchen Set])</f>
        <v>0</v>
      </c>
      <c r="AF825" s="352">
        <f>IF(NFI_Expiration=1,IF($A825&lt;VLOOKUP(O$5,NFI,5,0),1,0)*Table_NFI[[#This Row],[Clothes Kit]],Table_NFI[Clothes Kit])</f>
        <v>0</v>
      </c>
      <c r="AG825" s="352">
        <f>IF(NFI_Expiration=1,IF($A825&lt;VLOOKUP(P$5,NFI,5,0),1,0)*Table_NFI[[#This Row],[Plastic Bucket]],Table_NFI[Plastic Bucket])</f>
        <v>0</v>
      </c>
      <c r="AH825" s="352">
        <f>IF(NFI_Expiration=1,IF($A825&lt;VLOOKUP(Q$5,NFI,5,0),1,0)*Table_NFI[[#This Row],[Plastic Mat]],Table_NFI[Plastic Mat])*IF(Table_NFI[[#This Row],[Distribution Date]]&gt;"2014-04-01",1,2.5)</f>
        <v>0</v>
      </c>
      <c r="AI825" s="352">
        <f>IF(NFI_Expiration=1,IF($A825&lt;VLOOKUP(R$5,NFI,5,0),1,0)*Table_NFI[[#This Row],[Winter Clothes Adult]],Table_NFI[Winter Clothes Adult])</f>
        <v>0</v>
      </c>
      <c r="AJ825" s="352">
        <f>IF(NFI_Expiration=1,IF($A825&lt;VLOOKUP(S$5,NFI,5,0),1,0)*Table_NFI[[#This Row],[Winter Clothes Children]],Table_NFI[Winter Clothes Children])</f>
        <v>0</v>
      </c>
      <c r="AK825" s="352">
        <f>IF(NFI_Expiration=1,IF($A825&lt;VLOOKUP(T$5,NFI,5,0),1,0)*Table_NFI[[#This Row],[Winter Items Other]],Table_NFI[Winter Items Other])</f>
        <v>0</v>
      </c>
      <c r="AL825" s="352">
        <f>IF(NFI_Expiration=1,IF($A825&lt;VLOOKUP(M$5,NFI,5,0),1,0)*Table_NFI[[#This Row],[Winter Blanket]],Table_NFI[[#This Row],[Winter Blanket]])</f>
        <v>0</v>
      </c>
      <c r="AM825" s="352">
        <f>IF(Table_NFI[[#This Row],[Winter Clothes Adult]]+Table_NFI[[#This Row],[Winter Clothes Children]]+Table_NFI[[#This Row],[Winter Items Other]]+Table_NFI[[#This Row],[Winter Blanket]]&gt;0,1,0)</f>
        <v>0</v>
      </c>
      <c r="AN825" s="392">
        <f>IF(NFI_Expiration=1,IF($A825&lt;VLOOKUP(V$5,NFI,5,0),1,0)*Table_NFI[[#This Row],[Jerry Can]],Table_NFI[Jerry Can])</f>
        <v>0</v>
      </c>
      <c r="AO825" s="540" t="str">
        <f>IFERROR(VLOOKUP(Table_NFI[[#This Row],[Camp Name]],CL,2,0),"")</f>
        <v>MMR001CMP026</v>
      </c>
      <c r="AP825" s="535">
        <f ca="1">IF(Table_NFI[[#This Row],[Pcode]]="","",IF(OFFSET(CampList[Opening Date],MATCH(Table_NFI[[#This Row],[Pcode]],CampList[CP_Pcode],0)-1,0,1,1)&gt;=NFI_Monitor_Date,1,0))</f>
        <v>0</v>
      </c>
      <c r="AQ825" s="540" t="str">
        <f>IFERROR(VLOOKUP(Table_NFI[[#This Row],[Camp Name]],CL,3,0),"")</f>
        <v>Open</v>
      </c>
      <c r="AR825" s="352" t="str">
        <f ca="1">IF(Table_NFI[[#This Row],[Pcode]]="","",OFFSET(CampList[Priority],MATCH(Table_NFI[[#This Row],[Pcode]],CampList[CP_Pcode],0)-1,0,1,1))</f>
        <v>P4</v>
      </c>
      <c r="AS825" s="351">
        <f>IFERROR(Table_NFI[[#This Row],[Kitchen Set]]/VLOOKUP(Table_NFI[[#This Row],[Camp Name]],CL,4,0),"")</f>
        <v>0</v>
      </c>
      <c r="AT825" s="533" t="s">
        <v>1094</v>
      </c>
      <c r="AU825" s="536"/>
    </row>
    <row r="826" spans="1:47" ht="14.45" customHeight="1" x14ac:dyDescent="0.25">
      <c r="A826" s="355">
        <f t="shared" si="12"/>
        <v>48.93333333333333</v>
      </c>
      <c r="B826" s="532">
        <v>41103</v>
      </c>
      <c r="C826" s="533" t="s">
        <v>453</v>
      </c>
      <c r="D826" s="534" t="s">
        <v>453</v>
      </c>
      <c r="E826" s="533" t="s">
        <v>380</v>
      </c>
      <c r="F826" s="348" t="s">
        <v>310</v>
      </c>
      <c r="G826" s="348" t="s">
        <v>311</v>
      </c>
      <c r="H826" s="349"/>
      <c r="I826" s="349"/>
      <c r="J826" s="349"/>
      <c r="K826" s="349">
        <v>2</v>
      </c>
      <c r="L826" s="350">
        <v>2</v>
      </c>
      <c r="M826" s="350">
        <v>2</v>
      </c>
      <c r="N826" s="350">
        <v>2</v>
      </c>
      <c r="O826" s="350">
        <v>2</v>
      </c>
      <c r="P826" s="352">
        <v>2</v>
      </c>
      <c r="Q826" s="352">
        <v>2</v>
      </c>
      <c r="R826" s="352"/>
      <c r="S826" s="352"/>
      <c r="T826" s="352"/>
      <c r="U826" s="352"/>
      <c r="V826" s="497"/>
      <c r="W826" s="352"/>
      <c r="X826" s="352"/>
      <c r="Y826" s="352">
        <f>IF(NFI_Expiration=1,IF($A826&lt;VLOOKUP(H$5,NFI,5,0),1,0)*Table_NFI[[#This Row],[Hygiene Kit]],Table_NFI[Hygiene Kit])</f>
        <v>0</v>
      </c>
      <c r="Z826" s="352">
        <f>IF(NFI_Expiration=1,IF($A826&lt;VLOOKUP(I$5,NFI,5,0),1,0)*Table_NFI[[#This Row],[NFI Core Kit]],Table_NFI[NFI Core Kit])</f>
        <v>0</v>
      </c>
      <c r="AA826" s="352">
        <f>IF(NFI_Expiration=1,IF($A826&lt;VLOOKUP(J$5,NFI,5,0),1,0)*Table_NFI[[#This Row],[Sanitary Kit]],Table_NFI[Sanitary Kit])</f>
        <v>0</v>
      </c>
      <c r="AB826" s="352">
        <f>IF(NFI_Expiration=1,IF($A826&lt;VLOOKUP(K$5,NFI,5,0),1,0)*Table_NFI[[#This Row],[Mosquito net]],Table_NFI[Mosquito net])</f>
        <v>0</v>
      </c>
      <c r="AC826" s="352">
        <f>IF(NFI_Expiration=1,IF($A826&lt;VLOOKUP(L$5,NFI,5,0),1,0)*Table_NFI[[#This Row],[Tarpaulin]],Table_NFI[[#This Row],[Tarpaulin]])</f>
        <v>0</v>
      </c>
      <c r="AD826" s="352">
        <f>IF(NFI_Expiration=1,IF($A826&lt;VLOOKUP(M$5,NFI,5,0),1,0)*Table_NFI[[#This Row],[Blanket]],Table_NFI[[#This Row],[Blanket]])</f>
        <v>0</v>
      </c>
      <c r="AE826" s="352">
        <f>IF(NFI_Expiration=1,IF($A826&lt;VLOOKUP(N$5,NFI,5,0),1,0)*Table_NFI[[#This Row],[Kitchen Set]],Table_NFI[Kitchen Set])</f>
        <v>0</v>
      </c>
      <c r="AF826" s="352">
        <f>IF(NFI_Expiration=1,IF($A826&lt;VLOOKUP(O$5,NFI,5,0),1,0)*Table_NFI[[#This Row],[Clothes Kit]],Table_NFI[Clothes Kit])</f>
        <v>0</v>
      </c>
      <c r="AG826" s="352">
        <f>IF(NFI_Expiration=1,IF($A826&lt;VLOOKUP(P$5,NFI,5,0),1,0)*Table_NFI[[#This Row],[Plastic Bucket]],Table_NFI[Plastic Bucket])</f>
        <v>0</v>
      </c>
      <c r="AH826" s="352">
        <f>IF(NFI_Expiration=1,IF($A826&lt;VLOOKUP(Q$5,NFI,5,0),1,0)*Table_NFI[[#This Row],[Plastic Mat]],Table_NFI[Plastic Mat])*IF(Table_NFI[[#This Row],[Distribution Date]]&gt;"2014-04-01",1,2.5)</f>
        <v>0</v>
      </c>
      <c r="AI826" s="352">
        <f>IF(NFI_Expiration=1,IF($A826&lt;VLOOKUP(R$5,NFI,5,0),1,0)*Table_NFI[[#This Row],[Winter Clothes Adult]],Table_NFI[Winter Clothes Adult])</f>
        <v>0</v>
      </c>
      <c r="AJ826" s="352">
        <f>IF(NFI_Expiration=1,IF($A826&lt;VLOOKUP(S$5,NFI,5,0),1,0)*Table_NFI[[#This Row],[Winter Clothes Children]],Table_NFI[Winter Clothes Children])</f>
        <v>0</v>
      </c>
      <c r="AK826" s="352">
        <f>IF(NFI_Expiration=1,IF($A826&lt;VLOOKUP(T$5,NFI,5,0),1,0)*Table_NFI[[#This Row],[Winter Items Other]],Table_NFI[Winter Items Other])</f>
        <v>0</v>
      </c>
      <c r="AL826" s="352">
        <f>IF(NFI_Expiration=1,IF($A826&lt;VLOOKUP(M$5,NFI,5,0),1,0)*Table_NFI[[#This Row],[Winter Blanket]],Table_NFI[[#This Row],[Winter Blanket]])</f>
        <v>0</v>
      </c>
      <c r="AM826" s="352">
        <f>IF(Table_NFI[[#This Row],[Winter Clothes Adult]]+Table_NFI[[#This Row],[Winter Clothes Children]]+Table_NFI[[#This Row],[Winter Items Other]]+Table_NFI[[#This Row],[Winter Blanket]]&gt;0,1,0)</f>
        <v>0</v>
      </c>
      <c r="AN826" s="392">
        <f>IF(NFI_Expiration=1,IF($A826&lt;VLOOKUP(V$5,NFI,5,0),1,0)*Table_NFI[[#This Row],[Jerry Can]],Table_NFI[Jerry Can])</f>
        <v>0</v>
      </c>
      <c r="AO826" s="540" t="str">
        <f>IFERROR(VLOOKUP(Table_NFI[[#This Row],[Camp Name]],CL,2,0),"")</f>
        <v>MMR001CMP036</v>
      </c>
      <c r="AP826" s="535">
        <f ca="1">IF(Table_NFI[[#This Row],[Pcode]]="","",IF(OFFSET(CampList[Opening Date],MATCH(Table_NFI[[#This Row],[Pcode]],CampList[CP_Pcode],0)-1,0,1,1)&gt;=NFI_Monitor_Date,1,0))</f>
        <v>0</v>
      </c>
      <c r="AQ826" s="540" t="str">
        <f>IFERROR(VLOOKUP(Table_NFI[[#This Row],[Camp Name]],CL,3,0),"")</f>
        <v>Closed</v>
      </c>
      <c r="AR826" s="352" t="str">
        <f ca="1">IF(Table_NFI[[#This Row],[Pcode]]="","",OFFSET(CampList[Priority],MATCH(Table_NFI[[#This Row],[Pcode]],CampList[CP_Pcode],0)-1,0,1,1))</f>
        <v>P4</v>
      </c>
      <c r="AS826" s="351" t="str">
        <f>IFERROR(Table_NFI[[#This Row],[Kitchen Set]]/VLOOKUP(Table_NFI[[#This Row],[Camp Name]],CL,4,0),"")</f>
        <v/>
      </c>
      <c r="AT826" s="533" t="s">
        <v>1094</v>
      </c>
      <c r="AU826" s="536"/>
    </row>
    <row r="827" spans="1:47" ht="14.45" hidden="1" customHeight="1" x14ac:dyDescent="0.25">
      <c r="A827" s="355">
        <f t="shared" si="12"/>
        <v>42.033333333333331</v>
      </c>
      <c r="B827" s="532">
        <v>41310</v>
      </c>
      <c r="C827" s="533" t="s">
        <v>902</v>
      </c>
      <c r="D827" s="533" t="s">
        <v>902</v>
      </c>
      <c r="E827" s="533" t="s">
        <v>380</v>
      </c>
      <c r="F827" s="348" t="s">
        <v>310</v>
      </c>
      <c r="G827" s="348" t="s">
        <v>351</v>
      </c>
      <c r="H827" s="349">
        <v>20</v>
      </c>
      <c r="I827" s="349"/>
      <c r="J827" s="349"/>
      <c r="K827" s="349"/>
      <c r="L827" s="350"/>
      <c r="M827" s="350"/>
      <c r="N827" s="350"/>
      <c r="O827" s="350"/>
      <c r="P827" s="352">
        <v>0</v>
      </c>
      <c r="Q827" s="352">
        <v>0</v>
      </c>
      <c r="R827" s="352"/>
      <c r="S827" s="352"/>
      <c r="T827" s="352"/>
      <c r="U827" s="352"/>
      <c r="V827" s="497"/>
      <c r="W827" s="352"/>
      <c r="X827" s="352"/>
      <c r="Y827" s="352">
        <f>IF(NFI_Expiration=1,IF($A827&lt;VLOOKUP(H$5,NFI,5,0),1,0)*Table_NFI[[#This Row],[Hygiene Kit]],Table_NFI[Hygiene Kit])</f>
        <v>0</v>
      </c>
      <c r="Z827" s="352">
        <f>IF(NFI_Expiration=1,IF($A827&lt;VLOOKUP(I$5,NFI,5,0),1,0)*Table_NFI[[#This Row],[NFI Core Kit]],Table_NFI[NFI Core Kit])</f>
        <v>0</v>
      </c>
      <c r="AA827" s="352">
        <f>IF(NFI_Expiration=1,IF($A827&lt;VLOOKUP(J$5,NFI,5,0),1,0)*Table_NFI[[#This Row],[Sanitary Kit]],Table_NFI[Sanitary Kit])</f>
        <v>0</v>
      </c>
      <c r="AB827" s="352">
        <f>IF(NFI_Expiration=1,IF($A827&lt;VLOOKUP(K$5,NFI,5,0),1,0)*Table_NFI[[#This Row],[Mosquito net]],Table_NFI[Mosquito net])</f>
        <v>0</v>
      </c>
      <c r="AC827" s="352">
        <f>IF(NFI_Expiration=1,IF($A827&lt;VLOOKUP(L$5,NFI,5,0),1,0)*Table_NFI[[#This Row],[Tarpaulin]],Table_NFI[[#This Row],[Tarpaulin]])</f>
        <v>0</v>
      </c>
      <c r="AD827" s="352">
        <f>IF(NFI_Expiration=1,IF($A827&lt;VLOOKUP(M$5,NFI,5,0),1,0)*Table_NFI[[#This Row],[Blanket]],Table_NFI[[#This Row],[Blanket]])</f>
        <v>0</v>
      </c>
      <c r="AE827" s="352">
        <f>IF(NFI_Expiration=1,IF($A827&lt;VLOOKUP(N$5,NFI,5,0),1,0)*Table_NFI[[#This Row],[Kitchen Set]],Table_NFI[Kitchen Set])</f>
        <v>0</v>
      </c>
      <c r="AF827" s="352">
        <f>IF(NFI_Expiration=1,IF($A827&lt;VLOOKUP(O$5,NFI,5,0),1,0)*Table_NFI[[#This Row],[Clothes Kit]],Table_NFI[Clothes Kit])</f>
        <v>0</v>
      </c>
      <c r="AG827" s="352">
        <f>IF(NFI_Expiration=1,IF($A827&lt;VLOOKUP(P$5,NFI,5,0),1,0)*Table_NFI[[#This Row],[Plastic Bucket]],Table_NFI[Plastic Bucket])</f>
        <v>0</v>
      </c>
      <c r="AH827" s="352">
        <f>IF(NFI_Expiration=1,IF($A827&lt;VLOOKUP(Q$5,NFI,5,0),1,0)*Table_NFI[[#This Row],[Plastic Mat]],Table_NFI[Plastic Mat])*IF(Table_NFI[[#This Row],[Distribution Date]]&gt;"2014-04-01",1,2.5)</f>
        <v>0</v>
      </c>
      <c r="AI827" s="352">
        <f>IF(NFI_Expiration=1,IF($A827&lt;VLOOKUP(R$5,NFI,5,0),1,0)*Table_NFI[[#This Row],[Winter Clothes Adult]],Table_NFI[Winter Clothes Adult])</f>
        <v>0</v>
      </c>
      <c r="AJ827" s="352">
        <f>IF(NFI_Expiration=1,IF($A827&lt;VLOOKUP(S$5,NFI,5,0),1,0)*Table_NFI[[#This Row],[Winter Clothes Children]],Table_NFI[Winter Clothes Children])</f>
        <v>0</v>
      </c>
      <c r="AK827" s="352">
        <f>IF(NFI_Expiration=1,IF($A827&lt;VLOOKUP(T$5,NFI,5,0),1,0)*Table_NFI[[#This Row],[Winter Items Other]],Table_NFI[Winter Items Other])</f>
        <v>0</v>
      </c>
      <c r="AL827" s="352">
        <f>IF(NFI_Expiration=1,IF($A827&lt;VLOOKUP(M$5,NFI,5,0),1,0)*Table_NFI[[#This Row],[Winter Blanket]],Table_NFI[[#This Row],[Winter Blanket]])</f>
        <v>0</v>
      </c>
      <c r="AM827" s="352">
        <f>IF(Table_NFI[[#This Row],[Winter Clothes Adult]]+Table_NFI[[#This Row],[Winter Clothes Children]]+Table_NFI[[#This Row],[Winter Items Other]]+Table_NFI[[#This Row],[Winter Blanket]]&gt;0,1,0)</f>
        <v>0</v>
      </c>
      <c r="AN827" s="392">
        <f>IF(NFI_Expiration=1,IF($A827&lt;VLOOKUP(V$5,NFI,5,0),1,0)*Table_NFI[[#This Row],[Jerry Can]],Table_NFI[Jerry Can])</f>
        <v>0</v>
      </c>
      <c r="AO827" s="540" t="str">
        <f>IFERROR(VLOOKUP(Table_NFI[[#This Row],[Camp Name]],CL,2,0),"")</f>
        <v>MMR001CMP026</v>
      </c>
      <c r="AP827" s="535">
        <f ca="1">IF(Table_NFI[[#This Row],[Pcode]]="","",IF(OFFSET(CampList[Opening Date],MATCH(Table_NFI[[#This Row],[Pcode]],CampList[CP_Pcode],0)-1,0,1,1)&gt;=NFI_Monitor_Date,1,0))</f>
        <v>0</v>
      </c>
      <c r="AQ827" s="540" t="str">
        <f>IFERROR(VLOOKUP(Table_NFI[[#This Row],[Camp Name]],CL,3,0),"")</f>
        <v>Open</v>
      </c>
      <c r="AR827" s="352" t="str">
        <f ca="1">IF(Table_NFI[[#This Row],[Pcode]]="","",OFFSET(CampList[Priority],MATCH(Table_NFI[[#This Row],[Pcode]],CampList[CP_Pcode],0)-1,0,1,1))</f>
        <v>P4</v>
      </c>
      <c r="AS827" s="351">
        <f>IFERROR(Table_NFI[[#This Row],[Kitchen Set]]/VLOOKUP(Table_NFI[[#This Row],[Camp Name]],CL,4,0),"")</f>
        <v>0</v>
      </c>
      <c r="AT827" s="533" t="s">
        <v>1094</v>
      </c>
      <c r="AU827" s="536"/>
    </row>
    <row r="828" spans="1:47" ht="14.45" hidden="1" customHeight="1" x14ac:dyDescent="0.25">
      <c r="A828" s="355">
        <f t="shared" si="12"/>
        <v>42.2</v>
      </c>
      <c r="B828" s="532">
        <v>41305</v>
      </c>
      <c r="C828" s="533" t="s">
        <v>570</v>
      </c>
      <c r="D828" s="534" t="s">
        <v>570</v>
      </c>
      <c r="E828" s="533" t="s">
        <v>380</v>
      </c>
      <c r="F828" s="348" t="s">
        <v>310</v>
      </c>
      <c r="G828" s="348" t="s">
        <v>351</v>
      </c>
      <c r="H828" s="349"/>
      <c r="I828" s="349"/>
      <c r="J828" s="349"/>
      <c r="K828" s="349"/>
      <c r="L828" s="350"/>
      <c r="M828" s="350">
        <v>188</v>
      </c>
      <c r="N828" s="350"/>
      <c r="O828" s="350"/>
      <c r="P828" s="352">
        <v>0</v>
      </c>
      <c r="Q828" s="352">
        <v>0</v>
      </c>
      <c r="R828" s="352"/>
      <c r="S828" s="352"/>
      <c r="T828" s="352"/>
      <c r="U828" s="352"/>
      <c r="V828" s="497"/>
      <c r="W828" s="352"/>
      <c r="X828" s="352"/>
      <c r="Y828" s="352">
        <f>IF(NFI_Expiration=1,IF($A828&lt;VLOOKUP(H$5,NFI,5,0),1,0)*Table_NFI[[#This Row],[Hygiene Kit]],Table_NFI[Hygiene Kit])</f>
        <v>0</v>
      </c>
      <c r="Z828" s="352">
        <f>IF(NFI_Expiration=1,IF($A828&lt;VLOOKUP(I$5,NFI,5,0),1,0)*Table_NFI[[#This Row],[NFI Core Kit]],Table_NFI[NFI Core Kit])</f>
        <v>0</v>
      </c>
      <c r="AA828" s="352">
        <f>IF(NFI_Expiration=1,IF($A828&lt;VLOOKUP(J$5,NFI,5,0),1,0)*Table_NFI[[#This Row],[Sanitary Kit]],Table_NFI[Sanitary Kit])</f>
        <v>0</v>
      </c>
      <c r="AB828" s="352">
        <f>IF(NFI_Expiration=1,IF($A828&lt;VLOOKUP(K$5,NFI,5,0),1,0)*Table_NFI[[#This Row],[Mosquito net]],Table_NFI[Mosquito net])</f>
        <v>0</v>
      </c>
      <c r="AC828" s="352">
        <f>IF(NFI_Expiration=1,IF($A828&lt;VLOOKUP(L$5,NFI,5,0),1,0)*Table_NFI[[#This Row],[Tarpaulin]],Table_NFI[[#This Row],[Tarpaulin]])</f>
        <v>0</v>
      </c>
      <c r="AD828" s="352">
        <f>IF(NFI_Expiration=1,IF($A828&lt;VLOOKUP(M$5,NFI,5,0),1,0)*Table_NFI[[#This Row],[Blanket]],Table_NFI[[#This Row],[Blanket]])</f>
        <v>0</v>
      </c>
      <c r="AE828" s="352">
        <f>IF(NFI_Expiration=1,IF($A828&lt;VLOOKUP(N$5,NFI,5,0),1,0)*Table_NFI[[#This Row],[Kitchen Set]],Table_NFI[Kitchen Set])</f>
        <v>0</v>
      </c>
      <c r="AF828" s="352">
        <f>IF(NFI_Expiration=1,IF($A828&lt;VLOOKUP(O$5,NFI,5,0),1,0)*Table_NFI[[#This Row],[Clothes Kit]],Table_NFI[Clothes Kit])</f>
        <v>0</v>
      </c>
      <c r="AG828" s="352">
        <f>IF(NFI_Expiration=1,IF($A828&lt;VLOOKUP(P$5,NFI,5,0),1,0)*Table_NFI[[#This Row],[Plastic Bucket]],Table_NFI[Plastic Bucket])</f>
        <v>0</v>
      </c>
      <c r="AH828" s="352">
        <f>IF(NFI_Expiration=1,IF($A828&lt;VLOOKUP(Q$5,NFI,5,0),1,0)*Table_NFI[[#This Row],[Plastic Mat]],Table_NFI[Plastic Mat])*IF(Table_NFI[[#This Row],[Distribution Date]]&gt;"2014-04-01",1,2.5)</f>
        <v>0</v>
      </c>
      <c r="AI828" s="352">
        <f>IF(NFI_Expiration=1,IF($A828&lt;VLOOKUP(R$5,NFI,5,0),1,0)*Table_NFI[[#This Row],[Winter Clothes Adult]],Table_NFI[Winter Clothes Adult])</f>
        <v>0</v>
      </c>
      <c r="AJ828" s="352">
        <f>IF(NFI_Expiration=1,IF($A828&lt;VLOOKUP(S$5,NFI,5,0),1,0)*Table_NFI[[#This Row],[Winter Clothes Children]],Table_NFI[Winter Clothes Children])</f>
        <v>0</v>
      </c>
      <c r="AK828" s="352">
        <f>IF(NFI_Expiration=1,IF($A828&lt;VLOOKUP(T$5,NFI,5,0),1,0)*Table_NFI[[#This Row],[Winter Items Other]],Table_NFI[Winter Items Other])</f>
        <v>0</v>
      </c>
      <c r="AL828" s="352">
        <f>IF(NFI_Expiration=1,IF($A828&lt;VLOOKUP(M$5,NFI,5,0),1,0)*Table_NFI[[#This Row],[Winter Blanket]],Table_NFI[[#This Row],[Winter Blanket]])</f>
        <v>0</v>
      </c>
      <c r="AM828" s="352">
        <f>IF(Table_NFI[[#This Row],[Winter Clothes Adult]]+Table_NFI[[#This Row],[Winter Clothes Children]]+Table_NFI[[#This Row],[Winter Items Other]]+Table_NFI[[#This Row],[Winter Blanket]]&gt;0,1,0)</f>
        <v>0</v>
      </c>
      <c r="AN828" s="392">
        <f>IF(NFI_Expiration=1,IF($A828&lt;VLOOKUP(V$5,NFI,5,0),1,0)*Table_NFI[[#This Row],[Jerry Can]],Table_NFI[Jerry Can])</f>
        <v>0</v>
      </c>
      <c r="AO828" s="540" t="str">
        <f>IFERROR(VLOOKUP(Table_NFI[[#This Row],[Camp Name]],CL,2,0),"")</f>
        <v>MMR001CMP026</v>
      </c>
      <c r="AP828" s="535">
        <f ca="1">IF(Table_NFI[[#This Row],[Pcode]]="","",IF(OFFSET(CampList[Opening Date],MATCH(Table_NFI[[#This Row],[Pcode]],CampList[CP_Pcode],0)-1,0,1,1)&gt;=NFI_Monitor_Date,1,0))</f>
        <v>0</v>
      </c>
      <c r="AQ828" s="540" t="str">
        <f>IFERROR(VLOOKUP(Table_NFI[[#This Row],[Camp Name]],CL,3,0),"")</f>
        <v>Open</v>
      </c>
      <c r="AR828" s="352" t="str">
        <f ca="1">IF(Table_NFI[[#This Row],[Pcode]]="","",OFFSET(CampList[Priority],MATCH(Table_NFI[[#This Row],[Pcode]],CampList[CP_Pcode],0)-1,0,1,1))</f>
        <v>P4</v>
      </c>
      <c r="AS828" s="351">
        <f>IFERROR(Table_NFI[[#This Row],[Kitchen Set]]/VLOOKUP(Table_NFI[[#This Row],[Camp Name]],CL,4,0),"")</f>
        <v>0</v>
      </c>
      <c r="AT828" s="533" t="s">
        <v>1094</v>
      </c>
      <c r="AU828" s="536"/>
    </row>
    <row r="829" spans="1:47" ht="14.45" hidden="1" customHeight="1" x14ac:dyDescent="0.25">
      <c r="A829" s="355">
        <f t="shared" si="12"/>
        <v>43.233333333333334</v>
      </c>
      <c r="B829" s="532">
        <v>41274</v>
      </c>
      <c r="C829" s="533" t="s">
        <v>454</v>
      </c>
      <c r="D829" s="534" t="s">
        <v>454</v>
      </c>
      <c r="E829" s="533" t="s">
        <v>380</v>
      </c>
      <c r="F829" s="348" t="s">
        <v>310</v>
      </c>
      <c r="G829" s="348" t="s">
        <v>351</v>
      </c>
      <c r="H829" s="349">
        <v>96</v>
      </c>
      <c r="I829" s="349"/>
      <c r="J829" s="349"/>
      <c r="K829" s="349"/>
      <c r="L829" s="350"/>
      <c r="M829" s="350"/>
      <c r="N829" s="350"/>
      <c r="O829" s="350"/>
      <c r="P829" s="352">
        <v>0</v>
      </c>
      <c r="Q829" s="352">
        <v>0</v>
      </c>
      <c r="R829" s="352"/>
      <c r="S829" s="352"/>
      <c r="T829" s="352"/>
      <c r="U829" s="352"/>
      <c r="V829" s="497"/>
      <c r="W829" s="352"/>
      <c r="X829" s="352"/>
      <c r="Y829" s="352">
        <f>IF(NFI_Expiration=1,IF($A829&lt;VLOOKUP(H$5,NFI,5,0),1,0)*Table_NFI[[#This Row],[Hygiene Kit]],Table_NFI[Hygiene Kit])</f>
        <v>0</v>
      </c>
      <c r="Z829" s="352">
        <f>IF(NFI_Expiration=1,IF($A829&lt;VLOOKUP(I$5,NFI,5,0),1,0)*Table_NFI[[#This Row],[NFI Core Kit]],Table_NFI[NFI Core Kit])</f>
        <v>0</v>
      </c>
      <c r="AA829" s="352">
        <f>IF(NFI_Expiration=1,IF($A829&lt;VLOOKUP(J$5,NFI,5,0),1,0)*Table_NFI[[#This Row],[Sanitary Kit]],Table_NFI[Sanitary Kit])</f>
        <v>0</v>
      </c>
      <c r="AB829" s="352">
        <f>IF(NFI_Expiration=1,IF($A829&lt;VLOOKUP(K$5,NFI,5,0),1,0)*Table_NFI[[#This Row],[Mosquito net]],Table_NFI[Mosquito net])</f>
        <v>0</v>
      </c>
      <c r="AC829" s="352">
        <f>IF(NFI_Expiration=1,IF($A829&lt;VLOOKUP(L$5,NFI,5,0),1,0)*Table_NFI[[#This Row],[Tarpaulin]],Table_NFI[[#This Row],[Tarpaulin]])</f>
        <v>0</v>
      </c>
      <c r="AD829" s="352">
        <f>IF(NFI_Expiration=1,IF($A829&lt;VLOOKUP(M$5,NFI,5,0),1,0)*Table_NFI[[#This Row],[Blanket]],Table_NFI[[#This Row],[Blanket]])</f>
        <v>0</v>
      </c>
      <c r="AE829" s="352">
        <f>IF(NFI_Expiration=1,IF($A829&lt;VLOOKUP(N$5,NFI,5,0),1,0)*Table_NFI[[#This Row],[Kitchen Set]],Table_NFI[Kitchen Set])</f>
        <v>0</v>
      </c>
      <c r="AF829" s="352">
        <f>IF(NFI_Expiration=1,IF($A829&lt;VLOOKUP(O$5,NFI,5,0),1,0)*Table_NFI[[#This Row],[Clothes Kit]],Table_NFI[Clothes Kit])</f>
        <v>0</v>
      </c>
      <c r="AG829" s="352">
        <f>IF(NFI_Expiration=1,IF($A829&lt;VLOOKUP(P$5,NFI,5,0),1,0)*Table_NFI[[#This Row],[Plastic Bucket]],Table_NFI[Plastic Bucket])</f>
        <v>0</v>
      </c>
      <c r="AH829" s="352">
        <f>IF(NFI_Expiration=1,IF($A829&lt;VLOOKUP(Q$5,NFI,5,0),1,0)*Table_NFI[[#This Row],[Plastic Mat]],Table_NFI[Plastic Mat])*IF(Table_NFI[[#This Row],[Distribution Date]]&gt;"2014-04-01",1,2.5)</f>
        <v>0</v>
      </c>
      <c r="AI829" s="352">
        <f>IF(NFI_Expiration=1,IF($A829&lt;VLOOKUP(R$5,NFI,5,0),1,0)*Table_NFI[[#This Row],[Winter Clothes Adult]],Table_NFI[Winter Clothes Adult])</f>
        <v>0</v>
      </c>
      <c r="AJ829" s="352">
        <f>IF(NFI_Expiration=1,IF($A829&lt;VLOOKUP(S$5,NFI,5,0),1,0)*Table_NFI[[#This Row],[Winter Clothes Children]],Table_NFI[Winter Clothes Children])</f>
        <v>0</v>
      </c>
      <c r="AK829" s="352">
        <f>IF(NFI_Expiration=1,IF($A829&lt;VLOOKUP(T$5,NFI,5,0),1,0)*Table_NFI[[#This Row],[Winter Items Other]],Table_NFI[Winter Items Other])</f>
        <v>0</v>
      </c>
      <c r="AL829" s="352">
        <f>IF(NFI_Expiration=1,IF($A829&lt;VLOOKUP(M$5,NFI,5,0),1,0)*Table_NFI[[#This Row],[Winter Blanket]],Table_NFI[[#This Row],[Winter Blanket]])</f>
        <v>0</v>
      </c>
      <c r="AM829" s="352">
        <f>IF(Table_NFI[[#This Row],[Winter Clothes Adult]]+Table_NFI[[#This Row],[Winter Clothes Children]]+Table_NFI[[#This Row],[Winter Items Other]]+Table_NFI[[#This Row],[Winter Blanket]]&gt;0,1,0)</f>
        <v>0</v>
      </c>
      <c r="AN829" s="392">
        <f>IF(NFI_Expiration=1,IF($A829&lt;VLOOKUP(V$5,NFI,5,0),1,0)*Table_NFI[[#This Row],[Jerry Can]],Table_NFI[Jerry Can])</f>
        <v>0</v>
      </c>
      <c r="AO829" s="540" t="str">
        <f>IFERROR(VLOOKUP(Table_NFI[[#This Row],[Camp Name]],CL,2,0),"")</f>
        <v>MMR001CMP026</v>
      </c>
      <c r="AP829" s="535">
        <f ca="1">IF(Table_NFI[[#This Row],[Pcode]]="","",IF(OFFSET(CampList[Opening Date],MATCH(Table_NFI[[#This Row],[Pcode]],CampList[CP_Pcode],0)-1,0,1,1)&gt;=NFI_Monitor_Date,1,0))</f>
        <v>0</v>
      </c>
      <c r="AQ829" s="540" t="str">
        <f>IFERROR(VLOOKUP(Table_NFI[[#This Row],[Camp Name]],CL,3,0),"")</f>
        <v>Open</v>
      </c>
      <c r="AR829" s="352" t="str">
        <f ca="1">IF(Table_NFI[[#This Row],[Pcode]]="","",OFFSET(CampList[Priority],MATCH(Table_NFI[[#This Row],[Pcode]],CampList[CP_Pcode],0)-1,0,1,1))</f>
        <v>P4</v>
      </c>
      <c r="AS829" s="351">
        <f>IFERROR(Table_NFI[[#This Row],[Kitchen Set]]/VLOOKUP(Table_NFI[[#This Row],[Camp Name]],CL,4,0),"")</f>
        <v>0</v>
      </c>
      <c r="AT829" s="533" t="s">
        <v>1094</v>
      </c>
      <c r="AU829" s="536"/>
    </row>
    <row r="830" spans="1:47" ht="14.45" customHeight="1" x14ac:dyDescent="0.25">
      <c r="A830" s="355">
        <f t="shared" si="12"/>
        <v>49.033333333333331</v>
      </c>
      <c r="B830" s="532">
        <v>41100</v>
      </c>
      <c r="C830" s="533" t="s">
        <v>453</v>
      </c>
      <c r="D830" s="534" t="s">
        <v>507</v>
      </c>
      <c r="E830" s="533" t="s">
        <v>380</v>
      </c>
      <c r="F830" s="348" t="s">
        <v>310</v>
      </c>
      <c r="G830" s="348" t="s">
        <v>322</v>
      </c>
      <c r="H830" s="349"/>
      <c r="I830" s="349"/>
      <c r="J830" s="349"/>
      <c r="K830" s="349">
        <v>0</v>
      </c>
      <c r="L830" s="350">
        <v>599</v>
      </c>
      <c r="M830" s="350">
        <v>675</v>
      </c>
      <c r="N830" s="350">
        <v>599</v>
      </c>
      <c r="O830" s="350">
        <v>0</v>
      </c>
      <c r="P830" s="352"/>
      <c r="Q830" s="352"/>
      <c r="R830" s="352"/>
      <c r="S830" s="352"/>
      <c r="T830" s="352"/>
      <c r="U830" s="352"/>
      <c r="V830" s="497"/>
      <c r="W830" s="352"/>
      <c r="X830" s="352"/>
      <c r="Y830" s="352">
        <f>IF(NFI_Expiration=1,IF($A830&lt;VLOOKUP(H$5,NFI,5,0),1,0)*Table_NFI[[#This Row],[Hygiene Kit]],Table_NFI[Hygiene Kit])</f>
        <v>0</v>
      </c>
      <c r="Z830" s="352">
        <f>IF(NFI_Expiration=1,IF($A830&lt;VLOOKUP(I$5,NFI,5,0),1,0)*Table_NFI[[#This Row],[NFI Core Kit]],Table_NFI[NFI Core Kit])</f>
        <v>0</v>
      </c>
      <c r="AA830" s="352">
        <f>IF(NFI_Expiration=1,IF($A830&lt;VLOOKUP(J$5,NFI,5,0),1,0)*Table_NFI[[#This Row],[Sanitary Kit]],Table_NFI[Sanitary Kit])</f>
        <v>0</v>
      </c>
      <c r="AB830" s="352">
        <f>IF(NFI_Expiration=1,IF($A830&lt;VLOOKUP(K$5,NFI,5,0),1,0)*Table_NFI[[#This Row],[Mosquito net]],Table_NFI[Mosquito net])</f>
        <v>0</v>
      </c>
      <c r="AC830" s="352">
        <f>IF(NFI_Expiration=1,IF($A830&lt;VLOOKUP(L$5,NFI,5,0),1,0)*Table_NFI[[#This Row],[Tarpaulin]],Table_NFI[[#This Row],[Tarpaulin]])</f>
        <v>0</v>
      </c>
      <c r="AD830" s="352">
        <f>IF(NFI_Expiration=1,IF($A830&lt;VLOOKUP(M$5,NFI,5,0),1,0)*Table_NFI[[#This Row],[Blanket]],Table_NFI[[#This Row],[Blanket]])</f>
        <v>0</v>
      </c>
      <c r="AE830" s="352">
        <f>IF(NFI_Expiration=1,IF($A830&lt;VLOOKUP(N$5,NFI,5,0),1,0)*Table_NFI[[#This Row],[Kitchen Set]],Table_NFI[Kitchen Set])</f>
        <v>0</v>
      </c>
      <c r="AF830" s="352">
        <f>IF(NFI_Expiration=1,IF($A830&lt;VLOOKUP(O$5,NFI,5,0),1,0)*Table_NFI[[#This Row],[Clothes Kit]],Table_NFI[Clothes Kit])</f>
        <v>0</v>
      </c>
      <c r="AG830" s="352">
        <f>IF(NFI_Expiration=1,IF($A830&lt;VLOOKUP(P$5,NFI,5,0),1,0)*Table_NFI[[#This Row],[Plastic Bucket]],Table_NFI[Plastic Bucket])</f>
        <v>0</v>
      </c>
      <c r="AH830" s="352">
        <f>IF(NFI_Expiration=1,IF($A830&lt;VLOOKUP(Q$5,NFI,5,0),1,0)*Table_NFI[[#This Row],[Plastic Mat]],Table_NFI[Plastic Mat])*IF(Table_NFI[[#This Row],[Distribution Date]]&gt;"2014-04-01",1,2.5)</f>
        <v>0</v>
      </c>
      <c r="AI830" s="352">
        <f>IF(NFI_Expiration=1,IF($A830&lt;VLOOKUP(R$5,NFI,5,0),1,0)*Table_NFI[[#This Row],[Winter Clothes Adult]],Table_NFI[Winter Clothes Adult])</f>
        <v>0</v>
      </c>
      <c r="AJ830" s="352">
        <f>IF(NFI_Expiration=1,IF($A830&lt;VLOOKUP(S$5,NFI,5,0),1,0)*Table_NFI[[#This Row],[Winter Clothes Children]],Table_NFI[Winter Clothes Children])</f>
        <v>0</v>
      </c>
      <c r="AK830" s="352">
        <f>IF(NFI_Expiration=1,IF($A830&lt;VLOOKUP(T$5,NFI,5,0),1,0)*Table_NFI[[#This Row],[Winter Items Other]],Table_NFI[Winter Items Other])</f>
        <v>0</v>
      </c>
      <c r="AL830" s="352">
        <f>IF(NFI_Expiration=1,IF($A830&lt;VLOOKUP(M$5,NFI,5,0),1,0)*Table_NFI[[#This Row],[Winter Blanket]],Table_NFI[[#This Row],[Winter Blanket]])</f>
        <v>0</v>
      </c>
      <c r="AM830" s="352">
        <f>IF(Table_NFI[[#This Row],[Winter Clothes Adult]]+Table_NFI[[#This Row],[Winter Clothes Children]]+Table_NFI[[#This Row],[Winter Items Other]]+Table_NFI[[#This Row],[Winter Blanket]]&gt;0,1,0)</f>
        <v>0</v>
      </c>
      <c r="AN830" s="392">
        <f>IF(NFI_Expiration=1,IF($A830&lt;VLOOKUP(V$5,NFI,5,0),1,0)*Table_NFI[[#This Row],[Jerry Can]],Table_NFI[Jerry Can])</f>
        <v>0</v>
      </c>
      <c r="AO830" s="540" t="str">
        <f>IFERROR(VLOOKUP(Table_NFI[[#This Row],[Camp Name]],CL,2,0),"")</f>
        <v>MMR001CMP119</v>
      </c>
      <c r="AP830" s="535">
        <f ca="1">IF(Table_NFI[[#This Row],[Pcode]]="","",IF(OFFSET(CampList[Opening Date],MATCH(Table_NFI[[#This Row],[Pcode]],CampList[CP_Pcode],0)-1,0,1,1)&gt;=NFI_Monitor_Date,1,0))</f>
        <v>0</v>
      </c>
      <c r="AQ830" s="540" t="str">
        <f>IFERROR(VLOOKUP(Table_NFI[[#This Row],[Camp Name]],CL,3,0),"")</f>
        <v>Open</v>
      </c>
      <c r="AR830" s="352" t="str">
        <f ca="1">IF(Table_NFI[[#This Row],[Pcode]]="","",OFFSET(CampList[Priority],MATCH(Table_NFI[[#This Row],[Pcode]],CampList[CP_Pcode],0)-1,0,1,1))</f>
        <v>P2</v>
      </c>
      <c r="AS830" s="351">
        <f>IFERROR(Table_NFI[[#This Row],[Kitchen Set]]/VLOOKUP(Table_NFI[[#This Row],[Camp Name]],CL,4,0),"")</f>
        <v>1.0221843003412969</v>
      </c>
      <c r="AT830" s="533" t="s">
        <v>1094</v>
      </c>
      <c r="AU830" s="536"/>
    </row>
    <row r="831" spans="1:47" ht="14.45" customHeight="1" x14ac:dyDescent="0.25">
      <c r="A831" s="355">
        <f t="shared" si="12"/>
        <v>49.06666666666667</v>
      </c>
      <c r="B831" s="532">
        <v>41099</v>
      </c>
      <c r="C831" s="533" t="s">
        <v>453</v>
      </c>
      <c r="D831" s="533" t="s">
        <v>453</v>
      </c>
      <c r="E831" s="533" t="s">
        <v>380</v>
      </c>
      <c r="F831" s="533" t="s">
        <v>310</v>
      </c>
      <c r="G831" s="348" t="s">
        <v>318</v>
      </c>
      <c r="H831" s="349"/>
      <c r="I831" s="349"/>
      <c r="J831" s="349"/>
      <c r="K831" s="349">
        <v>77</v>
      </c>
      <c r="L831" s="350">
        <v>34</v>
      </c>
      <c r="M831" s="350">
        <v>77</v>
      </c>
      <c r="N831" s="350">
        <v>35</v>
      </c>
      <c r="O831" s="350">
        <v>52</v>
      </c>
      <c r="P831" s="352">
        <v>52</v>
      </c>
      <c r="Q831" s="352">
        <v>52</v>
      </c>
      <c r="R831" s="352"/>
      <c r="S831" s="352"/>
      <c r="T831" s="352"/>
      <c r="U831" s="352"/>
      <c r="V831" s="497"/>
      <c r="W831" s="352"/>
      <c r="X831" s="352"/>
      <c r="Y831" s="352">
        <f>IF(NFI_Expiration=1,IF($A831&lt;VLOOKUP(H$5,NFI,5,0),1,0)*Table_NFI[[#This Row],[Hygiene Kit]],Table_NFI[Hygiene Kit])</f>
        <v>0</v>
      </c>
      <c r="Z831" s="352">
        <f>IF(NFI_Expiration=1,IF($A831&lt;VLOOKUP(I$5,NFI,5,0),1,0)*Table_NFI[[#This Row],[NFI Core Kit]],Table_NFI[NFI Core Kit])</f>
        <v>0</v>
      </c>
      <c r="AA831" s="352">
        <f>IF(NFI_Expiration=1,IF($A831&lt;VLOOKUP(J$5,NFI,5,0),1,0)*Table_NFI[[#This Row],[Sanitary Kit]],Table_NFI[Sanitary Kit])</f>
        <v>0</v>
      </c>
      <c r="AB831" s="352">
        <f>IF(NFI_Expiration=1,IF($A831&lt;VLOOKUP(K$5,NFI,5,0),1,0)*Table_NFI[[#This Row],[Mosquito net]],Table_NFI[Mosquito net])</f>
        <v>0</v>
      </c>
      <c r="AC831" s="352">
        <f>IF(NFI_Expiration=1,IF($A831&lt;VLOOKUP(L$5,NFI,5,0),1,0)*Table_NFI[[#This Row],[Tarpaulin]],Table_NFI[[#This Row],[Tarpaulin]])</f>
        <v>0</v>
      </c>
      <c r="AD831" s="352">
        <f>IF(NFI_Expiration=1,IF($A831&lt;VLOOKUP(M$5,NFI,5,0),1,0)*Table_NFI[[#This Row],[Blanket]],Table_NFI[[#This Row],[Blanket]])</f>
        <v>0</v>
      </c>
      <c r="AE831" s="352">
        <f>IF(NFI_Expiration=1,IF($A831&lt;VLOOKUP(N$5,NFI,5,0),1,0)*Table_NFI[[#This Row],[Kitchen Set]],Table_NFI[Kitchen Set])</f>
        <v>0</v>
      </c>
      <c r="AF831" s="352">
        <f>IF(NFI_Expiration=1,IF($A831&lt;VLOOKUP(O$5,NFI,5,0),1,0)*Table_NFI[[#This Row],[Clothes Kit]],Table_NFI[Clothes Kit])</f>
        <v>0</v>
      </c>
      <c r="AG831" s="352">
        <f>IF(NFI_Expiration=1,IF($A831&lt;VLOOKUP(P$5,NFI,5,0),1,0)*Table_NFI[[#This Row],[Plastic Bucket]],Table_NFI[Plastic Bucket])</f>
        <v>0</v>
      </c>
      <c r="AH831" s="352">
        <f>IF(NFI_Expiration=1,IF($A831&lt;VLOOKUP(Q$5,NFI,5,0),1,0)*Table_NFI[[#This Row],[Plastic Mat]],Table_NFI[Plastic Mat])*IF(Table_NFI[[#This Row],[Distribution Date]]&gt;"2014-04-01",1,2.5)</f>
        <v>0</v>
      </c>
      <c r="AI831" s="352">
        <f>IF(NFI_Expiration=1,IF($A831&lt;VLOOKUP(R$5,NFI,5,0),1,0)*Table_NFI[[#This Row],[Winter Clothes Adult]],Table_NFI[Winter Clothes Adult])</f>
        <v>0</v>
      </c>
      <c r="AJ831" s="352">
        <f>IF(NFI_Expiration=1,IF($A831&lt;VLOOKUP(S$5,NFI,5,0),1,0)*Table_NFI[[#This Row],[Winter Clothes Children]],Table_NFI[Winter Clothes Children])</f>
        <v>0</v>
      </c>
      <c r="AK831" s="352">
        <f>IF(NFI_Expiration=1,IF($A831&lt;VLOOKUP(T$5,NFI,5,0),1,0)*Table_NFI[[#This Row],[Winter Items Other]],Table_NFI[Winter Items Other])</f>
        <v>0</v>
      </c>
      <c r="AL831" s="352">
        <f>IF(NFI_Expiration=1,IF($A831&lt;VLOOKUP(M$5,NFI,5,0),1,0)*Table_NFI[[#This Row],[Winter Blanket]],Table_NFI[[#This Row],[Winter Blanket]])</f>
        <v>0</v>
      </c>
      <c r="AM831" s="352">
        <f>IF(Table_NFI[[#This Row],[Winter Clothes Adult]]+Table_NFI[[#This Row],[Winter Clothes Children]]+Table_NFI[[#This Row],[Winter Items Other]]+Table_NFI[[#This Row],[Winter Blanket]]&gt;0,1,0)</f>
        <v>0</v>
      </c>
      <c r="AN831" s="392">
        <f>IF(NFI_Expiration=1,IF($A831&lt;VLOOKUP(V$5,NFI,5,0),1,0)*Table_NFI[[#This Row],[Jerry Can]],Table_NFI[Jerry Can])</f>
        <v>0</v>
      </c>
      <c r="AO831" s="540" t="str">
        <f>IFERROR(VLOOKUP(Table_NFI[[#This Row],[Camp Name]],CL,2,0),"")</f>
        <v>MMR001CMP032</v>
      </c>
      <c r="AP831" s="535">
        <f ca="1">IF(Table_NFI[[#This Row],[Pcode]]="","",IF(OFFSET(CampList[Opening Date],MATCH(Table_NFI[[#This Row],[Pcode]],CampList[CP_Pcode],0)-1,0,1,1)&gt;=NFI_Monitor_Date,1,0))</f>
        <v>0</v>
      </c>
      <c r="AQ831" s="540" t="str">
        <f>IFERROR(VLOOKUP(Table_NFI[[#This Row],[Camp Name]],CL,3,0),"")</f>
        <v>Open</v>
      </c>
      <c r="AR831" s="352" t="str">
        <f ca="1">IF(Table_NFI[[#This Row],[Pcode]]="","",OFFSET(CampList[Priority],MATCH(Table_NFI[[#This Row],[Pcode]],CampList[CP_Pcode],0)-1,0,1,1))</f>
        <v>P4</v>
      </c>
      <c r="AS831" s="351">
        <f>IFERROR(Table_NFI[[#This Row],[Kitchen Set]]/VLOOKUP(Table_NFI[[#This Row],[Camp Name]],CL,4,0),"")</f>
        <v>0.38461538461538464</v>
      </c>
      <c r="AT831" s="533" t="s">
        <v>1094</v>
      </c>
      <c r="AU831" s="536"/>
    </row>
    <row r="832" spans="1:47" ht="14.45" customHeight="1" x14ac:dyDescent="0.25">
      <c r="A832" s="355">
        <f t="shared" si="12"/>
        <v>49.1</v>
      </c>
      <c r="B832" s="532">
        <v>41098</v>
      </c>
      <c r="C832" s="533" t="s">
        <v>453</v>
      </c>
      <c r="D832" s="533" t="s">
        <v>506</v>
      </c>
      <c r="E832" s="533" t="s">
        <v>380</v>
      </c>
      <c r="F832" s="533" t="s">
        <v>185</v>
      </c>
      <c r="G832" s="533" t="s">
        <v>217</v>
      </c>
      <c r="H832" s="352">
        <v>16</v>
      </c>
      <c r="I832" s="352"/>
      <c r="J832" s="352"/>
      <c r="K832" s="352"/>
      <c r="L832" s="350"/>
      <c r="M832" s="350"/>
      <c r="N832" s="350"/>
      <c r="O832" s="350"/>
      <c r="P832" s="352"/>
      <c r="Q832" s="352"/>
      <c r="R832" s="352"/>
      <c r="S832" s="352"/>
      <c r="T832" s="352"/>
      <c r="U832" s="352"/>
      <c r="V832" s="497"/>
      <c r="W832" s="352"/>
      <c r="X832" s="352"/>
      <c r="Y832" s="352">
        <f>IF(NFI_Expiration=1,IF($A832&lt;VLOOKUP(H$5,NFI,5,0),1,0)*Table_NFI[[#This Row],[Hygiene Kit]],Table_NFI[Hygiene Kit])</f>
        <v>0</v>
      </c>
      <c r="Z832" s="352">
        <f>IF(NFI_Expiration=1,IF($A832&lt;VLOOKUP(I$5,NFI,5,0),1,0)*Table_NFI[[#This Row],[NFI Core Kit]],Table_NFI[NFI Core Kit])</f>
        <v>0</v>
      </c>
      <c r="AA832" s="352">
        <f>IF(NFI_Expiration=1,IF($A832&lt;VLOOKUP(J$5,NFI,5,0),1,0)*Table_NFI[[#This Row],[Sanitary Kit]],Table_NFI[Sanitary Kit])</f>
        <v>0</v>
      </c>
      <c r="AB832" s="352">
        <f>IF(NFI_Expiration=1,IF($A832&lt;VLOOKUP(K$5,NFI,5,0),1,0)*Table_NFI[[#This Row],[Mosquito net]],Table_NFI[Mosquito net])</f>
        <v>0</v>
      </c>
      <c r="AC832" s="352">
        <f>IF(NFI_Expiration=1,IF($A832&lt;VLOOKUP(L$5,NFI,5,0),1,0)*Table_NFI[[#This Row],[Tarpaulin]],Table_NFI[[#This Row],[Tarpaulin]])</f>
        <v>0</v>
      </c>
      <c r="AD832" s="352">
        <f>IF(NFI_Expiration=1,IF($A832&lt;VLOOKUP(M$5,NFI,5,0),1,0)*Table_NFI[[#This Row],[Blanket]],Table_NFI[[#This Row],[Blanket]])</f>
        <v>0</v>
      </c>
      <c r="AE832" s="352">
        <f>IF(NFI_Expiration=1,IF($A832&lt;VLOOKUP(N$5,NFI,5,0),1,0)*Table_NFI[[#This Row],[Kitchen Set]],Table_NFI[Kitchen Set])</f>
        <v>0</v>
      </c>
      <c r="AF832" s="352">
        <f>IF(NFI_Expiration=1,IF($A832&lt;VLOOKUP(O$5,NFI,5,0),1,0)*Table_NFI[[#This Row],[Clothes Kit]],Table_NFI[Clothes Kit])</f>
        <v>0</v>
      </c>
      <c r="AG832" s="352">
        <f>IF(NFI_Expiration=1,IF($A832&lt;VLOOKUP(P$5,NFI,5,0),1,0)*Table_NFI[[#This Row],[Plastic Bucket]],Table_NFI[Plastic Bucket])</f>
        <v>0</v>
      </c>
      <c r="AH832" s="352">
        <f>IF(NFI_Expiration=1,IF($A832&lt;VLOOKUP(Q$5,NFI,5,0),1,0)*Table_NFI[[#This Row],[Plastic Mat]],Table_NFI[Plastic Mat])*IF(Table_NFI[[#This Row],[Distribution Date]]&gt;"2014-04-01",1,2.5)</f>
        <v>0</v>
      </c>
      <c r="AI832" s="352">
        <f>IF(NFI_Expiration=1,IF($A832&lt;VLOOKUP(R$5,NFI,5,0),1,0)*Table_NFI[[#This Row],[Winter Clothes Adult]],Table_NFI[Winter Clothes Adult])</f>
        <v>0</v>
      </c>
      <c r="AJ832" s="352">
        <f>IF(NFI_Expiration=1,IF($A832&lt;VLOOKUP(S$5,NFI,5,0),1,0)*Table_NFI[[#This Row],[Winter Clothes Children]],Table_NFI[Winter Clothes Children])</f>
        <v>0</v>
      </c>
      <c r="AK832" s="352">
        <f>IF(NFI_Expiration=1,IF($A832&lt;VLOOKUP(T$5,NFI,5,0),1,0)*Table_NFI[[#This Row],[Winter Items Other]],Table_NFI[Winter Items Other])</f>
        <v>0</v>
      </c>
      <c r="AL832" s="352">
        <f>IF(NFI_Expiration=1,IF($A832&lt;VLOOKUP(M$5,NFI,5,0),1,0)*Table_NFI[[#This Row],[Winter Blanket]],Table_NFI[[#This Row],[Winter Blanket]])</f>
        <v>0</v>
      </c>
      <c r="AM832" s="352">
        <f>IF(Table_NFI[[#This Row],[Winter Clothes Adult]]+Table_NFI[[#This Row],[Winter Clothes Children]]+Table_NFI[[#This Row],[Winter Items Other]]+Table_NFI[[#This Row],[Winter Blanket]]&gt;0,1,0)</f>
        <v>0</v>
      </c>
      <c r="AN832" s="392">
        <f>IF(NFI_Expiration=1,IF($A832&lt;VLOOKUP(V$5,NFI,5,0),1,0)*Table_NFI[[#This Row],[Jerry Can]],Table_NFI[Jerry Can])</f>
        <v>0</v>
      </c>
      <c r="AO832" s="540" t="str">
        <f>IFERROR(VLOOKUP(Table_NFI[[#This Row],[Camp Name]],CL,2,0),"")</f>
        <v>MMR001CMP059</v>
      </c>
      <c r="AP832" s="535">
        <f ca="1">IF(Table_NFI[[#This Row],[Pcode]]="","",IF(OFFSET(CampList[Opening Date],MATCH(Table_NFI[[#This Row],[Pcode]],CampList[CP_Pcode],0)-1,0,1,1)&gt;=NFI_Monitor_Date,1,0))</f>
        <v>0</v>
      </c>
      <c r="AQ832" s="540" t="str">
        <f>IFERROR(VLOOKUP(Table_NFI[[#This Row],[Camp Name]],CL,3,0),"")</f>
        <v>Closed</v>
      </c>
      <c r="AR832" s="352" t="str">
        <f ca="1">IF(Table_NFI[[#This Row],[Pcode]]="","",OFFSET(CampList[Priority],MATCH(Table_NFI[[#This Row],[Pcode]],CampList[CP_Pcode],0)-1,0,1,1))</f>
        <v>P4</v>
      </c>
      <c r="AS832" s="351" t="str">
        <f>IFERROR(Table_NFI[[#This Row],[Kitchen Set]]/VLOOKUP(Table_NFI[[#This Row],[Camp Name]],CL,4,0),"")</f>
        <v/>
      </c>
      <c r="AT832" s="533"/>
      <c r="AU832" s="536"/>
    </row>
    <row r="833" spans="1:47" ht="14.45" customHeight="1" x14ac:dyDescent="0.25">
      <c r="A833" s="355">
        <f t="shared" si="12"/>
        <v>49.166666666666664</v>
      </c>
      <c r="B833" s="532">
        <v>41096</v>
      </c>
      <c r="C833" s="533" t="s">
        <v>453</v>
      </c>
      <c r="D833" s="533" t="s">
        <v>453</v>
      </c>
      <c r="E833" s="533" t="s">
        <v>380</v>
      </c>
      <c r="F833" s="533" t="s">
        <v>310</v>
      </c>
      <c r="G833" s="348" t="s">
        <v>316</v>
      </c>
      <c r="H833" s="349"/>
      <c r="I833" s="349"/>
      <c r="J833" s="349"/>
      <c r="K833" s="349">
        <v>17</v>
      </c>
      <c r="L833" s="350">
        <v>17</v>
      </c>
      <c r="M833" s="350">
        <v>17</v>
      </c>
      <c r="N833" s="350">
        <v>17</v>
      </c>
      <c r="O833" s="350">
        <v>17</v>
      </c>
      <c r="P833" s="352">
        <v>17</v>
      </c>
      <c r="Q833" s="352">
        <v>17</v>
      </c>
      <c r="R833" s="352"/>
      <c r="S833" s="352"/>
      <c r="T833" s="352"/>
      <c r="U833" s="352"/>
      <c r="V833" s="497"/>
      <c r="W833" s="352"/>
      <c r="X833" s="352"/>
      <c r="Y833" s="352">
        <f>IF(NFI_Expiration=1,IF($A833&lt;VLOOKUP(H$5,NFI,5,0),1,0)*Table_NFI[[#This Row],[Hygiene Kit]],Table_NFI[Hygiene Kit])</f>
        <v>0</v>
      </c>
      <c r="Z833" s="352">
        <f>IF(NFI_Expiration=1,IF($A833&lt;VLOOKUP(I$5,NFI,5,0),1,0)*Table_NFI[[#This Row],[NFI Core Kit]],Table_NFI[NFI Core Kit])</f>
        <v>0</v>
      </c>
      <c r="AA833" s="352">
        <f>IF(NFI_Expiration=1,IF($A833&lt;VLOOKUP(J$5,NFI,5,0),1,0)*Table_NFI[[#This Row],[Sanitary Kit]],Table_NFI[Sanitary Kit])</f>
        <v>0</v>
      </c>
      <c r="AB833" s="352">
        <f>IF(NFI_Expiration=1,IF($A833&lt;VLOOKUP(K$5,NFI,5,0),1,0)*Table_NFI[[#This Row],[Mosquito net]],Table_NFI[Mosquito net])</f>
        <v>0</v>
      </c>
      <c r="AC833" s="352">
        <f>IF(NFI_Expiration=1,IF($A833&lt;VLOOKUP(L$5,NFI,5,0),1,0)*Table_NFI[[#This Row],[Tarpaulin]],Table_NFI[[#This Row],[Tarpaulin]])</f>
        <v>0</v>
      </c>
      <c r="AD833" s="352">
        <f>IF(NFI_Expiration=1,IF($A833&lt;VLOOKUP(M$5,NFI,5,0),1,0)*Table_NFI[[#This Row],[Blanket]],Table_NFI[[#This Row],[Blanket]])</f>
        <v>0</v>
      </c>
      <c r="AE833" s="352">
        <f>IF(NFI_Expiration=1,IF($A833&lt;VLOOKUP(N$5,NFI,5,0),1,0)*Table_NFI[[#This Row],[Kitchen Set]],Table_NFI[Kitchen Set])</f>
        <v>0</v>
      </c>
      <c r="AF833" s="352">
        <f>IF(NFI_Expiration=1,IF($A833&lt;VLOOKUP(O$5,NFI,5,0),1,0)*Table_NFI[[#This Row],[Clothes Kit]],Table_NFI[Clothes Kit])</f>
        <v>0</v>
      </c>
      <c r="AG833" s="352">
        <f>IF(NFI_Expiration=1,IF($A833&lt;VLOOKUP(P$5,NFI,5,0),1,0)*Table_NFI[[#This Row],[Plastic Bucket]],Table_NFI[Plastic Bucket])</f>
        <v>0</v>
      </c>
      <c r="AH833" s="352">
        <f>IF(NFI_Expiration=1,IF($A833&lt;VLOOKUP(Q$5,NFI,5,0),1,0)*Table_NFI[[#This Row],[Plastic Mat]],Table_NFI[Plastic Mat])*IF(Table_NFI[[#This Row],[Distribution Date]]&gt;"2014-04-01",1,2.5)</f>
        <v>0</v>
      </c>
      <c r="AI833" s="352">
        <f>IF(NFI_Expiration=1,IF($A833&lt;VLOOKUP(R$5,NFI,5,0),1,0)*Table_NFI[[#This Row],[Winter Clothes Adult]],Table_NFI[Winter Clothes Adult])</f>
        <v>0</v>
      </c>
      <c r="AJ833" s="352">
        <f>IF(NFI_Expiration=1,IF($A833&lt;VLOOKUP(S$5,NFI,5,0),1,0)*Table_NFI[[#This Row],[Winter Clothes Children]],Table_NFI[Winter Clothes Children])</f>
        <v>0</v>
      </c>
      <c r="AK833" s="352">
        <f>IF(NFI_Expiration=1,IF($A833&lt;VLOOKUP(T$5,NFI,5,0),1,0)*Table_NFI[[#This Row],[Winter Items Other]],Table_NFI[Winter Items Other])</f>
        <v>0</v>
      </c>
      <c r="AL833" s="352">
        <f>IF(NFI_Expiration=1,IF($A833&lt;VLOOKUP(M$5,NFI,5,0),1,0)*Table_NFI[[#This Row],[Winter Blanket]],Table_NFI[[#This Row],[Winter Blanket]])</f>
        <v>0</v>
      </c>
      <c r="AM833" s="352">
        <f>IF(Table_NFI[[#This Row],[Winter Clothes Adult]]+Table_NFI[[#This Row],[Winter Clothes Children]]+Table_NFI[[#This Row],[Winter Items Other]]+Table_NFI[[#This Row],[Winter Blanket]]&gt;0,1,0)</f>
        <v>0</v>
      </c>
      <c r="AN833" s="392">
        <f>IF(NFI_Expiration=1,IF($A833&lt;VLOOKUP(V$5,NFI,5,0),1,0)*Table_NFI[[#This Row],[Jerry Can]],Table_NFI[Jerry Can])</f>
        <v>0</v>
      </c>
      <c r="AO833" s="540" t="str">
        <f>IFERROR(VLOOKUP(Table_NFI[[#This Row],[Camp Name]],CL,2,0),"")</f>
        <v>MMR001CMP038</v>
      </c>
      <c r="AP833" s="535">
        <f ca="1">IF(Table_NFI[[#This Row],[Pcode]]="","",IF(OFFSET(CampList[Opening Date],MATCH(Table_NFI[[#This Row],[Pcode]],CampList[CP_Pcode],0)-1,0,1,1)&gt;=NFI_Monitor_Date,1,0))</f>
        <v>0</v>
      </c>
      <c r="AQ833" s="540" t="str">
        <f>IFERROR(VLOOKUP(Table_NFI[[#This Row],[Camp Name]],CL,3,0),"")</f>
        <v>Open</v>
      </c>
      <c r="AR833" s="352" t="str">
        <f ca="1">IF(Table_NFI[[#This Row],[Pcode]]="","",OFFSET(CampList[Priority],MATCH(Table_NFI[[#This Row],[Pcode]],CampList[CP_Pcode],0)-1,0,1,1))</f>
        <v>P4</v>
      </c>
      <c r="AS833" s="351">
        <f>IFERROR(Table_NFI[[#This Row],[Kitchen Set]]/VLOOKUP(Table_NFI[[#This Row],[Camp Name]],CL,4,0),"")</f>
        <v>0.24285714285714285</v>
      </c>
      <c r="AT833" s="533" t="s">
        <v>1094</v>
      </c>
      <c r="AU833" s="536"/>
    </row>
    <row r="834" spans="1:47" ht="14.45" customHeight="1" x14ac:dyDescent="0.25">
      <c r="A834" s="355">
        <f t="shared" si="12"/>
        <v>49.2</v>
      </c>
      <c r="B834" s="532">
        <v>41095</v>
      </c>
      <c r="C834" s="533" t="s">
        <v>453</v>
      </c>
      <c r="D834" s="533" t="s">
        <v>453</v>
      </c>
      <c r="E834" s="533" t="s">
        <v>380</v>
      </c>
      <c r="F834" s="348" t="s">
        <v>5</v>
      </c>
      <c r="G834" s="348" t="s">
        <v>24</v>
      </c>
      <c r="H834" s="349"/>
      <c r="I834" s="349"/>
      <c r="J834" s="349"/>
      <c r="K834" s="349">
        <v>36</v>
      </c>
      <c r="L834" s="350">
        <v>14</v>
      </c>
      <c r="M834" s="350">
        <v>36</v>
      </c>
      <c r="N834" s="350">
        <v>14</v>
      </c>
      <c r="O834" s="350">
        <v>14</v>
      </c>
      <c r="P834" s="352">
        <v>14</v>
      </c>
      <c r="Q834" s="352">
        <v>14</v>
      </c>
      <c r="R834" s="352"/>
      <c r="S834" s="352"/>
      <c r="T834" s="352"/>
      <c r="U834" s="352"/>
      <c r="V834" s="497"/>
      <c r="W834" s="352"/>
      <c r="X834" s="352"/>
      <c r="Y834" s="352">
        <f>IF(NFI_Expiration=1,IF($A834&lt;VLOOKUP(H$5,NFI,5,0),1,0)*Table_NFI[[#This Row],[Hygiene Kit]],Table_NFI[Hygiene Kit])</f>
        <v>0</v>
      </c>
      <c r="Z834" s="352">
        <f>IF(NFI_Expiration=1,IF($A834&lt;VLOOKUP(I$5,NFI,5,0),1,0)*Table_NFI[[#This Row],[NFI Core Kit]],Table_NFI[NFI Core Kit])</f>
        <v>0</v>
      </c>
      <c r="AA834" s="352">
        <f>IF(NFI_Expiration=1,IF($A834&lt;VLOOKUP(J$5,NFI,5,0),1,0)*Table_NFI[[#This Row],[Sanitary Kit]],Table_NFI[Sanitary Kit])</f>
        <v>0</v>
      </c>
      <c r="AB834" s="352">
        <f>IF(NFI_Expiration=1,IF($A834&lt;VLOOKUP(K$5,NFI,5,0),1,0)*Table_NFI[[#This Row],[Mosquito net]],Table_NFI[Mosquito net])</f>
        <v>0</v>
      </c>
      <c r="AC834" s="352">
        <f>IF(NFI_Expiration=1,IF($A834&lt;VLOOKUP(L$5,NFI,5,0),1,0)*Table_NFI[[#This Row],[Tarpaulin]],Table_NFI[[#This Row],[Tarpaulin]])</f>
        <v>0</v>
      </c>
      <c r="AD834" s="352">
        <f>IF(NFI_Expiration=1,IF($A834&lt;VLOOKUP(M$5,NFI,5,0),1,0)*Table_NFI[[#This Row],[Blanket]],Table_NFI[[#This Row],[Blanket]])</f>
        <v>0</v>
      </c>
      <c r="AE834" s="352">
        <f>IF(NFI_Expiration=1,IF($A834&lt;VLOOKUP(N$5,NFI,5,0),1,0)*Table_NFI[[#This Row],[Kitchen Set]],Table_NFI[Kitchen Set])</f>
        <v>0</v>
      </c>
      <c r="AF834" s="352">
        <f>IF(NFI_Expiration=1,IF($A834&lt;VLOOKUP(O$5,NFI,5,0),1,0)*Table_NFI[[#This Row],[Clothes Kit]],Table_NFI[Clothes Kit])</f>
        <v>0</v>
      </c>
      <c r="AG834" s="352">
        <f>IF(NFI_Expiration=1,IF($A834&lt;VLOOKUP(P$5,NFI,5,0),1,0)*Table_NFI[[#This Row],[Plastic Bucket]],Table_NFI[Plastic Bucket])</f>
        <v>0</v>
      </c>
      <c r="AH834" s="352">
        <f>IF(NFI_Expiration=1,IF($A834&lt;VLOOKUP(Q$5,NFI,5,0),1,0)*Table_NFI[[#This Row],[Plastic Mat]],Table_NFI[Plastic Mat])*IF(Table_NFI[[#This Row],[Distribution Date]]&gt;"2014-04-01",1,2.5)</f>
        <v>0</v>
      </c>
      <c r="AI834" s="352">
        <f>IF(NFI_Expiration=1,IF($A834&lt;VLOOKUP(R$5,NFI,5,0),1,0)*Table_NFI[[#This Row],[Winter Clothes Adult]],Table_NFI[Winter Clothes Adult])</f>
        <v>0</v>
      </c>
      <c r="AJ834" s="352">
        <f>IF(NFI_Expiration=1,IF($A834&lt;VLOOKUP(S$5,NFI,5,0),1,0)*Table_NFI[[#This Row],[Winter Clothes Children]],Table_NFI[Winter Clothes Children])</f>
        <v>0</v>
      </c>
      <c r="AK834" s="352">
        <f>IF(NFI_Expiration=1,IF($A834&lt;VLOOKUP(T$5,NFI,5,0),1,0)*Table_NFI[[#This Row],[Winter Items Other]],Table_NFI[Winter Items Other])</f>
        <v>0</v>
      </c>
      <c r="AL834" s="352">
        <f>IF(NFI_Expiration=1,IF($A834&lt;VLOOKUP(M$5,NFI,5,0),1,0)*Table_NFI[[#This Row],[Winter Blanket]],Table_NFI[[#This Row],[Winter Blanket]])</f>
        <v>0</v>
      </c>
      <c r="AM834" s="352">
        <f>IF(Table_NFI[[#This Row],[Winter Clothes Adult]]+Table_NFI[[#This Row],[Winter Clothes Children]]+Table_NFI[[#This Row],[Winter Items Other]]+Table_NFI[[#This Row],[Winter Blanket]]&gt;0,1,0)</f>
        <v>0</v>
      </c>
      <c r="AN834" s="392">
        <f>IF(NFI_Expiration=1,IF($A834&lt;VLOOKUP(V$5,NFI,5,0),1,0)*Table_NFI[[#This Row],[Jerry Can]],Table_NFI[Jerry Can])</f>
        <v>0</v>
      </c>
      <c r="AO834" s="540" t="str">
        <f>IFERROR(VLOOKUP(Table_NFI[[#This Row],[Camp Name]],CL,2,0),"")</f>
        <v>MMR001CMP055</v>
      </c>
      <c r="AP834" s="535">
        <f ca="1">IF(Table_NFI[[#This Row],[Pcode]]="","",IF(OFFSET(CampList[Opening Date],MATCH(Table_NFI[[#This Row],[Pcode]],CampList[CP_Pcode],0)-1,0,1,1)&gt;=NFI_Monitor_Date,1,0))</f>
        <v>0</v>
      </c>
      <c r="AQ834" s="540" t="str">
        <f>IFERROR(VLOOKUP(Table_NFI[[#This Row],[Camp Name]],CL,3,0),"")</f>
        <v>Open</v>
      </c>
      <c r="AR834" s="352" t="str">
        <f ca="1">IF(Table_NFI[[#This Row],[Pcode]]="","",OFFSET(CampList[Priority],MATCH(Table_NFI[[#This Row],[Pcode]],CampList[CP_Pcode],0)-1,0,1,1))</f>
        <v>P4</v>
      </c>
      <c r="AS834" s="351">
        <f>IFERROR(Table_NFI[[#This Row],[Kitchen Set]]/VLOOKUP(Table_NFI[[#This Row],[Camp Name]],CL,4,0),"")</f>
        <v>0.66666666666666663</v>
      </c>
      <c r="AT834" s="533" t="s">
        <v>1094</v>
      </c>
      <c r="AU834" s="536"/>
    </row>
    <row r="835" spans="1:47" ht="14.45" hidden="1" customHeight="1" x14ac:dyDescent="0.25">
      <c r="A835" s="355">
        <f t="shared" si="12"/>
        <v>18.466666666666665</v>
      </c>
      <c r="B835" s="532">
        <v>42017</v>
      </c>
      <c r="C835" s="533" t="s">
        <v>1096</v>
      </c>
      <c r="D835" s="533" t="s">
        <v>902</v>
      </c>
      <c r="E835" s="533" t="s">
        <v>380</v>
      </c>
      <c r="F835" s="533" t="s">
        <v>528</v>
      </c>
      <c r="G835" s="533" t="s">
        <v>118</v>
      </c>
      <c r="H835" s="349"/>
      <c r="I835" s="352"/>
      <c r="J835" s="352"/>
      <c r="K835" s="352"/>
      <c r="L835" s="350"/>
      <c r="M835" s="350"/>
      <c r="N835" s="350"/>
      <c r="O835" s="350"/>
      <c r="P835" s="352"/>
      <c r="Q835" s="352"/>
      <c r="R835" s="352">
        <v>26</v>
      </c>
      <c r="S835" s="352">
        <v>14</v>
      </c>
      <c r="T835" s="352"/>
      <c r="U835" s="352"/>
      <c r="V835" s="497"/>
      <c r="W835" s="352"/>
      <c r="X835" s="352"/>
      <c r="Y835" s="352">
        <f>IF(NFI_Expiration=1,IF($A835&lt;VLOOKUP(H$5,NFI,5,0),1,0)*Table_NFI[[#This Row],[Hygiene Kit]],Table_NFI[Hygiene Kit])</f>
        <v>0</v>
      </c>
      <c r="Z835" s="352">
        <f>IF(NFI_Expiration=1,IF($A835&lt;VLOOKUP(I$5,NFI,5,0),1,0)*Table_NFI[[#This Row],[NFI Core Kit]],Table_NFI[NFI Core Kit])</f>
        <v>0</v>
      </c>
      <c r="AA835" s="352">
        <f>IF(NFI_Expiration=1,IF($A835&lt;VLOOKUP(J$5,NFI,5,0),1,0)*Table_NFI[[#This Row],[Sanitary Kit]],Table_NFI[Sanitary Kit])</f>
        <v>0</v>
      </c>
      <c r="AB835" s="352">
        <f>IF(NFI_Expiration=1,IF($A835&lt;VLOOKUP(K$5,NFI,5,0),1,0)*Table_NFI[[#This Row],[Mosquito net]],Table_NFI[Mosquito net])</f>
        <v>0</v>
      </c>
      <c r="AC835" s="352">
        <f>IF(NFI_Expiration=1,IF($A835&lt;VLOOKUP(L$5,NFI,5,0),1,0)*Table_NFI[[#This Row],[Tarpaulin]],Table_NFI[[#This Row],[Tarpaulin]])</f>
        <v>0</v>
      </c>
      <c r="AD835" s="352">
        <f>IF(NFI_Expiration=1,IF($A835&lt;VLOOKUP(M$5,NFI,5,0),1,0)*Table_NFI[[#This Row],[Blanket]],Table_NFI[[#This Row],[Blanket]])</f>
        <v>0</v>
      </c>
      <c r="AE835" s="352">
        <f>IF(NFI_Expiration=1,IF($A835&lt;VLOOKUP(N$5,NFI,5,0),1,0)*Table_NFI[[#This Row],[Kitchen Set]],Table_NFI[Kitchen Set])</f>
        <v>0</v>
      </c>
      <c r="AF835" s="352">
        <f>IF(NFI_Expiration=1,IF($A835&lt;VLOOKUP(O$5,NFI,5,0),1,0)*Table_NFI[[#This Row],[Clothes Kit]],Table_NFI[Clothes Kit])</f>
        <v>0</v>
      </c>
      <c r="AG835" s="352">
        <f>IF(NFI_Expiration=1,IF($A835&lt;VLOOKUP(P$5,NFI,5,0),1,0)*Table_NFI[[#This Row],[Plastic Bucket]],Table_NFI[Plastic Bucket])</f>
        <v>0</v>
      </c>
      <c r="AH835" s="352">
        <f>IF(NFI_Expiration=1,IF($A835&lt;VLOOKUP(Q$5,NFI,5,0),1,0)*Table_NFI[[#This Row],[Plastic Mat]],Table_NFI[Plastic Mat])*IF(Table_NFI[[#This Row],[Distribution Date]]&gt;"2014-04-01",1,2.5)</f>
        <v>0</v>
      </c>
      <c r="AI835" s="352">
        <f>IF(NFI_Expiration=1,IF($A835&lt;VLOOKUP(R$5,NFI,5,0),1,0)*Table_NFI[[#This Row],[Winter Clothes Adult]],Table_NFI[Winter Clothes Adult])</f>
        <v>0</v>
      </c>
      <c r="AJ835" s="352">
        <f>IF(NFI_Expiration=1,IF($A835&lt;VLOOKUP(S$5,NFI,5,0),1,0)*Table_NFI[[#This Row],[Winter Clothes Children]],Table_NFI[Winter Clothes Children])</f>
        <v>0</v>
      </c>
      <c r="AK835" s="352">
        <f>IF(NFI_Expiration=1,IF($A835&lt;VLOOKUP(T$5,NFI,5,0),1,0)*Table_NFI[[#This Row],[Winter Items Other]],Table_NFI[Winter Items Other])</f>
        <v>0</v>
      </c>
      <c r="AL835" s="352">
        <f>IF(NFI_Expiration=1,IF($A835&lt;VLOOKUP(M$5,NFI,5,0),1,0)*Table_NFI[[#This Row],[Winter Blanket]],Table_NFI[[#This Row],[Winter Blanket]])</f>
        <v>0</v>
      </c>
      <c r="AM835" s="352">
        <f>IF(Table_NFI[[#This Row],[Winter Clothes Adult]]+Table_NFI[[#This Row],[Winter Clothes Children]]+Table_NFI[[#This Row],[Winter Items Other]]+Table_NFI[[#This Row],[Winter Blanket]]&gt;0,1,0)</f>
        <v>1</v>
      </c>
      <c r="AN835" s="392">
        <f>IF(NFI_Expiration=1,IF($A835&lt;VLOOKUP(V$5,NFI,5,0),1,0)*Table_NFI[[#This Row],[Jerry Can]],Table_NFI[Jerry Can])</f>
        <v>0</v>
      </c>
      <c r="AO835" s="540" t="str">
        <f>IFERROR(VLOOKUP(Table_NFI[[#This Row],[Camp Name]],CL,2,0),"")</f>
        <v>MMR001CMP182</v>
      </c>
      <c r="AP835" s="535">
        <f ca="1">IF(Table_NFI[[#This Row],[Pcode]]="","",IF(OFFSET(CampList[Opening Date],MATCH(Table_NFI[[#This Row],[Pcode]],CampList[CP_Pcode],0)-1,0,1,1)&gt;=NFI_Monitor_Date,1,0))</f>
        <v>0</v>
      </c>
      <c r="AQ835" s="540" t="str">
        <f>IFERROR(VLOOKUP(Table_NFI[[#This Row],[Camp Name]],CL,3,0),"")</f>
        <v>Open</v>
      </c>
      <c r="AR835" s="352" t="str">
        <f ca="1">IF(Table_NFI[[#This Row],[Pcode]]="","",OFFSET(CampList[Priority],MATCH(Table_NFI[[#This Row],[Pcode]],CampList[CP_Pcode],0)-1,0,1,1))</f>
        <v>P4</v>
      </c>
      <c r="AS835" s="351">
        <f>IFERROR(Table_NFI[[#This Row],[Kitchen Set]]/VLOOKUP(Table_NFI[[#This Row],[Camp Name]],CL,4,0),"")</f>
        <v>0</v>
      </c>
      <c r="AT835" s="533"/>
      <c r="AU835" s="557"/>
    </row>
    <row r="836" spans="1:47" ht="14.45" customHeight="1" x14ac:dyDescent="0.25">
      <c r="A836" s="355">
        <f t="shared" si="12"/>
        <v>49.533333333333331</v>
      </c>
      <c r="B836" s="532">
        <v>41085</v>
      </c>
      <c r="C836" s="533" t="s">
        <v>453</v>
      </c>
      <c r="D836" s="534" t="s">
        <v>453</v>
      </c>
      <c r="E836" s="533" t="s">
        <v>380</v>
      </c>
      <c r="F836" s="348" t="s">
        <v>185</v>
      </c>
      <c r="G836" s="348" t="s">
        <v>209</v>
      </c>
      <c r="H836" s="349"/>
      <c r="I836" s="354"/>
      <c r="J836" s="347"/>
      <c r="K836" s="347">
        <v>290</v>
      </c>
      <c r="L836" s="347">
        <v>145</v>
      </c>
      <c r="M836" s="347">
        <v>290</v>
      </c>
      <c r="N836" s="347">
        <v>145</v>
      </c>
      <c r="O836" s="347">
        <v>145</v>
      </c>
      <c r="P836" s="352">
        <v>145</v>
      </c>
      <c r="Q836" s="352">
        <v>145</v>
      </c>
      <c r="R836" s="352"/>
      <c r="S836" s="352"/>
      <c r="T836" s="352"/>
      <c r="U836" s="352"/>
      <c r="V836" s="497"/>
      <c r="W836" s="352"/>
      <c r="X836" s="352"/>
      <c r="Y836" s="352">
        <f>IF(NFI_Expiration=1,IF($A836&lt;VLOOKUP(H$5,NFI,5,0),1,0)*Table_NFI[[#This Row],[Hygiene Kit]],Table_NFI[Hygiene Kit])</f>
        <v>0</v>
      </c>
      <c r="Z836" s="352">
        <f>IF(NFI_Expiration=1,IF($A836&lt;VLOOKUP(I$5,NFI,5,0),1,0)*Table_NFI[[#This Row],[NFI Core Kit]],Table_NFI[NFI Core Kit])</f>
        <v>0</v>
      </c>
      <c r="AA836" s="352">
        <f>IF(NFI_Expiration=1,IF($A836&lt;VLOOKUP(J$5,NFI,5,0),1,0)*Table_NFI[[#This Row],[Sanitary Kit]],Table_NFI[Sanitary Kit])</f>
        <v>0</v>
      </c>
      <c r="AB836" s="352">
        <f>IF(NFI_Expiration=1,IF($A836&lt;VLOOKUP(K$5,NFI,5,0),1,0)*Table_NFI[[#This Row],[Mosquito net]],Table_NFI[Mosquito net])</f>
        <v>0</v>
      </c>
      <c r="AC836" s="352">
        <f>IF(NFI_Expiration=1,IF($A836&lt;VLOOKUP(L$5,NFI,5,0),1,0)*Table_NFI[[#This Row],[Tarpaulin]],Table_NFI[[#This Row],[Tarpaulin]])</f>
        <v>0</v>
      </c>
      <c r="AD836" s="352">
        <f>IF(NFI_Expiration=1,IF($A836&lt;VLOOKUP(M$5,NFI,5,0),1,0)*Table_NFI[[#This Row],[Blanket]],Table_NFI[[#This Row],[Blanket]])</f>
        <v>0</v>
      </c>
      <c r="AE836" s="352">
        <f>IF(NFI_Expiration=1,IF($A836&lt;VLOOKUP(N$5,NFI,5,0),1,0)*Table_NFI[[#This Row],[Kitchen Set]],Table_NFI[Kitchen Set])</f>
        <v>0</v>
      </c>
      <c r="AF836" s="352">
        <f>IF(NFI_Expiration=1,IF($A836&lt;VLOOKUP(O$5,NFI,5,0),1,0)*Table_NFI[[#This Row],[Clothes Kit]],Table_NFI[Clothes Kit])</f>
        <v>0</v>
      </c>
      <c r="AG836" s="352">
        <f>IF(NFI_Expiration=1,IF($A836&lt;VLOOKUP(P$5,NFI,5,0),1,0)*Table_NFI[[#This Row],[Plastic Bucket]],Table_NFI[Plastic Bucket])</f>
        <v>0</v>
      </c>
      <c r="AH836" s="352">
        <f>IF(NFI_Expiration=1,IF($A836&lt;VLOOKUP(Q$5,NFI,5,0),1,0)*Table_NFI[[#This Row],[Plastic Mat]],Table_NFI[Plastic Mat])*IF(Table_NFI[[#This Row],[Distribution Date]]&gt;"2014-04-01",1,2.5)</f>
        <v>0</v>
      </c>
      <c r="AI836" s="352">
        <f>IF(NFI_Expiration=1,IF($A836&lt;VLOOKUP(R$5,NFI,5,0),1,0)*Table_NFI[[#This Row],[Winter Clothes Adult]],Table_NFI[Winter Clothes Adult])</f>
        <v>0</v>
      </c>
      <c r="AJ836" s="352">
        <f>IF(NFI_Expiration=1,IF($A836&lt;VLOOKUP(S$5,NFI,5,0),1,0)*Table_NFI[[#This Row],[Winter Clothes Children]],Table_NFI[Winter Clothes Children])</f>
        <v>0</v>
      </c>
      <c r="AK836" s="352">
        <f>IF(NFI_Expiration=1,IF($A836&lt;VLOOKUP(T$5,NFI,5,0),1,0)*Table_NFI[[#This Row],[Winter Items Other]],Table_NFI[Winter Items Other])</f>
        <v>0</v>
      </c>
      <c r="AL836" s="352">
        <f>IF(NFI_Expiration=1,IF($A836&lt;VLOOKUP(M$5,NFI,5,0),1,0)*Table_NFI[[#This Row],[Winter Blanket]],Table_NFI[[#This Row],[Winter Blanket]])</f>
        <v>0</v>
      </c>
      <c r="AM836" s="352">
        <f>IF(Table_NFI[[#This Row],[Winter Clothes Adult]]+Table_NFI[[#This Row],[Winter Clothes Children]]+Table_NFI[[#This Row],[Winter Items Other]]+Table_NFI[[#This Row],[Winter Blanket]]&gt;0,1,0)</f>
        <v>0</v>
      </c>
      <c r="AN836" s="392">
        <f>IF(NFI_Expiration=1,IF($A836&lt;VLOOKUP(V$5,NFI,5,0),1,0)*Table_NFI[[#This Row],[Jerry Can]],Table_NFI[Jerry Can])</f>
        <v>0</v>
      </c>
      <c r="AO836" s="540" t="str">
        <f>IFERROR(VLOOKUP(Table_NFI[[#This Row],[Camp Name]],CL,2,0),"")</f>
        <v>MMR001CMP056</v>
      </c>
      <c r="AP836" s="535">
        <f ca="1">IF(Table_NFI[[#This Row],[Pcode]]="","",IF(OFFSET(CampList[Opening Date],MATCH(Table_NFI[[#This Row],[Pcode]],CampList[CP_Pcode],0)-1,0,1,1)&gt;=NFI_Monitor_Date,1,0))</f>
        <v>0</v>
      </c>
      <c r="AQ836" s="540" t="str">
        <f>IFERROR(VLOOKUP(Table_NFI[[#This Row],[Camp Name]],CL,3,0),"")</f>
        <v>Open</v>
      </c>
      <c r="AR836" s="352" t="str">
        <f ca="1">IF(Table_NFI[[#This Row],[Pcode]]="","",OFFSET(CampList[Priority],MATCH(Table_NFI[[#This Row],[Pcode]],CampList[CP_Pcode],0)-1,0,1,1))</f>
        <v>P4</v>
      </c>
      <c r="AS836" s="351">
        <f>IFERROR(Table_NFI[[#This Row],[Kitchen Set]]/VLOOKUP(Table_NFI[[#This Row],[Camp Name]],CL,4,0),"")</f>
        <v>0.6415929203539823</v>
      </c>
      <c r="AT836" s="533" t="s">
        <v>1094</v>
      </c>
      <c r="AU836" s="536"/>
    </row>
    <row r="837" spans="1:47" ht="14.45" customHeight="1" x14ac:dyDescent="0.25">
      <c r="A837" s="355">
        <f t="shared" si="12"/>
        <v>49.6</v>
      </c>
      <c r="B837" s="532">
        <v>41083</v>
      </c>
      <c r="C837" s="533" t="s">
        <v>453</v>
      </c>
      <c r="D837" s="534" t="s">
        <v>453</v>
      </c>
      <c r="E837" s="533" t="s">
        <v>380</v>
      </c>
      <c r="F837" s="348" t="s">
        <v>185</v>
      </c>
      <c r="G837" s="348" t="s">
        <v>192</v>
      </c>
      <c r="H837" s="349"/>
      <c r="I837" s="354"/>
      <c r="J837" s="347"/>
      <c r="K837" s="347">
        <v>24</v>
      </c>
      <c r="L837" s="347">
        <v>13</v>
      </c>
      <c r="M837" s="347">
        <v>24</v>
      </c>
      <c r="N837" s="347">
        <v>13</v>
      </c>
      <c r="O837" s="347">
        <v>13</v>
      </c>
      <c r="P837" s="352">
        <v>13</v>
      </c>
      <c r="Q837" s="352">
        <v>13</v>
      </c>
      <c r="R837" s="352"/>
      <c r="S837" s="352"/>
      <c r="T837" s="352"/>
      <c r="U837" s="352"/>
      <c r="V837" s="497"/>
      <c r="W837" s="352"/>
      <c r="X837" s="352"/>
      <c r="Y837" s="352">
        <f>IF(NFI_Expiration=1,IF($A837&lt;VLOOKUP(H$5,NFI,5,0),1,0)*Table_NFI[[#This Row],[Hygiene Kit]],Table_NFI[Hygiene Kit])</f>
        <v>0</v>
      </c>
      <c r="Z837" s="352">
        <f>IF(NFI_Expiration=1,IF($A837&lt;VLOOKUP(I$5,NFI,5,0),1,0)*Table_NFI[[#This Row],[NFI Core Kit]],Table_NFI[NFI Core Kit])</f>
        <v>0</v>
      </c>
      <c r="AA837" s="352">
        <f>IF(NFI_Expiration=1,IF($A837&lt;VLOOKUP(J$5,NFI,5,0),1,0)*Table_NFI[[#This Row],[Sanitary Kit]],Table_NFI[Sanitary Kit])</f>
        <v>0</v>
      </c>
      <c r="AB837" s="352">
        <f>IF(NFI_Expiration=1,IF($A837&lt;VLOOKUP(K$5,NFI,5,0),1,0)*Table_NFI[[#This Row],[Mosquito net]],Table_NFI[Mosquito net])</f>
        <v>0</v>
      </c>
      <c r="AC837" s="352">
        <f>IF(NFI_Expiration=1,IF($A837&lt;VLOOKUP(L$5,NFI,5,0),1,0)*Table_NFI[[#This Row],[Tarpaulin]],Table_NFI[[#This Row],[Tarpaulin]])</f>
        <v>0</v>
      </c>
      <c r="AD837" s="352">
        <f>IF(NFI_Expiration=1,IF($A837&lt;VLOOKUP(M$5,NFI,5,0),1,0)*Table_NFI[[#This Row],[Blanket]],Table_NFI[[#This Row],[Blanket]])</f>
        <v>0</v>
      </c>
      <c r="AE837" s="352">
        <f>IF(NFI_Expiration=1,IF($A837&lt;VLOOKUP(N$5,NFI,5,0),1,0)*Table_NFI[[#This Row],[Kitchen Set]],Table_NFI[Kitchen Set])</f>
        <v>0</v>
      </c>
      <c r="AF837" s="352">
        <f>IF(NFI_Expiration=1,IF($A837&lt;VLOOKUP(O$5,NFI,5,0),1,0)*Table_NFI[[#This Row],[Clothes Kit]],Table_NFI[Clothes Kit])</f>
        <v>0</v>
      </c>
      <c r="AG837" s="352">
        <f>IF(NFI_Expiration=1,IF($A837&lt;VLOOKUP(P$5,NFI,5,0),1,0)*Table_NFI[[#This Row],[Plastic Bucket]],Table_NFI[Plastic Bucket])</f>
        <v>0</v>
      </c>
      <c r="AH837" s="352">
        <f>IF(NFI_Expiration=1,IF($A837&lt;VLOOKUP(Q$5,NFI,5,0),1,0)*Table_NFI[[#This Row],[Plastic Mat]],Table_NFI[Plastic Mat])*IF(Table_NFI[[#This Row],[Distribution Date]]&gt;"2014-04-01",1,2.5)</f>
        <v>0</v>
      </c>
      <c r="AI837" s="352">
        <f>IF(NFI_Expiration=1,IF($A837&lt;VLOOKUP(R$5,NFI,5,0),1,0)*Table_NFI[[#This Row],[Winter Clothes Adult]],Table_NFI[Winter Clothes Adult])</f>
        <v>0</v>
      </c>
      <c r="AJ837" s="352">
        <f>IF(NFI_Expiration=1,IF($A837&lt;VLOOKUP(S$5,NFI,5,0),1,0)*Table_NFI[[#This Row],[Winter Clothes Children]],Table_NFI[Winter Clothes Children])</f>
        <v>0</v>
      </c>
      <c r="AK837" s="352">
        <f>IF(NFI_Expiration=1,IF($A837&lt;VLOOKUP(T$5,NFI,5,0),1,0)*Table_NFI[[#This Row],[Winter Items Other]],Table_NFI[Winter Items Other])</f>
        <v>0</v>
      </c>
      <c r="AL837" s="352">
        <f>IF(NFI_Expiration=1,IF($A837&lt;VLOOKUP(M$5,NFI,5,0),1,0)*Table_NFI[[#This Row],[Winter Blanket]],Table_NFI[[#This Row],[Winter Blanket]])</f>
        <v>0</v>
      </c>
      <c r="AM837" s="352">
        <f>IF(Table_NFI[[#This Row],[Winter Clothes Adult]]+Table_NFI[[#This Row],[Winter Clothes Children]]+Table_NFI[[#This Row],[Winter Items Other]]+Table_NFI[[#This Row],[Winter Blanket]]&gt;0,1,0)</f>
        <v>0</v>
      </c>
      <c r="AN837" s="392">
        <f>IF(NFI_Expiration=1,IF($A837&lt;VLOOKUP(V$5,NFI,5,0),1,0)*Table_NFI[[#This Row],[Jerry Can]],Table_NFI[Jerry Can])</f>
        <v>0</v>
      </c>
      <c r="AO837" s="540" t="str">
        <f>IFERROR(VLOOKUP(Table_NFI[[#This Row],[Camp Name]],CL,2,0),"")</f>
        <v>MMR001CMP123</v>
      </c>
      <c r="AP837" s="535">
        <f ca="1">IF(Table_NFI[[#This Row],[Pcode]]="","",IF(OFFSET(CampList[Opening Date],MATCH(Table_NFI[[#This Row],[Pcode]],CampList[CP_Pcode],0)-1,0,1,1)&gt;=NFI_Monitor_Date,1,0))</f>
        <v>0</v>
      </c>
      <c r="AQ837" s="540" t="str">
        <f>IFERROR(VLOOKUP(Table_NFI[[#This Row],[Camp Name]],CL,3,0),"")</f>
        <v>Open</v>
      </c>
      <c r="AR837" s="352" t="str">
        <f ca="1">IF(Table_NFI[[#This Row],[Pcode]]="","",OFFSET(CampList[Priority],MATCH(Table_NFI[[#This Row],[Pcode]],CampList[CP_Pcode],0)-1,0,1,1))</f>
        <v>P2</v>
      </c>
      <c r="AS837" s="351">
        <f>IFERROR(Table_NFI[[#This Row],[Kitchen Set]]/VLOOKUP(Table_NFI[[#This Row],[Camp Name]],CL,4,0),"")</f>
        <v>0.11206896551724138</v>
      </c>
      <c r="AT837" s="533" t="s">
        <v>1094</v>
      </c>
      <c r="AU837" s="536"/>
    </row>
    <row r="838" spans="1:47" ht="14.45" customHeight="1" x14ac:dyDescent="0.25">
      <c r="A838" s="355">
        <f t="shared" ref="A838:A901" si="13">IF(ISBLANK(B838),"",(Report_Date-B838)/30)</f>
        <v>49.633333333333333</v>
      </c>
      <c r="B838" s="532">
        <v>41082</v>
      </c>
      <c r="C838" s="533" t="s">
        <v>453</v>
      </c>
      <c r="D838" s="533" t="s">
        <v>453</v>
      </c>
      <c r="E838" s="533" t="s">
        <v>380</v>
      </c>
      <c r="F838" s="348" t="s">
        <v>185</v>
      </c>
      <c r="G838" s="348" t="s">
        <v>215</v>
      </c>
      <c r="H838" s="349"/>
      <c r="I838" s="349"/>
      <c r="J838" s="349"/>
      <c r="K838" s="349">
        <v>140</v>
      </c>
      <c r="L838" s="350">
        <v>70</v>
      </c>
      <c r="M838" s="350">
        <v>140</v>
      </c>
      <c r="N838" s="350">
        <v>70</v>
      </c>
      <c r="O838" s="350">
        <v>70</v>
      </c>
      <c r="P838" s="352">
        <v>70</v>
      </c>
      <c r="Q838" s="352">
        <v>70</v>
      </c>
      <c r="R838" s="352"/>
      <c r="S838" s="352"/>
      <c r="T838" s="352"/>
      <c r="U838" s="352"/>
      <c r="V838" s="497"/>
      <c r="W838" s="352"/>
      <c r="X838" s="352"/>
      <c r="Y838" s="352">
        <f>IF(NFI_Expiration=1,IF($A838&lt;VLOOKUP(H$5,NFI,5,0),1,0)*Table_NFI[[#This Row],[Hygiene Kit]],Table_NFI[Hygiene Kit])</f>
        <v>0</v>
      </c>
      <c r="Z838" s="352">
        <f>IF(NFI_Expiration=1,IF($A838&lt;VLOOKUP(I$5,NFI,5,0),1,0)*Table_NFI[[#This Row],[NFI Core Kit]],Table_NFI[NFI Core Kit])</f>
        <v>0</v>
      </c>
      <c r="AA838" s="352">
        <f>IF(NFI_Expiration=1,IF($A838&lt;VLOOKUP(J$5,NFI,5,0),1,0)*Table_NFI[[#This Row],[Sanitary Kit]],Table_NFI[Sanitary Kit])</f>
        <v>0</v>
      </c>
      <c r="AB838" s="352">
        <f>IF(NFI_Expiration=1,IF($A838&lt;VLOOKUP(K$5,NFI,5,0),1,0)*Table_NFI[[#This Row],[Mosquito net]],Table_NFI[Mosquito net])</f>
        <v>0</v>
      </c>
      <c r="AC838" s="352">
        <f>IF(NFI_Expiration=1,IF($A838&lt;VLOOKUP(L$5,NFI,5,0),1,0)*Table_NFI[[#This Row],[Tarpaulin]],Table_NFI[[#This Row],[Tarpaulin]])</f>
        <v>0</v>
      </c>
      <c r="AD838" s="352">
        <f>IF(NFI_Expiration=1,IF($A838&lt;VLOOKUP(M$5,NFI,5,0),1,0)*Table_NFI[[#This Row],[Blanket]],Table_NFI[[#This Row],[Blanket]])</f>
        <v>0</v>
      </c>
      <c r="AE838" s="352">
        <f>IF(NFI_Expiration=1,IF($A838&lt;VLOOKUP(N$5,NFI,5,0),1,0)*Table_NFI[[#This Row],[Kitchen Set]],Table_NFI[Kitchen Set])</f>
        <v>0</v>
      </c>
      <c r="AF838" s="352">
        <f>IF(NFI_Expiration=1,IF($A838&lt;VLOOKUP(O$5,NFI,5,0),1,0)*Table_NFI[[#This Row],[Clothes Kit]],Table_NFI[Clothes Kit])</f>
        <v>0</v>
      </c>
      <c r="AG838" s="352">
        <f>IF(NFI_Expiration=1,IF($A838&lt;VLOOKUP(P$5,NFI,5,0),1,0)*Table_NFI[[#This Row],[Plastic Bucket]],Table_NFI[Plastic Bucket])</f>
        <v>0</v>
      </c>
      <c r="AH838" s="352">
        <f>IF(NFI_Expiration=1,IF($A838&lt;VLOOKUP(Q$5,NFI,5,0),1,0)*Table_NFI[[#This Row],[Plastic Mat]],Table_NFI[Plastic Mat])*IF(Table_NFI[[#This Row],[Distribution Date]]&gt;"2014-04-01",1,2.5)</f>
        <v>0</v>
      </c>
      <c r="AI838" s="352">
        <f>IF(NFI_Expiration=1,IF($A838&lt;VLOOKUP(R$5,NFI,5,0),1,0)*Table_NFI[[#This Row],[Winter Clothes Adult]],Table_NFI[Winter Clothes Adult])</f>
        <v>0</v>
      </c>
      <c r="AJ838" s="352">
        <f>IF(NFI_Expiration=1,IF($A838&lt;VLOOKUP(S$5,NFI,5,0),1,0)*Table_NFI[[#This Row],[Winter Clothes Children]],Table_NFI[Winter Clothes Children])</f>
        <v>0</v>
      </c>
      <c r="AK838" s="352">
        <f>IF(NFI_Expiration=1,IF($A838&lt;VLOOKUP(T$5,NFI,5,0),1,0)*Table_NFI[[#This Row],[Winter Items Other]],Table_NFI[Winter Items Other])</f>
        <v>0</v>
      </c>
      <c r="AL838" s="352">
        <f>IF(NFI_Expiration=1,IF($A838&lt;VLOOKUP(M$5,NFI,5,0),1,0)*Table_NFI[[#This Row],[Winter Blanket]],Table_NFI[[#This Row],[Winter Blanket]])</f>
        <v>0</v>
      </c>
      <c r="AM838" s="352">
        <f>IF(Table_NFI[[#This Row],[Winter Clothes Adult]]+Table_NFI[[#This Row],[Winter Clothes Children]]+Table_NFI[[#This Row],[Winter Items Other]]+Table_NFI[[#This Row],[Winter Blanket]]&gt;0,1,0)</f>
        <v>0</v>
      </c>
      <c r="AN838" s="392">
        <f>IF(NFI_Expiration=1,IF($A838&lt;VLOOKUP(V$5,NFI,5,0),1,0)*Table_NFI[[#This Row],[Jerry Can]],Table_NFI[Jerry Can])</f>
        <v>0</v>
      </c>
      <c r="AO838" s="540" t="str">
        <f>IFERROR(VLOOKUP(Table_NFI[[#This Row],[Camp Name]],CL,2,0),"")</f>
        <v>MMR001CMP131</v>
      </c>
      <c r="AP838" s="535">
        <f ca="1">IF(Table_NFI[[#This Row],[Pcode]]="","",IF(OFFSET(CampList[Opening Date],MATCH(Table_NFI[[#This Row],[Pcode]],CampList[CP_Pcode],0)-1,0,1,1)&gt;=NFI_Monitor_Date,1,0))</f>
        <v>0</v>
      </c>
      <c r="AQ838" s="540" t="str">
        <f>IFERROR(VLOOKUP(Table_NFI[[#This Row],[Camp Name]],CL,3,0),"")</f>
        <v>Open</v>
      </c>
      <c r="AR838" s="352" t="str">
        <f ca="1">IF(Table_NFI[[#This Row],[Pcode]]="","",OFFSET(CampList[Priority],MATCH(Table_NFI[[#This Row],[Pcode]],CampList[CP_Pcode],0)-1,0,1,1))</f>
        <v>P1</v>
      </c>
      <c r="AS838" s="351">
        <f>IFERROR(Table_NFI[[#This Row],[Kitchen Set]]/VLOOKUP(Table_NFI[[#This Row],[Camp Name]],CL,4,0),"")</f>
        <v>0.18666666666666668</v>
      </c>
      <c r="AT838" s="533" t="s">
        <v>1094</v>
      </c>
      <c r="AU838" s="536"/>
    </row>
    <row r="839" spans="1:47" ht="14.45" customHeight="1" x14ac:dyDescent="0.25">
      <c r="A839" s="355">
        <f t="shared" si="13"/>
        <v>49.7</v>
      </c>
      <c r="B839" s="532">
        <v>41080</v>
      </c>
      <c r="C839" s="533" t="s">
        <v>453</v>
      </c>
      <c r="D839" s="534" t="s">
        <v>453</v>
      </c>
      <c r="E839" s="533" t="s">
        <v>380</v>
      </c>
      <c r="F839" s="348" t="s">
        <v>310</v>
      </c>
      <c r="G839" s="348" t="s">
        <v>311</v>
      </c>
      <c r="H839" s="349"/>
      <c r="I839" s="349"/>
      <c r="J839" s="349"/>
      <c r="K839" s="349">
        <v>141</v>
      </c>
      <c r="L839" s="350">
        <v>81</v>
      </c>
      <c r="M839" s="350">
        <v>148</v>
      </c>
      <c r="N839" s="350">
        <v>84</v>
      </c>
      <c r="O839" s="350">
        <v>78</v>
      </c>
      <c r="P839" s="352">
        <v>78</v>
      </c>
      <c r="Q839" s="352">
        <v>78</v>
      </c>
      <c r="R839" s="352"/>
      <c r="S839" s="352"/>
      <c r="T839" s="352"/>
      <c r="U839" s="352"/>
      <c r="V839" s="497"/>
      <c r="W839" s="352"/>
      <c r="X839" s="352"/>
      <c r="Y839" s="352">
        <f>IF(NFI_Expiration=1,IF($A839&lt;VLOOKUP(H$5,NFI,5,0),1,0)*Table_NFI[[#This Row],[Hygiene Kit]],Table_NFI[Hygiene Kit])</f>
        <v>0</v>
      </c>
      <c r="Z839" s="352">
        <f>IF(NFI_Expiration=1,IF($A839&lt;VLOOKUP(I$5,NFI,5,0),1,0)*Table_NFI[[#This Row],[NFI Core Kit]],Table_NFI[NFI Core Kit])</f>
        <v>0</v>
      </c>
      <c r="AA839" s="352">
        <f>IF(NFI_Expiration=1,IF($A839&lt;VLOOKUP(J$5,NFI,5,0),1,0)*Table_NFI[[#This Row],[Sanitary Kit]],Table_NFI[Sanitary Kit])</f>
        <v>0</v>
      </c>
      <c r="AB839" s="352">
        <f>IF(NFI_Expiration=1,IF($A839&lt;VLOOKUP(K$5,NFI,5,0),1,0)*Table_NFI[[#This Row],[Mosquito net]],Table_NFI[Mosquito net])</f>
        <v>0</v>
      </c>
      <c r="AC839" s="352">
        <f>IF(NFI_Expiration=1,IF($A839&lt;VLOOKUP(L$5,NFI,5,0),1,0)*Table_NFI[[#This Row],[Tarpaulin]],Table_NFI[[#This Row],[Tarpaulin]])</f>
        <v>0</v>
      </c>
      <c r="AD839" s="352">
        <f>IF(NFI_Expiration=1,IF($A839&lt;VLOOKUP(M$5,NFI,5,0),1,0)*Table_NFI[[#This Row],[Blanket]],Table_NFI[[#This Row],[Blanket]])</f>
        <v>0</v>
      </c>
      <c r="AE839" s="352">
        <f>IF(NFI_Expiration=1,IF($A839&lt;VLOOKUP(N$5,NFI,5,0),1,0)*Table_NFI[[#This Row],[Kitchen Set]],Table_NFI[Kitchen Set])</f>
        <v>0</v>
      </c>
      <c r="AF839" s="352">
        <f>IF(NFI_Expiration=1,IF($A839&lt;VLOOKUP(O$5,NFI,5,0),1,0)*Table_NFI[[#This Row],[Clothes Kit]],Table_NFI[Clothes Kit])</f>
        <v>0</v>
      </c>
      <c r="AG839" s="352">
        <f>IF(NFI_Expiration=1,IF($A839&lt;VLOOKUP(P$5,NFI,5,0),1,0)*Table_NFI[[#This Row],[Plastic Bucket]],Table_NFI[Plastic Bucket])</f>
        <v>0</v>
      </c>
      <c r="AH839" s="352">
        <f>IF(NFI_Expiration=1,IF($A839&lt;VLOOKUP(Q$5,NFI,5,0),1,0)*Table_NFI[[#This Row],[Plastic Mat]],Table_NFI[Plastic Mat])*IF(Table_NFI[[#This Row],[Distribution Date]]&gt;"2014-04-01",1,2.5)</f>
        <v>0</v>
      </c>
      <c r="AI839" s="352">
        <f>IF(NFI_Expiration=1,IF($A839&lt;VLOOKUP(R$5,NFI,5,0),1,0)*Table_NFI[[#This Row],[Winter Clothes Adult]],Table_NFI[Winter Clothes Adult])</f>
        <v>0</v>
      </c>
      <c r="AJ839" s="352">
        <f>IF(NFI_Expiration=1,IF($A839&lt;VLOOKUP(S$5,NFI,5,0),1,0)*Table_NFI[[#This Row],[Winter Clothes Children]],Table_NFI[Winter Clothes Children])</f>
        <v>0</v>
      </c>
      <c r="AK839" s="352">
        <f>IF(NFI_Expiration=1,IF($A839&lt;VLOOKUP(T$5,NFI,5,0),1,0)*Table_NFI[[#This Row],[Winter Items Other]],Table_NFI[Winter Items Other])</f>
        <v>0</v>
      </c>
      <c r="AL839" s="352">
        <f>IF(NFI_Expiration=1,IF($A839&lt;VLOOKUP(M$5,NFI,5,0),1,0)*Table_NFI[[#This Row],[Winter Blanket]],Table_NFI[[#This Row],[Winter Blanket]])</f>
        <v>0</v>
      </c>
      <c r="AM839" s="352">
        <f>IF(Table_NFI[[#This Row],[Winter Clothes Adult]]+Table_NFI[[#This Row],[Winter Clothes Children]]+Table_NFI[[#This Row],[Winter Items Other]]+Table_NFI[[#This Row],[Winter Blanket]]&gt;0,1,0)</f>
        <v>0</v>
      </c>
      <c r="AN839" s="392">
        <f>IF(NFI_Expiration=1,IF($A839&lt;VLOOKUP(V$5,NFI,5,0),1,0)*Table_NFI[[#This Row],[Jerry Can]],Table_NFI[Jerry Can])</f>
        <v>0</v>
      </c>
      <c r="AO839" s="540" t="str">
        <f>IFERROR(VLOOKUP(Table_NFI[[#This Row],[Camp Name]],CL,2,0),"")</f>
        <v>MMR001CMP036</v>
      </c>
      <c r="AP839" s="535">
        <f ca="1">IF(Table_NFI[[#This Row],[Pcode]]="","",IF(OFFSET(CampList[Opening Date],MATCH(Table_NFI[[#This Row],[Pcode]],CampList[CP_Pcode],0)-1,0,1,1)&gt;=NFI_Monitor_Date,1,0))</f>
        <v>0</v>
      </c>
      <c r="AQ839" s="540" t="str">
        <f>IFERROR(VLOOKUP(Table_NFI[[#This Row],[Camp Name]],CL,3,0),"")</f>
        <v>Closed</v>
      </c>
      <c r="AR839" s="352" t="str">
        <f ca="1">IF(Table_NFI[[#This Row],[Pcode]]="","",OFFSET(CampList[Priority],MATCH(Table_NFI[[#This Row],[Pcode]],CampList[CP_Pcode],0)-1,0,1,1))</f>
        <v>P4</v>
      </c>
      <c r="AS839" s="351" t="str">
        <f>IFERROR(Table_NFI[[#This Row],[Kitchen Set]]/VLOOKUP(Table_NFI[[#This Row],[Camp Name]],CL,4,0),"")</f>
        <v/>
      </c>
      <c r="AT839" s="533" t="s">
        <v>1094</v>
      </c>
      <c r="AU839" s="536"/>
    </row>
    <row r="840" spans="1:47" ht="14.45" customHeight="1" x14ac:dyDescent="0.25">
      <c r="A840" s="355">
        <f t="shared" si="13"/>
        <v>49.733333333333334</v>
      </c>
      <c r="B840" s="532">
        <v>41079</v>
      </c>
      <c r="C840" s="533" t="s">
        <v>453</v>
      </c>
      <c r="D840" s="534" t="s">
        <v>453</v>
      </c>
      <c r="E840" s="533" t="s">
        <v>380</v>
      </c>
      <c r="F840" s="348" t="s">
        <v>310</v>
      </c>
      <c r="G840" s="348" t="s">
        <v>324</v>
      </c>
      <c r="H840" s="349"/>
      <c r="I840" s="349"/>
      <c r="J840" s="349"/>
      <c r="K840" s="349">
        <v>32</v>
      </c>
      <c r="L840" s="350">
        <v>17</v>
      </c>
      <c r="M840" s="350">
        <v>32</v>
      </c>
      <c r="N840" s="350">
        <v>17</v>
      </c>
      <c r="O840" s="350">
        <v>17</v>
      </c>
      <c r="P840" s="352">
        <v>17</v>
      </c>
      <c r="Q840" s="352">
        <v>17</v>
      </c>
      <c r="R840" s="352"/>
      <c r="S840" s="352"/>
      <c r="T840" s="352"/>
      <c r="U840" s="352"/>
      <c r="V840" s="497"/>
      <c r="W840" s="352"/>
      <c r="X840" s="352"/>
      <c r="Y840" s="352">
        <f>IF(NFI_Expiration=1,IF($A840&lt;VLOOKUP(H$5,NFI,5,0),1,0)*Table_NFI[[#This Row],[Hygiene Kit]],Table_NFI[Hygiene Kit])</f>
        <v>0</v>
      </c>
      <c r="Z840" s="352">
        <f>IF(NFI_Expiration=1,IF($A840&lt;VLOOKUP(I$5,NFI,5,0),1,0)*Table_NFI[[#This Row],[NFI Core Kit]],Table_NFI[NFI Core Kit])</f>
        <v>0</v>
      </c>
      <c r="AA840" s="352">
        <f>IF(NFI_Expiration=1,IF($A840&lt;VLOOKUP(J$5,NFI,5,0),1,0)*Table_NFI[[#This Row],[Sanitary Kit]],Table_NFI[Sanitary Kit])</f>
        <v>0</v>
      </c>
      <c r="AB840" s="352">
        <f>IF(NFI_Expiration=1,IF($A840&lt;VLOOKUP(K$5,NFI,5,0),1,0)*Table_NFI[[#This Row],[Mosquito net]],Table_NFI[Mosquito net])</f>
        <v>0</v>
      </c>
      <c r="AC840" s="352">
        <f>IF(NFI_Expiration=1,IF($A840&lt;VLOOKUP(L$5,NFI,5,0),1,0)*Table_NFI[[#This Row],[Tarpaulin]],Table_NFI[[#This Row],[Tarpaulin]])</f>
        <v>0</v>
      </c>
      <c r="AD840" s="352">
        <f>IF(NFI_Expiration=1,IF($A840&lt;VLOOKUP(M$5,NFI,5,0),1,0)*Table_NFI[[#This Row],[Blanket]],Table_NFI[[#This Row],[Blanket]])</f>
        <v>0</v>
      </c>
      <c r="AE840" s="352">
        <f>IF(NFI_Expiration=1,IF($A840&lt;VLOOKUP(N$5,NFI,5,0),1,0)*Table_NFI[[#This Row],[Kitchen Set]],Table_NFI[Kitchen Set])</f>
        <v>0</v>
      </c>
      <c r="AF840" s="352">
        <f>IF(NFI_Expiration=1,IF($A840&lt;VLOOKUP(O$5,NFI,5,0),1,0)*Table_NFI[[#This Row],[Clothes Kit]],Table_NFI[Clothes Kit])</f>
        <v>0</v>
      </c>
      <c r="AG840" s="352">
        <f>IF(NFI_Expiration=1,IF($A840&lt;VLOOKUP(P$5,NFI,5,0),1,0)*Table_NFI[[#This Row],[Plastic Bucket]],Table_NFI[Plastic Bucket])</f>
        <v>0</v>
      </c>
      <c r="AH840" s="352">
        <f>IF(NFI_Expiration=1,IF($A840&lt;VLOOKUP(Q$5,NFI,5,0),1,0)*Table_NFI[[#This Row],[Plastic Mat]],Table_NFI[Plastic Mat])*IF(Table_NFI[[#This Row],[Distribution Date]]&gt;"2014-04-01",1,2.5)</f>
        <v>0</v>
      </c>
      <c r="AI840" s="352">
        <f>IF(NFI_Expiration=1,IF($A840&lt;VLOOKUP(R$5,NFI,5,0),1,0)*Table_NFI[[#This Row],[Winter Clothes Adult]],Table_NFI[Winter Clothes Adult])</f>
        <v>0</v>
      </c>
      <c r="AJ840" s="352">
        <f>IF(NFI_Expiration=1,IF($A840&lt;VLOOKUP(S$5,NFI,5,0),1,0)*Table_NFI[[#This Row],[Winter Clothes Children]],Table_NFI[Winter Clothes Children])</f>
        <v>0</v>
      </c>
      <c r="AK840" s="352">
        <f>IF(NFI_Expiration=1,IF($A840&lt;VLOOKUP(T$5,NFI,5,0),1,0)*Table_NFI[[#This Row],[Winter Items Other]],Table_NFI[Winter Items Other])</f>
        <v>0</v>
      </c>
      <c r="AL840" s="352">
        <f>IF(NFI_Expiration=1,IF($A840&lt;VLOOKUP(M$5,NFI,5,0),1,0)*Table_NFI[[#This Row],[Winter Blanket]],Table_NFI[[#This Row],[Winter Blanket]])</f>
        <v>0</v>
      </c>
      <c r="AM840" s="352">
        <f>IF(Table_NFI[[#This Row],[Winter Clothes Adult]]+Table_NFI[[#This Row],[Winter Clothes Children]]+Table_NFI[[#This Row],[Winter Items Other]]+Table_NFI[[#This Row],[Winter Blanket]]&gt;0,1,0)</f>
        <v>0</v>
      </c>
      <c r="AN840" s="392">
        <f>IF(NFI_Expiration=1,IF($A840&lt;VLOOKUP(V$5,NFI,5,0),1,0)*Table_NFI[[#This Row],[Jerry Can]],Table_NFI[Jerry Can])</f>
        <v>0</v>
      </c>
      <c r="AO840" s="540" t="str">
        <f>IFERROR(VLOOKUP(Table_NFI[[#This Row],[Camp Name]],CL,2,0),"")</f>
        <v>MMR001CMP040</v>
      </c>
      <c r="AP840" s="535">
        <f ca="1">IF(Table_NFI[[#This Row],[Pcode]]="","",IF(OFFSET(CampList[Opening Date],MATCH(Table_NFI[[#This Row],[Pcode]],CampList[CP_Pcode],0)-1,0,1,1)&gt;=NFI_Monitor_Date,1,0))</f>
        <v>0</v>
      </c>
      <c r="AQ840" s="540" t="str">
        <f>IFERROR(VLOOKUP(Table_NFI[[#This Row],[Camp Name]],CL,3,0),"")</f>
        <v>Open</v>
      </c>
      <c r="AR840" s="352" t="str">
        <f ca="1">IF(Table_NFI[[#This Row],[Pcode]]="","",OFFSET(CampList[Priority],MATCH(Table_NFI[[#This Row],[Pcode]],CampList[CP_Pcode],0)-1,0,1,1))</f>
        <v>P4</v>
      </c>
      <c r="AS840" s="351">
        <f>IFERROR(Table_NFI[[#This Row],[Kitchen Set]]/VLOOKUP(Table_NFI[[#This Row],[Camp Name]],CL,4,0),"")</f>
        <v>4.2929292929292928E-2</v>
      </c>
      <c r="AT840" s="533" t="s">
        <v>1094</v>
      </c>
      <c r="AU840" s="536"/>
    </row>
    <row r="841" spans="1:47" ht="14.45" customHeight="1" x14ac:dyDescent="0.25">
      <c r="A841" s="355">
        <f t="shared" si="13"/>
        <v>49.733333333333334</v>
      </c>
      <c r="B841" s="532">
        <v>41079</v>
      </c>
      <c r="C841" s="533" t="s">
        <v>453</v>
      </c>
      <c r="D841" s="534" t="s">
        <v>453</v>
      </c>
      <c r="E841" s="533" t="s">
        <v>380</v>
      </c>
      <c r="F841" s="348" t="s">
        <v>310</v>
      </c>
      <c r="G841" s="348" t="s">
        <v>349</v>
      </c>
      <c r="H841" s="349"/>
      <c r="I841" s="349"/>
      <c r="J841" s="349"/>
      <c r="K841" s="349">
        <v>31</v>
      </c>
      <c r="L841" s="350">
        <v>15</v>
      </c>
      <c r="M841" s="350">
        <v>31</v>
      </c>
      <c r="N841" s="350">
        <v>15</v>
      </c>
      <c r="O841" s="350">
        <v>15</v>
      </c>
      <c r="P841" s="352">
        <v>15</v>
      </c>
      <c r="Q841" s="352">
        <v>15</v>
      </c>
      <c r="R841" s="352"/>
      <c r="S841" s="352"/>
      <c r="T841" s="352"/>
      <c r="U841" s="352"/>
      <c r="V841" s="497"/>
      <c r="W841" s="352"/>
      <c r="X841" s="352"/>
      <c r="Y841" s="352">
        <f>IF(NFI_Expiration=1,IF($A841&lt;VLOOKUP(H$5,NFI,5,0),1,0)*Table_NFI[[#This Row],[Hygiene Kit]],Table_NFI[Hygiene Kit])</f>
        <v>0</v>
      </c>
      <c r="Z841" s="352">
        <f>IF(NFI_Expiration=1,IF($A841&lt;VLOOKUP(I$5,NFI,5,0),1,0)*Table_NFI[[#This Row],[NFI Core Kit]],Table_NFI[NFI Core Kit])</f>
        <v>0</v>
      </c>
      <c r="AA841" s="352">
        <f>IF(NFI_Expiration=1,IF($A841&lt;VLOOKUP(J$5,NFI,5,0),1,0)*Table_NFI[[#This Row],[Sanitary Kit]],Table_NFI[Sanitary Kit])</f>
        <v>0</v>
      </c>
      <c r="AB841" s="352">
        <f>IF(NFI_Expiration=1,IF($A841&lt;VLOOKUP(K$5,NFI,5,0),1,0)*Table_NFI[[#This Row],[Mosquito net]],Table_NFI[Mosquito net])</f>
        <v>0</v>
      </c>
      <c r="AC841" s="352">
        <f>IF(NFI_Expiration=1,IF($A841&lt;VLOOKUP(L$5,NFI,5,0),1,0)*Table_NFI[[#This Row],[Tarpaulin]],Table_NFI[[#This Row],[Tarpaulin]])</f>
        <v>0</v>
      </c>
      <c r="AD841" s="352">
        <f>IF(NFI_Expiration=1,IF($A841&lt;VLOOKUP(M$5,NFI,5,0),1,0)*Table_NFI[[#This Row],[Blanket]],Table_NFI[[#This Row],[Blanket]])</f>
        <v>0</v>
      </c>
      <c r="AE841" s="352">
        <f>IF(NFI_Expiration=1,IF($A841&lt;VLOOKUP(N$5,NFI,5,0),1,0)*Table_NFI[[#This Row],[Kitchen Set]],Table_NFI[Kitchen Set])</f>
        <v>0</v>
      </c>
      <c r="AF841" s="352">
        <f>IF(NFI_Expiration=1,IF($A841&lt;VLOOKUP(O$5,NFI,5,0),1,0)*Table_NFI[[#This Row],[Clothes Kit]],Table_NFI[Clothes Kit])</f>
        <v>0</v>
      </c>
      <c r="AG841" s="352">
        <f>IF(NFI_Expiration=1,IF($A841&lt;VLOOKUP(P$5,NFI,5,0),1,0)*Table_NFI[[#This Row],[Plastic Bucket]],Table_NFI[Plastic Bucket])</f>
        <v>0</v>
      </c>
      <c r="AH841" s="352">
        <f>IF(NFI_Expiration=1,IF($A841&lt;VLOOKUP(Q$5,NFI,5,0),1,0)*Table_NFI[[#This Row],[Plastic Mat]],Table_NFI[Plastic Mat])*IF(Table_NFI[[#This Row],[Distribution Date]]&gt;"2014-04-01",1,2.5)</f>
        <v>0</v>
      </c>
      <c r="AI841" s="352">
        <f>IF(NFI_Expiration=1,IF($A841&lt;VLOOKUP(R$5,NFI,5,0),1,0)*Table_NFI[[#This Row],[Winter Clothes Adult]],Table_NFI[Winter Clothes Adult])</f>
        <v>0</v>
      </c>
      <c r="AJ841" s="352">
        <f>IF(NFI_Expiration=1,IF($A841&lt;VLOOKUP(S$5,NFI,5,0),1,0)*Table_NFI[[#This Row],[Winter Clothes Children]],Table_NFI[Winter Clothes Children])</f>
        <v>0</v>
      </c>
      <c r="AK841" s="352">
        <f>IF(NFI_Expiration=1,IF($A841&lt;VLOOKUP(T$5,NFI,5,0),1,0)*Table_NFI[[#This Row],[Winter Items Other]],Table_NFI[Winter Items Other])</f>
        <v>0</v>
      </c>
      <c r="AL841" s="352">
        <f>IF(NFI_Expiration=1,IF($A841&lt;VLOOKUP(M$5,NFI,5,0),1,0)*Table_NFI[[#This Row],[Winter Blanket]],Table_NFI[[#This Row],[Winter Blanket]])</f>
        <v>0</v>
      </c>
      <c r="AM841" s="352">
        <f>IF(Table_NFI[[#This Row],[Winter Clothes Adult]]+Table_NFI[[#This Row],[Winter Clothes Children]]+Table_NFI[[#This Row],[Winter Items Other]]+Table_NFI[[#This Row],[Winter Blanket]]&gt;0,1,0)</f>
        <v>0</v>
      </c>
      <c r="AN841" s="392">
        <f>IF(NFI_Expiration=1,IF($A841&lt;VLOOKUP(V$5,NFI,5,0),1,0)*Table_NFI[[#This Row],[Jerry Can]],Table_NFI[Jerry Can])</f>
        <v>0</v>
      </c>
      <c r="AO841" s="540" t="str">
        <f>IFERROR(VLOOKUP(Table_NFI[[#This Row],[Camp Name]],CL,2,0),"")</f>
        <v>MMR001CMP037</v>
      </c>
      <c r="AP841" s="535">
        <f ca="1">IF(Table_NFI[[#This Row],[Pcode]]="","",IF(OFFSET(CampList[Opening Date],MATCH(Table_NFI[[#This Row],[Pcode]],CampList[CP_Pcode],0)-1,0,1,1)&gt;=NFI_Monitor_Date,1,0))</f>
        <v>0</v>
      </c>
      <c r="AQ841" s="540" t="str">
        <f>IFERROR(VLOOKUP(Table_NFI[[#This Row],[Camp Name]],CL,3,0),"")</f>
        <v>Open</v>
      </c>
      <c r="AR841" s="352" t="str">
        <f ca="1">IF(Table_NFI[[#This Row],[Pcode]]="","",OFFSET(CampList[Priority],MATCH(Table_NFI[[#This Row],[Pcode]],CampList[CP_Pcode],0)-1,0,1,1))</f>
        <v>P4</v>
      </c>
      <c r="AS841" s="351">
        <f>IFERROR(Table_NFI[[#This Row],[Kitchen Set]]/VLOOKUP(Table_NFI[[#This Row],[Camp Name]],CL,4,0),"")</f>
        <v>0.34090909090909088</v>
      </c>
      <c r="AT841" s="533" t="s">
        <v>1094</v>
      </c>
      <c r="AU841" s="536"/>
    </row>
    <row r="842" spans="1:47" ht="14.45" customHeight="1" x14ac:dyDescent="0.25">
      <c r="A842" s="355">
        <f t="shared" si="13"/>
        <v>49.733333333333334</v>
      </c>
      <c r="B842" s="532">
        <v>41079</v>
      </c>
      <c r="C842" s="533" t="s">
        <v>453</v>
      </c>
      <c r="D842" s="534" t="s">
        <v>453</v>
      </c>
      <c r="E842" s="533" t="s">
        <v>380</v>
      </c>
      <c r="F842" s="348" t="s">
        <v>310</v>
      </c>
      <c r="G842" s="348" t="s">
        <v>316</v>
      </c>
      <c r="H842" s="349"/>
      <c r="I842" s="349"/>
      <c r="J842" s="349"/>
      <c r="K842" s="349">
        <v>28</v>
      </c>
      <c r="L842" s="350">
        <v>15</v>
      </c>
      <c r="M842" s="350">
        <v>28</v>
      </c>
      <c r="N842" s="350">
        <v>15</v>
      </c>
      <c r="O842" s="350">
        <v>15</v>
      </c>
      <c r="P842" s="352">
        <v>15</v>
      </c>
      <c r="Q842" s="352">
        <v>15</v>
      </c>
      <c r="R842" s="352"/>
      <c r="S842" s="352"/>
      <c r="T842" s="352"/>
      <c r="U842" s="352"/>
      <c r="V842" s="497"/>
      <c r="W842" s="352"/>
      <c r="X842" s="352"/>
      <c r="Y842" s="352">
        <f>IF(NFI_Expiration=1,IF($A842&lt;VLOOKUP(H$5,NFI,5,0),1,0)*Table_NFI[[#This Row],[Hygiene Kit]],Table_NFI[Hygiene Kit])</f>
        <v>0</v>
      </c>
      <c r="Z842" s="352">
        <f>IF(NFI_Expiration=1,IF($A842&lt;VLOOKUP(I$5,NFI,5,0),1,0)*Table_NFI[[#This Row],[NFI Core Kit]],Table_NFI[NFI Core Kit])</f>
        <v>0</v>
      </c>
      <c r="AA842" s="352">
        <f>IF(NFI_Expiration=1,IF($A842&lt;VLOOKUP(J$5,NFI,5,0),1,0)*Table_NFI[[#This Row],[Sanitary Kit]],Table_NFI[Sanitary Kit])</f>
        <v>0</v>
      </c>
      <c r="AB842" s="352">
        <f>IF(NFI_Expiration=1,IF($A842&lt;VLOOKUP(K$5,NFI,5,0),1,0)*Table_NFI[[#This Row],[Mosquito net]],Table_NFI[Mosquito net])</f>
        <v>0</v>
      </c>
      <c r="AC842" s="352">
        <f>IF(NFI_Expiration=1,IF($A842&lt;VLOOKUP(L$5,NFI,5,0),1,0)*Table_NFI[[#This Row],[Tarpaulin]],Table_NFI[[#This Row],[Tarpaulin]])</f>
        <v>0</v>
      </c>
      <c r="AD842" s="352">
        <f>IF(NFI_Expiration=1,IF($A842&lt;VLOOKUP(M$5,NFI,5,0),1,0)*Table_NFI[[#This Row],[Blanket]],Table_NFI[[#This Row],[Blanket]])</f>
        <v>0</v>
      </c>
      <c r="AE842" s="352">
        <f>IF(NFI_Expiration=1,IF($A842&lt;VLOOKUP(N$5,NFI,5,0),1,0)*Table_NFI[[#This Row],[Kitchen Set]],Table_NFI[Kitchen Set])</f>
        <v>0</v>
      </c>
      <c r="AF842" s="352">
        <f>IF(NFI_Expiration=1,IF($A842&lt;VLOOKUP(O$5,NFI,5,0),1,0)*Table_NFI[[#This Row],[Clothes Kit]],Table_NFI[Clothes Kit])</f>
        <v>0</v>
      </c>
      <c r="AG842" s="352">
        <f>IF(NFI_Expiration=1,IF($A842&lt;VLOOKUP(P$5,NFI,5,0),1,0)*Table_NFI[[#This Row],[Plastic Bucket]],Table_NFI[Plastic Bucket])</f>
        <v>0</v>
      </c>
      <c r="AH842" s="352">
        <f>IF(NFI_Expiration=1,IF($A842&lt;VLOOKUP(Q$5,NFI,5,0),1,0)*Table_NFI[[#This Row],[Plastic Mat]],Table_NFI[Plastic Mat])*IF(Table_NFI[[#This Row],[Distribution Date]]&gt;"2014-04-01",1,2.5)</f>
        <v>0</v>
      </c>
      <c r="AI842" s="352">
        <f>IF(NFI_Expiration=1,IF($A842&lt;VLOOKUP(R$5,NFI,5,0),1,0)*Table_NFI[[#This Row],[Winter Clothes Adult]],Table_NFI[Winter Clothes Adult])</f>
        <v>0</v>
      </c>
      <c r="AJ842" s="352">
        <f>IF(NFI_Expiration=1,IF($A842&lt;VLOOKUP(S$5,NFI,5,0),1,0)*Table_NFI[[#This Row],[Winter Clothes Children]],Table_NFI[Winter Clothes Children])</f>
        <v>0</v>
      </c>
      <c r="AK842" s="352">
        <f>IF(NFI_Expiration=1,IF($A842&lt;VLOOKUP(T$5,NFI,5,0),1,0)*Table_NFI[[#This Row],[Winter Items Other]],Table_NFI[Winter Items Other])</f>
        <v>0</v>
      </c>
      <c r="AL842" s="352">
        <f>IF(NFI_Expiration=1,IF($A842&lt;VLOOKUP(M$5,NFI,5,0),1,0)*Table_NFI[[#This Row],[Winter Blanket]],Table_NFI[[#This Row],[Winter Blanket]])</f>
        <v>0</v>
      </c>
      <c r="AM842" s="352">
        <f>IF(Table_NFI[[#This Row],[Winter Clothes Adult]]+Table_NFI[[#This Row],[Winter Clothes Children]]+Table_NFI[[#This Row],[Winter Items Other]]+Table_NFI[[#This Row],[Winter Blanket]]&gt;0,1,0)</f>
        <v>0</v>
      </c>
      <c r="AN842" s="392">
        <f>IF(NFI_Expiration=1,IF($A842&lt;VLOOKUP(V$5,NFI,5,0),1,0)*Table_NFI[[#This Row],[Jerry Can]],Table_NFI[Jerry Can])</f>
        <v>0</v>
      </c>
      <c r="AO842" s="540" t="str">
        <f>IFERROR(VLOOKUP(Table_NFI[[#This Row],[Camp Name]],CL,2,0),"")</f>
        <v>MMR001CMP038</v>
      </c>
      <c r="AP842" s="535">
        <f ca="1">IF(Table_NFI[[#This Row],[Pcode]]="","",IF(OFFSET(CampList[Opening Date],MATCH(Table_NFI[[#This Row],[Pcode]],CampList[CP_Pcode],0)-1,0,1,1)&gt;=NFI_Monitor_Date,1,0))</f>
        <v>0</v>
      </c>
      <c r="AQ842" s="540" t="str">
        <f>IFERROR(VLOOKUP(Table_NFI[[#This Row],[Camp Name]],CL,3,0),"")</f>
        <v>Open</v>
      </c>
      <c r="AR842" s="352" t="str">
        <f ca="1">IF(Table_NFI[[#This Row],[Pcode]]="","",OFFSET(CampList[Priority],MATCH(Table_NFI[[#This Row],[Pcode]],CampList[CP_Pcode],0)-1,0,1,1))</f>
        <v>P4</v>
      </c>
      <c r="AS842" s="351">
        <f>IFERROR(Table_NFI[[#This Row],[Kitchen Set]]/VLOOKUP(Table_NFI[[#This Row],[Camp Name]],CL,4,0),"")</f>
        <v>0.21428571428571427</v>
      </c>
      <c r="AT842" s="533" t="s">
        <v>1094</v>
      </c>
      <c r="AU842" s="536"/>
    </row>
    <row r="843" spans="1:47" ht="14.45" customHeight="1" x14ac:dyDescent="0.25">
      <c r="A843" s="355">
        <f t="shared" si="13"/>
        <v>50.033333333333331</v>
      </c>
      <c r="B843" s="532">
        <v>41070</v>
      </c>
      <c r="C843" s="533" t="s">
        <v>453</v>
      </c>
      <c r="D843" s="534" t="s">
        <v>453</v>
      </c>
      <c r="E843" s="533" t="s">
        <v>380</v>
      </c>
      <c r="F843" s="348" t="s">
        <v>27</v>
      </c>
      <c r="G843" s="348" t="s">
        <v>365</v>
      </c>
      <c r="H843" s="349"/>
      <c r="I843" s="349"/>
      <c r="J843" s="349"/>
      <c r="K843" s="349">
        <v>200</v>
      </c>
      <c r="L843" s="350">
        <v>100</v>
      </c>
      <c r="M843" s="350">
        <v>150</v>
      </c>
      <c r="N843" s="350">
        <v>100</v>
      </c>
      <c r="O843" s="350">
        <v>100</v>
      </c>
      <c r="P843" s="352">
        <v>100</v>
      </c>
      <c r="Q843" s="352">
        <v>100</v>
      </c>
      <c r="R843" s="352"/>
      <c r="S843" s="352"/>
      <c r="T843" s="352"/>
      <c r="U843" s="352"/>
      <c r="V843" s="497"/>
      <c r="W843" s="352"/>
      <c r="X843" s="352"/>
      <c r="Y843" s="352">
        <f>IF(NFI_Expiration=1,IF($A843&lt;VLOOKUP(H$5,NFI,5,0),1,0)*Table_NFI[[#This Row],[Hygiene Kit]],Table_NFI[Hygiene Kit])</f>
        <v>0</v>
      </c>
      <c r="Z843" s="352">
        <f>IF(NFI_Expiration=1,IF($A843&lt;VLOOKUP(I$5,NFI,5,0),1,0)*Table_NFI[[#This Row],[NFI Core Kit]],Table_NFI[NFI Core Kit])</f>
        <v>0</v>
      </c>
      <c r="AA843" s="352">
        <f>IF(NFI_Expiration=1,IF($A843&lt;VLOOKUP(J$5,NFI,5,0),1,0)*Table_NFI[[#This Row],[Sanitary Kit]],Table_NFI[Sanitary Kit])</f>
        <v>0</v>
      </c>
      <c r="AB843" s="352">
        <f>IF(NFI_Expiration=1,IF($A843&lt;VLOOKUP(K$5,NFI,5,0),1,0)*Table_NFI[[#This Row],[Mosquito net]],Table_NFI[Mosquito net])</f>
        <v>0</v>
      </c>
      <c r="AC843" s="352">
        <f>IF(NFI_Expiration=1,IF($A843&lt;VLOOKUP(L$5,NFI,5,0),1,0)*Table_NFI[[#This Row],[Tarpaulin]],Table_NFI[[#This Row],[Tarpaulin]])</f>
        <v>0</v>
      </c>
      <c r="AD843" s="352">
        <f>IF(NFI_Expiration=1,IF($A843&lt;VLOOKUP(M$5,NFI,5,0),1,0)*Table_NFI[[#This Row],[Blanket]],Table_NFI[[#This Row],[Blanket]])</f>
        <v>0</v>
      </c>
      <c r="AE843" s="352">
        <f>IF(NFI_Expiration=1,IF($A843&lt;VLOOKUP(N$5,NFI,5,0),1,0)*Table_NFI[[#This Row],[Kitchen Set]],Table_NFI[Kitchen Set])</f>
        <v>0</v>
      </c>
      <c r="AF843" s="352">
        <f>IF(NFI_Expiration=1,IF($A843&lt;VLOOKUP(O$5,NFI,5,0),1,0)*Table_NFI[[#This Row],[Clothes Kit]],Table_NFI[Clothes Kit])</f>
        <v>0</v>
      </c>
      <c r="AG843" s="352">
        <f>IF(NFI_Expiration=1,IF($A843&lt;VLOOKUP(P$5,NFI,5,0),1,0)*Table_NFI[[#This Row],[Plastic Bucket]],Table_NFI[Plastic Bucket])</f>
        <v>0</v>
      </c>
      <c r="AH843" s="352">
        <f>IF(NFI_Expiration=1,IF($A843&lt;VLOOKUP(Q$5,NFI,5,0),1,0)*Table_NFI[[#This Row],[Plastic Mat]],Table_NFI[Plastic Mat])*IF(Table_NFI[[#This Row],[Distribution Date]]&gt;"2014-04-01",1,2.5)</f>
        <v>0</v>
      </c>
      <c r="AI843" s="352">
        <f>IF(NFI_Expiration=1,IF($A843&lt;VLOOKUP(R$5,NFI,5,0),1,0)*Table_NFI[[#This Row],[Winter Clothes Adult]],Table_NFI[Winter Clothes Adult])</f>
        <v>0</v>
      </c>
      <c r="AJ843" s="352">
        <f>IF(NFI_Expiration=1,IF($A843&lt;VLOOKUP(S$5,NFI,5,0),1,0)*Table_NFI[[#This Row],[Winter Clothes Children]],Table_NFI[Winter Clothes Children])</f>
        <v>0</v>
      </c>
      <c r="AK843" s="352">
        <f>IF(NFI_Expiration=1,IF($A843&lt;VLOOKUP(T$5,NFI,5,0),1,0)*Table_NFI[[#This Row],[Winter Items Other]],Table_NFI[Winter Items Other])</f>
        <v>0</v>
      </c>
      <c r="AL843" s="352">
        <f>IF(NFI_Expiration=1,IF($A843&lt;VLOOKUP(M$5,NFI,5,0),1,0)*Table_NFI[[#This Row],[Winter Blanket]],Table_NFI[[#This Row],[Winter Blanket]])</f>
        <v>0</v>
      </c>
      <c r="AM843" s="352">
        <f>IF(Table_NFI[[#This Row],[Winter Clothes Adult]]+Table_NFI[[#This Row],[Winter Clothes Children]]+Table_NFI[[#This Row],[Winter Items Other]]+Table_NFI[[#This Row],[Winter Blanket]]&gt;0,1,0)</f>
        <v>0</v>
      </c>
      <c r="AN843" s="392">
        <f>IF(NFI_Expiration=1,IF($A843&lt;VLOOKUP(V$5,NFI,5,0),1,0)*Table_NFI[[#This Row],[Jerry Can]],Table_NFI[Jerry Can])</f>
        <v>0</v>
      </c>
      <c r="AO843" s="540" t="str">
        <f>IFERROR(VLOOKUP(Table_NFI[[#This Row],[Camp Name]],CL,2,0),"")</f>
        <v>MMR001CMP195</v>
      </c>
      <c r="AP843" s="535">
        <f ca="1">IF(Table_NFI[[#This Row],[Pcode]]="","",IF(OFFSET(CampList[Opening Date],MATCH(Table_NFI[[#This Row],[Pcode]],CampList[CP_Pcode],0)-1,0,1,1)&gt;=NFI_Monitor_Date,1,0))</f>
        <v>0</v>
      </c>
      <c r="AQ843" s="540" t="str">
        <f>IFERROR(VLOOKUP(Table_NFI[[#This Row],[Camp Name]],CL,3,0),"")</f>
        <v>Open</v>
      </c>
      <c r="AR843" s="352" t="str">
        <f ca="1">IF(Table_NFI[[#This Row],[Pcode]]="","",OFFSET(CampList[Priority],MATCH(Table_NFI[[#This Row],[Pcode]],CampList[CP_Pcode],0)-1,0,1,1))</f>
        <v>P1</v>
      </c>
      <c r="AS843" s="351">
        <f>IFERROR(Table_NFI[[#This Row],[Kitchen Set]]/VLOOKUP(Table_NFI[[#This Row],[Camp Name]],CL,4,0),"")</f>
        <v>0.69930069930069927</v>
      </c>
      <c r="AT843" s="533" t="s">
        <v>1094</v>
      </c>
      <c r="AU843" s="536"/>
    </row>
    <row r="844" spans="1:47" hidden="1" x14ac:dyDescent="0.25">
      <c r="A844" s="355">
        <f t="shared" si="13"/>
        <v>32.1</v>
      </c>
      <c r="B844" s="532">
        <v>41608</v>
      </c>
      <c r="C844" s="533" t="s">
        <v>907</v>
      </c>
      <c r="D844" s="533"/>
      <c r="E844" s="533" t="s">
        <v>380</v>
      </c>
      <c r="F844" s="348" t="s">
        <v>5</v>
      </c>
      <c r="G844" s="348" t="s">
        <v>22</v>
      </c>
      <c r="H844" s="349"/>
      <c r="I844" s="349"/>
      <c r="J844" s="349"/>
      <c r="K844" s="349"/>
      <c r="L844" s="350"/>
      <c r="M844" s="350"/>
      <c r="N844" s="350"/>
      <c r="O844" s="350"/>
      <c r="P844" s="352"/>
      <c r="Q844" s="352">
        <v>1164</v>
      </c>
      <c r="R844" s="352"/>
      <c r="S844" s="352"/>
      <c r="T844" s="352"/>
      <c r="U844" s="352"/>
      <c r="V844" s="497"/>
      <c r="W844" s="352"/>
      <c r="X844" s="352"/>
      <c r="Y844" s="352">
        <f>IF(NFI_Expiration=1,IF($A844&lt;VLOOKUP(H$5,NFI,5,0),1,0)*Table_NFI[[#This Row],[Hygiene Kit]],Table_NFI[Hygiene Kit])</f>
        <v>0</v>
      </c>
      <c r="Z844" s="352">
        <f>IF(NFI_Expiration=1,IF($A844&lt;VLOOKUP(I$5,NFI,5,0),1,0)*Table_NFI[[#This Row],[NFI Core Kit]],Table_NFI[NFI Core Kit])</f>
        <v>0</v>
      </c>
      <c r="AA844" s="352">
        <f>IF(NFI_Expiration=1,IF($A844&lt;VLOOKUP(J$5,NFI,5,0),1,0)*Table_NFI[[#This Row],[Sanitary Kit]],Table_NFI[Sanitary Kit])</f>
        <v>0</v>
      </c>
      <c r="AB844" s="352">
        <f>IF(NFI_Expiration=1,IF($A844&lt;VLOOKUP(K$5,NFI,5,0),1,0)*Table_NFI[[#This Row],[Mosquito net]],Table_NFI[Mosquito net])</f>
        <v>0</v>
      </c>
      <c r="AC844" s="352">
        <f>IF(NFI_Expiration=1,IF($A844&lt;VLOOKUP(L$5,NFI,5,0),1,0)*Table_NFI[[#This Row],[Tarpaulin]],Table_NFI[[#This Row],[Tarpaulin]])</f>
        <v>0</v>
      </c>
      <c r="AD844" s="352">
        <f>IF(NFI_Expiration=1,IF($A844&lt;VLOOKUP(M$5,NFI,5,0),1,0)*Table_NFI[[#This Row],[Blanket]],Table_NFI[[#This Row],[Blanket]])</f>
        <v>0</v>
      </c>
      <c r="AE844" s="352">
        <f>IF(NFI_Expiration=1,IF($A844&lt;VLOOKUP(N$5,NFI,5,0),1,0)*Table_NFI[[#This Row],[Kitchen Set]],Table_NFI[Kitchen Set])</f>
        <v>0</v>
      </c>
      <c r="AF844" s="352">
        <f>IF(NFI_Expiration=1,IF($A844&lt;VLOOKUP(O$5,NFI,5,0),1,0)*Table_NFI[[#This Row],[Clothes Kit]],Table_NFI[Clothes Kit])</f>
        <v>0</v>
      </c>
      <c r="AG844" s="352">
        <f>IF(NFI_Expiration=1,IF($A844&lt;VLOOKUP(P$5,NFI,5,0),1,0)*Table_NFI[[#This Row],[Plastic Bucket]],Table_NFI[Plastic Bucket])</f>
        <v>0</v>
      </c>
      <c r="AH844" s="352">
        <f>IF(NFI_Expiration=1,IF($A844&lt;VLOOKUP(Q$5,NFI,5,0),1,0)*Table_NFI[[#This Row],[Plastic Mat]],Table_NFI[Plastic Mat])*IF(Table_NFI[[#This Row],[Distribution Date]]&gt;"2014-04-01",1,2.5)</f>
        <v>0</v>
      </c>
      <c r="AI844" s="352">
        <f>IF(NFI_Expiration=1,IF($A844&lt;VLOOKUP(R$5,NFI,5,0),1,0)*Table_NFI[[#This Row],[Winter Clothes Adult]],Table_NFI[Winter Clothes Adult])</f>
        <v>0</v>
      </c>
      <c r="AJ844" s="352">
        <f>IF(NFI_Expiration=1,IF($A844&lt;VLOOKUP(S$5,NFI,5,0),1,0)*Table_NFI[[#This Row],[Winter Clothes Children]],Table_NFI[Winter Clothes Children])</f>
        <v>0</v>
      </c>
      <c r="AK844" s="352">
        <f>IF(NFI_Expiration=1,IF($A844&lt;VLOOKUP(T$5,NFI,5,0),1,0)*Table_NFI[[#This Row],[Winter Items Other]],Table_NFI[Winter Items Other])</f>
        <v>0</v>
      </c>
      <c r="AL844" s="352">
        <f>IF(NFI_Expiration=1,IF($A844&lt;VLOOKUP(M$5,NFI,5,0),1,0)*Table_NFI[[#This Row],[Winter Blanket]],Table_NFI[[#This Row],[Winter Blanket]])</f>
        <v>0</v>
      </c>
      <c r="AM844" s="352">
        <f>IF(Table_NFI[[#This Row],[Winter Clothes Adult]]+Table_NFI[[#This Row],[Winter Clothes Children]]+Table_NFI[[#This Row],[Winter Items Other]]+Table_NFI[[#This Row],[Winter Blanket]]&gt;0,1,0)</f>
        <v>0</v>
      </c>
      <c r="AN844" s="392">
        <f>IF(NFI_Expiration=1,IF($A844&lt;VLOOKUP(V$5,NFI,5,0),1,0)*Table_NFI[[#This Row],[Jerry Can]],Table_NFI[Jerry Can])</f>
        <v>0</v>
      </c>
      <c r="AO844" s="540" t="str">
        <f>IFERROR(VLOOKUP(Table_NFI[[#This Row],[Camp Name]],CL,2,0),"")</f>
        <v>MMR001CMP047</v>
      </c>
      <c r="AP844" s="535">
        <f ca="1">IF(Table_NFI[[#This Row],[Pcode]]="","",IF(OFFSET(CampList[Opening Date],MATCH(Table_NFI[[#This Row],[Pcode]],CampList[CP_Pcode],0)-1,0,1,1)&gt;=NFI_Monitor_Date,1,0))</f>
        <v>0</v>
      </c>
      <c r="AQ844" s="540" t="str">
        <f>IFERROR(VLOOKUP(Table_NFI[[#This Row],[Camp Name]],CL,3,0),"")</f>
        <v>Open</v>
      </c>
      <c r="AR844" s="352" t="str">
        <f ca="1">IF(Table_NFI[[#This Row],[Pcode]]="","",OFFSET(CampList[Priority],MATCH(Table_NFI[[#This Row],[Pcode]],CampList[CP_Pcode],0)-1,0,1,1))</f>
        <v>P4</v>
      </c>
      <c r="AS844" s="351">
        <f>IFERROR(Table_NFI[[#This Row],[Kitchen Set]]/VLOOKUP(Table_NFI[[#This Row],[Camp Name]],CL,4,0),"")</f>
        <v>0</v>
      </c>
      <c r="AT844" s="533" t="s">
        <v>1094</v>
      </c>
      <c r="AU844" s="536"/>
    </row>
    <row r="845" spans="1:47" ht="14.45" customHeight="1" x14ac:dyDescent="0.25">
      <c r="A845" s="355">
        <f t="shared" si="13"/>
        <v>50.1</v>
      </c>
      <c r="B845" s="532">
        <v>41068</v>
      </c>
      <c r="C845" s="533" t="s">
        <v>453</v>
      </c>
      <c r="D845" s="533" t="s">
        <v>453</v>
      </c>
      <c r="E845" s="533" t="s">
        <v>380</v>
      </c>
      <c r="F845" s="348" t="s">
        <v>5</v>
      </c>
      <c r="G845" s="348" t="s">
        <v>20</v>
      </c>
      <c r="H845" s="349"/>
      <c r="I845" s="349"/>
      <c r="J845" s="349"/>
      <c r="K845" s="349">
        <v>12</v>
      </c>
      <c r="L845" s="350">
        <v>6</v>
      </c>
      <c r="M845" s="350">
        <v>12</v>
      </c>
      <c r="N845" s="350">
        <v>6</v>
      </c>
      <c r="O845" s="350">
        <v>6</v>
      </c>
      <c r="P845" s="352">
        <v>6</v>
      </c>
      <c r="Q845" s="352">
        <v>6</v>
      </c>
      <c r="R845" s="352"/>
      <c r="S845" s="352"/>
      <c r="T845" s="352"/>
      <c r="U845" s="352"/>
      <c r="V845" s="497"/>
      <c r="W845" s="352"/>
      <c r="X845" s="352"/>
      <c r="Y845" s="352">
        <f>IF(NFI_Expiration=1,IF($A845&lt;VLOOKUP(H$5,NFI,5,0),1,0)*Table_NFI[[#This Row],[Hygiene Kit]],Table_NFI[Hygiene Kit])</f>
        <v>0</v>
      </c>
      <c r="Z845" s="352">
        <f>IF(NFI_Expiration=1,IF($A845&lt;VLOOKUP(I$5,NFI,5,0),1,0)*Table_NFI[[#This Row],[NFI Core Kit]],Table_NFI[NFI Core Kit])</f>
        <v>0</v>
      </c>
      <c r="AA845" s="352">
        <f>IF(NFI_Expiration=1,IF($A845&lt;VLOOKUP(J$5,NFI,5,0),1,0)*Table_NFI[[#This Row],[Sanitary Kit]],Table_NFI[Sanitary Kit])</f>
        <v>0</v>
      </c>
      <c r="AB845" s="352">
        <f>IF(NFI_Expiration=1,IF($A845&lt;VLOOKUP(K$5,NFI,5,0),1,0)*Table_NFI[[#This Row],[Mosquito net]],Table_NFI[Mosquito net])</f>
        <v>0</v>
      </c>
      <c r="AC845" s="352">
        <f>IF(NFI_Expiration=1,IF($A845&lt;VLOOKUP(L$5,NFI,5,0),1,0)*Table_NFI[[#This Row],[Tarpaulin]],Table_NFI[[#This Row],[Tarpaulin]])</f>
        <v>0</v>
      </c>
      <c r="AD845" s="352">
        <f>IF(NFI_Expiration=1,IF($A845&lt;VLOOKUP(M$5,NFI,5,0),1,0)*Table_NFI[[#This Row],[Blanket]],Table_NFI[[#This Row],[Blanket]])</f>
        <v>0</v>
      </c>
      <c r="AE845" s="352">
        <f>IF(NFI_Expiration=1,IF($A845&lt;VLOOKUP(N$5,NFI,5,0),1,0)*Table_NFI[[#This Row],[Kitchen Set]],Table_NFI[Kitchen Set])</f>
        <v>0</v>
      </c>
      <c r="AF845" s="352">
        <f>IF(NFI_Expiration=1,IF($A845&lt;VLOOKUP(O$5,NFI,5,0),1,0)*Table_NFI[[#This Row],[Clothes Kit]],Table_NFI[Clothes Kit])</f>
        <v>0</v>
      </c>
      <c r="AG845" s="352">
        <f>IF(NFI_Expiration=1,IF($A845&lt;VLOOKUP(P$5,NFI,5,0),1,0)*Table_NFI[[#This Row],[Plastic Bucket]],Table_NFI[Plastic Bucket])</f>
        <v>0</v>
      </c>
      <c r="AH845" s="352">
        <f>IF(NFI_Expiration=1,IF($A845&lt;VLOOKUP(Q$5,NFI,5,0),1,0)*Table_NFI[[#This Row],[Plastic Mat]],Table_NFI[Plastic Mat])*IF(Table_NFI[[#This Row],[Distribution Date]]&gt;"2014-04-01",1,2.5)</f>
        <v>0</v>
      </c>
      <c r="AI845" s="352">
        <f>IF(NFI_Expiration=1,IF($A845&lt;VLOOKUP(R$5,NFI,5,0),1,0)*Table_NFI[[#This Row],[Winter Clothes Adult]],Table_NFI[Winter Clothes Adult])</f>
        <v>0</v>
      </c>
      <c r="AJ845" s="352">
        <f>IF(NFI_Expiration=1,IF($A845&lt;VLOOKUP(S$5,NFI,5,0),1,0)*Table_NFI[[#This Row],[Winter Clothes Children]],Table_NFI[Winter Clothes Children])</f>
        <v>0</v>
      </c>
      <c r="AK845" s="352">
        <f>IF(NFI_Expiration=1,IF($A845&lt;VLOOKUP(T$5,NFI,5,0),1,0)*Table_NFI[[#This Row],[Winter Items Other]],Table_NFI[Winter Items Other])</f>
        <v>0</v>
      </c>
      <c r="AL845" s="352">
        <f>IF(NFI_Expiration=1,IF($A845&lt;VLOOKUP(M$5,NFI,5,0),1,0)*Table_NFI[[#This Row],[Winter Blanket]],Table_NFI[[#This Row],[Winter Blanket]])</f>
        <v>0</v>
      </c>
      <c r="AM845" s="352">
        <f>IF(Table_NFI[[#This Row],[Winter Clothes Adult]]+Table_NFI[[#This Row],[Winter Clothes Children]]+Table_NFI[[#This Row],[Winter Items Other]]+Table_NFI[[#This Row],[Winter Blanket]]&gt;0,1,0)</f>
        <v>0</v>
      </c>
      <c r="AN845" s="392">
        <f>IF(NFI_Expiration=1,IF($A845&lt;VLOOKUP(V$5,NFI,5,0),1,0)*Table_NFI[[#This Row],[Jerry Can]],Table_NFI[Jerry Can])</f>
        <v>0</v>
      </c>
      <c r="AO845" s="540" t="str">
        <f>IFERROR(VLOOKUP(Table_NFI[[#This Row],[Camp Name]],CL,2,0),"")</f>
        <v>MMR001CMP054</v>
      </c>
      <c r="AP845" s="535">
        <f ca="1">IF(Table_NFI[[#This Row],[Pcode]]="","",IF(OFFSET(CampList[Opening Date],MATCH(Table_NFI[[#This Row],[Pcode]],CampList[CP_Pcode],0)-1,0,1,1)&gt;=NFI_Monitor_Date,1,0))</f>
        <v>0</v>
      </c>
      <c r="AQ845" s="540" t="str">
        <f>IFERROR(VLOOKUP(Table_NFI[[#This Row],[Camp Name]],CL,3,0),"")</f>
        <v>Open</v>
      </c>
      <c r="AR845" s="352" t="str">
        <f ca="1">IF(Table_NFI[[#This Row],[Pcode]]="","",OFFSET(CampList[Priority],MATCH(Table_NFI[[#This Row],[Pcode]],CampList[CP_Pcode],0)-1,0,1,1))</f>
        <v>P4</v>
      </c>
      <c r="AS845" s="351">
        <f>IFERROR(Table_NFI[[#This Row],[Kitchen Set]]/VLOOKUP(Table_NFI[[#This Row],[Camp Name]],CL,4,0),"")</f>
        <v>0.3</v>
      </c>
      <c r="AT845" s="533" t="s">
        <v>1094</v>
      </c>
      <c r="AU845" s="536"/>
    </row>
    <row r="846" spans="1:47" hidden="1" x14ac:dyDescent="0.25">
      <c r="A846" s="355">
        <f t="shared" si="13"/>
        <v>32.43333333333333</v>
      </c>
      <c r="B846" s="532">
        <v>41598</v>
      </c>
      <c r="C846" s="533" t="s">
        <v>907</v>
      </c>
      <c r="D846" s="533" t="s">
        <v>907</v>
      </c>
      <c r="E846" s="533" t="s">
        <v>380</v>
      </c>
      <c r="F846" s="533" t="s">
        <v>5</v>
      </c>
      <c r="G846" s="533" t="s">
        <v>22</v>
      </c>
      <c r="H846" s="349"/>
      <c r="I846" s="349"/>
      <c r="J846" s="349"/>
      <c r="K846" s="349"/>
      <c r="L846" s="350"/>
      <c r="M846" s="350"/>
      <c r="N846" s="350"/>
      <c r="O846" s="350"/>
      <c r="P846" s="352"/>
      <c r="Q846" s="352"/>
      <c r="R846" s="352"/>
      <c r="S846" s="352">
        <v>19</v>
      </c>
      <c r="T846" s="352">
        <v>38</v>
      </c>
      <c r="U846" s="352">
        <v>19</v>
      </c>
      <c r="V846" s="497"/>
      <c r="W846" s="352"/>
      <c r="X846" s="352"/>
      <c r="Y846" s="352">
        <f>IF(NFI_Expiration=1,IF($A846&lt;VLOOKUP(H$5,NFI,5,0),1,0)*Table_NFI[[#This Row],[Hygiene Kit]],Table_NFI[Hygiene Kit])</f>
        <v>0</v>
      </c>
      <c r="Z846" s="352">
        <f>IF(NFI_Expiration=1,IF($A846&lt;VLOOKUP(I$5,NFI,5,0),1,0)*Table_NFI[[#This Row],[NFI Core Kit]],Table_NFI[NFI Core Kit])</f>
        <v>0</v>
      </c>
      <c r="AA846" s="352">
        <f>IF(NFI_Expiration=1,IF($A846&lt;VLOOKUP(J$5,NFI,5,0),1,0)*Table_NFI[[#This Row],[Sanitary Kit]],Table_NFI[Sanitary Kit])</f>
        <v>0</v>
      </c>
      <c r="AB846" s="352">
        <f>IF(NFI_Expiration=1,IF($A846&lt;VLOOKUP(K$5,NFI,5,0),1,0)*Table_NFI[[#This Row],[Mosquito net]],Table_NFI[Mosquito net])</f>
        <v>0</v>
      </c>
      <c r="AC846" s="352">
        <f>IF(NFI_Expiration=1,IF($A846&lt;VLOOKUP(L$5,NFI,5,0),1,0)*Table_NFI[[#This Row],[Tarpaulin]],Table_NFI[[#This Row],[Tarpaulin]])</f>
        <v>0</v>
      </c>
      <c r="AD846" s="352">
        <f>IF(NFI_Expiration=1,IF($A846&lt;VLOOKUP(M$5,NFI,5,0),1,0)*Table_NFI[[#This Row],[Blanket]],Table_NFI[[#This Row],[Blanket]])</f>
        <v>0</v>
      </c>
      <c r="AE846" s="352">
        <f>IF(NFI_Expiration=1,IF($A846&lt;VLOOKUP(N$5,NFI,5,0),1,0)*Table_NFI[[#This Row],[Kitchen Set]],Table_NFI[Kitchen Set])</f>
        <v>0</v>
      </c>
      <c r="AF846" s="352">
        <f>IF(NFI_Expiration=1,IF($A846&lt;VLOOKUP(O$5,NFI,5,0),1,0)*Table_NFI[[#This Row],[Clothes Kit]],Table_NFI[Clothes Kit])</f>
        <v>0</v>
      </c>
      <c r="AG846" s="352">
        <f>IF(NFI_Expiration=1,IF($A846&lt;VLOOKUP(P$5,NFI,5,0),1,0)*Table_NFI[[#This Row],[Plastic Bucket]],Table_NFI[Plastic Bucket])</f>
        <v>0</v>
      </c>
      <c r="AH846" s="352">
        <f>IF(NFI_Expiration=1,IF($A846&lt;VLOOKUP(Q$5,NFI,5,0),1,0)*Table_NFI[[#This Row],[Plastic Mat]],Table_NFI[Plastic Mat])*IF(Table_NFI[[#This Row],[Distribution Date]]&gt;"2014-04-01",1,2.5)</f>
        <v>0</v>
      </c>
      <c r="AI846" s="352">
        <f>IF(NFI_Expiration=1,IF($A846&lt;VLOOKUP(R$5,NFI,5,0),1,0)*Table_NFI[[#This Row],[Winter Clothes Adult]],Table_NFI[Winter Clothes Adult])</f>
        <v>0</v>
      </c>
      <c r="AJ846" s="352">
        <f>IF(NFI_Expiration=1,IF($A846&lt;VLOOKUP(S$5,NFI,5,0),1,0)*Table_NFI[[#This Row],[Winter Clothes Children]],Table_NFI[Winter Clothes Children])</f>
        <v>0</v>
      </c>
      <c r="AK846" s="352">
        <f>IF(NFI_Expiration=1,IF($A846&lt;VLOOKUP(T$5,NFI,5,0),1,0)*Table_NFI[[#This Row],[Winter Items Other]],Table_NFI[Winter Items Other])</f>
        <v>0</v>
      </c>
      <c r="AL846" s="352">
        <f>IF(NFI_Expiration=1,IF($A846&lt;VLOOKUP(M$5,NFI,5,0),1,0)*Table_NFI[[#This Row],[Winter Blanket]],Table_NFI[[#This Row],[Winter Blanket]])</f>
        <v>0</v>
      </c>
      <c r="AM846" s="352">
        <f>IF(Table_NFI[[#This Row],[Winter Clothes Adult]]+Table_NFI[[#This Row],[Winter Clothes Children]]+Table_NFI[[#This Row],[Winter Items Other]]+Table_NFI[[#This Row],[Winter Blanket]]&gt;0,1,0)</f>
        <v>1</v>
      </c>
      <c r="AN846" s="392">
        <f>IF(NFI_Expiration=1,IF($A846&lt;VLOOKUP(V$5,NFI,5,0),1,0)*Table_NFI[[#This Row],[Jerry Can]],Table_NFI[Jerry Can])</f>
        <v>0</v>
      </c>
      <c r="AO846" s="540" t="str">
        <f>IFERROR(VLOOKUP(Table_NFI[[#This Row],[Camp Name]],CL,2,0),"")</f>
        <v>MMR001CMP047</v>
      </c>
      <c r="AP846" s="535">
        <f ca="1">IF(Table_NFI[[#This Row],[Pcode]]="","",IF(OFFSET(CampList[Opening Date],MATCH(Table_NFI[[#This Row],[Pcode]],CampList[CP_Pcode],0)-1,0,1,1)&gt;=NFI_Monitor_Date,1,0))</f>
        <v>0</v>
      </c>
      <c r="AQ846" s="540" t="str">
        <f>IFERROR(VLOOKUP(Table_NFI[[#This Row],[Camp Name]],CL,3,0),"")</f>
        <v>Open</v>
      </c>
      <c r="AR846" s="352" t="str">
        <f ca="1">IF(Table_NFI[[#This Row],[Pcode]]="","",OFFSET(CampList[Priority],MATCH(Table_NFI[[#This Row],[Pcode]],CampList[CP_Pcode],0)-1,0,1,1))</f>
        <v>P4</v>
      </c>
      <c r="AS846" s="351">
        <f>IFERROR(Table_NFI[[#This Row],[Kitchen Set]]/VLOOKUP(Table_NFI[[#This Row],[Camp Name]],CL,4,0),"")</f>
        <v>0</v>
      </c>
      <c r="AT846" s="533"/>
      <c r="AU846" s="536"/>
    </row>
    <row r="847" spans="1:47" ht="14.45" customHeight="1" x14ac:dyDescent="0.25">
      <c r="A847" s="355">
        <f t="shared" si="13"/>
        <v>50.166666666666664</v>
      </c>
      <c r="B847" s="532">
        <v>41066</v>
      </c>
      <c r="C847" s="533" t="s">
        <v>453</v>
      </c>
      <c r="D847" s="534" t="s">
        <v>574</v>
      </c>
      <c r="E847" s="533" t="s">
        <v>380</v>
      </c>
      <c r="F847" s="348" t="s">
        <v>185</v>
      </c>
      <c r="G847" s="348" t="s">
        <v>194</v>
      </c>
      <c r="H847" s="349"/>
      <c r="I847" s="349"/>
      <c r="J847" s="349"/>
      <c r="K847" s="349">
        <v>0</v>
      </c>
      <c r="L847" s="350">
        <v>200</v>
      </c>
      <c r="M847" s="350">
        <v>0</v>
      </c>
      <c r="N847" s="350">
        <v>0</v>
      </c>
      <c r="O847" s="350">
        <v>0</v>
      </c>
      <c r="P847" s="352"/>
      <c r="Q847" s="352"/>
      <c r="R847" s="352"/>
      <c r="S847" s="352"/>
      <c r="T847" s="352"/>
      <c r="U847" s="352"/>
      <c r="V847" s="497"/>
      <c r="W847" s="352"/>
      <c r="X847" s="352"/>
      <c r="Y847" s="352">
        <f>IF(NFI_Expiration=1,IF($A847&lt;VLOOKUP(H$5,NFI,5,0),1,0)*Table_NFI[[#This Row],[Hygiene Kit]],Table_NFI[Hygiene Kit])</f>
        <v>0</v>
      </c>
      <c r="Z847" s="352">
        <f>IF(NFI_Expiration=1,IF($A847&lt;VLOOKUP(I$5,NFI,5,0),1,0)*Table_NFI[[#This Row],[NFI Core Kit]],Table_NFI[NFI Core Kit])</f>
        <v>0</v>
      </c>
      <c r="AA847" s="352">
        <f>IF(NFI_Expiration=1,IF($A847&lt;VLOOKUP(J$5,NFI,5,0),1,0)*Table_NFI[[#This Row],[Sanitary Kit]],Table_NFI[Sanitary Kit])</f>
        <v>0</v>
      </c>
      <c r="AB847" s="352">
        <f>IF(NFI_Expiration=1,IF($A847&lt;VLOOKUP(K$5,NFI,5,0),1,0)*Table_NFI[[#This Row],[Mosquito net]],Table_NFI[Mosquito net])</f>
        <v>0</v>
      </c>
      <c r="AC847" s="352">
        <f>IF(NFI_Expiration=1,IF($A847&lt;VLOOKUP(L$5,NFI,5,0),1,0)*Table_NFI[[#This Row],[Tarpaulin]],Table_NFI[[#This Row],[Tarpaulin]])</f>
        <v>0</v>
      </c>
      <c r="AD847" s="352">
        <f>IF(NFI_Expiration=1,IF($A847&lt;VLOOKUP(M$5,NFI,5,0),1,0)*Table_NFI[[#This Row],[Blanket]],Table_NFI[[#This Row],[Blanket]])</f>
        <v>0</v>
      </c>
      <c r="AE847" s="352">
        <f>IF(NFI_Expiration=1,IF($A847&lt;VLOOKUP(N$5,NFI,5,0),1,0)*Table_NFI[[#This Row],[Kitchen Set]],Table_NFI[Kitchen Set])</f>
        <v>0</v>
      </c>
      <c r="AF847" s="352">
        <f>IF(NFI_Expiration=1,IF($A847&lt;VLOOKUP(O$5,NFI,5,0),1,0)*Table_NFI[[#This Row],[Clothes Kit]],Table_NFI[Clothes Kit])</f>
        <v>0</v>
      </c>
      <c r="AG847" s="352">
        <f>IF(NFI_Expiration=1,IF($A847&lt;VLOOKUP(P$5,NFI,5,0),1,0)*Table_NFI[[#This Row],[Plastic Bucket]],Table_NFI[Plastic Bucket])</f>
        <v>0</v>
      </c>
      <c r="AH847" s="352">
        <f>IF(NFI_Expiration=1,IF($A847&lt;VLOOKUP(Q$5,NFI,5,0),1,0)*Table_NFI[[#This Row],[Plastic Mat]],Table_NFI[Plastic Mat])*IF(Table_NFI[[#This Row],[Distribution Date]]&gt;"2014-04-01",1,2.5)</f>
        <v>0</v>
      </c>
      <c r="AI847" s="352">
        <f>IF(NFI_Expiration=1,IF($A847&lt;VLOOKUP(R$5,NFI,5,0),1,0)*Table_NFI[[#This Row],[Winter Clothes Adult]],Table_NFI[Winter Clothes Adult])</f>
        <v>0</v>
      </c>
      <c r="AJ847" s="352">
        <f>IF(NFI_Expiration=1,IF($A847&lt;VLOOKUP(S$5,NFI,5,0),1,0)*Table_NFI[[#This Row],[Winter Clothes Children]],Table_NFI[Winter Clothes Children])</f>
        <v>0</v>
      </c>
      <c r="AK847" s="352">
        <f>IF(NFI_Expiration=1,IF($A847&lt;VLOOKUP(T$5,NFI,5,0),1,0)*Table_NFI[[#This Row],[Winter Items Other]],Table_NFI[Winter Items Other])</f>
        <v>0</v>
      </c>
      <c r="AL847" s="352">
        <f>IF(NFI_Expiration=1,IF($A847&lt;VLOOKUP(M$5,NFI,5,0),1,0)*Table_NFI[[#This Row],[Winter Blanket]],Table_NFI[[#This Row],[Winter Blanket]])</f>
        <v>0</v>
      </c>
      <c r="AM847" s="352">
        <f>IF(Table_NFI[[#This Row],[Winter Clothes Adult]]+Table_NFI[[#This Row],[Winter Clothes Children]]+Table_NFI[[#This Row],[Winter Items Other]]+Table_NFI[[#This Row],[Winter Blanket]]&gt;0,1,0)</f>
        <v>0</v>
      </c>
      <c r="AN847" s="392">
        <f>IF(NFI_Expiration=1,IF($A847&lt;VLOOKUP(V$5,NFI,5,0),1,0)*Table_NFI[[#This Row],[Jerry Can]],Table_NFI[Jerry Can])</f>
        <v>0</v>
      </c>
      <c r="AO847" s="540" t="str">
        <f>IFERROR(VLOOKUP(Table_NFI[[#This Row],[Camp Name]],CL,2,0),"")</f>
        <v>MMR001CMP122</v>
      </c>
      <c r="AP847" s="535">
        <f ca="1">IF(Table_NFI[[#This Row],[Pcode]]="","",IF(OFFSET(CampList[Opening Date],MATCH(Table_NFI[[#This Row],[Pcode]],CampList[CP_Pcode],0)-1,0,1,1)&gt;=NFI_Monitor_Date,1,0))</f>
        <v>0</v>
      </c>
      <c r="AQ847" s="540" t="str">
        <f>IFERROR(VLOOKUP(Table_NFI[[#This Row],[Camp Name]],CL,3,0),"")</f>
        <v>Open</v>
      </c>
      <c r="AR847" s="352" t="str">
        <f ca="1">IF(Table_NFI[[#This Row],[Pcode]]="","",OFFSET(CampList[Priority],MATCH(Table_NFI[[#This Row],[Pcode]],CampList[CP_Pcode],0)-1,0,1,1))</f>
        <v>P2</v>
      </c>
      <c r="AS847" s="351">
        <f>IFERROR(Table_NFI[[#This Row],[Kitchen Set]]/VLOOKUP(Table_NFI[[#This Row],[Camp Name]],CL,4,0),"")</f>
        <v>0</v>
      </c>
      <c r="AT847" s="533" t="s">
        <v>1094</v>
      </c>
      <c r="AU847" s="536"/>
    </row>
    <row r="848" spans="1:47" ht="14.45" customHeight="1" x14ac:dyDescent="0.25">
      <c r="A848" s="355">
        <f t="shared" si="13"/>
        <v>50.166666666666664</v>
      </c>
      <c r="B848" s="532">
        <v>41066</v>
      </c>
      <c r="C848" s="533" t="s">
        <v>453</v>
      </c>
      <c r="D848" s="534" t="s">
        <v>453</v>
      </c>
      <c r="E848" s="533" t="s">
        <v>380</v>
      </c>
      <c r="F848" s="348" t="s">
        <v>185</v>
      </c>
      <c r="G848" s="348" t="s">
        <v>219</v>
      </c>
      <c r="H848" s="349"/>
      <c r="I848" s="349"/>
      <c r="J848" s="349"/>
      <c r="K848" s="349">
        <v>144</v>
      </c>
      <c r="L848" s="350">
        <v>76</v>
      </c>
      <c r="M848" s="350">
        <v>143</v>
      </c>
      <c r="N848" s="350">
        <v>76</v>
      </c>
      <c r="O848" s="350">
        <v>78</v>
      </c>
      <c r="P848" s="352">
        <v>78</v>
      </c>
      <c r="Q848" s="352">
        <v>78</v>
      </c>
      <c r="R848" s="352"/>
      <c r="S848" s="352"/>
      <c r="T848" s="352"/>
      <c r="U848" s="352"/>
      <c r="V848" s="497"/>
      <c r="W848" s="352"/>
      <c r="X848" s="352"/>
      <c r="Y848" s="352">
        <f>IF(NFI_Expiration=1,IF($A848&lt;VLOOKUP(H$5,NFI,5,0),1,0)*Table_NFI[[#This Row],[Hygiene Kit]],Table_NFI[Hygiene Kit])</f>
        <v>0</v>
      </c>
      <c r="Z848" s="352">
        <f>IF(NFI_Expiration=1,IF($A848&lt;VLOOKUP(I$5,NFI,5,0),1,0)*Table_NFI[[#This Row],[NFI Core Kit]],Table_NFI[NFI Core Kit])</f>
        <v>0</v>
      </c>
      <c r="AA848" s="352">
        <f>IF(NFI_Expiration=1,IF($A848&lt;VLOOKUP(J$5,NFI,5,0),1,0)*Table_NFI[[#This Row],[Sanitary Kit]],Table_NFI[Sanitary Kit])</f>
        <v>0</v>
      </c>
      <c r="AB848" s="352">
        <f>IF(NFI_Expiration=1,IF($A848&lt;VLOOKUP(K$5,NFI,5,0),1,0)*Table_NFI[[#This Row],[Mosquito net]],Table_NFI[Mosquito net])</f>
        <v>0</v>
      </c>
      <c r="AC848" s="352">
        <f>IF(NFI_Expiration=1,IF($A848&lt;VLOOKUP(L$5,NFI,5,0),1,0)*Table_NFI[[#This Row],[Tarpaulin]],Table_NFI[[#This Row],[Tarpaulin]])</f>
        <v>0</v>
      </c>
      <c r="AD848" s="352">
        <f>IF(NFI_Expiration=1,IF($A848&lt;VLOOKUP(M$5,NFI,5,0),1,0)*Table_NFI[[#This Row],[Blanket]],Table_NFI[[#This Row],[Blanket]])</f>
        <v>0</v>
      </c>
      <c r="AE848" s="352">
        <f>IF(NFI_Expiration=1,IF($A848&lt;VLOOKUP(N$5,NFI,5,0),1,0)*Table_NFI[[#This Row],[Kitchen Set]],Table_NFI[Kitchen Set])</f>
        <v>0</v>
      </c>
      <c r="AF848" s="352">
        <f>IF(NFI_Expiration=1,IF($A848&lt;VLOOKUP(O$5,NFI,5,0),1,0)*Table_NFI[[#This Row],[Clothes Kit]],Table_NFI[Clothes Kit])</f>
        <v>0</v>
      </c>
      <c r="AG848" s="352">
        <f>IF(NFI_Expiration=1,IF($A848&lt;VLOOKUP(P$5,NFI,5,0),1,0)*Table_NFI[[#This Row],[Plastic Bucket]],Table_NFI[Plastic Bucket])</f>
        <v>0</v>
      </c>
      <c r="AH848" s="352">
        <f>IF(NFI_Expiration=1,IF($A848&lt;VLOOKUP(Q$5,NFI,5,0),1,0)*Table_NFI[[#This Row],[Plastic Mat]],Table_NFI[Plastic Mat])*IF(Table_NFI[[#This Row],[Distribution Date]]&gt;"2014-04-01",1,2.5)</f>
        <v>0</v>
      </c>
      <c r="AI848" s="352">
        <f>IF(NFI_Expiration=1,IF($A848&lt;VLOOKUP(R$5,NFI,5,0),1,0)*Table_NFI[[#This Row],[Winter Clothes Adult]],Table_NFI[Winter Clothes Adult])</f>
        <v>0</v>
      </c>
      <c r="AJ848" s="352">
        <f>IF(NFI_Expiration=1,IF($A848&lt;VLOOKUP(S$5,NFI,5,0),1,0)*Table_NFI[[#This Row],[Winter Clothes Children]],Table_NFI[Winter Clothes Children])</f>
        <v>0</v>
      </c>
      <c r="AK848" s="352">
        <f>IF(NFI_Expiration=1,IF($A848&lt;VLOOKUP(T$5,NFI,5,0),1,0)*Table_NFI[[#This Row],[Winter Items Other]],Table_NFI[Winter Items Other])</f>
        <v>0</v>
      </c>
      <c r="AL848" s="352">
        <f>IF(NFI_Expiration=1,IF($A848&lt;VLOOKUP(M$5,NFI,5,0),1,0)*Table_NFI[[#This Row],[Winter Blanket]],Table_NFI[[#This Row],[Winter Blanket]])</f>
        <v>0</v>
      </c>
      <c r="AM848" s="352">
        <f>IF(Table_NFI[[#This Row],[Winter Clothes Adult]]+Table_NFI[[#This Row],[Winter Clothes Children]]+Table_NFI[[#This Row],[Winter Items Other]]+Table_NFI[[#This Row],[Winter Blanket]]&gt;0,1,0)</f>
        <v>0</v>
      </c>
      <c r="AN848" s="392">
        <f>IF(NFI_Expiration=1,IF($A848&lt;VLOOKUP(V$5,NFI,5,0),1,0)*Table_NFI[[#This Row],[Jerry Can]],Table_NFI[Jerry Can])</f>
        <v>0</v>
      </c>
      <c r="AO848" s="540" t="str">
        <f>IFERROR(VLOOKUP(Table_NFI[[#This Row],[Camp Name]],CL,2,0),"")</f>
        <v>MMR001CMP126</v>
      </c>
      <c r="AP848" s="535">
        <f ca="1">IF(Table_NFI[[#This Row],[Pcode]]="","",IF(OFFSET(CampList[Opening Date],MATCH(Table_NFI[[#This Row],[Pcode]],CampList[CP_Pcode],0)-1,0,1,1)&gt;=NFI_Monitor_Date,1,0))</f>
        <v>0</v>
      </c>
      <c r="AQ848" s="540" t="str">
        <f>IFERROR(VLOOKUP(Table_NFI[[#This Row],[Camp Name]],CL,3,0),"")</f>
        <v>Open</v>
      </c>
      <c r="AR848" s="352" t="str">
        <f ca="1">IF(Table_NFI[[#This Row],[Pcode]]="","",OFFSET(CampList[Priority],MATCH(Table_NFI[[#This Row],[Pcode]],CampList[CP_Pcode],0)-1,0,1,1))</f>
        <v>P2</v>
      </c>
      <c r="AS848" s="351">
        <f>IFERROR(Table_NFI[[#This Row],[Kitchen Set]]/VLOOKUP(Table_NFI[[#This Row],[Camp Name]],CL,4,0),"")</f>
        <v>0.11225997045790251</v>
      </c>
      <c r="AT848" s="533" t="s">
        <v>1094</v>
      </c>
      <c r="AU848" s="536"/>
    </row>
    <row r="849" spans="1:47" ht="14.45" customHeight="1" x14ac:dyDescent="0.25">
      <c r="A849" s="355">
        <f t="shared" si="13"/>
        <v>50.2</v>
      </c>
      <c r="B849" s="532">
        <v>41065</v>
      </c>
      <c r="C849" s="533" t="s">
        <v>453</v>
      </c>
      <c r="D849" s="533" t="s">
        <v>453</v>
      </c>
      <c r="E849" s="533" t="s">
        <v>380</v>
      </c>
      <c r="F849" s="533" t="s">
        <v>185</v>
      </c>
      <c r="G849" s="348" t="s">
        <v>211</v>
      </c>
      <c r="H849" s="349"/>
      <c r="I849" s="349"/>
      <c r="J849" s="349"/>
      <c r="K849" s="349">
        <v>10</v>
      </c>
      <c r="L849" s="350">
        <v>5</v>
      </c>
      <c r="M849" s="350">
        <v>10</v>
      </c>
      <c r="N849" s="350">
        <v>5</v>
      </c>
      <c r="O849" s="350">
        <v>5</v>
      </c>
      <c r="P849" s="352">
        <v>5</v>
      </c>
      <c r="Q849" s="352">
        <v>5</v>
      </c>
      <c r="R849" s="352"/>
      <c r="S849" s="352"/>
      <c r="T849" s="352"/>
      <c r="U849" s="352"/>
      <c r="V849" s="497"/>
      <c r="W849" s="352"/>
      <c r="X849" s="352"/>
      <c r="Y849" s="352">
        <f>IF(NFI_Expiration=1,IF($A849&lt;VLOOKUP(H$5,NFI,5,0),1,0)*Table_NFI[[#This Row],[Hygiene Kit]],Table_NFI[Hygiene Kit])</f>
        <v>0</v>
      </c>
      <c r="Z849" s="352">
        <f>IF(NFI_Expiration=1,IF($A849&lt;VLOOKUP(I$5,NFI,5,0),1,0)*Table_NFI[[#This Row],[NFI Core Kit]],Table_NFI[NFI Core Kit])</f>
        <v>0</v>
      </c>
      <c r="AA849" s="352">
        <f>IF(NFI_Expiration=1,IF($A849&lt;VLOOKUP(J$5,NFI,5,0),1,0)*Table_NFI[[#This Row],[Sanitary Kit]],Table_NFI[Sanitary Kit])</f>
        <v>0</v>
      </c>
      <c r="AB849" s="352">
        <f>IF(NFI_Expiration=1,IF($A849&lt;VLOOKUP(K$5,NFI,5,0),1,0)*Table_NFI[[#This Row],[Mosquito net]],Table_NFI[Mosquito net])</f>
        <v>0</v>
      </c>
      <c r="AC849" s="352">
        <f>IF(NFI_Expiration=1,IF($A849&lt;VLOOKUP(L$5,NFI,5,0),1,0)*Table_NFI[[#This Row],[Tarpaulin]],Table_NFI[[#This Row],[Tarpaulin]])</f>
        <v>0</v>
      </c>
      <c r="AD849" s="352">
        <f>IF(NFI_Expiration=1,IF($A849&lt;VLOOKUP(M$5,NFI,5,0),1,0)*Table_NFI[[#This Row],[Blanket]],Table_NFI[[#This Row],[Blanket]])</f>
        <v>0</v>
      </c>
      <c r="AE849" s="352">
        <f>IF(NFI_Expiration=1,IF($A849&lt;VLOOKUP(N$5,NFI,5,0),1,0)*Table_NFI[[#This Row],[Kitchen Set]],Table_NFI[Kitchen Set])</f>
        <v>0</v>
      </c>
      <c r="AF849" s="352">
        <f>IF(NFI_Expiration=1,IF($A849&lt;VLOOKUP(O$5,NFI,5,0),1,0)*Table_NFI[[#This Row],[Clothes Kit]],Table_NFI[Clothes Kit])</f>
        <v>0</v>
      </c>
      <c r="AG849" s="352">
        <f>IF(NFI_Expiration=1,IF($A849&lt;VLOOKUP(P$5,NFI,5,0),1,0)*Table_NFI[[#This Row],[Plastic Bucket]],Table_NFI[Plastic Bucket])</f>
        <v>0</v>
      </c>
      <c r="AH849" s="352">
        <f>IF(NFI_Expiration=1,IF($A849&lt;VLOOKUP(Q$5,NFI,5,0),1,0)*Table_NFI[[#This Row],[Plastic Mat]],Table_NFI[Plastic Mat])*IF(Table_NFI[[#This Row],[Distribution Date]]&gt;"2014-04-01",1,2.5)</f>
        <v>0</v>
      </c>
      <c r="AI849" s="352">
        <f>IF(NFI_Expiration=1,IF($A849&lt;VLOOKUP(R$5,NFI,5,0),1,0)*Table_NFI[[#This Row],[Winter Clothes Adult]],Table_NFI[Winter Clothes Adult])</f>
        <v>0</v>
      </c>
      <c r="AJ849" s="352">
        <f>IF(NFI_Expiration=1,IF($A849&lt;VLOOKUP(S$5,NFI,5,0),1,0)*Table_NFI[[#This Row],[Winter Clothes Children]],Table_NFI[Winter Clothes Children])</f>
        <v>0</v>
      </c>
      <c r="AK849" s="352">
        <f>IF(NFI_Expiration=1,IF($A849&lt;VLOOKUP(T$5,NFI,5,0),1,0)*Table_NFI[[#This Row],[Winter Items Other]],Table_NFI[Winter Items Other])</f>
        <v>0</v>
      </c>
      <c r="AL849" s="352">
        <f>IF(NFI_Expiration=1,IF($A849&lt;VLOOKUP(M$5,NFI,5,0),1,0)*Table_NFI[[#This Row],[Winter Blanket]],Table_NFI[[#This Row],[Winter Blanket]])</f>
        <v>0</v>
      </c>
      <c r="AM849" s="352">
        <f>IF(Table_NFI[[#This Row],[Winter Clothes Adult]]+Table_NFI[[#This Row],[Winter Clothes Children]]+Table_NFI[[#This Row],[Winter Items Other]]+Table_NFI[[#This Row],[Winter Blanket]]&gt;0,1,0)</f>
        <v>0</v>
      </c>
      <c r="AN849" s="392">
        <f>IF(NFI_Expiration=1,IF($A849&lt;VLOOKUP(V$5,NFI,5,0),1,0)*Table_NFI[[#This Row],[Jerry Can]],Table_NFI[Jerry Can])</f>
        <v>0</v>
      </c>
      <c r="AO849" s="540" t="str">
        <f>IFERROR(VLOOKUP(Table_NFI[[#This Row],[Camp Name]],CL,2,0),"")</f>
        <v>MMR001CMP057</v>
      </c>
      <c r="AP849" s="535">
        <f ca="1">IF(Table_NFI[[#This Row],[Pcode]]="","",IF(OFFSET(CampList[Opening Date],MATCH(Table_NFI[[#This Row],[Pcode]],CampList[CP_Pcode],0)-1,0,1,1)&gt;=NFI_Monitor_Date,1,0))</f>
        <v>0</v>
      </c>
      <c r="AQ849" s="540" t="str">
        <f>IFERROR(VLOOKUP(Table_NFI[[#This Row],[Camp Name]],CL,3,0),"")</f>
        <v>Closed</v>
      </c>
      <c r="AR849" s="352" t="str">
        <f ca="1">IF(Table_NFI[[#This Row],[Pcode]]="","",OFFSET(CampList[Priority],MATCH(Table_NFI[[#This Row],[Pcode]],CampList[CP_Pcode],0)-1,0,1,1))</f>
        <v>P4</v>
      </c>
      <c r="AS849" s="351" t="str">
        <f>IFERROR(Table_NFI[[#This Row],[Kitchen Set]]/VLOOKUP(Table_NFI[[#This Row],[Camp Name]],CL,4,0),"")</f>
        <v/>
      </c>
      <c r="AT849" s="533" t="s">
        <v>1094</v>
      </c>
      <c r="AU849" s="536"/>
    </row>
    <row r="850" spans="1:47" hidden="1" x14ac:dyDescent="0.2">
      <c r="A850" s="355">
        <f t="shared" si="13"/>
        <v>13.9</v>
      </c>
      <c r="B850" s="532">
        <v>42154</v>
      </c>
      <c r="C850" s="533" t="s">
        <v>907</v>
      </c>
      <c r="D850" s="534" t="s">
        <v>907</v>
      </c>
      <c r="E850" s="533" t="s">
        <v>380</v>
      </c>
      <c r="F850" s="348" t="s">
        <v>5</v>
      </c>
      <c r="G850" s="348" t="s">
        <v>22</v>
      </c>
      <c r="H850" s="349"/>
      <c r="I850" s="349"/>
      <c r="J850" s="349"/>
      <c r="K850" s="349"/>
      <c r="L850" s="350"/>
      <c r="M850" s="350"/>
      <c r="N850" s="350"/>
      <c r="O850" s="350"/>
      <c r="P850" s="352"/>
      <c r="Q850" s="352"/>
      <c r="R850" s="352"/>
      <c r="S850" s="352"/>
      <c r="T850" s="352"/>
      <c r="U850" s="352"/>
      <c r="V850" s="822">
        <v>3</v>
      </c>
      <c r="W850" s="352"/>
      <c r="X850" s="352"/>
      <c r="Y850" s="352">
        <f>IF(NFI_Expiration=1,IF($A850&lt;VLOOKUP(H$5,NFI,5,0),1,0)*Table_NFI[[#This Row],[Hygiene Kit]],Table_NFI[Hygiene Kit])</f>
        <v>0</v>
      </c>
      <c r="Z850" s="352">
        <f>IF(NFI_Expiration=1,IF($A850&lt;VLOOKUP(I$5,NFI,5,0),1,0)*Table_NFI[[#This Row],[NFI Core Kit]],Table_NFI[NFI Core Kit])</f>
        <v>0</v>
      </c>
      <c r="AA850" s="352">
        <f>IF(NFI_Expiration=1,IF($A850&lt;VLOOKUP(J$5,NFI,5,0),1,0)*Table_NFI[[#This Row],[Sanitary Kit]],Table_NFI[Sanitary Kit])</f>
        <v>0</v>
      </c>
      <c r="AB850" s="352">
        <f>IF(NFI_Expiration=1,IF($A850&lt;VLOOKUP(K$5,NFI,5,0),1,0)*Table_NFI[[#This Row],[Mosquito net]],Table_NFI[Mosquito net])</f>
        <v>0</v>
      </c>
      <c r="AC850" s="352">
        <f>IF(NFI_Expiration=1,IF($A850&lt;VLOOKUP(L$5,NFI,5,0),1,0)*Table_NFI[[#This Row],[Tarpaulin]],Table_NFI[[#This Row],[Tarpaulin]])</f>
        <v>0</v>
      </c>
      <c r="AD850" s="352">
        <f>IF(NFI_Expiration=1,IF($A850&lt;VLOOKUP(M$5,NFI,5,0),1,0)*Table_NFI[[#This Row],[Blanket]],Table_NFI[[#This Row],[Blanket]])</f>
        <v>0</v>
      </c>
      <c r="AE850" s="352">
        <f>IF(NFI_Expiration=1,IF($A850&lt;VLOOKUP(N$5,NFI,5,0),1,0)*Table_NFI[[#This Row],[Kitchen Set]],Table_NFI[Kitchen Set])</f>
        <v>0</v>
      </c>
      <c r="AF850" s="352">
        <f>IF(NFI_Expiration=1,IF($A850&lt;VLOOKUP(O$5,NFI,5,0),1,0)*Table_NFI[[#This Row],[Clothes Kit]],Table_NFI[Clothes Kit])</f>
        <v>0</v>
      </c>
      <c r="AG850" s="352">
        <f>IF(NFI_Expiration=1,IF($A850&lt;VLOOKUP(P$5,NFI,5,0),1,0)*Table_NFI[[#This Row],[Plastic Bucket]],Table_NFI[Plastic Bucket])</f>
        <v>0</v>
      </c>
      <c r="AH850" s="352">
        <f>IF(NFI_Expiration=1,IF($A850&lt;VLOOKUP(Q$5,NFI,5,0),1,0)*Table_NFI[[#This Row],[Plastic Mat]],Table_NFI[Plastic Mat])*IF(Table_NFI[[#This Row],[Distribution Date]]&gt;"2014-04-01",1,2.5)</f>
        <v>0</v>
      </c>
      <c r="AI850" s="352">
        <f>IF(NFI_Expiration=1,IF($A850&lt;VLOOKUP(R$5,NFI,5,0),1,0)*Table_NFI[[#This Row],[Winter Clothes Adult]],Table_NFI[Winter Clothes Adult])</f>
        <v>0</v>
      </c>
      <c r="AJ850" s="352">
        <f>IF(NFI_Expiration=1,IF($A850&lt;VLOOKUP(S$5,NFI,5,0),1,0)*Table_NFI[[#This Row],[Winter Clothes Children]],Table_NFI[Winter Clothes Children])</f>
        <v>0</v>
      </c>
      <c r="AK850" s="352">
        <f>IF(NFI_Expiration=1,IF($A850&lt;VLOOKUP(T$5,NFI,5,0),1,0)*Table_NFI[[#This Row],[Winter Items Other]],Table_NFI[Winter Items Other])</f>
        <v>0</v>
      </c>
      <c r="AL850" s="352">
        <f>IF(NFI_Expiration=1,IF($A850&lt;VLOOKUP(M$5,NFI,5,0),1,0)*Table_NFI[[#This Row],[Winter Blanket]],Table_NFI[[#This Row],[Winter Blanket]])</f>
        <v>0</v>
      </c>
      <c r="AM850" s="352">
        <f>IF(Table_NFI[[#This Row],[Winter Clothes Adult]]+Table_NFI[[#This Row],[Winter Clothes Children]]+Table_NFI[[#This Row],[Winter Items Other]]+Table_NFI[[#This Row],[Winter Blanket]]&gt;0,1,0)</f>
        <v>0</v>
      </c>
      <c r="AN850" s="392">
        <f>IF(NFI_Expiration=1,IF($A850&lt;VLOOKUP(V$5,NFI,5,0),1,0)*Table_NFI[[#This Row],[Jerry Can]],Table_NFI[Jerry Can])</f>
        <v>0</v>
      </c>
      <c r="AO850" s="540" t="str">
        <f>IFERROR(VLOOKUP(Table_NFI[[#This Row],[Camp Name]],CL,2,0),"")</f>
        <v>MMR001CMP047</v>
      </c>
      <c r="AP850" s="535">
        <f ca="1">IF(Table_NFI[[#This Row],[Pcode]]="","",IF(OFFSET(CampList[Opening Date],MATCH(Table_NFI[[#This Row],[Pcode]],CampList[CP_Pcode],0)-1,0,1,1)&gt;=NFI_Monitor_Date,1,0))</f>
        <v>0</v>
      </c>
      <c r="AQ850" s="540" t="str">
        <f>IFERROR(VLOOKUP(Table_NFI[[#This Row],[Camp Name]],CL,3,0),"")</f>
        <v>Open</v>
      </c>
      <c r="AR850" s="352" t="str">
        <f ca="1">IF(Table_NFI[[#This Row],[Pcode]]="","",OFFSET(CampList[Priority],MATCH(Table_NFI[[#This Row],[Pcode]],CampList[CP_Pcode],0)-1,0,1,1))</f>
        <v>P4</v>
      </c>
      <c r="AS850" s="351">
        <f>IFERROR(Table_NFI[[#This Row],[Kitchen Set]]/VLOOKUP(Table_NFI[[#This Row],[Camp Name]],CL,4,0),"")</f>
        <v>0</v>
      </c>
      <c r="AT850" s="533"/>
      <c r="AU850" s="536"/>
    </row>
    <row r="851" spans="1:47" hidden="1" x14ac:dyDescent="0.2">
      <c r="A851" s="355">
        <f t="shared" si="13"/>
        <v>17.033333333333335</v>
      </c>
      <c r="B851" s="532">
        <v>42060</v>
      </c>
      <c r="C851" s="533" t="s">
        <v>907</v>
      </c>
      <c r="D851" s="534" t="s">
        <v>907</v>
      </c>
      <c r="E851" s="533" t="s">
        <v>380</v>
      </c>
      <c r="F851" s="348" t="s">
        <v>5</v>
      </c>
      <c r="G851" s="348" t="s">
        <v>22</v>
      </c>
      <c r="H851" s="349"/>
      <c r="I851" s="349"/>
      <c r="J851" s="349"/>
      <c r="K851" s="349"/>
      <c r="L851" s="350"/>
      <c r="M851" s="350"/>
      <c r="N851" s="350"/>
      <c r="O851" s="350"/>
      <c r="P851" s="352"/>
      <c r="Q851" s="678"/>
      <c r="R851" s="678"/>
      <c r="S851" s="678"/>
      <c r="T851" s="678"/>
      <c r="U851" s="678"/>
      <c r="V851" s="497"/>
      <c r="W851" s="678">
        <v>76</v>
      </c>
      <c r="X851" s="352"/>
      <c r="Y851" s="352">
        <f>IF(NFI_Expiration=1,IF($A851&lt;VLOOKUP(H$5,NFI,5,0),1,0)*Table_NFI[[#This Row],[Hygiene Kit]],Table_NFI[Hygiene Kit])</f>
        <v>0</v>
      </c>
      <c r="Z851" s="352">
        <f>IF(NFI_Expiration=1,IF($A851&lt;VLOOKUP(I$5,NFI,5,0),1,0)*Table_NFI[[#This Row],[NFI Core Kit]],Table_NFI[NFI Core Kit])</f>
        <v>0</v>
      </c>
      <c r="AA851" s="352">
        <f>IF(NFI_Expiration=1,IF($A851&lt;VLOOKUP(J$5,NFI,5,0),1,0)*Table_NFI[[#This Row],[Sanitary Kit]],Table_NFI[Sanitary Kit])</f>
        <v>0</v>
      </c>
      <c r="AB851" s="352">
        <f>IF(NFI_Expiration=1,IF($A851&lt;VLOOKUP(K$5,NFI,5,0),1,0)*Table_NFI[[#This Row],[Mosquito net]],Table_NFI[Mosquito net])</f>
        <v>0</v>
      </c>
      <c r="AC851" s="352">
        <f>IF(NFI_Expiration=1,IF($A851&lt;VLOOKUP(L$5,NFI,5,0),1,0)*Table_NFI[[#This Row],[Tarpaulin]],Table_NFI[[#This Row],[Tarpaulin]])</f>
        <v>0</v>
      </c>
      <c r="AD851" s="352">
        <f>IF(NFI_Expiration=1,IF($A851&lt;VLOOKUP(M$5,NFI,5,0),1,0)*Table_NFI[[#This Row],[Blanket]],Table_NFI[[#This Row],[Blanket]])</f>
        <v>0</v>
      </c>
      <c r="AE851" s="352">
        <f>IF(NFI_Expiration=1,IF($A851&lt;VLOOKUP(N$5,NFI,5,0),1,0)*Table_NFI[[#This Row],[Kitchen Set]],Table_NFI[Kitchen Set])</f>
        <v>0</v>
      </c>
      <c r="AF851" s="352">
        <f>IF(NFI_Expiration=1,IF($A851&lt;VLOOKUP(O$5,NFI,5,0),1,0)*Table_NFI[[#This Row],[Clothes Kit]],Table_NFI[Clothes Kit])</f>
        <v>0</v>
      </c>
      <c r="AG851" s="352">
        <f>IF(NFI_Expiration=1,IF($A851&lt;VLOOKUP(P$5,NFI,5,0),1,0)*Table_NFI[[#This Row],[Plastic Bucket]],Table_NFI[Plastic Bucket])</f>
        <v>0</v>
      </c>
      <c r="AH851" s="352">
        <f>IF(NFI_Expiration=1,IF($A851&lt;VLOOKUP(Q$5,NFI,5,0),1,0)*Table_NFI[[#This Row],[Plastic Mat]],Table_NFI[Plastic Mat])*IF(Table_NFI[[#This Row],[Distribution Date]]&gt;"2014-04-01",1,2.5)</f>
        <v>0</v>
      </c>
      <c r="AI851" s="352">
        <f>IF(NFI_Expiration=1,IF($A851&lt;VLOOKUP(R$5,NFI,5,0),1,0)*Table_NFI[[#This Row],[Winter Clothes Adult]],Table_NFI[Winter Clothes Adult])</f>
        <v>0</v>
      </c>
      <c r="AJ851" s="352">
        <f>IF(NFI_Expiration=1,IF($A851&lt;VLOOKUP(S$5,NFI,5,0),1,0)*Table_NFI[[#This Row],[Winter Clothes Children]],Table_NFI[Winter Clothes Children])</f>
        <v>0</v>
      </c>
      <c r="AK851" s="352">
        <f>IF(NFI_Expiration=1,IF($A851&lt;VLOOKUP(T$5,NFI,5,0),1,0)*Table_NFI[[#This Row],[Winter Items Other]],Table_NFI[Winter Items Other])</f>
        <v>0</v>
      </c>
      <c r="AL851" s="352">
        <f>IF(NFI_Expiration=1,IF($A851&lt;VLOOKUP(M$5,NFI,5,0),1,0)*Table_NFI[[#This Row],[Winter Blanket]],Table_NFI[[#This Row],[Winter Blanket]])</f>
        <v>0</v>
      </c>
      <c r="AM851" s="352">
        <f>IF(Table_NFI[[#This Row],[Winter Clothes Adult]]+Table_NFI[[#This Row],[Winter Clothes Children]]+Table_NFI[[#This Row],[Winter Items Other]]+Table_NFI[[#This Row],[Winter Blanket]]&gt;0,1,0)</f>
        <v>0</v>
      </c>
      <c r="AN851" s="392">
        <f>IF(NFI_Expiration=1,IF($A851&lt;VLOOKUP(V$5,NFI,5,0),1,0)*Table_NFI[[#This Row],[Jerry Can]],Table_NFI[Jerry Can])</f>
        <v>0</v>
      </c>
      <c r="AO851" s="540" t="str">
        <f>IFERROR(VLOOKUP(Table_NFI[[#This Row],[Camp Name]],CL,2,0),"")</f>
        <v>MMR001CMP047</v>
      </c>
      <c r="AP851" s="535">
        <f ca="1">IF(Table_NFI[[#This Row],[Pcode]]="","",IF(OFFSET(CampList[Opening Date],MATCH(Table_NFI[[#This Row],[Pcode]],CampList[CP_Pcode],0)-1,0,1,1)&gt;=NFI_Monitor_Date,1,0))</f>
        <v>0</v>
      </c>
      <c r="AQ851" s="540" t="str">
        <f>IFERROR(VLOOKUP(Table_NFI[[#This Row],[Camp Name]],CL,3,0),"")</f>
        <v>Open</v>
      </c>
      <c r="AR851" s="352" t="str">
        <f ca="1">IF(Table_NFI[[#This Row],[Pcode]]="","",OFFSET(CampList[Priority],MATCH(Table_NFI[[#This Row],[Pcode]],CampList[CP_Pcode],0)-1,0,1,1))</f>
        <v>P4</v>
      </c>
      <c r="AS851" s="351">
        <f>IFERROR(Table_NFI[[#This Row],[Kitchen Set]]/VLOOKUP(Table_NFI[[#This Row],[Camp Name]],CL,4,0),"")</f>
        <v>0</v>
      </c>
      <c r="AT851" s="533"/>
      <c r="AU851" s="536"/>
    </row>
    <row r="852" spans="1:47" hidden="1" x14ac:dyDescent="0.2">
      <c r="A852" s="355">
        <f t="shared" si="13"/>
        <v>16.533333333333335</v>
      </c>
      <c r="B852" s="532">
        <v>42075</v>
      </c>
      <c r="C852" s="533" t="s">
        <v>907</v>
      </c>
      <c r="D852" s="534" t="s">
        <v>907</v>
      </c>
      <c r="E852" s="533" t="s">
        <v>380</v>
      </c>
      <c r="F852" s="348" t="s">
        <v>5</v>
      </c>
      <c r="G852" s="348" t="s">
        <v>22</v>
      </c>
      <c r="H852" s="349"/>
      <c r="I852" s="349"/>
      <c r="J852" s="349"/>
      <c r="K852" s="349"/>
      <c r="L852" s="350"/>
      <c r="M852" s="350"/>
      <c r="N852" s="350"/>
      <c r="O852" s="350"/>
      <c r="P852" s="352"/>
      <c r="Q852" s="678"/>
      <c r="R852" s="678"/>
      <c r="S852" s="678"/>
      <c r="T852" s="678"/>
      <c r="U852" s="678"/>
      <c r="V852" s="497"/>
      <c r="W852" s="678">
        <v>11</v>
      </c>
      <c r="X852" s="352"/>
      <c r="Y852" s="352">
        <f>IF(NFI_Expiration=1,IF($A852&lt;VLOOKUP(H$5,NFI,5,0),1,0)*Table_NFI[[#This Row],[Hygiene Kit]],Table_NFI[Hygiene Kit])</f>
        <v>0</v>
      </c>
      <c r="Z852" s="352">
        <f>IF(NFI_Expiration=1,IF($A852&lt;VLOOKUP(I$5,NFI,5,0),1,0)*Table_NFI[[#This Row],[NFI Core Kit]],Table_NFI[NFI Core Kit])</f>
        <v>0</v>
      </c>
      <c r="AA852" s="352">
        <f>IF(NFI_Expiration=1,IF($A852&lt;VLOOKUP(J$5,NFI,5,0),1,0)*Table_NFI[[#This Row],[Sanitary Kit]],Table_NFI[Sanitary Kit])</f>
        <v>0</v>
      </c>
      <c r="AB852" s="352">
        <f>IF(NFI_Expiration=1,IF($A852&lt;VLOOKUP(K$5,NFI,5,0),1,0)*Table_NFI[[#This Row],[Mosquito net]],Table_NFI[Mosquito net])</f>
        <v>0</v>
      </c>
      <c r="AC852" s="352">
        <f>IF(NFI_Expiration=1,IF($A852&lt;VLOOKUP(L$5,NFI,5,0),1,0)*Table_NFI[[#This Row],[Tarpaulin]],Table_NFI[[#This Row],[Tarpaulin]])</f>
        <v>0</v>
      </c>
      <c r="AD852" s="352">
        <f>IF(NFI_Expiration=1,IF($A852&lt;VLOOKUP(M$5,NFI,5,0),1,0)*Table_NFI[[#This Row],[Blanket]],Table_NFI[[#This Row],[Blanket]])</f>
        <v>0</v>
      </c>
      <c r="AE852" s="352">
        <f>IF(NFI_Expiration=1,IF($A852&lt;VLOOKUP(N$5,NFI,5,0),1,0)*Table_NFI[[#This Row],[Kitchen Set]],Table_NFI[Kitchen Set])</f>
        <v>0</v>
      </c>
      <c r="AF852" s="352">
        <f>IF(NFI_Expiration=1,IF($A852&lt;VLOOKUP(O$5,NFI,5,0),1,0)*Table_NFI[[#This Row],[Clothes Kit]],Table_NFI[Clothes Kit])</f>
        <v>0</v>
      </c>
      <c r="AG852" s="352">
        <f>IF(NFI_Expiration=1,IF($A852&lt;VLOOKUP(P$5,NFI,5,0),1,0)*Table_NFI[[#This Row],[Plastic Bucket]],Table_NFI[Plastic Bucket])</f>
        <v>0</v>
      </c>
      <c r="AH852" s="352">
        <f>IF(NFI_Expiration=1,IF($A852&lt;VLOOKUP(Q$5,NFI,5,0),1,0)*Table_NFI[[#This Row],[Plastic Mat]],Table_NFI[Plastic Mat])*IF(Table_NFI[[#This Row],[Distribution Date]]&gt;"2014-04-01",1,2.5)</f>
        <v>0</v>
      </c>
      <c r="AI852" s="352">
        <f>IF(NFI_Expiration=1,IF($A852&lt;VLOOKUP(R$5,NFI,5,0),1,0)*Table_NFI[[#This Row],[Winter Clothes Adult]],Table_NFI[Winter Clothes Adult])</f>
        <v>0</v>
      </c>
      <c r="AJ852" s="352">
        <f>IF(NFI_Expiration=1,IF($A852&lt;VLOOKUP(S$5,NFI,5,0),1,0)*Table_NFI[[#This Row],[Winter Clothes Children]],Table_NFI[Winter Clothes Children])</f>
        <v>0</v>
      </c>
      <c r="AK852" s="352">
        <f>IF(NFI_Expiration=1,IF($A852&lt;VLOOKUP(T$5,NFI,5,0),1,0)*Table_NFI[[#This Row],[Winter Items Other]],Table_NFI[Winter Items Other])</f>
        <v>0</v>
      </c>
      <c r="AL852" s="352">
        <f>IF(NFI_Expiration=1,IF($A852&lt;VLOOKUP(M$5,NFI,5,0),1,0)*Table_NFI[[#This Row],[Winter Blanket]],Table_NFI[[#This Row],[Winter Blanket]])</f>
        <v>0</v>
      </c>
      <c r="AM852" s="352">
        <f>IF(Table_NFI[[#This Row],[Winter Clothes Adult]]+Table_NFI[[#This Row],[Winter Clothes Children]]+Table_NFI[[#This Row],[Winter Items Other]]+Table_NFI[[#This Row],[Winter Blanket]]&gt;0,1,0)</f>
        <v>0</v>
      </c>
      <c r="AN852" s="392">
        <f>IF(NFI_Expiration=1,IF($A852&lt;VLOOKUP(V$5,NFI,5,0),1,0)*Table_NFI[[#This Row],[Jerry Can]],Table_NFI[Jerry Can])</f>
        <v>0</v>
      </c>
      <c r="AO852" s="540" t="str">
        <f>IFERROR(VLOOKUP(Table_NFI[[#This Row],[Camp Name]],CL,2,0),"")</f>
        <v>MMR001CMP047</v>
      </c>
      <c r="AP852" s="535">
        <f ca="1">IF(Table_NFI[[#This Row],[Pcode]]="","",IF(OFFSET(CampList[Opening Date],MATCH(Table_NFI[[#This Row],[Pcode]],CampList[CP_Pcode],0)-1,0,1,1)&gt;=NFI_Monitor_Date,1,0))</f>
        <v>0</v>
      </c>
      <c r="AQ852" s="540" t="str">
        <f>IFERROR(VLOOKUP(Table_NFI[[#This Row],[Camp Name]],CL,3,0),"")</f>
        <v>Open</v>
      </c>
      <c r="AR852" s="352" t="str">
        <f ca="1">IF(Table_NFI[[#This Row],[Pcode]]="","",OFFSET(CampList[Priority],MATCH(Table_NFI[[#This Row],[Pcode]],CampList[CP_Pcode],0)-1,0,1,1))</f>
        <v>P4</v>
      </c>
      <c r="AS852" s="351">
        <f>IFERROR(Table_NFI[[#This Row],[Kitchen Set]]/VLOOKUP(Table_NFI[[#This Row],[Camp Name]],CL,4,0),"")</f>
        <v>0</v>
      </c>
      <c r="AT852" s="533"/>
      <c r="AU852" s="536"/>
    </row>
    <row r="853" spans="1:47" hidden="1" x14ac:dyDescent="0.2">
      <c r="A853" s="355">
        <f t="shared" si="13"/>
        <v>7.2</v>
      </c>
      <c r="B853" s="532">
        <v>42355</v>
      </c>
      <c r="C853" s="533" t="s">
        <v>907</v>
      </c>
      <c r="D853" s="534" t="s">
        <v>907</v>
      </c>
      <c r="E853" s="533" t="s">
        <v>380</v>
      </c>
      <c r="F853" s="348" t="s">
        <v>5</v>
      </c>
      <c r="G853" s="348" t="s">
        <v>22</v>
      </c>
      <c r="H853" s="349"/>
      <c r="I853" s="349"/>
      <c r="J853" s="349"/>
      <c r="K853" s="349"/>
      <c r="L853" s="350"/>
      <c r="M853" s="350"/>
      <c r="N853" s="350"/>
      <c r="O853" s="350"/>
      <c r="P853" s="352"/>
      <c r="Q853" s="678"/>
      <c r="R853" s="678"/>
      <c r="S853" s="678"/>
      <c r="T853" s="678"/>
      <c r="U853" s="678"/>
      <c r="V853" s="497"/>
      <c r="W853" s="678">
        <v>76</v>
      </c>
      <c r="X853" s="352"/>
      <c r="Y853" s="352">
        <f>IF(NFI_Expiration=1,IF($A853&lt;VLOOKUP(H$5,NFI,5,0),1,0)*Table_NFI[[#This Row],[Hygiene Kit]],Table_NFI[Hygiene Kit])</f>
        <v>0</v>
      </c>
      <c r="Z853" s="352">
        <f>IF(NFI_Expiration=1,IF($A853&lt;VLOOKUP(I$5,NFI,5,0),1,0)*Table_NFI[[#This Row],[NFI Core Kit]],Table_NFI[NFI Core Kit])</f>
        <v>0</v>
      </c>
      <c r="AA853" s="352">
        <f>IF(NFI_Expiration=1,IF($A853&lt;VLOOKUP(J$5,NFI,5,0),1,0)*Table_NFI[[#This Row],[Sanitary Kit]],Table_NFI[Sanitary Kit])</f>
        <v>0</v>
      </c>
      <c r="AB853" s="352">
        <f>IF(NFI_Expiration=1,IF($A853&lt;VLOOKUP(K$5,NFI,5,0),1,0)*Table_NFI[[#This Row],[Mosquito net]],Table_NFI[Mosquito net])</f>
        <v>0</v>
      </c>
      <c r="AC853" s="352">
        <f>IF(NFI_Expiration=1,IF($A853&lt;VLOOKUP(L$5,NFI,5,0),1,0)*Table_NFI[[#This Row],[Tarpaulin]],Table_NFI[[#This Row],[Tarpaulin]])</f>
        <v>0</v>
      </c>
      <c r="AD853" s="352">
        <f>IF(NFI_Expiration=1,IF($A853&lt;VLOOKUP(M$5,NFI,5,0),1,0)*Table_NFI[[#This Row],[Blanket]],Table_NFI[[#This Row],[Blanket]])</f>
        <v>0</v>
      </c>
      <c r="AE853" s="352">
        <f>IF(NFI_Expiration=1,IF($A853&lt;VLOOKUP(N$5,NFI,5,0),1,0)*Table_NFI[[#This Row],[Kitchen Set]],Table_NFI[Kitchen Set])</f>
        <v>0</v>
      </c>
      <c r="AF853" s="352">
        <f>IF(NFI_Expiration=1,IF($A853&lt;VLOOKUP(O$5,NFI,5,0),1,0)*Table_NFI[[#This Row],[Clothes Kit]],Table_NFI[Clothes Kit])</f>
        <v>0</v>
      </c>
      <c r="AG853" s="352">
        <f>IF(NFI_Expiration=1,IF($A853&lt;VLOOKUP(P$5,NFI,5,0),1,0)*Table_NFI[[#This Row],[Plastic Bucket]],Table_NFI[Plastic Bucket])</f>
        <v>0</v>
      </c>
      <c r="AH853" s="352">
        <f>IF(NFI_Expiration=1,IF($A853&lt;VLOOKUP(Q$5,NFI,5,0),1,0)*Table_NFI[[#This Row],[Plastic Mat]],Table_NFI[Plastic Mat])*IF(Table_NFI[[#This Row],[Distribution Date]]&gt;"2014-04-01",1,2.5)</f>
        <v>0</v>
      </c>
      <c r="AI853" s="352">
        <f>IF(NFI_Expiration=1,IF($A853&lt;VLOOKUP(R$5,NFI,5,0),1,0)*Table_NFI[[#This Row],[Winter Clothes Adult]],Table_NFI[Winter Clothes Adult])</f>
        <v>0</v>
      </c>
      <c r="AJ853" s="352">
        <f>IF(NFI_Expiration=1,IF($A853&lt;VLOOKUP(S$5,NFI,5,0),1,0)*Table_NFI[[#This Row],[Winter Clothes Children]],Table_NFI[Winter Clothes Children])</f>
        <v>0</v>
      </c>
      <c r="AK853" s="352">
        <f>IF(NFI_Expiration=1,IF($A853&lt;VLOOKUP(T$5,NFI,5,0),1,0)*Table_NFI[[#This Row],[Winter Items Other]],Table_NFI[Winter Items Other])</f>
        <v>0</v>
      </c>
      <c r="AL853" s="352">
        <f>IF(NFI_Expiration=1,IF($A853&lt;VLOOKUP(M$5,NFI,5,0),1,0)*Table_NFI[[#This Row],[Winter Blanket]],Table_NFI[[#This Row],[Winter Blanket]])</f>
        <v>0</v>
      </c>
      <c r="AM853" s="352">
        <f>IF(Table_NFI[[#This Row],[Winter Clothes Adult]]+Table_NFI[[#This Row],[Winter Clothes Children]]+Table_NFI[[#This Row],[Winter Items Other]]+Table_NFI[[#This Row],[Winter Blanket]]&gt;0,1,0)</f>
        <v>0</v>
      </c>
      <c r="AN853" s="392">
        <f>IF(NFI_Expiration=1,IF($A853&lt;VLOOKUP(V$5,NFI,5,0),1,0)*Table_NFI[[#This Row],[Jerry Can]],Table_NFI[Jerry Can])</f>
        <v>0</v>
      </c>
      <c r="AO853" s="540" t="str">
        <f>IFERROR(VLOOKUP(Table_NFI[[#This Row],[Camp Name]],CL,2,0),"")</f>
        <v>MMR001CMP047</v>
      </c>
      <c r="AP853" s="535">
        <f ca="1">IF(Table_NFI[[#This Row],[Pcode]]="","",IF(OFFSET(CampList[Opening Date],MATCH(Table_NFI[[#This Row],[Pcode]],CampList[CP_Pcode],0)-1,0,1,1)&gt;=NFI_Monitor_Date,1,0))</f>
        <v>0</v>
      </c>
      <c r="AQ853" s="540" t="str">
        <f>IFERROR(VLOOKUP(Table_NFI[[#This Row],[Camp Name]],CL,3,0),"")</f>
        <v>Open</v>
      </c>
      <c r="AR853" s="352" t="str">
        <f ca="1">IF(Table_NFI[[#This Row],[Pcode]]="","",OFFSET(CampList[Priority],MATCH(Table_NFI[[#This Row],[Pcode]],CampList[CP_Pcode],0)-1,0,1,1))</f>
        <v>P4</v>
      </c>
      <c r="AS853" s="351">
        <f>IFERROR(Table_NFI[[#This Row],[Kitchen Set]]/VLOOKUP(Table_NFI[[#This Row],[Camp Name]],CL,4,0),"")</f>
        <v>0</v>
      </c>
      <c r="AT853" s="533"/>
      <c r="AU853" s="536"/>
    </row>
    <row r="854" spans="1:47" hidden="1" x14ac:dyDescent="0.2">
      <c r="A854" s="355">
        <f t="shared" si="13"/>
        <v>4.8666666666666663</v>
      </c>
      <c r="B854" s="532">
        <v>42425</v>
      </c>
      <c r="C854" s="533" t="s">
        <v>907</v>
      </c>
      <c r="D854" s="534" t="s">
        <v>907</v>
      </c>
      <c r="E854" s="533" t="s">
        <v>380</v>
      </c>
      <c r="F854" s="348" t="s">
        <v>5</v>
      </c>
      <c r="G854" s="348" t="s">
        <v>22</v>
      </c>
      <c r="H854" s="349"/>
      <c r="I854" s="349"/>
      <c r="J854" s="349"/>
      <c r="K854" s="349"/>
      <c r="L854" s="350"/>
      <c r="M854" s="350"/>
      <c r="N854" s="350"/>
      <c r="O854" s="350"/>
      <c r="P854" s="352"/>
      <c r="Q854" s="678"/>
      <c r="R854" s="678"/>
      <c r="S854" s="678"/>
      <c r="T854" s="678"/>
      <c r="U854" s="678"/>
      <c r="V854" s="497"/>
      <c r="W854" s="678">
        <v>76</v>
      </c>
      <c r="X854" s="352"/>
      <c r="Y854" s="352">
        <f>IF(NFI_Expiration=1,IF($A854&lt;VLOOKUP(H$5,NFI,5,0),1,0)*Table_NFI[[#This Row],[Hygiene Kit]],Table_NFI[Hygiene Kit])</f>
        <v>0</v>
      </c>
      <c r="Z854" s="352">
        <f>IF(NFI_Expiration=1,IF($A854&lt;VLOOKUP(I$5,NFI,5,0),1,0)*Table_NFI[[#This Row],[NFI Core Kit]],Table_NFI[NFI Core Kit])</f>
        <v>0</v>
      </c>
      <c r="AA854" s="352">
        <f>IF(NFI_Expiration=1,IF($A854&lt;VLOOKUP(J$5,NFI,5,0),1,0)*Table_NFI[[#This Row],[Sanitary Kit]],Table_NFI[Sanitary Kit])</f>
        <v>0</v>
      </c>
      <c r="AB854" s="352">
        <f>IF(NFI_Expiration=1,IF($A854&lt;VLOOKUP(K$5,NFI,5,0),1,0)*Table_NFI[[#This Row],[Mosquito net]],Table_NFI[Mosquito net])</f>
        <v>0</v>
      </c>
      <c r="AC854" s="352">
        <f>IF(NFI_Expiration=1,IF($A854&lt;VLOOKUP(L$5,NFI,5,0),1,0)*Table_NFI[[#This Row],[Tarpaulin]],Table_NFI[[#This Row],[Tarpaulin]])</f>
        <v>0</v>
      </c>
      <c r="AD854" s="352">
        <f>IF(NFI_Expiration=1,IF($A854&lt;VLOOKUP(M$5,NFI,5,0),1,0)*Table_NFI[[#This Row],[Blanket]],Table_NFI[[#This Row],[Blanket]])</f>
        <v>0</v>
      </c>
      <c r="AE854" s="352">
        <f>IF(NFI_Expiration=1,IF($A854&lt;VLOOKUP(N$5,NFI,5,0),1,0)*Table_NFI[[#This Row],[Kitchen Set]],Table_NFI[Kitchen Set])</f>
        <v>0</v>
      </c>
      <c r="AF854" s="352">
        <f>IF(NFI_Expiration=1,IF($A854&lt;VLOOKUP(O$5,NFI,5,0),1,0)*Table_NFI[[#This Row],[Clothes Kit]],Table_NFI[Clothes Kit])</f>
        <v>0</v>
      </c>
      <c r="AG854" s="352">
        <f>IF(NFI_Expiration=1,IF($A854&lt;VLOOKUP(P$5,NFI,5,0),1,0)*Table_NFI[[#This Row],[Plastic Bucket]],Table_NFI[Plastic Bucket])</f>
        <v>0</v>
      </c>
      <c r="AH854" s="352">
        <f>IF(NFI_Expiration=1,IF($A854&lt;VLOOKUP(Q$5,NFI,5,0),1,0)*Table_NFI[[#This Row],[Plastic Mat]],Table_NFI[Plastic Mat])*IF(Table_NFI[[#This Row],[Distribution Date]]&gt;"2014-04-01",1,2.5)</f>
        <v>0</v>
      </c>
      <c r="AI854" s="352">
        <f>IF(NFI_Expiration=1,IF($A854&lt;VLOOKUP(R$5,NFI,5,0),1,0)*Table_NFI[[#This Row],[Winter Clothes Adult]],Table_NFI[Winter Clothes Adult])</f>
        <v>0</v>
      </c>
      <c r="AJ854" s="352">
        <f>IF(NFI_Expiration=1,IF($A854&lt;VLOOKUP(S$5,NFI,5,0),1,0)*Table_NFI[[#This Row],[Winter Clothes Children]],Table_NFI[Winter Clothes Children])</f>
        <v>0</v>
      </c>
      <c r="AK854" s="352">
        <f>IF(NFI_Expiration=1,IF($A854&lt;VLOOKUP(T$5,NFI,5,0),1,0)*Table_NFI[[#This Row],[Winter Items Other]],Table_NFI[Winter Items Other])</f>
        <v>0</v>
      </c>
      <c r="AL854" s="352">
        <f>IF(NFI_Expiration=1,IF($A854&lt;VLOOKUP(M$5,NFI,5,0),1,0)*Table_NFI[[#This Row],[Winter Blanket]],Table_NFI[[#This Row],[Winter Blanket]])</f>
        <v>0</v>
      </c>
      <c r="AM854" s="352">
        <f>IF(Table_NFI[[#This Row],[Winter Clothes Adult]]+Table_NFI[[#This Row],[Winter Clothes Children]]+Table_NFI[[#This Row],[Winter Items Other]]+Table_NFI[[#This Row],[Winter Blanket]]&gt;0,1,0)</f>
        <v>0</v>
      </c>
      <c r="AN854" s="392">
        <f>IF(NFI_Expiration=1,IF($A854&lt;VLOOKUP(V$5,NFI,5,0),1,0)*Table_NFI[[#This Row],[Jerry Can]],Table_NFI[Jerry Can])</f>
        <v>0</v>
      </c>
      <c r="AO854" s="540" t="str">
        <f>IFERROR(VLOOKUP(Table_NFI[[#This Row],[Camp Name]],CL,2,0),"")</f>
        <v>MMR001CMP047</v>
      </c>
      <c r="AP854" s="535">
        <f ca="1">IF(Table_NFI[[#This Row],[Pcode]]="","",IF(OFFSET(CampList[Opening Date],MATCH(Table_NFI[[#This Row],[Pcode]],CampList[CP_Pcode],0)-1,0,1,1)&gt;=NFI_Monitor_Date,1,0))</f>
        <v>0</v>
      </c>
      <c r="AQ854" s="540" t="str">
        <f>IFERROR(VLOOKUP(Table_NFI[[#This Row],[Camp Name]],CL,3,0),"")</f>
        <v>Open</v>
      </c>
      <c r="AR854" s="352" t="str">
        <f ca="1">IF(Table_NFI[[#This Row],[Pcode]]="","",OFFSET(CampList[Priority],MATCH(Table_NFI[[#This Row],[Pcode]],CampList[CP_Pcode],0)-1,0,1,1))</f>
        <v>P4</v>
      </c>
      <c r="AS854" s="351">
        <f>IFERROR(Table_NFI[[#This Row],[Kitchen Set]]/VLOOKUP(Table_NFI[[#This Row],[Camp Name]],CL,4,0),"")</f>
        <v>0</v>
      </c>
      <c r="AT854" s="533"/>
      <c r="AU854" s="536"/>
    </row>
    <row r="855" spans="1:47" hidden="1" x14ac:dyDescent="0.2">
      <c r="A855" s="355">
        <f t="shared" si="13"/>
        <v>2.7333333333333334</v>
      </c>
      <c r="B855" s="532">
        <v>42489</v>
      </c>
      <c r="C855" s="533" t="s">
        <v>907</v>
      </c>
      <c r="D855" s="534" t="s">
        <v>907</v>
      </c>
      <c r="E855" s="533" t="s">
        <v>380</v>
      </c>
      <c r="F855" s="348" t="s">
        <v>5</v>
      </c>
      <c r="G855" s="348" t="s">
        <v>22</v>
      </c>
      <c r="H855" s="349"/>
      <c r="I855" s="349"/>
      <c r="J855" s="349"/>
      <c r="K855" s="349"/>
      <c r="L855" s="350"/>
      <c r="M855" s="350"/>
      <c r="N855" s="350"/>
      <c r="O855" s="350"/>
      <c r="P855" s="352"/>
      <c r="Q855" s="678"/>
      <c r="R855" s="678"/>
      <c r="S855" s="678"/>
      <c r="T855" s="678"/>
      <c r="U855" s="678"/>
      <c r="V855" s="497"/>
      <c r="W855" s="678">
        <v>152</v>
      </c>
      <c r="X855" s="352"/>
      <c r="Y855" s="352">
        <f>IF(NFI_Expiration=1,IF($A855&lt;VLOOKUP(H$5,NFI,5,0),1,0)*Table_NFI[[#This Row],[Hygiene Kit]],Table_NFI[Hygiene Kit])</f>
        <v>0</v>
      </c>
      <c r="Z855" s="352">
        <f>IF(NFI_Expiration=1,IF($A855&lt;VLOOKUP(I$5,NFI,5,0),1,0)*Table_NFI[[#This Row],[NFI Core Kit]],Table_NFI[NFI Core Kit])</f>
        <v>0</v>
      </c>
      <c r="AA855" s="352">
        <f>IF(NFI_Expiration=1,IF($A855&lt;VLOOKUP(J$5,NFI,5,0),1,0)*Table_NFI[[#This Row],[Sanitary Kit]],Table_NFI[Sanitary Kit])</f>
        <v>0</v>
      </c>
      <c r="AB855" s="352">
        <f>IF(NFI_Expiration=1,IF($A855&lt;VLOOKUP(K$5,NFI,5,0),1,0)*Table_NFI[[#This Row],[Mosquito net]],Table_NFI[Mosquito net])</f>
        <v>0</v>
      </c>
      <c r="AC855" s="352">
        <f>IF(NFI_Expiration=1,IF($A855&lt;VLOOKUP(L$5,NFI,5,0),1,0)*Table_NFI[[#This Row],[Tarpaulin]],Table_NFI[[#This Row],[Tarpaulin]])</f>
        <v>0</v>
      </c>
      <c r="AD855" s="352">
        <f>IF(NFI_Expiration=1,IF($A855&lt;VLOOKUP(M$5,NFI,5,0),1,0)*Table_NFI[[#This Row],[Blanket]],Table_NFI[[#This Row],[Blanket]])</f>
        <v>0</v>
      </c>
      <c r="AE855" s="352">
        <f>IF(NFI_Expiration=1,IF($A855&lt;VLOOKUP(N$5,NFI,5,0),1,0)*Table_NFI[[#This Row],[Kitchen Set]],Table_NFI[Kitchen Set])</f>
        <v>0</v>
      </c>
      <c r="AF855" s="352">
        <f>IF(NFI_Expiration=1,IF($A855&lt;VLOOKUP(O$5,NFI,5,0),1,0)*Table_NFI[[#This Row],[Clothes Kit]],Table_NFI[Clothes Kit])</f>
        <v>0</v>
      </c>
      <c r="AG855" s="352">
        <f>IF(NFI_Expiration=1,IF($A855&lt;VLOOKUP(P$5,NFI,5,0),1,0)*Table_NFI[[#This Row],[Plastic Bucket]],Table_NFI[Plastic Bucket])</f>
        <v>0</v>
      </c>
      <c r="AH855" s="352">
        <f>IF(NFI_Expiration=1,IF($A855&lt;VLOOKUP(Q$5,NFI,5,0),1,0)*Table_NFI[[#This Row],[Plastic Mat]],Table_NFI[Plastic Mat])*IF(Table_NFI[[#This Row],[Distribution Date]]&gt;"2014-04-01",1,2.5)</f>
        <v>0</v>
      </c>
      <c r="AI855" s="352">
        <f>IF(NFI_Expiration=1,IF($A855&lt;VLOOKUP(R$5,NFI,5,0),1,0)*Table_NFI[[#This Row],[Winter Clothes Adult]],Table_NFI[Winter Clothes Adult])</f>
        <v>0</v>
      </c>
      <c r="AJ855" s="352">
        <f>IF(NFI_Expiration=1,IF($A855&lt;VLOOKUP(S$5,NFI,5,0),1,0)*Table_NFI[[#This Row],[Winter Clothes Children]],Table_NFI[Winter Clothes Children])</f>
        <v>0</v>
      </c>
      <c r="AK855" s="352">
        <f>IF(NFI_Expiration=1,IF($A855&lt;VLOOKUP(T$5,NFI,5,0),1,0)*Table_NFI[[#This Row],[Winter Items Other]],Table_NFI[Winter Items Other])</f>
        <v>0</v>
      </c>
      <c r="AL855" s="352">
        <f>IF(NFI_Expiration=1,IF($A855&lt;VLOOKUP(M$5,NFI,5,0),1,0)*Table_NFI[[#This Row],[Winter Blanket]],Table_NFI[[#This Row],[Winter Blanket]])</f>
        <v>0</v>
      </c>
      <c r="AM855" s="352">
        <f>IF(Table_NFI[[#This Row],[Winter Clothes Adult]]+Table_NFI[[#This Row],[Winter Clothes Children]]+Table_NFI[[#This Row],[Winter Items Other]]+Table_NFI[[#This Row],[Winter Blanket]]&gt;0,1,0)</f>
        <v>0</v>
      </c>
      <c r="AN855" s="392">
        <f>IF(NFI_Expiration=1,IF($A855&lt;VLOOKUP(V$5,NFI,5,0),1,0)*Table_NFI[[#This Row],[Jerry Can]],Table_NFI[Jerry Can])</f>
        <v>0</v>
      </c>
      <c r="AO855" s="540" t="str">
        <f>IFERROR(VLOOKUP(Table_NFI[[#This Row],[Camp Name]],CL,2,0),"")</f>
        <v>MMR001CMP047</v>
      </c>
      <c r="AP855" s="535">
        <f ca="1">IF(Table_NFI[[#This Row],[Pcode]]="","",IF(OFFSET(CampList[Opening Date],MATCH(Table_NFI[[#This Row],[Pcode]],CampList[CP_Pcode],0)-1,0,1,1)&gt;=NFI_Monitor_Date,1,0))</f>
        <v>0</v>
      </c>
      <c r="AQ855" s="540" t="str">
        <f>IFERROR(VLOOKUP(Table_NFI[[#This Row],[Camp Name]],CL,3,0),"")</f>
        <v>Open</v>
      </c>
      <c r="AR855" s="352" t="str">
        <f ca="1">IF(Table_NFI[[#This Row],[Pcode]]="","",OFFSET(CampList[Priority],MATCH(Table_NFI[[#This Row],[Pcode]],CampList[CP_Pcode],0)-1,0,1,1))</f>
        <v>P4</v>
      </c>
      <c r="AS855" s="351">
        <f>IFERROR(Table_NFI[[#This Row],[Kitchen Set]]/VLOOKUP(Table_NFI[[#This Row],[Camp Name]],CL,4,0),"")</f>
        <v>0</v>
      </c>
      <c r="AT855" s="533"/>
      <c r="AU855" s="536"/>
    </row>
    <row r="856" spans="1:47" hidden="1" x14ac:dyDescent="0.2">
      <c r="A856" s="355">
        <f t="shared" si="13"/>
        <v>7.3</v>
      </c>
      <c r="B856" s="532">
        <v>42352</v>
      </c>
      <c r="C856" s="533" t="s">
        <v>907</v>
      </c>
      <c r="D856" s="534" t="s">
        <v>907</v>
      </c>
      <c r="E856" s="533" t="s">
        <v>380</v>
      </c>
      <c r="F856" s="348" t="s">
        <v>5</v>
      </c>
      <c r="G856" s="348" t="s">
        <v>22</v>
      </c>
      <c r="H856" s="349"/>
      <c r="I856" s="349"/>
      <c r="J856" s="349"/>
      <c r="K856" s="349"/>
      <c r="L856" s="350"/>
      <c r="M856" s="350"/>
      <c r="N856" s="350"/>
      <c r="O856" s="350"/>
      <c r="P856" s="352"/>
      <c r="Q856" s="352"/>
      <c r="R856" s="352"/>
      <c r="S856" s="352"/>
      <c r="T856" s="352"/>
      <c r="U856" s="352"/>
      <c r="V856" s="822">
        <v>2</v>
      </c>
      <c r="W856" s="352"/>
      <c r="X856" s="352"/>
      <c r="Y856" s="352">
        <f>IF(NFI_Expiration=1,IF($A856&lt;VLOOKUP(H$5,NFI,5,0),1,0)*Table_NFI[[#This Row],[Hygiene Kit]],Table_NFI[Hygiene Kit])</f>
        <v>0</v>
      </c>
      <c r="Z856" s="352">
        <f>IF(NFI_Expiration=1,IF($A856&lt;VLOOKUP(I$5,NFI,5,0),1,0)*Table_NFI[[#This Row],[NFI Core Kit]],Table_NFI[NFI Core Kit])</f>
        <v>0</v>
      </c>
      <c r="AA856" s="352">
        <f>IF(NFI_Expiration=1,IF($A856&lt;VLOOKUP(J$5,NFI,5,0),1,0)*Table_NFI[[#This Row],[Sanitary Kit]],Table_NFI[Sanitary Kit])</f>
        <v>0</v>
      </c>
      <c r="AB856" s="352">
        <f>IF(NFI_Expiration=1,IF($A856&lt;VLOOKUP(K$5,NFI,5,0),1,0)*Table_NFI[[#This Row],[Mosquito net]],Table_NFI[Mosquito net])</f>
        <v>0</v>
      </c>
      <c r="AC856" s="352">
        <f>IF(NFI_Expiration=1,IF($A856&lt;VLOOKUP(L$5,NFI,5,0),1,0)*Table_NFI[[#This Row],[Tarpaulin]],Table_NFI[[#This Row],[Tarpaulin]])</f>
        <v>0</v>
      </c>
      <c r="AD856" s="352">
        <f>IF(NFI_Expiration=1,IF($A856&lt;VLOOKUP(M$5,NFI,5,0),1,0)*Table_NFI[[#This Row],[Blanket]],Table_NFI[[#This Row],[Blanket]])</f>
        <v>0</v>
      </c>
      <c r="AE856" s="352">
        <f>IF(NFI_Expiration=1,IF($A856&lt;VLOOKUP(N$5,NFI,5,0),1,0)*Table_NFI[[#This Row],[Kitchen Set]],Table_NFI[Kitchen Set])</f>
        <v>0</v>
      </c>
      <c r="AF856" s="352">
        <f>IF(NFI_Expiration=1,IF($A856&lt;VLOOKUP(O$5,NFI,5,0),1,0)*Table_NFI[[#This Row],[Clothes Kit]],Table_NFI[Clothes Kit])</f>
        <v>0</v>
      </c>
      <c r="AG856" s="352">
        <f>IF(NFI_Expiration=1,IF($A856&lt;VLOOKUP(P$5,NFI,5,0),1,0)*Table_NFI[[#This Row],[Plastic Bucket]],Table_NFI[Plastic Bucket])</f>
        <v>0</v>
      </c>
      <c r="AH856" s="352">
        <f>IF(NFI_Expiration=1,IF($A856&lt;VLOOKUP(Q$5,NFI,5,0),1,0)*Table_NFI[[#This Row],[Plastic Mat]],Table_NFI[Plastic Mat])*IF(Table_NFI[[#This Row],[Distribution Date]]&gt;"2014-04-01",1,2.5)</f>
        <v>0</v>
      </c>
      <c r="AI856" s="352">
        <f>IF(NFI_Expiration=1,IF($A856&lt;VLOOKUP(R$5,NFI,5,0),1,0)*Table_NFI[[#This Row],[Winter Clothes Adult]],Table_NFI[Winter Clothes Adult])</f>
        <v>0</v>
      </c>
      <c r="AJ856" s="352">
        <f>IF(NFI_Expiration=1,IF($A856&lt;VLOOKUP(S$5,NFI,5,0),1,0)*Table_NFI[[#This Row],[Winter Clothes Children]],Table_NFI[Winter Clothes Children])</f>
        <v>0</v>
      </c>
      <c r="AK856" s="352">
        <f>IF(NFI_Expiration=1,IF($A856&lt;VLOOKUP(T$5,NFI,5,0),1,0)*Table_NFI[[#This Row],[Winter Items Other]],Table_NFI[Winter Items Other])</f>
        <v>0</v>
      </c>
      <c r="AL856" s="352">
        <f>IF(NFI_Expiration=1,IF($A856&lt;VLOOKUP(M$5,NFI,5,0),1,0)*Table_NFI[[#This Row],[Winter Blanket]],Table_NFI[[#This Row],[Winter Blanket]])</f>
        <v>0</v>
      </c>
      <c r="AM856" s="352">
        <f>IF(Table_NFI[[#This Row],[Winter Clothes Adult]]+Table_NFI[[#This Row],[Winter Clothes Children]]+Table_NFI[[#This Row],[Winter Items Other]]+Table_NFI[[#This Row],[Winter Blanket]]&gt;0,1,0)</f>
        <v>0</v>
      </c>
      <c r="AN856" s="392">
        <f>IF(NFI_Expiration=1,IF($A856&lt;VLOOKUP(V$5,NFI,5,0),1,0)*Table_NFI[[#This Row],[Jerry Can]],Table_NFI[Jerry Can])</f>
        <v>2</v>
      </c>
      <c r="AO856" s="540" t="str">
        <f>IFERROR(VLOOKUP(Table_NFI[[#This Row],[Camp Name]],CL,2,0),"")</f>
        <v>MMR001CMP047</v>
      </c>
      <c r="AP856" s="535">
        <f ca="1">IF(Table_NFI[[#This Row],[Pcode]]="","",IF(OFFSET(CampList[Opening Date],MATCH(Table_NFI[[#This Row],[Pcode]],CampList[CP_Pcode],0)-1,0,1,1)&gt;=NFI_Monitor_Date,1,0))</f>
        <v>0</v>
      </c>
      <c r="AQ856" s="540" t="str">
        <f>IFERROR(VLOOKUP(Table_NFI[[#This Row],[Camp Name]],CL,3,0),"")</f>
        <v>Open</v>
      </c>
      <c r="AR856" s="352" t="str">
        <f ca="1">IF(Table_NFI[[#This Row],[Pcode]]="","",OFFSET(CampList[Priority],MATCH(Table_NFI[[#This Row],[Pcode]],CampList[CP_Pcode],0)-1,0,1,1))</f>
        <v>P4</v>
      </c>
      <c r="AS856" s="351">
        <f>IFERROR(Table_NFI[[#This Row],[Kitchen Set]]/VLOOKUP(Table_NFI[[#This Row],[Camp Name]],CL,4,0),"")</f>
        <v>0</v>
      </c>
      <c r="AT856" s="533"/>
      <c r="AU856" s="536"/>
    </row>
    <row r="857" spans="1:47" hidden="1" x14ac:dyDescent="0.2">
      <c r="A857" s="355">
        <f t="shared" si="13"/>
        <v>5.8666666666666663</v>
      </c>
      <c r="B857" s="532">
        <v>42395</v>
      </c>
      <c r="C857" s="533" t="s">
        <v>907</v>
      </c>
      <c r="D857" s="534" t="s">
        <v>907</v>
      </c>
      <c r="E857" s="533" t="s">
        <v>380</v>
      </c>
      <c r="F857" s="348" t="s">
        <v>5</v>
      </c>
      <c r="G857" s="348" t="s">
        <v>22</v>
      </c>
      <c r="H857" s="349"/>
      <c r="I857" s="349"/>
      <c r="J857" s="349"/>
      <c r="K857" s="349"/>
      <c r="L857" s="350"/>
      <c r="M857" s="350"/>
      <c r="N857" s="350"/>
      <c r="O857" s="350"/>
      <c r="P857" s="352"/>
      <c r="Q857" s="392"/>
      <c r="R857" s="392"/>
      <c r="S857" s="392"/>
      <c r="T857" s="392"/>
      <c r="U857" s="392"/>
      <c r="V857" s="822">
        <v>5</v>
      </c>
      <c r="W857" s="392"/>
      <c r="X857" s="392"/>
      <c r="Y857" s="352">
        <f>IF(NFI_Expiration=1,IF($A857&lt;VLOOKUP(H$5,NFI,5,0),1,0)*Table_NFI[[#This Row],[Hygiene Kit]],Table_NFI[Hygiene Kit])</f>
        <v>0</v>
      </c>
      <c r="Z857" s="352">
        <f>IF(NFI_Expiration=1,IF($A857&lt;VLOOKUP(I$5,NFI,5,0),1,0)*Table_NFI[[#This Row],[NFI Core Kit]],Table_NFI[NFI Core Kit])</f>
        <v>0</v>
      </c>
      <c r="AA857" s="352">
        <f>IF(NFI_Expiration=1,IF($A857&lt;VLOOKUP(J$5,NFI,5,0),1,0)*Table_NFI[[#This Row],[Sanitary Kit]],Table_NFI[Sanitary Kit])</f>
        <v>0</v>
      </c>
      <c r="AB857" s="352">
        <f>IF(NFI_Expiration=1,IF($A857&lt;VLOOKUP(K$5,NFI,5,0),1,0)*Table_NFI[[#This Row],[Mosquito net]],Table_NFI[Mosquito net])</f>
        <v>0</v>
      </c>
      <c r="AC857" s="352">
        <f>IF(NFI_Expiration=1,IF($A857&lt;VLOOKUP(L$5,NFI,5,0),1,0)*Table_NFI[[#This Row],[Tarpaulin]],Table_NFI[[#This Row],[Tarpaulin]])</f>
        <v>0</v>
      </c>
      <c r="AD857" s="352">
        <f>IF(NFI_Expiration=1,IF($A857&lt;VLOOKUP(M$5,NFI,5,0),1,0)*Table_NFI[[#This Row],[Blanket]],Table_NFI[[#This Row],[Blanket]])</f>
        <v>0</v>
      </c>
      <c r="AE857" s="352">
        <f>IF(NFI_Expiration=1,IF($A857&lt;VLOOKUP(N$5,NFI,5,0),1,0)*Table_NFI[[#This Row],[Kitchen Set]],Table_NFI[Kitchen Set])</f>
        <v>0</v>
      </c>
      <c r="AF857" s="352">
        <f>IF(NFI_Expiration=1,IF($A857&lt;VLOOKUP(O$5,NFI,5,0),1,0)*Table_NFI[[#This Row],[Clothes Kit]],Table_NFI[Clothes Kit])</f>
        <v>0</v>
      </c>
      <c r="AG857" s="352">
        <f>IF(NFI_Expiration=1,IF($A857&lt;VLOOKUP(P$5,NFI,5,0),1,0)*Table_NFI[[#This Row],[Plastic Bucket]],Table_NFI[Plastic Bucket])</f>
        <v>0</v>
      </c>
      <c r="AH857" s="352">
        <f>IF(NFI_Expiration=1,IF($A857&lt;VLOOKUP(Q$5,NFI,5,0),1,0)*Table_NFI[[#This Row],[Plastic Mat]],Table_NFI[Plastic Mat])*IF(Table_NFI[[#This Row],[Distribution Date]]&gt;"2014-04-01",1,2.5)</f>
        <v>0</v>
      </c>
      <c r="AI857" s="352">
        <f>IF(NFI_Expiration=1,IF($A857&lt;VLOOKUP(R$5,NFI,5,0),1,0)*Table_NFI[[#This Row],[Winter Clothes Adult]],Table_NFI[Winter Clothes Adult])</f>
        <v>0</v>
      </c>
      <c r="AJ857" s="352">
        <f>IF(NFI_Expiration=1,IF($A857&lt;VLOOKUP(S$5,NFI,5,0),1,0)*Table_NFI[[#This Row],[Winter Clothes Children]],Table_NFI[Winter Clothes Children])</f>
        <v>0</v>
      </c>
      <c r="AK857" s="352">
        <f>IF(NFI_Expiration=1,IF($A857&lt;VLOOKUP(T$5,NFI,5,0),1,0)*Table_NFI[[#This Row],[Winter Items Other]],Table_NFI[Winter Items Other])</f>
        <v>0</v>
      </c>
      <c r="AL857" s="352">
        <f>IF(NFI_Expiration=1,IF($A857&lt;VLOOKUP(M$5,NFI,5,0),1,0)*Table_NFI[[#This Row],[Winter Blanket]],Table_NFI[[#This Row],[Winter Blanket]])</f>
        <v>0</v>
      </c>
      <c r="AM857" s="352">
        <f>IF(Table_NFI[[#This Row],[Winter Clothes Adult]]+Table_NFI[[#This Row],[Winter Clothes Children]]+Table_NFI[[#This Row],[Winter Items Other]]+Table_NFI[[#This Row],[Winter Blanket]]&gt;0,1,0)</f>
        <v>0</v>
      </c>
      <c r="AN857" s="392">
        <f>IF(NFI_Expiration=1,IF($A857&lt;VLOOKUP(V$5,NFI,5,0),1,0)*Table_NFI[[#This Row],[Jerry Can]],Table_NFI[Jerry Can])</f>
        <v>5</v>
      </c>
      <c r="AO857" s="540" t="str">
        <f>IFERROR(VLOOKUP(Table_NFI[[#This Row],[Camp Name]],CL,2,0),"")</f>
        <v>MMR001CMP047</v>
      </c>
      <c r="AP857" s="535">
        <f ca="1">IF(Table_NFI[[#This Row],[Pcode]]="","",IF(OFFSET(CampList[Opening Date],MATCH(Table_NFI[[#This Row],[Pcode]],CampList[CP_Pcode],0)-1,0,1,1)&gt;=NFI_Monitor_Date,1,0))</f>
        <v>0</v>
      </c>
      <c r="AQ857" s="540" t="str">
        <f>IFERROR(VLOOKUP(Table_NFI[[#This Row],[Camp Name]],CL,3,0),"")</f>
        <v>Open</v>
      </c>
      <c r="AR857" s="352" t="str">
        <f ca="1">IF(Table_NFI[[#This Row],[Pcode]]="","",OFFSET(CampList[Priority],MATCH(Table_NFI[[#This Row],[Pcode]],CampList[CP_Pcode],0)-1,0,1,1))</f>
        <v>P4</v>
      </c>
      <c r="AS857" s="351">
        <f>IFERROR(Table_NFI[[#This Row],[Kitchen Set]]/VLOOKUP(Table_NFI[[#This Row],[Camp Name]],CL,4,0),"")</f>
        <v>0</v>
      </c>
      <c r="AT857" s="533"/>
      <c r="AU857" s="536"/>
    </row>
    <row r="858" spans="1:47" hidden="1" x14ac:dyDescent="0.2">
      <c r="A858" s="355">
        <f t="shared" si="13"/>
        <v>4.166666666666667</v>
      </c>
      <c r="B858" s="532">
        <v>42446</v>
      </c>
      <c r="C858" s="533" t="s">
        <v>907</v>
      </c>
      <c r="D858" s="534" t="s">
        <v>907</v>
      </c>
      <c r="E858" s="533" t="s">
        <v>380</v>
      </c>
      <c r="F858" s="348" t="s">
        <v>5</v>
      </c>
      <c r="G858" s="348" t="s">
        <v>22</v>
      </c>
      <c r="H858" s="349"/>
      <c r="I858" s="349"/>
      <c r="J858" s="349"/>
      <c r="K858" s="349"/>
      <c r="L858" s="350"/>
      <c r="M858" s="350"/>
      <c r="N858" s="350"/>
      <c r="O858" s="350"/>
      <c r="P858" s="352"/>
      <c r="Q858" s="392"/>
      <c r="R858" s="392"/>
      <c r="S858" s="392"/>
      <c r="T858" s="392"/>
      <c r="U858" s="392"/>
      <c r="V858" s="822">
        <v>1</v>
      </c>
      <c r="W858" s="392"/>
      <c r="X858" s="392"/>
      <c r="Y858" s="352">
        <f>IF(NFI_Expiration=1,IF($A858&lt;VLOOKUP(H$5,NFI,5,0),1,0)*Table_NFI[[#This Row],[Hygiene Kit]],Table_NFI[Hygiene Kit])</f>
        <v>0</v>
      </c>
      <c r="Z858" s="352">
        <f>IF(NFI_Expiration=1,IF($A858&lt;VLOOKUP(I$5,NFI,5,0),1,0)*Table_NFI[[#This Row],[NFI Core Kit]],Table_NFI[NFI Core Kit])</f>
        <v>0</v>
      </c>
      <c r="AA858" s="352">
        <f>IF(NFI_Expiration=1,IF($A858&lt;VLOOKUP(J$5,NFI,5,0),1,0)*Table_NFI[[#This Row],[Sanitary Kit]],Table_NFI[Sanitary Kit])</f>
        <v>0</v>
      </c>
      <c r="AB858" s="352">
        <f>IF(NFI_Expiration=1,IF($A858&lt;VLOOKUP(K$5,NFI,5,0),1,0)*Table_NFI[[#This Row],[Mosquito net]],Table_NFI[Mosquito net])</f>
        <v>0</v>
      </c>
      <c r="AC858" s="352">
        <f>IF(NFI_Expiration=1,IF($A858&lt;VLOOKUP(L$5,NFI,5,0),1,0)*Table_NFI[[#This Row],[Tarpaulin]],Table_NFI[[#This Row],[Tarpaulin]])</f>
        <v>0</v>
      </c>
      <c r="AD858" s="352">
        <f>IF(NFI_Expiration=1,IF($A858&lt;VLOOKUP(M$5,NFI,5,0),1,0)*Table_NFI[[#This Row],[Blanket]],Table_NFI[[#This Row],[Blanket]])</f>
        <v>0</v>
      </c>
      <c r="AE858" s="352">
        <f>IF(NFI_Expiration=1,IF($A858&lt;VLOOKUP(N$5,NFI,5,0),1,0)*Table_NFI[[#This Row],[Kitchen Set]],Table_NFI[Kitchen Set])</f>
        <v>0</v>
      </c>
      <c r="AF858" s="352">
        <f>IF(NFI_Expiration=1,IF($A858&lt;VLOOKUP(O$5,NFI,5,0),1,0)*Table_NFI[[#This Row],[Clothes Kit]],Table_NFI[Clothes Kit])</f>
        <v>0</v>
      </c>
      <c r="AG858" s="352">
        <f>IF(NFI_Expiration=1,IF($A858&lt;VLOOKUP(P$5,NFI,5,0),1,0)*Table_NFI[[#This Row],[Plastic Bucket]],Table_NFI[Plastic Bucket])</f>
        <v>0</v>
      </c>
      <c r="AH858" s="352">
        <f>IF(NFI_Expiration=1,IF($A858&lt;VLOOKUP(Q$5,NFI,5,0),1,0)*Table_NFI[[#This Row],[Plastic Mat]],Table_NFI[Plastic Mat])*IF(Table_NFI[[#This Row],[Distribution Date]]&gt;"2014-04-01",1,2.5)</f>
        <v>0</v>
      </c>
      <c r="AI858" s="352">
        <f>IF(NFI_Expiration=1,IF($A858&lt;VLOOKUP(R$5,NFI,5,0),1,0)*Table_NFI[[#This Row],[Winter Clothes Adult]],Table_NFI[Winter Clothes Adult])</f>
        <v>0</v>
      </c>
      <c r="AJ858" s="352">
        <f>IF(NFI_Expiration=1,IF($A858&lt;VLOOKUP(S$5,NFI,5,0),1,0)*Table_NFI[[#This Row],[Winter Clothes Children]],Table_NFI[Winter Clothes Children])</f>
        <v>0</v>
      </c>
      <c r="AK858" s="352">
        <f>IF(NFI_Expiration=1,IF($A858&lt;VLOOKUP(T$5,NFI,5,0),1,0)*Table_NFI[[#This Row],[Winter Items Other]],Table_NFI[Winter Items Other])</f>
        <v>0</v>
      </c>
      <c r="AL858" s="352">
        <f>IF(NFI_Expiration=1,IF($A858&lt;VLOOKUP(M$5,NFI,5,0),1,0)*Table_NFI[[#This Row],[Winter Blanket]],Table_NFI[[#This Row],[Winter Blanket]])</f>
        <v>0</v>
      </c>
      <c r="AM858" s="352">
        <f>IF(Table_NFI[[#This Row],[Winter Clothes Adult]]+Table_NFI[[#This Row],[Winter Clothes Children]]+Table_NFI[[#This Row],[Winter Items Other]]+Table_NFI[[#This Row],[Winter Blanket]]&gt;0,1,0)</f>
        <v>0</v>
      </c>
      <c r="AN858" s="392">
        <f>IF(NFI_Expiration=1,IF($A858&lt;VLOOKUP(V$5,NFI,5,0),1,0)*Table_NFI[[#This Row],[Jerry Can]],Table_NFI[Jerry Can])</f>
        <v>1</v>
      </c>
      <c r="AO858" s="540" t="str">
        <f>IFERROR(VLOOKUP(Table_NFI[[#This Row],[Camp Name]],CL,2,0),"")</f>
        <v>MMR001CMP047</v>
      </c>
      <c r="AP858" s="535">
        <f ca="1">IF(Table_NFI[[#This Row],[Pcode]]="","",IF(OFFSET(CampList[Opening Date],MATCH(Table_NFI[[#This Row],[Pcode]],CampList[CP_Pcode],0)-1,0,1,1)&gt;=NFI_Monitor_Date,1,0))</f>
        <v>0</v>
      </c>
      <c r="AQ858" s="540" t="str">
        <f>IFERROR(VLOOKUP(Table_NFI[[#This Row],[Camp Name]],CL,3,0),"")</f>
        <v>Open</v>
      </c>
      <c r="AR858" s="352" t="str">
        <f ca="1">IF(Table_NFI[[#This Row],[Pcode]]="","",OFFSET(CampList[Priority],MATCH(Table_NFI[[#This Row],[Pcode]],CampList[CP_Pcode],0)-1,0,1,1))</f>
        <v>P4</v>
      </c>
      <c r="AS858" s="351">
        <f>IFERROR(Table_NFI[[#This Row],[Kitchen Set]]/VLOOKUP(Table_NFI[[#This Row],[Camp Name]],CL,4,0),"")</f>
        <v>0</v>
      </c>
      <c r="AT858" s="533"/>
      <c r="AU858" s="536"/>
    </row>
    <row r="859" spans="1:47" hidden="1" x14ac:dyDescent="0.2">
      <c r="A859" s="355">
        <f t="shared" si="13"/>
        <v>19.633333333333333</v>
      </c>
      <c r="B859" s="532">
        <v>41982</v>
      </c>
      <c r="C859" s="533" t="s">
        <v>907</v>
      </c>
      <c r="D859" s="534" t="s">
        <v>907</v>
      </c>
      <c r="E859" s="533" t="s">
        <v>380</v>
      </c>
      <c r="F859" s="348" t="s">
        <v>5</v>
      </c>
      <c r="G859" s="348" t="s">
        <v>22</v>
      </c>
      <c r="H859" s="349"/>
      <c r="I859" s="349"/>
      <c r="J859" s="677">
        <v>1135</v>
      </c>
      <c r="K859" s="349"/>
      <c r="L859" s="350"/>
      <c r="M859" s="350"/>
      <c r="N859" s="350"/>
      <c r="O859" s="350"/>
      <c r="P859" s="352"/>
      <c r="Q859" s="392"/>
      <c r="R859" s="392"/>
      <c r="S859" s="392"/>
      <c r="T859" s="392"/>
      <c r="U859" s="392"/>
      <c r="V859" s="497"/>
      <c r="W859" s="392"/>
      <c r="X859" s="392"/>
      <c r="Y859" s="352">
        <f>IF(NFI_Expiration=1,IF($A859&lt;VLOOKUP(H$5,NFI,5,0),1,0)*Table_NFI[[#This Row],[Hygiene Kit]],Table_NFI[Hygiene Kit])</f>
        <v>0</v>
      </c>
      <c r="Z859" s="352">
        <f>IF(NFI_Expiration=1,IF($A859&lt;VLOOKUP(I$5,NFI,5,0),1,0)*Table_NFI[[#This Row],[NFI Core Kit]],Table_NFI[NFI Core Kit])</f>
        <v>0</v>
      </c>
      <c r="AA859" s="352">
        <f>IF(NFI_Expiration=1,IF($A859&lt;VLOOKUP(J$5,NFI,5,0),1,0)*Table_NFI[[#This Row],[Sanitary Kit]],Table_NFI[Sanitary Kit])</f>
        <v>0</v>
      </c>
      <c r="AB859" s="352">
        <f>IF(NFI_Expiration=1,IF($A859&lt;VLOOKUP(K$5,NFI,5,0),1,0)*Table_NFI[[#This Row],[Mosquito net]],Table_NFI[Mosquito net])</f>
        <v>0</v>
      </c>
      <c r="AC859" s="352">
        <f>IF(NFI_Expiration=1,IF($A859&lt;VLOOKUP(L$5,NFI,5,0),1,0)*Table_NFI[[#This Row],[Tarpaulin]],Table_NFI[[#This Row],[Tarpaulin]])</f>
        <v>0</v>
      </c>
      <c r="AD859" s="352">
        <f>IF(NFI_Expiration=1,IF($A859&lt;VLOOKUP(M$5,NFI,5,0),1,0)*Table_NFI[[#This Row],[Blanket]],Table_NFI[[#This Row],[Blanket]])</f>
        <v>0</v>
      </c>
      <c r="AE859" s="352">
        <f>IF(NFI_Expiration=1,IF($A859&lt;VLOOKUP(N$5,NFI,5,0),1,0)*Table_NFI[[#This Row],[Kitchen Set]],Table_NFI[Kitchen Set])</f>
        <v>0</v>
      </c>
      <c r="AF859" s="352">
        <f>IF(NFI_Expiration=1,IF($A859&lt;VLOOKUP(O$5,NFI,5,0),1,0)*Table_NFI[[#This Row],[Clothes Kit]],Table_NFI[Clothes Kit])</f>
        <v>0</v>
      </c>
      <c r="AG859" s="352">
        <f>IF(NFI_Expiration=1,IF($A859&lt;VLOOKUP(P$5,NFI,5,0),1,0)*Table_NFI[[#This Row],[Plastic Bucket]],Table_NFI[Plastic Bucket])</f>
        <v>0</v>
      </c>
      <c r="AH859" s="352">
        <f>IF(NFI_Expiration=1,IF($A859&lt;VLOOKUP(Q$5,NFI,5,0),1,0)*Table_NFI[[#This Row],[Plastic Mat]],Table_NFI[Plastic Mat])*IF(Table_NFI[[#This Row],[Distribution Date]]&gt;"2014-04-01",1,2.5)</f>
        <v>0</v>
      </c>
      <c r="AI859" s="352">
        <f>IF(NFI_Expiration=1,IF($A859&lt;VLOOKUP(R$5,NFI,5,0),1,0)*Table_NFI[[#This Row],[Winter Clothes Adult]],Table_NFI[Winter Clothes Adult])</f>
        <v>0</v>
      </c>
      <c r="AJ859" s="352">
        <f>IF(NFI_Expiration=1,IF($A859&lt;VLOOKUP(S$5,NFI,5,0),1,0)*Table_NFI[[#This Row],[Winter Clothes Children]],Table_NFI[Winter Clothes Children])</f>
        <v>0</v>
      </c>
      <c r="AK859" s="352">
        <f>IF(NFI_Expiration=1,IF($A859&lt;VLOOKUP(T$5,NFI,5,0),1,0)*Table_NFI[[#This Row],[Winter Items Other]],Table_NFI[Winter Items Other])</f>
        <v>0</v>
      </c>
      <c r="AL859" s="352">
        <f>IF(NFI_Expiration=1,IF($A859&lt;VLOOKUP(M$5,NFI,5,0),1,0)*Table_NFI[[#This Row],[Winter Blanket]],Table_NFI[[#This Row],[Winter Blanket]])</f>
        <v>0</v>
      </c>
      <c r="AM859" s="352">
        <f>IF(Table_NFI[[#This Row],[Winter Clothes Adult]]+Table_NFI[[#This Row],[Winter Clothes Children]]+Table_NFI[[#This Row],[Winter Items Other]]+Table_NFI[[#This Row],[Winter Blanket]]&gt;0,1,0)</f>
        <v>0</v>
      </c>
      <c r="AN859" s="392">
        <f>IF(NFI_Expiration=1,IF($A859&lt;VLOOKUP(V$5,NFI,5,0),1,0)*Table_NFI[[#This Row],[Jerry Can]],Table_NFI[Jerry Can])</f>
        <v>0</v>
      </c>
      <c r="AO859" s="540" t="str">
        <f>IFERROR(VLOOKUP(Table_NFI[[#This Row],[Camp Name]],CL,2,0),"")</f>
        <v>MMR001CMP047</v>
      </c>
      <c r="AP859" s="535">
        <f ca="1">IF(Table_NFI[[#This Row],[Pcode]]="","",IF(OFFSET(CampList[Opening Date],MATCH(Table_NFI[[#This Row],[Pcode]],CampList[CP_Pcode],0)-1,0,1,1)&gt;=NFI_Monitor_Date,1,0))</f>
        <v>0</v>
      </c>
      <c r="AQ859" s="540" t="str">
        <f>IFERROR(VLOOKUP(Table_NFI[[#This Row],[Camp Name]],CL,3,0),"")</f>
        <v>Open</v>
      </c>
      <c r="AR859" s="352" t="str">
        <f ca="1">IF(Table_NFI[[#This Row],[Pcode]]="","",OFFSET(CampList[Priority],MATCH(Table_NFI[[#This Row],[Pcode]],CampList[CP_Pcode],0)-1,0,1,1))</f>
        <v>P4</v>
      </c>
      <c r="AS859" s="351">
        <f>IFERROR(Table_NFI[[#This Row],[Kitchen Set]]/VLOOKUP(Table_NFI[[#This Row],[Camp Name]],CL,4,0),"")</f>
        <v>0</v>
      </c>
      <c r="AT859" s="533"/>
      <c r="AU859" s="536"/>
    </row>
    <row r="860" spans="1:47" hidden="1" x14ac:dyDescent="0.2">
      <c r="A860" s="355">
        <f t="shared" si="13"/>
        <v>13.8</v>
      </c>
      <c r="B860" s="532">
        <v>42157</v>
      </c>
      <c r="C860" s="533" t="s">
        <v>907</v>
      </c>
      <c r="D860" s="534" t="s">
        <v>907</v>
      </c>
      <c r="E860" s="533" t="s">
        <v>380</v>
      </c>
      <c r="F860" s="348" t="s">
        <v>5</v>
      </c>
      <c r="G860" s="348" t="s">
        <v>22</v>
      </c>
      <c r="H860" s="349"/>
      <c r="I860" s="349"/>
      <c r="J860" s="677">
        <v>1048</v>
      </c>
      <c r="K860" s="349"/>
      <c r="L860" s="350"/>
      <c r="M860" s="350"/>
      <c r="N860" s="350"/>
      <c r="O860" s="350"/>
      <c r="P860" s="352"/>
      <c r="Q860" s="392"/>
      <c r="R860" s="392"/>
      <c r="S860" s="392"/>
      <c r="T860" s="392"/>
      <c r="U860" s="392"/>
      <c r="V860" s="497"/>
      <c r="W860" s="392"/>
      <c r="X860" s="392"/>
      <c r="Y860" s="352">
        <f>IF(NFI_Expiration=1,IF($A860&lt;VLOOKUP(H$5,NFI,5,0),1,0)*Table_NFI[[#This Row],[Hygiene Kit]],Table_NFI[Hygiene Kit])</f>
        <v>0</v>
      </c>
      <c r="Z860" s="352">
        <f>IF(NFI_Expiration=1,IF($A860&lt;VLOOKUP(I$5,NFI,5,0),1,0)*Table_NFI[[#This Row],[NFI Core Kit]],Table_NFI[NFI Core Kit])</f>
        <v>0</v>
      </c>
      <c r="AA860" s="352">
        <f>IF(NFI_Expiration=1,IF($A860&lt;VLOOKUP(J$5,NFI,5,0),1,0)*Table_NFI[[#This Row],[Sanitary Kit]],Table_NFI[Sanitary Kit])</f>
        <v>0</v>
      </c>
      <c r="AB860" s="352">
        <f>IF(NFI_Expiration=1,IF($A860&lt;VLOOKUP(K$5,NFI,5,0),1,0)*Table_NFI[[#This Row],[Mosquito net]],Table_NFI[Mosquito net])</f>
        <v>0</v>
      </c>
      <c r="AC860" s="352">
        <f>IF(NFI_Expiration=1,IF($A860&lt;VLOOKUP(L$5,NFI,5,0),1,0)*Table_NFI[[#This Row],[Tarpaulin]],Table_NFI[[#This Row],[Tarpaulin]])</f>
        <v>0</v>
      </c>
      <c r="AD860" s="352">
        <f>IF(NFI_Expiration=1,IF($A860&lt;VLOOKUP(M$5,NFI,5,0),1,0)*Table_NFI[[#This Row],[Blanket]],Table_NFI[[#This Row],[Blanket]])</f>
        <v>0</v>
      </c>
      <c r="AE860" s="352">
        <f>IF(NFI_Expiration=1,IF($A860&lt;VLOOKUP(N$5,NFI,5,0),1,0)*Table_NFI[[#This Row],[Kitchen Set]],Table_NFI[Kitchen Set])</f>
        <v>0</v>
      </c>
      <c r="AF860" s="352">
        <f>IF(NFI_Expiration=1,IF($A860&lt;VLOOKUP(O$5,NFI,5,0),1,0)*Table_NFI[[#This Row],[Clothes Kit]],Table_NFI[Clothes Kit])</f>
        <v>0</v>
      </c>
      <c r="AG860" s="352">
        <f>IF(NFI_Expiration=1,IF($A860&lt;VLOOKUP(P$5,NFI,5,0),1,0)*Table_NFI[[#This Row],[Plastic Bucket]],Table_NFI[Plastic Bucket])</f>
        <v>0</v>
      </c>
      <c r="AH860" s="352">
        <f>IF(NFI_Expiration=1,IF($A860&lt;VLOOKUP(Q$5,NFI,5,0),1,0)*Table_NFI[[#This Row],[Plastic Mat]],Table_NFI[Plastic Mat])*IF(Table_NFI[[#This Row],[Distribution Date]]&gt;"2014-04-01",1,2.5)</f>
        <v>0</v>
      </c>
      <c r="AI860" s="352">
        <f>IF(NFI_Expiration=1,IF($A860&lt;VLOOKUP(R$5,NFI,5,0),1,0)*Table_NFI[[#This Row],[Winter Clothes Adult]],Table_NFI[Winter Clothes Adult])</f>
        <v>0</v>
      </c>
      <c r="AJ860" s="352">
        <f>IF(NFI_Expiration=1,IF($A860&lt;VLOOKUP(S$5,NFI,5,0),1,0)*Table_NFI[[#This Row],[Winter Clothes Children]],Table_NFI[Winter Clothes Children])</f>
        <v>0</v>
      </c>
      <c r="AK860" s="352">
        <f>IF(NFI_Expiration=1,IF($A860&lt;VLOOKUP(T$5,NFI,5,0),1,0)*Table_NFI[[#This Row],[Winter Items Other]],Table_NFI[Winter Items Other])</f>
        <v>0</v>
      </c>
      <c r="AL860" s="352">
        <f>IF(NFI_Expiration=1,IF($A860&lt;VLOOKUP(M$5,NFI,5,0),1,0)*Table_NFI[[#This Row],[Winter Blanket]],Table_NFI[[#This Row],[Winter Blanket]])</f>
        <v>0</v>
      </c>
      <c r="AM860" s="352">
        <f>IF(Table_NFI[[#This Row],[Winter Clothes Adult]]+Table_NFI[[#This Row],[Winter Clothes Children]]+Table_NFI[[#This Row],[Winter Items Other]]+Table_NFI[[#This Row],[Winter Blanket]]&gt;0,1,0)</f>
        <v>0</v>
      </c>
      <c r="AN860" s="392">
        <f>IF(NFI_Expiration=1,IF($A860&lt;VLOOKUP(V$5,NFI,5,0),1,0)*Table_NFI[[#This Row],[Jerry Can]],Table_NFI[Jerry Can])</f>
        <v>0</v>
      </c>
      <c r="AO860" s="540" t="str">
        <f>IFERROR(VLOOKUP(Table_NFI[[#This Row],[Camp Name]],CL,2,0),"")</f>
        <v>MMR001CMP047</v>
      </c>
      <c r="AP860" s="535">
        <f ca="1">IF(Table_NFI[[#This Row],[Pcode]]="","",IF(OFFSET(CampList[Opening Date],MATCH(Table_NFI[[#This Row],[Pcode]],CampList[CP_Pcode],0)-1,0,1,1)&gt;=NFI_Monitor_Date,1,0))</f>
        <v>0</v>
      </c>
      <c r="AQ860" s="540" t="str">
        <f>IFERROR(VLOOKUP(Table_NFI[[#This Row],[Camp Name]],CL,3,0),"")</f>
        <v>Open</v>
      </c>
      <c r="AR860" s="352" t="str">
        <f ca="1">IF(Table_NFI[[#This Row],[Pcode]]="","",OFFSET(CampList[Priority],MATCH(Table_NFI[[#This Row],[Pcode]],CampList[CP_Pcode],0)-1,0,1,1))</f>
        <v>P4</v>
      </c>
      <c r="AS860" s="351">
        <f>IFERROR(Table_NFI[[#This Row],[Kitchen Set]]/VLOOKUP(Table_NFI[[#This Row],[Camp Name]],CL,4,0),"")</f>
        <v>0</v>
      </c>
      <c r="AT860" s="533"/>
      <c r="AU860" s="536"/>
    </row>
    <row r="861" spans="1:47" hidden="1" x14ac:dyDescent="0.2">
      <c r="A861" s="355">
        <f t="shared" si="13"/>
        <v>5.4333333333333336</v>
      </c>
      <c r="B861" s="532">
        <v>42408</v>
      </c>
      <c r="C861" s="533" t="s">
        <v>907</v>
      </c>
      <c r="D861" s="534" t="s">
        <v>907</v>
      </c>
      <c r="E861" s="533" t="s">
        <v>380</v>
      </c>
      <c r="F861" s="348" t="s">
        <v>5</v>
      </c>
      <c r="G861" s="348" t="s">
        <v>22</v>
      </c>
      <c r="H861" s="349"/>
      <c r="I861" s="349"/>
      <c r="J861" s="677">
        <v>996</v>
      </c>
      <c r="K861" s="349"/>
      <c r="L861" s="350"/>
      <c r="M861" s="350"/>
      <c r="N861" s="350"/>
      <c r="O861" s="350"/>
      <c r="P861" s="352"/>
      <c r="Q861" s="392"/>
      <c r="R861" s="392"/>
      <c r="S861" s="392"/>
      <c r="T861" s="392"/>
      <c r="U861" s="392"/>
      <c r="V861" s="497"/>
      <c r="W861" s="392"/>
      <c r="X861" s="392"/>
      <c r="Y861" s="352">
        <f>IF(NFI_Expiration=1,IF($A861&lt;VLOOKUP(H$5,NFI,5,0),1,0)*Table_NFI[[#This Row],[Hygiene Kit]],Table_NFI[Hygiene Kit])</f>
        <v>0</v>
      </c>
      <c r="Z861" s="352">
        <f>IF(NFI_Expiration=1,IF($A861&lt;VLOOKUP(I$5,NFI,5,0),1,0)*Table_NFI[[#This Row],[NFI Core Kit]],Table_NFI[NFI Core Kit])</f>
        <v>0</v>
      </c>
      <c r="AA861" s="352">
        <f>IF(NFI_Expiration=1,IF($A861&lt;VLOOKUP(J$5,NFI,5,0),1,0)*Table_NFI[[#This Row],[Sanitary Kit]],Table_NFI[Sanitary Kit])</f>
        <v>996</v>
      </c>
      <c r="AB861" s="352">
        <f>IF(NFI_Expiration=1,IF($A861&lt;VLOOKUP(K$5,NFI,5,0),1,0)*Table_NFI[[#This Row],[Mosquito net]],Table_NFI[Mosquito net])</f>
        <v>0</v>
      </c>
      <c r="AC861" s="352">
        <f>IF(NFI_Expiration=1,IF($A861&lt;VLOOKUP(L$5,NFI,5,0),1,0)*Table_NFI[[#This Row],[Tarpaulin]],Table_NFI[[#This Row],[Tarpaulin]])</f>
        <v>0</v>
      </c>
      <c r="AD861" s="352">
        <f>IF(NFI_Expiration=1,IF($A861&lt;VLOOKUP(M$5,NFI,5,0),1,0)*Table_NFI[[#This Row],[Blanket]],Table_NFI[[#This Row],[Blanket]])</f>
        <v>0</v>
      </c>
      <c r="AE861" s="352">
        <f>IF(NFI_Expiration=1,IF($A861&lt;VLOOKUP(N$5,NFI,5,0),1,0)*Table_NFI[[#This Row],[Kitchen Set]],Table_NFI[Kitchen Set])</f>
        <v>0</v>
      </c>
      <c r="AF861" s="352">
        <f>IF(NFI_Expiration=1,IF($A861&lt;VLOOKUP(O$5,NFI,5,0),1,0)*Table_NFI[[#This Row],[Clothes Kit]],Table_NFI[Clothes Kit])</f>
        <v>0</v>
      </c>
      <c r="AG861" s="352">
        <f>IF(NFI_Expiration=1,IF($A861&lt;VLOOKUP(P$5,NFI,5,0),1,0)*Table_NFI[[#This Row],[Plastic Bucket]],Table_NFI[Plastic Bucket])</f>
        <v>0</v>
      </c>
      <c r="AH861" s="352">
        <f>IF(NFI_Expiration=1,IF($A861&lt;VLOOKUP(Q$5,NFI,5,0),1,0)*Table_NFI[[#This Row],[Plastic Mat]],Table_NFI[Plastic Mat])*IF(Table_NFI[[#This Row],[Distribution Date]]&gt;"2014-04-01",1,2.5)</f>
        <v>0</v>
      </c>
      <c r="AI861" s="352">
        <f>IF(NFI_Expiration=1,IF($A861&lt;VLOOKUP(R$5,NFI,5,0),1,0)*Table_NFI[[#This Row],[Winter Clothes Adult]],Table_NFI[Winter Clothes Adult])</f>
        <v>0</v>
      </c>
      <c r="AJ861" s="352">
        <f>IF(NFI_Expiration=1,IF($A861&lt;VLOOKUP(S$5,NFI,5,0),1,0)*Table_NFI[[#This Row],[Winter Clothes Children]],Table_NFI[Winter Clothes Children])</f>
        <v>0</v>
      </c>
      <c r="AK861" s="352">
        <f>IF(NFI_Expiration=1,IF($A861&lt;VLOOKUP(T$5,NFI,5,0),1,0)*Table_NFI[[#This Row],[Winter Items Other]],Table_NFI[Winter Items Other])</f>
        <v>0</v>
      </c>
      <c r="AL861" s="352">
        <f>IF(NFI_Expiration=1,IF($A861&lt;VLOOKUP(M$5,NFI,5,0),1,0)*Table_NFI[[#This Row],[Winter Blanket]],Table_NFI[[#This Row],[Winter Blanket]])</f>
        <v>0</v>
      </c>
      <c r="AM861" s="352">
        <f>IF(Table_NFI[[#This Row],[Winter Clothes Adult]]+Table_NFI[[#This Row],[Winter Clothes Children]]+Table_NFI[[#This Row],[Winter Items Other]]+Table_NFI[[#This Row],[Winter Blanket]]&gt;0,1,0)</f>
        <v>0</v>
      </c>
      <c r="AN861" s="392">
        <f>IF(NFI_Expiration=1,IF($A861&lt;VLOOKUP(V$5,NFI,5,0),1,0)*Table_NFI[[#This Row],[Jerry Can]],Table_NFI[Jerry Can])</f>
        <v>0</v>
      </c>
      <c r="AO861" s="540" t="str">
        <f>IFERROR(VLOOKUP(Table_NFI[[#This Row],[Camp Name]],CL,2,0),"")</f>
        <v>MMR001CMP047</v>
      </c>
      <c r="AP861" s="535">
        <f ca="1">IF(Table_NFI[[#This Row],[Pcode]]="","",IF(OFFSET(CampList[Opening Date],MATCH(Table_NFI[[#This Row],[Pcode]],CampList[CP_Pcode],0)-1,0,1,1)&gt;=NFI_Monitor_Date,1,0))</f>
        <v>0</v>
      </c>
      <c r="AQ861" s="540" t="str">
        <f>IFERROR(VLOOKUP(Table_NFI[[#This Row],[Camp Name]],CL,3,0),"")</f>
        <v>Open</v>
      </c>
      <c r="AR861" s="352" t="str">
        <f ca="1">IF(Table_NFI[[#This Row],[Pcode]]="","",OFFSET(CampList[Priority],MATCH(Table_NFI[[#This Row],[Pcode]],CampList[CP_Pcode],0)-1,0,1,1))</f>
        <v>P4</v>
      </c>
      <c r="AS861" s="351">
        <f>IFERROR(Table_NFI[[#This Row],[Kitchen Set]]/VLOOKUP(Table_NFI[[#This Row],[Camp Name]],CL,4,0),"")</f>
        <v>0</v>
      </c>
      <c r="AT861" s="533"/>
      <c r="AU861" s="536"/>
    </row>
    <row r="862" spans="1:47" hidden="1" x14ac:dyDescent="0.25">
      <c r="A862" s="355">
        <f t="shared" si="13"/>
        <v>52.966666666666669</v>
      </c>
      <c r="B862" s="532">
        <v>40982</v>
      </c>
      <c r="C862" s="533" t="s">
        <v>907</v>
      </c>
      <c r="D862" s="534" t="s">
        <v>907</v>
      </c>
      <c r="E862" s="533" t="s">
        <v>380</v>
      </c>
      <c r="F862" s="348" t="s">
        <v>5</v>
      </c>
      <c r="G862" s="348" t="s">
        <v>22</v>
      </c>
      <c r="H862" s="352">
        <v>2188</v>
      </c>
      <c r="I862" s="349"/>
      <c r="J862" s="349"/>
      <c r="K862" s="349"/>
      <c r="L862" s="350"/>
      <c r="M862" s="350"/>
      <c r="N862" s="350"/>
      <c r="O862" s="350"/>
      <c r="P862" s="352"/>
      <c r="Q862" s="392"/>
      <c r="R862" s="392"/>
      <c r="S862" s="392"/>
      <c r="T862" s="392"/>
      <c r="U862" s="392"/>
      <c r="V862" s="497"/>
      <c r="W862" s="392"/>
      <c r="X862" s="392"/>
      <c r="Y862" s="352">
        <f>IF(NFI_Expiration=1,IF($A862&lt;VLOOKUP(H$5,NFI,5,0),1,0)*Table_NFI[[#This Row],[Hygiene Kit]],Table_NFI[Hygiene Kit])</f>
        <v>0</v>
      </c>
      <c r="Z862" s="352">
        <f>IF(NFI_Expiration=1,IF($A862&lt;VLOOKUP(I$5,NFI,5,0),1,0)*Table_NFI[[#This Row],[NFI Core Kit]],Table_NFI[NFI Core Kit])</f>
        <v>0</v>
      </c>
      <c r="AA862" s="352">
        <f>IF(NFI_Expiration=1,IF($A862&lt;VLOOKUP(J$5,NFI,5,0),1,0)*Table_NFI[[#This Row],[Sanitary Kit]],Table_NFI[Sanitary Kit])</f>
        <v>0</v>
      </c>
      <c r="AB862" s="352">
        <f>IF(NFI_Expiration=1,IF($A862&lt;VLOOKUP(K$5,NFI,5,0),1,0)*Table_NFI[[#This Row],[Mosquito net]],Table_NFI[Mosquito net])</f>
        <v>0</v>
      </c>
      <c r="AC862" s="352">
        <f>IF(NFI_Expiration=1,IF($A862&lt;VLOOKUP(L$5,NFI,5,0),1,0)*Table_NFI[[#This Row],[Tarpaulin]],Table_NFI[[#This Row],[Tarpaulin]])</f>
        <v>0</v>
      </c>
      <c r="AD862" s="352">
        <f>IF(NFI_Expiration=1,IF($A862&lt;VLOOKUP(M$5,NFI,5,0),1,0)*Table_NFI[[#This Row],[Blanket]],Table_NFI[[#This Row],[Blanket]])</f>
        <v>0</v>
      </c>
      <c r="AE862" s="352">
        <f>IF(NFI_Expiration=1,IF($A862&lt;VLOOKUP(N$5,NFI,5,0),1,0)*Table_NFI[[#This Row],[Kitchen Set]],Table_NFI[Kitchen Set])</f>
        <v>0</v>
      </c>
      <c r="AF862" s="352">
        <f>IF(NFI_Expiration=1,IF($A862&lt;VLOOKUP(O$5,NFI,5,0),1,0)*Table_NFI[[#This Row],[Clothes Kit]],Table_NFI[Clothes Kit])</f>
        <v>0</v>
      </c>
      <c r="AG862" s="352">
        <f>IF(NFI_Expiration=1,IF($A862&lt;VLOOKUP(P$5,NFI,5,0),1,0)*Table_NFI[[#This Row],[Plastic Bucket]],Table_NFI[Plastic Bucket])</f>
        <v>0</v>
      </c>
      <c r="AH862" s="352">
        <f>IF(NFI_Expiration=1,IF($A862&lt;VLOOKUP(Q$5,NFI,5,0),1,0)*Table_NFI[[#This Row],[Plastic Mat]],Table_NFI[Plastic Mat])*IF(Table_NFI[[#This Row],[Distribution Date]]&gt;"2014-04-01",1,2.5)</f>
        <v>0</v>
      </c>
      <c r="AI862" s="352">
        <f>IF(NFI_Expiration=1,IF($A862&lt;VLOOKUP(R$5,NFI,5,0),1,0)*Table_NFI[[#This Row],[Winter Clothes Adult]],Table_NFI[Winter Clothes Adult])</f>
        <v>0</v>
      </c>
      <c r="AJ862" s="352">
        <f>IF(NFI_Expiration=1,IF($A862&lt;VLOOKUP(S$5,NFI,5,0),1,0)*Table_NFI[[#This Row],[Winter Clothes Children]],Table_NFI[Winter Clothes Children])</f>
        <v>0</v>
      </c>
      <c r="AK862" s="352">
        <f>IF(NFI_Expiration=1,IF($A862&lt;VLOOKUP(T$5,NFI,5,0),1,0)*Table_NFI[[#This Row],[Winter Items Other]],Table_NFI[Winter Items Other])</f>
        <v>0</v>
      </c>
      <c r="AL862" s="352">
        <f>IF(NFI_Expiration=1,IF($A862&lt;VLOOKUP(M$5,NFI,5,0),1,0)*Table_NFI[[#This Row],[Winter Blanket]],Table_NFI[[#This Row],[Winter Blanket]])</f>
        <v>0</v>
      </c>
      <c r="AM862" s="352">
        <f>IF(Table_NFI[[#This Row],[Winter Clothes Adult]]+Table_NFI[[#This Row],[Winter Clothes Children]]+Table_NFI[[#This Row],[Winter Items Other]]+Table_NFI[[#This Row],[Winter Blanket]]&gt;0,1,0)</f>
        <v>0</v>
      </c>
      <c r="AN862" s="392">
        <f>IF(NFI_Expiration=1,IF($A862&lt;VLOOKUP(V$5,NFI,5,0),1,0)*Table_NFI[[#This Row],[Jerry Can]],Table_NFI[Jerry Can])</f>
        <v>0</v>
      </c>
      <c r="AO862" s="540" t="str">
        <f>IFERROR(VLOOKUP(Table_NFI[[#This Row],[Camp Name]],CL,2,0),"")</f>
        <v>MMR001CMP047</v>
      </c>
      <c r="AP862" s="535">
        <f ca="1">IF(Table_NFI[[#This Row],[Pcode]]="","",IF(OFFSET(CampList[Opening Date],MATCH(Table_NFI[[#This Row],[Pcode]],CampList[CP_Pcode],0)-1,0,1,1)&gt;=NFI_Monitor_Date,1,0))</f>
        <v>0</v>
      </c>
      <c r="AQ862" s="540" t="str">
        <f>IFERROR(VLOOKUP(Table_NFI[[#This Row],[Camp Name]],CL,3,0),"")</f>
        <v>Open</v>
      </c>
      <c r="AR862" s="352" t="str">
        <f ca="1">IF(Table_NFI[[#This Row],[Pcode]]="","",OFFSET(CampList[Priority],MATCH(Table_NFI[[#This Row],[Pcode]],CampList[CP_Pcode],0)-1,0,1,1))</f>
        <v>P4</v>
      </c>
      <c r="AS862" s="351">
        <f>IFERROR(Table_NFI[[#This Row],[Kitchen Set]]/VLOOKUP(Table_NFI[[#This Row],[Camp Name]],CL,4,0),"")</f>
        <v>0</v>
      </c>
      <c r="AT862" s="533"/>
      <c r="AU862" s="536"/>
    </row>
    <row r="863" spans="1:47" hidden="1" x14ac:dyDescent="0.25">
      <c r="A863" s="355">
        <f t="shared" si="13"/>
        <v>42.5</v>
      </c>
      <c r="B863" s="532">
        <v>41296</v>
      </c>
      <c r="C863" s="533" t="s">
        <v>907</v>
      </c>
      <c r="D863" s="534" t="s">
        <v>907</v>
      </c>
      <c r="E863" s="533" t="s">
        <v>380</v>
      </c>
      <c r="F863" s="348" t="s">
        <v>5</v>
      </c>
      <c r="G863" s="348" t="s">
        <v>22</v>
      </c>
      <c r="H863" s="349">
        <v>1824</v>
      </c>
      <c r="I863" s="349"/>
      <c r="J863" s="349"/>
      <c r="K863" s="349"/>
      <c r="L863" s="350"/>
      <c r="M863" s="350"/>
      <c r="N863" s="350"/>
      <c r="O863" s="350"/>
      <c r="P863" s="352">
        <v>0</v>
      </c>
      <c r="Q863" s="352">
        <v>0</v>
      </c>
      <c r="R863" s="352"/>
      <c r="S863" s="352"/>
      <c r="T863" s="352"/>
      <c r="U863" s="352"/>
      <c r="V863" s="497"/>
      <c r="W863" s="352"/>
      <c r="X863" s="352"/>
      <c r="Y863" s="352">
        <f>IF(NFI_Expiration=1,IF($A863&lt;VLOOKUP(H$5,NFI,5,0),1,0)*Table_NFI[[#This Row],[Hygiene Kit]],Table_NFI[Hygiene Kit])</f>
        <v>0</v>
      </c>
      <c r="Z863" s="352">
        <f>IF(NFI_Expiration=1,IF($A863&lt;VLOOKUP(I$5,NFI,5,0),1,0)*Table_NFI[[#This Row],[NFI Core Kit]],Table_NFI[NFI Core Kit])</f>
        <v>0</v>
      </c>
      <c r="AA863" s="352">
        <f>IF(NFI_Expiration=1,IF($A863&lt;VLOOKUP(J$5,NFI,5,0),1,0)*Table_NFI[[#This Row],[Sanitary Kit]],Table_NFI[Sanitary Kit])</f>
        <v>0</v>
      </c>
      <c r="AB863" s="352">
        <f>IF(NFI_Expiration=1,IF($A863&lt;VLOOKUP(K$5,NFI,5,0),1,0)*Table_NFI[[#This Row],[Mosquito net]],Table_NFI[Mosquito net])</f>
        <v>0</v>
      </c>
      <c r="AC863" s="352">
        <f>IF(NFI_Expiration=1,IF($A863&lt;VLOOKUP(L$5,NFI,5,0),1,0)*Table_NFI[[#This Row],[Tarpaulin]],Table_NFI[[#This Row],[Tarpaulin]])</f>
        <v>0</v>
      </c>
      <c r="AD863" s="352">
        <f>IF(NFI_Expiration=1,IF($A863&lt;VLOOKUP(M$5,NFI,5,0),1,0)*Table_NFI[[#This Row],[Blanket]],Table_NFI[[#This Row],[Blanket]])</f>
        <v>0</v>
      </c>
      <c r="AE863" s="352">
        <f>IF(NFI_Expiration=1,IF($A863&lt;VLOOKUP(N$5,NFI,5,0),1,0)*Table_NFI[[#This Row],[Kitchen Set]],Table_NFI[Kitchen Set])</f>
        <v>0</v>
      </c>
      <c r="AF863" s="352">
        <f>IF(NFI_Expiration=1,IF($A863&lt;VLOOKUP(O$5,NFI,5,0),1,0)*Table_NFI[[#This Row],[Clothes Kit]],Table_NFI[Clothes Kit])</f>
        <v>0</v>
      </c>
      <c r="AG863" s="352">
        <f>IF(NFI_Expiration=1,IF($A863&lt;VLOOKUP(P$5,NFI,5,0),1,0)*Table_NFI[[#This Row],[Plastic Bucket]],Table_NFI[Plastic Bucket])</f>
        <v>0</v>
      </c>
      <c r="AH863" s="352">
        <f>IF(NFI_Expiration=1,IF($A863&lt;VLOOKUP(Q$5,NFI,5,0),1,0)*Table_NFI[[#This Row],[Plastic Mat]],Table_NFI[Plastic Mat])*IF(Table_NFI[[#This Row],[Distribution Date]]&gt;"2014-04-01",1,2.5)</f>
        <v>0</v>
      </c>
      <c r="AI863" s="352">
        <f>IF(NFI_Expiration=1,IF($A863&lt;VLOOKUP(R$5,NFI,5,0),1,0)*Table_NFI[[#This Row],[Winter Clothes Adult]],Table_NFI[Winter Clothes Adult])</f>
        <v>0</v>
      </c>
      <c r="AJ863" s="352">
        <f>IF(NFI_Expiration=1,IF($A863&lt;VLOOKUP(S$5,NFI,5,0),1,0)*Table_NFI[[#This Row],[Winter Clothes Children]],Table_NFI[Winter Clothes Children])</f>
        <v>0</v>
      </c>
      <c r="AK863" s="352">
        <f>IF(NFI_Expiration=1,IF($A863&lt;VLOOKUP(T$5,NFI,5,0),1,0)*Table_NFI[[#This Row],[Winter Items Other]],Table_NFI[Winter Items Other])</f>
        <v>0</v>
      </c>
      <c r="AL863" s="352">
        <f>IF(NFI_Expiration=1,IF($A863&lt;VLOOKUP(M$5,NFI,5,0),1,0)*Table_NFI[[#This Row],[Winter Blanket]],Table_NFI[[#This Row],[Winter Blanket]])</f>
        <v>0</v>
      </c>
      <c r="AM863" s="352">
        <f>IF(Table_NFI[[#This Row],[Winter Clothes Adult]]+Table_NFI[[#This Row],[Winter Clothes Children]]+Table_NFI[[#This Row],[Winter Items Other]]+Table_NFI[[#This Row],[Winter Blanket]]&gt;0,1,0)</f>
        <v>0</v>
      </c>
      <c r="AN863" s="392">
        <f>IF(NFI_Expiration=1,IF($A863&lt;VLOOKUP(V$5,NFI,5,0),1,0)*Table_NFI[[#This Row],[Jerry Can]],Table_NFI[Jerry Can])</f>
        <v>0</v>
      </c>
      <c r="AO863" s="540" t="str">
        <f>IFERROR(VLOOKUP(Table_NFI[[#This Row],[Camp Name]],CL,2,0),"")</f>
        <v>MMR001CMP047</v>
      </c>
      <c r="AP863" s="535">
        <f ca="1">IF(Table_NFI[[#This Row],[Pcode]]="","",IF(OFFSET(CampList[Opening Date],MATCH(Table_NFI[[#This Row],[Pcode]],CampList[CP_Pcode],0)-1,0,1,1)&gt;=NFI_Monitor_Date,1,0))</f>
        <v>0</v>
      </c>
      <c r="AQ863" s="540" t="str">
        <f>IFERROR(VLOOKUP(Table_NFI[[#This Row],[Camp Name]],CL,3,0),"")</f>
        <v>Open</v>
      </c>
      <c r="AR863" s="352" t="str">
        <f ca="1">IF(Table_NFI[[#This Row],[Pcode]]="","",OFFSET(CampList[Priority],MATCH(Table_NFI[[#This Row],[Pcode]],CampList[CP_Pcode],0)-1,0,1,1))</f>
        <v>P4</v>
      </c>
      <c r="AS863" s="351">
        <f>IFERROR(Table_NFI[[#This Row],[Kitchen Set]]/VLOOKUP(Table_NFI[[#This Row],[Camp Name]],CL,4,0),"")</f>
        <v>0</v>
      </c>
      <c r="AT863" s="533" t="s">
        <v>1094</v>
      </c>
      <c r="AU863" s="536"/>
    </row>
    <row r="864" spans="1:47" ht="14.45" customHeight="1" x14ac:dyDescent="0.25">
      <c r="A864" s="355">
        <f t="shared" si="13"/>
        <v>50.333333333333336</v>
      </c>
      <c r="B864" s="532">
        <v>41061</v>
      </c>
      <c r="C864" s="533" t="s">
        <v>453</v>
      </c>
      <c r="D864" s="533" t="s">
        <v>453</v>
      </c>
      <c r="E864" s="533" t="s">
        <v>380</v>
      </c>
      <c r="F864" s="348" t="s">
        <v>237</v>
      </c>
      <c r="G864" s="348" t="s">
        <v>263</v>
      </c>
      <c r="H864" s="349"/>
      <c r="I864" s="349"/>
      <c r="J864" s="349"/>
      <c r="K864" s="349">
        <v>22</v>
      </c>
      <c r="L864" s="350">
        <v>11</v>
      </c>
      <c r="M864" s="350">
        <v>22</v>
      </c>
      <c r="N864" s="350">
        <v>11</v>
      </c>
      <c r="O864" s="350">
        <v>11</v>
      </c>
      <c r="P864" s="352">
        <v>11</v>
      </c>
      <c r="Q864" s="352">
        <v>11</v>
      </c>
      <c r="R864" s="352"/>
      <c r="S864" s="352"/>
      <c r="T864" s="352"/>
      <c r="U864" s="352"/>
      <c r="V864" s="497"/>
      <c r="W864" s="352"/>
      <c r="X864" s="352"/>
      <c r="Y864" s="352">
        <f>IF(NFI_Expiration=1,IF($A864&lt;VLOOKUP(H$5,NFI,5,0),1,0)*Table_NFI[[#This Row],[Hygiene Kit]],Table_NFI[Hygiene Kit])</f>
        <v>0</v>
      </c>
      <c r="Z864" s="352">
        <f>IF(NFI_Expiration=1,IF($A864&lt;VLOOKUP(I$5,NFI,5,0),1,0)*Table_NFI[[#This Row],[NFI Core Kit]],Table_NFI[NFI Core Kit])</f>
        <v>0</v>
      </c>
      <c r="AA864" s="352">
        <f>IF(NFI_Expiration=1,IF($A864&lt;VLOOKUP(J$5,NFI,5,0),1,0)*Table_NFI[[#This Row],[Sanitary Kit]],Table_NFI[Sanitary Kit])</f>
        <v>0</v>
      </c>
      <c r="AB864" s="352">
        <f>IF(NFI_Expiration=1,IF($A864&lt;VLOOKUP(K$5,NFI,5,0),1,0)*Table_NFI[[#This Row],[Mosquito net]],Table_NFI[Mosquito net])</f>
        <v>0</v>
      </c>
      <c r="AC864" s="352">
        <f>IF(NFI_Expiration=1,IF($A864&lt;VLOOKUP(L$5,NFI,5,0),1,0)*Table_NFI[[#This Row],[Tarpaulin]],Table_NFI[[#This Row],[Tarpaulin]])</f>
        <v>0</v>
      </c>
      <c r="AD864" s="352">
        <f>IF(NFI_Expiration=1,IF($A864&lt;VLOOKUP(M$5,NFI,5,0),1,0)*Table_NFI[[#This Row],[Blanket]],Table_NFI[[#This Row],[Blanket]])</f>
        <v>0</v>
      </c>
      <c r="AE864" s="352">
        <f>IF(NFI_Expiration=1,IF($A864&lt;VLOOKUP(N$5,NFI,5,0),1,0)*Table_NFI[[#This Row],[Kitchen Set]],Table_NFI[Kitchen Set])</f>
        <v>0</v>
      </c>
      <c r="AF864" s="352">
        <f>IF(NFI_Expiration=1,IF($A864&lt;VLOOKUP(O$5,NFI,5,0),1,0)*Table_NFI[[#This Row],[Clothes Kit]],Table_NFI[Clothes Kit])</f>
        <v>0</v>
      </c>
      <c r="AG864" s="352">
        <f>IF(NFI_Expiration=1,IF($A864&lt;VLOOKUP(P$5,NFI,5,0),1,0)*Table_NFI[[#This Row],[Plastic Bucket]],Table_NFI[Plastic Bucket])</f>
        <v>0</v>
      </c>
      <c r="AH864" s="352">
        <f>IF(NFI_Expiration=1,IF($A864&lt;VLOOKUP(Q$5,NFI,5,0),1,0)*Table_NFI[[#This Row],[Plastic Mat]],Table_NFI[Plastic Mat])*IF(Table_NFI[[#This Row],[Distribution Date]]&gt;"2014-04-01",1,2.5)</f>
        <v>0</v>
      </c>
      <c r="AI864" s="352">
        <f>IF(NFI_Expiration=1,IF($A864&lt;VLOOKUP(R$5,NFI,5,0),1,0)*Table_NFI[[#This Row],[Winter Clothes Adult]],Table_NFI[Winter Clothes Adult])</f>
        <v>0</v>
      </c>
      <c r="AJ864" s="352">
        <f>IF(NFI_Expiration=1,IF($A864&lt;VLOOKUP(S$5,NFI,5,0),1,0)*Table_NFI[[#This Row],[Winter Clothes Children]],Table_NFI[Winter Clothes Children])</f>
        <v>0</v>
      </c>
      <c r="AK864" s="352">
        <f>IF(NFI_Expiration=1,IF($A864&lt;VLOOKUP(T$5,NFI,5,0),1,0)*Table_NFI[[#This Row],[Winter Items Other]],Table_NFI[Winter Items Other])</f>
        <v>0</v>
      </c>
      <c r="AL864" s="352">
        <f>IF(NFI_Expiration=1,IF($A864&lt;VLOOKUP(M$5,NFI,5,0),1,0)*Table_NFI[[#This Row],[Winter Blanket]],Table_NFI[[#This Row],[Winter Blanket]])</f>
        <v>0</v>
      </c>
      <c r="AM864" s="352">
        <f>IF(Table_NFI[[#This Row],[Winter Clothes Adult]]+Table_NFI[[#This Row],[Winter Clothes Children]]+Table_NFI[[#This Row],[Winter Items Other]]+Table_NFI[[#This Row],[Winter Blanket]]&gt;0,1,0)</f>
        <v>0</v>
      </c>
      <c r="AN864" s="392">
        <f>IF(NFI_Expiration=1,IF($A864&lt;VLOOKUP(V$5,NFI,5,0),1,0)*Table_NFI[[#This Row],[Jerry Can]],Table_NFI[Jerry Can])</f>
        <v>0</v>
      </c>
      <c r="AO864" s="540" t="str">
        <f>IFERROR(VLOOKUP(Table_NFI[[#This Row],[Camp Name]],CL,2,0),"")</f>
        <v>MMR001CMP020</v>
      </c>
      <c r="AP864" s="535">
        <f ca="1">IF(Table_NFI[[#This Row],[Pcode]]="","",IF(OFFSET(CampList[Opening Date],MATCH(Table_NFI[[#This Row],[Pcode]],CampList[CP_Pcode],0)-1,0,1,1)&gt;=NFI_Monitor_Date,1,0))</f>
        <v>0</v>
      </c>
      <c r="AQ864" s="540" t="str">
        <f>IFERROR(VLOOKUP(Table_NFI[[#This Row],[Camp Name]],CL,3,0),"")</f>
        <v>Open</v>
      </c>
      <c r="AR864" s="352" t="str">
        <f ca="1">IF(Table_NFI[[#This Row],[Pcode]]="","",OFFSET(CampList[Priority],MATCH(Table_NFI[[#This Row],[Pcode]],CampList[CP_Pcode],0)-1,0,1,1))</f>
        <v>P4</v>
      </c>
      <c r="AS864" s="351">
        <f>IFERROR(Table_NFI[[#This Row],[Kitchen Set]]/VLOOKUP(Table_NFI[[#This Row],[Camp Name]],CL,4,0),"")</f>
        <v>0.52380952380952384</v>
      </c>
      <c r="AT864" s="533" t="s">
        <v>1094</v>
      </c>
      <c r="AU864" s="536"/>
    </row>
    <row r="865" spans="1:47" ht="14.45" customHeight="1" x14ac:dyDescent="0.25">
      <c r="A865" s="355">
        <f t="shared" si="13"/>
        <v>50.333333333333336</v>
      </c>
      <c r="B865" s="532">
        <v>41061</v>
      </c>
      <c r="C865" s="533" t="s">
        <v>453</v>
      </c>
      <c r="D865" s="533" t="s">
        <v>453</v>
      </c>
      <c r="E865" s="533" t="s">
        <v>380</v>
      </c>
      <c r="F865" s="348" t="s">
        <v>237</v>
      </c>
      <c r="G865" s="348" t="s">
        <v>265</v>
      </c>
      <c r="H865" s="349"/>
      <c r="I865" s="349"/>
      <c r="J865" s="349"/>
      <c r="K865" s="349">
        <v>35</v>
      </c>
      <c r="L865" s="350">
        <v>17</v>
      </c>
      <c r="M865" s="350">
        <v>35</v>
      </c>
      <c r="N865" s="350">
        <v>17</v>
      </c>
      <c r="O865" s="350">
        <v>17</v>
      </c>
      <c r="P865" s="352">
        <v>17</v>
      </c>
      <c r="Q865" s="352">
        <v>17</v>
      </c>
      <c r="R865" s="352"/>
      <c r="S865" s="352"/>
      <c r="T865" s="352"/>
      <c r="U865" s="352"/>
      <c r="V865" s="497"/>
      <c r="W865" s="352"/>
      <c r="X865" s="352"/>
      <c r="Y865" s="352">
        <f>IF(NFI_Expiration=1,IF($A865&lt;VLOOKUP(H$5,NFI,5,0),1,0)*Table_NFI[[#This Row],[Hygiene Kit]],Table_NFI[Hygiene Kit])</f>
        <v>0</v>
      </c>
      <c r="Z865" s="352">
        <f>IF(NFI_Expiration=1,IF($A865&lt;VLOOKUP(I$5,NFI,5,0),1,0)*Table_NFI[[#This Row],[NFI Core Kit]],Table_NFI[NFI Core Kit])</f>
        <v>0</v>
      </c>
      <c r="AA865" s="352">
        <f>IF(NFI_Expiration=1,IF($A865&lt;VLOOKUP(J$5,NFI,5,0),1,0)*Table_NFI[[#This Row],[Sanitary Kit]],Table_NFI[Sanitary Kit])</f>
        <v>0</v>
      </c>
      <c r="AB865" s="352">
        <f>IF(NFI_Expiration=1,IF($A865&lt;VLOOKUP(K$5,NFI,5,0),1,0)*Table_NFI[[#This Row],[Mosquito net]],Table_NFI[Mosquito net])</f>
        <v>0</v>
      </c>
      <c r="AC865" s="352">
        <f>IF(NFI_Expiration=1,IF($A865&lt;VLOOKUP(L$5,NFI,5,0),1,0)*Table_NFI[[#This Row],[Tarpaulin]],Table_NFI[[#This Row],[Tarpaulin]])</f>
        <v>0</v>
      </c>
      <c r="AD865" s="352">
        <f>IF(NFI_Expiration=1,IF($A865&lt;VLOOKUP(M$5,NFI,5,0),1,0)*Table_NFI[[#This Row],[Blanket]],Table_NFI[[#This Row],[Blanket]])</f>
        <v>0</v>
      </c>
      <c r="AE865" s="352">
        <f>IF(NFI_Expiration=1,IF($A865&lt;VLOOKUP(N$5,NFI,5,0),1,0)*Table_NFI[[#This Row],[Kitchen Set]],Table_NFI[Kitchen Set])</f>
        <v>0</v>
      </c>
      <c r="AF865" s="352">
        <f>IF(NFI_Expiration=1,IF($A865&lt;VLOOKUP(O$5,NFI,5,0),1,0)*Table_NFI[[#This Row],[Clothes Kit]],Table_NFI[Clothes Kit])</f>
        <v>0</v>
      </c>
      <c r="AG865" s="352">
        <f>IF(NFI_Expiration=1,IF($A865&lt;VLOOKUP(P$5,NFI,5,0),1,0)*Table_NFI[[#This Row],[Plastic Bucket]],Table_NFI[Plastic Bucket])</f>
        <v>0</v>
      </c>
      <c r="AH865" s="352">
        <f>IF(NFI_Expiration=1,IF($A865&lt;VLOOKUP(Q$5,NFI,5,0),1,0)*Table_NFI[[#This Row],[Plastic Mat]],Table_NFI[Plastic Mat])*IF(Table_NFI[[#This Row],[Distribution Date]]&gt;"2014-04-01",1,2.5)</f>
        <v>0</v>
      </c>
      <c r="AI865" s="352">
        <f>IF(NFI_Expiration=1,IF($A865&lt;VLOOKUP(R$5,NFI,5,0),1,0)*Table_NFI[[#This Row],[Winter Clothes Adult]],Table_NFI[Winter Clothes Adult])</f>
        <v>0</v>
      </c>
      <c r="AJ865" s="352">
        <f>IF(NFI_Expiration=1,IF($A865&lt;VLOOKUP(S$5,NFI,5,0),1,0)*Table_NFI[[#This Row],[Winter Clothes Children]],Table_NFI[Winter Clothes Children])</f>
        <v>0</v>
      </c>
      <c r="AK865" s="352">
        <f>IF(NFI_Expiration=1,IF($A865&lt;VLOOKUP(T$5,NFI,5,0),1,0)*Table_NFI[[#This Row],[Winter Items Other]],Table_NFI[Winter Items Other])</f>
        <v>0</v>
      </c>
      <c r="AL865" s="352">
        <f>IF(NFI_Expiration=1,IF($A865&lt;VLOOKUP(M$5,NFI,5,0),1,0)*Table_NFI[[#This Row],[Winter Blanket]],Table_NFI[[#This Row],[Winter Blanket]])</f>
        <v>0</v>
      </c>
      <c r="AM865" s="352">
        <f>IF(Table_NFI[[#This Row],[Winter Clothes Adult]]+Table_NFI[[#This Row],[Winter Clothes Children]]+Table_NFI[[#This Row],[Winter Items Other]]+Table_NFI[[#This Row],[Winter Blanket]]&gt;0,1,0)</f>
        <v>0</v>
      </c>
      <c r="AN865" s="392">
        <f>IF(NFI_Expiration=1,IF($A865&lt;VLOOKUP(V$5,NFI,5,0),1,0)*Table_NFI[[#This Row],[Jerry Can]],Table_NFI[Jerry Can])</f>
        <v>0</v>
      </c>
      <c r="AO865" s="540" t="str">
        <f>IFERROR(VLOOKUP(Table_NFI[[#This Row],[Camp Name]],CL,2,0),"")</f>
        <v>MMR001CMP021</v>
      </c>
      <c r="AP865" s="535">
        <f ca="1">IF(Table_NFI[[#This Row],[Pcode]]="","",IF(OFFSET(CampList[Opening Date],MATCH(Table_NFI[[#This Row],[Pcode]],CampList[CP_Pcode],0)-1,0,1,1)&gt;=NFI_Monitor_Date,1,0))</f>
        <v>0</v>
      </c>
      <c r="AQ865" s="540" t="str">
        <f>IFERROR(VLOOKUP(Table_NFI[[#This Row],[Camp Name]],CL,3,0),"")</f>
        <v>Open</v>
      </c>
      <c r="AR865" s="352" t="str">
        <f ca="1">IF(Table_NFI[[#This Row],[Pcode]]="","",OFFSET(CampList[Priority],MATCH(Table_NFI[[#This Row],[Pcode]],CampList[CP_Pcode],0)-1,0,1,1))</f>
        <v>P4</v>
      </c>
      <c r="AS865" s="351">
        <f>IFERROR(Table_NFI[[#This Row],[Kitchen Set]]/VLOOKUP(Table_NFI[[#This Row],[Camp Name]],CL,4,0),"")</f>
        <v>1.2142857142857142</v>
      </c>
      <c r="AT865" s="533" t="s">
        <v>1094</v>
      </c>
      <c r="AU865" s="536"/>
    </row>
    <row r="866" spans="1:47" ht="14.45" customHeight="1" x14ac:dyDescent="0.25">
      <c r="A866" s="355">
        <f t="shared" si="13"/>
        <v>50.366666666666667</v>
      </c>
      <c r="B866" s="532">
        <v>41060</v>
      </c>
      <c r="C866" s="533" t="s">
        <v>453</v>
      </c>
      <c r="D866" s="533" t="s">
        <v>461</v>
      </c>
      <c r="E866" s="533" t="s">
        <v>380</v>
      </c>
      <c r="F866" s="348" t="s">
        <v>5</v>
      </c>
      <c r="G866" s="348" t="s">
        <v>22</v>
      </c>
      <c r="H866" s="349"/>
      <c r="I866" s="349"/>
      <c r="J866" s="349"/>
      <c r="K866" s="349">
        <v>0</v>
      </c>
      <c r="L866" s="350">
        <v>20</v>
      </c>
      <c r="M866" s="350">
        <v>0</v>
      </c>
      <c r="N866" s="350">
        <v>0</v>
      </c>
      <c r="O866" s="350">
        <v>0</v>
      </c>
      <c r="P866" s="352"/>
      <c r="Q866" s="352"/>
      <c r="R866" s="352"/>
      <c r="S866" s="352"/>
      <c r="T866" s="352"/>
      <c r="U866" s="352"/>
      <c r="V866" s="497"/>
      <c r="W866" s="352"/>
      <c r="X866" s="352"/>
      <c r="Y866" s="352">
        <f>IF(NFI_Expiration=1,IF($A866&lt;VLOOKUP(H$5,NFI,5,0),1,0)*Table_NFI[[#This Row],[Hygiene Kit]],Table_NFI[Hygiene Kit])</f>
        <v>0</v>
      </c>
      <c r="Z866" s="352">
        <f>IF(NFI_Expiration=1,IF($A866&lt;VLOOKUP(I$5,NFI,5,0),1,0)*Table_NFI[[#This Row],[NFI Core Kit]],Table_NFI[NFI Core Kit])</f>
        <v>0</v>
      </c>
      <c r="AA866" s="352">
        <f>IF(NFI_Expiration=1,IF($A866&lt;VLOOKUP(J$5,NFI,5,0),1,0)*Table_NFI[[#This Row],[Sanitary Kit]],Table_NFI[Sanitary Kit])</f>
        <v>0</v>
      </c>
      <c r="AB866" s="352">
        <f>IF(NFI_Expiration=1,IF($A866&lt;VLOOKUP(K$5,NFI,5,0),1,0)*Table_NFI[[#This Row],[Mosquito net]],Table_NFI[Mosquito net])</f>
        <v>0</v>
      </c>
      <c r="AC866" s="352">
        <f>IF(NFI_Expiration=1,IF($A866&lt;VLOOKUP(L$5,NFI,5,0),1,0)*Table_NFI[[#This Row],[Tarpaulin]],Table_NFI[[#This Row],[Tarpaulin]])</f>
        <v>0</v>
      </c>
      <c r="AD866" s="352">
        <f>IF(NFI_Expiration=1,IF($A866&lt;VLOOKUP(M$5,NFI,5,0),1,0)*Table_NFI[[#This Row],[Blanket]],Table_NFI[[#This Row],[Blanket]])</f>
        <v>0</v>
      </c>
      <c r="AE866" s="352">
        <f>IF(NFI_Expiration=1,IF($A866&lt;VLOOKUP(N$5,NFI,5,0),1,0)*Table_NFI[[#This Row],[Kitchen Set]],Table_NFI[Kitchen Set])</f>
        <v>0</v>
      </c>
      <c r="AF866" s="352">
        <f>IF(NFI_Expiration=1,IF($A866&lt;VLOOKUP(O$5,NFI,5,0),1,0)*Table_NFI[[#This Row],[Clothes Kit]],Table_NFI[Clothes Kit])</f>
        <v>0</v>
      </c>
      <c r="AG866" s="352">
        <f>IF(NFI_Expiration=1,IF($A866&lt;VLOOKUP(P$5,NFI,5,0),1,0)*Table_NFI[[#This Row],[Plastic Bucket]],Table_NFI[Plastic Bucket])</f>
        <v>0</v>
      </c>
      <c r="AH866" s="352">
        <f>IF(NFI_Expiration=1,IF($A866&lt;VLOOKUP(Q$5,NFI,5,0),1,0)*Table_NFI[[#This Row],[Plastic Mat]],Table_NFI[Plastic Mat])*IF(Table_NFI[[#This Row],[Distribution Date]]&gt;"2014-04-01",1,2.5)</f>
        <v>0</v>
      </c>
      <c r="AI866" s="352">
        <f>IF(NFI_Expiration=1,IF($A866&lt;VLOOKUP(R$5,NFI,5,0),1,0)*Table_NFI[[#This Row],[Winter Clothes Adult]],Table_NFI[Winter Clothes Adult])</f>
        <v>0</v>
      </c>
      <c r="AJ866" s="352">
        <f>IF(NFI_Expiration=1,IF($A866&lt;VLOOKUP(S$5,NFI,5,0),1,0)*Table_NFI[[#This Row],[Winter Clothes Children]],Table_NFI[Winter Clothes Children])</f>
        <v>0</v>
      </c>
      <c r="AK866" s="352">
        <f>IF(NFI_Expiration=1,IF($A866&lt;VLOOKUP(T$5,NFI,5,0),1,0)*Table_NFI[[#This Row],[Winter Items Other]],Table_NFI[Winter Items Other])</f>
        <v>0</v>
      </c>
      <c r="AL866" s="352">
        <f>IF(NFI_Expiration=1,IF($A866&lt;VLOOKUP(M$5,NFI,5,0),1,0)*Table_NFI[[#This Row],[Winter Blanket]],Table_NFI[[#This Row],[Winter Blanket]])</f>
        <v>0</v>
      </c>
      <c r="AM866" s="352">
        <f>IF(Table_NFI[[#This Row],[Winter Clothes Adult]]+Table_NFI[[#This Row],[Winter Clothes Children]]+Table_NFI[[#This Row],[Winter Items Other]]+Table_NFI[[#This Row],[Winter Blanket]]&gt;0,1,0)</f>
        <v>0</v>
      </c>
      <c r="AN866" s="392">
        <f>IF(NFI_Expiration=1,IF($A866&lt;VLOOKUP(V$5,NFI,5,0),1,0)*Table_NFI[[#This Row],[Jerry Can]],Table_NFI[Jerry Can])</f>
        <v>0</v>
      </c>
      <c r="AO866" s="540" t="str">
        <f>IFERROR(VLOOKUP(Table_NFI[[#This Row],[Camp Name]],CL,2,0),"")</f>
        <v>MMR001CMP047</v>
      </c>
      <c r="AP866" s="535">
        <f ca="1">IF(Table_NFI[[#This Row],[Pcode]]="","",IF(OFFSET(CampList[Opening Date],MATCH(Table_NFI[[#This Row],[Pcode]],CampList[CP_Pcode],0)-1,0,1,1)&gt;=NFI_Monitor_Date,1,0))</f>
        <v>0</v>
      </c>
      <c r="AQ866" s="540" t="str">
        <f>IFERROR(VLOOKUP(Table_NFI[[#This Row],[Camp Name]],CL,3,0),"")</f>
        <v>Open</v>
      </c>
      <c r="AR866" s="352" t="str">
        <f ca="1">IF(Table_NFI[[#This Row],[Pcode]]="","",OFFSET(CampList[Priority],MATCH(Table_NFI[[#This Row],[Pcode]],CampList[CP_Pcode],0)-1,0,1,1))</f>
        <v>P4</v>
      </c>
      <c r="AS866" s="351">
        <f>IFERROR(Table_NFI[[#This Row],[Kitchen Set]]/VLOOKUP(Table_NFI[[#This Row],[Camp Name]],CL,4,0),"")</f>
        <v>0</v>
      </c>
      <c r="AT866" s="533" t="s">
        <v>1094</v>
      </c>
      <c r="AU866" s="536"/>
    </row>
    <row r="867" spans="1:47" ht="14.45" customHeight="1" x14ac:dyDescent="0.25">
      <c r="A867" s="355">
        <f t="shared" si="13"/>
        <v>50.466666666666669</v>
      </c>
      <c r="B867" s="532">
        <v>41057</v>
      </c>
      <c r="C867" s="533" t="s">
        <v>453</v>
      </c>
      <c r="D867" s="533" t="s">
        <v>453</v>
      </c>
      <c r="E867" s="533" t="s">
        <v>380</v>
      </c>
      <c r="F867" s="348" t="s">
        <v>310</v>
      </c>
      <c r="G867" s="348" t="s">
        <v>338</v>
      </c>
      <c r="H867" s="349"/>
      <c r="I867" s="349"/>
      <c r="J867" s="349"/>
      <c r="K867" s="349">
        <v>0</v>
      </c>
      <c r="L867" s="350">
        <v>11</v>
      </c>
      <c r="M867" s="350">
        <v>0</v>
      </c>
      <c r="N867" s="350">
        <v>0</v>
      </c>
      <c r="O867" s="350">
        <v>0</v>
      </c>
      <c r="P867" s="352"/>
      <c r="Q867" s="352"/>
      <c r="R867" s="352"/>
      <c r="S867" s="352"/>
      <c r="T867" s="352"/>
      <c r="U867" s="352"/>
      <c r="V867" s="497"/>
      <c r="W867" s="352"/>
      <c r="X867" s="352"/>
      <c r="Y867" s="352">
        <f>IF(NFI_Expiration=1,IF($A867&lt;VLOOKUP(H$5,NFI,5,0),1,0)*Table_NFI[[#This Row],[Hygiene Kit]],Table_NFI[Hygiene Kit])</f>
        <v>0</v>
      </c>
      <c r="Z867" s="352">
        <f>IF(NFI_Expiration=1,IF($A867&lt;VLOOKUP(I$5,NFI,5,0),1,0)*Table_NFI[[#This Row],[NFI Core Kit]],Table_NFI[NFI Core Kit])</f>
        <v>0</v>
      </c>
      <c r="AA867" s="352">
        <f>IF(NFI_Expiration=1,IF($A867&lt;VLOOKUP(J$5,NFI,5,0),1,0)*Table_NFI[[#This Row],[Sanitary Kit]],Table_NFI[Sanitary Kit])</f>
        <v>0</v>
      </c>
      <c r="AB867" s="352">
        <f>IF(NFI_Expiration=1,IF($A867&lt;VLOOKUP(K$5,NFI,5,0),1,0)*Table_NFI[[#This Row],[Mosquito net]],Table_NFI[Mosquito net])</f>
        <v>0</v>
      </c>
      <c r="AC867" s="352">
        <f>IF(NFI_Expiration=1,IF($A867&lt;VLOOKUP(L$5,NFI,5,0),1,0)*Table_NFI[[#This Row],[Tarpaulin]],Table_NFI[[#This Row],[Tarpaulin]])</f>
        <v>0</v>
      </c>
      <c r="AD867" s="352">
        <f>IF(NFI_Expiration=1,IF($A867&lt;VLOOKUP(M$5,NFI,5,0),1,0)*Table_NFI[[#This Row],[Blanket]],Table_NFI[[#This Row],[Blanket]])</f>
        <v>0</v>
      </c>
      <c r="AE867" s="352">
        <f>IF(NFI_Expiration=1,IF($A867&lt;VLOOKUP(N$5,NFI,5,0),1,0)*Table_NFI[[#This Row],[Kitchen Set]],Table_NFI[Kitchen Set])</f>
        <v>0</v>
      </c>
      <c r="AF867" s="352">
        <f>IF(NFI_Expiration=1,IF($A867&lt;VLOOKUP(O$5,NFI,5,0),1,0)*Table_NFI[[#This Row],[Clothes Kit]],Table_NFI[Clothes Kit])</f>
        <v>0</v>
      </c>
      <c r="AG867" s="352">
        <f>IF(NFI_Expiration=1,IF($A867&lt;VLOOKUP(P$5,NFI,5,0),1,0)*Table_NFI[[#This Row],[Plastic Bucket]],Table_NFI[Plastic Bucket])</f>
        <v>0</v>
      </c>
      <c r="AH867" s="352">
        <f>IF(NFI_Expiration=1,IF($A867&lt;VLOOKUP(Q$5,NFI,5,0),1,0)*Table_NFI[[#This Row],[Plastic Mat]],Table_NFI[Plastic Mat])*IF(Table_NFI[[#This Row],[Distribution Date]]&gt;"2014-04-01",1,2.5)</f>
        <v>0</v>
      </c>
      <c r="AI867" s="352">
        <f>IF(NFI_Expiration=1,IF($A867&lt;VLOOKUP(R$5,NFI,5,0),1,0)*Table_NFI[[#This Row],[Winter Clothes Adult]],Table_NFI[Winter Clothes Adult])</f>
        <v>0</v>
      </c>
      <c r="AJ867" s="352">
        <f>IF(NFI_Expiration=1,IF($A867&lt;VLOOKUP(S$5,NFI,5,0),1,0)*Table_NFI[[#This Row],[Winter Clothes Children]],Table_NFI[Winter Clothes Children])</f>
        <v>0</v>
      </c>
      <c r="AK867" s="352">
        <f>IF(NFI_Expiration=1,IF($A867&lt;VLOOKUP(T$5,NFI,5,0),1,0)*Table_NFI[[#This Row],[Winter Items Other]],Table_NFI[Winter Items Other])</f>
        <v>0</v>
      </c>
      <c r="AL867" s="352">
        <f>IF(NFI_Expiration=1,IF($A867&lt;VLOOKUP(M$5,NFI,5,0),1,0)*Table_NFI[[#This Row],[Winter Blanket]],Table_NFI[[#This Row],[Winter Blanket]])</f>
        <v>0</v>
      </c>
      <c r="AM867" s="352">
        <f>IF(Table_NFI[[#This Row],[Winter Clothes Adult]]+Table_NFI[[#This Row],[Winter Clothes Children]]+Table_NFI[[#This Row],[Winter Items Other]]+Table_NFI[[#This Row],[Winter Blanket]]&gt;0,1,0)</f>
        <v>0</v>
      </c>
      <c r="AN867" s="392">
        <f>IF(NFI_Expiration=1,IF($A867&lt;VLOOKUP(V$5,NFI,5,0),1,0)*Table_NFI[[#This Row],[Jerry Can]],Table_NFI[Jerry Can])</f>
        <v>0</v>
      </c>
      <c r="AO867" s="540" t="str">
        <f>IFERROR(VLOOKUP(Table_NFI[[#This Row],[Camp Name]],CL,2,0),"")</f>
        <v>MMR001CMP030</v>
      </c>
      <c r="AP867" s="535">
        <f ca="1">IF(Table_NFI[[#This Row],[Pcode]]="","",IF(OFFSET(CampList[Opening Date],MATCH(Table_NFI[[#This Row],[Pcode]],CampList[CP_Pcode],0)-1,0,1,1)&gt;=NFI_Monitor_Date,1,0))</f>
        <v>0</v>
      </c>
      <c r="AQ867" s="540" t="str">
        <f>IFERROR(VLOOKUP(Table_NFI[[#This Row],[Camp Name]],CL,3,0),"")</f>
        <v>Open</v>
      </c>
      <c r="AR867" s="352" t="str">
        <f ca="1">IF(Table_NFI[[#This Row],[Pcode]]="","",OFFSET(CampList[Priority],MATCH(Table_NFI[[#This Row],[Pcode]],CampList[CP_Pcode],0)-1,0,1,1))</f>
        <v>P4</v>
      </c>
      <c r="AS867" s="351">
        <f>IFERROR(Table_NFI[[#This Row],[Kitchen Set]]/VLOOKUP(Table_NFI[[#This Row],[Camp Name]],CL,4,0),"")</f>
        <v>0</v>
      </c>
      <c r="AT867" s="533" t="s">
        <v>1094</v>
      </c>
      <c r="AU867" s="536"/>
    </row>
    <row r="868" spans="1:47" ht="14.45" customHeight="1" x14ac:dyDescent="0.25">
      <c r="A868" s="355">
        <f t="shared" si="13"/>
        <v>50.533333333333331</v>
      </c>
      <c r="B868" s="532">
        <v>41055</v>
      </c>
      <c r="C868" s="533" t="s">
        <v>453</v>
      </c>
      <c r="D868" s="534" t="s">
        <v>461</v>
      </c>
      <c r="E868" s="533" t="s">
        <v>380</v>
      </c>
      <c r="F868" s="348" t="s">
        <v>302</v>
      </c>
      <c r="G868" s="348" t="s">
        <v>304</v>
      </c>
      <c r="H868" s="349"/>
      <c r="I868" s="349"/>
      <c r="J868" s="349"/>
      <c r="K868" s="349">
        <v>200</v>
      </c>
      <c r="L868" s="350">
        <v>200</v>
      </c>
      <c r="M868" s="350">
        <v>0</v>
      </c>
      <c r="N868" s="350">
        <v>0</v>
      </c>
      <c r="O868" s="350">
        <v>0</v>
      </c>
      <c r="P868" s="352"/>
      <c r="Q868" s="352"/>
      <c r="R868" s="352"/>
      <c r="S868" s="352"/>
      <c r="T868" s="352"/>
      <c r="U868" s="352"/>
      <c r="V868" s="497"/>
      <c r="W868" s="352"/>
      <c r="X868" s="352"/>
      <c r="Y868" s="352">
        <f>IF(NFI_Expiration=1,IF($A868&lt;VLOOKUP(H$5,NFI,5,0),1,0)*Table_NFI[[#This Row],[Hygiene Kit]],Table_NFI[Hygiene Kit])</f>
        <v>0</v>
      </c>
      <c r="Z868" s="352">
        <f>IF(NFI_Expiration=1,IF($A868&lt;VLOOKUP(I$5,NFI,5,0),1,0)*Table_NFI[[#This Row],[NFI Core Kit]],Table_NFI[NFI Core Kit])</f>
        <v>0</v>
      </c>
      <c r="AA868" s="352">
        <f>IF(NFI_Expiration=1,IF($A868&lt;VLOOKUP(J$5,NFI,5,0),1,0)*Table_NFI[[#This Row],[Sanitary Kit]],Table_NFI[Sanitary Kit])</f>
        <v>0</v>
      </c>
      <c r="AB868" s="352">
        <f>IF(NFI_Expiration=1,IF($A868&lt;VLOOKUP(K$5,NFI,5,0),1,0)*Table_NFI[[#This Row],[Mosquito net]],Table_NFI[Mosquito net])</f>
        <v>0</v>
      </c>
      <c r="AC868" s="352">
        <f>IF(NFI_Expiration=1,IF($A868&lt;VLOOKUP(L$5,NFI,5,0),1,0)*Table_NFI[[#This Row],[Tarpaulin]],Table_NFI[[#This Row],[Tarpaulin]])</f>
        <v>0</v>
      </c>
      <c r="AD868" s="352">
        <f>IF(NFI_Expiration=1,IF($A868&lt;VLOOKUP(M$5,NFI,5,0),1,0)*Table_NFI[[#This Row],[Blanket]],Table_NFI[[#This Row],[Blanket]])</f>
        <v>0</v>
      </c>
      <c r="AE868" s="352">
        <f>IF(NFI_Expiration=1,IF($A868&lt;VLOOKUP(N$5,NFI,5,0),1,0)*Table_NFI[[#This Row],[Kitchen Set]],Table_NFI[Kitchen Set])</f>
        <v>0</v>
      </c>
      <c r="AF868" s="352">
        <f>IF(NFI_Expiration=1,IF($A868&lt;VLOOKUP(O$5,NFI,5,0),1,0)*Table_NFI[[#This Row],[Clothes Kit]],Table_NFI[Clothes Kit])</f>
        <v>0</v>
      </c>
      <c r="AG868" s="352">
        <f>IF(NFI_Expiration=1,IF($A868&lt;VLOOKUP(P$5,NFI,5,0),1,0)*Table_NFI[[#This Row],[Plastic Bucket]],Table_NFI[Plastic Bucket])</f>
        <v>0</v>
      </c>
      <c r="AH868" s="352">
        <f>IF(NFI_Expiration=1,IF($A868&lt;VLOOKUP(Q$5,NFI,5,0),1,0)*Table_NFI[[#This Row],[Plastic Mat]],Table_NFI[Plastic Mat])*IF(Table_NFI[[#This Row],[Distribution Date]]&gt;"2014-04-01",1,2.5)</f>
        <v>0</v>
      </c>
      <c r="AI868" s="352">
        <f>IF(NFI_Expiration=1,IF($A868&lt;VLOOKUP(R$5,NFI,5,0),1,0)*Table_NFI[[#This Row],[Winter Clothes Adult]],Table_NFI[Winter Clothes Adult])</f>
        <v>0</v>
      </c>
      <c r="AJ868" s="352">
        <f>IF(NFI_Expiration=1,IF($A868&lt;VLOOKUP(S$5,NFI,5,0),1,0)*Table_NFI[[#This Row],[Winter Clothes Children]],Table_NFI[Winter Clothes Children])</f>
        <v>0</v>
      </c>
      <c r="AK868" s="352">
        <f>IF(NFI_Expiration=1,IF($A868&lt;VLOOKUP(T$5,NFI,5,0),1,0)*Table_NFI[[#This Row],[Winter Items Other]],Table_NFI[Winter Items Other])</f>
        <v>0</v>
      </c>
      <c r="AL868" s="352">
        <f>IF(NFI_Expiration=1,IF($A868&lt;VLOOKUP(M$5,NFI,5,0),1,0)*Table_NFI[[#This Row],[Winter Blanket]],Table_NFI[[#This Row],[Winter Blanket]])</f>
        <v>0</v>
      </c>
      <c r="AM868" s="352">
        <f>IF(Table_NFI[[#This Row],[Winter Clothes Adult]]+Table_NFI[[#This Row],[Winter Clothes Children]]+Table_NFI[[#This Row],[Winter Items Other]]+Table_NFI[[#This Row],[Winter Blanket]]&gt;0,1,0)</f>
        <v>0</v>
      </c>
      <c r="AN868" s="392">
        <f>IF(NFI_Expiration=1,IF($A868&lt;VLOOKUP(V$5,NFI,5,0),1,0)*Table_NFI[[#This Row],[Jerry Can]],Table_NFI[Jerry Can])</f>
        <v>0</v>
      </c>
      <c r="AO868" s="540" t="str">
        <f>IFERROR(VLOOKUP(Table_NFI[[#This Row],[Camp Name]],CL,2,0),"")</f>
        <v>MMR001CMP147</v>
      </c>
      <c r="AP868" s="535">
        <f ca="1">IF(Table_NFI[[#This Row],[Pcode]]="","",IF(OFFSET(CampList[Opening Date],MATCH(Table_NFI[[#This Row],[Pcode]],CampList[CP_Pcode],0)-1,0,1,1)&gt;=NFI_Monitor_Date,1,0))</f>
        <v>1</v>
      </c>
      <c r="AQ868" s="540" t="str">
        <f>IFERROR(VLOOKUP(Table_NFI[[#This Row],[Camp Name]],CL,3,0),"")</f>
        <v>Open</v>
      </c>
      <c r="AR868" s="352" t="str">
        <f ca="1">IF(Table_NFI[[#This Row],[Pcode]]="","",OFFSET(CampList[Priority],MATCH(Table_NFI[[#This Row],[Pcode]],CampList[CP_Pcode],0)-1,0,1,1))</f>
        <v>P4</v>
      </c>
      <c r="AS868" s="351">
        <f>IFERROR(Table_NFI[[#This Row],[Kitchen Set]]/VLOOKUP(Table_NFI[[#This Row],[Camp Name]],CL,4,0),"")</f>
        <v>0</v>
      </c>
      <c r="AT868" s="533" t="s">
        <v>1094</v>
      </c>
      <c r="AU868" s="536"/>
    </row>
    <row r="869" spans="1:47" ht="14.45" hidden="1" customHeight="1" x14ac:dyDescent="0.25">
      <c r="A869" s="355">
        <f t="shared" si="13"/>
        <v>18.466666666666665</v>
      </c>
      <c r="B869" s="532">
        <v>42017</v>
      </c>
      <c r="C869" s="533" t="s">
        <v>1096</v>
      </c>
      <c r="D869" s="533" t="s">
        <v>902</v>
      </c>
      <c r="E869" s="533" t="s">
        <v>380</v>
      </c>
      <c r="F869" s="533" t="s">
        <v>528</v>
      </c>
      <c r="G869" s="533" t="s">
        <v>124</v>
      </c>
      <c r="H869" s="349"/>
      <c r="I869" s="352"/>
      <c r="J869" s="352"/>
      <c r="K869" s="352"/>
      <c r="L869" s="350"/>
      <c r="M869" s="350"/>
      <c r="N869" s="350"/>
      <c r="O869" s="350"/>
      <c r="P869" s="352"/>
      <c r="Q869" s="352"/>
      <c r="R869" s="352">
        <v>34</v>
      </c>
      <c r="S869" s="352">
        <v>9</v>
      </c>
      <c r="T869" s="352"/>
      <c r="U869" s="352"/>
      <c r="V869" s="497"/>
      <c r="W869" s="352"/>
      <c r="X869" s="352"/>
      <c r="Y869" s="352">
        <f>IF(NFI_Expiration=1,IF($A869&lt;VLOOKUP(H$5,NFI,5,0),1,0)*Table_NFI[[#This Row],[Hygiene Kit]],Table_NFI[Hygiene Kit])</f>
        <v>0</v>
      </c>
      <c r="Z869" s="352">
        <f>IF(NFI_Expiration=1,IF($A869&lt;VLOOKUP(I$5,NFI,5,0),1,0)*Table_NFI[[#This Row],[NFI Core Kit]],Table_NFI[NFI Core Kit])</f>
        <v>0</v>
      </c>
      <c r="AA869" s="352">
        <f>IF(NFI_Expiration=1,IF($A869&lt;VLOOKUP(J$5,NFI,5,0),1,0)*Table_NFI[[#This Row],[Sanitary Kit]],Table_NFI[Sanitary Kit])</f>
        <v>0</v>
      </c>
      <c r="AB869" s="352">
        <f>IF(NFI_Expiration=1,IF($A869&lt;VLOOKUP(K$5,NFI,5,0),1,0)*Table_NFI[[#This Row],[Mosquito net]],Table_NFI[Mosquito net])</f>
        <v>0</v>
      </c>
      <c r="AC869" s="352">
        <f>IF(NFI_Expiration=1,IF($A869&lt;VLOOKUP(L$5,NFI,5,0),1,0)*Table_NFI[[#This Row],[Tarpaulin]],Table_NFI[[#This Row],[Tarpaulin]])</f>
        <v>0</v>
      </c>
      <c r="AD869" s="352">
        <f>IF(NFI_Expiration=1,IF($A869&lt;VLOOKUP(M$5,NFI,5,0),1,0)*Table_NFI[[#This Row],[Blanket]],Table_NFI[[#This Row],[Blanket]])</f>
        <v>0</v>
      </c>
      <c r="AE869" s="352">
        <f>IF(NFI_Expiration=1,IF($A869&lt;VLOOKUP(N$5,NFI,5,0),1,0)*Table_NFI[[#This Row],[Kitchen Set]],Table_NFI[Kitchen Set])</f>
        <v>0</v>
      </c>
      <c r="AF869" s="352">
        <f>IF(NFI_Expiration=1,IF($A869&lt;VLOOKUP(O$5,NFI,5,0),1,0)*Table_NFI[[#This Row],[Clothes Kit]],Table_NFI[Clothes Kit])</f>
        <v>0</v>
      </c>
      <c r="AG869" s="352">
        <f>IF(NFI_Expiration=1,IF($A869&lt;VLOOKUP(P$5,NFI,5,0),1,0)*Table_NFI[[#This Row],[Plastic Bucket]],Table_NFI[Plastic Bucket])</f>
        <v>0</v>
      </c>
      <c r="AH869" s="352">
        <f>IF(NFI_Expiration=1,IF($A869&lt;VLOOKUP(Q$5,NFI,5,0),1,0)*Table_NFI[[#This Row],[Plastic Mat]],Table_NFI[Plastic Mat])*IF(Table_NFI[[#This Row],[Distribution Date]]&gt;"2014-04-01",1,2.5)</f>
        <v>0</v>
      </c>
      <c r="AI869" s="352">
        <f>IF(NFI_Expiration=1,IF($A869&lt;VLOOKUP(R$5,NFI,5,0),1,0)*Table_NFI[[#This Row],[Winter Clothes Adult]],Table_NFI[Winter Clothes Adult])</f>
        <v>0</v>
      </c>
      <c r="AJ869" s="352">
        <f>IF(NFI_Expiration=1,IF($A869&lt;VLOOKUP(S$5,NFI,5,0),1,0)*Table_NFI[[#This Row],[Winter Clothes Children]],Table_NFI[Winter Clothes Children])</f>
        <v>0</v>
      </c>
      <c r="AK869" s="352">
        <f>IF(NFI_Expiration=1,IF($A869&lt;VLOOKUP(T$5,NFI,5,0),1,0)*Table_NFI[[#This Row],[Winter Items Other]],Table_NFI[Winter Items Other])</f>
        <v>0</v>
      </c>
      <c r="AL869" s="352">
        <f>IF(NFI_Expiration=1,IF($A869&lt;VLOOKUP(M$5,NFI,5,0),1,0)*Table_NFI[[#This Row],[Winter Blanket]],Table_NFI[[#This Row],[Winter Blanket]])</f>
        <v>0</v>
      </c>
      <c r="AM869" s="352">
        <f>IF(Table_NFI[[#This Row],[Winter Clothes Adult]]+Table_NFI[[#This Row],[Winter Clothes Children]]+Table_NFI[[#This Row],[Winter Items Other]]+Table_NFI[[#This Row],[Winter Blanket]]&gt;0,1,0)</f>
        <v>1</v>
      </c>
      <c r="AN869" s="392">
        <f>IF(NFI_Expiration=1,IF($A869&lt;VLOOKUP(V$5,NFI,5,0),1,0)*Table_NFI[[#This Row],[Jerry Can]],Table_NFI[Jerry Can])</f>
        <v>0</v>
      </c>
      <c r="AO869" s="540" t="str">
        <f>IFERROR(VLOOKUP(Table_NFI[[#This Row],[Camp Name]],CL,2,0),"")</f>
        <v>MMR001CMP183</v>
      </c>
      <c r="AP869" s="535">
        <f ca="1">IF(Table_NFI[[#This Row],[Pcode]]="","",IF(OFFSET(CampList[Opening Date],MATCH(Table_NFI[[#This Row],[Pcode]],CampList[CP_Pcode],0)-1,0,1,1)&gt;=NFI_Monitor_Date,1,0))</f>
        <v>0</v>
      </c>
      <c r="AQ869" s="540" t="str">
        <f>IFERROR(VLOOKUP(Table_NFI[[#This Row],[Camp Name]],CL,3,0),"")</f>
        <v>Open</v>
      </c>
      <c r="AR869" s="352" t="str">
        <f ca="1">IF(Table_NFI[[#This Row],[Pcode]]="","",OFFSET(CampList[Priority],MATCH(Table_NFI[[#This Row],[Pcode]],CampList[CP_Pcode],0)-1,0,1,1))</f>
        <v>P4</v>
      </c>
      <c r="AS869" s="351">
        <f>IFERROR(Table_NFI[[#This Row],[Kitchen Set]]/VLOOKUP(Table_NFI[[#This Row],[Camp Name]],CL,4,0),"")</f>
        <v>0</v>
      </c>
      <c r="AT869" s="533"/>
      <c r="AU869" s="557"/>
    </row>
    <row r="870" spans="1:47" ht="14.45" customHeight="1" x14ac:dyDescent="0.25">
      <c r="A870" s="355">
        <f t="shared" si="13"/>
        <v>50.56666666666667</v>
      </c>
      <c r="B870" s="532">
        <v>41054</v>
      </c>
      <c r="C870" s="533" t="s">
        <v>453</v>
      </c>
      <c r="D870" s="534" t="s">
        <v>453</v>
      </c>
      <c r="E870" s="533" t="s">
        <v>380</v>
      </c>
      <c r="F870" s="348" t="s">
        <v>237</v>
      </c>
      <c r="G870" s="348" t="s">
        <v>281</v>
      </c>
      <c r="H870" s="349"/>
      <c r="I870" s="349"/>
      <c r="J870" s="349"/>
      <c r="K870" s="349">
        <v>0</v>
      </c>
      <c r="L870" s="350">
        <v>25</v>
      </c>
      <c r="M870" s="350">
        <v>0</v>
      </c>
      <c r="N870" s="350">
        <v>0</v>
      </c>
      <c r="O870" s="350">
        <v>0</v>
      </c>
      <c r="P870" s="352"/>
      <c r="Q870" s="352"/>
      <c r="R870" s="352"/>
      <c r="S870" s="352"/>
      <c r="T870" s="352"/>
      <c r="U870" s="352"/>
      <c r="V870" s="497"/>
      <c r="W870" s="352"/>
      <c r="X870" s="352"/>
      <c r="Y870" s="352">
        <f>IF(NFI_Expiration=1,IF($A870&lt;VLOOKUP(H$5,NFI,5,0),1,0)*Table_NFI[[#This Row],[Hygiene Kit]],Table_NFI[Hygiene Kit])</f>
        <v>0</v>
      </c>
      <c r="Z870" s="352">
        <f>IF(NFI_Expiration=1,IF($A870&lt;VLOOKUP(I$5,NFI,5,0),1,0)*Table_NFI[[#This Row],[NFI Core Kit]],Table_NFI[NFI Core Kit])</f>
        <v>0</v>
      </c>
      <c r="AA870" s="352">
        <f>IF(NFI_Expiration=1,IF($A870&lt;VLOOKUP(J$5,NFI,5,0),1,0)*Table_NFI[[#This Row],[Sanitary Kit]],Table_NFI[Sanitary Kit])</f>
        <v>0</v>
      </c>
      <c r="AB870" s="352">
        <f>IF(NFI_Expiration=1,IF($A870&lt;VLOOKUP(K$5,NFI,5,0),1,0)*Table_NFI[[#This Row],[Mosquito net]],Table_NFI[Mosquito net])</f>
        <v>0</v>
      </c>
      <c r="AC870" s="352">
        <f>IF(NFI_Expiration=1,IF($A870&lt;VLOOKUP(L$5,NFI,5,0),1,0)*Table_NFI[[#This Row],[Tarpaulin]],Table_NFI[[#This Row],[Tarpaulin]])</f>
        <v>0</v>
      </c>
      <c r="AD870" s="352">
        <f>IF(NFI_Expiration=1,IF($A870&lt;VLOOKUP(M$5,NFI,5,0),1,0)*Table_NFI[[#This Row],[Blanket]],Table_NFI[[#This Row],[Blanket]])</f>
        <v>0</v>
      </c>
      <c r="AE870" s="352">
        <f>IF(NFI_Expiration=1,IF($A870&lt;VLOOKUP(N$5,NFI,5,0),1,0)*Table_NFI[[#This Row],[Kitchen Set]],Table_NFI[Kitchen Set])</f>
        <v>0</v>
      </c>
      <c r="AF870" s="352">
        <f>IF(NFI_Expiration=1,IF($A870&lt;VLOOKUP(O$5,NFI,5,0),1,0)*Table_NFI[[#This Row],[Clothes Kit]],Table_NFI[Clothes Kit])</f>
        <v>0</v>
      </c>
      <c r="AG870" s="352">
        <f>IF(NFI_Expiration=1,IF($A870&lt;VLOOKUP(P$5,NFI,5,0),1,0)*Table_NFI[[#This Row],[Plastic Bucket]],Table_NFI[Plastic Bucket])</f>
        <v>0</v>
      </c>
      <c r="AH870" s="352">
        <f>IF(NFI_Expiration=1,IF($A870&lt;VLOOKUP(Q$5,NFI,5,0),1,0)*Table_NFI[[#This Row],[Plastic Mat]],Table_NFI[Plastic Mat])*IF(Table_NFI[[#This Row],[Distribution Date]]&gt;"2014-04-01",1,2.5)</f>
        <v>0</v>
      </c>
      <c r="AI870" s="352">
        <f>IF(NFI_Expiration=1,IF($A870&lt;VLOOKUP(R$5,NFI,5,0),1,0)*Table_NFI[[#This Row],[Winter Clothes Adult]],Table_NFI[Winter Clothes Adult])</f>
        <v>0</v>
      </c>
      <c r="AJ870" s="352">
        <f>IF(NFI_Expiration=1,IF($A870&lt;VLOOKUP(S$5,NFI,5,0),1,0)*Table_NFI[[#This Row],[Winter Clothes Children]],Table_NFI[Winter Clothes Children])</f>
        <v>0</v>
      </c>
      <c r="AK870" s="352">
        <f>IF(NFI_Expiration=1,IF($A870&lt;VLOOKUP(T$5,NFI,5,0),1,0)*Table_NFI[[#This Row],[Winter Items Other]],Table_NFI[Winter Items Other])</f>
        <v>0</v>
      </c>
      <c r="AL870" s="352">
        <f>IF(NFI_Expiration=1,IF($A870&lt;VLOOKUP(M$5,NFI,5,0),1,0)*Table_NFI[[#This Row],[Winter Blanket]],Table_NFI[[#This Row],[Winter Blanket]])</f>
        <v>0</v>
      </c>
      <c r="AM870" s="352">
        <f>IF(Table_NFI[[#This Row],[Winter Clothes Adult]]+Table_NFI[[#This Row],[Winter Clothes Children]]+Table_NFI[[#This Row],[Winter Items Other]]+Table_NFI[[#This Row],[Winter Blanket]]&gt;0,1,0)</f>
        <v>0</v>
      </c>
      <c r="AN870" s="392">
        <f>IF(NFI_Expiration=1,IF($A870&lt;VLOOKUP(V$5,NFI,5,0),1,0)*Table_NFI[[#This Row],[Jerry Can]],Table_NFI[Jerry Can])</f>
        <v>0</v>
      </c>
      <c r="AO870" s="540" t="str">
        <f>IFERROR(VLOOKUP(Table_NFI[[#This Row],[Camp Name]],CL,2,0),"")</f>
        <v>MMR001CMP009</v>
      </c>
      <c r="AP870" s="535">
        <f ca="1">IF(Table_NFI[[#This Row],[Pcode]]="","",IF(OFFSET(CampList[Opening Date],MATCH(Table_NFI[[#This Row],[Pcode]],CampList[CP_Pcode],0)-1,0,1,1)&gt;=NFI_Monitor_Date,1,0))</f>
        <v>0</v>
      </c>
      <c r="AQ870" s="540" t="str">
        <f>IFERROR(VLOOKUP(Table_NFI[[#This Row],[Camp Name]],CL,3,0),"")</f>
        <v>Open</v>
      </c>
      <c r="AR870" s="352" t="str">
        <f ca="1">IF(Table_NFI[[#This Row],[Pcode]]="","",OFFSET(CampList[Priority],MATCH(Table_NFI[[#This Row],[Pcode]],CampList[CP_Pcode],0)-1,0,1,1))</f>
        <v>P4</v>
      </c>
      <c r="AS870" s="351">
        <f>IFERROR(Table_NFI[[#This Row],[Kitchen Set]]/VLOOKUP(Table_NFI[[#This Row],[Camp Name]],CL,4,0),"")</f>
        <v>0</v>
      </c>
      <c r="AT870" s="533" t="s">
        <v>1094</v>
      </c>
      <c r="AU870" s="536"/>
    </row>
    <row r="871" spans="1:47" ht="14.45" hidden="1" customHeight="1" x14ac:dyDescent="0.25">
      <c r="A871" s="355">
        <f t="shared" si="13"/>
        <v>18.466666666666665</v>
      </c>
      <c r="B871" s="532">
        <v>42017</v>
      </c>
      <c r="C871" s="533" t="s">
        <v>1096</v>
      </c>
      <c r="D871" s="533" t="s">
        <v>902</v>
      </c>
      <c r="E871" s="533" t="s">
        <v>380</v>
      </c>
      <c r="F871" s="533" t="s">
        <v>27</v>
      </c>
      <c r="G871" s="533" t="s">
        <v>1021</v>
      </c>
      <c r="H871" s="349"/>
      <c r="I871" s="352"/>
      <c r="J871" s="352"/>
      <c r="K871" s="352"/>
      <c r="L871" s="350"/>
      <c r="M871" s="350"/>
      <c r="N871" s="350"/>
      <c r="O871" s="350"/>
      <c r="P871" s="352"/>
      <c r="Q871" s="352"/>
      <c r="R871" s="352">
        <v>111</v>
      </c>
      <c r="S871" s="352">
        <v>56</v>
      </c>
      <c r="T871" s="352"/>
      <c r="U871" s="352">
        <v>58</v>
      </c>
      <c r="V871" s="497"/>
      <c r="W871" s="352"/>
      <c r="X871" s="352"/>
      <c r="Y871" s="352">
        <f>IF(NFI_Expiration=1,IF($A871&lt;VLOOKUP(H$5,NFI,5,0),1,0)*Table_NFI[[#This Row],[Hygiene Kit]],Table_NFI[Hygiene Kit])</f>
        <v>0</v>
      </c>
      <c r="Z871" s="352">
        <f>IF(NFI_Expiration=1,IF($A871&lt;VLOOKUP(I$5,NFI,5,0),1,0)*Table_NFI[[#This Row],[NFI Core Kit]],Table_NFI[NFI Core Kit])</f>
        <v>0</v>
      </c>
      <c r="AA871" s="352">
        <f>IF(NFI_Expiration=1,IF($A871&lt;VLOOKUP(J$5,NFI,5,0),1,0)*Table_NFI[[#This Row],[Sanitary Kit]],Table_NFI[Sanitary Kit])</f>
        <v>0</v>
      </c>
      <c r="AB871" s="352">
        <f>IF(NFI_Expiration=1,IF($A871&lt;VLOOKUP(K$5,NFI,5,0),1,0)*Table_NFI[[#This Row],[Mosquito net]],Table_NFI[Mosquito net])</f>
        <v>0</v>
      </c>
      <c r="AC871" s="352">
        <f>IF(NFI_Expiration=1,IF($A871&lt;VLOOKUP(L$5,NFI,5,0),1,0)*Table_NFI[[#This Row],[Tarpaulin]],Table_NFI[[#This Row],[Tarpaulin]])</f>
        <v>0</v>
      </c>
      <c r="AD871" s="352">
        <f>IF(NFI_Expiration=1,IF($A871&lt;VLOOKUP(M$5,NFI,5,0),1,0)*Table_NFI[[#This Row],[Blanket]],Table_NFI[[#This Row],[Blanket]])</f>
        <v>0</v>
      </c>
      <c r="AE871" s="352">
        <f>IF(NFI_Expiration=1,IF($A871&lt;VLOOKUP(N$5,NFI,5,0),1,0)*Table_NFI[[#This Row],[Kitchen Set]],Table_NFI[Kitchen Set])</f>
        <v>0</v>
      </c>
      <c r="AF871" s="352">
        <f>IF(NFI_Expiration=1,IF($A871&lt;VLOOKUP(O$5,NFI,5,0),1,0)*Table_NFI[[#This Row],[Clothes Kit]],Table_NFI[Clothes Kit])</f>
        <v>0</v>
      </c>
      <c r="AG871" s="352">
        <f>IF(NFI_Expiration=1,IF($A871&lt;VLOOKUP(P$5,NFI,5,0),1,0)*Table_NFI[[#This Row],[Plastic Bucket]],Table_NFI[Plastic Bucket])</f>
        <v>0</v>
      </c>
      <c r="AH871" s="352">
        <f>IF(NFI_Expiration=1,IF($A871&lt;VLOOKUP(Q$5,NFI,5,0),1,0)*Table_NFI[[#This Row],[Plastic Mat]],Table_NFI[Plastic Mat])*IF(Table_NFI[[#This Row],[Distribution Date]]&gt;"2014-04-01",1,2.5)</f>
        <v>0</v>
      </c>
      <c r="AI871" s="352">
        <f>IF(NFI_Expiration=1,IF($A871&lt;VLOOKUP(R$5,NFI,5,0),1,0)*Table_NFI[[#This Row],[Winter Clothes Adult]],Table_NFI[Winter Clothes Adult])</f>
        <v>0</v>
      </c>
      <c r="AJ871" s="352">
        <f>IF(NFI_Expiration=1,IF($A871&lt;VLOOKUP(S$5,NFI,5,0),1,0)*Table_NFI[[#This Row],[Winter Clothes Children]],Table_NFI[Winter Clothes Children])</f>
        <v>0</v>
      </c>
      <c r="AK871" s="352">
        <f>IF(NFI_Expiration=1,IF($A871&lt;VLOOKUP(T$5,NFI,5,0),1,0)*Table_NFI[[#This Row],[Winter Items Other]],Table_NFI[Winter Items Other])</f>
        <v>0</v>
      </c>
      <c r="AL871" s="352">
        <f>IF(NFI_Expiration=1,IF($A871&lt;VLOOKUP(M$5,NFI,5,0),1,0)*Table_NFI[[#This Row],[Winter Blanket]],Table_NFI[[#This Row],[Winter Blanket]])</f>
        <v>0</v>
      </c>
      <c r="AM871" s="352">
        <f>IF(Table_NFI[[#This Row],[Winter Clothes Adult]]+Table_NFI[[#This Row],[Winter Clothes Children]]+Table_NFI[[#This Row],[Winter Items Other]]+Table_NFI[[#This Row],[Winter Blanket]]&gt;0,1,0)</f>
        <v>1</v>
      </c>
      <c r="AN871" s="392">
        <f>IF(NFI_Expiration=1,IF($A871&lt;VLOOKUP(V$5,NFI,5,0),1,0)*Table_NFI[[#This Row],[Jerry Can]],Table_NFI[Jerry Can])</f>
        <v>0</v>
      </c>
      <c r="AO871" s="540" t="str">
        <f>IFERROR(VLOOKUP(Table_NFI[[#This Row],[Camp Name]],CL,2,0),"")</f>
        <v>MMR001CMP225</v>
      </c>
      <c r="AP871" s="535">
        <f ca="1">IF(Table_NFI[[#This Row],[Pcode]]="","",IF(OFFSET(CampList[Opening Date],MATCH(Table_NFI[[#This Row],[Pcode]],CampList[CP_Pcode],0)-1,0,1,1)&gt;=NFI_Monitor_Date,1,0))</f>
        <v>0</v>
      </c>
      <c r="AQ871" s="540" t="str">
        <f>IFERROR(VLOOKUP(Table_NFI[[#This Row],[Camp Name]],CL,3,0),"")</f>
        <v>Open</v>
      </c>
      <c r="AR871" s="352" t="str">
        <f ca="1">IF(Table_NFI[[#This Row],[Pcode]]="","",OFFSET(CampList[Priority],MATCH(Table_NFI[[#This Row],[Pcode]],CampList[CP_Pcode],0)-1,0,1,1))</f>
        <v>P1</v>
      </c>
      <c r="AS871" s="351">
        <f>IFERROR(Table_NFI[[#This Row],[Kitchen Set]]/VLOOKUP(Table_NFI[[#This Row],[Camp Name]],CL,4,0),"")</f>
        <v>0</v>
      </c>
      <c r="AT871" s="533"/>
      <c r="AU871" s="557"/>
    </row>
    <row r="872" spans="1:47" ht="14.45" customHeight="1" x14ac:dyDescent="0.25">
      <c r="A872" s="355">
        <f t="shared" si="13"/>
        <v>50.633333333333333</v>
      </c>
      <c r="B872" s="532">
        <v>41052</v>
      </c>
      <c r="C872" s="533" t="s">
        <v>453</v>
      </c>
      <c r="D872" s="533" t="s">
        <v>453</v>
      </c>
      <c r="E872" s="533" t="s">
        <v>380</v>
      </c>
      <c r="F872" s="348" t="s">
        <v>237</v>
      </c>
      <c r="G872" s="348" t="s">
        <v>253</v>
      </c>
      <c r="H872" s="349"/>
      <c r="I872" s="349"/>
      <c r="J872" s="349"/>
      <c r="K872" s="349">
        <v>22</v>
      </c>
      <c r="L872" s="350">
        <v>15</v>
      </c>
      <c r="M872" s="350">
        <v>22</v>
      </c>
      <c r="N872" s="350">
        <v>15</v>
      </c>
      <c r="O872" s="350">
        <v>15</v>
      </c>
      <c r="P872" s="352">
        <v>15</v>
      </c>
      <c r="Q872" s="352">
        <v>15</v>
      </c>
      <c r="R872" s="352"/>
      <c r="S872" s="352"/>
      <c r="T872" s="352"/>
      <c r="U872" s="352"/>
      <c r="V872" s="497"/>
      <c r="W872" s="352"/>
      <c r="X872" s="352"/>
      <c r="Y872" s="352">
        <f>IF(NFI_Expiration=1,IF($A872&lt;VLOOKUP(H$5,NFI,5,0),1,0)*Table_NFI[[#This Row],[Hygiene Kit]],Table_NFI[Hygiene Kit])</f>
        <v>0</v>
      </c>
      <c r="Z872" s="352">
        <f>IF(NFI_Expiration=1,IF($A872&lt;VLOOKUP(I$5,NFI,5,0),1,0)*Table_NFI[[#This Row],[NFI Core Kit]],Table_NFI[NFI Core Kit])</f>
        <v>0</v>
      </c>
      <c r="AA872" s="352">
        <f>IF(NFI_Expiration=1,IF($A872&lt;VLOOKUP(J$5,NFI,5,0),1,0)*Table_NFI[[#This Row],[Sanitary Kit]],Table_NFI[Sanitary Kit])</f>
        <v>0</v>
      </c>
      <c r="AB872" s="352">
        <f>IF(NFI_Expiration=1,IF($A872&lt;VLOOKUP(K$5,NFI,5,0),1,0)*Table_NFI[[#This Row],[Mosquito net]],Table_NFI[Mosquito net])</f>
        <v>0</v>
      </c>
      <c r="AC872" s="352">
        <f>IF(NFI_Expiration=1,IF($A872&lt;VLOOKUP(L$5,NFI,5,0),1,0)*Table_NFI[[#This Row],[Tarpaulin]],Table_NFI[[#This Row],[Tarpaulin]])</f>
        <v>0</v>
      </c>
      <c r="AD872" s="352">
        <f>IF(NFI_Expiration=1,IF($A872&lt;VLOOKUP(M$5,NFI,5,0),1,0)*Table_NFI[[#This Row],[Blanket]],Table_NFI[[#This Row],[Blanket]])</f>
        <v>0</v>
      </c>
      <c r="AE872" s="352">
        <f>IF(NFI_Expiration=1,IF($A872&lt;VLOOKUP(N$5,NFI,5,0),1,0)*Table_NFI[[#This Row],[Kitchen Set]],Table_NFI[Kitchen Set])</f>
        <v>0</v>
      </c>
      <c r="AF872" s="352">
        <f>IF(NFI_Expiration=1,IF($A872&lt;VLOOKUP(O$5,NFI,5,0),1,0)*Table_NFI[[#This Row],[Clothes Kit]],Table_NFI[Clothes Kit])</f>
        <v>0</v>
      </c>
      <c r="AG872" s="352">
        <f>IF(NFI_Expiration=1,IF($A872&lt;VLOOKUP(P$5,NFI,5,0),1,0)*Table_NFI[[#This Row],[Plastic Bucket]],Table_NFI[Plastic Bucket])</f>
        <v>0</v>
      </c>
      <c r="AH872" s="352">
        <f>IF(NFI_Expiration=1,IF($A872&lt;VLOOKUP(Q$5,NFI,5,0),1,0)*Table_NFI[[#This Row],[Plastic Mat]],Table_NFI[Plastic Mat])*IF(Table_NFI[[#This Row],[Distribution Date]]&gt;"2014-04-01",1,2.5)</f>
        <v>0</v>
      </c>
      <c r="AI872" s="352">
        <f>IF(NFI_Expiration=1,IF($A872&lt;VLOOKUP(R$5,NFI,5,0),1,0)*Table_NFI[[#This Row],[Winter Clothes Adult]],Table_NFI[Winter Clothes Adult])</f>
        <v>0</v>
      </c>
      <c r="AJ872" s="352">
        <f>IF(NFI_Expiration=1,IF($A872&lt;VLOOKUP(S$5,NFI,5,0),1,0)*Table_NFI[[#This Row],[Winter Clothes Children]],Table_NFI[Winter Clothes Children])</f>
        <v>0</v>
      </c>
      <c r="AK872" s="352">
        <f>IF(NFI_Expiration=1,IF($A872&lt;VLOOKUP(T$5,NFI,5,0),1,0)*Table_NFI[[#This Row],[Winter Items Other]],Table_NFI[Winter Items Other])</f>
        <v>0</v>
      </c>
      <c r="AL872" s="352">
        <f>IF(NFI_Expiration=1,IF($A872&lt;VLOOKUP(M$5,NFI,5,0),1,0)*Table_NFI[[#This Row],[Winter Blanket]],Table_NFI[[#This Row],[Winter Blanket]])</f>
        <v>0</v>
      </c>
      <c r="AM872" s="352">
        <f>IF(Table_NFI[[#This Row],[Winter Clothes Adult]]+Table_NFI[[#This Row],[Winter Clothes Children]]+Table_NFI[[#This Row],[Winter Items Other]]+Table_NFI[[#This Row],[Winter Blanket]]&gt;0,1,0)</f>
        <v>0</v>
      </c>
      <c r="AN872" s="392">
        <f>IF(NFI_Expiration=1,IF($A872&lt;VLOOKUP(V$5,NFI,5,0),1,0)*Table_NFI[[#This Row],[Jerry Can]],Table_NFI[Jerry Can])</f>
        <v>0</v>
      </c>
      <c r="AO872" s="540" t="str">
        <f>IFERROR(VLOOKUP(Table_NFI[[#This Row],[Camp Name]],CL,2,0),"")</f>
        <v>MMR001CMP018</v>
      </c>
      <c r="AP872" s="535">
        <f ca="1">IF(Table_NFI[[#This Row],[Pcode]]="","",IF(OFFSET(CampList[Opening Date],MATCH(Table_NFI[[#This Row],[Pcode]],CampList[CP_Pcode],0)-1,0,1,1)&gt;=NFI_Monitor_Date,1,0))</f>
        <v>0</v>
      </c>
      <c r="AQ872" s="540" t="str">
        <f>IFERROR(VLOOKUP(Table_NFI[[#This Row],[Camp Name]],CL,3,0),"")</f>
        <v>Open</v>
      </c>
      <c r="AR872" s="352" t="str">
        <f ca="1">IF(Table_NFI[[#This Row],[Pcode]]="","",OFFSET(CampList[Priority],MATCH(Table_NFI[[#This Row],[Pcode]],CampList[CP_Pcode],0)-1,0,1,1))</f>
        <v>P4</v>
      </c>
      <c r="AS872" s="351">
        <f>IFERROR(Table_NFI[[#This Row],[Kitchen Set]]/VLOOKUP(Table_NFI[[#This Row],[Camp Name]],CL,4,0),"")</f>
        <v>7.575757575757576E-2</v>
      </c>
      <c r="AT872" s="533" t="s">
        <v>1094</v>
      </c>
      <c r="AU872" s="536"/>
    </row>
    <row r="873" spans="1:47" ht="14.45" hidden="1" customHeight="1" x14ac:dyDescent="0.25">
      <c r="A873" s="355">
        <f t="shared" si="13"/>
        <v>29.3</v>
      </c>
      <c r="B873" s="532">
        <v>41692</v>
      </c>
      <c r="C873" s="533" t="s">
        <v>1106</v>
      </c>
      <c r="D873" s="533" t="s">
        <v>902</v>
      </c>
      <c r="E873" s="533" t="s">
        <v>380</v>
      </c>
      <c r="F873" s="533" t="s">
        <v>27</v>
      </c>
      <c r="G873" s="533" t="s">
        <v>1021</v>
      </c>
      <c r="H873" s="349"/>
      <c r="I873" s="349"/>
      <c r="J873" s="349"/>
      <c r="K873" s="349"/>
      <c r="L873" s="350"/>
      <c r="M873" s="350"/>
      <c r="N873" s="350"/>
      <c r="O873" s="350"/>
      <c r="P873" s="352"/>
      <c r="Q873" s="352"/>
      <c r="R873" s="352"/>
      <c r="S873" s="352"/>
      <c r="T873" s="352"/>
      <c r="U873" s="352">
        <v>58</v>
      </c>
      <c r="V873" s="497"/>
      <c r="W873" s="352"/>
      <c r="X873" s="352"/>
      <c r="Y873" s="352">
        <f>IF(NFI_Expiration=1,IF($A873&lt;VLOOKUP(H$5,NFI,5,0),1,0)*Table_NFI[[#This Row],[Hygiene Kit]],Table_NFI[Hygiene Kit])</f>
        <v>0</v>
      </c>
      <c r="Z873" s="352">
        <f>IF(NFI_Expiration=1,IF($A873&lt;VLOOKUP(I$5,NFI,5,0),1,0)*Table_NFI[[#This Row],[NFI Core Kit]],Table_NFI[NFI Core Kit])</f>
        <v>0</v>
      </c>
      <c r="AA873" s="352">
        <f>IF(NFI_Expiration=1,IF($A873&lt;VLOOKUP(J$5,NFI,5,0),1,0)*Table_NFI[[#This Row],[Sanitary Kit]],Table_NFI[Sanitary Kit])</f>
        <v>0</v>
      </c>
      <c r="AB873" s="352">
        <f>IF(NFI_Expiration=1,IF($A873&lt;VLOOKUP(K$5,NFI,5,0),1,0)*Table_NFI[[#This Row],[Mosquito net]],Table_NFI[Mosquito net])</f>
        <v>0</v>
      </c>
      <c r="AC873" s="352">
        <f>IF(NFI_Expiration=1,IF($A873&lt;VLOOKUP(L$5,NFI,5,0),1,0)*Table_NFI[[#This Row],[Tarpaulin]],Table_NFI[[#This Row],[Tarpaulin]])</f>
        <v>0</v>
      </c>
      <c r="AD873" s="352">
        <f>IF(NFI_Expiration=1,IF($A873&lt;VLOOKUP(M$5,NFI,5,0),1,0)*Table_NFI[[#This Row],[Blanket]],Table_NFI[[#This Row],[Blanket]])</f>
        <v>0</v>
      </c>
      <c r="AE873" s="352">
        <f>IF(NFI_Expiration=1,IF($A873&lt;VLOOKUP(N$5,NFI,5,0),1,0)*Table_NFI[[#This Row],[Kitchen Set]],Table_NFI[Kitchen Set])</f>
        <v>0</v>
      </c>
      <c r="AF873" s="352">
        <f>IF(NFI_Expiration=1,IF($A873&lt;VLOOKUP(O$5,NFI,5,0),1,0)*Table_NFI[[#This Row],[Clothes Kit]],Table_NFI[Clothes Kit])</f>
        <v>0</v>
      </c>
      <c r="AG873" s="352">
        <f>IF(NFI_Expiration=1,IF($A873&lt;VLOOKUP(P$5,NFI,5,0),1,0)*Table_NFI[[#This Row],[Plastic Bucket]],Table_NFI[Plastic Bucket])</f>
        <v>0</v>
      </c>
      <c r="AH873" s="352">
        <f>IF(NFI_Expiration=1,IF($A873&lt;VLOOKUP(Q$5,NFI,5,0),1,0)*Table_NFI[[#This Row],[Plastic Mat]],Table_NFI[Plastic Mat])*IF(Table_NFI[[#This Row],[Distribution Date]]&gt;"2014-04-01",1,2.5)</f>
        <v>0</v>
      </c>
      <c r="AI873" s="352">
        <f>IF(NFI_Expiration=1,IF($A873&lt;VLOOKUP(R$5,NFI,5,0),1,0)*Table_NFI[[#This Row],[Winter Clothes Adult]],Table_NFI[Winter Clothes Adult])</f>
        <v>0</v>
      </c>
      <c r="AJ873" s="352">
        <f>IF(NFI_Expiration=1,IF($A873&lt;VLOOKUP(S$5,NFI,5,0),1,0)*Table_NFI[[#This Row],[Winter Clothes Children]],Table_NFI[Winter Clothes Children])</f>
        <v>0</v>
      </c>
      <c r="AK873" s="352">
        <f>IF(NFI_Expiration=1,IF($A873&lt;VLOOKUP(T$5,NFI,5,0),1,0)*Table_NFI[[#This Row],[Winter Items Other]],Table_NFI[Winter Items Other])</f>
        <v>0</v>
      </c>
      <c r="AL873" s="352">
        <f>IF(NFI_Expiration=1,IF($A873&lt;VLOOKUP(M$5,NFI,5,0),1,0)*Table_NFI[[#This Row],[Winter Blanket]],Table_NFI[[#This Row],[Winter Blanket]])</f>
        <v>0</v>
      </c>
      <c r="AM873" s="352">
        <f>IF(Table_NFI[[#This Row],[Winter Clothes Adult]]+Table_NFI[[#This Row],[Winter Clothes Children]]+Table_NFI[[#This Row],[Winter Items Other]]+Table_NFI[[#This Row],[Winter Blanket]]&gt;0,1,0)</f>
        <v>1</v>
      </c>
      <c r="AN873" s="392">
        <f>IF(NFI_Expiration=1,IF($A873&lt;VLOOKUP(V$5,NFI,5,0),1,0)*Table_NFI[[#This Row],[Jerry Can]],Table_NFI[Jerry Can])</f>
        <v>0</v>
      </c>
      <c r="AO873" s="540" t="str">
        <f>IFERROR(VLOOKUP(Table_NFI[[#This Row],[Camp Name]],CL,2,0),"")</f>
        <v>MMR001CMP225</v>
      </c>
      <c r="AP873" s="535">
        <f ca="1">IF(Table_NFI[[#This Row],[Pcode]]="","",IF(OFFSET(CampList[Opening Date],MATCH(Table_NFI[[#This Row],[Pcode]],CampList[CP_Pcode],0)-1,0,1,1)&gt;=NFI_Monitor_Date,1,0))</f>
        <v>0</v>
      </c>
      <c r="AQ873" s="540" t="str">
        <f>IFERROR(VLOOKUP(Table_NFI[[#This Row],[Camp Name]],CL,3,0),"")</f>
        <v>Open</v>
      </c>
      <c r="AR873" s="352" t="str">
        <f ca="1">IF(Table_NFI[[#This Row],[Pcode]]="","",OFFSET(CampList[Priority],MATCH(Table_NFI[[#This Row],[Pcode]],CampList[CP_Pcode],0)-1,0,1,1))</f>
        <v>P1</v>
      </c>
      <c r="AS873" s="351">
        <f>IFERROR(Table_NFI[[#This Row],[Kitchen Set]]/VLOOKUP(Table_NFI[[#This Row],[Camp Name]],CL,4,0),"")</f>
        <v>0</v>
      </c>
      <c r="AT873" s="533"/>
      <c r="AU873" s="536"/>
    </row>
    <row r="874" spans="1:47" ht="14.45" hidden="1" customHeight="1" x14ac:dyDescent="0.25">
      <c r="A874" s="355">
        <f t="shared" si="13"/>
        <v>18.466666666666665</v>
      </c>
      <c r="B874" s="532">
        <v>42017</v>
      </c>
      <c r="C874" s="533" t="s">
        <v>1096</v>
      </c>
      <c r="D874" s="533" t="s">
        <v>902</v>
      </c>
      <c r="E874" s="533" t="s">
        <v>380</v>
      </c>
      <c r="F874" s="533" t="s">
        <v>185</v>
      </c>
      <c r="G874" s="533" t="s">
        <v>225</v>
      </c>
      <c r="H874" s="349"/>
      <c r="I874" s="352"/>
      <c r="J874" s="352"/>
      <c r="K874" s="352"/>
      <c r="L874" s="350"/>
      <c r="M874" s="350"/>
      <c r="N874" s="350"/>
      <c r="O874" s="350"/>
      <c r="P874" s="352"/>
      <c r="Q874" s="352"/>
      <c r="R874" s="352">
        <v>155</v>
      </c>
      <c r="S874" s="352">
        <v>73</v>
      </c>
      <c r="T874" s="352"/>
      <c r="U874" s="352">
        <v>96</v>
      </c>
      <c r="V874" s="497"/>
      <c r="W874" s="352"/>
      <c r="X874" s="352"/>
      <c r="Y874" s="352">
        <f>IF(NFI_Expiration=1,IF($A874&lt;VLOOKUP(H$5,NFI,5,0),1,0)*Table_NFI[[#This Row],[Hygiene Kit]],Table_NFI[Hygiene Kit])</f>
        <v>0</v>
      </c>
      <c r="Z874" s="352">
        <f>IF(NFI_Expiration=1,IF($A874&lt;VLOOKUP(I$5,NFI,5,0),1,0)*Table_NFI[[#This Row],[NFI Core Kit]],Table_NFI[NFI Core Kit])</f>
        <v>0</v>
      </c>
      <c r="AA874" s="352">
        <f>IF(NFI_Expiration=1,IF($A874&lt;VLOOKUP(J$5,NFI,5,0),1,0)*Table_NFI[[#This Row],[Sanitary Kit]],Table_NFI[Sanitary Kit])</f>
        <v>0</v>
      </c>
      <c r="AB874" s="352">
        <f>IF(NFI_Expiration=1,IF($A874&lt;VLOOKUP(K$5,NFI,5,0),1,0)*Table_NFI[[#This Row],[Mosquito net]],Table_NFI[Mosquito net])</f>
        <v>0</v>
      </c>
      <c r="AC874" s="352">
        <f>IF(NFI_Expiration=1,IF($A874&lt;VLOOKUP(L$5,NFI,5,0),1,0)*Table_NFI[[#This Row],[Tarpaulin]],Table_NFI[[#This Row],[Tarpaulin]])</f>
        <v>0</v>
      </c>
      <c r="AD874" s="352">
        <f>IF(NFI_Expiration=1,IF($A874&lt;VLOOKUP(M$5,NFI,5,0),1,0)*Table_NFI[[#This Row],[Blanket]],Table_NFI[[#This Row],[Blanket]])</f>
        <v>0</v>
      </c>
      <c r="AE874" s="352">
        <f>IF(NFI_Expiration=1,IF($A874&lt;VLOOKUP(N$5,NFI,5,0),1,0)*Table_NFI[[#This Row],[Kitchen Set]],Table_NFI[Kitchen Set])</f>
        <v>0</v>
      </c>
      <c r="AF874" s="352">
        <f>IF(NFI_Expiration=1,IF($A874&lt;VLOOKUP(O$5,NFI,5,0),1,0)*Table_NFI[[#This Row],[Clothes Kit]],Table_NFI[Clothes Kit])</f>
        <v>0</v>
      </c>
      <c r="AG874" s="352">
        <f>IF(NFI_Expiration=1,IF($A874&lt;VLOOKUP(P$5,NFI,5,0),1,0)*Table_NFI[[#This Row],[Plastic Bucket]],Table_NFI[Plastic Bucket])</f>
        <v>0</v>
      </c>
      <c r="AH874" s="352">
        <f>IF(NFI_Expiration=1,IF($A874&lt;VLOOKUP(Q$5,NFI,5,0),1,0)*Table_NFI[[#This Row],[Plastic Mat]],Table_NFI[Plastic Mat])*IF(Table_NFI[[#This Row],[Distribution Date]]&gt;"2014-04-01",1,2.5)</f>
        <v>0</v>
      </c>
      <c r="AI874" s="352">
        <f>IF(NFI_Expiration=1,IF($A874&lt;VLOOKUP(R$5,NFI,5,0),1,0)*Table_NFI[[#This Row],[Winter Clothes Adult]],Table_NFI[Winter Clothes Adult])</f>
        <v>0</v>
      </c>
      <c r="AJ874" s="352">
        <f>IF(NFI_Expiration=1,IF($A874&lt;VLOOKUP(S$5,NFI,5,0),1,0)*Table_NFI[[#This Row],[Winter Clothes Children]],Table_NFI[Winter Clothes Children])</f>
        <v>0</v>
      </c>
      <c r="AK874" s="352">
        <f>IF(NFI_Expiration=1,IF($A874&lt;VLOOKUP(T$5,NFI,5,0),1,0)*Table_NFI[[#This Row],[Winter Items Other]],Table_NFI[Winter Items Other])</f>
        <v>0</v>
      </c>
      <c r="AL874" s="352">
        <f>IF(NFI_Expiration=1,IF($A874&lt;VLOOKUP(M$5,NFI,5,0),1,0)*Table_NFI[[#This Row],[Winter Blanket]],Table_NFI[[#This Row],[Winter Blanket]])</f>
        <v>0</v>
      </c>
      <c r="AM874" s="352">
        <f>IF(Table_NFI[[#This Row],[Winter Clothes Adult]]+Table_NFI[[#This Row],[Winter Clothes Children]]+Table_NFI[[#This Row],[Winter Items Other]]+Table_NFI[[#This Row],[Winter Blanket]]&gt;0,1,0)</f>
        <v>1</v>
      </c>
      <c r="AN874" s="392">
        <f>IF(NFI_Expiration=1,IF($A874&lt;VLOOKUP(V$5,NFI,5,0),1,0)*Table_NFI[[#This Row],[Jerry Can]],Table_NFI[Jerry Can])</f>
        <v>0</v>
      </c>
      <c r="AO874" s="540" t="str">
        <f>IFERROR(VLOOKUP(Table_NFI[[#This Row],[Camp Name]],CL,2,0),"")</f>
        <v>MMR001CMP073</v>
      </c>
      <c r="AP874" s="535">
        <f ca="1">IF(Table_NFI[[#This Row],[Pcode]]="","",IF(OFFSET(CampList[Opening Date],MATCH(Table_NFI[[#This Row],[Pcode]],CampList[CP_Pcode],0)-1,0,1,1)&gt;=NFI_Monitor_Date,1,0))</f>
        <v>0</v>
      </c>
      <c r="AQ874" s="540" t="str">
        <f>IFERROR(VLOOKUP(Table_NFI[[#This Row],[Camp Name]],CL,3,0),"")</f>
        <v>Open</v>
      </c>
      <c r="AR874" s="352" t="str">
        <f ca="1">IF(Table_NFI[[#This Row],[Pcode]]="","",OFFSET(CampList[Priority],MATCH(Table_NFI[[#This Row],[Pcode]],CampList[CP_Pcode],0)-1,0,1,1))</f>
        <v>P3</v>
      </c>
      <c r="AS874" s="351">
        <f>IFERROR(Table_NFI[[#This Row],[Kitchen Set]]/VLOOKUP(Table_NFI[[#This Row],[Camp Name]],CL,4,0),"")</f>
        <v>0</v>
      </c>
      <c r="AT874" s="533"/>
      <c r="AU874" s="557"/>
    </row>
    <row r="875" spans="1:47" ht="14.45" hidden="1" customHeight="1" x14ac:dyDescent="0.25">
      <c r="A875" s="355">
        <f t="shared" si="13"/>
        <v>29.266666666666666</v>
      </c>
      <c r="B875" s="532">
        <v>41693</v>
      </c>
      <c r="C875" s="533" t="s">
        <v>1106</v>
      </c>
      <c r="D875" s="533" t="s">
        <v>902</v>
      </c>
      <c r="E875" s="533" t="s">
        <v>380</v>
      </c>
      <c r="F875" s="533" t="s">
        <v>185</v>
      </c>
      <c r="G875" s="533" t="s">
        <v>225</v>
      </c>
      <c r="H875" s="349"/>
      <c r="I875" s="349"/>
      <c r="J875" s="349"/>
      <c r="K875" s="349"/>
      <c r="L875" s="350"/>
      <c r="M875" s="350"/>
      <c r="N875" s="350"/>
      <c r="O875" s="350"/>
      <c r="P875" s="352"/>
      <c r="Q875" s="352"/>
      <c r="R875" s="352"/>
      <c r="S875" s="352"/>
      <c r="T875" s="352"/>
      <c r="U875" s="352">
        <v>376</v>
      </c>
      <c r="V875" s="497"/>
      <c r="W875" s="352"/>
      <c r="X875" s="352"/>
      <c r="Y875" s="352">
        <f>IF(NFI_Expiration=1,IF($A875&lt;VLOOKUP(H$5,NFI,5,0),1,0)*Table_NFI[[#This Row],[Hygiene Kit]],Table_NFI[Hygiene Kit])</f>
        <v>0</v>
      </c>
      <c r="Z875" s="352">
        <f>IF(NFI_Expiration=1,IF($A875&lt;VLOOKUP(I$5,NFI,5,0),1,0)*Table_NFI[[#This Row],[NFI Core Kit]],Table_NFI[NFI Core Kit])</f>
        <v>0</v>
      </c>
      <c r="AA875" s="352">
        <f>IF(NFI_Expiration=1,IF($A875&lt;VLOOKUP(J$5,NFI,5,0),1,0)*Table_NFI[[#This Row],[Sanitary Kit]],Table_NFI[Sanitary Kit])</f>
        <v>0</v>
      </c>
      <c r="AB875" s="352">
        <f>IF(NFI_Expiration=1,IF($A875&lt;VLOOKUP(K$5,NFI,5,0),1,0)*Table_NFI[[#This Row],[Mosquito net]],Table_NFI[Mosquito net])</f>
        <v>0</v>
      </c>
      <c r="AC875" s="352">
        <f>IF(NFI_Expiration=1,IF($A875&lt;VLOOKUP(L$5,NFI,5,0),1,0)*Table_NFI[[#This Row],[Tarpaulin]],Table_NFI[[#This Row],[Tarpaulin]])</f>
        <v>0</v>
      </c>
      <c r="AD875" s="352">
        <f>IF(NFI_Expiration=1,IF($A875&lt;VLOOKUP(M$5,NFI,5,0),1,0)*Table_NFI[[#This Row],[Blanket]],Table_NFI[[#This Row],[Blanket]])</f>
        <v>0</v>
      </c>
      <c r="AE875" s="352">
        <f>IF(NFI_Expiration=1,IF($A875&lt;VLOOKUP(N$5,NFI,5,0),1,0)*Table_NFI[[#This Row],[Kitchen Set]],Table_NFI[Kitchen Set])</f>
        <v>0</v>
      </c>
      <c r="AF875" s="352">
        <f>IF(NFI_Expiration=1,IF($A875&lt;VLOOKUP(O$5,NFI,5,0),1,0)*Table_NFI[[#This Row],[Clothes Kit]],Table_NFI[Clothes Kit])</f>
        <v>0</v>
      </c>
      <c r="AG875" s="352">
        <f>IF(NFI_Expiration=1,IF($A875&lt;VLOOKUP(P$5,NFI,5,0),1,0)*Table_NFI[[#This Row],[Plastic Bucket]],Table_NFI[Plastic Bucket])</f>
        <v>0</v>
      </c>
      <c r="AH875" s="352">
        <f>IF(NFI_Expiration=1,IF($A875&lt;VLOOKUP(Q$5,NFI,5,0),1,0)*Table_NFI[[#This Row],[Plastic Mat]],Table_NFI[Plastic Mat])*IF(Table_NFI[[#This Row],[Distribution Date]]&gt;"2014-04-01",1,2.5)</f>
        <v>0</v>
      </c>
      <c r="AI875" s="352">
        <f>IF(NFI_Expiration=1,IF($A875&lt;VLOOKUP(R$5,NFI,5,0),1,0)*Table_NFI[[#This Row],[Winter Clothes Adult]],Table_NFI[Winter Clothes Adult])</f>
        <v>0</v>
      </c>
      <c r="AJ875" s="352">
        <f>IF(NFI_Expiration=1,IF($A875&lt;VLOOKUP(S$5,NFI,5,0),1,0)*Table_NFI[[#This Row],[Winter Clothes Children]],Table_NFI[Winter Clothes Children])</f>
        <v>0</v>
      </c>
      <c r="AK875" s="352">
        <f>IF(NFI_Expiration=1,IF($A875&lt;VLOOKUP(T$5,NFI,5,0),1,0)*Table_NFI[[#This Row],[Winter Items Other]],Table_NFI[Winter Items Other])</f>
        <v>0</v>
      </c>
      <c r="AL875" s="352">
        <f>IF(NFI_Expiration=1,IF($A875&lt;VLOOKUP(M$5,NFI,5,0),1,0)*Table_NFI[[#This Row],[Winter Blanket]],Table_NFI[[#This Row],[Winter Blanket]])</f>
        <v>0</v>
      </c>
      <c r="AM875" s="352">
        <f>IF(Table_NFI[[#This Row],[Winter Clothes Adult]]+Table_NFI[[#This Row],[Winter Clothes Children]]+Table_NFI[[#This Row],[Winter Items Other]]+Table_NFI[[#This Row],[Winter Blanket]]&gt;0,1,0)</f>
        <v>1</v>
      </c>
      <c r="AN875" s="392">
        <f>IF(NFI_Expiration=1,IF($A875&lt;VLOOKUP(V$5,NFI,5,0),1,0)*Table_NFI[[#This Row],[Jerry Can]],Table_NFI[Jerry Can])</f>
        <v>0</v>
      </c>
      <c r="AO875" s="540" t="str">
        <f>IFERROR(VLOOKUP(Table_NFI[[#This Row],[Camp Name]],CL,2,0),"")</f>
        <v>MMR001CMP073</v>
      </c>
      <c r="AP875" s="535">
        <f ca="1">IF(Table_NFI[[#This Row],[Pcode]]="","",IF(OFFSET(CampList[Opening Date],MATCH(Table_NFI[[#This Row],[Pcode]],CampList[CP_Pcode],0)-1,0,1,1)&gt;=NFI_Monitor_Date,1,0))</f>
        <v>0</v>
      </c>
      <c r="AQ875" s="540" t="str">
        <f>IFERROR(VLOOKUP(Table_NFI[[#This Row],[Camp Name]],CL,3,0),"")</f>
        <v>Open</v>
      </c>
      <c r="AR875" s="352" t="str">
        <f ca="1">IF(Table_NFI[[#This Row],[Pcode]]="","",OFFSET(CampList[Priority],MATCH(Table_NFI[[#This Row],[Pcode]],CampList[CP_Pcode],0)-1,0,1,1))</f>
        <v>P3</v>
      </c>
      <c r="AS875" s="351">
        <f>IFERROR(Table_NFI[[#This Row],[Kitchen Set]]/VLOOKUP(Table_NFI[[#This Row],[Camp Name]],CL,4,0),"")</f>
        <v>0</v>
      </c>
      <c r="AT875" s="533"/>
      <c r="AU875" s="536"/>
    </row>
    <row r="876" spans="1:47" hidden="1" x14ac:dyDescent="0.2">
      <c r="A876" s="355">
        <f t="shared" si="13"/>
        <v>19.333333333333332</v>
      </c>
      <c r="B876" s="532">
        <v>41991</v>
      </c>
      <c r="C876" s="533" t="s">
        <v>907</v>
      </c>
      <c r="D876" s="534" t="s">
        <v>907</v>
      </c>
      <c r="E876" s="533" t="s">
        <v>380</v>
      </c>
      <c r="F876" s="348" t="s">
        <v>185</v>
      </c>
      <c r="G876" s="348" t="s">
        <v>225</v>
      </c>
      <c r="H876" s="349"/>
      <c r="I876" s="349"/>
      <c r="J876" s="677">
        <v>61</v>
      </c>
      <c r="K876" s="349"/>
      <c r="L876" s="350"/>
      <c r="M876" s="350"/>
      <c r="N876" s="350"/>
      <c r="O876" s="350"/>
      <c r="P876" s="352"/>
      <c r="Q876" s="392"/>
      <c r="R876" s="392"/>
      <c r="S876" s="392"/>
      <c r="T876" s="392"/>
      <c r="U876" s="392"/>
      <c r="V876" s="497"/>
      <c r="W876" s="392"/>
      <c r="X876" s="392"/>
      <c r="Y876" s="352">
        <f>IF(NFI_Expiration=1,IF($A876&lt;VLOOKUP(H$5,NFI,5,0),1,0)*Table_NFI[[#This Row],[Hygiene Kit]],Table_NFI[Hygiene Kit])</f>
        <v>0</v>
      </c>
      <c r="Z876" s="352">
        <f>IF(NFI_Expiration=1,IF($A876&lt;VLOOKUP(I$5,NFI,5,0),1,0)*Table_NFI[[#This Row],[NFI Core Kit]],Table_NFI[NFI Core Kit])</f>
        <v>0</v>
      </c>
      <c r="AA876" s="352">
        <f>IF(NFI_Expiration=1,IF($A876&lt;VLOOKUP(J$5,NFI,5,0),1,0)*Table_NFI[[#This Row],[Sanitary Kit]],Table_NFI[Sanitary Kit])</f>
        <v>0</v>
      </c>
      <c r="AB876" s="352">
        <f>IF(NFI_Expiration=1,IF($A876&lt;VLOOKUP(K$5,NFI,5,0),1,0)*Table_NFI[[#This Row],[Mosquito net]],Table_NFI[Mosquito net])</f>
        <v>0</v>
      </c>
      <c r="AC876" s="352">
        <f>IF(NFI_Expiration=1,IF($A876&lt;VLOOKUP(L$5,NFI,5,0),1,0)*Table_NFI[[#This Row],[Tarpaulin]],Table_NFI[[#This Row],[Tarpaulin]])</f>
        <v>0</v>
      </c>
      <c r="AD876" s="352">
        <f>IF(NFI_Expiration=1,IF($A876&lt;VLOOKUP(M$5,NFI,5,0),1,0)*Table_NFI[[#This Row],[Blanket]],Table_NFI[[#This Row],[Blanket]])</f>
        <v>0</v>
      </c>
      <c r="AE876" s="352">
        <f>IF(NFI_Expiration=1,IF($A876&lt;VLOOKUP(N$5,NFI,5,0),1,0)*Table_NFI[[#This Row],[Kitchen Set]],Table_NFI[Kitchen Set])</f>
        <v>0</v>
      </c>
      <c r="AF876" s="352">
        <f>IF(NFI_Expiration=1,IF($A876&lt;VLOOKUP(O$5,NFI,5,0),1,0)*Table_NFI[[#This Row],[Clothes Kit]],Table_NFI[Clothes Kit])</f>
        <v>0</v>
      </c>
      <c r="AG876" s="352">
        <f>IF(NFI_Expiration=1,IF($A876&lt;VLOOKUP(P$5,NFI,5,0),1,0)*Table_NFI[[#This Row],[Plastic Bucket]],Table_NFI[Plastic Bucket])</f>
        <v>0</v>
      </c>
      <c r="AH876" s="352">
        <f>IF(NFI_Expiration=1,IF($A876&lt;VLOOKUP(Q$5,NFI,5,0),1,0)*Table_NFI[[#This Row],[Plastic Mat]],Table_NFI[Plastic Mat])*IF(Table_NFI[[#This Row],[Distribution Date]]&gt;"2014-04-01",1,2.5)</f>
        <v>0</v>
      </c>
      <c r="AI876" s="352">
        <f>IF(NFI_Expiration=1,IF($A876&lt;VLOOKUP(R$5,NFI,5,0),1,0)*Table_NFI[[#This Row],[Winter Clothes Adult]],Table_NFI[Winter Clothes Adult])</f>
        <v>0</v>
      </c>
      <c r="AJ876" s="352">
        <f>IF(NFI_Expiration=1,IF($A876&lt;VLOOKUP(S$5,NFI,5,0),1,0)*Table_NFI[[#This Row],[Winter Clothes Children]],Table_NFI[Winter Clothes Children])</f>
        <v>0</v>
      </c>
      <c r="AK876" s="352">
        <f>IF(NFI_Expiration=1,IF($A876&lt;VLOOKUP(T$5,NFI,5,0),1,0)*Table_NFI[[#This Row],[Winter Items Other]],Table_NFI[Winter Items Other])</f>
        <v>0</v>
      </c>
      <c r="AL876" s="352">
        <f>IF(NFI_Expiration=1,IF($A876&lt;VLOOKUP(M$5,NFI,5,0),1,0)*Table_NFI[[#This Row],[Winter Blanket]],Table_NFI[[#This Row],[Winter Blanket]])</f>
        <v>0</v>
      </c>
      <c r="AM876" s="352">
        <f>IF(Table_NFI[[#This Row],[Winter Clothes Adult]]+Table_NFI[[#This Row],[Winter Clothes Children]]+Table_NFI[[#This Row],[Winter Items Other]]+Table_NFI[[#This Row],[Winter Blanket]]&gt;0,1,0)</f>
        <v>0</v>
      </c>
      <c r="AN876" s="392">
        <f>IF(NFI_Expiration=1,IF($A876&lt;VLOOKUP(V$5,NFI,5,0),1,0)*Table_NFI[[#This Row],[Jerry Can]],Table_NFI[Jerry Can])</f>
        <v>0</v>
      </c>
      <c r="AO876" s="540" t="str">
        <f>IFERROR(VLOOKUP(Table_NFI[[#This Row],[Camp Name]],CL,2,0),"")</f>
        <v>MMR001CMP073</v>
      </c>
      <c r="AP876" s="535">
        <f ca="1">IF(Table_NFI[[#This Row],[Pcode]]="","",IF(OFFSET(CampList[Opening Date],MATCH(Table_NFI[[#This Row],[Pcode]],CampList[CP_Pcode],0)-1,0,1,1)&gt;=NFI_Monitor_Date,1,0))</f>
        <v>0</v>
      </c>
      <c r="AQ876" s="540" t="str">
        <f>IFERROR(VLOOKUP(Table_NFI[[#This Row],[Camp Name]],CL,3,0),"")</f>
        <v>Open</v>
      </c>
      <c r="AR876" s="352" t="str">
        <f ca="1">IF(Table_NFI[[#This Row],[Pcode]]="","",OFFSET(CampList[Priority],MATCH(Table_NFI[[#This Row],[Pcode]],CampList[CP_Pcode],0)-1,0,1,1))</f>
        <v>P3</v>
      </c>
      <c r="AS876" s="351">
        <f>IFERROR(Table_NFI[[#This Row],[Kitchen Set]]/VLOOKUP(Table_NFI[[#This Row],[Camp Name]],CL,4,0),"")</f>
        <v>0</v>
      </c>
      <c r="AT876" s="533"/>
      <c r="AU876" s="536"/>
    </row>
    <row r="877" spans="1:47" hidden="1" x14ac:dyDescent="0.2">
      <c r="A877" s="355">
        <f t="shared" si="13"/>
        <v>13.866666666666667</v>
      </c>
      <c r="B877" s="532">
        <v>42155</v>
      </c>
      <c r="C877" s="533" t="s">
        <v>907</v>
      </c>
      <c r="D877" s="534" t="s">
        <v>907</v>
      </c>
      <c r="E877" s="533" t="s">
        <v>380</v>
      </c>
      <c r="F877" s="348" t="s">
        <v>185</v>
      </c>
      <c r="G877" s="348" t="s">
        <v>225</v>
      </c>
      <c r="H877" s="349"/>
      <c r="I877" s="349"/>
      <c r="J877" s="350"/>
      <c r="K877" s="349"/>
      <c r="L877" s="350"/>
      <c r="M877" s="350"/>
      <c r="N877" s="350"/>
      <c r="O877" s="350"/>
      <c r="P877" s="352"/>
      <c r="Q877" s="392"/>
      <c r="R877" s="392"/>
      <c r="S877" s="392"/>
      <c r="T877" s="392"/>
      <c r="U877" s="392"/>
      <c r="V877" s="822">
        <v>3</v>
      </c>
      <c r="W877" s="392"/>
      <c r="X877" s="392"/>
      <c r="Y877" s="352">
        <f>IF(NFI_Expiration=1,IF($A877&lt;VLOOKUP(H$5,NFI,5,0),1,0)*Table_NFI[[#This Row],[Hygiene Kit]],Table_NFI[Hygiene Kit])</f>
        <v>0</v>
      </c>
      <c r="Z877" s="352">
        <f>IF(NFI_Expiration=1,IF($A877&lt;VLOOKUP(I$5,NFI,5,0),1,0)*Table_NFI[[#This Row],[NFI Core Kit]],Table_NFI[NFI Core Kit])</f>
        <v>0</v>
      </c>
      <c r="AA877" s="352">
        <f>IF(NFI_Expiration=1,IF($A877&lt;VLOOKUP(J$5,NFI,5,0),1,0)*Table_NFI[[#This Row],[Sanitary Kit]],Table_NFI[Sanitary Kit])</f>
        <v>0</v>
      </c>
      <c r="AB877" s="352">
        <f>IF(NFI_Expiration=1,IF($A877&lt;VLOOKUP(K$5,NFI,5,0),1,0)*Table_NFI[[#This Row],[Mosquito net]],Table_NFI[Mosquito net])</f>
        <v>0</v>
      </c>
      <c r="AC877" s="352">
        <f>IF(NFI_Expiration=1,IF($A877&lt;VLOOKUP(L$5,NFI,5,0),1,0)*Table_NFI[[#This Row],[Tarpaulin]],Table_NFI[[#This Row],[Tarpaulin]])</f>
        <v>0</v>
      </c>
      <c r="AD877" s="352">
        <f>IF(NFI_Expiration=1,IF($A877&lt;VLOOKUP(M$5,NFI,5,0),1,0)*Table_NFI[[#This Row],[Blanket]],Table_NFI[[#This Row],[Blanket]])</f>
        <v>0</v>
      </c>
      <c r="AE877" s="352">
        <f>IF(NFI_Expiration=1,IF($A877&lt;VLOOKUP(N$5,NFI,5,0),1,0)*Table_NFI[[#This Row],[Kitchen Set]],Table_NFI[Kitchen Set])</f>
        <v>0</v>
      </c>
      <c r="AF877" s="352">
        <f>IF(NFI_Expiration=1,IF($A877&lt;VLOOKUP(O$5,NFI,5,0),1,0)*Table_NFI[[#This Row],[Clothes Kit]],Table_NFI[Clothes Kit])</f>
        <v>0</v>
      </c>
      <c r="AG877" s="352">
        <f>IF(NFI_Expiration=1,IF($A877&lt;VLOOKUP(P$5,NFI,5,0),1,0)*Table_NFI[[#This Row],[Plastic Bucket]],Table_NFI[Plastic Bucket])</f>
        <v>0</v>
      </c>
      <c r="AH877" s="352">
        <f>IF(NFI_Expiration=1,IF($A877&lt;VLOOKUP(Q$5,NFI,5,0),1,0)*Table_NFI[[#This Row],[Plastic Mat]],Table_NFI[Plastic Mat])*IF(Table_NFI[[#This Row],[Distribution Date]]&gt;"2014-04-01",1,2.5)</f>
        <v>0</v>
      </c>
      <c r="AI877" s="352">
        <f>IF(NFI_Expiration=1,IF($A877&lt;VLOOKUP(R$5,NFI,5,0),1,0)*Table_NFI[[#This Row],[Winter Clothes Adult]],Table_NFI[Winter Clothes Adult])</f>
        <v>0</v>
      </c>
      <c r="AJ877" s="352">
        <f>IF(NFI_Expiration=1,IF($A877&lt;VLOOKUP(S$5,NFI,5,0),1,0)*Table_NFI[[#This Row],[Winter Clothes Children]],Table_NFI[Winter Clothes Children])</f>
        <v>0</v>
      </c>
      <c r="AK877" s="352">
        <f>IF(NFI_Expiration=1,IF($A877&lt;VLOOKUP(T$5,NFI,5,0),1,0)*Table_NFI[[#This Row],[Winter Items Other]],Table_NFI[Winter Items Other])</f>
        <v>0</v>
      </c>
      <c r="AL877" s="352">
        <f>IF(NFI_Expiration=1,IF($A877&lt;VLOOKUP(M$5,NFI,5,0),1,0)*Table_NFI[[#This Row],[Winter Blanket]],Table_NFI[[#This Row],[Winter Blanket]])</f>
        <v>0</v>
      </c>
      <c r="AM877" s="352">
        <f>IF(Table_NFI[[#This Row],[Winter Clothes Adult]]+Table_NFI[[#This Row],[Winter Clothes Children]]+Table_NFI[[#This Row],[Winter Items Other]]+Table_NFI[[#This Row],[Winter Blanket]]&gt;0,1,0)</f>
        <v>0</v>
      </c>
      <c r="AN877" s="392">
        <f>IF(NFI_Expiration=1,IF($A877&lt;VLOOKUP(V$5,NFI,5,0),1,0)*Table_NFI[[#This Row],[Jerry Can]],Table_NFI[Jerry Can])</f>
        <v>0</v>
      </c>
      <c r="AO877" s="540" t="str">
        <f>IFERROR(VLOOKUP(Table_NFI[[#This Row],[Camp Name]],CL,2,0),"")</f>
        <v>MMR001CMP073</v>
      </c>
      <c r="AP877" s="535">
        <f ca="1">IF(Table_NFI[[#This Row],[Pcode]]="","",IF(OFFSET(CampList[Opening Date],MATCH(Table_NFI[[#This Row],[Pcode]],CampList[CP_Pcode],0)-1,0,1,1)&gt;=NFI_Monitor_Date,1,0))</f>
        <v>0</v>
      </c>
      <c r="AQ877" s="540" t="str">
        <f>IFERROR(VLOOKUP(Table_NFI[[#This Row],[Camp Name]],CL,3,0),"")</f>
        <v>Open</v>
      </c>
      <c r="AR877" s="352" t="str">
        <f ca="1">IF(Table_NFI[[#This Row],[Pcode]]="","",OFFSET(CampList[Priority],MATCH(Table_NFI[[#This Row],[Pcode]],CampList[CP_Pcode],0)-1,0,1,1))</f>
        <v>P3</v>
      </c>
      <c r="AS877" s="351">
        <f>IFERROR(Table_NFI[[#This Row],[Kitchen Set]]/VLOOKUP(Table_NFI[[#This Row],[Camp Name]],CL,4,0),"")</f>
        <v>0</v>
      </c>
      <c r="AT877" s="533"/>
      <c r="AU877" s="536"/>
    </row>
    <row r="878" spans="1:47" hidden="1" x14ac:dyDescent="0.25">
      <c r="A878" s="355">
        <f t="shared" si="13"/>
        <v>16.533333333333335</v>
      </c>
      <c r="B878" s="532">
        <v>42075</v>
      </c>
      <c r="C878" s="533" t="s">
        <v>907</v>
      </c>
      <c r="D878" s="534" t="s">
        <v>907</v>
      </c>
      <c r="E878" s="533" t="s">
        <v>380</v>
      </c>
      <c r="F878" s="348" t="s">
        <v>185</v>
      </c>
      <c r="G878" s="348" t="s">
        <v>225</v>
      </c>
      <c r="H878" s="349"/>
      <c r="I878" s="349"/>
      <c r="J878" s="350"/>
      <c r="K878" s="349"/>
      <c r="L878" s="350"/>
      <c r="M878" s="350"/>
      <c r="N878" s="350"/>
      <c r="O878" s="350"/>
      <c r="P878" s="352"/>
      <c r="Q878" s="392"/>
      <c r="R878" s="392"/>
      <c r="S878" s="392"/>
      <c r="T878" s="392"/>
      <c r="U878" s="392"/>
      <c r="V878" s="497"/>
      <c r="W878" s="392">
        <v>4</v>
      </c>
      <c r="X878" s="392"/>
      <c r="Y878" s="352">
        <f>IF(NFI_Expiration=1,IF($A878&lt;VLOOKUP(H$5,NFI,5,0),1,0)*Table_NFI[[#This Row],[Hygiene Kit]],Table_NFI[Hygiene Kit])</f>
        <v>0</v>
      </c>
      <c r="Z878" s="352">
        <f>IF(NFI_Expiration=1,IF($A878&lt;VLOOKUP(I$5,NFI,5,0),1,0)*Table_NFI[[#This Row],[NFI Core Kit]],Table_NFI[NFI Core Kit])</f>
        <v>0</v>
      </c>
      <c r="AA878" s="352">
        <f>IF(NFI_Expiration=1,IF($A878&lt;VLOOKUP(J$5,NFI,5,0),1,0)*Table_NFI[[#This Row],[Sanitary Kit]],Table_NFI[Sanitary Kit])</f>
        <v>0</v>
      </c>
      <c r="AB878" s="352">
        <f>IF(NFI_Expiration=1,IF($A878&lt;VLOOKUP(K$5,NFI,5,0),1,0)*Table_NFI[[#This Row],[Mosquito net]],Table_NFI[Mosquito net])</f>
        <v>0</v>
      </c>
      <c r="AC878" s="352">
        <f>IF(NFI_Expiration=1,IF($A878&lt;VLOOKUP(L$5,NFI,5,0),1,0)*Table_NFI[[#This Row],[Tarpaulin]],Table_NFI[[#This Row],[Tarpaulin]])</f>
        <v>0</v>
      </c>
      <c r="AD878" s="352">
        <f>IF(NFI_Expiration=1,IF($A878&lt;VLOOKUP(M$5,NFI,5,0),1,0)*Table_NFI[[#This Row],[Blanket]],Table_NFI[[#This Row],[Blanket]])</f>
        <v>0</v>
      </c>
      <c r="AE878" s="352">
        <f>IF(NFI_Expiration=1,IF($A878&lt;VLOOKUP(N$5,NFI,5,0),1,0)*Table_NFI[[#This Row],[Kitchen Set]],Table_NFI[Kitchen Set])</f>
        <v>0</v>
      </c>
      <c r="AF878" s="352">
        <f>IF(NFI_Expiration=1,IF($A878&lt;VLOOKUP(O$5,NFI,5,0),1,0)*Table_NFI[[#This Row],[Clothes Kit]],Table_NFI[Clothes Kit])</f>
        <v>0</v>
      </c>
      <c r="AG878" s="352">
        <f>IF(NFI_Expiration=1,IF($A878&lt;VLOOKUP(P$5,NFI,5,0),1,0)*Table_NFI[[#This Row],[Plastic Bucket]],Table_NFI[Plastic Bucket])</f>
        <v>0</v>
      </c>
      <c r="AH878" s="352">
        <f>IF(NFI_Expiration=1,IF($A878&lt;VLOOKUP(Q$5,NFI,5,0),1,0)*Table_NFI[[#This Row],[Plastic Mat]],Table_NFI[Plastic Mat])*IF(Table_NFI[[#This Row],[Distribution Date]]&gt;"2014-04-01",1,2.5)</f>
        <v>0</v>
      </c>
      <c r="AI878" s="352">
        <f>IF(NFI_Expiration=1,IF($A878&lt;VLOOKUP(R$5,NFI,5,0),1,0)*Table_NFI[[#This Row],[Winter Clothes Adult]],Table_NFI[Winter Clothes Adult])</f>
        <v>0</v>
      </c>
      <c r="AJ878" s="352">
        <f>IF(NFI_Expiration=1,IF($A878&lt;VLOOKUP(S$5,NFI,5,0),1,0)*Table_NFI[[#This Row],[Winter Clothes Children]],Table_NFI[Winter Clothes Children])</f>
        <v>0</v>
      </c>
      <c r="AK878" s="352">
        <f>IF(NFI_Expiration=1,IF($A878&lt;VLOOKUP(T$5,NFI,5,0),1,0)*Table_NFI[[#This Row],[Winter Items Other]],Table_NFI[Winter Items Other])</f>
        <v>0</v>
      </c>
      <c r="AL878" s="352">
        <f>IF(NFI_Expiration=1,IF($A878&lt;VLOOKUP(M$5,NFI,5,0),1,0)*Table_NFI[[#This Row],[Winter Blanket]],Table_NFI[[#This Row],[Winter Blanket]])</f>
        <v>0</v>
      </c>
      <c r="AM878" s="352">
        <f>IF(Table_NFI[[#This Row],[Winter Clothes Adult]]+Table_NFI[[#This Row],[Winter Clothes Children]]+Table_NFI[[#This Row],[Winter Items Other]]+Table_NFI[[#This Row],[Winter Blanket]]&gt;0,1,0)</f>
        <v>0</v>
      </c>
      <c r="AN878" s="392">
        <f>IF(NFI_Expiration=1,IF($A878&lt;VLOOKUP(V$5,NFI,5,0),1,0)*Table_NFI[[#This Row],[Jerry Can]],Table_NFI[Jerry Can])</f>
        <v>0</v>
      </c>
      <c r="AO878" s="540" t="str">
        <f>IFERROR(VLOOKUP(Table_NFI[[#This Row],[Camp Name]],CL,2,0),"")</f>
        <v>MMR001CMP073</v>
      </c>
      <c r="AP878" s="535">
        <f ca="1">IF(Table_NFI[[#This Row],[Pcode]]="","",IF(OFFSET(CampList[Opening Date],MATCH(Table_NFI[[#This Row],[Pcode]],CampList[CP_Pcode],0)-1,0,1,1)&gt;=NFI_Monitor_Date,1,0))</f>
        <v>0</v>
      </c>
      <c r="AQ878" s="540" t="str">
        <f>IFERROR(VLOOKUP(Table_NFI[[#This Row],[Camp Name]],CL,3,0),"")</f>
        <v>Open</v>
      </c>
      <c r="AR878" s="352" t="str">
        <f ca="1">IF(Table_NFI[[#This Row],[Pcode]]="","",OFFSET(CampList[Priority],MATCH(Table_NFI[[#This Row],[Pcode]],CampList[CP_Pcode],0)-1,0,1,1))</f>
        <v>P3</v>
      </c>
      <c r="AS878" s="351">
        <f>IFERROR(Table_NFI[[#This Row],[Kitchen Set]]/VLOOKUP(Table_NFI[[#This Row],[Camp Name]],CL,4,0),"")</f>
        <v>0</v>
      </c>
      <c r="AT878" s="533"/>
      <c r="AU878" s="536"/>
    </row>
    <row r="879" spans="1:47" hidden="1" x14ac:dyDescent="0.25">
      <c r="A879" s="355">
        <f t="shared" si="13"/>
        <v>7.2666666666666666</v>
      </c>
      <c r="B879" s="532">
        <v>42353</v>
      </c>
      <c r="C879" s="533" t="s">
        <v>907</v>
      </c>
      <c r="D879" s="534" t="s">
        <v>907</v>
      </c>
      <c r="E879" s="533" t="s">
        <v>380</v>
      </c>
      <c r="F879" s="348" t="s">
        <v>185</v>
      </c>
      <c r="G879" s="348" t="s">
        <v>225</v>
      </c>
      <c r="H879" s="349"/>
      <c r="I879" s="349"/>
      <c r="J879" s="350"/>
      <c r="K879" s="349"/>
      <c r="L879" s="350"/>
      <c r="M879" s="350"/>
      <c r="N879" s="350"/>
      <c r="O879" s="350"/>
      <c r="P879" s="352"/>
      <c r="Q879" s="392"/>
      <c r="R879" s="392"/>
      <c r="S879" s="392"/>
      <c r="T879" s="392"/>
      <c r="U879" s="392"/>
      <c r="V879" s="497"/>
      <c r="W879" s="392">
        <v>4</v>
      </c>
      <c r="X879" s="392"/>
      <c r="Y879" s="352">
        <f>IF(NFI_Expiration=1,IF($A879&lt;VLOOKUP(H$5,NFI,5,0),1,0)*Table_NFI[[#This Row],[Hygiene Kit]],Table_NFI[Hygiene Kit])</f>
        <v>0</v>
      </c>
      <c r="Z879" s="352">
        <f>IF(NFI_Expiration=1,IF($A879&lt;VLOOKUP(I$5,NFI,5,0),1,0)*Table_NFI[[#This Row],[NFI Core Kit]],Table_NFI[NFI Core Kit])</f>
        <v>0</v>
      </c>
      <c r="AA879" s="352">
        <f>IF(NFI_Expiration=1,IF($A879&lt;VLOOKUP(J$5,NFI,5,0),1,0)*Table_NFI[[#This Row],[Sanitary Kit]],Table_NFI[Sanitary Kit])</f>
        <v>0</v>
      </c>
      <c r="AB879" s="352">
        <f>IF(NFI_Expiration=1,IF($A879&lt;VLOOKUP(K$5,NFI,5,0),1,0)*Table_NFI[[#This Row],[Mosquito net]],Table_NFI[Mosquito net])</f>
        <v>0</v>
      </c>
      <c r="AC879" s="352">
        <f>IF(NFI_Expiration=1,IF($A879&lt;VLOOKUP(L$5,NFI,5,0),1,0)*Table_NFI[[#This Row],[Tarpaulin]],Table_NFI[[#This Row],[Tarpaulin]])</f>
        <v>0</v>
      </c>
      <c r="AD879" s="352">
        <f>IF(NFI_Expiration=1,IF($A879&lt;VLOOKUP(M$5,NFI,5,0),1,0)*Table_NFI[[#This Row],[Blanket]],Table_NFI[[#This Row],[Blanket]])</f>
        <v>0</v>
      </c>
      <c r="AE879" s="352">
        <f>IF(NFI_Expiration=1,IF($A879&lt;VLOOKUP(N$5,NFI,5,0),1,0)*Table_NFI[[#This Row],[Kitchen Set]],Table_NFI[Kitchen Set])</f>
        <v>0</v>
      </c>
      <c r="AF879" s="352">
        <f>IF(NFI_Expiration=1,IF($A879&lt;VLOOKUP(O$5,NFI,5,0),1,0)*Table_NFI[[#This Row],[Clothes Kit]],Table_NFI[Clothes Kit])</f>
        <v>0</v>
      </c>
      <c r="AG879" s="352">
        <f>IF(NFI_Expiration=1,IF($A879&lt;VLOOKUP(P$5,NFI,5,0),1,0)*Table_NFI[[#This Row],[Plastic Bucket]],Table_NFI[Plastic Bucket])</f>
        <v>0</v>
      </c>
      <c r="AH879" s="352">
        <f>IF(NFI_Expiration=1,IF($A879&lt;VLOOKUP(Q$5,NFI,5,0),1,0)*Table_NFI[[#This Row],[Plastic Mat]],Table_NFI[Plastic Mat])*IF(Table_NFI[[#This Row],[Distribution Date]]&gt;"2014-04-01",1,2.5)</f>
        <v>0</v>
      </c>
      <c r="AI879" s="352">
        <f>IF(NFI_Expiration=1,IF($A879&lt;VLOOKUP(R$5,NFI,5,0),1,0)*Table_NFI[[#This Row],[Winter Clothes Adult]],Table_NFI[Winter Clothes Adult])</f>
        <v>0</v>
      </c>
      <c r="AJ879" s="352">
        <f>IF(NFI_Expiration=1,IF($A879&lt;VLOOKUP(S$5,NFI,5,0),1,0)*Table_NFI[[#This Row],[Winter Clothes Children]],Table_NFI[Winter Clothes Children])</f>
        <v>0</v>
      </c>
      <c r="AK879" s="352">
        <f>IF(NFI_Expiration=1,IF($A879&lt;VLOOKUP(T$5,NFI,5,0),1,0)*Table_NFI[[#This Row],[Winter Items Other]],Table_NFI[Winter Items Other])</f>
        <v>0</v>
      </c>
      <c r="AL879" s="352">
        <f>IF(NFI_Expiration=1,IF($A879&lt;VLOOKUP(M$5,NFI,5,0),1,0)*Table_NFI[[#This Row],[Winter Blanket]],Table_NFI[[#This Row],[Winter Blanket]])</f>
        <v>0</v>
      </c>
      <c r="AM879" s="352">
        <f>IF(Table_NFI[[#This Row],[Winter Clothes Adult]]+Table_NFI[[#This Row],[Winter Clothes Children]]+Table_NFI[[#This Row],[Winter Items Other]]+Table_NFI[[#This Row],[Winter Blanket]]&gt;0,1,0)</f>
        <v>0</v>
      </c>
      <c r="AN879" s="392">
        <f>IF(NFI_Expiration=1,IF($A879&lt;VLOOKUP(V$5,NFI,5,0),1,0)*Table_NFI[[#This Row],[Jerry Can]],Table_NFI[Jerry Can])</f>
        <v>0</v>
      </c>
      <c r="AO879" s="540" t="str">
        <f>IFERROR(VLOOKUP(Table_NFI[[#This Row],[Camp Name]],CL,2,0),"")</f>
        <v>MMR001CMP073</v>
      </c>
      <c r="AP879" s="535">
        <f ca="1">IF(Table_NFI[[#This Row],[Pcode]]="","",IF(OFFSET(CampList[Opening Date],MATCH(Table_NFI[[#This Row],[Pcode]],CampList[CP_Pcode],0)-1,0,1,1)&gt;=NFI_Monitor_Date,1,0))</f>
        <v>0</v>
      </c>
      <c r="AQ879" s="540" t="str">
        <f>IFERROR(VLOOKUP(Table_NFI[[#This Row],[Camp Name]],CL,3,0),"")</f>
        <v>Open</v>
      </c>
      <c r="AR879" s="352" t="str">
        <f ca="1">IF(Table_NFI[[#This Row],[Pcode]]="","",OFFSET(CampList[Priority],MATCH(Table_NFI[[#This Row],[Pcode]],CampList[CP_Pcode],0)-1,0,1,1))</f>
        <v>P3</v>
      </c>
      <c r="AS879" s="351">
        <f>IFERROR(Table_NFI[[#This Row],[Kitchen Set]]/VLOOKUP(Table_NFI[[#This Row],[Camp Name]],CL,4,0),"")</f>
        <v>0</v>
      </c>
      <c r="AT879" s="533"/>
      <c r="AU879" s="536"/>
    </row>
    <row r="880" spans="1:47" hidden="1" x14ac:dyDescent="0.25">
      <c r="A880" s="355">
        <f t="shared" si="13"/>
        <v>2.7</v>
      </c>
      <c r="B880" s="532">
        <v>42490</v>
      </c>
      <c r="C880" s="533" t="s">
        <v>907</v>
      </c>
      <c r="D880" s="534" t="s">
        <v>907</v>
      </c>
      <c r="E880" s="533" t="s">
        <v>380</v>
      </c>
      <c r="F880" s="348" t="s">
        <v>185</v>
      </c>
      <c r="G880" s="348" t="s">
        <v>225</v>
      </c>
      <c r="H880" s="349"/>
      <c r="I880" s="349"/>
      <c r="J880" s="350"/>
      <c r="K880" s="349"/>
      <c r="L880" s="350"/>
      <c r="M880" s="350"/>
      <c r="N880" s="350"/>
      <c r="O880" s="350"/>
      <c r="P880" s="352"/>
      <c r="Q880" s="392"/>
      <c r="R880" s="392"/>
      <c r="S880" s="392"/>
      <c r="T880" s="392"/>
      <c r="U880" s="392"/>
      <c r="V880" s="497"/>
      <c r="W880" s="392">
        <v>4</v>
      </c>
      <c r="X880" s="392"/>
      <c r="Y880" s="352">
        <f>IF(NFI_Expiration=1,IF($A880&lt;VLOOKUP(H$5,NFI,5,0),1,0)*Table_NFI[[#This Row],[Hygiene Kit]],Table_NFI[Hygiene Kit])</f>
        <v>0</v>
      </c>
      <c r="Z880" s="352">
        <f>IF(NFI_Expiration=1,IF($A880&lt;VLOOKUP(I$5,NFI,5,0),1,0)*Table_NFI[[#This Row],[NFI Core Kit]],Table_NFI[NFI Core Kit])</f>
        <v>0</v>
      </c>
      <c r="AA880" s="352">
        <f>IF(NFI_Expiration=1,IF($A880&lt;VLOOKUP(J$5,NFI,5,0),1,0)*Table_NFI[[#This Row],[Sanitary Kit]],Table_NFI[Sanitary Kit])</f>
        <v>0</v>
      </c>
      <c r="AB880" s="352">
        <f>IF(NFI_Expiration=1,IF($A880&lt;VLOOKUP(K$5,NFI,5,0),1,0)*Table_NFI[[#This Row],[Mosquito net]],Table_NFI[Mosquito net])</f>
        <v>0</v>
      </c>
      <c r="AC880" s="352">
        <f>IF(NFI_Expiration=1,IF($A880&lt;VLOOKUP(L$5,NFI,5,0),1,0)*Table_NFI[[#This Row],[Tarpaulin]],Table_NFI[[#This Row],[Tarpaulin]])</f>
        <v>0</v>
      </c>
      <c r="AD880" s="352">
        <f>IF(NFI_Expiration=1,IF($A880&lt;VLOOKUP(M$5,NFI,5,0),1,0)*Table_NFI[[#This Row],[Blanket]],Table_NFI[[#This Row],[Blanket]])</f>
        <v>0</v>
      </c>
      <c r="AE880" s="352">
        <f>IF(NFI_Expiration=1,IF($A880&lt;VLOOKUP(N$5,NFI,5,0),1,0)*Table_NFI[[#This Row],[Kitchen Set]],Table_NFI[Kitchen Set])</f>
        <v>0</v>
      </c>
      <c r="AF880" s="352">
        <f>IF(NFI_Expiration=1,IF($A880&lt;VLOOKUP(O$5,NFI,5,0),1,0)*Table_NFI[[#This Row],[Clothes Kit]],Table_NFI[Clothes Kit])</f>
        <v>0</v>
      </c>
      <c r="AG880" s="352">
        <f>IF(NFI_Expiration=1,IF($A880&lt;VLOOKUP(P$5,NFI,5,0),1,0)*Table_NFI[[#This Row],[Plastic Bucket]],Table_NFI[Plastic Bucket])</f>
        <v>0</v>
      </c>
      <c r="AH880" s="352">
        <f>IF(NFI_Expiration=1,IF($A880&lt;VLOOKUP(Q$5,NFI,5,0),1,0)*Table_NFI[[#This Row],[Plastic Mat]],Table_NFI[Plastic Mat])*IF(Table_NFI[[#This Row],[Distribution Date]]&gt;"2014-04-01",1,2.5)</f>
        <v>0</v>
      </c>
      <c r="AI880" s="352">
        <f>IF(NFI_Expiration=1,IF($A880&lt;VLOOKUP(R$5,NFI,5,0),1,0)*Table_NFI[[#This Row],[Winter Clothes Adult]],Table_NFI[Winter Clothes Adult])</f>
        <v>0</v>
      </c>
      <c r="AJ880" s="352">
        <f>IF(NFI_Expiration=1,IF($A880&lt;VLOOKUP(S$5,NFI,5,0),1,0)*Table_NFI[[#This Row],[Winter Clothes Children]],Table_NFI[Winter Clothes Children])</f>
        <v>0</v>
      </c>
      <c r="AK880" s="352">
        <f>IF(NFI_Expiration=1,IF($A880&lt;VLOOKUP(T$5,NFI,5,0),1,0)*Table_NFI[[#This Row],[Winter Items Other]],Table_NFI[Winter Items Other])</f>
        <v>0</v>
      </c>
      <c r="AL880" s="352">
        <f>IF(NFI_Expiration=1,IF($A880&lt;VLOOKUP(M$5,NFI,5,0),1,0)*Table_NFI[[#This Row],[Winter Blanket]],Table_NFI[[#This Row],[Winter Blanket]])</f>
        <v>0</v>
      </c>
      <c r="AM880" s="352">
        <f>IF(Table_NFI[[#This Row],[Winter Clothes Adult]]+Table_NFI[[#This Row],[Winter Clothes Children]]+Table_NFI[[#This Row],[Winter Items Other]]+Table_NFI[[#This Row],[Winter Blanket]]&gt;0,1,0)</f>
        <v>0</v>
      </c>
      <c r="AN880" s="392">
        <f>IF(NFI_Expiration=1,IF($A880&lt;VLOOKUP(V$5,NFI,5,0),1,0)*Table_NFI[[#This Row],[Jerry Can]],Table_NFI[Jerry Can])</f>
        <v>0</v>
      </c>
      <c r="AO880" s="540" t="str">
        <f>IFERROR(VLOOKUP(Table_NFI[[#This Row],[Camp Name]],CL,2,0),"")</f>
        <v>MMR001CMP073</v>
      </c>
      <c r="AP880" s="535">
        <f ca="1">IF(Table_NFI[[#This Row],[Pcode]]="","",IF(OFFSET(CampList[Opening Date],MATCH(Table_NFI[[#This Row],[Pcode]],CampList[CP_Pcode],0)-1,0,1,1)&gt;=NFI_Monitor_Date,1,0))</f>
        <v>0</v>
      </c>
      <c r="AQ880" s="540" t="str">
        <f>IFERROR(VLOOKUP(Table_NFI[[#This Row],[Camp Name]],CL,3,0),"")</f>
        <v>Open</v>
      </c>
      <c r="AR880" s="352" t="str">
        <f ca="1">IF(Table_NFI[[#This Row],[Pcode]]="","",OFFSET(CampList[Priority],MATCH(Table_NFI[[#This Row],[Pcode]],CampList[CP_Pcode],0)-1,0,1,1))</f>
        <v>P3</v>
      </c>
      <c r="AS880" s="351">
        <f>IFERROR(Table_NFI[[#This Row],[Kitchen Set]]/VLOOKUP(Table_NFI[[#This Row],[Camp Name]],CL,4,0),"")</f>
        <v>0</v>
      </c>
      <c r="AT880" s="533"/>
      <c r="AU880" s="536"/>
    </row>
    <row r="881" spans="1:47" hidden="1" x14ac:dyDescent="0.2">
      <c r="A881" s="355">
        <f t="shared" si="13"/>
        <v>5.7666666666666666</v>
      </c>
      <c r="B881" s="532">
        <v>42398</v>
      </c>
      <c r="C881" s="533" t="s">
        <v>907</v>
      </c>
      <c r="D881" s="534" t="s">
        <v>907</v>
      </c>
      <c r="E881" s="533" t="s">
        <v>380</v>
      </c>
      <c r="F881" s="348" t="s">
        <v>185</v>
      </c>
      <c r="G881" s="348" t="s">
        <v>225</v>
      </c>
      <c r="H881" s="349"/>
      <c r="I881" s="349"/>
      <c r="J881" s="350"/>
      <c r="K881" s="349"/>
      <c r="L881" s="350"/>
      <c r="M881" s="350"/>
      <c r="N881" s="350"/>
      <c r="O881" s="350"/>
      <c r="P881" s="352"/>
      <c r="Q881" s="392"/>
      <c r="R881" s="392"/>
      <c r="S881" s="392"/>
      <c r="T881" s="392"/>
      <c r="U881" s="392"/>
      <c r="V881" s="822">
        <v>3</v>
      </c>
      <c r="W881" s="392"/>
      <c r="X881" s="392"/>
      <c r="Y881" s="352">
        <f>IF(NFI_Expiration=1,IF($A881&lt;VLOOKUP(H$5,NFI,5,0),1,0)*Table_NFI[[#This Row],[Hygiene Kit]],Table_NFI[Hygiene Kit])</f>
        <v>0</v>
      </c>
      <c r="Z881" s="352">
        <f>IF(NFI_Expiration=1,IF($A881&lt;VLOOKUP(I$5,NFI,5,0),1,0)*Table_NFI[[#This Row],[NFI Core Kit]],Table_NFI[NFI Core Kit])</f>
        <v>0</v>
      </c>
      <c r="AA881" s="352">
        <f>IF(NFI_Expiration=1,IF($A881&lt;VLOOKUP(J$5,NFI,5,0),1,0)*Table_NFI[[#This Row],[Sanitary Kit]],Table_NFI[Sanitary Kit])</f>
        <v>0</v>
      </c>
      <c r="AB881" s="352">
        <f>IF(NFI_Expiration=1,IF($A881&lt;VLOOKUP(K$5,NFI,5,0),1,0)*Table_NFI[[#This Row],[Mosquito net]],Table_NFI[Mosquito net])</f>
        <v>0</v>
      </c>
      <c r="AC881" s="352">
        <f>IF(NFI_Expiration=1,IF($A881&lt;VLOOKUP(L$5,NFI,5,0),1,0)*Table_NFI[[#This Row],[Tarpaulin]],Table_NFI[[#This Row],[Tarpaulin]])</f>
        <v>0</v>
      </c>
      <c r="AD881" s="352">
        <f>IF(NFI_Expiration=1,IF($A881&lt;VLOOKUP(M$5,NFI,5,0),1,0)*Table_NFI[[#This Row],[Blanket]],Table_NFI[[#This Row],[Blanket]])</f>
        <v>0</v>
      </c>
      <c r="AE881" s="352">
        <f>IF(NFI_Expiration=1,IF($A881&lt;VLOOKUP(N$5,NFI,5,0),1,0)*Table_NFI[[#This Row],[Kitchen Set]],Table_NFI[Kitchen Set])</f>
        <v>0</v>
      </c>
      <c r="AF881" s="352">
        <f>IF(NFI_Expiration=1,IF($A881&lt;VLOOKUP(O$5,NFI,5,0),1,0)*Table_NFI[[#This Row],[Clothes Kit]],Table_NFI[Clothes Kit])</f>
        <v>0</v>
      </c>
      <c r="AG881" s="352">
        <f>IF(NFI_Expiration=1,IF($A881&lt;VLOOKUP(P$5,NFI,5,0),1,0)*Table_NFI[[#This Row],[Plastic Bucket]],Table_NFI[Plastic Bucket])</f>
        <v>0</v>
      </c>
      <c r="AH881" s="352">
        <f>IF(NFI_Expiration=1,IF($A881&lt;VLOOKUP(Q$5,NFI,5,0),1,0)*Table_NFI[[#This Row],[Plastic Mat]],Table_NFI[Plastic Mat])*IF(Table_NFI[[#This Row],[Distribution Date]]&gt;"2014-04-01",1,2.5)</f>
        <v>0</v>
      </c>
      <c r="AI881" s="352">
        <f>IF(NFI_Expiration=1,IF($A881&lt;VLOOKUP(R$5,NFI,5,0),1,0)*Table_NFI[[#This Row],[Winter Clothes Adult]],Table_NFI[Winter Clothes Adult])</f>
        <v>0</v>
      </c>
      <c r="AJ881" s="352">
        <f>IF(NFI_Expiration=1,IF($A881&lt;VLOOKUP(S$5,NFI,5,0),1,0)*Table_NFI[[#This Row],[Winter Clothes Children]],Table_NFI[Winter Clothes Children])</f>
        <v>0</v>
      </c>
      <c r="AK881" s="352">
        <f>IF(NFI_Expiration=1,IF($A881&lt;VLOOKUP(T$5,NFI,5,0),1,0)*Table_NFI[[#This Row],[Winter Items Other]],Table_NFI[Winter Items Other])</f>
        <v>0</v>
      </c>
      <c r="AL881" s="352">
        <f>IF(NFI_Expiration=1,IF($A881&lt;VLOOKUP(M$5,NFI,5,0),1,0)*Table_NFI[[#This Row],[Winter Blanket]],Table_NFI[[#This Row],[Winter Blanket]])</f>
        <v>0</v>
      </c>
      <c r="AM881" s="352">
        <f>IF(Table_NFI[[#This Row],[Winter Clothes Adult]]+Table_NFI[[#This Row],[Winter Clothes Children]]+Table_NFI[[#This Row],[Winter Items Other]]+Table_NFI[[#This Row],[Winter Blanket]]&gt;0,1,0)</f>
        <v>0</v>
      </c>
      <c r="AN881" s="392">
        <f>IF(NFI_Expiration=1,IF($A881&lt;VLOOKUP(V$5,NFI,5,0),1,0)*Table_NFI[[#This Row],[Jerry Can]],Table_NFI[Jerry Can])</f>
        <v>3</v>
      </c>
      <c r="AO881" s="540" t="str">
        <f>IFERROR(VLOOKUP(Table_NFI[[#This Row],[Camp Name]],CL,2,0),"")</f>
        <v>MMR001CMP073</v>
      </c>
      <c r="AP881" s="535">
        <f ca="1">IF(Table_NFI[[#This Row],[Pcode]]="","",IF(OFFSET(CampList[Opening Date],MATCH(Table_NFI[[#This Row],[Pcode]],CampList[CP_Pcode],0)-1,0,1,1)&gt;=NFI_Monitor_Date,1,0))</f>
        <v>0</v>
      </c>
      <c r="AQ881" s="540" t="str">
        <f>IFERROR(VLOOKUP(Table_NFI[[#This Row],[Camp Name]],CL,3,0),"")</f>
        <v>Open</v>
      </c>
      <c r="AR881" s="352" t="str">
        <f ca="1">IF(Table_NFI[[#This Row],[Pcode]]="","",OFFSET(CampList[Priority],MATCH(Table_NFI[[#This Row],[Pcode]],CampList[CP_Pcode],0)-1,0,1,1))</f>
        <v>P3</v>
      </c>
      <c r="AS881" s="351">
        <f>IFERROR(Table_NFI[[#This Row],[Kitchen Set]]/VLOOKUP(Table_NFI[[#This Row],[Camp Name]],CL,4,0),"")</f>
        <v>0</v>
      </c>
      <c r="AT881" s="533"/>
      <c r="AU881" s="536"/>
    </row>
    <row r="882" spans="1:47" ht="15" hidden="1" customHeight="1" x14ac:dyDescent="0.2">
      <c r="A882" s="355">
        <f t="shared" si="13"/>
        <v>13.733333333333333</v>
      </c>
      <c r="B882" s="532">
        <v>42159</v>
      </c>
      <c r="C882" s="533" t="s">
        <v>907</v>
      </c>
      <c r="D882" s="534" t="s">
        <v>907</v>
      </c>
      <c r="E882" s="533" t="s">
        <v>380</v>
      </c>
      <c r="F882" s="348" t="s">
        <v>185</v>
      </c>
      <c r="G882" s="348" t="s">
        <v>225</v>
      </c>
      <c r="H882" s="349"/>
      <c r="I882" s="349"/>
      <c r="J882" s="677">
        <v>73</v>
      </c>
      <c r="K882" s="349"/>
      <c r="L882" s="350"/>
      <c r="M882" s="350"/>
      <c r="N882" s="350"/>
      <c r="O882" s="350"/>
      <c r="P882" s="352"/>
      <c r="Q882" s="392"/>
      <c r="R882" s="392"/>
      <c r="S882" s="392"/>
      <c r="T882" s="392"/>
      <c r="U882" s="392"/>
      <c r="V882" s="497"/>
      <c r="W882" s="392"/>
      <c r="X882" s="392"/>
      <c r="Y882" s="352">
        <f>IF(NFI_Expiration=1,IF($A882&lt;VLOOKUP(H$5,NFI,5,0),1,0)*Table_NFI[[#This Row],[Hygiene Kit]],Table_NFI[Hygiene Kit])</f>
        <v>0</v>
      </c>
      <c r="Z882" s="352">
        <f>IF(NFI_Expiration=1,IF($A882&lt;VLOOKUP(I$5,NFI,5,0),1,0)*Table_NFI[[#This Row],[NFI Core Kit]],Table_NFI[NFI Core Kit])</f>
        <v>0</v>
      </c>
      <c r="AA882" s="352">
        <f>IF(NFI_Expiration=1,IF($A882&lt;VLOOKUP(J$5,NFI,5,0),1,0)*Table_NFI[[#This Row],[Sanitary Kit]],Table_NFI[Sanitary Kit])</f>
        <v>0</v>
      </c>
      <c r="AB882" s="352">
        <f>IF(NFI_Expiration=1,IF($A882&lt;VLOOKUP(K$5,NFI,5,0),1,0)*Table_NFI[[#This Row],[Mosquito net]],Table_NFI[Mosquito net])</f>
        <v>0</v>
      </c>
      <c r="AC882" s="352">
        <f>IF(NFI_Expiration=1,IF($A882&lt;VLOOKUP(L$5,NFI,5,0),1,0)*Table_NFI[[#This Row],[Tarpaulin]],Table_NFI[[#This Row],[Tarpaulin]])</f>
        <v>0</v>
      </c>
      <c r="AD882" s="352">
        <f>IF(NFI_Expiration=1,IF($A882&lt;VLOOKUP(M$5,NFI,5,0),1,0)*Table_NFI[[#This Row],[Blanket]],Table_NFI[[#This Row],[Blanket]])</f>
        <v>0</v>
      </c>
      <c r="AE882" s="352">
        <f>IF(NFI_Expiration=1,IF($A882&lt;VLOOKUP(N$5,NFI,5,0),1,0)*Table_NFI[[#This Row],[Kitchen Set]],Table_NFI[Kitchen Set])</f>
        <v>0</v>
      </c>
      <c r="AF882" s="352">
        <f>IF(NFI_Expiration=1,IF($A882&lt;VLOOKUP(O$5,NFI,5,0),1,0)*Table_NFI[[#This Row],[Clothes Kit]],Table_NFI[Clothes Kit])</f>
        <v>0</v>
      </c>
      <c r="AG882" s="352">
        <f>IF(NFI_Expiration=1,IF($A882&lt;VLOOKUP(P$5,NFI,5,0),1,0)*Table_NFI[[#This Row],[Plastic Bucket]],Table_NFI[Plastic Bucket])</f>
        <v>0</v>
      </c>
      <c r="AH882" s="352">
        <f>IF(NFI_Expiration=1,IF($A882&lt;VLOOKUP(Q$5,NFI,5,0),1,0)*Table_NFI[[#This Row],[Plastic Mat]],Table_NFI[Plastic Mat])*IF(Table_NFI[[#This Row],[Distribution Date]]&gt;"2014-04-01",1,2.5)</f>
        <v>0</v>
      </c>
      <c r="AI882" s="352">
        <f>IF(NFI_Expiration=1,IF($A882&lt;VLOOKUP(R$5,NFI,5,0),1,0)*Table_NFI[[#This Row],[Winter Clothes Adult]],Table_NFI[Winter Clothes Adult])</f>
        <v>0</v>
      </c>
      <c r="AJ882" s="352">
        <f>IF(NFI_Expiration=1,IF($A882&lt;VLOOKUP(S$5,NFI,5,0),1,0)*Table_NFI[[#This Row],[Winter Clothes Children]],Table_NFI[Winter Clothes Children])</f>
        <v>0</v>
      </c>
      <c r="AK882" s="352">
        <f>IF(NFI_Expiration=1,IF($A882&lt;VLOOKUP(T$5,NFI,5,0),1,0)*Table_NFI[[#This Row],[Winter Items Other]],Table_NFI[Winter Items Other])</f>
        <v>0</v>
      </c>
      <c r="AL882" s="352">
        <f>IF(NFI_Expiration=1,IF($A882&lt;VLOOKUP(M$5,NFI,5,0),1,0)*Table_NFI[[#This Row],[Winter Blanket]],Table_NFI[[#This Row],[Winter Blanket]])</f>
        <v>0</v>
      </c>
      <c r="AM882" s="352">
        <f>IF(Table_NFI[[#This Row],[Winter Clothes Adult]]+Table_NFI[[#This Row],[Winter Clothes Children]]+Table_NFI[[#This Row],[Winter Items Other]]+Table_NFI[[#This Row],[Winter Blanket]]&gt;0,1,0)</f>
        <v>0</v>
      </c>
      <c r="AN882" s="392">
        <f>IF(NFI_Expiration=1,IF($A882&lt;VLOOKUP(V$5,NFI,5,0),1,0)*Table_NFI[[#This Row],[Jerry Can]],Table_NFI[Jerry Can])</f>
        <v>0</v>
      </c>
      <c r="AO882" s="540" t="str">
        <f>IFERROR(VLOOKUP(Table_NFI[[#This Row],[Camp Name]],CL,2,0),"")</f>
        <v>MMR001CMP073</v>
      </c>
      <c r="AP882" s="535">
        <f ca="1">IF(Table_NFI[[#This Row],[Pcode]]="","",IF(OFFSET(CampList[Opening Date],MATCH(Table_NFI[[#This Row],[Pcode]],CampList[CP_Pcode],0)-1,0,1,1)&gt;=NFI_Monitor_Date,1,0))</f>
        <v>0</v>
      </c>
      <c r="AQ882" s="540" t="str">
        <f>IFERROR(VLOOKUP(Table_NFI[[#This Row],[Camp Name]],CL,3,0),"")</f>
        <v>Open</v>
      </c>
      <c r="AR882" s="352" t="str">
        <f ca="1">IF(Table_NFI[[#This Row],[Pcode]]="","",OFFSET(CampList[Priority],MATCH(Table_NFI[[#This Row],[Pcode]],CampList[CP_Pcode],0)-1,0,1,1))</f>
        <v>P3</v>
      </c>
      <c r="AS882" s="351">
        <f>IFERROR(Table_NFI[[#This Row],[Kitchen Set]]/VLOOKUP(Table_NFI[[#This Row],[Camp Name]],CL,4,0),"")</f>
        <v>0</v>
      </c>
      <c r="AT882" s="533"/>
      <c r="AU882" s="536"/>
    </row>
    <row r="883" spans="1:47" hidden="1" x14ac:dyDescent="0.2">
      <c r="A883" s="355">
        <f t="shared" si="13"/>
        <v>5.4333333333333336</v>
      </c>
      <c r="B883" s="532">
        <v>42408</v>
      </c>
      <c r="C883" s="533" t="s">
        <v>907</v>
      </c>
      <c r="D883" s="534" t="s">
        <v>907</v>
      </c>
      <c r="E883" s="533" t="s">
        <v>380</v>
      </c>
      <c r="F883" s="348" t="s">
        <v>185</v>
      </c>
      <c r="G883" s="348" t="s">
        <v>225</v>
      </c>
      <c r="H883" s="349"/>
      <c r="I883" s="349"/>
      <c r="J883" s="677">
        <v>62</v>
      </c>
      <c r="K883" s="349"/>
      <c r="L883" s="350"/>
      <c r="M883" s="350"/>
      <c r="N883" s="350"/>
      <c r="O883" s="350"/>
      <c r="P883" s="352"/>
      <c r="Q883" s="392"/>
      <c r="R883" s="392"/>
      <c r="S883" s="392"/>
      <c r="T883" s="392"/>
      <c r="U883" s="392"/>
      <c r="V883" s="497"/>
      <c r="W883" s="392"/>
      <c r="X883" s="392"/>
      <c r="Y883" s="352">
        <f>IF(NFI_Expiration=1,IF($A883&lt;VLOOKUP(H$5,NFI,5,0),1,0)*Table_NFI[[#This Row],[Hygiene Kit]],Table_NFI[Hygiene Kit])</f>
        <v>0</v>
      </c>
      <c r="Z883" s="352">
        <f>IF(NFI_Expiration=1,IF($A883&lt;VLOOKUP(I$5,NFI,5,0),1,0)*Table_NFI[[#This Row],[NFI Core Kit]],Table_NFI[NFI Core Kit])</f>
        <v>0</v>
      </c>
      <c r="AA883" s="352">
        <f>IF(NFI_Expiration=1,IF($A883&lt;VLOOKUP(J$5,NFI,5,0),1,0)*Table_NFI[[#This Row],[Sanitary Kit]],Table_NFI[Sanitary Kit])</f>
        <v>62</v>
      </c>
      <c r="AB883" s="352">
        <f>IF(NFI_Expiration=1,IF($A883&lt;VLOOKUP(K$5,NFI,5,0),1,0)*Table_NFI[[#This Row],[Mosquito net]],Table_NFI[Mosquito net])</f>
        <v>0</v>
      </c>
      <c r="AC883" s="352">
        <f>IF(NFI_Expiration=1,IF($A883&lt;VLOOKUP(L$5,NFI,5,0),1,0)*Table_NFI[[#This Row],[Tarpaulin]],Table_NFI[[#This Row],[Tarpaulin]])</f>
        <v>0</v>
      </c>
      <c r="AD883" s="352">
        <f>IF(NFI_Expiration=1,IF($A883&lt;VLOOKUP(M$5,NFI,5,0),1,0)*Table_NFI[[#This Row],[Blanket]],Table_NFI[[#This Row],[Blanket]])</f>
        <v>0</v>
      </c>
      <c r="AE883" s="352">
        <f>IF(NFI_Expiration=1,IF($A883&lt;VLOOKUP(N$5,NFI,5,0),1,0)*Table_NFI[[#This Row],[Kitchen Set]],Table_NFI[Kitchen Set])</f>
        <v>0</v>
      </c>
      <c r="AF883" s="352">
        <f>IF(NFI_Expiration=1,IF($A883&lt;VLOOKUP(O$5,NFI,5,0),1,0)*Table_NFI[[#This Row],[Clothes Kit]],Table_NFI[Clothes Kit])</f>
        <v>0</v>
      </c>
      <c r="AG883" s="352">
        <f>IF(NFI_Expiration=1,IF($A883&lt;VLOOKUP(P$5,NFI,5,0),1,0)*Table_NFI[[#This Row],[Plastic Bucket]],Table_NFI[Plastic Bucket])</f>
        <v>0</v>
      </c>
      <c r="AH883" s="352">
        <f>IF(NFI_Expiration=1,IF($A883&lt;VLOOKUP(Q$5,NFI,5,0),1,0)*Table_NFI[[#This Row],[Plastic Mat]],Table_NFI[Plastic Mat])*IF(Table_NFI[[#This Row],[Distribution Date]]&gt;"2014-04-01",1,2.5)</f>
        <v>0</v>
      </c>
      <c r="AI883" s="352">
        <f>IF(NFI_Expiration=1,IF($A883&lt;VLOOKUP(R$5,NFI,5,0),1,0)*Table_NFI[[#This Row],[Winter Clothes Adult]],Table_NFI[Winter Clothes Adult])</f>
        <v>0</v>
      </c>
      <c r="AJ883" s="352">
        <f>IF(NFI_Expiration=1,IF($A883&lt;VLOOKUP(S$5,NFI,5,0),1,0)*Table_NFI[[#This Row],[Winter Clothes Children]],Table_NFI[Winter Clothes Children])</f>
        <v>0</v>
      </c>
      <c r="AK883" s="352">
        <f>IF(NFI_Expiration=1,IF($A883&lt;VLOOKUP(T$5,NFI,5,0),1,0)*Table_NFI[[#This Row],[Winter Items Other]],Table_NFI[Winter Items Other])</f>
        <v>0</v>
      </c>
      <c r="AL883" s="352">
        <f>IF(NFI_Expiration=1,IF($A883&lt;VLOOKUP(M$5,NFI,5,0),1,0)*Table_NFI[[#This Row],[Winter Blanket]],Table_NFI[[#This Row],[Winter Blanket]])</f>
        <v>0</v>
      </c>
      <c r="AM883" s="352">
        <f>IF(Table_NFI[[#This Row],[Winter Clothes Adult]]+Table_NFI[[#This Row],[Winter Clothes Children]]+Table_NFI[[#This Row],[Winter Items Other]]+Table_NFI[[#This Row],[Winter Blanket]]&gt;0,1,0)</f>
        <v>0</v>
      </c>
      <c r="AN883" s="392">
        <f>IF(NFI_Expiration=1,IF($A883&lt;VLOOKUP(V$5,NFI,5,0),1,0)*Table_NFI[[#This Row],[Jerry Can]],Table_NFI[Jerry Can])</f>
        <v>0</v>
      </c>
      <c r="AO883" s="540" t="str">
        <f>IFERROR(VLOOKUP(Table_NFI[[#This Row],[Camp Name]],CL,2,0),"")</f>
        <v>MMR001CMP073</v>
      </c>
      <c r="AP883" s="535">
        <f ca="1">IF(Table_NFI[[#This Row],[Pcode]]="","",IF(OFFSET(CampList[Opening Date],MATCH(Table_NFI[[#This Row],[Pcode]],CampList[CP_Pcode],0)-1,0,1,1)&gt;=NFI_Monitor_Date,1,0))</f>
        <v>0</v>
      </c>
      <c r="AQ883" s="540" t="str">
        <f>IFERROR(VLOOKUP(Table_NFI[[#This Row],[Camp Name]],CL,3,0),"")</f>
        <v>Open</v>
      </c>
      <c r="AR883" s="352" t="str">
        <f ca="1">IF(Table_NFI[[#This Row],[Pcode]]="","",OFFSET(CampList[Priority],MATCH(Table_NFI[[#This Row],[Pcode]],CampList[CP_Pcode],0)-1,0,1,1))</f>
        <v>P3</v>
      </c>
      <c r="AS883" s="351">
        <f>IFERROR(Table_NFI[[#This Row],[Kitchen Set]]/VLOOKUP(Table_NFI[[#This Row],[Camp Name]],CL,4,0),"")</f>
        <v>0</v>
      </c>
      <c r="AT883" s="533"/>
      <c r="AU883" s="536"/>
    </row>
    <row r="884" spans="1:47" hidden="1" x14ac:dyDescent="0.25">
      <c r="A884" s="355">
        <f t="shared" si="13"/>
        <v>32.1</v>
      </c>
      <c r="B884" s="532">
        <v>41608</v>
      </c>
      <c r="C884" s="533" t="s">
        <v>907</v>
      </c>
      <c r="D884" s="533"/>
      <c r="E884" s="533" t="s">
        <v>380</v>
      </c>
      <c r="F884" s="348" t="s">
        <v>185</v>
      </c>
      <c r="G884" s="348" t="s">
        <v>225</v>
      </c>
      <c r="H884" s="349"/>
      <c r="I884" s="349"/>
      <c r="J884" s="349"/>
      <c r="K884" s="349"/>
      <c r="L884" s="350"/>
      <c r="M884" s="350"/>
      <c r="N884" s="350"/>
      <c r="O884" s="350"/>
      <c r="P884" s="352"/>
      <c r="Q884" s="352">
        <v>99</v>
      </c>
      <c r="R884" s="352"/>
      <c r="S884" s="352"/>
      <c r="T884" s="352"/>
      <c r="U884" s="352"/>
      <c r="V884" s="497"/>
      <c r="W884" s="352"/>
      <c r="X884" s="352"/>
      <c r="Y884" s="352">
        <f>IF(NFI_Expiration=1,IF($A884&lt;VLOOKUP(H$5,NFI,5,0),1,0)*Table_NFI[[#This Row],[Hygiene Kit]],Table_NFI[Hygiene Kit])</f>
        <v>0</v>
      </c>
      <c r="Z884" s="352">
        <f>IF(NFI_Expiration=1,IF($A884&lt;VLOOKUP(I$5,NFI,5,0),1,0)*Table_NFI[[#This Row],[NFI Core Kit]],Table_NFI[NFI Core Kit])</f>
        <v>0</v>
      </c>
      <c r="AA884" s="352">
        <f>IF(NFI_Expiration=1,IF($A884&lt;VLOOKUP(J$5,NFI,5,0),1,0)*Table_NFI[[#This Row],[Sanitary Kit]],Table_NFI[Sanitary Kit])</f>
        <v>0</v>
      </c>
      <c r="AB884" s="352">
        <f>IF(NFI_Expiration=1,IF($A884&lt;VLOOKUP(K$5,NFI,5,0),1,0)*Table_NFI[[#This Row],[Mosquito net]],Table_NFI[Mosquito net])</f>
        <v>0</v>
      </c>
      <c r="AC884" s="352">
        <f>IF(NFI_Expiration=1,IF($A884&lt;VLOOKUP(L$5,NFI,5,0),1,0)*Table_NFI[[#This Row],[Tarpaulin]],Table_NFI[[#This Row],[Tarpaulin]])</f>
        <v>0</v>
      </c>
      <c r="AD884" s="352">
        <f>IF(NFI_Expiration=1,IF($A884&lt;VLOOKUP(M$5,NFI,5,0),1,0)*Table_NFI[[#This Row],[Blanket]],Table_NFI[[#This Row],[Blanket]])</f>
        <v>0</v>
      </c>
      <c r="AE884" s="352">
        <f>IF(NFI_Expiration=1,IF($A884&lt;VLOOKUP(N$5,NFI,5,0),1,0)*Table_NFI[[#This Row],[Kitchen Set]],Table_NFI[Kitchen Set])</f>
        <v>0</v>
      </c>
      <c r="AF884" s="352">
        <f>IF(NFI_Expiration=1,IF($A884&lt;VLOOKUP(O$5,NFI,5,0),1,0)*Table_NFI[[#This Row],[Clothes Kit]],Table_NFI[Clothes Kit])</f>
        <v>0</v>
      </c>
      <c r="AG884" s="352">
        <f>IF(NFI_Expiration=1,IF($A884&lt;VLOOKUP(P$5,NFI,5,0),1,0)*Table_NFI[[#This Row],[Plastic Bucket]],Table_NFI[Plastic Bucket])</f>
        <v>0</v>
      </c>
      <c r="AH884" s="352">
        <f>IF(NFI_Expiration=1,IF($A884&lt;VLOOKUP(Q$5,NFI,5,0),1,0)*Table_NFI[[#This Row],[Plastic Mat]],Table_NFI[Plastic Mat])*IF(Table_NFI[[#This Row],[Distribution Date]]&gt;"2014-04-01",1,2.5)</f>
        <v>0</v>
      </c>
      <c r="AI884" s="352">
        <f>IF(NFI_Expiration=1,IF($A884&lt;VLOOKUP(R$5,NFI,5,0),1,0)*Table_NFI[[#This Row],[Winter Clothes Adult]],Table_NFI[Winter Clothes Adult])</f>
        <v>0</v>
      </c>
      <c r="AJ884" s="352">
        <f>IF(NFI_Expiration=1,IF($A884&lt;VLOOKUP(S$5,NFI,5,0),1,0)*Table_NFI[[#This Row],[Winter Clothes Children]],Table_NFI[Winter Clothes Children])</f>
        <v>0</v>
      </c>
      <c r="AK884" s="352">
        <f>IF(NFI_Expiration=1,IF($A884&lt;VLOOKUP(T$5,NFI,5,0),1,0)*Table_NFI[[#This Row],[Winter Items Other]],Table_NFI[Winter Items Other])</f>
        <v>0</v>
      </c>
      <c r="AL884" s="352">
        <f>IF(NFI_Expiration=1,IF($A884&lt;VLOOKUP(M$5,NFI,5,0),1,0)*Table_NFI[[#This Row],[Winter Blanket]],Table_NFI[[#This Row],[Winter Blanket]])</f>
        <v>0</v>
      </c>
      <c r="AM884" s="352">
        <f>IF(Table_NFI[[#This Row],[Winter Clothes Adult]]+Table_NFI[[#This Row],[Winter Clothes Children]]+Table_NFI[[#This Row],[Winter Items Other]]+Table_NFI[[#This Row],[Winter Blanket]]&gt;0,1,0)</f>
        <v>0</v>
      </c>
      <c r="AN884" s="392">
        <f>IF(NFI_Expiration=1,IF($A884&lt;VLOOKUP(V$5,NFI,5,0),1,0)*Table_NFI[[#This Row],[Jerry Can]],Table_NFI[Jerry Can])</f>
        <v>0</v>
      </c>
      <c r="AO884" s="540" t="str">
        <f>IFERROR(VLOOKUP(Table_NFI[[#This Row],[Camp Name]],CL,2,0),"")</f>
        <v>MMR001CMP073</v>
      </c>
      <c r="AP884" s="535">
        <f ca="1">IF(Table_NFI[[#This Row],[Pcode]]="","",IF(OFFSET(CampList[Opening Date],MATCH(Table_NFI[[#This Row],[Pcode]],CampList[CP_Pcode],0)-1,0,1,1)&gt;=NFI_Monitor_Date,1,0))</f>
        <v>0</v>
      </c>
      <c r="AQ884" s="540" t="str">
        <f>IFERROR(VLOOKUP(Table_NFI[[#This Row],[Camp Name]],CL,3,0),"")</f>
        <v>Open</v>
      </c>
      <c r="AR884" s="352" t="str">
        <f ca="1">IF(Table_NFI[[#This Row],[Pcode]]="","",OFFSET(CampList[Priority],MATCH(Table_NFI[[#This Row],[Pcode]],CampList[CP_Pcode],0)-1,0,1,1))</f>
        <v>P3</v>
      </c>
      <c r="AS884" s="351">
        <f>IFERROR(Table_NFI[[#This Row],[Kitchen Set]]/VLOOKUP(Table_NFI[[#This Row],[Camp Name]],CL,4,0),"")</f>
        <v>0</v>
      </c>
      <c r="AT884" s="533" t="s">
        <v>1094</v>
      </c>
      <c r="AU884" s="536"/>
    </row>
    <row r="885" spans="1:47" ht="14.45" hidden="1" customHeight="1" x14ac:dyDescent="0.25">
      <c r="A885" s="355">
        <f t="shared" si="13"/>
        <v>32.633333333333333</v>
      </c>
      <c r="B885" s="532">
        <v>41592</v>
      </c>
      <c r="C885" s="533" t="s">
        <v>454</v>
      </c>
      <c r="D885" s="533"/>
      <c r="E885" s="533" t="s">
        <v>380</v>
      </c>
      <c r="F885" s="533" t="s">
        <v>185</v>
      </c>
      <c r="G885" s="533" t="s">
        <v>225</v>
      </c>
      <c r="H885" s="349"/>
      <c r="I885" s="349"/>
      <c r="J885" s="349"/>
      <c r="K885" s="349"/>
      <c r="L885" s="350"/>
      <c r="M885" s="350">
        <v>110</v>
      </c>
      <c r="N885" s="350"/>
      <c r="O885" s="350"/>
      <c r="P885" s="352"/>
      <c r="Q885" s="352"/>
      <c r="R885" s="352"/>
      <c r="S885" s="352"/>
      <c r="T885" s="352"/>
      <c r="U885" s="352"/>
      <c r="V885" s="497"/>
      <c r="W885" s="352"/>
      <c r="X885" s="352"/>
      <c r="Y885" s="352">
        <f>IF(NFI_Expiration=1,IF($A885&lt;VLOOKUP(H$5,NFI,5,0),1,0)*Table_NFI[[#This Row],[Hygiene Kit]],Table_NFI[Hygiene Kit])</f>
        <v>0</v>
      </c>
      <c r="Z885" s="352">
        <f>IF(NFI_Expiration=1,IF($A885&lt;VLOOKUP(I$5,NFI,5,0),1,0)*Table_NFI[[#This Row],[NFI Core Kit]],Table_NFI[NFI Core Kit])</f>
        <v>0</v>
      </c>
      <c r="AA885" s="352">
        <f>IF(NFI_Expiration=1,IF($A885&lt;VLOOKUP(J$5,NFI,5,0),1,0)*Table_NFI[[#This Row],[Sanitary Kit]],Table_NFI[Sanitary Kit])</f>
        <v>0</v>
      </c>
      <c r="AB885" s="352">
        <f>IF(NFI_Expiration=1,IF($A885&lt;VLOOKUP(K$5,NFI,5,0),1,0)*Table_NFI[[#This Row],[Mosquito net]],Table_NFI[Mosquito net])</f>
        <v>0</v>
      </c>
      <c r="AC885" s="352">
        <f>IF(NFI_Expiration=1,IF($A885&lt;VLOOKUP(L$5,NFI,5,0),1,0)*Table_NFI[[#This Row],[Tarpaulin]],Table_NFI[[#This Row],[Tarpaulin]])</f>
        <v>0</v>
      </c>
      <c r="AD885" s="352">
        <f>IF(NFI_Expiration=1,IF($A885&lt;VLOOKUP(M$5,NFI,5,0),1,0)*Table_NFI[[#This Row],[Blanket]],Table_NFI[[#This Row],[Blanket]])</f>
        <v>0</v>
      </c>
      <c r="AE885" s="352">
        <f>IF(NFI_Expiration=1,IF($A885&lt;VLOOKUP(N$5,NFI,5,0),1,0)*Table_NFI[[#This Row],[Kitchen Set]],Table_NFI[Kitchen Set])</f>
        <v>0</v>
      </c>
      <c r="AF885" s="352">
        <f>IF(NFI_Expiration=1,IF($A885&lt;VLOOKUP(O$5,NFI,5,0),1,0)*Table_NFI[[#This Row],[Clothes Kit]],Table_NFI[Clothes Kit])</f>
        <v>0</v>
      </c>
      <c r="AG885" s="352">
        <f>IF(NFI_Expiration=1,IF($A885&lt;VLOOKUP(P$5,NFI,5,0),1,0)*Table_NFI[[#This Row],[Plastic Bucket]],Table_NFI[Plastic Bucket])</f>
        <v>0</v>
      </c>
      <c r="AH885" s="352">
        <f>IF(NFI_Expiration=1,IF($A885&lt;VLOOKUP(Q$5,NFI,5,0),1,0)*Table_NFI[[#This Row],[Plastic Mat]],Table_NFI[Plastic Mat])*IF(Table_NFI[[#This Row],[Distribution Date]]&gt;"2014-04-01",1,2.5)</f>
        <v>0</v>
      </c>
      <c r="AI885" s="352">
        <f>IF(NFI_Expiration=1,IF($A885&lt;VLOOKUP(R$5,NFI,5,0),1,0)*Table_NFI[[#This Row],[Winter Clothes Adult]],Table_NFI[Winter Clothes Adult])</f>
        <v>0</v>
      </c>
      <c r="AJ885" s="352">
        <f>IF(NFI_Expiration=1,IF($A885&lt;VLOOKUP(S$5,NFI,5,0),1,0)*Table_NFI[[#This Row],[Winter Clothes Children]],Table_NFI[Winter Clothes Children])</f>
        <v>0</v>
      </c>
      <c r="AK885" s="352">
        <f>IF(NFI_Expiration=1,IF($A885&lt;VLOOKUP(T$5,NFI,5,0),1,0)*Table_NFI[[#This Row],[Winter Items Other]],Table_NFI[Winter Items Other])</f>
        <v>0</v>
      </c>
      <c r="AL885" s="352">
        <f>IF(NFI_Expiration=1,IF($A885&lt;VLOOKUP(M$5,NFI,5,0),1,0)*Table_NFI[[#This Row],[Winter Blanket]],Table_NFI[[#This Row],[Winter Blanket]])</f>
        <v>0</v>
      </c>
      <c r="AM885" s="352">
        <f>IF(Table_NFI[[#This Row],[Winter Clothes Adult]]+Table_NFI[[#This Row],[Winter Clothes Children]]+Table_NFI[[#This Row],[Winter Items Other]]+Table_NFI[[#This Row],[Winter Blanket]]&gt;0,1,0)</f>
        <v>0</v>
      </c>
      <c r="AN885" s="392">
        <f>IF(NFI_Expiration=1,IF($A885&lt;VLOOKUP(V$5,NFI,5,0),1,0)*Table_NFI[[#This Row],[Jerry Can]],Table_NFI[Jerry Can])</f>
        <v>0</v>
      </c>
      <c r="AO885" s="540" t="str">
        <f>IFERROR(VLOOKUP(Table_NFI[[#This Row],[Camp Name]],CL,2,0),"")</f>
        <v>MMR001CMP073</v>
      </c>
      <c r="AP885" s="535">
        <f ca="1">IF(Table_NFI[[#This Row],[Pcode]]="","",IF(OFFSET(CampList[Opening Date],MATCH(Table_NFI[[#This Row],[Pcode]],CampList[CP_Pcode],0)-1,0,1,1)&gt;=NFI_Monitor_Date,1,0))</f>
        <v>0</v>
      </c>
      <c r="AQ885" s="540" t="str">
        <f>IFERROR(VLOOKUP(Table_NFI[[#This Row],[Camp Name]],CL,3,0),"")</f>
        <v>Open</v>
      </c>
      <c r="AR885" s="352" t="str">
        <f ca="1">IF(Table_NFI[[#This Row],[Pcode]]="","",OFFSET(CampList[Priority],MATCH(Table_NFI[[#This Row],[Pcode]],CampList[CP_Pcode],0)-1,0,1,1))</f>
        <v>P3</v>
      </c>
      <c r="AS885" s="351">
        <f>IFERROR(Table_NFI[[#This Row],[Kitchen Set]]/VLOOKUP(Table_NFI[[#This Row],[Camp Name]],CL,4,0),"")</f>
        <v>0</v>
      </c>
      <c r="AT885" s="533" t="s">
        <v>1094</v>
      </c>
      <c r="AU885" s="536"/>
    </row>
    <row r="886" spans="1:47" hidden="1" x14ac:dyDescent="0.25">
      <c r="A886" s="355">
        <f t="shared" si="13"/>
        <v>41.166666666666664</v>
      </c>
      <c r="B886" s="532">
        <v>41336</v>
      </c>
      <c r="C886" s="533" t="s">
        <v>907</v>
      </c>
      <c r="D886" s="534" t="s">
        <v>907</v>
      </c>
      <c r="E886" s="533" t="s">
        <v>380</v>
      </c>
      <c r="F886" s="348" t="s">
        <v>185</v>
      </c>
      <c r="G886" s="348" t="s">
        <v>225</v>
      </c>
      <c r="H886" s="349">
        <v>33</v>
      </c>
      <c r="I886" s="349"/>
      <c r="J886" s="349"/>
      <c r="K886" s="349"/>
      <c r="L886" s="350"/>
      <c r="M886" s="350"/>
      <c r="N886" s="350"/>
      <c r="O886" s="350"/>
      <c r="P886" s="352">
        <v>0</v>
      </c>
      <c r="Q886" s="352">
        <v>0</v>
      </c>
      <c r="R886" s="352"/>
      <c r="S886" s="352"/>
      <c r="T886" s="352"/>
      <c r="U886" s="352"/>
      <c r="V886" s="497"/>
      <c r="W886" s="352"/>
      <c r="X886" s="352"/>
      <c r="Y886" s="352">
        <f>IF(NFI_Expiration=1,IF($A886&lt;VLOOKUP(H$5,NFI,5,0),1,0)*Table_NFI[[#This Row],[Hygiene Kit]],Table_NFI[Hygiene Kit])</f>
        <v>0</v>
      </c>
      <c r="Z886" s="352">
        <f>IF(NFI_Expiration=1,IF($A886&lt;VLOOKUP(I$5,NFI,5,0),1,0)*Table_NFI[[#This Row],[NFI Core Kit]],Table_NFI[NFI Core Kit])</f>
        <v>0</v>
      </c>
      <c r="AA886" s="352">
        <f>IF(NFI_Expiration=1,IF($A886&lt;VLOOKUP(J$5,NFI,5,0),1,0)*Table_NFI[[#This Row],[Sanitary Kit]],Table_NFI[Sanitary Kit])</f>
        <v>0</v>
      </c>
      <c r="AB886" s="352">
        <f>IF(NFI_Expiration=1,IF($A886&lt;VLOOKUP(K$5,NFI,5,0),1,0)*Table_NFI[[#This Row],[Mosquito net]],Table_NFI[Mosquito net])</f>
        <v>0</v>
      </c>
      <c r="AC886" s="352">
        <f>IF(NFI_Expiration=1,IF($A886&lt;VLOOKUP(L$5,NFI,5,0),1,0)*Table_NFI[[#This Row],[Tarpaulin]],Table_NFI[[#This Row],[Tarpaulin]])</f>
        <v>0</v>
      </c>
      <c r="AD886" s="352">
        <f>IF(NFI_Expiration=1,IF($A886&lt;VLOOKUP(M$5,NFI,5,0),1,0)*Table_NFI[[#This Row],[Blanket]],Table_NFI[[#This Row],[Blanket]])</f>
        <v>0</v>
      </c>
      <c r="AE886" s="352">
        <f>IF(NFI_Expiration=1,IF($A886&lt;VLOOKUP(N$5,NFI,5,0),1,0)*Table_NFI[[#This Row],[Kitchen Set]],Table_NFI[Kitchen Set])</f>
        <v>0</v>
      </c>
      <c r="AF886" s="352">
        <f>IF(NFI_Expiration=1,IF($A886&lt;VLOOKUP(O$5,NFI,5,0),1,0)*Table_NFI[[#This Row],[Clothes Kit]],Table_NFI[Clothes Kit])</f>
        <v>0</v>
      </c>
      <c r="AG886" s="352">
        <f>IF(NFI_Expiration=1,IF($A886&lt;VLOOKUP(P$5,NFI,5,0),1,0)*Table_NFI[[#This Row],[Plastic Bucket]],Table_NFI[Plastic Bucket])</f>
        <v>0</v>
      </c>
      <c r="AH886" s="352">
        <f>IF(NFI_Expiration=1,IF($A886&lt;VLOOKUP(Q$5,NFI,5,0),1,0)*Table_NFI[[#This Row],[Plastic Mat]],Table_NFI[Plastic Mat])*IF(Table_NFI[[#This Row],[Distribution Date]]&gt;"2014-04-01",1,2.5)</f>
        <v>0</v>
      </c>
      <c r="AI886" s="352">
        <f>IF(NFI_Expiration=1,IF($A886&lt;VLOOKUP(R$5,NFI,5,0),1,0)*Table_NFI[[#This Row],[Winter Clothes Adult]],Table_NFI[Winter Clothes Adult])</f>
        <v>0</v>
      </c>
      <c r="AJ886" s="352">
        <f>IF(NFI_Expiration=1,IF($A886&lt;VLOOKUP(S$5,NFI,5,0),1,0)*Table_NFI[[#This Row],[Winter Clothes Children]],Table_NFI[Winter Clothes Children])</f>
        <v>0</v>
      </c>
      <c r="AK886" s="352">
        <f>IF(NFI_Expiration=1,IF($A886&lt;VLOOKUP(T$5,NFI,5,0),1,0)*Table_NFI[[#This Row],[Winter Items Other]],Table_NFI[Winter Items Other])</f>
        <v>0</v>
      </c>
      <c r="AL886" s="352">
        <f>IF(NFI_Expiration=1,IF($A886&lt;VLOOKUP(M$5,NFI,5,0),1,0)*Table_NFI[[#This Row],[Winter Blanket]],Table_NFI[[#This Row],[Winter Blanket]])</f>
        <v>0</v>
      </c>
      <c r="AM886" s="352">
        <f>IF(Table_NFI[[#This Row],[Winter Clothes Adult]]+Table_NFI[[#This Row],[Winter Clothes Children]]+Table_NFI[[#This Row],[Winter Items Other]]+Table_NFI[[#This Row],[Winter Blanket]]&gt;0,1,0)</f>
        <v>0</v>
      </c>
      <c r="AN886" s="392">
        <f>IF(NFI_Expiration=1,IF($A886&lt;VLOOKUP(V$5,NFI,5,0),1,0)*Table_NFI[[#This Row],[Jerry Can]],Table_NFI[Jerry Can])</f>
        <v>0</v>
      </c>
      <c r="AO886" s="540" t="str">
        <f>IFERROR(VLOOKUP(Table_NFI[[#This Row],[Camp Name]],CL,2,0),"")</f>
        <v>MMR001CMP073</v>
      </c>
      <c r="AP886" s="535">
        <f ca="1">IF(Table_NFI[[#This Row],[Pcode]]="","",IF(OFFSET(CampList[Opening Date],MATCH(Table_NFI[[#This Row],[Pcode]],CampList[CP_Pcode],0)-1,0,1,1)&gt;=NFI_Monitor_Date,1,0))</f>
        <v>0</v>
      </c>
      <c r="AQ886" s="540" t="str">
        <f>IFERROR(VLOOKUP(Table_NFI[[#This Row],[Camp Name]],CL,3,0),"")</f>
        <v>Open</v>
      </c>
      <c r="AR886" s="352" t="str">
        <f ca="1">IF(Table_NFI[[#This Row],[Pcode]]="","",OFFSET(CampList[Priority],MATCH(Table_NFI[[#This Row],[Pcode]],CampList[CP_Pcode],0)-1,0,1,1))</f>
        <v>P3</v>
      </c>
      <c r="AS886" s="351">
        <f>IFERROR(Table_NFI[[#This Row],[Kitchen Set]]/VLOOKUP(Table_NFI[[#This Row],[Camp Name]],CL,4,0),"")</f>
        <v>0</v>
      </c>
      <c r="AT886" s="533" t="s">
        <v>1094</v>
      </c>
      <c r="AU886" s="536"/>
    </row>
    <row r="887" spans="1:47" ht="14.45" customHeight="1" x14ac:dyDescent="0.25">
      <c r="A887" s="355">
        <f t="shared" si="13"/>
        <v>50.633333333333333</v>
      </c>
      <c r="B887" s="532">
        <v>41052</v>
      </c>
      <c r="C887" s="533" t="s">
        <v>453</v>
      </c>
      <c r="D887" s="533" t="s">
        <v>453</v>
      </c>
      <c r="E887" s="533" t="s">
        <v>380</v>
      </c>
      <c r="F887" s="348" t="s">
        <v>237</v>
      </c>
      <c r="G887" s="348" t="s">
        <v>271</v>
      </c>
      <c r="H887" s="349"/>
      <c r="I887" s="349"/>
      <c r="J887" s="349"/>
      <c r="K887" s="349">
        <v>58</v>
      </c>
      <c r="L887" s="350">
        <v>29</v>
      </c>
      <c r="M887" s="350">
        <v>58</v>
      </c>
      <c r="N887" s="350">
        <v>29</v>
      </c>
      <c r="O887" s="350">
        <v>29</v>
      </c>
      <c r="P887" s="352">
        <v>29</v>
      </c>
      <c r="Q887" s="352">
        <v>29</v>
      </c>
      <c r="R887" s="352"/>
      <c r="S887" s="352"/>
      <c r="T887" s="352"/>
      <c r="U887" s="352"/>
      <c r="V887" s="497"/>
      <c r="W887" s="352"/>
      <c r="X887" s="352"/>
      <c r="Y887" s="352">
        <f>IF(NFI_Expiration=1,IF($A887&lt;VLOOKUP(H$5,NFI,5,0),1,0)*Table_NFI[[#This Row],[Hygiene Kit]],Table_NFI[Hygiene Kit])</f>
        <v>0</v>
      </c>
      <c r="Z887" s="352">
        <f>IF(NFI_Expiration=1,IF($A887&lt;VLOOKUP(I$5,NFI,5,0),1,0)*Table_NFI[[#This Row],[NFI Core Kit]],Table_NFI[NFI Core Kit])</f>
        <v>0</v>
      </c>
      <c r="AA887" s="352">
        <f>IF(NFI_Expiration=1,IF($A887&lt;VLOOKUP(J$5,NFI,5,0),1,0)*Table_NFI[[#This Row],[Sanitary Kit]],Table_NFI[Sanitary Kit])</f>
        <v>0</v>
      </c>
      <c r="AB887" s="352">
        <f>IF(NFI_Expiration=1,IF($A887&lt;VLOOKUP(K$5,NFI,5,0),1,0)*Table_NFI[[#This Row],[Mosquito net]],Table_NFI[Mosquito net])</f>
        <v>0</v>
      </c>
      <c r="AC887" s="352">
        <f>IF(NFI_Expiration=1,IF($A887&lt;VLOOKUP(L$5,NFI,5,0),1,0)*Table_NFI[[#This Row],[Tarpaulin]],Table_NFI[[#This Row],[Tarpaulin]])</f>
        <v>0</v>
      </c>
      <c r="AD887" s="352">
        <f>IF(NFI_Expiration=1,IF($A887&lt;VLOOKUP(M$5,NFI,5,0),1,0)*Table_NFI[[#This Row],[Blanket]],Table_NFI[[#This Row],[Blanket]])</f>
        <v>0</v>
      </c>
      <c r="AE887" s="352">
        <f>IF(NFI_Expiration=1,IF($A887&lt;VLOOKUP(N$5,NFI,5,0),1,0)*Table_NFI[[#This Row],[Kitchen Set]],Table_NFI[Kitchen Set])</f>
        <v>0</v>
      </c>
      <c r="AF887" s="352">
        <f>IF(NFI_Expiration=1,IF($A887&lt;VLOOKUP(O$5,NFI,5,0),1,0)*Table_NFI[[#This Row],[Clothes Kit]],Table_NFI[Clothes Kit])</f>
        <v>0</v>
      </c>
      <c r="AG887" s="352">
        <f>IF(NFI_Expiration=1,IF($A887&lt;VLOOKUP(P$5,NFI,5,0),1,0)*Table_NFI[[#This Row],[Plastic Bucket]],Table_NFI[Plastic Bucket])</f>
        <v>0</v>
      </c>
      <c r="AH887" s="352">
        <f>IF(NFI_Expiration=1,IF($A887&lt;VLOOKUP(Q$5,NFI,5,0),1,0)*Table_NFI[[#This Row],[Plastic Mat]],Table_NFI[Plastic Mat])*IF(Table_NFI[[#This Row],[Distribution Date]]&gt;"2014-04-01",1,2.5)</f>
        <v>0</v>
      </c>
      <c r="AI887" s="352">
        <f>IF(NFI_Expiration=1,IF($A887&lt;VLOOKUP(R$5,NFI,5,0),1,0)*Table_NFI[[#This Row],[Winter Clothes Adult]],Table_NFI[Winter Clothes Adult])</f>
        <v>0</v>
      </c>
      <c r="AJ887" s="352">
        <f>IF(NFI_Expiration=1,IF($A887&lt;VLOOKUP(S$5,NFI,5,0),1,0)*Table_NFI[[#This Row],[Winter Clothes Children]],Table_NFI[Winter Clothes Children])</f>
        <v>0</v>
      </c>
      <c r="AK887" s="352">
        <f>IF(NFI_Expiration=1,IF($A887&lt;VLOOKUP(T$5,NFI,5,0),1,0)*Table_NFI[[#This Row],[Winter Items Other]],Table_NFI[Winter Items Other])</f>
        <v>0</v>
      </c>
      <c r="AL887" s="352">
        <f>IF(NFI_Expiration=1,IF($A887&lt;VLOOKUP(M$5,NFI,5,0),1,0)*Table_NFI[[#This Row],[Winter Blanket]],Table_NFI[[#This Row],[Winter Blanket]])</f>
        <v>0</v>
      </c>
      <c r="AM887" s="352">
        <f>IF(Table_NFI[[#This Row],[Winter Clothes Adult]]+Table_NFI[[#This Row],[Winter Clothes Children]]+Table_NFI[[#This Row],[Winter Items Other]]+Table_NFI[[#This Row],[Winter Blanket]]&gt;0,1,0)</f>
        <v>0</v>
      </c>
      <c r="AN887" s="392">
        <f>IF(NFI_Expiration=1,IF($A887&lt;VLOOKUP(V$5,NFI,5,0),1,0)*Table_NFI[[#This Row],[Jerry Can]],Table_NFI[Jerry Can])</f>
        <v>0</v>
      </c>
      <c r="AO887" s="540" t="str">
        <f>IFERROR(VLOOKUP(Table_NFI[[#This Row],[Camp Name]],CL,2,0),"")</f>
        <v>MMR001CMP024</v>
      </c>
      <c r="AP887" s="535">
        <f ca="1">IF(Table_NFI[[#This Row],[Pcode]]="","",IF(OFFSET(CampList[Opening Date],MATCH(Table_NFI[[#This Row],[Pcode]],CampList[CP_Pcode],0)-1,0,1,1)&gt;=NFI_Monitor_Date,1,0))</f>
        <v>0</v>
      </c>
      <c r="AQ887" s="540" t="str">
        <f>IFERROR(VLOOKUP(Table_NFI[[#This Row],[Camp Name]],CL,3,0),"")</f>
        <v>Open</v>
      </c>
      <c r="AR887" s="352" t="str">
        <f ca="1">IF(Table_NFI[[#This Row],[Pcode]]="","",OFFSET(CampList[Priority],MATCH(Table_NFI[[#This Row],[Pcode]],CampList[CP_Pcode],0)-1,0,1,1))</f>
        <v>P4</v>
      </c>
      <c r="AS887" s="351">
        <f>IFERROR(Table_NFI[[#This Row],[Kitchen Set]]/VLOOKUP(Table_NFI[[#This Row],[Camp Name]],CL,4,0),"")</f>
        <v>0.4264705882352941</v>
      </c>
      <c r="AT887" s="533" t="s">
        <v>1094</v>
      </c>
      <c r="AU887" s="536"/>
    </row>
    <row r="888" spans="1:47" ht="14.45" customHeight="1" x14ac:dyDescent="0.25">
      <c r="A888" s="355">
        <f t="shared" si="13"/>
        <v>50.633333333333333</v>
      </c>
      <c r="B888" s="532">
        <v>41052</v>
      </c>
      <c r="C888" s="533" t="s">
        <v>453</v>
      </c>
      <c r="D888" s="534" t="s">
        <v>453</v>
      </c>
      <c r="E888" s="533" t="s">
        <v>380</v>
      </c>
      <c r="F888" s="348" t="s">
        <v>237</v>
      </c>
      <c r="G888" s="348" t="s">
        <v>238</v>
      </c>
      <c r="H888" s="349"/>
      <c r="I888" s="349"/>
      <c r="J888" s="349"/>
      <c r="K888" s="349">
        <v>54</v>
      </c>
      <c r="L888" s="350">
        <v>29</v>
      </c>
      <c r="M888" s="350">
        <v>54</v>
      </c>
      <c r="N888" s="350">
        <v>29</v>
      </c>
      <c r="O888" s="350">
        <v>29</v>
      </c>
      <c r="P888" s="352">
        <v>29</v>
      </c>
      <c r="Q888" s="352">
        <v>29</v>
      </c>
      <c r="R888" s="352"/>
      <c r="S888" s="352"/>
      <c r="T888" s="352"/>
      <c r="U888" s="352"/>
      <c r="V888" s="497"/>
      <c r="W888" s="352"/>
      <c r="X888" s="352"/>
      <c r="Y888" s="352">
        <f>IF(NFI_Expiration=1,IF($A888&lt;VLOOKUP(H$5,NFI,5,0),1,0)*Table_NFI[[#This Row],[Hygiene Kit]],Table_NFI[Hygiene Kit])</f>
        <v>0</v>
      </c>
      <c r="Z888" s="352">
        <f>IF(NFI_Expiration=1,IF($A888&lt;VLOOKUP(I$5,NFI,5,0),1,0)*Table_NFI[[#This Row],[NFI Core Kit]],Table_NFI[NFI Core Kit])</f>
        <v>0</v>
      </c>
      <c r="AA888" s="352">
        <f>IF(NFI_Expiration=1,IF($A888&lt;VLOOKUP(J$5,NFI,5,0),1,0)*Table_NFI[[#This Row],[Sanitary Kit]],Table_NFI[Sanitary Kit])</f>
        <v>0</v>
      </c>
      <c r="AB888" s="352">
        <f>IF(NFI_Expiration=1,IF($A888&lt;VLOOKUP(K$5,NFI,5,0),1,0)*Table_NFI[[#This Row],[Mosquito net]],Table_NFI[Mosquito net])</f>
        <v>0</v>
      </c>
      <c r="AC888" s="352">
        <f>IF(NFI_Expiration=1,IF($A888&lt;VLOOKUP(L$5,NFI,5,0),1,0)*Table_NFI[[#This Row],[Tarpaulin]],Table_NFI[[#This Row],[Tarpaulin]])</f>
        <v>0</v>
      </c>
      <c r="AD888" s="352">
        <f>IF(NFI_Expiration=1,IF($A888&lt;VLOOKUP(M$5,NFI,5,0),1,0)*Table_NFI[[#This Row],[Blanket]],Table_NFI[[#This Row],[Blanket]])</f>
        <v>0</v>
      </c>
      <c r="AE888" s="352">
        <f>IF(NFI_Expiration=1,IF($A888&lt;VLOOKUP(N$5,NFI,5,0),1,0)*Table_NFI[[#This Row],[Kitchen Set]],Table_NFI[Kitchen Set])</f>
        <v>0</v>
      </c>
      <c r="AF888" s="352">
        <f>IF(NFI_Expiration=1,IF($A888&lt;VLOOKUP(O$5,NFI,5,0),1,0)*Table_NFI[[#This Row],[Clothes Kit]],Table_NFI[Clothes Kit])</f>
        <v>0</v>
      </c>
      <c r="AG888" s="352">
        <f>IF(NFI_Expiration=1,IF($A888&lt;VLOOKUP(P$5,NFI,5,0),1,0)*Table_NFI[[#This Row],[Plastic Bucket]],Table_NFI[Plastic Bucket])</f>
        <v>0</v>
      </c>
      <c r="AH888" s="352">
        <f>IF(NFI_Expiration=1,IF($A888&lt;VLOOKUP(Q$5,NFI,5,0),1,0)*Table_NFI[[#This Row],[Plastic Mat]],Table_NFI[Plastic Mat])*IF(Table_NFI[[#This Row],[Distribution Date]]&gt;"2014-04-01",1,2.5)</f>
        <v>0</v>
      </c>
      <c r="AI888" s="352">
        <f>IF(NFI_Expiration=1,IF($A888&lt;VLOOKUP(R$5,NFI,5,0),1,0)*Table_NFI[[#This Row],[Winter Clothes Adult]],Table_NFI[Winter Clothes Adult])</f>
        <v>0</v>
      </c>
      <c r="AJ888" s="352">
        <f>IF(NFI_Expiration=1,IF($A888&lt;VLOOKUP(S$5,NFI,5,0),1,0)*Table_NFI[[#This Row],[Winter Clothes Children]],Table_NFI[Winter Clothes Children])</f>
        <v>0</v>
      </c>
      <c r="AK888" s="352">
        <f>IF(NFI_Expiration=1,IF($A888&lt;VLOOKUP(T$5,NFI,5,0),1,0)*Table_NFI[[#This Row],[Winter Items Other]],Table_NFI[Winter Items Other])</f>
        <v>0</v>
      </c>
      <c r="AL888" s="352">
        <f>IF(NFI_Expiration=1,IF($A888&lt;VLOOKUP(M$5,NFI,5,0),1,0)*Table_NFI[[#This Row],[Winter Blanket]],Table_NFI[[#This Row],[Winter Blanket]])</f>
        <v>0</v>
      </c>
      <c r="AM888" s="352">
        <f>IF(Table_NFI[[#This Row],[Winter Clothes Adult]]+Table_NFI[[#This Row],[Winter Clothes Children]]+Table_NFI[[#This Row],[Winter Items Other]]+Table_NFI[[#This Row],[Winter Blanket]]&gt;0,1,0)</f>
        <v>0</v>
      </c>
      <c r="AN888" s="392">
        <f>IF(NFI_Expiration=1,IF($A888&lt;VLOOKUP(V$5,NFI,5,0),1,0)*Table_NFI[[#This Row],[Jerry Can]],Table_NFI[Jerry Can])</f>
        <v>0</v>
      </c>
      <c r="AO888" s="540" t="str">
        <f>IFERROR(VLOOKUP(Table_NFI[[#This Row],[Camp Name]],CL,2,0),"")</f>
        <v>MMR001CMP001</v>
      </c>
      <c r="AP888" s="535">
        <f ca="1">IF(Table_NFI[[#This Row],[Pcode]]="","",IF(OFFSET(CampList[Opening Date],MATCH(Table_NFI[[#This Row],[Pcode]],CampList[CP_Pcode],0)-1,0,1,1)&gt;=NFI_Monitor_Date,1,0))</f>
        <v>0</v>
      </c>
      <c r="AQ888" s="540" t="str">
        <f>IFERROR(VLOOKUP(Table_NFI[[#This Row],[Camp Name]],CL,3,0),"")</f>
        <v>Open</v>
      </c>
      <c r="AR888" s="352" t="str">
        <f ca="1">IF(Table_NFI[[#This Row],[Pcode]]="","",OFFSET(CampList[Priority],MATCH(Table_NFI[[#This Row],[Pcode]],CampList[CP_Pcode],0)-1,0,1,1))</f>
        <v>P4</v>
      </c>
      <c r="AS888" s="351">
        <f>IFERROR(Table_NFI[[#This Row],[Kitchen Set]]/VLOOKUP(Table_NFI[[#This Row],[Camp Name]],CL,4,0),"")</f>
        <v>0.43283582089552236</v>
      </c>
      <c r="AT888" s="533" t="s">
        <v>1094</v>
      </c>
      <c r="AU888" s="536"/>
    </row>
    <row r="889" spans="1:47" ht="14.45" customHeight="1" x14ac:dyDescent="0.25">
      <c r="A889" s="355">
        <f t="shared" si="13"/>
        <v>50.7</v>
      </c>
      <c r="B889" s="532">
        <v>41050</v>
      </c>
      <c r="C889" s="533" t="s">
        <v>453</v>
      </c>
      <c r="D889" s="534" t="s">
        <v>453</v>
      </c>
      <c r="E889" s="533" t="s">
        <v>380</v>
      </c>
      <c r="F889" s="348" t="s">
        <v>5</v>
      </c>
      <c r="G889" s="348" t="s">
        <v>6</v>
      </c>
      <c r="H889" s="349"/>
      <c r="I889" s="349"/>
      <c r="J889" s="349"/>
      <c r="K889" s="349">
        <v>0</v>
      </c>
      <c r="L889" s="350">
        <v>15</v>
      </c>
      <c r="M889" s="350">
        <v>0</v>
      </c>
      <c r="N889" s="350">
        <v>0</v>
      </c>
      <c r="O889" s="350">
        <v>0</v>
      </c>
      <c r="P889" s="352"/>
      <c r="Q889" s="352"/>
      <c r="R889" s="352"/>
      <c r="S889" s="352"/>
      <c r="T889" s="352"/>
      <c r="U889" s="352"/>
      <c r="V889" s="497"/>
      <c r="W889" s="352"/>
      <c r="X889" s="352"/>
      <c r="Y889" s="352">
        <f>IF(NFI_Expiration=1,IF($A889&lt;VLOOKUP(H$5,NFI,5,0),1,0)*Table_NFI[[#This Row],[Hygiene Kit]],Table_NFI[Hygiene Kit])</f>
        <v>0</v>
      </c>
      <c r="Z889" s="352">
        <f>IF(NFI_Expiration=1,IF($A889&lt;VLOOKUP(I$5,NFI,5,0),1,0)*Table_NFI[[#This Row],[NFI Core Kit]],Table_NFI[NFI Core Kit])</f>
        <v>0</v>
      </c>
      <c r="AA889" s="352">
        <f>IF(NFI_Expiration=1,IF($A889&lt;VLOOKUP(J$5,NFI,5,0),1,0)*Table_NFI[[#This Row],[Sanitary Kit]],Table_NFI[Sanitary Kit])</f>
        <v>0</v>
      </c>
      <c r="AB889" s="352">
        <f>IF(NFI_Expiration=1,IF($A889&lt;VLOOKUP(K$5,NFI,5,0),1,0)*Table_NFI[[#This Row],[Mosquito net]],Table_NFI[Mosquito net])</f>
        <v>0</v>
      </c>
      <c r="AC889" s="352">
        <f>IF(NFI_Expiration=1,IF($A889&lt;VLOOKUP(L$5,NFI,5,0),1,0)*Table_NFI[[#This Row],[Tarpaulin]],Table_NFI[[#This Row],[Tarpaulin]])</f>
        <v>0</v>
      </c>
      <c r="AD889" s="352">
        <f>IF(NFI_Expiration=1,IF($A889&lt;VLOOKUP(M$5,NFI,5,0),1,0)*Table_NFI[[#This Row],[Blanket]],Table_NFI[[#This Row],[Blanket]])</f>
        <v>0</v>
      </c>
      <c r="AE889" s="352">
        <f>IF(NFI_Expiration=1,IF($A889&lt;VLOOKUP(N$5,NFI,5,0),1,0)*Table_NFI[[#This Row],[Kitchen Set]],Table_NFI[Kitchen Set])</f>
        <v>0</v>
      </c>
      <c r="AF889" s="352">
        <f>IF(NFI_Expiration=1,IF($A889&lt;VLOOKUP(O$5,NFI,5,0),1,0)*Table_NFI[[#This Row],[Clothes Kit]],Table_NFI[Clothes Kit])</f>
        <v>0</v>
      </c>
      <c r="AG889" s="352">
        <f>IF(NFI_Expiration=1,IF($A889&lt;VLOOKUP(P$5,NFI,5,0),1,0)*Table_NFI[[#This Row],[Plastic Bucket]],Table_NFI[Plastic Bucket])</f>
        <v>0</v>
      </c>
      <c r="AH889" s="352">
        <f>IF(NFI_Expiration=1,IF($A889&lt;VLOOKUP(Q$5,NFI,5,0),1,0)*Table_NFI[[#This Row],[Plastic Mat]],Table_NFI[Plastic Mat])*IF(Table_NFI[[#This Row],[Distribution Date]]&gt;"2014-04-01",1,2.5)</f>
        <v>0</v>
      </c>
      <c r="AI889" s="352">
        <f>IF(NFI_Expiration=1,IF($A889&lt;VLOOKUP(R$5,NFI,5,0),1,0)*Table_NFI[[#This Row],[Winter Clothes Adult]],Table_NFI[Winter Clothes Adult])</f>
        <v>0</v>
      </c>
      <c r="AJ889" s="352">
        <f>IF(NFI_Expiration=1,IF($A889&lt;VLOOKUP(S$5,NFI,5,0),1,0)*Table_NFI[[#This Row],[Winter Clothes Children]],Table_NFI[Winter Clothes Children])</f>
        <v>0</v>
      </c>
      <c r="AK889" s="352">
        <f>IF(NFI_Expiration=1,IF($A889&lt;VLOOKUP(T$5,NFI,5,0),1,0)*Table_NFI[[#This Row],[Winter Items Other]],Table_NFI[Winter Items Other])</f>
        <v>0</v>
      </c>
      <c r="AL889" s="352">
        <f>IF(NFI_Expiration=1,IF($A889&lt;VLOOKUP(M$5,NFI,5,0),1,0)*Table_NFI[[#This Row],[Winter Blanket]],Table_NFI[[#This Row],[Winter Blanket]])</f>
        <v>0</v>
      </c>
      <c r="AM889" s="352">
        <f>IF(Table_NFI[[#This Row],[Winter Clothes Adult]]+Table_NFI[[#This Row],[Winter Clothes Children]]+Table_NFI[[#This Row],[Winter Items Other]]+Table_NFI[[#This Row],[Winter Blanket]]&gt;0,1,0)</f>
        <v>0</v>
      </c>
      <c r="AN889" s="392">
        <f>IF(NFI_Expiration=1,IF($A889&lt;VLOOKUP(V$5,NFI,5,0),1,0)*Table_NFI[[#This Row],[Jerry Can]],Table_NFI[Jerry Can])</f>
        <v>0</v>
      </c>
      <c r="AO889" s="540" t="str">
        <f>IFERROR(VLOOKUP(Table_NFI[[#This Row],[Camp Name]],CL,2,0),"")</f>
        <v>MMR001CMP050</v>
      </c>
      <c r="AP889" s="535">
        <f ca="1">IF(Table_NFI[[#This Row],[Pcode]]="","",IF(OFFSET(CampList[Opening Date],MATCH(Table_NFI[[#This Row],[Pcode]],CampList[CP_Pcode],0)-1,0,1,1)&gt;=NFI_Monitor_Date,1,0))</f>
        <v>0</v>
      </c>
      <c r="AQ889" s="540" t="str">
        <f>IFERROR(VLOOKUP(Table_NFI[[#This Row],[Camp Name]],CL,3,0),"")</f>
        <v>Open</v>
      </c>
      <c r="AR889" s="352" t="str">
        <f ca="1">IF(Table_NFI[[#This Row],[Pcode]]="","",OFFSET(CampList[Priority],MATCH(Table_NFI[[#This Row],[Pcode]],CampList[CP_Pcode],0)-1,0,1,1))</f>
        <v>P4</v>
      </c>
      <c r="AS889" s="351">
        <f>IFERROR(Table_NFI[[#This Row],[Kitchen Set]]/VLOOKUP(Table_NFI[[#This Row],[Camp Name]],CL,4,0),"")</f>
        <v>0</v>
      </c>
      <c r="AT889" s="533" t="s">
        <v>1094</v>
      </c>
      <c r="AU889" s="536"/>
    </row>
    <row r="890" spans="1:47" ht="14.45" customHeight="1" x14ac:dyDescent="0.25">
      <c r="A890" s="355">
        <f t="shared" si="13"/>
        <v>50.9</v>
      </c>
      <c r="B890" s="532">
        <v>41044</v>
      </c>
      <c r="C890" s="533" t="s">
        <v>453</v>
      </c>
      <c r="D890" s="534" t="s">
        <v>460</v>
      </c>
      <c r="E890" s="533" t="s">
        <v>380</v>
      </c>
      <c r="F890" s="348" t="s">
        <v>5</v>
      </c>
      <c r="G890" s="348" t="s">
        <v>6</v>
      </c>
      <c r="H890" s="349"/>
      <c r="I890" s="349"/>
      <c r="J890" s="349"/>
      <c r="K890" s="349">
        <v>90</v>
      </c>
      <c r="L890" s="350">
        <v>0</v>
      </c>
      <c r="M890" s="350">
        <v>0</v>
      </c>
      <c r="N890" s="350">
        <v>0</v>
      </c>
      <c r="O890" s="350">
        <v>0</v>
      </c>
      <c r="P890" s="352"/>
      <c r="Q890" s="352"/>
      <c r="R890" s="352"/>
      <c r="S890" s="352"/>
      <c r="T890" s="352"/>
      <c r="U890" s="352"/>
      <c r="V890" s="497"/>
      <c r="W890" s="352"/>
      <c r="X890" s="352"/>
      <c r="Y890" s="352">
        <f>IF(NFI_Expiration=1,IF($A890&lt;VLOOKUP(H$5,NFI,5,0),1,0)*Table_NFI[[#This Row],[Hygiene Kit]],Table_NFI[Hygiene Kit])</f>
        <v>0</v>
      </c>
      <c r="Z890" s="352">
        <f>IF(NFI_Expiration=1,IF($A890&lt;VLOOKUP(I$5,NFI,5,0),1,0)*Table_NFI[[#This Row],[NFI Core Kit]],Table_NFI[NFI Core Kit])</f>
        <v>0</v>
      </c>
      <c r="AA890" s="352">
        <f>IF(NFI_Expiration=1,IF($A890&lt;VLOOKUP(J$5,NFI,5,0),1,0)*Table_NFI[[#This Row],[Sanitary Kit]],Table_NFI[Sanitary Kit])</f>
        <v>0</v>
      </c>
      <c r="AB890" s="352">
        <f>IF(NFI_Expiration=1,IF($A890&lt;VLOOKUP(K$5,NFI,5,0),1,0)*Table_NFI[[#This Row],[Mosquito net]],Table_NFI[Mosquito net])</f>
        <v>0</v>
      </c>
      <c r="AC890" s="352">
        <f>IF(NFI_Expiration=1,IF($A890&lt;VLOOKUP(L$5,NFI,5,0),1,0)*Table_NFI[[#This Row],[Tarpaulin]],Table_NFI[[#This Row],[Tarpaulin]])</f>
        <v>0</v>
      </c>
      <c r="AD890" s="352">
        <f>IF(NFI_Expiration=1,IF($A890&lt;VLOOKUP(M$5,NFI,5,0),1,0)*Table_NFI[[#This Row],[Blanket]],Table_NFI[[#This Row],[Blanket]])</f>
        <v>0</v>
      </c>
      <c r="AE890" s="352">
        <f>IF(NFI_Expiration=1,IF($A890&lt;VLOOKUP(N$5,NFI,5,0),1,0)*Table_NFI[[#This Row],[Kitchen Set]],Table_NFI[Kitchen Set])</f>
        <v>0</v>
      </c>
      <c r="AF890" s="352">
        <f>IF(NFI_Expiration=1,IF($A890&lt;VLOOKUP(O$5,NFI,5,0),1,0)*Table_NFI[[#This Row],[Clothes Kit]],Table_NFI[Clothes Kit])</f>
        <v>0</v>
      </c>
      <c r="AG890" s="352">
        <f>IF(NFI_Expiration=1,IF($A890&lt;VLOOKUP(P$5,NFI,5,0),1,0)*Table_NFI[[#This Row],[Plastic Bucket]],Table_NFI[Plastic Bucket])</f>
        <v>0</v>
      </c>
      <c r="AH890" s="352">
        <f>IF(NFI_Expiration=1,IF($A890&lt;VLOOKUP(Q$5,NFI,5,0),1,0)*Table_NFI[[#This Row],[Plastic Mat]],Table_NFI[Plastic Mat])*IF(Table_NFI[[#This Row],[Distribution Date]]&gt;"2014-04-01",1,2.5)</f>
        <v>0</v>
      </c>
      <c r="AI890" s="352">
        <f>IF(NFI_Expiration=1,IF($A890&lt;VLOOKUP(R$5,NFI,5,0),1,0)*Table_NFI[[#This Row],[Winter Clothes Adult]],Table_NFI[Winter Clothes Adult])</f>
        <v>0</v>
      </c>
      <c r="AJ890" s="352">
        <f>IF(NFI_Expiration=1,IF($A890&lt;VLOOKUP(S$5,NFI,5,0),1,0)*Table_NFI[[#This Row],[Winter Clothes Children]],Table_NFI[Winter Clothes Children])</f>
        <v>0</v>
      </c>
      <c r="AK890" s="352">
        <f>IF(NFI_Expiration=1,IF($A890&lt;VLOOKUP(T$5,NFI,5,0),1,0)*Table_NFI[[#This Row],[Winter Items Other]],Table_NFI[Winter Items Other])</f>
        <v>0</v>
      </c>
      <c r="AL890" s="352">
        <f>IF(NFI_Expiration=1,IF($A890&lt;VLOOKUP(M$5,NFI,5,0),1,0)*Table_NFI[[#This Row],[Winter Blanket]],Table_NFI[[#This Row],[Winter Blanket]])</f>
        <v>0</v>
      </c>
      <c r="AM890" s="352">
        <f>IF(Table_NFI[[#This Row],[Winter Clothes Adult]]+Table_NFI[[#This Row],[Winter Clothes Children]]+Table_NFI[[#This Row],[Winter Items Other]]+Table_NFI[[#This Row],[Winter Blanket]]&gt;0,1,0)</f>
        <v>0</v>
      </c>
      <c r="AN890" s="392">
        <f>IF(NFI_Expiration=1,IF($A890&lt;VLOOKUP(V$5,NFI,5,0),1,0)*Table_NFI[[#This Row],[Jerry Can]],Table_NFI[Jerry Can])</f>
        <v>0</v>
      </c>
      <c r="AO890" s="540" t="str">
        <f>IFERROR(VLOOKUP(Table_NFI[[#This Row],[Camp Name]],CL,2,0),"")</f>
        <v>MMR001CMP050</v>
      </c>
      <c r="AP890" s="535">
        <f ca="1">IF(Table_NFI[[#This Row],[Pcode]]="","",IF(OFFSET(CampList[Opening Date],MATCH(Table_NFI[[#This Row],[Pcode]],CampList[CP_Pcode],0)-1,0,1,1)&gt;=NFI_Monitor_Date,1,0))</f>
        <v>0</v>
      </c>
      <c r="AQ890" s="540" t="str">
        <f>IFERROR(VLOOKUP(Table_NFI[[#This Row],[Camp Name]],CL,3,0),"")</f>
        <v>Open</v>
      </c>
      <c r="AR890" s="352" t="str">
        <f ca="1">IF(Table_NFI[[#This Row],[Pcode]]="","",OFFSET(CampList[Priority],MATCH(Table_NFI[[#This Row],[Pcode]],CampList[CP_Pcode],0)-1,0,1,1))</f>
        <v>P4</v>
      </c>
      <c r="AS890" s="351">
        <f>IFERROR(Table_NFI[[#This Row],[Kitchen Set]]/VLOOKUP(Table_NFI[[#This Row],[Camp Name]],CL,4,0),"")</f>
        <v>0</v>
      </c>
      <c r="AT890" s="533" t="s">
        <v>1094</v>
      </c>
      <c r="AU890" s="536"/>
    </row>
    <row r="891" spans="1:47" ht="14.45" hidden="1" customHeight="1" x14ac:dyDescent="0.25">
      <c r="A891" s="355">
        <f t="shared" si="13"/>
        <v>26.766666666666666</v>
      </c>
      <c r="B891" s="532">
        <v>41768</v>
      </c>
      <c r="C891" s="533" t="s">
        <v>1106</v>
      </c>
      <c r="D891" s="533" t="s">
        <v>902</v>
      </c>
      <c r="E891" s="533" t="s">
        <v>380</v>
      </c>
      <c r="F891" s="533" t="s">
        <v>237</v>
      </c>
      <c r="G891" s="533" t="s">
        <v>277</v>
      </c>
      <c r="H891" s="349"/>
      <c r="I891" s="349"/>
      <c r="J891" s="349"/>
      <c r="K891" s="349"/>
      <c r="L891" s="350"/>
      <c r="M891" s="350"/>
      <c r="N891" s="350"/>
      <c r="O891" s="350"/>
      <c r="P891" s="352"/>
      <c r="Q891" s="352"/>
      <c r="R891" s="352"/>
      <c r="S891" s="352"/>
      <c r="T891" s="352"/>
      <c r="U891" s="352">
        <v>208</v>
      </c>
      <c r="V891" s="497"/>
      <c r="W891" s="352"/>
      <c r="X891" s="352"/>
      <c r="Y891" s="352">
        <f>IF(NFI_Expiration=1,IF($A891&lt;VLOOKUP(H$5,NFI,5,0),1,0)*Table_NFI[[#This Row],[Hygiene Kit]],Table_NFI[Hygiene Kit])</f>
        <v>0</v>
      </c>
      <c r="Z891" s="352">
        <f>IF(NFI_Expiration=1,IF($A891&lt;VLOOKUP(I$5,NFI,5,0),1,0)*Table_NFI[[#This Row],[NFI Core Kit]],Table_NFI[NFI Core Kit])</f>
        <v>0</v>
      </c>
      <c r="AA891" s="352">
        <f>IF(NFI_Expiration=1,IF($A891&lt;VLOOKUP(J$5,NFI,5,0),1,0)*Table_NFI[[#This Row],[Sanitary Kit]],Table_NFI[Sanitary Kit])</f>
        <v>0</v>
      </c>
      <c r="AB891" s="352">
        <f>IF(NFI_Expiration=1,IF($A891&lt;VLOOKUP(K$5,NFI,5,0),1,0)*Table_NFI[[#This Row],[Mosquito net]],Table_NFI[Mosquito net])</f>
        <v>0</v>
      </c>
      <c r="AC891" s="352">
        <f>IF(NFI_Expiration=1,IF($A891&lt;VLOOKUP(L$5,NFI,5,0),1,0)*Table_NFI[[#This Row],[Tarpaulin]],Table_NFI[[#This Row],[Tarpaulin]])</f>
        <v>0</v>
      </c>
      <c r="AD891" s="352">
        <f>IF(NFI_Expiration=1,IF($A891&lt;VLOOKUP(M$5,NFI,5,0),1,0)*Table_NFI[[#This Row],[Blanket]],Table_NFI[[#This Row],[Blanket]])</f>
        <v>0</v>
      </c>
      <c r="AE891" s="352">
        <f>IF(NFI_Expiration=1,IF($A891&lt;VLOOKUP(N$5,NFI,5,0),1,0)*Table_NFI[[#This Row],[Kitchen Set]],Table_NFI[Kitchen Set])</f>
        <v>0</v>
      </c>
      <c r="AF891" s="352">
        <f>IF(NFI_Expiration=1,IF($A891&lt;VLOOKUP(O$5,NFI,5,0),1,0)*Table_NFI[[#This Row],[Clothes Kit]],Table_NFI[Clothes Kit])</f>
        <v>0</v>
      </c>
      <c r="AG891" s="352">
        <f>IF(NFI_Expiration=1,IF($A891&lt;VLOOKUP(P$5,NFI,5,0),1,0)*Table_NFI[[#This Row],[Plastic Bucket]],Table_NFI[Plastic Bucket])</f>
        <v>0</v>
      </c>
      <c r="AH891" s="352">
        <f>IF(NFI_Expiration=1,IF($A891&lt;VLOOKUP(Q$5,NFI,5,0),1,0)*Table_NFI[[#This Row],[Plastic Mat]],Table_NFI[Plastic Mat])*IF(Table_NFI[[#This Row],[Distribution Date]]&gt;"2014-04-01",1,2.5)</f>
        <v>0</v>
      </c>
      <c r="AI891" s="352">
        <f>IF(NFI_Expiration=1,IF($A891&lt;VLOOKUP(R$5,NFI,5,0),1,0)*Table_NFI[[#This Row],[Winter Clothes Adult]],Table_NFI[Winter Clothes Adult])</f>
        <v>0</v>
      </c>
      <c r="AJ891" s="352">
        <f>IF(NFI_Expiration=1,IF($A891&lt;VLOOKUP(S$5,NFI,5,0),1,0)*Table_NFI[[#This Row],[Winter Clothes Children]],Table_NFI[Winter Clothes Children])</f>
        <v>0</v>
      </c>
      <c r="AK891" s="352">
        <f>IF(NFI_Expiration=1,IF($A891&lt;VLOOKUP(T$5,NFI,5,0),1,0)*Table_NFI[[#This Row],[Winter Items Other]],Table_NFI[Winter Items Other])</f>
        <v>0</v>
      </c>
      <c r="AL891" s="352">
        <f>IF(NFI_Expiration=1,IF($A891&lt;VLOOKUP(M$5,NFI,5,0),1,0)*Table_NFI[[#This Row],[Winter Blanket]],Table_NFI[[#This Row],[Winter Blanket]])</f>
        <v>0</v>
      </c>
      <c r="AM891" s="352">
        <f>IF(Table_NFI[[#This Row],[Winter Clothes Adult]]+Table_NFI[[#This Row],[Winter Clothes Children]]+Table_NFI[[#This Row],[Winter Items Other]]+Table_NFI[[#This Row],[Winter Blanket]]&gt;0,1,0)</f>
        <v>1</v>
      </c>
      <c r="AN891" s="392">
        <f>IF(NFI_Expiration=1,IF($A891&lt;VLOOKUP(V$5,NFI,5,0),1,0)*Table_NFI[[#This Row],[Jerry Can]],Table_NFI[Jerry Can])</f>
        <v>0</v>
      </c>
      <c r="AO891" s="540" t="str">
        <f>IFERROR(VLOOKUP(Table_NFI[[#This Row],[Camp Name]],CL,2,0),"")</f>
        <v>MMR001CMP006</v>
      </c>
      <c r="AP891" s="535">
        <f ca="1">IF(Table_NFI[[#This Row],[Pcode]]="","",IF(OFFSET(CampList[Opening Date],MATCH(Table_NFI[[#This Row],[Pcode]],CampList[CP_Pcode],0)-1,0,1,1)&gt;=NFI_Monitor_Date,1,0))</f>
        <v>0</v>
      </c>
      <c r="AQ891" s="540" t="str">
        <f>IFERROR(VLOOKUP(Table_NFI[[#This Row],[Camp Name]],CL,3,0),"")</f>
        <v>Open</v>
      </c>
      <c r="AR891" s="352" t="str">
        <f ca="1">IF(Table_NFI[[#This Row],[Pcode]]="","",OFFSET(CampList[Priority],MATCH(Table_NFI[[#This Row],[Pcode]],CampList[CP_Pcode],0)-1,0,1,1))</f>
        <v>P4</v>
      </c>
      <c r="AS891" s="351">
        <f>IFERROR(Table_NFI[[#This Row],[Kitchen Set]]/VLOOKUP(Table_NFI[[#This Row],[Camp Name]],CL,4,0),"")</f>
        <v>0</v>
      </c>
      <c r="AT891" s="533"/>
      <c r="AU891" s="536"/>
    </row>
    <row r="892" spans="1:47" ht="14.45" customHeight="1" x14ac:dyDescent="0.25">
      <c r="A892" s="355">
        <f t="shared" si="13"/>
        <v>51.033333333333331</v>
      </c>
      <c r="B892" s="532">
        <v>41040</v>
      </c>
      <c r="C892" s="533" t="s">
        <v>453</v>
      </c>
      <c r="D892" s="534" t="s">
        <v>453</v>
      </c>
      <c r="E892" s="533" t="s">
        <v>380</v>
      </c>
      <c r="F892" s="348" t="s">
        <v>310</v>
      </c>
      <c r="G892" s="348" t="s">
        <v>330</v>
      </c>
      <c r="H892" s="349"/>
      <c r="I892" s="349"/>
      <c r="J892" s="349"/>
      <c r="K892" s="349">
        <v>57</v>
      </c>
      <c r="L892" s="350">
        <v>29</v>
      </c>
      <c r="M892" s="350">
        <v>57</v>
      </c>
      <c r="N892" s="350">
        <v>29</v>
      </c>
      <c r="O892" s="350">
        <v>29</v>
      </c>
      <c r="P892" s="352">
        <v>29</v>
      </c>
      <c r="Q892" s="352">
        <v>29</v>
      </c>
      <c r="R892" s="352"/>
      <c r="S892" s="352"/>
      <c r="T892" s="352"/>
      <c r="U892" s="352"/>
      <c r="V892" s="497"/>
      <c r="W892" s="352"/>
      <c r="X892" s="352"/>
      <c r="Y892" s="352">
        <f>IF(NFI_Expiration=1,IF($A892&lt;VLOOKUP(H$5,NFI,5,0),1,0)*Table_NFI[[#This Row],[Hygiene Kit]],Table_NFI[Hygiene Kit])</f>
        <v>0</v>
      </c>
      <c r="Z892" s="352">
        <f>IF(NFI_Expiration=1,IF($A892&lt;VLOOKUP(I$5,NFI,5,0),1,0)*Table_NFI[[#This Row],[NFI Core Kit]],Table_NFI[NFI Core Kit])</f>
        <v>0</v>
      </c>
      <c r="AA892" s="352">
        <f>IF(NFI_Expiration=1,IF($A892&lt;VLOOKUP(J$5,NFI,5,0),1,0)*Table_NFI[[#This Row],[Sanitary Kit]],Table_NFI[Sanitary Kit])</f>
        <v>0</v>
      </c>
      <c r="AB892" s="352">
        <f>IF(NFI_Expiration=1,IF($A892&lt;VLOOKUP(K$5,NFI,5,0),1,0)*Table_NFI[[#This Row],[Mosquito net]],Table_NFI[Mosquito net])</f>
        <v>0</v>
      </c>
      <c r="AC892" s="352">
        <f>IF(NFI_Expiration=1,IF($A892&lt;VLOOKUP(L$5,NFI,5,0),1,0)*Table_NFI[[#This Row],[Tarpaulin]],Table_NFI[[#This Row],[Tarpaulin]])</f>
        <v>0</v>
      </c>
      <c r="AD892" s="352">
        <f>IF(NFI_Expiration=1,IF($A892&lt;VLOOKUP(M$5,NFI,5,0),1,0)*Table_NFI[[#This Row],[Blanket]],Table_NFI[[#This Row],[Blanket]])</f>
        <v>0</v>
      </c>
      <c r="AE892" s="352">
        <f>IF(NFI_Expiration=1,IF($A892&lt;VLOOKUP(N$5,NFI,5,0),1,0)*Table_NFI[[#This Row],[Kitchen Set]],Table_NFI[Kitchen Set])</f>
        <v>0</v>
      </c>
      <c r="AF892" s="352">
        <f>IF(NFI_Expiration=1,IF($A892&lt;VLOOKUP(O$5,NFI,5,0),1,0)*Table_NFI[[#This Row],[Clothes Kit]],Table_NFI[Clothes Kit])</f>
        <v>0</v>
      </c>
      <c r="AG892" s="352">
        <f>IF(NFI_Expiration=1,IF($A892&lt;VLOOKUP(P$5,NFI,5,0),1,0)*Table_NFI[[#This Row],[Plastic Bucket]],Table_NFI[Plastic Bucket])</f>
        <v>0</v>
      </c>
      <c r="AH892" s="352">
        <f>IF(NFI_Expiration=1,IF($A892&lt;VLOOKUP(Q$5,NFI,5,0),1,0)*Table_NFI[[#This Row],[Plastic Mat]],Table_NFI[Plastic Mat])*IF(Table_NFI[[#This Row],[Distribution Date]]&gt;"2014-04-01",1,2.5)</f>
        <v>0</v>
      </c>
      <c r="AI892" s="352">
        <f>IF(NFI_Expiration=1,IF($A892&lt;VLOOKUP(R$5,NFI,5,0),1,0)*Table_NFI[[#This Row],[Winter Clothes Adult]],Table_NFI[Winter Clothes Adult])</f>
        <v>0</v>
      </c>
      <c r="AJ892" s="352">
        <f>IF(NFI_Expiration=1,IF($A892&lt;VLOOKUP(S$5,NFI,5,0),1,0)*Table_NFI[[#This Row],[Winter Clothes Children]],Table_NFI[Winter Clothes Children])</f>
        <v>0</v>
      </c>
      <c r="AK892" s="352">
        <f>IF(NFI_Expiration=1,IF($A892&lt;VLOOKUP(T$5,NFI,5,0),1,0)*Table_NFI[[#This Row],[Winter Items Other]],Table_NFI[Winter Items Other])</f>
        <v>0</v>
      </c>
      <c r="AL892" s="352">
        <f>IF(NFI_Expiration=1,IF($A892&lt;VLOOKUP(M$5,NFI,5,0),1,0)*Table_NFI[[#This Row],[Winter Blanket]],Table_NFI[[#This Row],[Winter Blanket]])</f>
        <v>0</v>
      </c>
      <c r="AM892" s="352">
        <f>IF(Table_NFI[[#This Row],[Winter Clothes Adult]]+Table_NFI[[#This Row],[Winter Clothes Children]]+Table_NFI[[#This Row],[Winter Items Other]]+Table_NFI[[#This Row],[Winter Blanket]]&gt;0,1,0)</f>
        <v>0</v>
      </c>
      <c r="AN892" s="392">
        <f>IF(NFI_Expiration=1,IF($A892&lt;VLOOKUP(V$5,NFI,5,0),1,0)*Table_NFI[[#This Row],[Jerry Can]],Table_NFI[Jerry Can])</f>
        <v>0</v>
      </c>
      <c r="AO892" s="540" t="str">
        <f>IFERROR(VLOOKUP(Table_NFI[[#This Row],[Camp Name]],CL,2,0),"")</f>
        <v>MMR001CMP029</v>
      </c>
      <c r="AP892" s="535">
        <f ca="1">IF(Table_NFI[[#This Row],[Pcode]]="","",IF(OFFSET(CampList[Opening Date],MATCH(Table_NFI[[#This Row],[Pcode]],CampList[CP_Pcode],0)-1,0,1,1)&gt;=NFI_Monitor_Date,1,0))</f>
        <v>0</v>
      </c>
      <c r="AQ892" s="540" t="str">
        <f>IFERROR(VLOOKUP(Table_NFI[[#This Row],[Camp Name]],CL,3,0),"")</f>
        <v>Open</v>
      </c>
      <c r="AR892" s="352" t="str">
        <f ca="1">IF(Table_NFI[[#This Row],[Pcode]]="","",OFFSET(CampList[Priority],MATCH(Table_NFI[[#This Row],[Pcode]],CampList[CP_Pcode],0)-1,0,1,1))</f>
        <v>P4</v>
      </c>
      <c r="AS892" s="351">
        <f>IFERROR(Table_NFI[[#This Row],[Kitchen Set]]/VLOOKUP(Table_NFI[[#This Row],[Camp Name]],CL,4,0),"")</f>
        <v>0.13063063063063063</v>
      </c>
      <c r="AT892" s="533" t="s">
        <v>1094</v>
      </c>
      <c r="AU892" s="536"/>
    </row>
    <row r="893" spans="1:47" ht="14.45" hidden="1" customHeight="1" x14ac:dyDescent="0.25">
      <c r="A893" s="355">
        <f t="shared" si="13"/>
        <v>41.9</v>
      </c>
      <c r="B893" s="532">
        <v>41314</v>
      </c>
      <c r="C893" s="533" t="s">
        <v>902</v>
      </c>
      <c r="D893" s="534" t="s">
        <v>902</v>
      </c>
      <c r="E893" s="533" t="s">
        <v>380</v>
      </c>
      <c r="F893" s="348" t="s">
        <v>237</v>
      </c>
      <c r="G893" s="348" t="s">
        <v>277</v>
      </c>
      <c r="H893" s="349"/>
      <c r="I893" s="349"/>
      <c r="J893" s="349"/>
      <c r="K893" s="349"/>
      <c r="L893" s="350">
        <v>109</v>
      </c>
      <c r="M893" s="350">
        <v>10</v>
      </c>
      <c r="N893" s="350">
        <v>10</v>
      </c>
      <c r="O893" s="350"/>
      <c r="P893" s="352">
        <v>0</v>
      </c>
      <c r="Q893" s="352">
        <v>0</v>
      </c>
      <c r="R893" s="352"/>
      <c r="S893" s="352"/>
      <c r="T893" s="352"/>
      <c r="U893" s="352"/>
      <c r="V893" s="497"/>
      <c r="W893" s="352"/>
      <c r="X893" s="352"/>
      <c r="Y893" s="352">
        <f>IF(NFI_Expiration=1,IF($A893&lt;VLOOKUP(H$5,NFI,5,0),1,0)*Table_NFI[[#This Row],[Hygiene Kit]],Table_NFI[Hygiene Kit])</f>
        <v>0</v>
      </c>
      <c r="Z893" s="352">
        <f>IF(NFI_Expiration=1,IF($A893&lt;VLOOKUP(I$5,NFI,5,0),1,0)*Table_NFI[[#This Row],[NFI Core Kit]],Table_NFI[NFI Core Kit])</f>
        <v>0</v>
      </c>
      <c r="AA893" s="352">
        <f>IF(NFI_Expiration=1,IF($A893&lt;VLOOKUP(J$5,NFI,5,0),1,0)*Table_NFI[[#This Row],[Sanitary Kit]],Table_NFI[Sanitary Kit])</f>
        <v>0</v>
      </c>
      <c r="AB893" s="352">
        <f>IF(NFI_Expiration=1,IF($A893&lt;VLOOKUP(K$5,NFI,5,0),1,0)*Table_NFI[[#This Row],[Mosquito net]],Table_NFI[Mosquito net])</f>
        <v>0</v>
      </c>
      <c r="AC893" s="352">
        <f>IF(NFI_Expiration=1,IF($A893&lt;VLOOKUP(L$5,NFI,5,0),1,0)*Table_NFI[[#This Row],[Tarpaulin]],Table_NFI[[#This Row],[Tarpaulin]])</f>
        <v>0</v>
      </c>
      <c r="AD893" s="352">
        <f>IF(NFI_Expiration=1,IF($A893&lt;VLOOKUP(M$5,NFI,5,0),1,0)*Table_NFI[[#This Row],[Blanket]],Table_NFI[[#This Row],[Blanket]])</f>
        <v>0</v>
      </c>
      <c r="AE893" s="352">
        <f>IF(NFI_Expiration=1,IF($A893&lt;VLOOKUP(N$5,NFI,5,0),1,0)*Table_NFI[[#This Row],[Kitchen Set]],Table_NFI[Kitchen Set])</f>
        <v>0</v>
      </c>
      <c r="AF893" s="352">
        <f>IF(NFI_Expiration=1,IF($A893&lt;VLOOKUP(O$5,NFI,5,0),1,0)*Table_NFI[[#This Row],[Clothes Kit]],Table_NFI[Clothes Kit])</f>
        <v>0</v>
      </c>
      <c r="AG893" s="352">
        <f>IF(NFI_Expiration=1,IF($A893&lt;VLOOKUP(P$5,NFI,5,0),1,0)*Table_NFI[[#This Row],[Plastic Bucket]],Table_NFI[Plastic Bucket])</f>
        <v>0</v>
      </c>
      <c r="AH893" s="352">
        <f>IF(NFI_Expiration=1,IF($A893&lt;VLOOKUP(Q$5,NFI,5,0),1,0)*Table_NFI[[#This Row],[Plastic Mat]],Table_NFI[Plastic Mat])*IF(Table_NFI[[#This Row],[Distribution Date]]&gt;"2014-04-01",1,2.5)</f>
        <v>0</v>
      </c>
      <c r="AI893" s="352">
        <f>IF(NFI_Expiration=1,IF($A893&lt;VLOOKUP(R$5,NFI,5,0),1,0)*Table_NFI[[#This Row],[Winter Clothes Adult]],Table_NFI[Winter Clothes Adult])</f>
        <v>0</v>
      </c>
      <c r="AJ893" s="352">
        <f>IF(NFI_Expiration=1,IF($A893&lt;VLOOKUP(S$5,NFI,5,0),1,0)*Table_NFI[[#This Row],[Winter Clothes Children]],Table_NFI[Winter Clothes Children])</f>
        <v>0</v>
      </c>
      <c r="AK893" s="352">
        <f>IF(NFI_Expiration=1,IF($A893&lt;VLOOKUP(T$5,NFI,5,0),1,0)*Table_NFI[[#This Row],[Winter Items Other]],Table_NFI[Winter Items Other])</f>
        <v>0</v>
      </c>
      <c r="AL893" s="352">
        <f>IF(NFI_Expiration=1,IF($A893&lt;VLOOKUP(M$5,NFI,5,0),1,0)*Table_NFI[[#This Row],[Winter Blanket]],Table_NFI[[#This Row],[Winter Blanket]])</f>
        <v>0</v>
      </c>
      <c r="AM893" s="352">
        <f>IF(Table_NFI[[#This Row],[Winter Clothes Adult]]+Table_NFI[[#This Row],[Winter Clothes Children]]+Table_NFI[[#This Row],[Winter Items Other]]+Table_NFI[[#This Row],[Winter Blanket]]&gt;0,1,0)</f>
        <v>0</v>
      </c>
      <c r="AN893" s="392">
        <f>IF(NFI_Expiration=1,IF($A893&lt;VLOOKUP(V$5,NFI,5,0),1,0)*Table_NFI[[#This Row],[Jerry Can]],Table_NFI[Jerry Can])</f>
        <v>0</v>
      </c>
      <c r="AO893" s="540" t="str">
        <f>IFERROR(VLOOKUP(Table_NFI[[#This Row],[Camp Name]],CL,2,0),"")</f>
        <v>MMR001CMP006</v>
      </c>
      <c r="AP893" s="535">
        <f ca="1">IF(Table_NFI[[#This Row],[Pcode]]="","",IF(OFFSET(CampList[Opening Date],MATCH(Table_NFI[[#This Row],[Pcode]],CampList[CP_Pcode],0)-1,0,1,1)&gt;=NFI_Monitor_Date,1,0))</f>
        <v>0</v>
      </c>
      <c r="AQ893" s="540" t="str">
        <f>IFERROR(VLOOKUP(Table_NFI[[#This Row],[Camp Name]],CL,3,0),"")</f>
        <v>Open</v>
      </c>
      <c r="AR893" s="352" t="str">
        <f ca="1">IF(Table_NFI[[#This Row],[Pcode]]="","",OFFSET(CampList[Priority],MATCH(Table_NFI[[#This Row],[Pcode]],CampList[CP_Pcode],0)-1,0,1,1))</f>
        <v>P4</v>
      </c>
      <c r="AS893" s="351">
        <f>IFERROR(Table_NFI[[#This Row],[Kitchen Set]]/VLOOKUP(Table_NFI[[#This Row],[Camp Name]],CL,4,0),"")</f>
        <v>0.1111111111111111</v>
      </c>
      <c r="AT893" s="533" t="s">
        <v>1094</v>
      </c>
      <c r="AU893" s="536"/>
    </row>
    <row r="894" spans="1:47" ht="14.45" hidden="1" customHeight="1" x14ac:dyDescent="0.25">
      <c r="A894" s="355">
        <f t="shared" si="13"/>
        <v>42.033333333333331</v>
      </c>
      <c r="B894" s="532">
        <v>41310</v>
      </c>
      <c r="C894" s="533" t="s">
        <v>902</v>
      </c>
      <c r="D894" s="533" t="s">
        <v>902</v>
      </c>
      <c r="E894" s="533" t="s">
        <v>380</v>
      </c>
      <c r="F894" s="348" t="s">
        <v>237</v>
      </c>
      <c r="G894" s="348" t="s">
        <v>277</v>
      </c>
      <c r="H894" s="349">
        <v>36</v>
      </c>
      <c r="I894" s="349"/>
      <c r="J894" s="349"/>
      <c r="K894" s="349"/>
      <c r="L894" s="350"/>
      <c r="M894" s="350"/>
      <c r="N894" s="350"/>
      <c r="O894" s="350"/>
      <c r="P894" s="352">
        <v>0</v>
      </c>
      <c r="Q894" s="352">
        <v>0</v>
      </c>
      <c r="R894" s="352"/>
      <c r="S894" s="352"/>
      <c r="T894" s="352"/>
      <c r="U894" s="352"/>
      <c r="V894" s="497"/>
      <c r="W894" s="352"/>
      <c r="X894" s="352"/>
      <c r="Y894" s="352">
        <f>IF(NFI_Expiration=1,IF($A894&lt;VLOOKUP(H$5,NFI,5,0),1,0)*Table_NFI[[#This Row],[Hygiene Kit]],Table_NFI[Hygiene Kit])</f>
        <v>0</v>
      </c>
      <c r="Z894" s="352">
        <f>IF(NFI_Expiration=1,IF($A894&lt;VLOOKUP(I$5,NFI,5,0),1,0)*Table_NFI[[#This Row],[NFI Core Kit]],Table_NFI[NFI Core Kit])</f>
        <v>0</v>
      </c>
      <c r="AA894" s="352">
        <f>IF(NFI_Expiration=1,IF($A894&lt;VLOOKUP(J$5,NFI,5,0),1,0)*Table_NFI[[#This Row],[Sanitary Kit]],Table_NFI[Sanitary Kit])</f>
        <v>0</v>
      </c>
      <c r="AB894" s="352">
        <f>IF(NFI_Expiration=1,IF($A894&lt;VLOOKUP(K$5,NFI,5,0),1,0)*Table_NFI[[#This Row],[Mosquito net]],Table_NFI[Mosquito net])</f>
        <v>0</v>
      </c>
      <c r="AC894" s="352">
        <f>IF(NFI_Expiration=1,IF($A894&lt;VLOOKUP(L$5,NFI,5,0),1,0)*Table_NFI[[#This Row],[Tarpaulin]],Table_NFI[[#This Row],[Tarpaulin]])</f>
        <v>0</v>
      </c>
      <c r="AD894" s="352">
        <f>IF(NFI_Expiration=1,IF($A894&lt;VLOOKUP(M$5,NFI,5,0),1,0)*Table_NFI[[#This Row],[Blanket]],Table_NFI[[#This Row],[Blanket]])</f>
        <v>0</v>
      </c>
      <c r="AE894" s="352">
        <f>IF(NFI_Expiration=1,IF($A894&lt;VLOOKUP(N$5,NFI,5,0),1,0)*Table_NFI[[#This Row],[Kitchen Set]],Table_NFI[Kitchen Set])</f>
        <v>0</v>
      </c>
      <c r="AF894" s="352">
        <f>IF(NFI_Expiration=1,IF($A894&lt;VLOOKUP(O$5,NFI,5,0),1,0)*Table_NFI[[#This Row],[Clothes Kit]],Table_NFI[Clothes Kit])</f>
        <v>0</v>
      </c>
      <c r="AG894" s="352">
        <f>IF(NFI_Expiration=1,IF($A894&lt;VLOOKUP(P$5,NFI,5,0),1,0)*Table_NFI[[#This Row],[Plastic Bucket]],Table_NFI[Plastic Bucket])</f>
        <v>0</v>
      </c>
      <c r="AH894" s="352">
        <f>IF(NFI_Expiration=1,IF($A894&lt;VLOOKUP(Q$5,NFI,5,0),1,0)*Table_NFI[[#This Row],[Plastic Mat]],Table_NFI[Plastic Mat])*IF(Table_NFI[[#This Row],[Distribution Date]]&gt;"2014-04-01",1,2.5)</f>
        <v>0</v>
      </c>
      <c r="AI894" s="352">
        <f>IF(NFI_Expiration=1,IF($A894&lt;VLOOKUP(R$5,NFI,5,0),1,0)*Table_NFI[[#This Row],[Winter Clothes Adult]],Table_NFI[Winter Clothes Adult])</f>
        <v>0</v>
      </c>
      <c r="AJ894" s="352">
        <f>IF(NFI_Expiration=1,IF($A894&lt;VLOOKUP(S$5,NFI,5,0),1,0)*Table_NFI[[#This Row],[Winter Clothes Children]],Table_NFI[Winter Clothes Children])</f>
        <v>0</v>
      </c>
      <c r="AK894" s="352">
        <f>IF(NFI_Expiration=1,IF($A894&lt;VLOOKUP(T$5,NFI,5,0),1,0)*Table_NFI[[#This Row],[Winter Items Other]],Table_NFI[Winter Items Other])</f>
        <v>0</v>
      </c>
      <c r="AL894" s="352">
        <f>IF(NFI_Expiration=1,IF($A894&lt;VLOOKUP(M$5,NFI,5,0),1,0)*Table_NFI[[#This Row],[Winter Blanket]],Table_NFI[[#This Row],[Winter Blanket]])</f>
        <v>0</v>
      </c>
      <c r="AM894" s="352">
        <f>IF(Table_NFI[[#This Row],[Winter Clothes Adult]]+Table_NFI[[#This Row],[Winter Clothes Children]]+Table_NFI[[#This Row],[Winter Items Other]]+Table_NFI[[#This Row],[Winter Blanket]]&gt;0,1,0)</f>
        <v>0</v>
      </c>
      <c r="AN894" s="392">
        <f>IF(NFI_Expiration=1,IF($A894&lt;VLOOKUP(V$5,NFI,5,0),1,0)*Table_NFI[[#This Row],[Jerry Can]],Table_NFI[Jerry Can])</f>
        <v>0</v>
      </c>
      <c r="AO894" s="540" t="str">
        <f>IFERROR(VLOOKUP(Table_NFI[[#This Row],[Camp Name]],CL,2,0),"")</f>
        <v>MMR001CMP006</v>
      </c>
      <c r="AP894" s="535">
        <f ca="1">IF(Table_NFI[[#This Row],[Pcode]]="","",IF(OFFSET(CampList[Opening Date],MATCH(Table_NFI[[#This Row],[Pcode]],CampList[CP_Pcode],0)-1,0,1,1)&gt;=NFI_Monitor_Date,1,0))</f>
        <v>0</v>
      </c>
      <c r="AQ894" s="540" t="str">
        <f>IFERROR(VLOOKUP(Table_NFI[[#This Row],[Camp Name]],CL,3,0),"")</f>
        <v>Open</v>
      </c>
      <c r="AR894" s="352" t="str">
        <f ca="1">IF(Table_NFI[[#This Row],[Pcode]]="","",OFFSET(CampList[Priority],MATCH(Table_NFI[[#This Row],[Pcode]],CampList[CP_Pcode],0)-1,0,1,1))</f>
        <v>P4</v>
      </c>
      <c r="AS894" s="351">
        <f>IFERROR(Table_NFI[[#This Row],[Kitchen Set]]/VLOOKUP(Table_NFI[[#This Row],[Camp Name]],CL,4,0),"")</f>
        <v>0</v>
      </c>
      <c r="AT894" s="533" t="s">
        <v>1094</v>
      </c>
      <c r="AU894" s="536"/>
    </row>
    <row r="895" spans="1:47" ht="14.45" customHeight="1" x14ac:dyDescent="0.25">
      <c r="A895" s="355">
        <f t="shared" si="13"/>
        <v>51.033333333333331</v>
      </c>
      <c r="B895" s="532">
        <v>41040</v>
      </c>
      <c r="C895" s="533" t="s">
        <v>453</v>
      </c>
      <c r="D895" s="534" t="s">
        <v>453</v>
      </c>
      <c r="E895" s="533" t="s">
        <v>380</v>
      </c>
      <c r="F895" s="348" t="s">
        <v>310</v>
      </c>
      <c r="G895" s="348" t="s">
        <v>324</v>
      </c>
      <c r="H895" s="349"/>
      <c r="I895" s="349"/>
      <c r="J895" s="349"/>
      <c r="K895" s="349">
        <v>50</v>
      </c>
      <c r="L895" s="350">
        <v>25</v>
      </c>
      <c r="M895" s="350">
        <v>50</v>
      </c>
      <c r="N895" s="350">
        <v>24</v>
      </c>
      <c r="O895" s="350">
        <v>13</v>
      </c>
      <c r="P895" s="352">
        <v>13</v>
      </c>
      <c r="Q895" s="352">
        <v>13</v>
      </c>
      <c r="R895" s="352"/>
      <c r="S895" s="352"/>
      <c r="T895" s="352"/>
      <c r="U895" s="352"/>
      <c r="V895" s="497"/>
      <c r="W895" s="352"/>
      <c r="X895" s="352"/>
      <c r="Y895" s="352">
        <f>IF(NFI_Expiration=1,IF($A895&lt;VLOOKUP(H$5,NFI,5,0),1,0)*Table_NFI[[#This Row],[Hygiene Kit]],Table_NFI[Hygiene Kit])</f>
        <v>0</v>
      </c>
      <c r="Z895" s="352">
        <f>IF(NFI_Expiration=1,IF($A895&lt;VLOOKUP(I$5,NFI,5,0),1,0)*Table_NFI[[#This Row],[NFI Core Kit]],Table_NFI[NFI Core Kit])</f>
        <v>0</v>
      </c>
      <c r="AA895" s="352">
        <f>IF(NFI_Expiration=1,IF($A895&lt;VLOOKUP(J$5,NFI,5,0),1,0)*Table_NFI[[#This Row],[Sanitary Kit]],Table_NFI[Sanitary Kit])</f>
        <v>0</v>
      </c>
      <c r="AB895" s="352">
        <f>IF(NFI_Expiration=1,IF($A895&lt;VLOOKUP(K$5,NFI,5,0),1,0)*Table_NFI[[#This Row],[Mosquito net]],Table_NFI[Mosquito net])</f>
        <v>0</v>
      </c>
      <c r="AC895" s="352">
        <f>IF(NFI_Expiration=1,IF($A895&lt;VLOOKUP(L$5,NFI,5,0),1,0)*Table_NFI[[#This Row],[Tarpaulin]],Table_NFI[[#This Row],[Tarpaulin]])</f>
        <v>0</v>
      </c>
      <c r="AD895" s="352">
        <f>IF(NFI_Expiration=1,IF($A895&lt;VLOOKUP(M$5,NFI,5,0),1,0)*Table_NFI[[#This Row],[Blanket]],Table_NFI[[#This Row],[Blanket]])</f>
        <v>0</v>
      </c>
      <c r="AE895" s="352">
        <f>IF(NFI_Expiration=1,IF($A895&lt;VLOOKUP(N$5,NFI,5,0),1,0)*Table_NFI[[#This Row],[Kitchen Set]],Table_NFI[Kitchen Set])</f>
        <v>0</v>
      </c>
      <c r="AF895" s="352">
        <f>IF(NFI_Expiration=1,IF($A895&lt;VLOOKUP(O$5,NFI,5,0),1,0)*Table_NFI[[#This Row],[Clothes Kit]],Table_NFI[Clothes Kit])</f>
        <v>0</v>
      </c>
      <c r="AG895" s="352">
        <f>IF(NFI_Expiration=1,IF($A895&lt;VLOOKUP(P$5,NFI,5,0),1,0)*Table_NFI[[#This Row],[Plastic Bucket]],Table_NFI[Plastic Bucket])</f>
        <v>0</v>
      </c>
      <c r="AH895" s="352">
        <f>IF(NFI_Expiration=1,IF($A895&lt;VLOOKUP(Q$5,NFI,5,0),1,0)*Table_NFI[[#This Row],[Plastic Mat]],Table_NFI[Plastic Mat])*IF(Table_NFI[[#This Row],[Distribution Date]]&gt;"2014-04-01",1,2.5)</f>
        <v>0</v>
      </c>
      <c r="AI895" s="352">
        <f>IF(NFI_Expiration=1,IF($A895&lt;VLOOKUP(R$5,NFI,5,0),1,0)*Table_NFI[[#This Row],[Winter Clothes Adult]],Table_NFI[Winter Clothes Adult])</f>
        <v>0</v>
      </c>
      <c r="AJ895" s="352">
        <f>IF(NFI_Expiration=1,IF($A895&lt;VLOOKUP(S$5,NFI,5,0),1,0)*Table_NFI[[#This Row],[Winter Clothes Children]],Table_NFI[Winter Clothes Children])</f>
        <v>0</v>
      </c>
      <c r="AK895" s="352">
        <f>IF(NFI_Expiration=1,IF($A895&lt;VLOOKUP(T$5,NFI,5,0),1,0)*Table_NFI[[#This Row],[Winter Items Other]],Table_NFI[Winter Items Other])</f>
        <v>0</v>
      </c>
      <c r="AL895" s="352">
        <f>IF(NFI_Expiration=1,IF($A895&lt;VLOOKUP(M$5,NFI,5,0),1,0)*Table_NFI[[#This Row],[Winter Blanket]],Table_NFI[[#This Row],[Winter Blanket]])</f>
        <v>0</v>
      </c>
      <c r="AM895" s="352">
        <f>IF(Table_NFI[[#This Row],[Winter Clothes Adult]]+Table_NFI[[#This Row],[Winter Clothes Children]]+Table_NFI[[#This Row],[Winter Items Other]]+Table_NFI[[#This Row],[Winter Blanket]]&gt;0,1,0)</f>
        <v>0</v>
      </c>
      <c r="AN895" s="392">
        <f>IF(NFI_Expiration=1,IF($A895&lt;VLOOKUP(V$5,NFI,5,0),1,0)*Table_NFI[[#This Row],[Jerry Can]],Table_NFI[Jerry Can])</f>
        <v>0</v>
      </c>
      <c r="AO895" s="540" t="str">
        <f>IFERROR(VLOOKUP(Table_NFI[[#This Row],[Camp Name]],CL,2,0),"")</f>
        <v>MMR001CMP040</v>
      </c>
      <c r="AP895" s="535">
        <f ca="1">IF(Table_NFI[[#This Row],[Pcode]]="","",IF(OFFSET(CampList[Opening Date],MATCH(Table_NFI[[#This Row],[Pcode]],CampList[CP_Pcode],0)-1,0,1,1)&gt;=NFI_Monitor_Date,1,0))</f>
        <v>0</v>
      </c>
      <c r="AQ895" s="540" t="str">
        <f>IFERROR(VLOOKUP(Table_NFI[[#This Row],[Camp Name]],CL,3,0),"")</f>
        <v>Open</v>
      </c>
      <c r="AR895" s="352" t="str">
        <f ca="1">IF(Table_NFI[[#This Row],[Pcode]]="","",OFFSET(CampList[Priority],MATCH(Table_NFI[[#This Row],[Pcode]],CampList[CP_Pcode],0)-1,0,1,1))</f>
        <v>P4</v>
      </c>
      <c r="AS895" s="351">
        <f>IFERROR(Table_NFI[[#This Row],[Kitchen Set]]/VLOOKUP(Table_NFI[[#This Row],[Camp Name]],CL,4,0),"")</f>
        <v>6.0606060606060608E-2</v>
      </c>
      <c r="AT895" s="533" t="s">
        <v>1094</v>
      </c>
      <c r="AU895" s="536"/>
    </row>
    <row r="896" spans="1:47" ht="14.45" customHeight="1" x14ac:dyDescent="0.25">
      <c r="A896" s="355">
        <f t="shared" si="13"/>
        <v>51.033333333333331</v>
      </c>
      <c r="B896" s="532">
        <v>41040</v>
      </c>
      <c r="C896" s="533" t="s">
        <v>453</v>
      </c>
      <c r="D896" s="533" t="s">
        <v>460</v>
      </c>
      <c r="E896" s="533" t="s">
        <v>380</v>
      </c>
      <c r="F896" s="348" t="s">
        <v>302</v>
      </c>
      <c r="G896" s="348" t="s">
        <v>306</v>
      </c>
      <c r="H896" s="349"/>
      <c r="I896" s="349"/>
      <c r="J896" s="349"/>
      <c r="K896" s="349">
        <v>38</v>
      </c>
      <c r="L896" s="350">
        <v>23</v>
      </c>
      <c r="M896" s="350">
        <v>38</v>
      </c>
      <c r="N896" s="350">
        <v>23</v>
      </c>
      <c r="O896" s="350">
        <v>23</v>
      </c>
      <c r="P896" s="352">
        <v>23</v>
      </c>
      <c r="Q896" s="352">
        <v>23</v>
      </c>
      <c r="R896" s="352"/>
      <c r="S896" s="352"/>
      <c r="T896" s="352"/>
      <c r="U896" s="352"/>
      <c r="V896" s="497"/>
      <c r="W896" s="352"/>
      <c r="X896" s="352"/>
      <c r="Y896" s="352">
        <f>IF(NFI_Expiration=1,IF($A896&lt;VLOOKUP(H$5,NFI,5,0),1,0)*Table_NFI[[#This Row],[Hygiene Kit]],Table_NFI[Hygiene Kit])</f>
        <v>0</v>
      </c>
      <c r="Z896" s="352">
        <f>IF(NFI_Expiration=1,IF($A896&lt;VLOOKUP(I$5,NFI,5,0),1,0)*Table_NFI[[#This Row],[NFI Core Kit]],Table_NFI[NFI Core Kit])</f>
        <v>0</v>
      </c>
      <c r="AA896" s="352">
        <f>IF(NFI_Expiration=1,IF($A896&lt;VLOOKUP(J$5,NFI,5,0),1,0)*Table_NFI[[#This Row],[Sanitary Kit]],Table_NFI[Sanitary Kit])</f>
        <v>0</v>
      </c>
      <c r="AB896" s="352">
        <f>IF(NFI_Expiration=1,IF($A896&lt;VLOOKUP(K$5,NFI,5,0),1,0)*Table_NFI[[#This Row],[Mosquito net]],Table_NFI[Mosquito net])</f>
        <v>0</v>
      </c>
      <c r="AC896" s="352">
        <f>IF(NFI_Expiration=1,IF($A896&lt;VLOOKUP(L$5,NFI,5,0),1,0)*Table_NFI[[#This Row],[Tarpaulin]],Table_NFI[[#This Row],[Tarpaulin]])</f>
        <v>0</v>
      </c>
      <c r="AD896" s="352">
        <f>IF(NFI_Expiration=1,IF($A896&lt;VLOOKUP(M$5,NFI,5,0),1,0)*Table_NFI[[#This Row],[Blanket]],Table_NFI[[#This Row],[Blanket]])</f>
        <v>0</v>
      </c>
      <c r="AE896" s="352">
        <f>IF(NFI_Expiration=1,IF($A896&lt;VLOOKUP(N$5,NFI,5,0),1,0)*Table_NFI[[#This Row],[Kitchen Set]],Table_NFI[Kitchen Set])</f>
        <v>0</v>
      </c>
      <c r="AF896" s="352">
        <f>IF(NFI_Expiration=1,IF($A896&lt;VLOOKUP(O$5,NFI,5,0),1,0)*Table_NFI[[#This Row],[Clothes Kit]],Table_NFI[Clothes Kit])</f>
        <v>0</v>
      </c>
      <c r="AG896" s="352">
        <f>IF(NFI_Expiration=1,IF($A896&lt;VLOOKUP(P$5,NFI,5,0),1,0)*Table_NFI[[#This Row],[Plastic Bucket]],Table_NFI[Plastic Bucket])</f>
        <v>0</v>
      </c>
      <c r="AH896" s="352">
        <f>IF(NFI_Expiration=1,IF($A896&lt;VLOOKUP(Q$5,NFI,5,0),1,0)*Table_NFI[[#This Row],[Plastic Mat]],Table_NFI[Plastic Mat])*IF(Table_NFI[[#This Row],[Distribution Date]]&gt;"2014-04-01",1,2.5)</f>
        <v>0</v>
      </c>
      <c r="AI896" s="352">
        <f>IF(NFI_Expiration=1,IF($A896&lt;VLOOKUP(R$5,NFI,5,0),1,0)*Table_NFI[[#This Row],[Winter Clothes Adult]],Table_NFI[Winter Clothes Adult])</f>
        <v>0</v>
      </c>
      <c r="AJ896" s="352">
        <f>IF(NFI_Expiration=1,IF($A896&lt;VLOOKUP(S$5,NFI,5,0),1,0)*Table_NFI[[#This Row],[Winter Clothes Children]],Table_NFI[Winter Clothes Children])</f>
        <v>0</v>
      </c>
      <c r="AK896" s="352">
        <f>IF(NFI_Expiration=1,IF($A896&lt;VLOOKUP(T$5,NFI,5,0),1,0)*Table_NFI[[#This Row],[Winter Items Other]],Table_NFI[Winter Items Other])</f>
        <v>0</v>
      </c>
      <c r="AL896" s="352">
        <f>IF(NFI_Expiration=1,IF($A896&lt;VLOOKUP(M$5,NFI,5,0),1,0)*Table_NFI[[#This Row],[Winter Blanket]],Table_NFI[[#This Row],[Winter Blanket]])</f>
        <v>0</v>
      </c>
      <c r="AM896" s="352">
        <f>IF(Table_NFI[[#This Row],[Winter Clothes Adult]]+Table_NFI[[#This Row],[Winter Clothes Children]]+Table_NFI[[#This Row],[Winter Items Other]]+Table_NFI[[#This Row],[Winter Blanket]]&gt;0,1,0)</f>
        <v>0</v>
      </c>
      <c r="AN896" s="392">
        <f>IF(NFI_Expiration=1,IF($A896&lt;VLOOKUP(V$5,NFI,5,0),1,0)*Table_NFI[[#This Row],[Jerry Can]],Table_NFI[Jerry Can])</f>
        <v>0</v>
      </c>
      <c r="AO896" s="540" t="str">
        <f>IFERROR(VLOOKUP(Table_NFI[[#This Row],[Camp Name]],CL,2,0),"")</f>
        <v>MMR001CMP067</v>
      </c>
      <c r="AP896" s="535">
        <f ca="1">IF(Table_NFI[[#This Row],[Pcode]]="","",IF(OFFSET(CampList[Opening Date],MATCH(Table_NFI[[#This Row],[Pcode]],CampList[CP_Pcode],0)-1,0,1,1)&gt;=NFI_Monitor_Date,1,0))</f>
        <v>0</v>
      </c>
      <c r="AQ896" s="540" t="str">
        <f>IFERROR(VLOOKUP(Table_NFI[[#This Row],[Camp Name]],CL,3,0),"")</f>
        <v>Open</v>
      </c>
      <c r="AR896" s="352" t="str">
        <f ca="1">IF(Table_NFI[[#This Row],[Pcode]]="","",OFFSET(CampList[Priority],MATCH(Table_NFI[[#This Row],[Pcode]],CampList[CP_Pcode],0)-1,0,1,1))</f>
        <v>P4</v>
      </c>
      <c r="AS896" s="351">
        <f>IFERROR(Table_NFI[[#This Row],[Kitchen Set]]/VLOOKUP(Table_NFI[[#This Row],[Camp Name]],CL,4,0),"")</f>
        <v>0.26744186046511625</v>
      </c>
      <c r="AT896" s="533" t="s">
        <v>1094</v>
      </c>
      <c r="AU896" s="536"/>
    </row>
    <row r="897" spans="1:47" ht="14.45" customHeight="1" x14ac:dyDescent="0.25">
      <c r="A897" s="355">
        <f t="shared" si="13"/>
        <v>51.033333333333331</v>
      </c>
      <c r="B897" s="532">
        <v>41040</v>
      </c>
      <c r="C897" s="533" t="s">
        <v>453</v>
      </c>
      <c r="D897" s="533" t="s">
        <v>460</v>
      </c>
      <c r="E897" s="533" t="s">
        <v>380</v>
      </c>
      <c r="F897" s="533" t="s">
        <v>302</v>
      </c>
      <c r="G897" s="348" t="s">
        <v>308</v>
      </c>
      <c r="H897" s="349"/>
      <c r="I897" s="349"/>
      <c r="J897" s="349"/>
      <c r="K897" s="349">
        <v>37</v>
      </c>
      <c r="L897" s="350">
        <v>22</v>
      </c>
      <c r="M897" s="350">
        <v>37</v>
      </c>
      <c r="N897" s="350">
        <v>22</v>
      </c>
      <c r="O897" s="350">
        <v>22</v>
      </c>
      <c r="P897" s="352">
        <v>22</v>
      </c>
      <c r="Q897" s="352">
        <v>22</v>
      </c>
      <c r="R897" s="352"/>
      <c r="S897" s="352"/>
      <c r="T897" s="352"/>
      <c r="U897" s="352"/>
      <c r="V897" s="497"/>
      <c r="W897" s="352"/>
      <c r="X897" s="352"/>
      <c r="Y897" s="352">
        <f>IF(NFI_Expiration=1,IF($A897&lt;VLOOKUP(H$5,NFI,5,0),1,0)*Table_NFI[[#This Row],[Hygiene Kit]],Table_NFI[Hygiene Kit])</f>
        <v>0</v>
      </c>
      <c r="Z897" s="352">
        <f>IF(NFI_Expiration=1,IF($A897&lt;VLOOKUP(I$5,NFI,5,0),1,0)*Table_NFI[[#This Row],[NFI Core Kit]],Table_NFI[NFI Core Kit])</f>
        <v>0</v>
      </c>
      <c r="AA897" s="352">
        <f>IF(NFI_Expiration=1,IF($A897&lt;VLOOKUP(J$5,NFI,5,0),1,0)*Table_NFI[[#This Row],[Sanitary Kit]],Table_NFI[Sanitary Kit])</f>
        <v>0</v>
      </c>
      <c r="AB897" s="352">
        <f>IF(NFI_Expiration=1,IF($A897&lt;VLOOKUP(K$5,NFI,5,0),1,0)*Table_NFI[[#This Row],[Mosquito net]],Table_NFI[Mosquito net])</f>
        <v>0</v>
      </c>
      <c r="AC897" s="352">
        <f>IF(NFI_Expiration=1,IF($A897&lt;VLOOKUP(L$5,NFI,5,0),1,0)*Table_NFI[[#This Row],[Tarpaulin]],Table_NFI[[#This Row],[Tarpaulin]])</f>
        <v>0</v>
      </c>
      <c r="AD897" s="352">
        <f>IF(NFI_Expiration=1,IF($A897&lt;VLOOKUP(M$5,NFI,5,0),1,0)*Table_NFI[[#This Row],[Blanket]],Table_NFI[[#This Row],[Blanket]])</f>
        <v>0</v>
      </c>
      <c r="AE897" s="352">
        <f>IF(NFI_Expiration=1,IF($A897&lt;VLOOKUP(N$5,NFI,5,0),1,0)*Table_NFI[[#This Row],[Kitchen Set]],Table_NFI[Kitchen Set])</f>
        <v>0</v>
      </c>
      <c r="AF897" s="352">
        <f>IF(NFI_Expiration=1,IF($A897&lt;VLOOKUP(O$5,NFI,5,0),1,0)*Table_NFI[[#This Row],[Clothes Kit]],Table_NFI[Clothes Kit])</f>
        <v>0</v>
      </c>
      <c r="AG897" s="352">
        <f>IF(NFI_Expiration=1,IF($A897&lt;VLOOKUP(P$5,NFI,5,0),1,0)*Table_NFI[[#This Row],[Plastic Bucket]],Table_NFI[Plastic Bucket])</f>
        <v>0</v>
      </c>
      <c r="AH897" s="352">
        <f>IF(NFI_Expiration=1,IF($A897&lt;VLOOKUP(Q$5,NFI,5,0),1,0)*Table_NFI[[#This Row],[Plastic Mat]],Table_NFI[Plastic Mat])*IF(Table_NFI[[#This Row],[Distribution Date]]&gt;"2014-04-01",1,2.5)</f>
        <v>0</v>
      </c>
      <c r="AI897" s="352">
        <f>IF(NFI_Expiration=1,IF($A897&lt;VLOOKUP(R$5,NFI,5,0),1,0)*Table_NFI[[#This Row],[Winter Clothes Adult]],Table_NFI[Winter Clothes Adult])</f>
        <v>0</v>
      </c>
      <c r="AJ897" s="352">
        <f>IF(NFI_Expiration=1,IF($A897&lt;VLOOKUP(S$5,NFI,5,0),1,0)*Table_NFI[[#This Row],[Winter Clothes Children]],Table_NFI[Winter Clothes Children])</f>
        <v>0</v>
      </c>
      <c r="AK897" s="352">
        <f>IF(NFI_Expiration=1,IF($A897&lt;VLOOKUP(T$5,NFI,5,0),1,0)*Table_NFI[[#This Row],[Winter Items Other]],Table_NFI[Winter Items Other])</f>
        <v>0</v>
      </c>
      <c r="AL897" s="352">
        <f>IF(NFI_Expiration=1,IF($A897&lt;VLOOKUP(M$5,NFI,5,0),1,0)*Table_NFI[[#This Row],[Winter Blanket]],Table_NFI[[#This Row],[Winter Blanket]])</f>
        <v>0</v>
      </c>
      <c r="AM897" s="352">
        <f>IF(Table_NFI[[#This Row],[Winter Clothes Adult]]+Table_NFI[[#This Row],[Winter Clothes Children]]+Table_NFI[[#This Row],[Winter Items Other]]+Table_NFI[[#This Row],[Winter Blanket]]&gt;0,1,0)</f>
        <v>0</v>
      </c>
      <c r="AN897" s="392">
        <f>IF(NFI_Expiration=1,IF($A897&lt;VLOOKUP(V$5,NFI,5,0),1,0)*Table_NFI[[#This Row],[Jerry Can]],Table_NFI[Jerry Can])</f>
        <v>0</v>
      </c>
      <c r="AO897" s="540" t="str">
        <f>IFERROR(VLOOKUP(Table_NFI[[#This Row],[Camp Name]],CL,2,0),"")</f>
        <v>MMR001CMP068</v>
      </c>
      <c r="AP897" s="535">
        <f ca="1">IF(Table_NFI[[#This Row],[Pcode]]="","",IF(OFFSET(CampList[Opening Date],MATCH(Table_NFI[[#This Row],[Pcode]],CampList[CP_Pcode],0)-1,0,1,1)&gt;=NFI_Monitor_Date,1,0))</f>
        <v>0</v>
      </c>
      <c r="AQ897" s="540" t="str">
        <f>IFERROR(VLOOKUP(Table_NFI[[#This Row],[Camp Name]],CL,3,0),"")</f>
        <v>Open</v>
      </c>
      <c r="AR897" s="352" t="str">
        <f ca="1">IF(Table_NFI[[#This Row],[Pcode]]="","",OFFSET(CampList[Priority],MATCH(Table_NFI[[#This Row],[Pcode]],CampList[CP_Pcode],0)-1,0,1,1))</f>
        <v>P4</v>
      </c>
      <c r="AS897" s="351">
        <f>IFERROR(Table_NFI[[#This Row],[Kitchen Set]]/VLOOKUP(Table_NFI[[#This Row],[Camp Name]],CL,4,0),"")</f>
        <v>0.53658536585365857</v>
      </c>
      <c r="AT897" s="533" t="s">
        <v>1094</v>
      </c>
      <c r="AU897" s="536"/>
    </row>
    <row r="898" spans="1:47" ht="14.45" hidden="1" customHeight="1" x14ac:dyDescent="0.25">
      <c r="A898" s="355">
        <f t="shared" si="13"/>
        <v>26.366666666666667</v>
      </c>
      <c r="B898" s="532">
        <v>41780</v>
      </c>
      <c r="C898" s="533" t="s">
        <v>1106</v>
      </c>
      <c r="D898" s="533" t="s">
        <v>902</v>
      </c>
      <c r="E898" s="533" t="s">
        <v>380</v>
      </c>
      <c r="F898" s="533" t="s">
        <v>237</v>
      </c>
      <c r="G898" s="533" t="s">
        <v>279</v>
      </c>
      <c r="H898" s="349"/>
      <c r="I898" s="349"/>
      <c r="J898" s="349"/>
      <c r="K898" s="349"/>
      <c r="L898" s="350"/>
      <c r="M898" s="350"/>
      <c r="N898" s="350"/>
      <c r="O898" s="350"/>
      <c r="P898" s="352"/>
      <c r="Q898" s="352"/>
      <c r="R898" s="352"/>
      <c r="S898" s="352"/>
      <c r="T898" s="352"/>
      <c r="U898" s="352">
        <v>30</v>
      </c>
      <c r="V898" s="497"/>
      <c r="W898" s="352"/>
      <c r="X898" s="352"/>
      <c r="Y898" s="352">
        <f>IF(NFI_Expiration=1,IF($A898&lt;VLOOKUP(H$5,NFI,5,0),1,0)*Table_NFI[[#This Row],[Hygiene Kit]],Table_NFI[Hygiene Kit])</f>
        <v>0</v>
      </c>
      <c r="Z898" s="352">
        <f>IF(NFI_Expiration=1,IF($A898&lt;VLOOKUP(I$5,NFI,5,0),1,0)*Table_NFI[[#This Row],[NFI Core Kit]],Table_NFI[NFI Core Kit])</f>
        <v>0</v>
      </c>
      <c r="AA898" s="352">
        <f>IF(NFI_Expiration=1,IF($A898&lt;VLOOKUP(J$5,NFI,5,0),1,0)*Table_NFI[[#This Row],[Sanitary Kit]],Table_NFI[Sanitary Kit])</f>
        <v>0</v>
      </c>
      <c r="AB898" s="352">
        <f>IF(NFI_Expiration=1,IF($A898&lt;VLOOKUP(K$5,NFI,5,0),1,0)*Table_NFI[[#This Row],[Mosquito net]],Table_NFI[Mosquito net])</f>
        <v>0</v>
      </c>
      <c r="AC898" s="352">
        <f>IF(NFI_Expiration=1,IF($A898&lt;VLOOKUP(L$5,NFI,5,0),1,0)*Table_NFI[[#This Row],[Tarpaulin]],Table_NFI[[#This Row],[Tarpaulin]])</f>
        <v>0</v>
      </c>
      <c r="AD898" s="352">
        <f>IF(NFI_Expiration=1,IF($A898&lt;VLOOKUP(M$5,NFI,5,0),1,0)*Table_NFI[[#This Row],[Blanket]],Table_NFI[[#This Row],[Blanket]])</f>
        <v>0</v>
      </c>
      <c r="AE898" s="352">
        <f>IF(NFI_Expiration=1,IF($A898&lt;VLOOKUP(N$5,NFI,5,0),1,0)*Table_NFI[[#This Row],[Kitchen Set]],Table_NFI[Kitchen Set])</f>
        <v>0</v>
      </c>
      <c r="AF898" s="352">
        <f>IF(NFI_Expiration=1,IF($A898&lt;VLOOKUP(O$5,NFI,5,0),1,0)*Table_NFI[[#This Row],[Clothes Kit]],Table_NFI[Clothes Kit])</f>
        <v>0</v>
      </c>
      <c r="AG898" s="352">
        <f>IF(NFI_Expiration=1,IF($A898&lt;VLOOKUP(P$5,NFI,5,0),1,0)*Table_NFI[[#This Row],[Plastic Bucket]],Table_NFI[Plastic Bucket])</f>
        <v>0</v>
      </c>
      <c r="AH898" s="352">
        <f>IF(NFI_Expiration=1,IF($A898&lt;VLOOKUP(Q$5,NFI,5,0),1,0)*Table_NFI[[#This Row],[Plastic Mat]],Table_NFI[Plastic Mat])*IF(Table_NFI[[#This Row],[Distribution Date]]&gt;"2014-04-01",1,2.5)</f>
        <v>0</v>
      </c>
      <c r="AI898" s="352">
        <f>IF(NFI_Expiration=1,IF($A898&lt;VLOOKUP(R$5,NFI,5,0),1,0)*Table_NFI[[#This Row],[Winter Clothes Adult]],Table_NFI[Winter Clothes Adult])</f>
        <v>0</v>
      </c>
      <c r="AJ898" s="352">
        <f>IF(NFI_Expiration=1,IF($A898&lt;VLOOKUP(S$5,NFI,5,0),1,0)*Table_NFI[[#This Row],[Winter Clothes Children]],Table_NFI[Winter Clothes Children])</f>
        <v>0</v>
      </c>
      <c r="AK898" s="352">
        <f>IF(NFI_Expiration=1,IF($A898&lt;VLOOKUP(T$5,NFI,5,0),1,0)*Table_NFI[[#This Row],[Winter Items Other]],Table_NFI[Winter Items Other])</f>
        <v>0</v>
      </c>
      <c r="AL898" s="352">
        <f>IF(NFI_Expiration=1,IF($A898&lt;VLOOKUP(M$5,NFI,5,0),1,0)*Table_NFI[[#This Row],[Winter Blanket]],Table_NFI[[#This Row],[Winter Blanket]])</f>
        <v>0</v>
      </c>
      <c r="AM898" s="352">
        <f>IF(Table_NFI[[#This Row],[Winter Clothes Adult]]+Table_NFI[[#This Row],[Winter Clothes Children]]+Table_NFI[[#This Row],[Winter Items Other]]+Table_NFI[[#This Row],[Winter Blanket]]&gt;0,1,0)</f>
        <v>1</v>
      </c>
      <c r="AN898" s="392">
        <f>IF(NFI_Expiration=1,IF($A898&lt;VLOOKUP(V$5,NFI,5,0),1,0)*Table_NFI[[#This Row],[Jerry Can]],Table_NFI[Jerry Can])</f>
        <v>0</v>
      </c>
      <c r="AO898" s="540" t="str">
        <f>IFERROR(VLOOKUP(Table_NFI[[#This Row],[Camp Name]],CL,2,0),"")</f>
        <v>MMR001CMP007</v>
      </c>
      <c r="AP898" s="535">
        <f ca="1">IF(Table_NFI[[#This Row],[Pcode]]="","",IF(OFFSET(CampList[Opening Date],MATCH(Table_NFI[[#This Row],[Pcode]],CampList[CP_Pcode],0)-1,0,1,1)&gt;=NFI_Monitor_Date,1,0))</f>
        <v>0</v>
      </c>
      <c r="AQ898" s="540" t="str">
        <f>IFERROR(VLOOKUP(Table_NFI[[#This Row],[Camp Name]],CL,3,0),"")</f>
        <v>Open</v>
      </c>
      <c r="AR898" s="352" t="str">
        <f ca="1">IF(Table_NFI[[#This Row],[Pcode]]="","",OFFSET(CampList[Priority],MATCH(Table_NFI[[#This Row],[Pcode]],CampList[CP_Pcode],0)-1,0,1,1))</f>
        <v>P4</v>
      </c>
      <c r="AS898" s="351">
        <f>IFERROR(Table_NFI[[#This Row],[Kitchen Set]]/VLOOKUP(Table_NFI[[#This Row],[Camp Name]],CL,4,0),"")</f>
        <v>0</v>
      </c>
      <c r="AT898" s="533"/>
      <c r="AU898" s="536"/>
    </row>
    <row r="899" spans="1:47" ht="14.45" hidden="1" customHeight="1" x14ac:dyDescent="0.25">
      <c r="A899" s="355">
        <f t="shared" si="13"/>
        <v>43.233333333333334</v>
      </c>
      <c r="B899" s="532">
        <v>41274</v>
      </c>
      <c r="C899" s="533" t="s">
        <v>454</v>
      </c>
      <c r="D899" s="534" t="s">
        <v>454</v>
      </c>
      <c r="E899" s="533" t="s">
        <v>380</v>
      </c>
      <c r="F899" s="348" t="s">
        <v>237</v>
      </c>
      <c r="G899" s="348" t="s">
        <v>279</v>
      </c>
      <c r="H899" s="349">
        <v>17</v>
      </c>
      <c r="I899" s="349"/>
      <c r="J899" s="349"/>
      <c r="K899" s="349"/>
      <c r="L899" s="350"/>
      <c r="M899" s="350"/>
      <c r="N899" s="350"/>
      <c r="O899" s="350"/>
      <c r="P899" s="352">
        <v>0</v>
      </c>
      <c r="Q899" s="352">
        <v>0</v>
      </c>
      <c r="R899" s="352"/>
      <c r="S899" s="352"/>
      <c r="T899" s="352"/>
      <c r="U899" s="352"/>
      <c r="V899" s="497"/>
      <c r="W899" s="352"/>
      <c r="X899" s="352"/>
      <c r="Y899" s="352">
        <f>IF(NFI_Expiration=1,IF($A899&lt;VLOOKUP(H$5,NFI,5,0),1,0)*Table_NFI[[#This Row],[Hygiene Kit]],Table_NFI[Hygiene Kit])</f>
        <v>0</v>
      </c>
      <c r="Z899" s="352">
        <f>IF(NFI_Expiration=1,IF($A899&lt;VLOOKUP(I$5,NFI,5,0),1,0)*Table_NFI[[#This Row],[NFI Core Kit]],Table_NFI[NFI Core Kit])</f>
        <v>0</v>
      </c>
      <c r="AA899" s="352">
        <f>IF(NFI_Expiration=1,IF($A899&lt;VLOOKUP(J$5,NFI,5,0),1,0)*Table_NFI[[#This Row],[Sanitary Kit]],Table_NFI[Sanitary Kit])</f>
        <v>0</v>
      </c>
      <c r="AB899" s="352">
        <f>IF(NFI_Expiration=1,IF($A899&lt;VLOOKUP(K$5,NFI,5,0),1,0)*Table_NFI[[#This Row],[Mosquito net]],Table_NFI[Mosquito net])</f>
        <v>0</v>
      </c>
      <c r="AC899" s="352">
        <f>IF(NFI_Expiration=1,IF($A899&lt;VLOOKUP(L$5,NFI,5,0),1,0)*Table_NFI[[#This Row],[Tarpaulin]],Table_NFI[[#This Row],[Tarpaulin]])</f>
        <v>0</v>
      </c>
      <c r="AD899" s="352">
        <f>IF(NFI_Expiration=1,IF($A899&lt;VLOOKUP(M$5,NFI,5,0),1,0)*Table_NFI[[#This Row],[Blanket]],Table_NFI[[#This Row],[Blanket]])</f>
        <v>0</v>
      </c>
      <c r="AE899" s="352">
        <f>IF(NFI_Expiration=1,IF($A899&lt;VLOOKUP(N$5,NFI,5,0),1,0)*Table_NFI[[#This Row],[Kitchen Set]],Table_NFI[Kitchen Set])</f>
        <v>0</v>
      </c>
      <c r="AF899" s="352">
        <f>IF(NFI_Expiration=1,IF($A899&lt;VLOOKUP(O$5,NFI,5,0),1,0)*Table_NFI[[#This Row],[Clothes Kit]],Table_NFI[Clothes Kit])</f>
        <v>0</v>
      </c>
      <c r="AG899" s="352">
        <f>IF(NFI_Expiration=1,IF($A899&lt;VLOOKUP(P$5,NFI,5,0),1,0)*Table_NFI[[#This Row],[Plastic Bucket]],Table_NFI[Plastic Bucket])</f>
        <v>0</v>
      </c>
      <c r="AH899" s="352">
        <f>IF(NFI_Expiration=1,IF($A899&lt;VLOOKUP(Q$5,NFI,5,0),1,0)*Table_NFI[[#This Row],[Plastic Mat]],Table_NFI[Plastic Mat])*IF(Table_NFI[[#This Row],[Distribution Date]]&gt;"2014-04-01",1,2.5)</f>
        <v>0</v>
      </c>
      <c r="AI899" s="352">
        <f>IF(NFI_Expiration=1,IF($A899&lt;VLOOKUP(R$5,NFI,5,0),1,0)*Table_NFI[[#This Row],[Winter Clothes Adult]],Table_NFI[Winter Clothes Adult])</f>
        <v>0</v>
      </c>
      <c r="AJ899" s="352">
        <f>IF(NFI_Expiration=1,IF($A899&lt;VLOOKUP(S$5,NFI,5,0),1,0)*Table_NFI[[#This Row],[Winter Clothes Children]],Table_NFI[Winter Clothes Children])</f>
        <v>0</v>
      </c>
      <c r="AK899" s="352">
        <f>IF(NFI_Expiration=1,IF($A899&lt;VLOOKUP(T$5,NFI,5,0),1,0)*Table_NFI[[#This Row],[Winter Items Other]],Table_NFI[Winter Items Other])</f>
        <v>0</v>
      </c>
      <c r="AL899" s="352">
        <f>IF(NFI_Expiration=1,IF($A899&lt;VLOOKUP(M$5,NFI,5,0),1,0)*Table_NFI[[#This Row],[Winter Blanket]],Table_NFI[[#This Row],[Winter Blanket]])</f>
        <v>0</v>
      </c>
      <c r="AM899" s="352">
        <f>IF(Table_NFI[[#This Row],[Winter Clothes Adult]]+Table_NFI[[#This Row],[Winter Clothes Children]]+Table_NFI[[#This Row],[Winter Items Other]]+Table_NFI[[#This Row],[Winter Blanket]]&gt;0,1,0)</f>
        <v>0</v>
      </c>
      <c r="AN899" s="392">
        <f>IF(NFI_Expiration=1,IF($A899&lt;VLOOKUP(V$5,NFI,5,0),1,0)*Table_NFI[[#This Row],[Jerry Can]],Table_NFI[Jerry Can])</f>
        <v>0</v>
      </c>
      <c r="AO899" s="540" t="str">
        <f>IFERROR(VLOOKUP(Table_NFI[[#This Row],[Camp Name]],CL,2,0),"")</f>
        <v>MMR001CMP007</v>
      </c>
      <c r="AP899" s="535">
        <f ca="1">IF(Table_NFI[[#This Row],[Pcode]]="","",IF(OFFSET(CampList[Opening Date],MATCH(Table_NFI[[#This Row],[Pcode]],CampList[CP_Pcode],0)-1,0,1,1)&gt;=NFI_Monitor_Date,1,0))</f>
        <v>0</v>
      </c>
      <c r="AQ899" s="540" t="str">
        <f>IFERROR(VLOOKUP(Table_NFI[[#This Row],[Camp Name]],CL,3,0),"")</f>
        <v>Open</v>
      </c>
      <c r="AR899" s="352" t="str">
        <f ca="1">IF(Table_NFI[[#This Row],[Pcode]]="","",OFFSET(CampList[Priority],MATCH(Table_NFI[[#This Row],[Pcode]],CampList[CP_Pcode],0)-1,0,1,1))</f>
        <v>P4</v>
      </c>
      <c r="AS899" s="351">
        <f>IFERROR(Table_NFI[[#This Row],[Kitchen Set]]/VLOOKUP(Table_NFI[[#This Row],[Camp Name]],CL,4,0),"")</f>
        <v>0</v>
      </c>
      <c r="AT899" s="533" t="s">
        <v>1094</v>
      </c>
      <c r="AU899" s="536"/>
    </row>
    <row r="900" spans="1:47" ht="14.45" customHeight="1" x14ac:dyDescent="0.25">
      <c r="A900" s="355">
        <f t="shared" si="13"/>
        <v>51.1</v>
      </c>
      <c r="B900" s="532">
        <v>41038</v>
      </c>
      <c r="C900" s="533" t="s">
        <v>453</v>
      </c>
      <c r="D900" s="534" t="s">
        <v>453</v>
      </c>
      <c r="E900" s="533" t="s">
        <v>380</v>
      </c>
      <c r="F900" s="348" t="s">
        <v>310</v>
      </c>
      <c r="G900" s="348" t="s">
        <v>311</v>
      </c>
      <c r="H900" s="349"/>
      <c r="I900" s="349"/>
      <c r="J900" s="349"/>
      <c r="K900" s="349">
        <v>161</v>
      </c>
      <c r="L900" s="350">
        <v>83</v>
      </c>
      <c r="M900" s="350">
        <v>161</v>
      </c>
      <c r="N900" s="350">
        <v>83</v>
      </c>
      <c r="O900" s="350">
        <v>83</v>
      </c>
      <c r="P900" s="352">
        <v>83</v>
      </c>
      <c r="Q900" s="352">
        <v>83</v>
      </c>
      <c r="R900" s="352"/>
      <c r="S900" s="352"/>
      <c r="T900" s="352"/>
      <c r="U900" s="352"/>
      <c r="V900" s="497"/>
      <c r="W900" s="352"/>
      <c r="X900" s="352"/>
      <c r="Y900" s="352">
        <f>IF(NFI_Expiration=1,IF($A900&lt;VLOOKUP(H$5,NFI,5,0),1,0)*Table_NFI[[#This Row],[Hygiene Kit]],Table_NFI[Hygiene Kit])</f>
        <v>0</v>
      </c>
      <c r="Z900" s="352">
        <f>IF(NFI_Expiration=1,IF($A900&lt;VLOOKUP(I$5,NFI,5,0),1,0)*Table_NFI[[#This Row],[NFI Core Kit]],Table_NFI[NFI Core Kit])</f>
        <v>0</v>
      </c>
      <c r="AA900" s="352">
        <f>IF(NFI_Expiration=1,IF($A900&lt;VLOOKUP(J$5,NFI,5,0),1,0)*Table_NFI[[#This Row],[Sanitary Kit]],Table_NFI[Sanitary Kit])</f>
        <v>0</v>
      </c>
      <c r="AB900" s="352">
        <f>IF(NFI_Expiration=1,IF($A900&lt;VLOOKUP(K$5,NFI,5,0),1,0)*Table_NFI[[#This Row],[Mosquito net]],Table_NFI[Mosquito net])</f>
        <v>0</v>
      </c>
      <c r="AC900" s="352">
        <f>IF(NFI_Expiration=1,IF($A900&lt;VLOOKUP(L$5,NFI,5,0),1,0)*Table_NFI[[#This Row],[Tarpaulin]],Table_NFI[[#This Row],[Tarpaulin]])</f>
        <v>0</v>
      </c>
      <c r="AD900" s="352">
        <f>IF(NFI_Expiration=1,IF($A900&lt;VLOOKUP(M$5,NFI,5,0),1,0)*Table_NFI[[#This Row],[Blanket]],Table_NFI[[#This Row],[Blanket]])</f>
        <v>0</v>
      </c>
      <c r="AE900" s="352">
        <f>IF(NFI_Expiration=1,IF($A900&lt;VLOOKUP(N$5,NFI,5,0),1,0)*Table_NFI[[#This Row],[Kitchen Set]],Table_NFI[Kitchen Set])</f>
        <v>0</v>
      </c>
      <c r="AF900" s="352">
        <f>IF(NFI_Expiration=1,IF($A900&lt;VLOOKUP(O$5,NFI,5,0),1,0)*Table_NFI[[#This Row],[Clothes Kit]],Table_NFI[Clothes Kit])</f>
        <v>0</v>
      </c>
      <c r="AG900" s="352">
        <f>IF(NFI_Expiration=1,IF($A900&lt;VLOOKUP(P$5,NFI,5,0),1,0)*Table_NFI[[#This Row],[Plastic Bucket]],Table_NFI[Plastic Bucket])</f>
        <v>0</v>
      </c>
      <c r="AH900" s="352">
        <f>IF(NFI_Expiration=1,IF($A900&lt;VLOOKUP(Q$5,NFI,5,0),1,0)*Table_NFI[[#This Row],[Plastic Mat]],Table_NFI[Plastic Mat])*IF(Table_NFI[[#This Row],[Distribution Date]]&gt;"2014-04-01",1,2.5)</f>
        <v>0</v>
      </c>
      <c r="AI900" s="352">
        <f>IF(NFI_Expiration=1,IF($A900&lt;VLOOKUP(R$5,NFI,5,0),1,0)*Table_NFI[[#This Row],[Winter Clothes Adult]],Table_NFI[Winter Clothes Adult])</f>
        <v>0</v>
      </c>
      <c r="AJ900" s="352">
        <f>IF(NFI_Expiration=1,IF($A900&lt;VLOOKUP(S$5,NFI,5,0),1,0)*Table_NFI[[#This Row],[Winter Clothes Children]],Table_NFI[Winter Clothes Children])</f>
        <v>0</v>
      </c>
      <c r="AK900" s="352">
        <f>IF(NFI_Expiration=1,IF($A900&lt;VLOOKUP(T$5,NFI,5,0),1,0)*Table_NFI[[#This Row],[Winter Items Other]],Table_NFI[Winter Items Other])</f>
        <v>0</v>
      </c>
      <c r="AL900" s="352">
        <f>IF(NFI_Expiration=1,IF($A900&lt;VLOOKUP(M$5,NFI,5,0),1,0)*Table_NFI[[#This Row],[Winter Blanket]],Table_NFI[[#This Row],[Winter Blanket]])</f>
        <v>0</v>
      </c>
      <c r="AM900" s="352">
        <f>IF(Table_NFI[[#This Row],[Winter Clothes Adult]]+Table_NFI[[#This Row],[Winter Clothes Children]]+Table_NFI[[#This Row],[Winter Items Other]]+Table_NFI[[#This Row],[Winter Blanket]]&gt;0,1,0)</f>
        <v>0</v>
      </c>
      <c r="AN900" s="392">
        <f>IF(NFI_Expiration=1,IF($A900&lt;VLOOKUP(V$5,NFI,5,0),1,0)*Table_NFI[[#This Row],[Jerry Can]],Table_NFI[Jerry Can])</f>
        <v>0</v>
      </c>
      <c r="AO900" s="540" t="str">
        <f>IFERROR(VLOOKUP(Table_NFI[[#This Row],[Camp Name]],CL,2,0),"")</f>
        <v>MMR001CMP036</v>
      </c>
      <c r="AP900" s="535">
        <f ca="1">IF(Table_NFI[[#This Row],[Pcode]]="","",IF(OFFSET(CampList[Opening Date],MATCH(Table_NFI[[#This Row],[Pcode]],CampList[CP_Pcode],0)-1,0,1,1)&gt;=NFI_Monitor_Date,1,0))</f>
        <v>0</v>
      </c>
      <c r="AQ900" s="540" t="str">
        <f>IFERROR(VLOOKUP(Table_NFI[[#This Row],[Camp Name]],CL,3,0),"")</f>
        <v>Closed</v>
      </c>
      <c r="AR900" s="352" t="str">
        <f ca="1">IF(Table_NFI[[#This Row],[Pcode]]="","",OFFSET(CampList[Priority],MATCH(Table_NFI[[#This Row],[Pcode]],CampList[CP_Pcode],0)-1,0,1,1))</f>
        <v>P4</v>
      </c>
      <c r="AS900" s="351" t="str">
        <f>IFERROR(Table_NFI[[#This Row],[Kitchen Set]]/VLOOKUP(Table_NFI[[#This Row],[Camp Name]],CL,4,0),"")</f>
        <v/>
      </c>
      <c r="AT900" s="533" t="s">
        <v>1094</v>
      </c>
      <c r="AU900" s="536"/>
    </row>
    <row r="901" spans="1:47" ht="14.45" customHeight="1" x14ac:dyDescent="0.25">
      <c r="A901" s="355">
        <f t="shared" si="13"/>
        <v>51.3</v>
      </c>
      <c r="B901" s="532">
        <v>41032</v>
      </c>
      <c r="C901" s="533" t="s">
        <v>453</v>
      </c>
      <c r="D901" s="534" t="s">
        <v>453</v>
      </c>
      <c r="E901" s="533" t="s">
        <v>380</v>
      </c>
      <c r="F901" s="348" t="s">
        <v>310</v>
      </c>
      <c r="G901" s="348" t="s">
        <v>328</v>
      </c>
      <c r="H901" s="349"/>
      <c r="I901" s="349"/>
      <c r="J901" s="349"/>
      <c r="K901" s="349">
        <v>42</v>
      </c>
      <c r="L901" s="350">
        <v>0</v>
      </c>
      <c r="M901" s="350">
        <v>42</v>
      </c>
      <c r="N901" s="350">
        <v>0</v>
      </c>
      <c r="O901" s="350">
        <v>20</v>
      </c>
      <c r="P901" s="352">
        <v>20</v>
      </c>
      <c r="Q901" s="352">
        <v>20</v>
      </c>
      <c r="R901" s="352"/>
      <c r="S901" s="352"/>
      <c r="T901" s="352"/>
      <c r="U901" s="352"/>
      <c r="V901" s="497"/>
      <c r="W901" s="352"/>
      <c r="X901" s="352"/>
      <c r="Y901" s="352">
        <f>IF(NFI_Expiration=1,IF($A901&lt;VLOOKUP(H$5,NFI,5,0),1,0)*Table_NFI[[#This Row],[Hygiene Kit]],Table_NFI[Hygiene Kit])</f>
        <v>0</v>
      </c>
      <c r="Z901" s="352">
        <f>IF(NFI_Expiration=1,IF($A901&lt;VLOOKUP(I$5,NFI,5,0),1,0)*Table_NFI[[#This Row],[NFI Core Kit]],Table_NFI[NFI Core Kit])</f>
        <v>0</v>
      </c>
      <c r="AA901" s="352">
        <f>IF(NFI_Expiration=1,IF($A901&lt;VLOOKUP(J$5,NFI,5,0),1,0)*Table_NFI[[#This Row],[Sanitary Kit]],Table_NFI[Sanitary Kit])</f>
        <v>0</v>
      </c>
      <c r="AB901" s="352">
        <f>IF(NFI_Expiration=1,IF($A901&lt;VLOOKUP(K$5,NFI,5,0),1,0)*Table_NFI[[#This Row],[Mosquito net]],Table_NFI[Mosquito net])</f>
        <v>0</v>
      </c>
      <c r="AC901" s="352">
        <f>IF(NFI_Expiration=1,IF($A901&lt;VLOOKUP(L$5,NFI,5,0),1,0)*Table_NFI[[#This Row],[Tarpaulin]],Table_NFI[[#This Row],[Tarpaulin]])</f>
        <v>0</v>
      </c>
      <c r="AD901" s="352">
        <f>IF(NFI_Expiration=1,IF($A901&lt;VLOOKUP(M$5,NFI,5,0),1,0)*Table_NFI[[#This Row],[Blanket]],Table_NFI[[#This Row],[Blanket]])</f>
        <v>0</v>
      </c>
      <c r="AE901" s="352">
        <f>IF(NFI_Expiration=1,IF($A901&lt;VLOOKUP(N$5,NFI,5,0),1,0)*Table_NFI[[#This Row],[Kitchen Set]],Table_NFI[Kitchen Set])</f>
        <v>0</v>
      </c>
      <c r="AF901" s="352">
        <f>IF(NFI_Expiration=1,IF($A901&lt;VLOOKUP(O$5,NFI,5,0),1,0)*Table_NFI[[#This Row],[Clothes Kit]],Table_NFI[Clothes Kit])</f>
        <v>0</v>
      </c>
      <c r="AG901" s="352">
        <f>IF(NFI_Expiration=1,IF($A901&lt;VLOOKUP(P$5,NFI,5,0),1,0)*Table_NFI[[#This Row],[Plastic Bucket]],Table_NFI[Plastic Bucket])</f>
        <v>0</v>
      </c>
      <c r="AH901" s="352">
        <f>IF(NFI_Expiration=1,IF($A901&lt;VLOOKUP(Q$5,NFI,5,0),1,0)*Table_NFI[[#This Row],[Plastic Mat]],Table_NFI[Plastic Mat])*IF(Table_NFI[[#This Row],[Distribution Date]]&gt;"2014-04-01",1,2.5)</f>
        <v>0</v>
      </c>
      <c r="AI901" s="352">
        <f>IF(NFI_Expiration=1,IF($A901&lt;VLOOKUP(R$5,NFI,5,0),1,0)*Table_NFI[[#This Row],[Winter Clothes Adult]],Table_NFI[Winter Clothes Adult])</f>
        <v>0</v>
      </c>
      <c r="AJ901" s="352">
        <f>IF(NFI_Expiration=1,IF($A901&lt;VLOOKUP(S$5,NFI,5,0),1,0)*Table_NFI[[#This Row],[Winter Clothes Children]],Table_NFI[Winter Clothes Children])</f>
        <v>0</v>
      </c>
      <c r="AK901" s="352">
        <f>IF(NFI_Expiration=1,IF($A901&lt;VLOOKUP(T$5,NFI,5,0),1,0)*Table_NFI[[#This Row],[Winter Items Other]],Table_NFI[Winter Items Other])</f>
        <v>0</v>
      </c>
      <c r="AL901" s="352">
        <f>IF(NFI_Expiration=1,IF($A901&lt;VLOOKUP(M$5,NFI,5,0),1,0)*Table_NFI[[#This Row],[Winter Blanket]],Table_NFI[[#This Row],[Winter Blanket]])</f>
        <v>0</v>
      </c>
      <c r="AM901" s="352">
        <f>IF(Table_NFI[[#This Row],[Winter Clothes Adult]]+Table_NFI[[#This Row],[Winter Clothes Children]]+Table_NFI[[#This Row],[Winter Items Other]]+Table_NFI[[#This Row],[Winter Blanket]]&gt;0,1,0)</f>
        <v>0</v>
      </c>
      <c r="AN901" s="392">
        <f>IF(NFI_Expiration=1,IF($A901&lt;VLOOKUP(V$5,NFI,5,0),1,0)*Table_NFI[[#This Row],[Jerry Can]],Table_NFI[Jerry Can])</f>
        <v>0</v>
      </c>
      <c r="AO901" s="540" t="str">
        <f>IFERROR(VLOOKUP(Table_NFI[[#This Row],[Camp Name]],CL,2,0),"")</f>
        <v>MMR001CMP031</v>
      </c>
      <c r="AP901" s="535">
        <f ca="1">IF(Table_NFI[[#This Row],[Pcode]]="","",IF(OFFSET(CampList[Opening Date],MATCH(Table_NFI[[#This Row],[Pcode]],CampList[CP_Pcode],0)-1,0,1,1)&gt;=NFI_Monitor_Date,1,0))</f>
        <v>0</v>
      </c>
      <c r="AQ901" s="540" t="str">
        <f>IFERROR(VLOOKUP(Table_NFI[[#This Row],[Camp Name]],CL,3,0),"")</f>
        <v>Open</v>
      </c>
      <c r="AR901" s="352" t="str">
        <f ca="1">IF(Table_NFI[[#This Row],[Pcode]]="","",OFFSET(CampList[Priority],MATCH(Table_NFI[[#This Row],[Pcode]],CampList[CP_Pcode],0)-1,0,1,1))</f>
        <v>P4</v>
      </c>
      <c r="AS901" s="351">
        <f>IFERROR(Table_NFI[[#This Row],[Kitchen Set]]/VLOOKUP(Table_NFI[[#This Row],[Camp Name]],CL,4,0),"")</f>
        <v>0</v>
      </c>
      <c r="AT901" s="533" t="s">
        <v>1094</v>
      </c>
      <c r="AU901" s="536"/>
    </row>
    <row r="902" spans="1:47" ht="14.45" customHeight="1" x14ac:dyDescent="0.25">
      <c r="A902" s="355">
        <f t="shared" ref="A902:A965" si="14">IF(ISBLANK(B902),"",(Report_Date-B902)/30)</f>
        <v>51.3</v>
      </c>
      <c r="B902" s="532">
        <v>41032</v>
      </c>
      <c r="C902" s="533" t="s">
        <v>453</v>
      </c>
      <c r="D902" s="534" t="s">
        <v>453</v>
      </c>
      <c r="E902" s="533" t="s">
        <v>380</v>
      </c>
      <c r="F902" s="348" t="s">
        <v>237</v>
      </c>
      <c r="G902" s="348" t="s">
        <v>267</v>
      </c>
      <c r="H902" s="349"/>
      <c r="I902" s="349"/>
      <c r="J902" s="349"/>
      <c r="K902" s="349">
        <v>0</v>
      </c>
      <c r="L902" s="350">
        <v>0</v>
      </c>
      <c r="M902" s="350">
        <v>0</v>
      </c>
      <c r="N902" s="350">
        <v>0</v>
      </c>
      <c r="O902" s="350">
        <v>5</v>
      </c>
      <c r="P902" s="352">
        <v>5</v>
      </c>
      <c r="Q902" s="352">
        <v>5</v>
      </c>
      <c r="R902" s="352"/>
      <c r="S902" s="352"/>
      <c r="T902" s="352"/>
      <c r="U902" s="352"/>
      <c r="V902" s="497"/>
      <c r="W902" s="352"/>
      <c r="X902" s="352"/>
      <c r="Y902" s="352">
        <f>IF(NFI_Expiration=1,IF($A902&lt;VLOOKUP(H$5,NFI,5,0),1,0)*Table_NFI[[#This Row],[Hygiene Kit]],Table_NFI[Hygiene Kit])</f>
        <v>0</v>
      </c>
      <c r="Z902" s="352">
        <f>IF(NFI_Expiration=1,IF($A902&lt;VLOOKUP(I$5,NFI,5,0),1,0)*Table_NFI[[#This Row],[NFI Core Kit]],Table_NFI[NFI Core Kit])</f>
        <v>0</v>
      </c>
      <c r="AA902" s="352">
        <f>IF(NFI_Expiration=1,IF($A902&lt;VLOOKUP(J$5,NFI,5,0),1,0)*Table_NFI[[#This Row],[Sanitary Kit]],Table_NFI[Sanitary Kit])</f>
        <v>0</v>
      </c>
      <c r="AB902" s="352">
        <f>IF(NFI_Expiration=1,IF($A902&lt;VLOOKUP(K$5,NFI,5,0),1,0)*Table_NFI[[#This Row],[Mosquito net]],Table_NFI[Mosquito net])</f>
        <v>0</v>
      </c>
      <c r="AC902" s="352">
        <f>IF(NFI_Expiration=1,IF($A902&lt;VLOOKUP(L$5,NFI,5,0),1,0)*Table_NFI[[#This Row],[Tarpaulin]],Table_NFI[[#This Row],[Tarpaulin]])</f>
        <v>0</v>
      </c>
      <c r="AD902" s="352">
        <f>IF(NFI_Expiration=1,IF($A902&lt;VLOOKUP(M$5,NFI,5,0),1,0)*Table_NFI[[#This Row],[Blanket]],Table_NFI[[#This Row],[Blanket]])</f>
        <v>0</v>
      </c>
      <c r="AE902" s="352">
        <f>IF(NFI_Expiration=1,IF($A902&lt;VLOOKUP(N$5,NFI,5,0),1,0)*Table_NFI[[#This Row],[Kitchen Set]],Table_NFI[Kitchen Set])</f>
        <v>0</v>
      </c>
      <c r="AF902" s="352">
        <f>IF(NFI_Expiration=1,IF($A902&lt;VLOOKUP(O$5,NFI,5,0),1,0)*Table_NFI[[#This Row],[Clothes Kit]],Table_NFI[Clothes Kit])</f>
        <v>0</v>
      </c>
      <c r="AG902" s="352">
        <f>IF(NFI_Expiration=1,IF($A902&lt;VLOOKUP(P$5,NFI,5,0),1,0)*Table_NFI[[#This Row],[Plastic Bucket]],Table_NFI[Plastic Bucket])</f>
        <v>0</v>
      </c>
      <c r="AH902" s="352">
        <f>IF(NFI_Expiration=1,IF($A902&lt;VLOOKUP(Q$5,NFI,5,0),1,0)*Table_NFI[[#This Row],[Plastic Mat]],Table_NFI[Plastic Mat])*IF(Table_NFI[[#This Row],[Distribution Date]]&gt;"2014-04-01",1,2.5)</f>
        <v>0</v>
      </c>
      <c r="AI902" s="352">
        <f>IF(NFI_Expiration=1,IF($A902&lt;VLOOKUP(R$5,NFI,5,0),1,0)*Table_NFI[[#This Row],[Winter Clothes Adult]],Table_NFI[Winter Clothes Adult])</f>
        <v>0</v>
      </c>
      <c r="AJ902" s="352">
        <f>IF(NFI_Expiration=1,IF($A902&lt;VLOOKUP(S$5,NFI,5,0),1,0)*Table_NFI[[#This Row],[Winter Clothes Children]],Table_NFI[Winter Clothes Children])</f>
        <v>0</v>
      </c>
      <c r="AK902" s="352">
        <f>IF(NFI_Expiration=1,IF($A902&lt;VLOOKUP(T$5,NFI,5,0),1,0)*Table_NFI[[#This Row],[Winter Items Other]],Table_NFI[Winter Items Other])</f>
        <v>0</v>
      </c>
      <c r="AL902" s="352">
        <f>IF(NFI_Expiration=1,IF($A902&lt;VLOOKUP(M$5,NFI,5,0),1,0)*Table_NFI[[#This Row],[Winter Blanket]],Table_NFI[[#This Row],[Winter Blanket]])</f>
        <v>0</v>
      </c>
      <c r="AM902" s="352">
        <f>IF(Table_NFI[[#This Row],[Winter Clothes Adult]]+Table_NFI[[#This Row],[Winter Clothes Children]]+Table_NFI[[#This Row],[Winter Items Other]]+Table_NFI[[#This Row],[Winter Blanket]]&gt;0,1,0)</f>
        <v>0</v>
      </c>
      <c r="AN902" s="392">
        <f>IF(NFI_Expiration=1,IF($A902&lt;VLOOKUP(V$5,NFI,5,0),1,0)*Table_NFI[[#This Row],[Jerry Can]],Table_NFI[Jerry Can])</f>
        <v>0</v>
      </c>
      <c r="AO902" s="540" t="str">
        <f>IFERROR(VLOOKUP(Table_NFI[[#This Row],[Camp Name]],CL,2,0),"")</f>
        <v>MMR001CMP017</v>
      </c>
      <c r="AP902" s="535">
        <f ca="1">IF(Table_NFI[[#This Row],[Pcode]]="","",IF(OFFSET(CampList[Opening Date],MATCH(Table_NFI[[#This Row],[Pcode]],CampList[CP_Pcode],0)-1,0,1,1)&gt;=NFI_Monitor_Date,1,0))</f>
        <v>0</v>
      </c>
      <c r="AQ902" s="540" t="str">
        <f>IFERROR(VLOOKUP(Table_NFI[[#This Row],[Camp Name]],CL,3,0),"")</f>
        <v>Closed</v>
      </c>
      <c r="AR902" s="352" t="str">
        <f ca="1">IF(Table_NFI[[#This Row],[Pcode]]="","",OFFSET(CampList[Priority],MATCH(Table_NFI[[#This Row],[Pcode]],CampList[CP_Pcode],0)-1,0,1,1))</f>
        <v>P4</v>
      </c>
      <c r="AS902" s="351" t="str">
        <f>IFERROR(Table_NFI[[#This Row],[Kitchen Set]]/VLOOKUP(Table_NFI[[#This Row],[Camp Name]],CL,4,0),"")</f>
        <v/>
      </c>
      <c r="AT902" s="533" t="s">
        <v>1094</v>
      </c>
      <c r="AU902" s="536"/>
    </row>
    <row r="903" spans="1:47" ht="14.45" customHeight="1" x14ac:dyDescent="0.25">
      <c r="A903" s="355">
        <f t="shared" si="14"/>
        <v>51.3</v>
      </c>
      <c r="B903" s="532">
        <v>41032</v>
      </c>
      <c r="C903" s="533" t="s">
        <v>453</v>
      </c>
      <c r="D903" s="533" t="s">
        <v>453</v>
      </c>
      <c r="E903" s="533" t="s">
        <v>380</v>
      </c>
      <c r="F903" s="348" t="s">
        <v>310</v>
      </c>
      <c r="G903" s="348" t="s">
        <v>338</v>
      </c>
      <c r="H903" s="349"/>
      <c r="I903" s="349"/>
      <c r="J903" s="349"/>
      <c r="K903" s="349">
        <v>12</v>
      </c>
      <c r="L903" s="350">
        <v>0</v>
      </c>
      <c r="M903" s="350">
        <v>12</v>
      </c>
      <c r="N903" s="350">
        <v>6</v>
      </c>
      <c r="O903" s="350">
        <v>6</v>
      </c>
      <c r="P903" s="352">
        <v>6</v>
      </c>
      <c r="Q903" s="352">
        <v>6</v>
      </c>
      <c r="R903" s="352"/>
      <c r="S903" s="352"/>
      <c r="T903" s="352"/>
      <c r="U903" s="352"/>
      <c r="V903" s="497"/>
      <c r="W903" s="352"/>
      <c r="X903" s="352"/>
      <c r="Y903" s="352">
        <f>IF(NFI_Expiration=1,IF($A903&lt;VLOOKUP(H$5,NFI,5,0),1,0)*Table_NFI[[#This Row],[Hygiene Kit]],Table_NFI[Hygiene Kit])</f>
        <v>0</v>
      </c>
      <c r="Z903" s="352">
        <f>IF(NFI_Expiration=1,IF($A903&lt;VLOOKUP(I$5,NFI,5,0),1,0)*Table_NFI[[#This Row],[NFI Core Kit]],Table_NFI[NFI Core Kit])</f>
        <v>0</v>
      </c>
      <c r="AA903" s="352">
        <f>IF(NFI_Expiration=1,IF($A903&lt;VLOOKUP(J$5,NFI,5,0),1,0)*Table_NFI[[#This Row],[Sanitary Kit]],Table_NFI[Sanitary Kit])</f>
        <v>0</v>
      </c>
      <c r="AB903" s="352">
        <f>IF(NFI_Expiration=1,IF($A903&lt;VLOOKUP(K$5,NFI,5,0),1,0)*Table_NFI[[#This Row],[Mosquito net]],Table_NFI[Mosquito net])</f>
        <v>0</v>
      </c>
      <c r="AC903" s="352">
        <f>IF(NFI_Expiration=1,IF($A903&lt;VLOOKUP(L$5,NFI,5,0),1,0)*Table_NFI[[#This Row],[Tarpaulin]],Table_NFI[[#This Row],[Tarpaulin]])</f>
        <v>0</v>
      </c>
      <c r="AD903" s="352">
        <f>IF(NFI_Expiration=1,IF($A903&lt;VLOOKUP(M$5,NFI,5,0),1,0)*Table_NFI[[#This Row],[Blanket]],Table_NFI[[#This Row],[Blanket]])</f>
        <v>0</v>
      </c>
      <c r="AE903" s="352">
        <f>IF(NFI_Expiration=1,IF($A903&lt;VLOOKUP(N$5,NFI,5,0),1,0)*Table_NFI[[#This Row],[Kitchen Set]],Table_NFI[Kitchen Set])</f>
        <v>0</v>
      </c>
      <c r="AF903" s="352">
        <f>IF(NFI_Expiration=1,IF($A903&lt;VLOOKUP(O$5,NFI,5,0),1,0)*Table_NFI[[#This Row],[Clothes Kit]],Table_NFI[Clothes Kit])</f>
        <v>0</v>
      </c>
      <c r="AG903" s="352">
        <f>IF(NFI_Expiration=1,IF($A903&lt;VLOOKUP(P$5,NFI,5,0),1,0)*Table_NFI[[#This Row],[Plastic Bucket]],Table_NFI[Plastic Bucket])</f>
        <v>0</v>
      </c>
      <c r="AH903" s="352">
        <f>IF(NFI_Expiration=1,IF($A903&lt;VLOOKUP(Q$5,NFI,5,0),1,0)*Table_NFI[[#This Row],[Plastic Mat]],Table_NFI[Plastic Mat])*IF(Table_NFI[[#This Row],[Distribution Date]]&gt;"2014-04-01",1,2.5)</f>
        <v>0</v>
      </c>
      <c r="AI903" s="352">
        <f>IF(NFI_Expiration=1,IF($A903&lt;VLOOKUP(R$5,NFI,5,0),1,0)*Table_NFI[[#This Row],[Winter Clothes Adult]],Table_NFI[Winter Clothes Adult])</f>
        <v>0</v>
      </c>
      <c r="AJ903" s="352">
        <f>IF(NFI_Expiration=1,IF($A903&lt;VLOOKUP(S$5,NFI,5,0),1,0)*Table_NFI[[#This Row],[Winter Clothes Children]],Table_NFI[Winter Clothes Children])</f>
        <v>0</v>
      </c>
      <c r="AK903" s="352">
        <f>IF(NFI_Expiration=1,IF($A903&lt;VLOOKUP(T$5,NFI,5,0),1,0)*Table_NFI[[#This Row],[Winter Items Other]],Table_NFI[Winter Items Other])</f>
        <v>0</v>
      </c>
      <c r="AL903" s="352">
        <f>IF(NFI_Expiration=1,IF($A903&lt;VLOOKUP(M$5,NFI,5,0),1,0)*Table_NFI[[#This Row],[Winter Blanket]],Table_NFI[[#This Row],[Winter Blanket]])</f>
        <v>0</v>
      </c>
      <c r="AM903" s="352">
        <f>IF(Table_NFI[[#This Row],[Winter Clothes Adult]]+Table_NFI[[#This Row],[Winter Clothes Children]]+Table_NFI[[#This Row],[Winter Items Other]]+Table_NFI[[#This Row],[Winter Blanket]]&gt;0,1,0)</f>
        <v>0</v>
      </c>
      <c r="AN903" s="392">
        <f>IF(NFI_Expiration=1,IF($A903&lt;VLOOKUP(V$5,NFI,5,0),1,0)*Table_NFI[[#This Row],[Jerry Can]],Table_NFI[Jerry Can])</f>
        <v>0</v>
      </c>
      <c r="AO903" s="540" t="str">
        <f>IFERROR(VLOOKUP(Table_NFI[[#This Row],[Camp Name]],CL,2,0),"")</f>
        <v>MMR001CMP030</v>
      </c>
      <c r="AP903" s="535">
        <f ca="1">IF(Table_NFI[[#This Row],[Pcode]]="","",IF(OFFSET(CampList[Opening Date],MATCH(Table_NFI[[#This Row],[Pcode]],CampList[CP_Pcode],0)-1,0,1,1)&gt;=NFI_Monitor_Date,1,0))</f>
        <v>0</v>
      </c>
      <c r="AQ903" s="540" t="str">
        <f>IFERROR(VLOOKUP(Table_NFI[[#This Row],[Camp Name]],CL,3,0),"")</f>
        <v>Open</v>
      </c>
      <c r="AR903" s="352" t="str">
        <f ca="1">IF(Table_NFI[[#This Row],[Pcode]]="","",OFFSET(CampList[Priority],MATCH(Table_NFI[[#This Row],[Pcode]],CampList[CP_Pcode],0)-1,0,1,1))</f>
        <v>P4</v>
      </c>
      <c r="AS903" s="351">
        <f>IFERROR(Table_NFI[[#This Row],[Kitchen Set]]/VLOOKUP(Table_NFI[[#This Row],[Camp Name]],CL,4,0),"")</f>
        <v>0.19354838709677419</v>
      </c>
      <c r="AT903" s="533" t="s">
        <v>1094</v>
      </c>
      <c r="AU903" s="536"/>
    </row>
    <row r="904" spans="1:47" ht="14.45" customHeight="1" x14ac:dyDescent="0.25">
      <c r="A904" s="355">
        <f t="shared" si="14"/>
        <v>51.3</v>
      </c>
      <c r="B904" s="532">
        <v>41032</v>
      </c>
      <c r="C904" s="533" t="s">
        <v>453</v>
      </c>
      <c r="D904" s="533" t="s">
        <v>453</v>
      </c>
      <c r="E904" s="533" t="s">
        <v>380</v>
      </c>
      <c r="F904" s="348" t="s">
        <v>310</v>
      </c>
      <c r="G904" s="348" t="s">
        <v>351</v>
      </c>
      <c r="H904" s="349"/>
      <c r="I904" s="349"/>
      <c r="J904" s="349"/>
      <c r="K904" s="349">
        <v>34</v>
      </c>
      <c r="L904" s="350">
        <v>0</v>
      </c>
      <c r="M904" s="350">
        <v>34</v>
      </c>
      <c r="N904" s="350">
        <v>0</v>
      </c>
      <c r="O904" s="350">
        <v>18</v>
      </c>
      <c r="P904" s="352">
        <v>18</v>
      </c>
      <c r="Q904" s="352">
        <v>18</v>
      </c>
      <c r="R904" s="352"/>
      <c r="S904" s="352"/>
      <c r="T904" s="352"/>
      <c r="U904" s="352"/>
      <c r="V904" s="497"/>
      <c r="W904" s="352"/>
      <c r="X904" s="352"/>
      <c r="Y904" s="352">
        <f>IF(NFI_Expiration=1,IF($A904&lt;VLOOKUP(H$5,NFI,5,0),1,0)*Table_NFI[[#This Row],[Hygiene Kit]],Table_NFI[Hygiene Kit])</f>
        <v>0</v>
      </c>
      <c r="Z904" s="352">
        <f>IF(NFI_Expiration=1,IF($A904&lt;VLOOKUP(I$5,NFI,5,0),1,0)*Table_NFI[[#This Row],[NFI Core Kit]],Table_NFI[NFI Core Kit])</f>
        <v>0</v>
      </c>
      <c r="AA904" s="352">
        <f>IF(NFI_Expiration=1,IF($A904&lt;VLOOKUP(J$5,NFI,5,0),1,0)*Table_NFI[[#This Row],[Sanitary Kit]],Table_NFI[Sanitary Kit])</f>
        <v>0</v>
      </c>
      <c r="AB904" s="352">
        <f>IF(NFI_Expiration=1,IF($A904&lt;VLOOKUP(K$5,NFI,5,0),1,0)*Table_NFI[[#This Row],[Mosquito net]],Table_NFI[Mosquito net])</f>
        <v>0</v>
      </c>
      <c r="AC904" s="352">
        <f>IF(NFI_Expiration=1,IF($A904&lt;VLOOKUP(L$5,NFI,5,0),1,0)*Table_NFI[[#This Row],[Tarpaulin]],Table_NFI[[#This Row],[Tarpaulin]])</f>
        <v>0</v>
      </c>
      <c r="AD904" s="352">
        <f>IF(NFI_Expiration=1,IF($A904&lt;VLOOKUP(M$5,NFI,5,0),1,0)*Table_NFI[[#This Row],[Blanket]],Table_NFI[[#This Row],[Blanket]])</f>
        <v>0</v>
      </c>
      <c r="AE904" s="352">
        <f>IF(NFI_Expiration=1,IF($A904&lt;VLOOKUP(N$5,NFI,5,0),1,0)*Table_NFI[[#This Row],[Kitchen Set]],Table_NFI[Kitchen Set])</f>
        <v>0</v>
      </c>
      <c r="AF904" s="352">
        <f>IF(NFI_Expiration=1,IF($A904&lt;VLOOKUP(O$5,NFI,5,0),1,0)*Table_NFI[[#This Row],[Clothes Kit]],Table_NFI[Clothes Kit])</f>
        <v>0</v>
      </c>
      <c r="AG904" s="352">
        <f>IF(NFI_Expiration=1,IF($A904&lt;VLOOKUP(P$5,NFI,5,0),1,0)*Table_NFI[[#This Row],[Plastic Bucket]],Table_NFI[Plastic Bucket])</f>
        <v>0</v>
      </c>
      <c r="AH904" s="352">
        <f>IF(NFI_Expiration=1,IF($A904&lt;VLOOKUP(Q$5,NFI,5,0),1,0)*Table_NFI[[#This Row],[Plastic Mat]],Table_NFI[Plastic Mat])*IF(Table_NFI[[#This Row],[Distribution Date]]&gt;"2014-04-01",1,2.5)</f>
        <v>0</v>
      </c>
      <c r="AI904" s="352">
        <f>IF(NFI_Expiration=1,IF($A904&lt;VLOOKUP(R$5,NFI,5,0),1,0)*Table_NFI[[#This Row],[Winter Clothes Adult]],Table_NFI[Winter Clothes Adult])</f>
        <v>0</v>
      </c>
      <c r="AJ904" s="352">
        <f>IF(NFI_Expiration=1,IF($A904&lt;VLOOKUP(S$5,NFI,5,0),1,0)*Table_NFI[[#This Row],[Winter Clothes Children]],Table_NFI[Winter Clothes Children])</f>
        <v>0</v>
      </c>
      <c r="AK904" s="352">
        <f>IF(NFI_Expiration=1,IF($A904&lt;VLOOKUP(T$5,NFI,5,0),1,0)*Table_NFI[[#This Row],[Winter Items Other]],Table_NFI[Winter Items Other])</f>
        <v>0</v>
      </c>
      <c r="AL904" s="352">
        <f>IF(NFI_Expiration=1,IF($A904&lt;VLOOKUP(M$5,NFI,5,0),1,0)*Table_NFI[[#This Row],[Winter Blanket]],Table_NFI[[#This Row],[Winter Blanket]])</f>
        <v>0</v>
      </c>
      <c r="AM904" s="352">
        <f>IF(Table_NFI[[#This Row],[Winter Clothes Adult]]+Table_NFI[[#This Row],[Winter Clothes Children]]+Table_NFI[[#This Row],[Winter Items Other]]+Table_NFI[[#This Row],[Winter Blanket]]&gt;0,1,0)</f>
        <v>0</v>
      </c>
      <c r="AN904" s="392">
        <f>IF(NFI_Expiration=1,IF($A904&lt;VLOOKUP(V$5,NFI,5,0),1,0)*Table_NFI[[#This Row],[Jerry Can]],Table_NFI[Jerry Can])</f>
        <v>0</v>
      </c>
      <c r="AO904" s="540" t="str">
        <f>IFERROR(VLOOKUP(Table_NFI[[#This Row],[Camp Name]],CL,2,0),"")</f>
        <v>MMR001CMP026</v>
      </c>
      <c r="AP904" s="535">
        <f ca="1">IF(Table_NFI[[#This Row],[Pcode]]="","",IF(OFFSET(CampList[Opening Date],MATCH(Table_NFI[[#This Row],[Pcode]],CampList[CP_Pcode],0)-1,0,1,1)&gt;=NFI_Monitor_Date,1,0))</f>
        <v>0</v>
      </c>
      <c r="AQ904" s="540" t="str">
        <f>IFERROR(VLOOKUP(Table_NFI[[#This Row],[Camp Name]],CL,3,0),"")</f>
        <v>Open</v>
      </c>
      <c r="AR904" s="352" t="str">
        <f ca="1">IF(Table_NFI[[#This Row],[Pcode]]="","",OFFSET(CampList[Priority],MATCH(Table_NFI[[#This Row],[Pcode]],CampList[CP_Pcode],0)-1,0,1,1))</f>
        <v>P4</v>
      </c>
      <c r="AS904" s="351">
        <f>IFERROR(Table_NFI[[#This Row],[Kitchen Set]]/VLOOKUP(Table_NFI[[#This Row],[Camp Name]],CL,4,0),"")</f>
        <v>0</v>
      </c>
      <c r="AT904" s="533" t="s">
        <v>1094</v>
      </c>
      <c r="AU904" s="536"/>
    </row>
    <row r="905" spans="1:47" ht="14.45" hidden="1" customHeight="1" x14ac:dyDescent="0.25">
      <c r="A905" s="355">
        <f t="shared" si="14"/>
        <v>22.933333333333334</v>
      </c>
      <c r="B905" s="532">
        <v>41883</v>
      </c>
      <c r="C905" s="538" t="s">
        <v>1038</v>
      </c>
      <c r="D905" s="538"/>
      <c r="E905" s="538" t="s">
        <v>380</v>
      </c>
      <c r="F905" s="538" t="s">
        <v>310</v>
      </c>
      <c r="G905" s="538" t="s">
        <v>347</v>
      </c>
      <c r="H905" s="350"/>
      <c r="I905" s="350"/>
      <c r="J905" s="350"/>
      <c r="K905" s="350"/>
      <c r="L905" s="350"/>
      <c r="M905" s="350"/>
      <c r="N905" s="350"/>
      <c r="O905" s="350"/>
      <c r="P905" s="352"/>
      <c r="Q905" s="352"/>
      <c r="R905" s="352"/>
      <c r="S905" s="352">
        <v>288</v>
      </c>
      <c r="T905" s="352"/>
      <c r="U905" s="352"/>
      <c r="V905" s="497"/>
      <c r="W905" s="352"/>
      <c r="X905" s="352"/>
      <c r="Y905" s="352">
        <f>IF(NFI_Expiration=1,IF($A905&lt;VLOOKUP(H$5,NFI,5,0),1,0)*Table_NFI[[#This Row],[Hygiene Kit]],Table_NFI[Hygiene Kit])</f>
        <v>0</v>
      </c>
      <c r="Z905" s="352">
        <f>IF(NFI_Expiration=1,IF($A905&lt;VLOOKUP(I$5,NFI,5,0),1,0)*Table_NFI[[#This Row],[NFI Core Kit]],Table_NFI[NFI Core Kit])</f>
        <v>0</v>
      </c>
      <c r="AA905" s="352">
        <f>IF(NFI_Expiration=1,IF($A905&lt;VLOOKUP(J$5,NFI,5,0),1,0)*Table_NFI[[#This Row],[Sanitary Kit]],Table_NFI[Sanitary Kit])</f>
        <v>0</v>
      </c>
      <c r="AB905" s="352">
        <f>IF(NFI_Expiration=1,IF($A905&lt;VLOOKUP(K$5,NFI,5,0),1,0)*Table_NFI[[#This Row],[Mosquito net]],Table_NFI[Mosquito net])</f>
        <v>0</v>
      </c>
      <c r="AC905" s="352">
        <f>IF(NFI_Expiration=1,IF($A905&lt;VLOOKUP(L$5,NFI,5,0),1,0)*Table_NFI[[#This Row],[Tarpaulin]],Table_NFI[[#This Row],[Tarpaulin]])</f>
        <v>0</v>
      </c>
      <c r="AD905" s="352">
        <f>IF(NFI_Expiration=1,IF($A905&lt;VLOOKUP(M$5,NFI,5,0),1,0)*Table_NFI[[#This Row],[Blanket]],Table_NFI[[#This Row],[Blanket]])</f>
        <v>0</v>
      </c>
      <c r="AE905" s="352">
        <f>IF(NFI_Expiration=1,IF($A905&lt;VLOOKUP(N$5,NFI,5,0),1,0)*Table_NFI[[#This Row],[Kitchen Set]],Table_NFI[Kitchen Set])</f>
        <v>0</v>
      </c>
      <c r="AF905" s="352">
        <f>IF(NFI_Expiration=1,IF($A905&lt;VLOOKUP(O$5,NFI,5,0),1,0)*Table_NFI[[#This Row],[Clothes Kit]],Table_NFI[Clothes Kit])</f>
        <v>0</v>
      </c>
      <c r="AG905" s="352">
        <f>IF(NFI_Expiration=1,IF($A905&lt;VLOOKUP(P$5,NFI,5,0),1,0)*Table_NFI[[#This Row],[Plastic Bucket]],Table_NFI[Plastic Bucket])</f>
        <v>0</v>
      </c>
      <c r="AH905" s="352">
        <f>IF(NFI_Expiration=1,IF($A905&lt;VLOOKUP(Q$5,NFI,5,0),1,0)*Table_NFI[[#This Row],[Plastic Mat]],Table_NFI[Plastic Mat])*IF(Table_NFI[[#This Row],[Distribution Date]]&gt;"2014-04-01",1,2.5)</f>
        <v>0</v>
      </c>
      <c r="AI905" s="352">
        <f>IF(NFI_Expiration=1,IF($A905&lt;VLOOKUP(R$5,NFI,5,0),1,0)*Table_NFI[[#This Row],[Winter Clothes Adult]],Table_NFI[Winter Clothes Adult])</f>
        <v>0</v>
      </c>
      <c r="AJ905" s="352">
        <f>IF(NFI_Expiration=1,IF($A905&lt;VLOOKUP(S$5,NFI,5,0),1,0)*Table_NFI[[#This Row],[Winter Clothes Children]],Table_NFI[Winter Clothes Children])</f>
        <v>0</v>
      </c>
      <c r="AK905" s="352">
        <f>IF(NFI_Expiration=1,IF($A905&lt;VLOOKUP(T$5,NFI,5,0),1,0)*Table_NFI[[#This Row],[Winter Items Other]],Table_NFI[Winter Items Other])</f>
        <v>0</v>
      </c>
      <c r="AL905" s="352">
        <f>IF(NFI_Expiration=1,IF($A905&lt;VLOOKUP(M$5,NFI,5,0),1,0)*Table_NFI[[#This Row],[Winter Blanket]],Table_NFI[[#This Row],[Winter Blanket]])</f>
        <v>0</v>
      </c>
      <c r="AM905" s="352">
        <f>IF(Table_NFI[[#This Row],[Winter Clothes Adult]]+Table_NFI[[#This Row],[Winter Clothes Children]]+Table_NFI[[#This Row],[Winter Items Other]]+Table_NFI[[#This Row],[Winter Blanket]]&gt;0,1,0)</f>
        <v>1</v>
      </c>
      <c r="AN905" s="392">
        <f>IF(NFI_Expiration=1,IF($A905&lt;VLOOKUP(V$5,NFI,5,0),1,0)*Table_NFI[[#This Row],[Jerry Can]],Table_NFI[Jerry Can])</f>
        <v>0</v>
      </c>
      <c r="AO905" s="540" t="str">
        <f>IFERROR(VLOOKUP(Table_NFI[[#This Row],[Camp Name]],CL,2,0),"")</f>
        <v>MMR001CMP041</v>
      </c>
      <c r="AP905" s="535">
        <f ca="1">IF(Table_NFI[[#This Row],[Pcode]]="","",IF(OFFSET(CampList[Opening Date],MATCH(Table_NFI[[#This Row],[Pcode]],CampList[CP_Pcode],0)-1,0,1,1)&gt;=NFI_Monitor_Date,1,0))</f>
        <v>0</v>
      </c>
      <c r="AQ905" s="540" t="str">
        <f>IFERROR(VLOOKUP(Table_NFI[[#This Row],[Camp Name]],CL,3,0),"")</f>
        <v>Open</v>
      </c>
      <c r="AR905" s="352" t="str">
        <f ca="1">IF(Table_NFI[[#This Row],[Pcode]]="","",OFFSET(CampList[Priority],MATCH(Table_NFI[[#This Row],[Pcode]],CampList[CP_Pcode],0)-1,0,1,1))</f>
        <v>P1</v>
      </c>
      <c r="AS905" s="351">
        <f>IFERROR(Table_NFI[[#This Row],[Kitchen Set]]/VLOOKUP(Table_NFI[[#This Row],[Camp Name]],CL,4,0),"")</f>
        <v>0</v>
      </c>
      <c r="AT905" s="538"/>
      <c r="AU905" s="541"/>
    </row>
    <row r="906" spans="1:47" s="537" customFormat="1" ht="14.45" hidden="1" customHeight="1" x14ac:dyDescent="0.25">
      <c r="A906" s="355">
        <f t="shared" si="14"/>
        <v>30.233333333333334</v>
      </c>
      <c r="B906" s="532">
        <v>41664</v>
      </c>
      <c r="C906" s="533" t="s">
        <v>1038</v>
      </c>
      <c r="D906" s="533" t="s">
        <v>461</v>
      </c>
      <c r="E906" s="533" t="s">
        <v>380</v>
      </c>
      <c r="F906" s="533" t="s">
        <v>310</v>
      </c>
      <c r="G906" s="533" t="s">
        <v>347</v>
      </c>
      <c r="H906" s="349"/>
      <c r="I906" s="349"/>
      <c r="J906" s="349"/>
      <c r="K906" s="349"/>
      <c r="L906" s="350"/>
      <c r="M906" s="350">
        <v>198</v>
      </c>
      <c r="N906" s="350">
        <v>198</v>
      </c>
      <c r="O906" s="350">
        <v>198</v>
      </c>
      <c r="P906" s="352"/>
      <c r="Q906" s="352">
        <v>198</v>
      </c>
      <c r="R906" s="352"/>
      <c r="S906" s="352"/>
      <c r="T906" s="352"/>
      <c r="U906" s="352"/>
      <c r="V906" s="497"/>
      <c r="W906" s="352"/>
      <c r="X906" s="352"/>
      <c r="Y906" s="352">
        <f>IF(NFI_Expiration=1,IF($A906&lt;VLOOKUP(H$5,NFI,5,0),1,0)*Table_NFI[[#This Row],[Hygiene Kit]],Table_NFI[Hygiene Kit])</f>
        <v>0</v>
      </c>
      <c r="Z906" s="352">
        <f>IF(NFI_Expiration=1,IF($A906&lt;VLOOKUP(I$5,NFI,5,0),1,0)*Table_NFI[[#This Row],[NFI Core Kit]],Table_NFI[NFI Core Kit])</f>
        <v>0</v>
      </c>
      <c r="AA906" s="352">
        <f>IF(NFI_Expiration=1,IF($A906&lt;VLOOKUP(J$5,NFI,5,0),1,0)*Table_NFI[[#This Row],[Sanitary Kit]],Table_NFI[Sanitary Kit])</f>
        <v>0</v>
      </c>
      <c r="AB906" s="352">
        <f>IF(NFI_Expiration=1,IF($A906&lt;VLOOKUP(K$5,NFI,5,0),1,0)*Table_NFI[[#This Row],[Mosquito net]],Table_NFI[Mosquito net])</f>
        <v>0</v>
      </c>
      <c r="AC906" s="352">
        <f>IF(NFI_Expiration=1,IF($A906&lt;VLOOKUP(L$5,NFI,5,0),1,0)*Table_NFI[[#This Row],[Tarpaulin]],Table_NFI[[#This Row],[Tarpaulin]])</f>
        <v>0</v>
      </c>
      <c r="AD906" s="352">
        <f>IF(NFI_Expiration=1,IF($A906&lt;VLOOKUP(M$5,NFI,5,0),1,0)*Table_NFI[[#This Row],[Blanket]],Table_NFI[[#This Row],[Blanket]])</f>
        <v>0</v>
      </c>
      <c r="AE906" s="352">
        <f>IF(NFI_Expiration=1,IF($A906&lt;VLOOKUP(N$5,NFI,5,0),1,0)*Table_NFI[[#This Row],[Kitchen Set]],Table_NFI[Kitchen Set])</f>
        <v>0</v>
      </c>
      <c r="AF906" s="352">
        <f>IF(NFI_Expiration=1,IF($A906&lt;VLOOKUP(O$5,NFI,5,0),1,0)*Table_NFI[[#This Row],[Clothes Kit]],Table_NFI[Clothes Kit])</f>
        <v>0</v>
      </c>
      <c r="AG906" s="352">
        <f>IF(NFI_Expiration=1,IF($A906&lt;VLOOKUP(P$5,NFI,5,0),1,0)*Table_NFI[[#This Row],[Plastic Bucket]],Table_NFI[Plastic Bucket])</f>
        <v>0</v>
      </c>
      <c r="AH906" s="352">
        <f>IF(NFI_Expiration=1,IF($A906&lt;VLOOKUP(Q$5,NFI,5,0),1,0)*Table_NFI[[#This Row],[Plastic Mat]],Table_NFI[Plastic Mat])*IF(Table_NFI[[#This Row],[Distribution Date]]&gt;"2014-04-01",1,2.5)</f>
        <v>0</v>
      </c>
      <c r="AI906" s="352">
        <f>IF(NFI_Expiration=1,IF($A906&lt;VLOOKUP(R$5,NFI,5,0),1,0)*Table_NFI[[#This Row],[Winter Clothes Adult]],Table_NFI[Winter Clothes Adult])</f>
        <v>0</v>
      </c>
      <c r="AJ906" s="352">
        <f>IF(NFI_Expiration=1,IF($A906&lt;VLOOKUP(S$5,NFI,5,0),1,0)*Table_NFI[[#This Row],[Winter Clothes Children]],Table_NFI[Winter Clothes Children])</f>
        <v>0</v>
      </c>
      <c r="AK906" s="352">
        <f>IF(NFI_Expiration=1,IF($A906&lt;VLOOKUP(T$5,NFI,5,0),1,0)*Table_NFI[[#This Row],[Winter Items Other]],Table_NFI[Winter Items Other])</f>
        <v>0</v>
      </c>
      <c r="AL906" s="352">
        <f>IF(NFI_Expiration=1,IF($A906&lt;VLOOKUP(M$5,NFI,5,0),1,0)*Table_NFI[[#This Row],[Winter Blanket]],Table_NFI[[#This Row],[Winter Blanket]])</f>
        <v>0</v>
      </c>
      <c r="AM906" s="352">
        <f>IF(Table_NFI[[#This Row],[Winter Clothes Adult]]+Table_NFI[[#This Row],[Winter Clothes Children]]+Table_NFI[[#This Row],[Winter Items Other]]+Table_NFI[[#This Row],[Winter Blanket]]&gt;0,1,0)</f>
        <v>0</v>
      </c>
      <c r="AN906" s="392">
        <f>IF(NFI_Expiration=1,IF($A906&lt;VLOOKUP(V$5,NFI,5,0),1,0)*Table_NFI[[#This Row],[Jerry Can]],Table_NFI[Jerry Can])</f>
        <v>0</v>
      </c>
      <c r="AO906" s="540" t="str">
        <f>IFERROR(VLOOKUP(Table_NFI[[#This Row],[Camp Name]],CL,2,0),"")</f>
        <v>MMR001CMP041</v>
      </c>
      <c r="AP906" s="535">
        <f ca="1">IF(Table_NFI[[#This Row],[Pcode]]="","",IF(OFFSET(CampList[Opening Date],MATCH(Table_NFI[[#This Row],[Pcode]],CampList[CP_Pcode],0)-1,0,1,1)&gt;=NFI_Monitor_Date,1,0))</f>
        <v>0</v>
      </c>
      <c r="AQ906" s="540" t="str">
        <f>IFERROR(VLOOKUP(Table_NFI[[#This Row],[Camp Name]],CL,3,0),"")</f>
        <v>Open</v>
      </c>
      <c r="AR906" s="352" t="str">
        <f ca="1">IF(Table_NFI[[#This Row],[Pcode]]="","",OFFSET(CampList[Priority],MATCH(Table_NFI[[#This Row],[Pcode]],CampList[CP_Pcode],0)-1,0,1,1))</f>
        <v>P1</v>
      </c>
      <c r="AS906" s="351">
        <f>IFERROR(Table_NFI[[#This Row],[Kitchen Set]]/VLOOKUP(Table_NFI[[#This Row],[Camp Name]],CL,4,0),"")</f>
        <v>1.1061452513966481</v>
      </c>
      <c r="AT906" s="533" t="s">
        <v>1094</v>
      </c>
      <c r="AU906" s="536"/>
    </row>
    <row r="907" spans="1:47" s="537" customFormat="1" hidden="1" x14ac:dyDescent="0.25">
      <c r="A907" s="355">
        <f t="shared" si="14"/>
        <v>31.533333333333335</v>
      </c>
      <c r="B907" s="532">
        <v>41625</v>
      </c>
      <c r="C907" s="533" t="s">
        <v>907</v>
      </c>
      <c r="D907" s="533" t="s">
        <v>461</v>
      </c>
      <c r="E907" s="533" t="s">
        <v>380</v>
      </c>
      <c r="F907" s="533" t="s">
        <v>310</v>
      </c>
      <c r="G907" s="533" t="s">
        <v>347</v>
      </c>
      <c r="H907" s="349"/>
      <c r="I907" s="349"/>
      <c r="J907" s="349"/>
      <c r="K907" s="349"/>
      <c r="L907" s="350"/>
      <c r="M907" s="350"/>
      <c r="N907" s="350"/>
      <c r="O907" s="350"/>
      <c r="P907" s="352"/>
      <c r="Q907" s="352"/>
      <c r="R907" s="352">
        <v>188</v>
      </c>
      <c r="S907" s="352">
        <v>343</v>
      </c>
      <c r="T907" s="352">
        <v>1062</v>
      </c>
      <c r="U907" s="352">
        <v>531</v>
      </c>
      <c r="V907" s="497"/>
      <c r="W907" s="352"/>
      <c r="X907" s="352"/>
      <c r="Y907" s="352">
        <f>IF(NFI_Expiration=1,IF($A907&lt;VLOOKUP(H$5,NFI,5,0),1,0)*Table_NFI[[#This Row],[Hygiene Kit]],Table_NFI[Hygiene Kit])</f>
        <v>0</v>
      </c>
      <c r="Z907" s="352">
        <f>IF(NFI_Expiration=1,IF($A907&lt;VLOOKUP(I$5,NFI,5,0),1,0)*Table_NFI[[#This Row],[NFI Core Kit]],Table_NFI[NFI Core Kit])</f>
        <v>0</v>
      </c>
      <c r="AA907" s="352">
        <f>IF(NFI_Expiration=1,IF($A907&lt;VLOOKUP(J$5,NFI,5,0),1,0)*Table_NFI[[#This Row],[Sanitary Kit]],Table_NFI[Sanitary Kit])</f>
        <v>0</v>
      </c>
      <c r="AB907" s="352">
        <f>IF(NFI_Expiration=1,IF($A907&lt;VLOOKUP(K$5,NFI,5,0),1,0)*Table_NFI[[#This Row],[Mosquito net]],Table_NFI[Mosquito net])</f>
        <v>0</v>
      </c>
      <c r="AC907" s="352">
        <f>IF(NFI_Expiration=1,IF($A907&lt;VLOOKUP(L$5,NFI,5,0),1,0)*Table_NFI[[#This Row],[Tarpaulin]],Table_NFI[[#This Row],[Tarpaulin]])</f>
        <v>0</v>
      </c>
      <c r="AD907" s="352">
        <f>IF(NFI_Expiration=1,IF($A907&lt;VLOOKUP(M$5,NFI,5,0),1,0)*Table_NFI[[#This Row],[Blanket]],Table_NFI[[#This Row],[Blanket]])</f>
        <v>0</v>
      </c>
      <c r="AE907" s="352">
        <f>IF(NFI_Expiration=1,IF($A907&lt;VLOOKUP(N$5,NFI,5,0),1,0)*Table_NFI[[#This Row],[Kitchen Set]],Table_NFI[Kitchen Set])</f>
        <v>0</v>
      </c>
      <c r="AF907" s="352">
        <f>IF(NFI_Expiration=1,IF($A907&lt;VLOOKUP(O$5,NFI,5,0),1,0)*Table_NFI[[#This Row],[Clothes Kit]],Table_NFI[Clothes Kit])</f>
        <v>0</v>
      </c>
      <c r="AG907" s="352">
        <f>IF(NFI_Expiration=1,IF($A907&lt;VLOOKUP(P$5,NFI,5,0),1,0)*Table_NFI[[#This Row],[Plastic Bucket]],Table_NFI[Plastic Bucket])</f>
        <v>0</v>
      </c>
      <c r="AH907" s="352">
        <f>IF(NFI_Expiration=1,IF($A907&lt;VLOOKUP(Q$5,NFI,5,0),1,0)*Table_NFI[[#This Row],[Plastic Mat]],Table_NFI[Plastic Mat])*IF(Table_NFI[[#This Row],[Distribution Date]]&gt;"2014-04-01",1,2.5)</f>
        <v>0</v>
      </c>
      <c r="AI907" s="352">
        <f>IF(NFI_Expiration=1,IF($A907&lt;VLOOKUP(R$5,NFI,5,0),1,0)*Table_NFI[[#This Row],[Winter Clothes Adult]],Table_NFI[Winter Clothes Adult])</f>
        <v>0</v>
      </c>
      <c r="AJ907" s="352">
        <f>IF(NFI_Expiration=1,IF($A907&lt;VLOOKUP(S$5,NFI,5,0),1,0)*Table_NFI[[#This Row],[Winter Clothes Children]],Table_NFI[Winter Clothes Children])</f>
        <v>0</v>
      </c>
      <c r="AK907" s="352">
        <f>IF(NFI_Expiration=1,IF($A907&lt;VLOOKUP(T$5,NFI,5,0),1,0)*Table_NFI[[#This Row],[Winter Items Other]],Table_NFI[Winter Items Other])</f>
        <v>0</v>
      </c>
      <c r="AL907" s="352">
        <f>IF(NFI_Expiration=1,IF($A907&lt;VLOOKUP(M$5,NFI,5,0),1,0)*Table_NFI[[#This Row],[Winter Blanket]],Table_NFI[[#This Row],[Winter Blanket]])</f>
        <v>0</v>
      </c>
      <c r="AM907" s="352">
        <f>IF(Table_NFI[[#This Row],[Winter Clothes Adult]]+Table_NFI[[#This Row],[Winter Clothes Children]]+Table_NFI[[#This Row],[Winter Items Other]]+Table_NFI[[#This Row],[Winter Blanket]]&gt;0,1,0)</f>
        <v>1</v>
      </c>
      <c r="AN907" s="392">
        <f>IF(NFI_Expiration=1,IF($A907&lt;VLOOKUP(V$5,NFI,5,0),1,0)*Table_NFI[[#This Row],[Jerry Can]],Table_NFI[Jerry Can])</f>
        <v>0</v>
      </c>
      <c r="AO907" s="540" t="str">
        <f>IFERROR(VLOOKUP(Table_NFI[[#This Row],[Camp Name]],CL,2,0),"")</f>
        <v>MMR001CMP041</v>
      </c>
      <c r="AP907" s="535">
        <f ca="1">IF(Table_NFI[[#This Row],[Pcode]]="","",IF(OFFSET(CampList[Opening Date],MATCH(Table_NFI[[#This Row],[Pcode]],CampList[CP_Pcode],0)-1,0,1,1)&gt;=NFI_Monitor_Date,1,0))</f>
        <v>0</v>
      </c>
      <c r="AQ907" s="540" t="str">
        <f>IFERROR(VLOOKUP(Table_NFI[[#This Row],[Camp Name]],CL,3,0),"")</f>
        <v>Open</v>
      </c>
      <c r="AR907" s="352" t="str">
        <f ca="1">IF(Table_NFI[[#This Row],[Pcode]]="","",OFFSET(CampList[Priority],MATCH(Table_NFI[[#This Row],[Pcode]],CampList[CP_Pcode],0)-1,0,1,1))</f>
        <v>P1</v>
      </c>
      <c r="AS907" s="351">
        <f>IFERROR(Table_NFI[[#This Row],[Kitchen Set]]/VLOOKUP(Table_NFI[[#This Row],[Camp Name]],CL,4,0),"")</f>
        <v>0</v>
      </c>
      <c r="AT907" s="533"/>
      <c r="AU907" s="536"/>
    </row>
    <row r="908" spans="1:47" s="537" customFormat="1" hidden="1" x14ac:dyDescent="0.25">
      <c r="A908" s="355">
        <f t="shared" si="14"/>
        <v>32.1</v>
      </c>
      <c r="B908" s="532">
        <v>41608</v>
      </c>
      <c r="C908" s="533" t="s">
        <v>907</v>
      </c>
      <c r="D908" s="533" t="s">
        <v>461</v>
      </c>
      <c r="E908" s="533" t="s">
        <v>380</v>
      </c>
      <c r="F908" s="348" t="s">
        <v>310</v>
      </c>
      <c r="G908" s="348" t="s">
        <v>347</v>
      </c>
      <c r="H908" s="349"/>
      <c r="I908" s="349"/>
      <c r="J908" s="349"/>
      <c r="K908" s="349"/>
      <c r="L908" s="350"/>
      <c r="M908" s="350"/>
      <c r="N908" s="350"/>
      <c r="O908" s="350"/>
      <c r="P908" s="352"/>
      <c r="Q908" s="352"/>
      <c r="R908" s="352"/>
      <c r="S908" s="352"/>
      <c r="T908" s="352"/>
      <c r="U908" s="352"/>
      <c r="V908" s="497"/>
      <c r="W908" s="352"/>
      <c r="X908" s="352"/>
      <c r="Y908" s="352">
        <f>IF(NFI_Expiration=1,IF($A908&lt;VLOOKUP(H$5,NFI,5,0),1,0)*Table_NFI[[#This Row],[Hygiene Kit]],Table_NFI[Hygiene Kit])</f>
        <v>0</v>
      </c>
      <c r="Z908" s="352">
        <f>IF(NFI_Expiration=1,IF($A908&lt;VLOOKUP(I$5,NFI,5,0),1,0)*Table_NFI[[#This Row],[NFI Core Kit]],Table_NFI[NFI Core Kit])</f>
        <v>0</v>
      </c>
      <c r="AA908" s="352">
        <f>IF(NFI_Expiration=1,IF($A908&lt;VLOOKUP(J$5,NFI,5,0),1,0)*Table_NFI[[#This Row],[Sanitary Kit]],Table_NFI[Sanitary Kit])</f>
        <v>0</v>
      </c>
      <c r="AB908" s="352">
        <f>IF(NFI_Expiration=1,IF($A908&lt;VLOOKUP(K$5,NFI,5,0),1,0)*Table_NFI[[#This Row],[Mosquito net]],Table_NFI[Mosquito net])</f>
        <v>0</v>
      </c>
      <c r="AC908" s="352">
        <f>IF(NFI_Expiration=1,IF($A908&lt;VLOOKUP(L$5,NFI,5,0),1,0)*Table_NFI[[#This Row],[Tarpaulin]],Table_NFI[[#This Row],[Tarpaulin]])</f>
        <v>0</v>
      </c>
      <c r="AD908" s="352">
        <f>IF(NFI_Expiration=1,IF($A908&lt;VLOOKUP(M$5,NFI,5,0),1,0)*Table_NFI[[#This Row],[Blanket]],Table_NFI[[#This Row],[Blanket]])</f>
        <v>0</v>
      </c>
      <c r="AE908" s="352">
        <f>IF(NFI_Expiration=1,IF($A908&lt;VLOOKUP(N$5,NFI,5,0),1,0)*Table_NFI[[#This Row],[Kitchen Set]],Table_NFI[Kitchen Set])</f>
        <v>0</v>
      </c>
      <c r="AF908" s="352">
        <f>IF(NFI_Expiration=1,IF($A908&lt;VLOOKUP(O$5,NFI,5,0),1,0)*Table_NFI[[#This Row],[Clothes Kit]],Table_NFI[Clothes Kit])</f>
        <v>0</v>
      </c>
      <c r="AG908" s="352">
        <f>IF(NFI_Expiration=1,IF($A908&lt;VLOOKUP(P$5,NFI,5,0),1,0)*Table_NFI[[#This Row],[Plastic Bucket]],Table_NFI[Plastic Bucket])</f>
        <v>0</v>
      </c>
      <c r="AH908" s="352">
        <f>IF(NFI_Expiration=1,IF($A908&lt;VLOOKUP(Q$5,NFI,5,0),1,0)*Table_NFI[[#This Row],[Plastic Mat]],Table_NFI[Plastic Mat])*IF(Table_NFI[[#This Row],[Distribution Date]]&gt;"2014-04-01",1,2.5)</f>
        <v>0</v>
      </c>
      <c r="AI908" s="352">
        <f>IF(NFI_Expiration=1,IF($A908&lt;VLOOKUP(R$5,NFI,5,0),1,0)*Table_NFI[[#This Row],[Winter Clothes Adult]],Table_NFI[Winter Clothes Adult])</f>
        <v>0</v>
      </c>
      <c r="AJ908" s="352">
        <f>IF(NFI_Expiration=1,IF($A908&lt;VLOOKUP(S$5,NFI,5,0),1,0)*Table_NFI[[#This Row],[Winter Clothes Children]],Table_NFI[Winter Clothes Children])</f>
        <v>0</v>
      </c>
      <c r="AK908" s="352">
        <f>IF(NFI_Expiration=1,IF($A908&lt;VLOOKUP(T$5,NFI,5,0),1,0)*Table_NFI[[#This Row],[Winter Items Other]],Table_NFI[Winter Items Other])</f>
        <v>0</v>
      </c>
      <c r="AL908" s="352">
        <f>IF(NFI_Expiration=1,IF($A908&lt;VLOOKUP(M$5,NFI,5,0),1,0)*Table_NFI[[#This Row],[Winter Blanket]],Table_NFI[[#This Row],[Winter Blanket]])</f>
        <v>0</v>
      </c>
      <c r="AM908" s="352">
        <f>IF(Table_NFI[[#This Row],[Winter Clothes Adult]]+Table_NFI[[#This Row],[Winter Clothes Children]]+Table_NFI[[#This Row],[Winter Items Other]]+Table_NFI[[#This Row],[Winter Blanket]]&gt;0,1,0)</f>
        <v>0</v>
      </c>
      <c r="AN908" s="392">
        <f>IF(NFI_Expiration=1,IF($A908&lt;VLOOKUP(V$5,NFI,5,0),1,0)*Table_NFI[[#This Row],[Jerry Can]],Table_NFI[Jerry Can])</f>
        <v>0</v>
      </c>
      <c r="AO908" s="540" t="str">
        <f>IFERROR(VLOOKUP(Table_NFI[[#This Row],[Camp Name]],CL,2,0),"")</f>
        <v>MMR001CMP041</v>
      </c>
      <c r="AP908" s="535">
        <f ca="1">IF(Table_NFI[[#This Row],[Pcode]]="","",IF(OFFSET(CampList[Opening Date],MATCH(Table_NFI[[#This Row],[Pcode]],CampList[CP_Pcode],0)-1,0,1,1)&gt;=NFI_Monitor_Date,1,0))</f>
        <v>0</v>
      </c>
      <c r="AQ908" s="540" t="str">
        <f>IFERROR(VLOOKUP(Table_NFI[[#This Row],[Camp Name]],CL,3,0),"")</f>
        <v>Open</v>
      </c>
      <c r="AR908" s="352" t="str">
        <f ca="1">IF(Table_NFI[[#This Row],[Pcode]]="","",OFFSET(CampList[Priority],MATCH(Table_NFI[[#This Row],[Pcode]],CampList[CP_Pcode],0)-1,0,1,1))</f>
        <v>P1</v>
      </c>
      <c r="AS908" s="351">
        <f>IFERROR(Table_NFI[[#This Row],[Kitchen Set]]/VLOOKUP(Table_NFI[[#This Row],[Camp Name]],CL,4,0),"")</f>
        <v>0</v>
      </c>
      <c r="AT908" s="533" t="s">
        <v>1094</v>
      </c>
      <c r="AU908" s="536"/>
    </row>
    <row r="909" spans="1:47" s="537" customFormat="1" ht="14.45" hidden="1" customHeight="1" x14ac:dyDescent="0.25">
      <c r="A909" s="355">
        <f t="shared" si="14"/>
        <v>42.2</v>
      </c>
      <c r="B909" s="532">
        <v>41305</v>
      </c>
      <c r="C909" s="533" t="s">
        <v>570</v>
      </c>
      <c r="D909" s="534" t="s">
        <v>570</v>
      </c>
      <c r="E909" s="533" t="s">
        <v>380</v>
      </c>
      <c r="F909" s="348" t="s">
        <v>310</v>
      </c>
      <c r="G909" s="348" t="s">
        <v>347</v>
      </c>
      <c r="H909" s="349"/>
      <c r="I909" s="349"/>
      <c r="J909" s="349"/>
      <c r="K909" s="349"/>
      <c r="L909" s="350"/>
      <c r="M909" s="350">
        <v>358</v>
      </c>
      <c r="N909" s="350"/>
      <c r="O909" s="350"/>
      <c r="P909" s="352">
        <v>0</v>
      </c>
      <c r="Q909" s="352">
        <v>0</v>
      </c>
      <c r="R909" s="352"/>
      <c r="S909" s="352"/>
      <c r="T909" s="352"/>
      <c r="U909" s="352"/>
      <c r="V909" s="497"/>
      <c r="W909" s="352"/>
      <c r="X909" s="352"/>
      <c r="Y909" s="352">
        <f>IF(NFI_Expiration=1,IF($A909&lt;VLOOKUP(H$5,NFI,5,0),1,0)*Table_NFI[[#This Row],[Hygiene Kit]],Table_NFI[Hygiene Kit])</f>
        <v>0</v>
      </c>
      <c r="Z909" s="352">
        <f>IF(NFI_Expiration=1,IF($A909&lt;VLOOKUP(I$5,NFI,5,0),1,0)*Table_NFI[[#This Row],[NFI Core Kit]],Table_NFI[NFI Core Kit])</f>
        <v>0</v>
      </c>
      <c r="AA909" s="352">
        <f>IF(NFI_Expiration=1,IF($A909&lt;VLOOKUP(J$5,NFI,5,0),1,0)*Table_NFI[[#This Row],[Sanitary Kit]],Table_NFI[Sanitary Kit])</f>
        <v>0</v>
      </c>
      <c r="AB909" s="352">
        <f>IF(NFI_Expiration=1,IF($A909&lt;VLOOKUP(K$5,NFI,5,0),1,0)*Table_NFI[[#This Row],[Mosquito net]],Table_NFI[Mosquito net])</f>
        <v>0</v>
      </c>
      <c r="AC909" s="352">
        <f>IF(NFI_Expiration=1,IF($A909&lt;VLOOKUP(L$5,NFI,5,0),1,0)*Table_NFI[[#This Row],[Tarpaulin]],Table_NFI[[#This Row],[Tarpaulin]])</f>
        <v>0</v>
      </c>
      <c r="AD909" s="352">
        <f>IF(NFI_Expiration=1,IF($A909&lt;VLOOKUP(M$5,NFI,5,0),1,0)*Table_NFI[[#This Row],[Blanket]],Table_NFI[[#This Row],[Blanket]])</f>
        <v>0</v>
      </c>
      <c r="AE909" s="352">
        <f>IF(NFI_Expiration=1,IF($A909&lt;VLOOKUP(N$5,NFI,5,0),1,0)*Table_NFI[[#This Row],[Kitchen Set]],Table_NFI[Kitchen Set])</f>
        <v>0</v>
      </c>
      <c r="AF909" s="352">
        <f>IF(NFI_Expiration=1,IF($A909&lt;VLOOKUP(O$5,NFI,5,0),1,0)*Table_NFI[[#This Row],[Clothes Kit]],Table_NFI[Clothes Kit])</f>
        <v>0</v>
      </c>
      <c r="AG909" s="352">
        <f>IF(NFI_Expiration=1,IF($A909&lt;VLOOKUP(P$5,NFI,5,0),1,0)*Table_NFI[[#This Row],[Plastic Bucket]],Table_NFI[Plastic Bucket])</f>
        <v>0</v>
      </c>
      <c r="AH909" s="352">
        <f>IF(NFI_Expiration=1,IF($A909&lt;VLOOKUP(Q$5,NFI,5,0),1,0)*Table_NFI[[#This Row],[Plastic Mat]],Table_NFI[Plastic Mat])*IF(Table_NFI[[#This Row],[Distribution Date]]&gt;"2014-04-01",1,2.5)</f>
        <v>0</v>
      </c>
      <c r="AI909" s="352">
        <f>IF(NFI_Expiration=1,IF($A909&lt;VLOOKUP(R$5,NFI,5,0),1,0)*Table_NFI[[#This Row],[Winter Clothes Adult]],Table_NFI[Winter Clothes Adult])</f>
        <v>0</v>
      </c>
      <c r="AJ909" s="352">
        <f>IF(NFI_Expiration=1,IF($A909&lt;VLOOKUP(S$5,NFI,5,0),1,0)*Table_NFI[[#This Row],[Winter Clothes Children]],Table_NFI[Winter Clothes Children])</f>
        <v>0</v>
      </c>
      <c r="AK909" s="352">
        <f>IF(NFI_Expiration=1,IF($A909&lt;VLOOKUP(T$5,NFI,5,0),1,0)*Table_NFI[[#This Row],[Winter Items Other]],Table_NFI[Winter Items Other])</f>
        <v>0</v>
      </c>
      <c r="AL909" s="352">
        <f>IF(NFI_Expiration=1,IF($A909&lt;VLOOKUP(M$5,NFI,5,0),1,0)*Table_NFI[[#This Row],[Winter Blanket]],Table_NFI[[#This Row],[Winter Blanket]])</f>
        <v>0</v>
      </c>
      <c r="AM909" s="352">
        <f>IF(Table_NFI[[#This Row],[Winter Clothes Adult]]+Table_NFI[[#This Row],[Winter Clothes Children]]+Table_NFI[[#This Row],[Winter Items Other]]+Table_NFI[[#This Row],[Winter Blanket]]&gt;0,1,0)</f>
        <v>0</v>
      </c>
      <c r="AN909" s="392">
        <f>IF(NFI_Expiration=1,IF($A909&lt;VLOOKUP(V$5,NFI,5,0),1,0)*Table_NFI[[#This Row],[Jerry Can]],Table_NFI[Jerry Can])</f>
        <v>0</v>
      </c>
      <c r="AO909" s="540" t="str">
        <f>IFERROR(VLOOKUP(Table_NFI[[#This Row],[Camp Name]],CL,2,0),"")</f>
        <v>MMR001CMP041</v>
      </c>
      <c r="AP909" s="535">
        <f ca="1">IF(Table_NFI[[#This Row],[Pcode]]="","",IF(OFFSET(CampList[Opening Date],MATCH(Table_NFI[[#This Row],[Pcode]],CampList[CP_Pcode],0)-1,0,1,1)&gt;=NFI_Monitor_Date,1,0))</f>
        <v>0</v>
      </c>
      <c r="AQ909" s="540" t="str">
        <f>IFERROR(VLOOKUP(Table_NFI[[#This Row],[Camp Name]],CL,3,0),"")</f>
        <v>Open</v>
      </c>
      <c r="AR909" s="352" t="str">
        <f ca="1">IF(Table_NFI[[#This Row],[Pcode]]="","",OFFSET(CampList[Priority],MATCH(Table_NFI[[#This Row],[Pcode]],CampList[CP_Pcode],0)-1,0,1,1))</f>
        <v>P1</v>
      </c>
      <c r="AS909" s="351">
        <f>IFERROR(Table_NFI[[#This Row],[Kitchen Set]]/VLOOKUP(Table_NFI[[#This Row],[Camp Name]],CL,4,0),"")</f>
        <v>0</v>
      </c>
      <c r="AT909" s="533" t="s">
        <v>1094</v>
      </c>
      <c r="AU909" s="536"/>
    </row>
    <row r="910" spans="1:47" s="537" customFormat="1" ht="14.45" customHeight="1" x14ac:dyDescent="0.25">
      <c r="A910" s="355">
        <f t="shared" si="14"/>
        <v>51.366666666666667</v>
      </c>
      <c r="B910" s="532">
        <v>41030</v>
      </c>
      <c r="C910" s="533" t="s">
        <v>453</v>
      </c>
      <c r="D910" s="534" t="s">
        <v>453</v>
      </c>
      <c r="E910" s="533" t="s">
        <v>380</v>
      </c>
      <c r="F910" s="348" t="s">
        <v>310</v>
      </c>
      <c r="G910" s="348" t="s">
        <v>351</v>
      </c>
      <c r="H910" s="349"/>
      <c r="I910" s="349"/>
      <c r="J910" s="349"/>
      <c r="K910" s="349">
        <v>52</v>
      </c>
      <c r="L910" s="350">
        <v>0</v>
      </c>
      <c r="M910" s="350">
        <v>52</v>
      </c>
      <c r="N910" s="350">
        <v>0</v>
      </c>
      <c r="O910" s="350">
        <v>24</v>
      </c>
      <c r="P910" s="352">
        <v>24</v>
      </c>
      <c r="Q910" s="352">
        <v>24</v>
      </c>
      <c r="R910" s="352"/>
      <c r="S910" s="352"/>
      <c r="T910" s="352"/>
      <c r="U910" s="352"/>
      <c r="V910" s="497"/>
      <c r="W910" s="352"/>
      <c r="X910" s="352"/>
      <c r="Y910" s="352">
        <f>IF(NFI_Expiration=1,IF($A910&lt;VLOOKUP(H$5,NFI,5,0),1,0)*Table_NFI[[#This Row],[Hygiene Kit]],Table_NFI[Hygiene Kit])</f>
        <v>0</v>
      </c>
      <c r="Z910" s="352">
        <f>IF(NFI_Expiration=1,IF($A910&lt;VLOOKUP(I$5,NFI,5,0),1,0)*Table_NFI[[#This Row],[NFI Core Kit]],Table_NFI[NFI Core Kit])</f>
        <v>0</v>
      </c>
      <c r="AA910" s="352">
        <f>IF(NFI_Expiration=1,IF($A910&lt;VLOOKUP(J$5,NFI,5,0),1,0)*Table_NFI[[#This Row],[Sanitary Kit]],Table_NFI[Sanitary Kit])</f>
        <v>0</v>
      </c>
      <c r="AB910" s="352">
        <f>IF(NFI_Expiration=1,IF($A910&lt;VLOOKUP(K$5,NFI,5,0),1,0)*Table_NFI[[#This Row],[Mosquito net]],Table_NFI[Mosquito net])</f>
        <v>0</v>
      </c>
      <c r="AC910" s="352">
        <f>IF(NFI_Expiration=1,IF($A910&lt;VLOOKUP(L$5,NFI,5,0),1,0)*Table_NFI[[#This Row],[Tarpaulin]],Table_NFI[[#This Row],[Tarpaulin]])</f>
        <v>0</v>
      </c>
      <c r="AD910" s="352">
        <f>IF(NFI_Expiration=1,IF($A910&lt;VLOOKUP(M$5,NFI,5,0),1,0)*Table_NFI[[#This Row],[Blanket]],Table_NFI[[#This Row],[Blanket]])</f>
        <v>0</v>
      </c>
      <c r="AE910" s="352">
        <f>IF(NFI_Expiration=1,IF($A910&lt;VLOOKUP(N$5,NFI,5,0),1,0)*Table_NFI[[#This Row],[Kitchen Set]],Table_NFI[Kitchen Set])</f>
        <v>0</v>
      </c>
      <c r="AF910" s="352">
        <f>IF(NFI_Expiration=1,IF($A910&lt;VLOOKUP(O$5,NFI,5,0),1,0)*Table_NFI[[#This Row],[Clothes Kit]],Table_NFI[Clothes Kit])</f>
        <v>0</v>
      </c>
      <c r="AG910" s="352">
        <f>IF(NFI_Expiration=1,IF($A910&lt;VLOOKUP(P$5,NFI,5,0),1,0)*Table_NFI[[#This Row],[Plastic Bucket]],Table_NFI[Plastic Bucket])</f>
        <v>0</v>
      </c>
      <c r="AH910" s="352">
        <f>IF(NFI_Expiration=1,IF($A910&lt;VLOOKUP(Q$5,NFI,5,0),1,0)*Table_NFI[[#This Row],[Plastic Mat]],Table_NFI[Plastic Mat])*IF(Table_NFI[[#This Row],[Distribution Date]]&gt;"2014-04-01",1,2.5)</f>
        <v>0</v>
      </c>
      <c r="AI910" s="352">
        <f>IF(NFI_Expiration=1,IF($A910&lt;VLOOKUP(R$5,NFI,5,0),1,0)*Table_NFI[[#This Row],[Winter Clothes Adult]],Table_NFI[Winter Clothes Adult])</f>
        <v>0</v>
      </c>
      <c r="AJ910" s="352">
        <f>IF(NFI_Expiration=1,IF($A910&lt;VLOOKUP(S$5,NFI,5,0),1,0)*Table_NFI[[#This Row],[Winter Clothes Children]],Table_NFI[Winter Clothes Children])</f>
        <v>0</v>
      </c>
      <c r="AK910" s="352">
        <f>IF(NFI_Expiration=1,IF($A910&lt;VLOOKUP(T$5,NFI,5,0),1,0)*Table_NFI[[#This Row],[Winter Items Other]],Table_NFI[Winter Items Other])</f>
        <v>0</v>
      </c>
      <c r="AL910" s="352">
        <f>IF(NFI_Expiration=1,IF($A910&lt;VLOOKUP(M$5,NFI,5,0),1,0)*Table_NFI[[#This Row],[Winter Blanket]],Table_NFI[[#This Row],[Winter Blanket]])</f>
        <v>0</v>
      </c>
      <c r="AM910" s="352">
        <f>IF(Table_NFI[[#This Row],[Winter Clothes Adult]]+Table_NFI[[#This Row],[Winter Clothes Children]]+Table_NFI[[#This Row],[Winter Items Other]]+Table_NFI[[#This Row],[Winter Blanket]]&gt;0,1,0)</f>
        <v>0</v>
      </c>
      <c r="AN910" s="392">
        <f>IF(NFI_Expiration=1,IF($A910&lt;VLOOKUP(V$5,NFI,5,0),1,0)*Table_NFI[[#This Row],[Jerry Can]],Table_NFI[Jerry Can])</f>
        <v>0</v>
      </c>
      <c r="AO910" s="540" t="str">
        <f>IFERROR(VLOOKUP(Table_NFI[[#This Row],[Camp Name]],CL,2,0),"")</f>
        <v>MMR001CMP026</v>
      </c>
      <c r="AP910" s="535">
        <f ca="1">IF(Table_NFI[[#This Row],[Pcode]]="","",IF(OFFSET(CampList[Opening Date],MATCH(Table_NFI[[#This Row],[Pcode]],CampList[CP_Pcode],0)-1,0,1,1)&gt;=NFI_Monitor_Date,1,0))</f>
        <v>0</v>
      </c>
      <c r="AQ910" s="540" t="str">
        <f>IFERROR(VLOOKUP(Table_NFI[[#This Row],[Camp Name]],CL,3,0),"")</f>
        <v>Open</v>
      </c>
      <c r="AR910" s="352" t="str">
        <f ca="1">IF(Table_NFI[[#This Row],[Pcode]]="","",OFFSET(CampList[Priority],MATCH(Table_NFI[[#This Row],[Pcode]],CampList[CP_Pcode],0)-1,0,1,1))</f>
        <v>P4</v>
      </c>
      <c r="AS910" s="351">
        <f>IFERROR(Table_NFI[[#This Row],[Kitchen Set]]/VLOOKUP(Table_NFI[[#This Row],[Camp Name]],CL,4,0),"")</f>
        <v>0</v>
      </c>
      <c r="AT910" s="533" t="s">
        <v>1094</v>
      </c>
      <c r="AU910" s="536"/>
    </row>
    <row r="911" spans="1:47" ht="14.45" customHeight="1" x14ac:dyDescent="0.25">
      <c r="A911" s="355">
        <f t="shared" si="14"/>
        <v>51.56666666666667</v>
      </c>
      <c r="B911" s="532">
        <v>41024</v>
      </c>
      <c r="C911" s="533" t="s">
        <v>453</v>
      </c>
      <c r="D911" s="533" t="s">
        <v>453</v>
      </c>
      <c r="E911" s="533" t="s">
        <v>380</v>
      </c>
      <c r="F911" s="348" t="s">
        <v>185</v>
      </c>
      <c r="G911" s="348" t="s">
        <v>192</v>
      </c>
      <c r="H911" s="349"/>
      <c r="I911" s="349"/>
      <c r="J911" s="349"/>
      <c r="K911" s="349">
        <v>198</v>
      </c>
      <c r="L911" s="350">
        <v>99</v>
      </c>
      <c r="M911" s="350">
        <v>198</v>
      </c>
      <c r="N911" s="350">
        <v>99</v>
      </c>
      <c r="O911" s="350">
        <v>99</v>
      </c>
      <c r="P911" s="352">
        <v>99</v>
      </c>
      <c r="Q911" s="352">
        <v>99</v>
      </c>
      <c r="R911" s="352"/>
      <c r="S911" s="352"/>
      <c r="T911" s="352"/>
      <c r="U911" s="352"/>
      <c r="V911" s="497"/>
      <c r="W911" s="352"/>
      <c r="X911" s="352"/>
      <c r="Y911" s="352">
        <f>IF(NFI_Expiration=1,IF($A911&lt;VLOOKUP(H$5,NFI,5,0),1,0)*Table_NFI[[#This Row],[Hygiene Kit]],Table_NFI[Hygiene Kit])</f>
        <v>0</v>
      </c>
      <c r="Z911" s="352">
        <f>IF(NFI_Expiration=1,IF($A911&lt;VLOOKUP(I$5,NFI,5,0),1,0)*Table_NFI[[#This Row],[NFI Core Kit]],Table_NFI[NFI Core Kit])</f>
        <v>0</v>
      </c>
      <c r="AA911" s="352">
        <f>IF(NFI_Expiration=1,IF($A911&lt;VLOOKUP(J$5,NFI,5,0),1,0)*Table_NFI[[#This Row],[Sanitary Kit]],Table_NFI[Sanitary Kit])</f>
        <v>0</v>
      </c>
      <c r="AB911" s="352">
        <f>IF(NFI_Expiration=1,IF($A911&lt;VLOOKUP(K$5,NFI,5,0),1,0)*Table_NFI[[#This Row],[Mosquito net]],Table_NFI[Mosquito net])</f>
        <v>0</v>
      </c>
      <c r="AC911" s="352">
        <f>IF(NFI_Expiration=1,IF($A911&lt;VLOOKUP(L$5,NFI,5,0),1,0)*Table_NFI[[#This Row],[Tarpaulin]],Table_NFI[[#This Row],[Tarpaulin]])</f>
        <v>0</v>
      </c>
      <c r="AD911" s="352">
        <f>IF(NFI_Expiration=1,IF($A911&lt;VLOOKUP(M$5,NFI,5,0),1,0)*Table_NFI[[#This Row],[Blanket]],Table_NFI[[#This Row],[Blanket]])</f>
        <v>0</v>
      </c>
      <c r="AE911" s="352">
        <f>IF(NFI_Expiration=1,IF($A911&lt;VLOOKUP(N$5,NFI,5,0),1,0)*Table_NFI[[#This Row],[Kitchen Set]],Table_NFI[Kitchen Set])</f>
        <v>0</v>
      </c>
      <c r="AF911" s="352">
        <f>IF(NFI_Expiration=1,IF($A911&lt;VLOOKUP(O$5,NFI,5,0),1,0)*Table_NFI[[#This Row],[Clothes Kit]],Table_NFI[Clothes Kit])</f>
        <v>0</v>
      </c>
      <c r="AG911" s="352">
        <f>IF(NFI_Expiration=1,IF($A911&lt;VLOOKUP(P$5,NFI,5,0),1,0)*Table_NFI[[#This Row],[Plastic Bucket]],Table_NFI[Plastic Bucket])</f>
        <v>0</v>
      </c>
      <c r="AH911" s="352">
        <f>IF(NFI_Expiration=1,IF($A911&lt;VLOOKUP(Q$5,NFI,5,0),1,0)*Table_NFI[[#This Row],[Plastic Mat]],Table_NFI[Plastic Mat])*IF(Table_NFI[[#This Row],[Distribution Date]]&gt;"2014-04-01",1,2.5)</f>
        <v>0</v>
      </c>
      <c r="AI911" s="352">
        <f>IF(NFI_Expiration=1,IF($A911&lt;VLOOKUP(R$5,NFI,5,0),1,0)*Table_NFI[[#This Row],[Winter Clothes Adult]],Table_NFI[Winter Clothes Adult])</f>
        <v>0</v>
      </c>
      <c r="AJ911" s="352">
        <f>IF(NFI_Expiration=1,IF($A911&lt;VLOOKUP(S$5,NFI,5,0),1,0)*Table_NFI[[#This Row],[Winter Clothes Children]],Table_NFI[Winter Clothes Children])</f>
        <v>0</v>
      </c>
      <c r="AK911" s="352">
        <f>IF(NFI_Expiration=1,IF($A911&lt;VLOOKUP(T$5,NFI,5,0),1,0)*Table_NFI[[#This Row],[Winter Items Other]],Table_NFI[Winter Items Other])</f>
        <v>0</v>
      </c>
      <c r="AL911" s="352">
        <f>IF(NFI_Expiration=1,IF($A911&lt;VLOOKUP(M$5,NFI,5,0),1,0)*Table_NFI[[#This Row],[Winter Blanket]],Table_NFI[[#This Row],[Winter Blanket]])</f>
        <v>0</v>
      </c>
      <c r="AM911" s="352">
        <f>IF(Table_NFI[[#This Row],[Winter Clothes Adult]]+Table_NFI[[#This Row],[Winter Clothes Children]]+Table_NFI[[#This Row],[Winter Items Other]]+Table_NFI[[#This Row],[Winter Blanket]]&gt;0,1,0)</f>
        <v>0</v>
      </c>
      <c r="AN911" s="392">
        <f>IF(NFI_Expiration=1,IF($A911&lt;VLOOKUP(V$5,NFI,5,0),1,0)*Table_NFI[[#This Row],[Jerry Can]],Table_NFI[Jerry Can])</f>
        <v>0</v>
      </c>
      <c r="AO911" s="540" t="str">
        <f>IFERROR(VLOOKUP(Table_NFI[[#This Row],[Camp Name]],CL,2,0),"")</f>
        <v>MMR001CMP123</v>
      </c>
      <c r="AP911" s="535">
        <f ca="1">IF(Table_NFI[[#This Row],[Pcode]]="","",IF(OFFSET(CampList[Opening Date],MATCH(Table_NFI[[#This Row],[Pcode]],CampList[CP_Pcode],0)-1,0,1,1)&gt;=NFI_Monitor_Date,1,0))</f>
        <v>0</v>
      </c>
      <c r="AQ911" s="540" t="str">
        <f>IFERROR(VLOOKUP(Table_NFI[[#This Row],[Camp Name]],CL,3,0),"")</f>
        <v>Open</v>
      </c>
      <c r="AR911" s="352" t="str">
        <f ca="1">IF(Table_NFI[[#This Row],[Pcode]]="","",OFFSET(CampList[Priority],MATCH(Table_NFI[[#This Row],[Pcode]],CampList[CP_Pcode],0)-1,0,1,1))</f>
        <v>P2</v>
      </c>
      <c r="AS911" s="351">
        <f>IFERROR(Table_NFI[[#This Row],[Kitchen Set]]/VLOOKUP(Table_NFI[[#This Row],[Camp Name]],CL,4,0),"")</f>
        <v>0.85344827586206895</v>
      </c>
      <c r="AT911" s="533" t="s">
        <v>1094</v>
      </c>
      <c r="AU911" s="536"/>
    </row>
    <row r="912" spans="1:47" ht="14.45" customHeight="1" x14ac:dyDescent="0.25">
      <c r="A912" s="355">
        <f t="shared" si="14"/>
        <v>51.56666666666667</v>
      </c>
      <c r="B912" s="532">
        <v>41024</v>
      </c>
      <c r="C912" s="533" t="s">
        <v>453</v>
      </c>
      <c r="D912" s="533" t="s">
        <v>453</v>
      </c>
      <c r="E912" s="533" t="s">
        <v>380</v>
      </c>
      <c r="F912" s="348" t="s">
        <v>237</v>
      </c>
      <c r="G912" s="348" t="s">
        <v>283</v>
      </c>
      <c r="H912" s="349"/>
      <c r="I912" s="349"/>
      <c r="J912" s="349"/>
      <c r="K912" s="349">
        <v>39</v>
      </c>
      <c r="L912" s="350">
        <v>19</v>
      </c>
      <c r="M912" s="350">
        <v>78</v>
      </c>
      <c r="N912" s="350">
        <v>19</v>
      </c>
      <c r="O912" s="350">
        <v>0</v>
      </c>
      <c r="P912" s="352"/>
      <c r="Q912" s="352"/>
      <c r="R912" s="352"/>
      <c r="S912" s="352"/>
      <c r="T912" s="352"/>
      <c r="U912" s="352"/>
      <c r="V912" s="497"/>
      <c r="W912" s="352"/>
      <c r="X912" s="352"/>
      <c r="Y912" s="352">
        <f>IF(NFI_Expiration=1,IF($A912&lt;VLOOKUP(H$5,NFI,5,0),1,0)*Table_NFI[[#This Row],[Hygiene Kit]],Table_NFI[Hygiene Kit])</f>
        <v>0</v>
      </c>
      <c r="Z912" s="352">
        <f>IF(NFI_Expiration=1,IF($A912&lt;VLOOKUP(I$5,NFI,5,0),1,0)*Table_NFI[[#This Row],[NFI Core Kit]],Table_NFI[NFI Core Kit])</f>
        <v>0</v>
      </c>
      <c r="AA912" s="352">
        <f>IF(NFI_Expiration=1,IF($A912&lt;VLOOKUP(J$5,NFI,5,0),1,0)*Table_NFI[[#This Row],[Sanitary Kit]],Table_NFI[Sanitary Kit])</f>
        <v>0</v>
      </c>
      <c r="AB912" s="352">
        <f>IF(NFI_Expiration=1,IF($A912&lt;VLOOKUP(K$5,NFI,5,0),1,0)*Table_NFI[[#This Row],[Mosquito net]],Table_NFI[Mosquito net])</f>
        <v>0</v>
      </c>
      <c r="AC912" s="352">
        <f>IF(NFI_Expiration=1,IF($A912&lt;VLOOKUP(L$5,NFI,5,0),1,0)*Table_NFI[[#This Row],[Tarpaulin]],Table_NFI[[#This Row],[Tarpaulin]])</f>
        <v>0</v>
      </c>
      <c r="AD912" s="352">
        <f>IF(NFI_Expiration=1,IF($A912&lt;VLOOKUP(M$5,NFI,5,0),1,0)*Table_NFI[[#This Row],[Blanket]],Table_NFI[[#This Row],[Blanket]])</f>
        <v>0</v>
      </c>
      <c r="AE912" s="352">
        <f>IF(NFI_Expiration=1,IF($A912&lt;VLOOKUP(N$5,NFI,5,0),1,0)*Table_NFI[[#This Row],[Kitchen Set]],Table_NFI[Kitchen Set])</f>
        <v>0</v>
      </c>
      <c r="AF912" s="352">
        <f>IF(NFI_Expiration=1,IF($A912&lt;VLOOKUP(O$5,NFI,5,0),1,0)*Table_NFI[[#This Row],[Clothes Kit]],Table_NFI[Clothes Kit])</f>
        <v>0</v>
      </c>
      <c r="AG912" s="352">
        <f>IF(NFI_Expiration=1,IF($A912&lt;VLOOKUP(P$5,NFI,5,0),1,0)*Table_NFI[[#This Row],[Plastic Bucket]],Table_NFI[Plastic Bucket])</f>
        <v>0</v>
      </c>
      <c r="AH912" s="352">
        <f>IF(NFI_Expiration=1,IF($A912&lt;VLOOKUP(Q$5,NFI,5,0),1,0)*Table_NFI[[#This Row],[Plastic Mat]],Table_NFI[Plastic Mat])*IF(Table_NFI[[#This Row],[Distribution Date]]&gt;"2014-04-01",1,2.5)</f>
        <v>0</v>
      </c>
      <c r="AI912" s="352">
        <f>IF(NFI_Expiration=1,IF($A912&lt;VLOOKUP(R$5,NFI,5,0),1,0)*Table_NFI[[#This Row],[Winter Clothes Adult]],Table_NFI[Winter Clothes Adult])</f>
        <v>0</v>
      </c>
      <c r="AJ912" s="352">
        <f>IF(NFI_Expiration=1,IF($A912&lt;VLOOKUP(S$5,NFI,5,0),1,0)*Table_NFI[[#This Row],[Winter Clothes Children]],Table_NFI[Winter Clothes Children])</f>
        <v>0</v>
      </c>
      <c r="AK912" s="352">
        <f>IF(NFI_Expiration=1,IF($A912&lt;VLOOKUP(T$5,NFI,5,0),1,0)*Table_NFI[[#This Row],[Winter Items Other]],Table_NFI[Winter Items Other])</f>
        <v>0</v>
      </c>
      <c r="AL912" s="352">
        <f>IF(NFI_Expiration=1,IF($A912&lt;VLOOKUP(M$5,NFI,5,0),1,0)*Table_NFI[[#This Row],[Winter Blanket]],Table_NFI[[#This Row],[Winter Blanket]])</f>
        <v>0</v>
      </c>
      <c r="AM912" s="352">
        <f>IF(Table_NFI[[#This Row],[Winter Clothes Adult]]+Table_NFI[[#This Row],[Winter Clothes Children]]+Table_NFI[[#This Row],[Winter Items Other]]+Table_NFI[[#This Row],[Winter Blanket]]&gt;0,1,0)</f>
        <v>0</v>
      </c>
      <c r="AN912" s="392">
        <f>IF(NFI_Expiration=1,IF($A912&lt;VLOOKUP(V$5,NFI,5,0),1,0)*Table_NFI[[#This Row],[Jerry Can]],Table_NFI[Jerry Can])</f>
        <v>0</v>
      </c>
      <c r="AO912" s="540" t="str">
        <f>IFERROR(VLOOKUP(Table_NFI[[#This Row],[Camp Name]],CL,2,0),"")</f>
        <v>MMR001CMP022</v>
      </c>
      <c r="AP912" s="535">
        <f ca="1">IF(Table_NFI[[#This Row],[Pcode]]="","",IF(OFFSET(CampList[Opening Date],MATCH(Table_NFI[[#This Row],[Pcode]],CampList[CP_Pcode],0)-1,0,1,1)&gt;=NFI_Monitor_Date,1,0))</f>
        <v>0</v>
      </c>
      <c r="AQ912" s="540" t="str">
        <f>IFERROR(VLOOKUP(Table_NFI[[#This Row],[Camp Name]],CL,3,0),"")</f>
        <v>Open</v>
      </c>
      <c r="AR912" s="352" t="str">
        <f ca="1">IF(Table_NFI[[#This Row],[Pcode]]="","",OFFSET(CampList[Priority],MATCH(Table_NFI[[#This Row],[Pcode]],CampList[CP_Pcode],0)-1,0,1,1))</f>
        <v>P4</v>
      </c>
      <c r="AS912" s="351">
        <f>IFERROR(Table_NFI[[#This Row],[Kitchen Set]]/VLOOKUP(Table_NFI[[#This Row],[Camp Name]],CL,4,0),"")</f>
        <v>2.7142857142857144</v>
      </c>
      <c r="AT912" s="533" t="s">
        <v>1094</v>
      </c>
      <c r="AU912" s="536"/>
    </row>
    <row r="913" spans="1:47" ht="14.45" hidden="1" customHeight="1" x14ac:dyDescent="0.25">
      <c r="A913" s="355">
        <f t="shared" si="14"/>
        <v>25.533333333333335</v>
      </c>
      <c r="B913" s="532">
        <v>41805</v>
      </c>
      <c r="C913" s="533" t="s">
        <v>1106</v>
      </c>
      <c r="D913" s="533" t="s">
        <v>902</v>
      </c>
      <c r="E913" s="533" t="s">
        <v>380</v>
      </c>
      <c r="F913" s="533" t="s">
        <v>302</v>
      </c>
      <c r="G913" s="533" t="s">
        <v>306</v>
      </c>
      <c r="H913" s="349"/>
      <c r="I913" s="349"/>
      <c r="J913" s="349"/>
      <c r="K913" s="349"/>
      <c r="L913" s="350"/>
      <c r="M913" s="350"/>
      <c r="N913" s="350"/>
      <c r="O913" s="350"/>
      <c r="P913" s="352"/>
      <c r="Q913" s="352"/>
      <c r="R913" s="352"/>
      <c r="S913" s="352"/>
      <c r="T913" s="352"/>
      <c r="U913" s="352">
        <v>158</v>
      </c>
      <c r="V913" s="497"/>
      <c r="W913" s="352"/>
      <c r="X913" s="352"/>
      <c r="Y913" s="352">
        <f>IF(NFI_Expiration=1,IF($A913&lt;VLOOKUP(H$5,NFI,5,0),1,0)*Table_NFI[[#This Row],[Hygiene Kit]],Table_NFI[Hygiene Kit])</f>
        <v>0</v>
      </c>
      <c r="Z913" s="352">
        <f>IF(NFI_Expiration=1,IF($A913&lt;VLOOKUP(I$5,NFI,5,0),1,0)*Table_NFI[[#This Row],[NFI Core Kit]],Table_NFI[NFI Core Kit])</f>
        <v>0</v>
      </c>
      <c r="AA913" s="352">
        <f>IF(NFI_Expiration=1,IF($A913&lt;VLOOKUP(J$5,NFI,5,0),1,0)*Table_NFI[[#This Row],[Sanitary Kit]],Table_NFI[Sanitary Kit])</f>
        <v>0</v>
      </c>
      <c r="AB913" s="352">
        <f>IF(NFI_Expiration=1,IF($A913&lt;VLOOKUP(K$5,NFI,5,0),1,0)*Table_NFI[[#This Row],[Mosquito net]],Table_NFI[Mosquito net])</f>
        <v>0</v>
      </c>
      <c r="AC913" s="352">
        <f>IF(NFI_Expiration=1,IF($A913&lt;VLOOKUP(L$5,NFI,5,0),1,0)*Table_NFI[[#This Row],[Tarpaulin]],Table_NFI[[#This Row],[Tarpaulin]])</f>
        <v>0</v>
      </c>
      <c r="AD913" s="352">
        <f>IF(NFI_Expiration=1,IF($A913&lt;VLOOKUP(M$5,NFI,5,0),1,0)*Table_NFI[[#This Row],[Blanket]],Table_NFI[[#This Row],[Blanket]])</f>
        <v>0</v>
      </c>
      <c r="AE913" s="352">
        <f>IF(NFI_Expiration=1,IF($A913&lt;VLOOKUP(N$5,NFI,5,0),1,0)*Table_NFI[[#This Row],[Kitchen Set]],Table_NFI[Kitchen Set])</f>
        <v>0</v>
      </c>
      <c r="AF913" s="352">
        <f>IF(NFI_Expiration=1,IF($A913&lt;VLOOKUP(O$5,NFI,5,0),1,0)*Table_NFI[[#This Row],[Clothes Kit]],Table_NFI[Clothes Kit])</f>
        <v>0</v>
      </c>
      <c r="AG913" s="352">
        <f>IF(NFI_Expiration=1,IF($A913&lt;VLOOKUP(P$5,NFI,5,0),1,0)*Table_NFI[[#This Row],[Plastic Bucket]],Table_NFI[Plastic Bucket])</f>
        <v>0</v>
      </c>
      <c r="AH913" s="352">
        <f>IF(NFI_Expiration=1,IF($A913&lt;VLOOKUP(Q$5,NFI,5,0),1,0)*Table_NFI[[#This Row],[Plastic Mat]],Table_NFI[Plastic Mat])*IF(Table_NFI[[#This Row],[Distribution Date]]&gt;"2014-04-01",1,2.5)</f>
        <v>0</v>
      </c>
      <c r="AI913" s="352">
        <f>IF(NFI_Expiration=1,IF($A913&lt;VLOOKUP(R$5,NFI,5,0),1,0)*Table_NFI[[#This Row],[Winter Clothes Adult]],Table_NFI[Winter Clothes Adult])</f>
        <v>0</v>
      </c>
      <c r="AJ913" s="352">
        <f>IF(NFI_Expiration=1,IF($A913&lt;VLOOKUP(S$5,NFI,5,0),1,0)*Table_NFI[[#This Row],[Winter Clothes Children]],Table_NFI[Winter Clothes Children])</f>
        <v>0</v>
      </c>
      <c r="AK913" s="352">
        <f>IF(NFI_Expiration=1,IF($A913&lt;VLOOKUP(T$5,NFI,5,0),1,0)*Table_NFI[[#This Row],[Winter Items Other]],Table_NFI[Winter Items Other])</f>
        <v>0</v>
      </c>
      <c r="AL913" s="352">
        <f>IF(NFI_Expiration=1,IF($A913&lt;VLOOKUP(M$5,NFI,5,0),1,0)*Table_NFI[[#This Row],[Winter Blanket]],Table_NFI[[#This Row],[Winter Blanket]])</f>
        <v>0</v>
      </c>
      <c r="AM913" s="352">
        <f>IF(Table_NFI[[#This Row],[Winter Clothes Adult]]+Table_NFI[[#This Row],[Winter Clothes Children]]+Table_NFI[[#This Row],[Winter Items Other]]+Table_NFI[[#This Row],[Winter Blanket]]&gt;0,1,0)</f>
        <v>1</v>
      </c>
      <c r="AN913" s="392">
        <f>IF(NFI_Expiration=1,IF($A913&lt;VLOOKUP(V$5,NFI,5,0),1,0)*Table_NFI[[#This Row],[Jerry Can]],Table_NFI[Jerry Can])</f>
        <v>0</v>
      </c>
      <c r="AO913" s="540" t="str">
        <f>IFERROR(VLOOKUP(Table_NFI[[#This Row],[Camp Name]],CL,2,0),"")</f>
        <v>MMR001CMP067</v>
      </c>
      <c r="AP913" s="535">
        <f ca="1">IF(Table_NFI[[#This Row],[Pcode]]="","",IF(OFFSET(CampList[Opening Date],MATCH(Table_NFI[[#This Row],[Pcode]],CampList[CP_Pcode],0)-1,0,1,1)&gt;=NFI_Monitor_Date,1,0))</f>
        <v>0</v>
      </c>
      <c r="AQ913" s="540" t="str">
        <f>IFERROR(VLOOKUP(Table_NFI[[#This Row],[Camp Name]],CL,3,0),"")</f>
        <v>Open</v>
      </c>
      <c r="AR913" s="352" t="str">
        <f ca="1">IF(Table_NFI[[#This Row],[Pcode]]="","",OFFSET(CampList[Priority],MATCH(Table_NFI[[#This Row],[Pcode]],CampList[CP_Pcode],0)-1,0,1,1))</f>
        <v>P4</v>
      </c>
      <c r="AS913" s="351">
        <f>IFERROR(Table_NFI[[#This Row],[Kitchen Set]]/VLOOKUP(Table_NFI[[#This Row],[Camp Name]],CL,4,0),"")</f>
        <v>0</v>
      </c>
      <c r="AT913" s="533"/>
      <c r="AU913" s="536"/>
    </row>
    <row r="914" spans="1:47" ht="14.45" hidden="1" customHeight="1" x14ac:dyDescent="0.25">
      <c r="A914" s="355">
        <f t="shared" si="14"/>
        <v>32.1</v>
      </c>
      <c r="B914" s="532">
        <v>41608</v>
      </c>
      <c r="C914" s="533" t="s">
        <v>1099</v>
      </c>
      <c r="D914" s="534" t="s">
        <v>946</v>
      </c>
      <c r="E914" s="533" t="s">
        <v>380</v>
      </c>
      <c r="F914" s="348" t="s">
        <v>302</v>
      </c>
      <c r="G914" s="348" t="s">
        <v>306</v>
      </c>
      <c r="H914" s="349"/>
      <c r="I914" s="349"/>
      <c r="J914" s="349"/>
      <c r="K914" s="349"/>
      <c r="L914" s="350"/>
      <c r="M914" s="350">
        <v>197</v>
      </c>
      <c r="N914" s="350"/>
      <c r="O914" s="350"/>
      <c r="P914" s="352"/>
      <c r="Q914" s="352"/>
      <c r="R914" s="352">
        <v>226</v>
      </c>
      <c r="S914" s="352">
        <v>68</v>
      </c>
      <c r="T914" s="352">
        <v>0</v>
      </c>
      <c r="U914" s="352"/>
      <c r="V914" s="497"/>
      <c r="W914" s="352"/>
      <c r="X914" s="352"/>
      <c r="Y914" s="352">
        <f>IF(NFI_Expiration=1,IF($A914&lt;VLOOKUP(H$5,NFI,5,0),1,0)*Table_NFI[[#This Row],[Hygiene Kit]],Table_NFI[Hygiene Kit])</f>
        <v>0</v>
      </c>
      <c r="Z914" s="352">
        <f>IF(NFI_Expiration=1,IF($A914&lt;VLOOKUP(I$5,NFI,5,0),1,0)*Table_NFI[[#This Row],[NFI Core Kit]],Table_NFI[NFI Core Kit])</f>
        <v>0</v>
      </c>
      <c r="AA914" s="352">
        <f>IF(NFI_Expiration=1,IF($A914&lt;VLOOKUP(J$5,NFI,5,0),1,0)*Table_NFI[[#This Row],[Sanitary Kit]],Table_NFI[Sanitary Kit])</f>
        <v>0</v>
      </c>
      <c r="AB914" s="352">
        <f>IF(NFI_Expiration=1,IF($A914&lt;VLOOKUP(K$5,NFI,5,0),1,0)*Table_NFI[[#This Row],[Mosquito net]],Table_NFI[Mosquito net])</f>
        <v>0</v>
      </c>
      <c r="AC914" s="352">
        <f>IF(NFI_Expiration=1,IF($A914&lt;VLOOKUP(L$5,NFI,5,0),1,0)*Table_NFI[[#This Row],[Tarpaulin]],Table_NFI[[#This Row],[Tarpaulin]])</f>
        <v>0</v>
      </c>
      <c r="AD914" s="352">
        <f>IF(NFI_Expiration=1,IF($A914&lt;VLOOKUP(M$5,NFI,5,0),1,0)*Table_NFI[[#This Row],[Blanket]],Table_NFI[[#This Row],[Blanket]])</f>
        <v>0</v>
      </c>
      <c r="AE914" s="352">
        <f>IF(NFI_Expiration=1,IF($A914&lt;VLOOKUP(N$5,NFI,5,0),1,0)*Table_NFI[[#This Row],[Kitchen Set]],Table_NFI[Kitchen Set])</f>
        <v>0</v>
      </c>
      <c r="AF914" s="352">
        <f>IF(NFI_Expiration=1,IF($A914&lt;VLOOKUP(O$5,NFI,5,0),1,0)*Table_NFI[[#This Row],[Clothes Kit]],Table_NFI[Clothes Kit])</f>
        <v>0</v>
      </c>
      <c r="AG914" s="352">
        <f>IF(NFI_Expiration=1,IF($A914&lt;VLOOKUP(P$5,NFI,5,0),1,0)*Table_NFI[[#This Row],[Plastic Bucket]],Table_NFI[Plastic Bucket])</f>
        <v>0</v>
      </c>
      <c r="AH914" s="352">
        <f>IF(NFI_Expiration=1,IF($A914&lt;VLOOKUP(Q$5,NFI,5,0),1,0)*Table_NFI[[#This Row],[Plastic Mat]],Table_NFI[Plastic Mat])*IF(Table_NFI[[#This Row],[Distribution Date]]&gt;"2014-04-01",1,2.5)</f>
        <v>0</v>
      </c>
      <c r="AI914" s="352">
        <f>IF(NFI_Expiration=1,IF($A914&lt;VLOOKUP(R$5,NFI,5,0),1,0)*Table_NFI[[#This Row],[Winter Clothes Adult]],Table_NFI[Winter Clothes Adult])</f>
        <v>0</v>
      </c>
      <c r="AJ914" s="352">
        <f>IF(NFI_Expiration=1,IF($A914&lt;VLOOKUP(S$5,NFI,5,0),1,0)*Table_NFI[[#This Row],[Winter Clothes Children]],Table_NFI[Winter Clothes Children])</f>
        <v>0</v>
      </c>
      <c r="AK914" s="352">
        <f>IF(NFI_Expiration=1,IF($A914&lt;VLOOKUP(T$5,NFI,5,0),1,0)*Table_NFI[[#This Row],[Winter Items Other]],Table_NFI[Winter Items Other])</f>
        <v>0</v>
      </c>
      <c r="AL914" s="352">
        <f>IF(NFI_Expiration=1,IF($A914&lt;VLOOKUP(M$5,NFI,5,0),1,0)*Table_NFI[[#This Row],[Winter Blanket]],Table_NFI[[#This Row],[Winter Blanket]])</f>
        <v>0</v>
      </c>
      <c r="AM914" s="352">
        <f>IF(Table_NFI[[#This Row],[Winter Clothes Adult]]+Table_NFI[[#This Row],[Winter Clothes Children]]+Table_NFI[[#This Row],[Winter Items Other]]+Table_NFI[[#This Row],[Winter Blanket]]&gt;0,1,0)</f>
        <v>1</v>
      </c>
      <c r="AN914" s="392">
        <f>IF(NFI_Expiration=1,IF($A914&lt;VLOOKUP(V$5,NFI,5,0),1,0)*Table_NFI[[#This Row],[Jerry Can]],Table_NFI[Jerry Can])</f>
        <v>0</v>
      </c>
      <c r="AO914" s="540" t="str">
        <f>IFERROR(VLOOKUP(Table_NFI[[#This Row],[Camp Name]],CL,2,0),"")</f>
        <v>MMR001CMP067</v>
      </c>
      <c r="AP914" s="535">
        <f ca="1">IF(Table_NFI[[#This Row],[Pcode]]="","",IF(OFFSET(CampList[Opening Date],MATCH(Table_NFI[[#This Row],[Pcode]],CampList[CP_Pcode],0)-1,0,1,1)&gt;=NFI_Monitor_Date,1,0))</f>
        <v>0</v>
      </c>
      <c r="AQ914" s="540" t="str">
        <f>IFERROR(VLOOKUP(Table_NFI[[#This Row],[Camp Name]],CL,3,0),"")</f>
        <v>Open</v>
      </c>
      <c r="AR914" s="352" t="str">
        <f ca="1">IF(Table_NFI[[#This Row],[Pcode]]="","",OFFSET(CampList[Priority],MATCH(Table_NFI[[#This Row],[Pcode]],CampList[CP_Pcode],0)-1,0,1,1))</f>
        <v>P4</v>
      </c>
      <c r="AS914" s="351">
        <f>IFERROR(Table_NFI[[#This Row],[Kitchen Set]]/VLOOKUP(Table_NFI[[#This Row],[Camp Name]],CL,4,0),"")</f>
        <v>0</v>
      </c>
      <c r="AT914" s="533" t="s">
        <v>1094</v>
      </c>
      <c r="AU914" s="536"/>
    </row>
    <row r="915" spans="1:47" hidden="1" x14ac:dyDescent="0.25">
      <c r="A915" s="355">
        <f t="shared" si="14"/>
        <v>32.1</v>
      </c>
      <c r="B915" s="532">
        <v>41608</v>
      </c>
      <c r="C915" s="533" t="s">
        <v>907</v>
      </c>
      <c r="D915" s="533"/>
      <c r="E915" s="533" t="s">
        <v>380</v>
      </c>
      <c r="F915" s="348" t="s">
        <v>302</v>
      </c>
      <c r="G915" s="348" t="s">
        <v>306</v>
      </c>
      <c r="H915" s="349"/>
      <c r="I915" s="349"/>
      <c r="J915" s="349"/>
      <c r="K915" s="349"/>
      <c r="L915" s="350"/>
      <c r="M915" s="350"/>
      <c r="N915" s="350"/>
      <c r="O915" s="350"/>
      <c r="P915" s="352"/>
      <c r="Q915" s="352">
        <v>204</v>
      </c>
      <c r="R915" s="352"/>
      <c r="S915" s="352"/>
      <c r="T915" s="352"/>
      <c r="U915" s="352"/>
      <c r="V915" s="497"/>
      <c r="W915" s="352"/>
      <c r="X915" s="352"/>
      <c r="Y915" s="352">
        <f>IF(NFI_Expiration=1,IF($A915&lt;VLOOKUP(H$5,NFI,5,0),1,0)*Table_NFI[[#This Row],[Hygiene Kit]],Table_NFI[Hygiene Kit])</f>
        <v>0</v>
      </c>
      <c r="Z915" s="352">
        <f>IF(NFI_Expiration=1,IF($A915&lt;VLOOKUP(I$5,NFI,5,0),1,0)*Table_NFI[[#This Row],[NFI Core Kit]],Table_NFI[NFI Core Kit])</f>
        <v>0</v>
      </c>
      <c r="AA915" s="352">
        <f>IF(NFI_Expiration=1,IF($A915&lt;VLOOKUP(J$5,NFI,5,0),1,0)*Table_NFI[[#This Row],[Sanitary Kit]],Table_NFI[Sanitary Kit])</f>
        <v>0</v>
      </c>
      <c r="AB915" s="352">
        <f>IF(NFI_Expiration=1,IF($A915&lt;VLOOKUP(K$5,NFI,5,0),1,0)*Table_NFI[[#This Row],[Mosquito net]],Table_NFI[Mosquito net])</f>
        <v>0</v>
      </c>
      <c r="AC915" s="352">
        <f>IF(NFI_Expiration=1,IF($A915&lt;VLOOKUP(L$5,NFI,5,0),1,0)*Table_NFI[[#This Row],[Tarpaulin]],Table_NFI[[#This Row],[Tarpaulin]])</f>
        <v>0</v>
      </c>
      <c r="AD915" s="352">
        <f>IF(NFI_Expiration=1,IF($A915&lt;VLOOKUP(M$5,NFI,5,0),1,0)*Table_NFI[[#This Row],[Blanket]],Table_NFI[[#This Row],[Blanket]])</f>
        <v>0</v>
      </c>
      <c r="AE915" s="352">
        <f>IF(NFI_Expiration=1,IF($A915&lt;VLOOKUP(N$5,NFI,5,0),1,0)*Table_NFI[[#This Row],[Kitchen Set]],Table_NFI[Kitchen Set])</f>
        <v>0</v>
      </c>
      <c r="AF915" s="352">
        <f>IF(NFI_Expiration=1,IF($A915&lt;VLOOKUP(O$5,NFI,5,0),1,0)*Table_NFI[[#This Row],[Clothes Kit]],Table_NFI[Clothes Kit])</f>
        <v>0</v>
      </c>
      <c r="AG915" s="352">
        <f>IF(NFI_Expiration=1,IF($A915&lt;VLOOKUP(P$5,NFI,5,0),1,0)*Table_NFI[[#This Row],[Plastic Bucket]],Table_NFI[Plastic Bucket])</f>
        <v>0</v>
      </c>
      <c r="AH915" s="352">
        <f>IF(NFI_Expiration=1,IF($A915&lt;VLOOKUP(Q$5,NFI,5,0),1,0)*Table_NFI[[#This Row],[Plastic Mat]],Table_NFI[Plastic Mat])*IF(Table_NFI[[#This Row],[Distribution Date]]&gt;"2014-04-01",1,2.5)</f>
        <v>0</v>
      </c>
      <c r="AI915" s="352">
        <f>IF(NFI_Expiration=1,IF($A915&lt;VLOOKUP(R$5,NFI,5,0),1,0)*Table_NFI[[#This Row],[Winter Clothes Adult]],Table_NFI[Winter Clothes Adult])</f>
        <v>0</v>
      </c>
      <c r="AJ915" s="352">
        <f>IF(NFI_Expiration=1,IF($A915&lt;VLOOKUP(S$5,NFI,5,0),1,0)*Table_NFI[[#This Row],[Winter Clothes Children]],Table_NFI[Winter Clothes Children])</f>
        <v>0</v>
      </c>
      <c r="AK915" s="352">
        <f>IF(NFI_Expiration=1,IF($A915&lt;VLOOKUP(T$5,NFI,5,0),1,0)*Table_NFI[[#This Row],[Winter Items Other]],Table_NFI[Winter Items Other])</f>
        <v>0</v>
      </c>
      <c r="AL915" s="352">
        <f>IF(NFI_Expiration=1,IF($A915&lt;VLOOKUP(M$5,NFI,5,0),1,0)*Table_NFI[[#This Row],[Winter Blanket]],Table_NFI[[#This Row],[Winter Blanket]])</f>
        <v>0</v>
      </c>
      <c r="AM915" s="352">
        <f>IF(Table_NFI[[#This Row],[Winter Clothes Adult]]+Table_NFI[[#This Row],[Winter Clothes Children]]+Table_NFI[[#This Row],[Winter Items Other]]+Table_NFI[[#This Row],[Winter Blanket]]&gt;0,1,0)</f>
        <v>0</v>
      </c>
      <c r="AN915" s="392">
        <f>IF(NFI_Expiration=1,IF($A915&lt;VLOOKUP(V$5,NFI,5,0),1,0)*Table_NFI[[#This Row],[Jerry Can]],Table_NFI[Jerry Can])</f>
        <v>0</v>
      </c>
      <c r="AO915" s="540" t="str">
        <f>IFERROR(VLOOKUP(Table_NFI[[#This Row],[Camp Name]],CL,2,0),"")</f>
        <v>MMR001CMP067</v>
      </c>
      <c r="AP915" s="535">
        <f ca="1">IF(Table_NFI[[#This Row],[Pcode]]="","",IF(OFFSET(CampList[Opening Date],MATCH(Table_NFI[[#This Row],[Pcode]],CampList[CP_Pcode],0)-1,0,1,1)&gt;=NFI_Monitor_Date,1,0))</f>
        <v>0</v>
      </c>
      <c r="AQ915" s="540" t="str">
        <f>IFERROR(VLOOKUP(Table_NFI[[#This Row],[Camp Name]],CL,3,0),"")</f>
        <v>Open</v>
      </c>
      <c r="AR915" s="352" t="str">
        <f ca="1">IF(Table_NFI[[#This Row],[Pcode]]="","",OFFSET(CampList[Priority],MATCH(Table_NFI[[#This Row],[Pcode]],CampList[CP_Pcode],0)-1,0,1,1))</f>
        <v>P4</v>
      </c>
      <c r="AS915" s="351">
        <f>IFERROR(Table_NFI[[#This Row],[Kitchen Set]]/VLOOKUP(Table_NFI[[#This Row],[Camp Name]],CL,4,0),"")</f>
        <v>0</v>
      </c>
      <c r="AT915" s="533" t="s">
        <v>1094</v>
      </c>
      <c r="AU915" s="536"/>
    </row>
    <row r="916" spans="1:47" hidden="1" x14ac:dyDescent="0.25">
      <c r="A916" s="355">
        <f t="shared" si="14"/>
        <v>52.9</v>
      </c>
      <c r="B916" s="532">
        <v>40984</v>
      </c>
      <c r="C916" s="533" t="s">
        <v>907</v>
      </c>
      <c r="D916" s="533" t="s">
        <v>1004</v>
      </c>
      <c r="E916" s="533" t="s">
        <v>380</v>
      </c>
      <c r="F916" s="348" t="s">
        <v>302</v>
      </c>
      <c r="G916" s="348" t="s">
        <v>306</v>
      </c>
      <c r="H916" s="352">
        <v>94</v>
      </c>
      <c r="I916" s="349"/>
      <c r="J916" s="349"/>
      <c r="K916" s="349"/>
      <c r="L916" s="350"/>
      <c r="M916" s="350"/>
      <c r="N916" s="350"/>
      <c r="O916" s="350"/>
      <c r="P916" s="352"/>
      <c r="Q916" s="352"/>
      <c r="R916" s="352"/>
      <c r="S916" s="352"/>
      <c r="T916" s="352"/>
      <c r="U916" s="352"/>
      <c r="V916" s="497"/>
      <c r="W916" s="352"/>
      <c r="X916" s="352"/>
      <c r="Y916" s="352">
        <f>IF(NFI_Expiration=1,IF($A916&lt;VLOOKUP(H$5,NFI,5,0),1,0)*Table_NFI[[#This Row],[Hygiene Kit]],Table_NFI[Hygiene Kit])</f>
        <v>0</v>
      </c>
      <c r="Z916" s="352">
        <f>IF(NFI_Expiration=1,IF($A916&lt;VLOOKUP(I$5,NFI,5,0),1,0)*Table_NFI[[#This Row],[NFI Core Kit]],Table_NFI[NFI Core Kit])</f>
        <v>0</v>
      </c>
      <c r="AA916" s="352">
        <f>IF(NFI_Expiration=1,IF($A916&lt;VLOOKUP(J$5,NFI,5,0),1,0)*Table_NFI[[#This Row],[Sanitary Kit]],Table_NFI[Sanitary Kit])</f>
        <v>0</v>
      </c>
      <c r="AB916" s="352">
        <f>IF(NFI_Expiration=1,IF($A916&lt;VLOOKUP(K$5,NFI,5,0),1,0)*Table_NFI[[#This Row],[Mosquito net]],Table_NFI[Mosquito net])</f>
        <v>0</v>
      </c>
      <c r="AC916" s="352">
        <f>IF(NFI_Expiration=1,IF($A916&lt;VLOOKUP(L$5,NFI,5,0),1,0)*Table_NFI[[#This Row],[Tarpaulin]],Table_NFI[[#This Row],[Tarpaulin]])</f>
        <v>0</v>
      </c>
      <c r="AD916" s="352">
        <f>IF(NFI_Expiration=1,IF($A916&lt;VLOOKUP(M$5,NFI,5,0),1,0)*Table_NFI[[#This Row],[Blanket]],Table_NFI[[#This Row],[Blanket]])</f>
        <v>0</v>
      </c>
      <c r="AE916" s="352">
        <f>IF(NFI_Expiration=1,IF($A916&lt;VLOOKUP(N$5,NFI,5,0),1,0)*Table_NFI[[#This Row],[Kitchen Set]],Table_NFI[Kitchen Set])</f>
        <v>0</v>
      </c>
      <c r="AF916" s="352">
        <f>IF(NFI_Expiration=1,IF($A916&lt;VLOOKUP(O$5,NFI,5,0),1,0)*Table_NFI[[#This Row],[Clothes Kit]],Table_NFI[Clothes Kit])</f>
        <v>0</v>
      </c>
      <c r="AG916" s="352">
        <f>IF(NFI_Expiration=1,IF($A916&lt;VLOOKUP(P$5,NFI,5,0),1,0)*Table_NFI[[#This Row],[Plastic Bucket]],Table_NFI[Plastic Bucket])</f>
        <v>0</v>
      </c>
      <c r="AH916" s="352">
        <f>IF(NFI_Expiration=1,IF($A916&lt;VLOOKUP(Q$5,NFI,5,0),1,0)*Table_NFI[[#This Row],[Plastic Mat]],Table_NFI[Plastic Mat])*IF(Table_NFI[[#This Row],[Distribution Date]]&gt;"2014-04-01",1,2.5)</f>
        <v>0</v>
      </c>
      <c r="AI916" s="352">
        <f>IF(NFI_Expiration=1,IF($A916&lt;VLOOKUP(R$5,NFI,5,0),1,0)*Table_NFI[[#This Row],[Winter Clothes Adult]],Table_NFI[Winter Clothes Adult])</f>
        <v>0</v>
      </c>
      <c r="AJ916" s="352">
        <f>IF(NFI_Expiration=1,IF($A916&lt;VLOOKUP(S$5,NFI,5,0),1,0)*Table_NFI[[#This Row],[Winter Clothes Children]],Table_NFI[Winter Clothes Children])</f>
        <v>0</v>
      </c>
      <c r="AK916" s="352">
        <f>IF(NFI_Expiration=1,IF($A916&lt;VLOOKUP(T$5,NFI,5,0),1,0)*Table_NFI[[#This Row],[Winter Items Other]],Table_NFI[Winter Items Other])</f>
        <v>0</v>
      </c>
      <c r="AL916" s="352">
        <f>IF(NFI_Expiration=1,IF($A916&lt;VLOOKUP(M$5,NFI,5,0),1,0)*Table_NFI[[#This Row],[Winter Blanket]],Table_NFI[[#This Row],[Winter Blanket]])</f>
        <v>0</v>
      </c>
      <c r="AM916" s="352">
        <f>IF(Table_NFI[[#This Row],[Winter Clothes Adult]]+Table_NFI[[#This Row],[Winter Clothes Children]]+Table_NFI[[#This Row],[Winter Items Other]]+Table_NFI[[#This Row],[Winter Blanket]]&gt;0,1,0)</f>
        <v>0</v>
      </c>
      <c r="AN916" s="392">
        <f>IF(NFI_Expiration=1,IF($A916&lt;VLOOKUP(V$5,NFI,5,0),1,0)*Table_NFI[[#This Row],[Jerry Can]],Table_NFI[Jerry Can])</f>
        <v>0</v>
      </c>
      <c r="AO916" s="540" t="str">
        <f>IFERROR(VLOOKUP(Table_NFI[[#This Row],[Camp Name]],CL,2,0),"")</f>
        <v>MMR001CMP067</v>
      </c>
      <c r="AP916" s="535">
        <f ca="1">IF(Table_NFI[[#This Row],[Pcode]]="","",IF(OFFSET(CampList[Opening Date],MATCH(Table_NFI[[#This Row],[Pcode]],CampList[CP_Pcode],0)-1,0,1,1)&gt;=NFI_Monitor_Date,1,0))</f>
        <v>0</v>
      </c>
      <c r="AQ916" s="540" t="str">
        <f>IFERROR(VLOOKUP(Table_NFI[[#This Row],[Camp Name]],CL,3,0),"")</f>
        <v>Open</v>
      </c>
      <c r="AR916" s="352" t="str">
        <f ca="1">IF(Table_NFI[[#This Row],[Pcode]]="","",OFFSET(CampList[Priority],MATCH(Table_NFI[[#This Row],[Pcode]],CampList[CP_Pcode],0)-1,0,1,1))</f>
        <v>P4</v>
      </c>
      <c r="AS916" s="351">
        <f>IFERROR(Table_NFI[[#This Row],[Kitchen Set]]/VLOOKUP(Table_NFI[[#This Row],[Camp Name]],CL,4,0),"")</f>
        <v>0</v>
      </c>
      <c r="AT916" s="533"/>
      <c r="AU916" s="536"/>
    </row>
    <row r="917" spans="1:47" hidden="1" x14ac:dyDescent="0.25">
      <c r="A917" s="355">
        <f t="shared" si="14"/>
        <v>46.7</v>
      </c>
      <c r="B917" s="532">
        <v>41170</v>
      </c>
      <c r="C917" s="533" t="s">
        <v>907</v>
      </c>
      <c r="D917" s="533" t="s">
        <v>1004</v>
      </c>
      <c r="E917" s="533" t="s">
        <v>380</v>
      </c>
      <c r="F917" s="348" t="s">
        <v>302</v>
      </c>
      <c r="G917" s="348" t="s">
        <v>306</v>
      </c>
      <c r="H917" s="352">
        <v>98</v>
      </c>
      <c r="I917" s="349"/>
      <c r="J917" s="349"/>
      <c r="K917" s="349"/>
      <c r="L917" s="350"/>
      <c r="M917" s="350"/>
      <c r="N917" s="350"/>
      <c r="O917" s="350"/>
      <c r="P917" s="352"/>
      <c r="Q917" s="392"/>
      <c r="R917" s="392"/>
      <c r="S917" s="392"/>
      <c r="T917" s="392"/>
      <c r="U917" s="392"/>
      <c r="V917" s="497"/>
      <c r="W917" s="392"/>
      <c r="X917" s="392"/>
      <c r="Y917" s="352">
        <f>IF(NFI_Expiration=1,IF($A917&lt;VLOOKUP(H$5,NFI,5,0),1,0)*Table_NFI[[#This Row],[Hygiene Kit]],Table_NFI[Hygiene Kit])</f>
        <v>0</v>
      </c>
      <c r="Z917" s="352">
        <f>IF(NFI_Expiration=1,IF($A917&lt;VLOOKUP(I$5,NFI,5,0),1,0)*Table_NFI[[#This Row],[NFI Core Kit]],Table_NFI[NFI Core Kit])</f>
        <v>0</v>
      </c>
      <c r="AA917" s="352">
        <f>IF(NFI_Expiration=1,IF($A917&lt;VLOOKUP(J$5,NFI,5,0),1,0)*Table_NFI[[#This Row],[Sanitary Kit]],Table_NFI[Sanitary Kit])</f>
        <v>0</v>
      </c>
      <c r="AB917" s="352">
        <f>IF(NFI_Expiration=1,IF($A917&lt;VLOOKUP(K$5,NFI,5,0),1,0)*Table_NFI[[#This Row],[Mosquito net]],Table_NFI[Mosquito net])</f>
        <v>0</v>
      </c>
      <c r="AC917" s="352">
        <f>IF(NFI_Expiration=1,IF($A917&lt;VLOOKUP(L$5,NFI,5,0),1,0)*Table_NFI[[#This Row],[Tarpaulin]],Table_NFI[[#This Row],[Tarpaulin]])</f>
        <v>0</v>
      </c>
      <c r="AD917" s="352">
        <f>IF(NFI_Expiration=1,IF($A917&lt;VLOOKUP(M$5,NFI,5,0),1,0)*Table_NFI[[#This Row],[Blanket]],Table_NFI[[#This Row],[Blanket]])</f>
        <v>0</v>
      </c>
      <c r="AE917" s="352">
        <f>IF(NFI_Expiration=1,IF($A917&lt;VLOOKUP(N$5,NFI,5,0),1,0)*Table_NFI[[#This Row],[Kitchen Set]],Table_NFI[Kitchen Set])</f>
        <v>0</v>
      </c>
      <c r="AF917" s="352">
        <f>IF(NFI_Expiration=1,IF($A917&lt;VLOOKUP(O$5,NFI,5,0),1,0)*Table_NFI[[#This Row],[Clothes Kit]],Table_NFI[Clothes Kit])</f>
        <v>0</v>
      </c>
      <c r="AG917" s="352">
        <f>IF(NFI_Expiration=1,IF($A917&lt;VLOOKUP(P$5,NFI,5,0),1,0)*Table_NFI[[#This Row],[Plastic Bucket]],Table_NFI[Plastic Bucket])</f>
        <v>0</v>
      </c>
      <c r="AH917" s="352">
        <f>IF(NFI_Expiration=1,IF($A917&lt;VLOOKUP(Q$5,NFI,5,0),1,0)*Table_NFI[[#This Row],[Plastic Mat]],Table_NFI[Plastic Mat])*IF(Table_NFI[[#This Row],[Distribution Date]]&gt;"2014-04-01",1,2.5)</f>
        <v>0</v>
      </c>
      <c r="AI917" s="352">
        <f>IF(NFI_Expiration=1,IF($A917&lt;VLOOKUP(R$5,NFI,5,0),1,0)*Table_NFI[[#This Row],[Winter Clothes Adult]],Table_NFI[Winter Clothes Adult])</f>
        <v>0</v>
      </c>
      <c r="AJ917" s="352">
        <f>IF(NFI_Expiration=1,IF($A917&lt;VLOOKUP(S$5,NFI,5,0),1,0)*Table_NFI[[#This Row],[Winter Clothes Children]],Table_NFI[Winter Clothes Children])</f>
        <v>0</v>
      </c>
      <c r="AK917" s="352">
        <f>IF(NFI_Expiration=1,IF($A917&lt;VLOOKUP(T$5,NFI,5,0),1,0)*Table_NFI[[#This Row],[Winter Items Other]],Table_NFI[Winter Items Other])</f>
        <v>0</v>
      </c>
      <c r="AL917" s="352">
        <f>IF(NFI_Expiration=1,IF($A917&lt;VLOOKUP(M$5,NFI,5,0),1,0)*Table_NFI[[#This Row],[Winter Blanket]],Table_NFI[[#This Row],[Winter Blanket]])</f>
        <v>0</v>
      </c>
      <c r="AM917" s="352">
        <f>IF(Table_NFI[[#This Row],[Winter Clothes Adult]]+Table_NFI[[#This Row],[Winter Clothes Children]]+Table_NFI[[#This Row],[Winter Items Other]]+Table_NFI[[#This Row],[Winter Blanket]]&gt;0,1,0)</f>
        <v>0</v>
      </c>
      <c r="AN917" s="392">
        <f>IF(NFI_Expiration=1,IF($A917&lt;VLOOKUP(V$5,NFI,5,0),1,0)*Table_NFI[[#This Row],[Jerry Can]],Table_NFI[Jerry Can])</f>
        <v>0</v>
      </c>
      <c r="AO917" s="540" t="str">
        <f>IFERROR(VLOOKUP(Table_NFI[[#This Row],[Camp Name]],CL,2,0),"")</f>
        <v>MMR001CMP067</v>
      </c>
      <c r="AP917" s="535">
        <f ca="1">IF(Table_NFI[[#This Row],[Pcode]]="","",IF(OFFSET(CampList[Opening Date],MATCH(Table_NFI[[#This Row],[Pcode]],CampList[CP_Pcode],0)-1,0,1,1)&gt;=NFI_Monitor_Date,1,0))</f>
        <v>0</v>
      </c>
      <c r="AQ917" s="540" t="str">
        <f>IFERROR(VLOOKUP(Table_NFI[[#This Row],[Camp Name]],CL,3,0),"")</f>
        <v>Open</v>
      </c>
      <c r="AR917" s="352" t="str">
        <f ca="1">IF(Table_NFI[[#This Row],[Pcode]]="","",OFFSET(CampList[Priority],MATCH(Table_NFI[[#This Row],[Pcode]],CampList[CP_Pcode],0)-1,0,1,1))</f>
        <v>P4</v>
      </c>
      <c r="AS917" s="351">
        <f>IFERROR(Table_NFI[[#This Row],[Kitchen Set]]/VLOOKUP(Table_NFI[[#This Row],[Camp Name]],CL,4,0),"")</f>
        <v>0</v>
      </c>
      <c r="AT917" s="533"/>
      <c r="AU917" s="536"/>
    </row>
    <row r="918" spans="1:47" hidden="1" x14ac:dyDescent="0.25">
      <c r="A918" s="355">
        <f t="shared" si="14"/>
        <v>42.233333333333334</v>
      </c>
      <c r="B918" s="532">
        <v>41304</v>
      </c>
      <c r="C918" s="533" t="s">
        <v>907</v>
      </c>
      <c r="D918" s="533" t="s">
        <v>1004</v>
      </c>
      <c r="E918" s="533" t="s">
        <v>380</v>
      </c>
      <c r="F918" s="348" t="s">
        <v>302</v>
      </c>
      <c r="G918" s="348" t="s">
        <v>306</v>
      </c>
      <c r="H918" s="349">
        <v>272</v>
      </c>
      <c r="I918" s="349"/>
      <c r="J918" s="349"/>
      <c r="K918" s="349"/>
      <c r="L918" s="350"/>
      <c r="M918" s="350"/>
      <c r="N918" s="350"/>
      <c r="O918" s="350"/>
      <c r="P918" s="352">
        <v>0</v>
      </c>
      <c r="Q918" s="352">
        <v>0</v>
      </c>
      <c r="R918" s="352"/>
      <c r="S918" s="352"/>
      <c r="T918" s="352"/>
      <c r="U918" s="352"/>
      <c r="V918" s="497"/>
      <c r="W918" s="352"/>
      <c r="X918" s="352"/>
      <c r="Y918" s="352">
        <f>IF(NFI_Expiration=1,IF($A918&lt;VLOOKUP(H$5,NFI,5,0),1,0)*Table_NFI[[#This Row],[Hygiene Kit]],Table_NFI[Hygiene Kit])</f>
        <v>0</v>
      </c>
      <c r="Z918" s="352">
        <f>IF(NFI_Expiration=1,IF($A918&lt;VLOOKUP(I$5,NFI,5,0),1,0)*Table_NFI[[#This Row],[NFI Core Kit]],Table_NFI[NFI Core Kit])</f>
        <v>0</v>
      </c>
      <c r="AA918" s="352">
        <f>IF(NFI_Expiration=1,IF($A918&lt;VLOOKUP(J$5,NFI,5,0),1,0)*Table_NFI[[#This Row],[Sanitary Kit]],Table_NFI[Sanitary Kit])</f>
        <v>0</v>
      </c>
      <c r="AB918" s="352">
        <f>IF(NFI_Expiration=1,IF($A918&lt;VLOOKUP(K$5,NFI,5,0),1,0)*Table_NFI[[#This Row],[Mosquito net]],Table_NFI[Mosquito net])</f>
        <v>0</v>
      </c>
      <c r="AC918" s="352">
        <f>IF(NFI_Expiration=1,IF($A918&lt;VLOOKUP(L$5,NFI,5,0),1,0)*Table_NFI[[#This Row],[Tarpaulin]],Table_NFI[[#This Row],[Tarpaulin]])</f>
        <v>0</v>
      </c>
      <c r="AD918" s="352">
        <f>IF(NFI_Expiration=1,IF($A918&lt;VLOOKUP(M$5,NFI,5,0),1,0)*Table_NFI[[#This Row],[Blanket]],Table_NFI[[#This Row],[Blanket]])</f>
        <v>0</v>
      </c>
      <c r="AE918" s="352">
        <f>IF(NFI_Expiration=1,IF($A918&lt;VLOOKUP(N$5,NFI,5,0),1,0)*Table_NFI[[#This Row],[Kitchen Set]],Table_NFI[Kitchen Set])</f>
        <v>0</v>
      </c>
      <c r="AF918" s="352">
        <f>IF(NFI_Expiration=1,IF($A918&lt;VLOOKUP(O$5,NFI,5,0),1,0)*Table_NFI[[#This Row],[Clothes Kit]],Table_NFI[Clothes Kit])</f>
        <v>0</v>
      </c>
      <c r="AG918" s="352">
        <f>IF(NFI_Expiration=1,IF($A918&lt;VLOOKUP(P$5,NFI,5,0),1,0)*Table_NFI[[#This Row],[Plastic Bucket]],Table_NFI[Plastic Bucket])</f>
        <v>0</v>
      </c>
      <c r="AH918" s="352">
        <f>IF(NFI_Expiration=1,IF($A918&lt;VLOOKUP(Q$5,NFI,5,0),1,0)*Table_NFI[[#This Row],[Plastic Mat]],Table_NFI[Plastic Mat])*IF(Table_NFI[[#This Row],[Distribution Date]]&gt;"2014-04-01",1,2.5)</f>
        <v>0</v>
      </c>
      <c r="AI918" s="352">
        <f>IF(NFI_Expiration=1,IF($A918&lt;VLOOKUP(R$5,NFI,5,0),1,0)*Table_NFI[[#This Row],[Winter Clothes Adult]],Table_NFI[Winter Clothes Adult])</f>
        <v>0</v>
      </c>
      <c r="AJ918" s="352">
        <f>IF(NFI_Expiration=1,IF($A918&lt;VLOOKUP(S$5,NFI,5,0),1,0)*Table_NFI[[#This Row],[Winter Clothes Children]],Table_NFI[Winter Clothes Children])</f>
        <v>0</v>
      </c>
      <c r="AK918" s="352">
        <f>IF(NFI_Expiration=1,IF($A918&lt;VLOOKUP(T$5,NFI,5,0),1,0)*Table_NFI[[#This Row],[Winter Items Other]],Table_NFI[Winter Items Other])</f>
        <v>0</v>
      </c>
      <c r="AL918" s="352">
        <f>IF(NFI_Expiration=1,IF($A918&lt;VLOOKUP(M$5,NFI,5,0),1,0)*Table_NFI[[#This Row],[Winter Blanket]],Table_NFI[[#This Row],[Winter Blanket]])</f>
        <v>0</v>
      </c>
      <c r="AM918" s="352">
        <f>IF(Table_NFI[[#This Row],[Winter Clothes Adult]]+Table_NFI[[#This Row],[Winter Clothes Children]]+Table_NFI[[#This Row],[Winter Items Other]]+Table_NFI[[#This Row],[Winter Blanket]]&gt;0,1,0)</f>
        <v>0</v>
      </c>
      <c r="AN918" s="392">
        <f>IF(NFI_Expiration=1,IF($A918&lt;VLOOKUP(V$5,NFI,5,0),1,0)*Table_NFI[[#This Row],[Jerry Can]],Table_NFI[Jerry Can])</f>
        <v>0</v>
      </c>
      <c r="AO918" s="540" t="str">
        <f>IFERROR(VLOOKUP(Table_NFI[[#This Row],[Camp Name]],CL,2,0),"")</f>
        <v>MMR001CMP067</v>
      </c>
      <c r="AP918" s="535">
        <f ca="1">IF(Table_NFI[[#This Row],[Pcode]]="","",IF(OFFSET(CampList[Opening Date],MATCH(Table_NFI[[#This Row],[Pcode]],CampList[CP_Pcode],0)-1,0,1,1)&gt;=NFI_Monitor_Date,1,0))</f>
        <v>0</v>
      </c>
      <c r="AQ918" s="540" t="str">
        <f>IFERROR(VLOOKUP(Table_NFI[[#This Row],[Camp Name]],CL,3,0),"")</f>
        <v>Open</v>
      </c>
      <c r="AR918" s="352" t="str">
        <f ca="1">IF(Table_NFI[[#This Row],[Pcode]]="","",OFFSET(CampList[Priority],MATCH(Table_NFI[[#This Row],[Pcode]],CampList[CP_Pcode],0)-1,0,1,1))</f>
        <v>P4</v>
      </c>
      <c r="AS918" s="351">
        <f>IFERROR(Table_NFI[[#This Row],[Kitchen Set]]/VLOOKUP(Table_NFI[[#This Row],[Camp Name]],CL,4,0),"")</f>
        <v>0</v>
      </c>
      <c r="AT918" s="533" t="s">
        <v>1094</v>
      </c>
      <c r="AU918" s="536"/>
    </row>
    <row r="919" spans="1:47" ht="14.45" customHeight="1" x14ac:dyDescent="0.25">
      <c r="A919" s="355">
        <f t="shared" si="14"/>
        <v>51.666666666666664</v>
      </c>
      <c r="B919" s="532">
        <v>41021</v>
      </c>
      <c r="C919" s="533" t="s">
        <v>453</v>
      </c>
      <c r="D919" s="533" t="s">
        <v>453</v>
      </c>
      <c r="E919" s="533" t="s">
        <v>380</v>
      </c>
      <c r="F919" s="348" t="s">
        <v>185</v>
      </c>
      <c r="G919" s="348" t="s">
        <v>909</v>
      </c>
      <c r="H919" s="349"/>
      <c r="I919" s="349"/>
      <c r="J919" s="349"/>
      <c r="K919" s="349">
        <v>846</v>
      </c>
      <c r="L919" s="350">
        <v>423</v>
      </c>
      <c r="M919" s="350">
        <v>846</v>
      </c>
      <c r="N919" s="350">
        <v>423</v>
      </c>
      <c r="O919" s="350">
        <v>423</v>
      </c>
      <c r="P919" s="352">
        <v>423</v>
      </c>
      <c r="Q919" s="352">
        <v>423</v>
      </c>
      <c r="R919" s="352"/>
      <c r="S919" s="352"/>
      <c r="T919" s="352"/>
      <c r="U919" s="352"/>
      <c r="V919" s="497"/>
      <c r="W919" s="352"/>
      <c r="X919" s="352"/>
      <c r="Y919" s="352">
        <f>IF(NFI_Expiration=1,IF($A919&lt;VLOOKUP(H$5,NFI,5,0),1,0)*Table_NFI[[#This Row],[Hygiene Kit]],Table_NFI[Hygiene Kit])</f>
        <v>0</v>
      </c>
      <c r="Z919" s="352">
        <f>IF(NFI_Expiration=1,IF($A919&lt;VLOOKUP(I$5,NFI,5,0),1,0)*Table_NFI[[#This Row],[NFI Core Kit]],Table_NFI[NFI Core Kit])</f>
        <v>0</v>
      </c>
      <c r="AA919" s="352">
        <f>IF(NFI_Expiration=1,IF($A919&lt;VLOOKUP(J$5,NFI,5,0),1,0)*Table_NFI[[#This Row],[Sanitary Kit]],Table_NFI[Sanitary Kit])</f>
        <v>0</v>
      </c>
      <c r="AB919" s="352">
        <f>IF(NFI_Expiration=1,IF($A919&lt;VLOOKUP(K$5,NFI,5,0),1,0)*Table_NFI[[#This Row],[Mosquito net]],Table_NFI[Mosquito net])</f>
        <v>0</v>
      </c>
      <c r="AC919" s="352">
        <f>IF(NFI_Expiration=1,IF($A919&lt;VLOOKUP(L$5,NFI,5,0),1,0)*Table_NFI[[#This Row],[Tarpaulin]],Table_NFI[[#This Row],[Tarpaulin]])</f>
        <v>0</v>
      </c>
      <c r="AD919" s="352">
        <f>IF(NFI_Expiration=1,IF($A919&lt;VLOOKUP(M$5,NFI,5,0),1,0)*Table_NFI[[#This Row],[Blanket]],Table_NFI[[#This Row],[Blanket]])</f>
        <v>0</v>
      </c>
      <c r="AE919" s="352">
        <f>IF(NFI_Expiration=1,IF($A919&lt;VLOOKUP(N$5,NFI,5,0),1,0)*Table_NFI[[#This Row],[Kitchen Set]],Table_NFI[Kitchen Set])</f>
        <v>0</v>
      </c>
      <c r="AF919" s="352">
        <f>IF(NFI_Expiration=1,IF($A919&lt;VLOOKUP(O$5,NFI,5,0),1,0)*Table_NFI[[#This Row],[Clothes Kit]],Table_NFI[Clothes Kit])</f>
        <v>0</v>
      </c>
      <c r="AG919" s="352">
        <f>IF(NFI_Expiration=1,IF($A919&lt;VLOOKUP(P$5,NFI,5,0),1,0)*Table_NFI[[#This Row],[Plastic Bucket]],Table_NFI[Plastic Bucket])</f>
        <v>0</v>
      </c>
      <c r="AH919" s="352">
        <f>IF(NFI_Expiration=1,IF($A919&lt;VLOOKUP(Q$5,NFI,5,0),1,0)*Table_NFI[[#This Row],[Plastic Mat]],Table_NFI[Plastic Mat])*IF(Table_NFI[[#This Row],[Distribution Date]]&gt;"2014-04-01",1,2.5)</f>
        <v>0</v>
      </c>
      <c r="AI919" s="352">
        <f>IF(NFI_Expiration=1,IF($A919&lt;VLOOKUP(R$5,NFI,5,0),1,0)*Table_NFI[[#This Row],[Winter Clothes Adult]],Table_NFI[Winter Clothes Adult])</f>
        <v>0</v>
      </c>
      <c r="AJ919" s="352">
        <f>IF(NFI_Expiration=1,IF($A919&lt;VLOOKUP(S$5,NFI,5,0),1,0)*Table_NFI[[#This Row],[Winter Clothes Children]],Table_NFI[Winter Clothes Children])</f>
        <v>0</v>
      </c>
      <c r="AK919" s="352">
        <f>IF(NFI_Expiration=1,IF($A919&lt;VLOOKUP(T$5,NFI,5,0),1,0)*Table_NFI[[#This Row],[Winter Items Other]],Table_NFI[Winter Items Other])</f>
        <v>0</v>
      </c>
      <c r="AL919" s="352">
        <f>IF(NFI_Expiration=1,IF($A919&lt;VLOOKUP(M$5,NFI,5,0),1,0)*Table_NFI[[#This Row],[Winter Blanket]],Table_NFI[[#This Row],[Winter Blanket]])</f>
        <v>0</v>
      </c>
      <c r="AM919" s="352">
        <f>IF(Table_NFI[[#This Row],[Winter Clothes Adult]]+Table_NFI[[#This Row],[Winter Clothes Children]]+Table_NFI[[#This Row],[Winter Items Other]]+Table_NFI[[#This Row],[Winter Blanket]]&gt;0,1,0)</f>
        <v>0</v>
      </c>
      <c r="AN919" s="392">
        <f>IF(NFI_Expiration=1,IF($A919&lt;VLOOKUP(V$5,NFI,5,0),1,0)*Table_NFI[[#This Row],[Jerry Can]],Table_NFI[Jerry Can])</f>
        <v>0</v>
      </c>
      <c r="AO919" s="540" t="str">
        <f>IFERROR(VLOOKUP(Table_NFI[[#This Row],[Camp Name]],CL,2,0),"")</f>
        <v/>
      </c>
      <c r="AP919" s="535" t="str">
        <f ca="1">IF(Table_NFI[[#This Row],[Pcode]]="","",IF(OFFSET(CampList[Opening Date],MATCH(Table_NFI[[#This Row],[Pcode]],CampList[CP_Pcode],0)-1,0,1,1)&gt;=NFI_Monitor_Date,1,0))</f>
        <v/>
      </c>
      <c r="AQ919" s="540" t="str">
        <f>IFERROR(VLOOKUP(Table_NFI[[#This Row],[Camp Name]],CL,3,0),"")</f>
        <v/>
      </c>
      <c r="AR919" s="352" t="str">
        <f ca="1">IF(Table_NFI[[#This Row],[Pcode]]="","",OFFSET(CampList[Priority],MATCH(Table_NFI[[#This Row],[Pcode]],CampList[CP_Pcode],0)-1,0,1,1))</f>
        <v/>
      </c>
      <c r="AS919" s="351" t="str">
        <f>IFERROR(Table_NFI[[#This Row],[Kitchen Set]]/VLOOKUP(Table_NFI[[#This Row],[Camp Name]],CL,4,0),"")</f>
        <v/>
      </c>
      <c r="AT919" s="533" t="s">
        <v>1094</v>
      </c>
      <c r="AU919" s="536"/>
    </row>
    <row r="920" spans="1:47" ht="14.45" customHeight="1" x14ac:dyDescent="0.25">
      <c r="A920" s="355">
        <f t="shared" si="14"/>
        <v>52</v>
      </c>
      <c r="B920" s="532">
        <v>41011</v>
      </c>
      <c r="C920" s="533" t="s">
        <v>453</v>
      </c>
      <c r="D920" s="534" t="s">
        <v>453</v>
      </c>
      <c r="E920" s="533" t="s">
        <v>380</v>
      </c>
      <c r="F920" s="348" t="s">
        <v>310</v>
      </c>
      <c r="G920" s="348" t="s">
        <v>355</v>
      </c>
      <c r="H920" s="349"/>
      <c r="I920" s="349"/>
      <c r="J920" s="349"/>
      <c r="K920" s="349">
        <v>123</v>
      </c>
      <c r="L920" s="350">
        <v>95</v>
      </c>
      <c r="M920" s="350">
        <v>123</v>
      </c>
      <c r="N920" s="350">
        <v>95</v>
      </c>
      <c r="O920" s="350">
        <v>95</v>
      </c>
      <c r="P920" s="352">
        <v>95</v>
      </c>
      <c r="Q920" s="352">
        <v>95</v>
      </c>
      <c r="R920" s="352"/>
      <c r="S920" s="352"/>
      <c r="T920" s="352"/>
      <c r="U920" s="352"/>
      <c r="V920" s="497"/>
      <c r="W920" s="352"/>
      <c r="X920" s="352"/>
      <c r="Y920" s="352">
        <f>IF(NFI_Expiration=1,IF($A920&lt;VLOOKUP(H$5,NFI,5,0),1,0)*Table_NFI[[#This Row],[Hygiene Kit]],Table_NFI[Hygiene Kit])</f>
        <v>0</v>
      </c>
      <c r="Z920" s="352">
        <f>IF(NFI_Expiration=1,IF($A920&lt;VLOOKUP(I$5,NFI,5,0),1,0)*Table_NFI[[#This Row],[NFI Core Kit]],Table_NFI[NFI Core Kit])</f>
        <v>0</v>
      </c>
      <c r="AA920" s="352">
        <f>IF(NFI_Expiration=1,IF($A920&lt;VLOOKUP(J$5,NFI,5,0),1,0)*Table_NFI[[#This Row],[Sanitary Kit]],Table_NFI[Sanitary Kit])</f>
        <v>0</v>
      </c>
      <c r="AB920" s="352">
        <f>IF(NFI_Expiration=1,IF($A920&lt;VLOOKUP(K$5,NFI,5,0),1,0)*Table_NFI[[#This Row],[Mosquito net]],Table_NFI[Mosquito net])</f>
        <v>0</v>
      </c>
      <c r="AC920" s="352">
        <f>IF(NFI_Expiration=1,IF($A920&lt;VLOOKUP(L$5,NFI,5,0),1,0)*Table_NFI[[#This Row],[Tarpaulin]],Table_NFI[[#This Row],[Tarpaulin]])</f>
        <v>0</v>
      </c>
      <c r="AD920" s="352">
        <f>IF(NFI_Expiration=1,IF($A920&lt;VLOOKUP(M$5,NFI,5,0),1,0)*Table_NFI[[#This Row],[Blanket]],Table_NFI[[#This Row],[Blanket]])</f>
        <v>0</v>
      </c>
      <c r="AE920" s="352">
        <f>IF(NFI_Expiration=1,IF($A920&lt;VLOOKUP(N$5,NFI,5,0),1,0)*Table_NFI[[#This Row],[Kitchen Set]],Table_NFI[Kitchen Set])</f>
        <v>0</v>
      </c>
      <c r="AF920" s="352">
        <f>IF(NFI_Expiration=1,IF($A920&lt;VLOOKUP(O$5,NFI,5,0),1,0)*Table_NFI[[#This Row],[Clothes Kit]],Table_NFI[Clothes Kit])</f>
        <v>0</v>
      </c>
      <c r="AG920" s="352">
        <f>IF(NFI_Expiration=1,IF($A920&lt;VLOOKUP(P$5,NFI,5,0),1,0)*Table_NFI[[#This Row],[Plastic Bucket]],Table_NFI[Plastic Bucket])</f>
        <v>0</v>
      </c>
      <c r="AH920" s="352">
        <f>IF(NFI_Expiration=1,IF($A920&lt;VLOOKUP(Q$5,NFI,5,0),1,0)*Table_NFI[[#This Row],[Plastic Mat]],Table_NFI[Plastic Mat])*IF(Table_NFI[[#This Row],[Distribution Date]]&gt;"2014-04-01",1,2.5)</f>
        <v>0</v>
      </c>
      <c r="AI920" s="352">
        <f>IF(NFI_Expiration=1,IF($A920&lt;VLOOKUP(R$5,NFI,5,0),1,0)*Table_NFI[[#This Row],[Winter Clothes Adult]],Table_NFI[Winter Clothes Adult])</f>
        <v>0</v>
      </c>
      <c r="AJ920" s="352">
        <f>IF(NFI_Expiration=1,IF($A920&lt;VLOOKUP(S$5,NFI,5,0),1,0)*Table_NFI[[#This Row],[Winter Clothes Children]],Table_NFI[Winter Clothes Children])</f>
        <v>0</v>
      </c>
      <c r="AK920" s="352">
        <f>IF(NFI_Expiration=1,IF($A920&lt;VLOOKUP(T$5,NFI,5,0),1,0)*Table_NFI[[#This Row],[Winter Items Other]],Table_NFI[Winter Items Other])</f>
        <v>0</v>
      </c>
      <c r="AL920" s="352">
        <f>IF(NFI_Expiration=1,IF($A920&lt;VLOOKUP(M$5,NFI,5,0),1,0)*Table_NFI[[#This Row],[Winter Blanket]],Table_NFI[[#This Row],[Winter Blanket]])</f>
        <v>0</v>
      </c>
      <c r="AM920" s="352">
        <f>IF(Table_NFI[[#This Row],[Winter Clothes Adult]]+Table_NFI[[#This Row],[Winter Clothes Children]]+Table_NFI[[#This Row],[Winter Items Other]]+Table_NFI[[#This Row],[Winter Blanket]]&gt;0,1,0)</f>
        <v>0</v>
      </c>
      <c r="AN920" s="392">
        <f>IF(NFI_Expiration=1,IF($A920&lt;VLOOKUP(V$5,NFI,5,0),1,0)*Table_NFI[[#This Row],[Jerry Can]],Table_NFI[Jerry Can])</f>
        <v>0</v>
      </c>
      <c r="AO920" s="540" t="str">
        <f>IFERROR(VLOOKUP(Table_NFI[[#This Row],[Camp Name]],CL,2,0),"")</f>
        <v>MMR001CMP160</v>
      </c>
      <c r="AP920" s="535">
        <f ca="1">IF(Table_NFI[[#This Row],[Pcode]]="","",IF(OFFSET(CampList[Opening Date],MATCH(Table_NFI[[#This Row],[Pcode]],CampList[CP_Pcode],0)-1,0,1,1)&gt;=NFI_Monitor_Date,1,0))</f>
        <v>0</v>
      </c>
      <c r="AQ920" s="540" t="str">
        <f>IFERROR(VLOOKUP(Table_NFI[[#This Row],[Camp Name]],CL,3,0),"")</f>
        <v>Open</v>
      </c>
      <c r="AR920" s="352" t="str">
        <f ca="1">IF(Table_NFI[[#This Row],[Pcode]]="","",OFFSET(CampList[Priority],MATCH(Table_NFI[[#This Row],[Pcode]],CampList[CP_Pcode],0)-1,0,1,1))</f>
        <v>P1</v>
      </c>
      <c r="AS920" s="351">
        <f>IFERROR(Table_NFI[[#This Row],[Kitchen Set]]/VLOOKUP(Table_NFI[[#This Row],[Camp Name]],CL,4,0),"")</f>
        <v>0.96938775510204078</v>
      </c>
      <c r="AT920" s="533" t="s">
        <v>1094</v>
      </c>
      <c r="AU920" s="536"/>
    </row>
    <row r="921" spans="1:47" ht="14.45" customHeight="1" x14ac:dyDescent="0.25">
      <c r="A921" s="355">
        <f t="shared" si="14"/>
        <v>52.06666666666667</v>
      </c>
      <c r="B921" s="532">
        <v>41009</v>
      </c>
      <c r="C921" s="533" t="s">
        <v>453</v>
      </c>
      <c r="D921" s="533" t="s">
        <v>460</v>
      </c>
      <c r="E921" s="533" t="s">
        <v>380</v>
      </c>
      <c r="F921" s="533" t="s">
        <v>302</v>
      </c>
      <c r="G921" s="348" t="s">
        <v>306</v>
      </c>
      <c r="H921" s="349"/>
      <c r="I921" s="349"/>
      <c r="J921" s="349"/>
      <c r="K921" s="349">
        <v>46</v>
      </c>
      <c r="L921" s="350">
        <v>27</v>
      </c>
      <c r="M921" s="350">
        <v>46</v>
      </c>
      <c r="N921" s="350">
        <v>27</v>
      </c>
      <c r="O921" s="350">
        <v>27</v>
      </c>
      <c r="P921" s="352">
        <v>27</v>
      </c>
      <c r="Q921" s="352">
        <v>27</v>
      </c>
      <c r="R921" s="352"/>
      <c r="S921" s="352"/>
      <c r="T921" s="352"/>
      <c r="U921" s="352"/>
      <c r="V921" s="497"/>
      <c r="W921" s="352"/>
      <c r="X921" s="352"/>
      <c r="Y921" s="352">
        <f>IF(NFI_Expiration=1,IF($A921&lt;VLOOKUP(H$5,NFI,5,0),1,0)*Table_NFI[[#This Row],[Hygiene Kit]],Table_NFI[Hygiene Kit])</f>
        <v>0</v>
      </c>
      <c r="Z921" s="352">
        <f>IF(NFI_Expiration=1,IF($A921&lt;VLOOKUP(I$5,NFI,5,0),1,0)*Table_NFI[[#This Row],[NFI Core Kit]],Table_NFI[NFI Core Kit])</f>
        <v>0</v>
      </c>
      <c r="AA921" s="352">
        <f>IF(NFI_Expiration=1,IF($A921&lt;VLOOKUP(J$5,NFI,5,0),1,0)*Table_NFI[[#This Row],[Sanitary Kit]],Table_NFI[Sanitary Kit])</f>
        <v>0</v>
      </c>
      <c r="AB921" s="352">
        <f>IF(NFI_Expiration=1,IF($A921&lt;VLOOKUP(K$5,NFI,5,0),1,0)*Table_NFI[[#This Row],[Mosquito net]],Table_NFI[Mosquito net])</f>
        <v>0</v>
      </c>
      <c r="AC921" s="352">
        <f>IF(NFI_Expiration=1,IF($A921&lt;VLOOKUP(L$5,NFI,5,0),1,0)*Table_NFI[[#This Row],[Tarpaulin]],Table_NFI[[#This Row],[Tarpaulin]])</f>
        <v>0</v>
      </c>
      <c r="AD921" s="352">
        <f>IF(NFI_Expiration=1,IF($A921&lt;VLOOKUP(M$5,NFI,5,0),1,0)*Table_NFI[[#This Row],[Blanket]],Table_NFI[[#This Row],[Blanket]])</f>
        <v>0</v>
      </c>
      <c r="AE921" s="352">
        <f>IF(NFI_Expiration=1,IF($A921&lt;VLOOKUP(N$5,NFI,5,0),1,0)*Table_NFI[[#This Row],[Kitchen Set]],Table_NFI[Kitchen Set])</f>
        <v>0</v>
      </c>
      <c r="AF921" s="352">
        <f>IF(NFI_Expiration=1,IF($A921&lt;VLOOKUP(O$5,NFI,5,0),1,0)*Table_NFI[[#This Row],[Clothes Kit]],Table_NFI[Clothes Kit])</f>
        <v>0</v>
      </c>
      <c r="AG921" s="352">
        <f>IF(NFI_Expiration=1,IF($A921&lt;VLOOKUP(P$5,NFI,5,0),1,0)*Table_NFI[[#This Row],[Plastic Bucket]],Table_NFI[Plastic Bucket])</f>
        <v>0</v>
      </c>
      <c r="AH921" s="352">
        <f>IF(NFI_Expiration=1,IF($A921&lt;VLOOKUP(Q$5,NFI,5,0),1,0)*Table_NFI[[#This Row],[Plastic Mat]],Table_NFI[Plastic Mat])*IF(Table_NFI[[#This Row],[Distribution Date]]&gt;"2014-04-01",1,2.5)</f>
        <v>0</v>
      </c>
      <c r="AI921" s="352">
        <f>IF(NFI_Expiration=1,IF($A921&lt;VLOOKUP(R$5,NFI,5,0),1,0)*Table_NFI[[#This Row],[Winter Clothes Adult]],Table_NFI[Winter Clothes Adult])</f>
        <v>0</v>
      </c>
      <c r="AJ921" s="352">
        <f>IF(NFI_Expiration=1,IF($A921&lt;VLOOKUP(S$5,NFI,5,0),1,0)*Table_NFI[[#This Row],[Winter Clothes Children]],Table_NFI[Winter Clothes Children])</f>
        <v>0</v>
      </c>
      <c r="AK921" s="352">
        <f>IF(NFI_Expiration=1,IF($A921&lt;VLOOKUP(T$5,NFI,5,0),1,0)*Table_NFI[[#This Row],[Winter Items Other]],Table_NFI[Winter Items Other])</f>
        <v>0</v>
      </c>
      <c r="AL921" s="352">
        <f>IF(NFI_Expiration=1,IF($A921&lt;VLOOKUP(M$5,NFI,5,0),1,0)*Table_NFI[[#This Row],[Winter Blanket]],Table_NFI[[#This Row],[Winter Blanket]])</f>
        <v>0</v>
      </c>
      <c r="AM921" s="352">
        <f>IF(Table_NFI[[#This Row],[Winter Clothes Adult]]+Table_NFI[[#This Row],[Winter Clothes Children]]+Table_NFI[[#This Row],[Winter Items Other]]+Table_NFI[[#This Row],[Winter Blanket]]&gt;0,1,0)</f>
        <v>0</v>
      </c>
      <c r="AN921" s="392">
        <f>IF(NFI_Expiration=1,IF($A921&lt;VLOOKUP(V$5,NFI,5,0),1,0)*Table_NFI[[#This Row],[Jerry Can]],Table_NFI[Jerry Can])</f>
        <v>0</v>
      </c>
      <c r="AO921" s="540" t="str">
        <f>IFERROR(VLOOKUP(Table_NFI[[#This Row],[Camp Name]],CL,2,0),"")</f>
        <v>MMR001CMP067</v>
      </c>
      <c r="AP921" s="535">
        <f ca="1">IF(Table_NFI[[#This Row],[Pcode]]="","",IF(OFFSET(CampList[Opening Date],MATCH(Table_NFI[[#This Row],[Pcode]],CampList[CP_Pcode],0)-1,0,1,1)&gt;=NFI_Monitor_Date,1,0))</f>
        <v>0</v>
      </c>
      <c r="AQ921" s="540" t="str">
        <f>IFERROR(VLOOKUP(Table_NFI[[#This Row],[Camp Name]],CL,3,0),"")</f>
        <v>Open</v>
      </c>
      <c r="AR921" s="352" t="str">
        <f ca="1">IF(Table_NFI[[#This Row],[Pcode]]="","",OFFSET(CampList[Priority],MATCH(Table_NFI[[#This Row],[Pcode]],CampList[CP_Pcode],0)-1,0,1,1))</f>
        <v>P4</v>
      </c>
      <c r="AS921" s="351">
        <f>IFERROR(Table_NFI[[#This Row],[Kitchen Set]]/VLOOKUP(Table_NFI[[#This Row],[Camp Name]],CL,4,0),"")</f>
        <v>0.31395348837209303</v>
      </c>
      <c r="AT921" s="533" t="s">
        <v>1094</v>
      </c>
      <c r="AU921" s="536"/>
    </row>
    <row r="922" spans="1:47" ht="14.45" customHeight="1" x14ac:dyDescent="0.25">
      <c r="A922" s="355">
        <f t="shared" si="14"/>
        <v>52.06666666666667</v>
      </c>
      <c r="B922" s="532">
        <v>41009</v>
      </c>
      <c r="C922" s="533" t="s">
        <v>453</v>
      </c>
      <c r="D922" s="533" t="s">
        <v>460</v>
      </c>
      <c r="E922" s="533" t="s">
        <v>380</v>
      </c>
      <c r="F922" s="348" t="s">
        <v>302</v>
      </c>
      <c r="G922" s="348" t="s">
        <v>308</v>
      </c>
      <c r="H922" s="349"/>
      <c r="I922" s="349"/>
      <c r="J922" s="349"/>
      <c r="K922" s="349">
        <v>43</v>
      </c>
      <c r="L922" s="350">
        <v>25</v>
      </c>
      <c r="M922" s="350">
        <v>43</v>
      </c>
      <c r="N922" s="350">
        <v>25</v>
      </c>
      <c r="O922" s="350">
        <v>25</v>
      </c>
      <c r="P922" s="352">
        <v>25</v>
      </c>
      <c r="Q922" s="352">
        <v>25</v>
      </c>
      <c r="R922" s="352"/>
      <c r="S922" s="352"/>
      <c r="T922" s="352"/>
      <c r="U922" s="352"/>
      <c r="V922" s="497"/>
      <c r="W922" s="352"/>
      <c r="X922" s="352"/>
      <c r="Y922" s="352">
        <f>IF(NFI_Expiration=1,IF($A922&lt;VLOOKUP(H$5,NFI,5,0),1,0)*Table_NFI[[#This Row],[Hygiene Kit]],Table_NFI[Hygiene Kit])</f>
        <v>0</v>
      </c>
      <c r="Z922" s="352">
        <f>IF(NFI_Expiration=1,IF($A922&lt;VLOOKUP(I$5,NFI,5,0),1,0)*Table_NFI[[#This Row],[NFI Core Kit]],Table_NFI[NFI Core Kit])</f>
        <v>0</v>
      </c>
      <c r="AA922" s="352">
        <f>IF(NFI_Expiration=1,IF($A922&lt;VLOOKUP(J$5,NFI,5,0),1,0)*Table_NFI[[#This Row],[Sanitary Kit]],Table_NFI[Sanitary Kit])</f>
        <v>0</v>
      </c>
      <c r="AB922" s="352">
        <f>IF(NFI_Expiration=1,IF($A922&lt;VLOOKUP(K$5,NFI,5,0),1,0)*Table_NFI[[#This Row],[Mosquito net]],Table_NFI[Mosquito net])</f>
        <v>0</v>
      </c>
      <c r="AC922" s="352">
        <f>IF(NFI_Expiration=1,IF($A922&lt;VLOOKUP(L$5,NFI,5,0),1,0)*Table_NFI[[#This Row],[Tarpaulin]],Table_NFI[[#This Row],[Tarpaulin]])</f>
        <v>0</v>
      </c>
      <c r="AD922" s="352">
        <f>IF(NFI_Expiration=1,IF($A922&lt;VLOOKUP(M$5,NFI,5,0),1,0)*Table_NFI[[#This Row],[Blanket]],Table_NFI[[#This Row],[Blanket]])</f>
        <v>0</v>
      </c>
      <c r="AE922" s="352">
        <f>IF(NFI_Expiration=1,IF($A922&lt;VLOOKUP(N$5,NFI,5,0),1,0)*Table_NFI[[#This Row],[Kitchen Set]],Table_NFI[Kitchen Set])</f>
        <v>0</v>
      </c>
      <c r="AF922" s="352">
        <f>IF(NFI_Expiration=1,IF($A922&lt;VLOOKUP(O$5,NFI,5,0),1,0)*Table_NFI[[#This Row],[Clothes Kit]],Table_NFI[Clothes Kit])</f>
        <v>0</v>
      </c>
      <c r="AG922" s="352">
        <f>IF(NFI_Expiration=1,IF($A922&lt;VLOOKUP(P$5,NFI,5,0),1,0)*Table_NFI[[#This Row],[Plastic Bucket]],Table_NFI[Plastic Bucket])</f>
        <v>0</v>
      </c>
      <c r="AH922" s="352">
        <f>IF(NFI_Expiration=1,IF($A922&lt;VLOOKUP(Q$5,NFI,5,0),1,0)*Table_NFI[[#This Row],[Plastic Mat]],Table_NFI[Plastic Mat])*IF(Table_NFI[[#This Row],[Distribution Date]]&gt;"2014-04-01",1,2.5)</f>
        <v>0</v>
      </c>
      <c r="AI922" s="352">
        <f>IF(NFI_Expiration=1,IF($A922&lt;VLOOKUP(R$5,NFI,5,0),1,0)*Table_NFI[[#This Row],[Winter Clothes Adult]],Table_NFI[Winter Clothes Adult])</f>
        <v>0</v>
      </c>
      <c r="AJ922" s="352">
        <f>IF(NFI_Expiration=1,IF($A922&lt;VLOOKUP(S$5,NFI,5,0),1,0)*Table_NFI[[#This Row],[Winter Clothes Children]],Table_NFI[Winter Clothes Children])</f>
        <v>0</v>
      </c>
      <c r="AK922" s="352">
        <f>IF(NFI_Expiration=1,IF($A922&lt;VLOOKUP(T$5,NFI,5,0),1,0)*Table_NFI[[#This Row],[Winter Items Other]],Table_NFI[Winter Items Other])</f>
        <v>0</v>
      </c>
      <c r="AL922" s="352">
        <f>IF(NFI_Expiration=1,IF($A922&lt;VLOOKUP(M$5,NFI,5,0),1,0)*Table_NFI[[#This Row],[Winter Blanket]],Table_NFI[[#This Row],[Winter Blanket]])</f>
        <v>0</v>
      </c>
      <c r="AM922" s="352">
        <f>IF(Table_NFI[[#This Row],[Winter Clothes Adult]]+Table_NFI[[#This Row],[Winter Clothes Children]]+Table_NFI[[#This Row],[Winter Items Other]]+Table_NFI[[#This Row],[Winter Blanket]]&gt;0,1,0)</f>
        <v>0</v>
      </c>
      <c r="AN922" s="392">
        <f>IF(NFI_Expiration=1,IF($A922&lt;VLOOKUP(V$5,NFI,5,0),1,0)*Table_NFI[[#This Row],[Jerry Can]],Table_NFI[Jerry Can])</f>
        <v>0</v>
      </c>
      <c r="AO922" s="540" t="str">
        <f>IFERROR(VLOOKUP(Table_NFI[[#This Row],[Camp Name]],CL,2,0),"")</f>
        <v>MMR001CMP068</v>
      </c>
      <c r="AP922" s="535">
        <f ca="1">IF(Table_NFI[[#This Row],[Pcode]]="","",IF(OFFSET(CampList[Opening Date],MATCH(Table_NFI[[#This Row],[Pcode]],CampList[CP_Pcode],0)-1,0,1,1)&gt;=NFI_Monitor_Date,1,0))</f>
        <v>0</v>
      </c>
      <c r="AQ922" s="540" t="str">
        <f>IFERROR(VLOOKUP(Table_NFI[[#This Row],[Camp Name]],CL,3,0),"")</f>
        <v>Open</v>
      </c>
      <c r="AR922" s="352" t="str">
        <f ca="1">IF(Table_NFI[[#This Row],[Pcode]]="","",OFFSET(CampList[Priority],MATCH(Table_NFI[[#This Row],[Pcode]],CampList[CP_Pcode],0)-1,0,1,1))</f>
        <v>P4</v>
      </c>
      <c r="AS922" s="351">
        <f>IFERROR(Table_NFI[[#This Row],[Kitchen Set]]/VLOOKUP(Table_NFI[[#This Row],[Camp Name]],CL,4,0),"")</f>
        <v>0.6097560975609756</v>
      </c>
      <c r="AT922" s="533" t="s">
        <v>1094</v>
      </c>
      <c r="AU922" s="536"/>
    </row>
    <row r="923" spans="1:47" ht="14.45" hidden="1" customHeight="1" x14ac:dyDescent="0.25">
      <c r="A923" s="355">
        <f t="shared" si="14"/>
        <v>25.533333333333335</v>
      </c>
      <c r="B923" s="532">
        <v>41805</v>
      </c>
      <c r="C923" s="533" t="s">
        <v>1106</v>
      </c>
      <c r="D923" s="533" t="s">
        <v>902</v>
      </c>
      <c r="E923" s="533" t="s">
        <v>380</v>
      </c>
      <c r="F923" s="533" t="s">
        <v>302</v>
      </c>
      <c r="G923" s="533" t="s">
        <v>308</v>
      </c>
      <c r="H923" s="349"/>
      <c r="I923" s="349"/>
      <c r="J923" s="349"/>
      <c r="K923" s="349"/>
      <c r="L923" s="350"/>
      <c r="M923" s="350"/>
      <c r="N923" s="350"/>
      <c r="O923" s="350"/>
      <c r="P923" s="352"/>
      <c r="Q923" s="352"/>
      <c r="R923" s="352"/>
      <c r="S923" s="352"/>
      <c r="T923" s="352"/>
      <c r="U923" s="352">
        <v>112</v>
      </c>
      <c r="V923" s="497"/>
      <c r="W923" s="352"/>
      <c r="X923" s="352"/>
      <c r="Y923" s="352">
        <f>IF(NFI_Expiration=1,IF($A923&lt;VLOOKUP(H$5,NFI,5,0),1,0)*Table_NFI[[#This Row],[Hygiene Kit]],Table_NFI[Hygiene Kit])</f>
        <v>0</v>
      </c>
      <c r="Z923" s="352">
        <f>IF(NFI_Expiration=1,IF($A923&lt;VLOOKUP(I$5,NFI,5,0),1,0)*Table_NFI[[#This Row],[NFI Core Kit]],Table_NFI[NFI Core Kit])</f>
        <v>0</v>
      </c>
      <c r="AA923" s="352">
        <f>IF(NFI_Expiration=1,IF($A923&lt;VLOOKUP(J$5,NFI,5,0),1,0)*Table_NFI[[#This Row],[Sanitary Kit]],Table_NFI[Sanitary Kit])</f>
        <v>0</v>
      </c>
      <c r="AB923" s="352">
        <f>IF(NFI_Expiration=1,IF($A923&lt;VLOOKUP(K$5,NFI,5,0),1,0)*Table_NFI[[#This Row],[Mosquito net]],Table_NFI[Mosquito net])</f>
        <v>0</v>
      </c>
      <c r="AC923" s="352">
        <f>IF(NFI_Expiration=1,IF($A923&lt;VLOOKUP(L$5,NFI,5,0),1,0)*Table_NFI[[#This Row],[Tarpaulin]],Table_NFI[[#This Row],[Tarpaulin]])</f>
        <v>0</v>
      </c>
      <c r="AD923" s="352">
        <f>IF(NFI_Expiration=1,IF($A923&lt;VLOOKUP(M$5,NFI,5,0),1,0)*Table_NFI[[#This Row],[Blanket]],Table_NFI[[#This Row],[Blanket]])</f>
        <v>0</v>
      </c>
      <c r="AE923" s="352">
        <f>IF(NFI_Expiration=1,IF($A923&lt;VLOOKUP(N$5,NFI,5,0),1,0)*Table_NFI[[#This Row],[Kitchen Set]],Table_NFI[Kitchen Set])</f>
        <v>0</v>
      </c>
      <c r="AF923" s="352">
        <f>IF(NFI_Expiration=1,IF($A923&lt;VLOOKUP(O$5,NFI,5,0),1,0)*Table_NFI[[#This Row],[Clothes Kit]],Table_NFI[Clothes Kit])</f>
        <v>0</v>
      </c>
      <c r="AG923" s="352">
        <f>IF(NFI_Expiration=1,IF($A923&lt;VLOOKUP(P$5,NFI,5,0),1,0)*Table_NFI[[#This Row],[Plastic Bucket]],Table_NFI[Plastic Bucket])</f>
        <v>0</v>
      </c>
      <c r="AH923" s="352">
        <f>IF(NFI_Expiration=1,IF($A923&lt;VLOOKUP(Q$5,NFI,5,0),1,0)*Table_NFI[[#This Row],[Plastic Mat]],Table_NFI[Plastic Mat])*IF(Table_NFI[[#This Row],[Distribution Date]]&gt;"2014-04-01",1,2.5)</f>
        <v>0</v>
      </c>
      <c r="AI923" s="352">
        <f>IF(NFI_Expiration=1,IF($A923&lt;VLOOKUP(R$5,NFI,5,0),1,0)*Table_NFI[[#This Row],[Winter Clothes Adult]],Table_NFI[Winter Clothes Adult])</f>
        <v>0</v>
      </c>
      <c r="AJ923" s="352">
        <f>IF(NFI_Expiration=1,IF($A923&lt;VLOOKUP(S$5,NFI,5,0),1,0)*Table_NFI[[#This Row],[Winter Clothes Children]],Table_NFI[Winter Clothes Children])</f>
        <v>0</v>
      </c>
      <c r="AK923" s="352">
        <f>IF(NFI_Expiration=1,IF($A923&lt;VLOOKUP(T$5,NFI,5,0),1,0)*Table_NFI[[#This Row],[Winter Items Other]],Table_NFI[Winter Items Other])</f>
        <v>0</v>
      </c>
      <c r="AL923" s="352">
        <f>IF(NFI_Expiration=1,IF($A923&lt;VLOOKUP(M$5,NFI,5,0),1,0)*Table_NFI[[#This Row],[Winter Blanket]],Table_NFI[[#This Row],[Winter Blanket]])</f>
        <v>0</v>
      </c>
      <c r="AM923" s="352">
        <f>IF(Table_NFI[[#This Row],[Winter Clothes Adult]]+Table_NFI[[#This Row],[Winter Clothes Children]]+Table_NFI[[#This Row],[Winter Items Other]]+Table_NFI[[#This Row],[Winter Blanket]]&gt;0,1,0)</f>
        <v>1</v>
      </c>
      <c r="AN923" s="392">
        <f>IF(NFI_Expiration=1,IF($A923&lt;VLOOKUP(V$5,NFI,5,0),1,0)*Table_NFI[[#This Row],[Jerry Can]],Table_NFI[Jerry Can])</f>
        <v>0</v>
      </c>
      <c r="AO923" s="540" t="str">
        <f>IFERROR(VLOOKUP(Table_NFI[[#This Row],[Camp Name]],CL,2,0),"")</f>
        <v>MMR001CMP068</v>
      </c>
      <c r="AP923" s="535">
        <f ca="1">IF(Table_NFI[[#This Row],[Pcode]]="","",IF(OFFSET(CampList[Opening Date],MATCH(Table_NFI[[#This Row],[Pcode]],CampList[CP_Pcode],0)-1,0,1,1)&gt;=NFI_Monitor_Date,1,0))</f>
        <v>0</v>
      </c>
      <c r="AQ923" s="540" t="str">
        <f>IFERROR(VLOOKUP(Table_NFI[[#This Row],[Camp Name]],CL,3,0),"")</f>
        <v>Open</v>
      </c>
      <c r="AR923" s="352" t="str">
        <f ca="1">IF(Table_NFI[[#This Row],[Pcode]]="","",OFFSET(CampList[Priority],MATCH(Table_NFI[[#This Row],[Pcode]],CampList[CP_Pcode],0)-1,0,1,1))</f>
        <v>P4</v>
      </c>
      <c r="AS923" s="351">
        <f>IFERROR(Table_NFI[[#This Row],[Kitchen Set]]/VLOOKUP(Table_NFI[[#This Row],[Camp Name]],CL,4,0),"")</f>
        <v>0</v>
      </c>
      <c r="AT923" s="533"/>
      <c r="AU923" s="536"/>
    </row>
    <row r="924" spans="1:47" ht="14.45" hidden="1" customHeight="1" x14ac:dyDescent="0.25">
      <c r="A924" s="355">
        <f t="shared" si="14"/>
        <v>32.1</v>
      </c>
      <c r="B924" s="532">
        <v>41608</v>
      </c>
      <c r="C924" s="533" t="s">
        <v>1099</v>
      </c>
      <c r="D924" s="534" t="s">
        <v>946</v>
      </c>
      <c r="E924" s="533" t="s">
        <v>380</v>
      </c>
      <c r="F924" s="348" t="s">
        <v>302</v>
      </c>
      <c r="G924" s="348" t="s">
        <v>308</v>
      </c>
      <c r="H924" s="349"/>
      <c r="I924" s="349"/>
      <c r="J924" s="349"/>
      <c r="K924" s="349"/>
      <c r="L924" s="350"/>
      <c r="M924" s="350">
        <v>142</v>
      </c>
      <c r="N924" s="350"/>
      <c r="O924" s="350"/>
      <c r="P924" s="352"/>
      <c r="Q924" s="352"/>
      <c r="R924" s="352">
        <v>182</v>
      </c>
      <c r="S924" s="352">
        <v>60</v>
      </c>
      <c r="T924" s="352">
        <v>0</v>
      </c>
      <c r="U924" s="352"/>
      <c r="V924" s="497"/>
      <c r="W924" s="352"/>
      <c r="X924" s="352"/>
      <c r="Y924" s="352">
        <f>IF(NFI_Expiration=1,IF($A924&lt;VLOOKUP(H$5,NFI,5,0),1,0)*Table_NFI[[#This Row],[Hygiene Kit]],Table_NFI[Hygiene Kit])</f>
        <v>0</v>
      </c>
      <c r="Z924" s="352">
        <f>IF(NFI_Expiration=1,IF($A924&lt;VLOOKUP(I$5,NFI,5,0),1,0)*Table_NFI[[#This Row],[NFI Core Kit]],Table_NFI[NFI Core Kit])</f>
        <v>0</v>
      </c>
      <c r="AA924" s="352">
        <f>IF(NFI_Expiration=1,IF($A924&lt;VLOOKUP(J$5,NFI,5,0),1,0)*Table_NFI[[#This Row],[Sanitary Kit]],Table_NFI[Sanitary Kit])</f>
        <v>0</v>
      </c>
      <c r="AB924" s="352">
        <f>IF(NFI_Expiration=1,IF($A924&lt;VLOOKUP(K$5,NFI,5,0),1,0)*Table_NFI[[#This Row],[Mosquito net]],Table_NFI[Mosquito net])</f>
        <v>0</v>
      </c>
      <c r="AC924" s="352">
        <f>IF(NFI_Expiration=1,IF($A924&lt;VLOOKUP(L$5,NFI,5,0),1,0)*Table_NFI[[#This Row],[Tarpaulin]],Table_NFI[[#This Row],[Tarpaulin]])</f>
        <v>0</v>
      </c>
      <c r="AD924" s="352">
        <f>IF(NFI_Expiration=1,IF($A924&lt;VLOOKUP(M$5,NFI,5,0),1,0)*Table_NFI[[#This Row],[Blanket]],Table_NFI[[#This Row],[Blanket]])</f>
        <v>0</v>
      </c>
      <c r="AE924" s="352">
        <f>IF(NFI_Expiration=1,IF($A924&lt;VLOOKUP(N$5,NFI,5,0),1,0)*Table_NFI[[#This Row],[Kitchen Set]],Table_NFI[Kitchen Set])</f>
        <v>0</v>
      </c>
      <c r="AF924" s="352">
        <f>IF(NFI_Expiration=1,IF($A924&lt;VLOOKUP(O$5,NFI,5,0),1,0)*Table_NFI[[#This Row],[Clothes Kit]],Table_NFI[Clothes Kit])</f>
        <v>0</v>
      </c>
      <c r="AG924" s="352">
        <f>IF(NFI_Expiration=1,IF($A924&lt;VLOOKUP(P$5,NFI,5,0),1,0)*Table_NFI[[#This Row],[Plastic Bucket]],Table_NFI[Plastic Bucket])</f>
        <v>0</v>
      </c>
      <c r="AH924" s="352">
        <f>IF(NFI_Expiration=1,IF($A924&lt;VLOOKUP(Q$5,NFI,5,0),1,0)*Table_NFI[[#This Row],[Plastic Mat]],Table_NFI[Plastic Mat])*IF(Table_NFI[[#This Row],[Distribution Date]]&gt;"2014-04-01",1,2.5)</f>
        <v>0</v>
      </c>
      <c r="AI924" s="352">
        <f>IF(NFI_Expiration=1,IF($A924&lt;VLOOKUP(R$5,NFI,5,0),1,0)*Table_NFI[[#This Row],[Winter Clothes Adult]],Table_NFI[Winter Clothes Adult])</f>
        <v>0</v>
      </c>
      <c r="AJ924" s="352">
        <f>IF(NFI_Expiration=1,IF($A924&lt;VLOOKUP(S$5,NFI,5,0),1,0)*Table_NFI[[#This Row],[Winter Clothes Children]],Table_NFI[Winter Clothes Children])</f>
        <v>0</v>
      </c>
      <c r="AK924" s="352">
        <f>IF(NFI_Expiration=1,IF($A924&lt;VLOOKUP(T$5,NFI,5,0),1,0)*Table_NFI[[#This Row],[Winter Items Other]],Table_NFI[Winter Items Other])</f>
        <v>0</v>
      </c>
      <c r="AL924" s="352">
        <f>IF(NFI_Expiration=1,IF($A924&lt;VLOOKUP(M$5,NFI,5,0),1,0)*Table_NFI[[#This Row],[Winter Blanket]],Table_NFI[[#This Row],[Winter Blanket]])</f>
        <v>0</v>
      </c>
      <c r="AM924" s="352">
        <f>IF(Table_NFI[[#This Row],[Winter Clothes Adult]]+Table_NFI[[#This Row],[Winter Clothes Children]]+Table_NFI[[#This Row],[Winter Items Other]]+Table_NFI[[#This Row],[Winter Blanket]]&gt;0,1,0)</f>
        <v>1</v>
      </c>
      <c r="AN924" s="392">
        <f>IF(NFI_Expiration=1,IF($A924&lt;VLOOKUP(V$5,NFI,5,0),1,0)*Table_NFI[[#This Row],[Jerry Can]],Table_NFI[Jerry Can])</f>
        <v>0</v>
      </c>
      <c r="AO924" s="540" t="str">
        <f>IFERROR(VLOOKUP(Table_NFI[[#This Row],[Camp Name]],CL,2,0),"")</f>
        <v>MMR001CMP068</v>
      </c>
      <c r="AP924" s="535">
        <f ca="1">IF(Table_NFI[[#This Row],[Pcode]]="","",IF(OFFSET(CampList[Opening Date],MATCH(Table_NFI[[#This Row],[Pcode]],CampList[CP_Pcode],0)-1,0,1,1)&gt;=NFI_Monitor_Date,1,0))</f>
        <v>0</v>
      </c>
      <c r="AQ924" s="540" t="str">
        <f>IFERROR(VLOOKUP(Table_NFI[[#This Row],[Camp Name]],CL,3,0),"")</f>
        <v>Open</v>
      </c>
      <c r="AR924" s="352" t="str">
        <f ca="1">IF(Table_NFI[[#This Row],[Pcode]]="","",OFFSET(CampList[Priority],MATCH(Table_NFI[[#This Row],[Pcode]],CampList[CP_Pcode],0)-1,0,1,1))</f>
        <v>P4</v>
      </c>
      <c r="AS924" s="351">
        <f>IFERROR(Table_NFI[[#This Row],[Kitchen Set]]/VLOOKUP(Table_NFI[[#This Row],[Camp Name]],CL,4,0),"")</f>
        <v>0</v>
      </c>
      <c r="AT924" s="533" t="s">
        <v>1094</v>
      </c>
      <c r="AU924" s="536"/>
    </row>
    <row r="925" spans="1:47" hidden="1" x14ac:dyDescent="0.25">
      <c r="A925" s="355">
        <f t="shared" si="14"/>
        <v>32.1</v>
      </c>
      <c r="B925" s="532">
        <v>41608</v>
      </c>
      <c r="C925" s="533" t="s">
        <v>907</v>
      </c>
      <c r="D925" s="533"/>
      <c r="E925" s="533" t="s">
        <v>380</v>
      </c>
      <c r="F925" s="348" t="s">
        <v>302</v>
      </c>
      <c r="G925" s="348" t="s">
        <v>308</v>
      </c>
      <c r="H925" s="349"/>
      <c r="I925" s="349"/>
      <c r="J925" s="349"/>
      <c r="K925" s="349"/>
      <c r="L925" s="350"/>
      <c r="M925" s="350"/>
      <c r="N925" s="350"/>
      <c r="O925" s="350"/>
      <c r="P925" s="352"/>
      <c r="Q925" s="352">
        <v>126</v>
      </c>
      <c r="R925" s="352"/>
      <c r="S925" s="352"/>
      <c r="T925" s="352"/>
      <c r="U925" s="352"/>
      <c r="V925" s="497"/>
      <c r="W925" s="352"/>
      <c r="X925" s="352"/>
      <c r="Y925" s="352">
        <f>IF(NFI_Expiration=1,IF($A925&lt;VLOOKUP(H$5,NFI,5,0),1,0)*Table_NFI[[#This Row],[Hygiene Kit]],Table_NFI[Hygiene Kit])</f>
        <v>0</v>
      </c>
      <c r="Z925" s="352">
        <f>IF(NFI_Expiration=1,IF($A925&lt;VLOOKUP(I$5,NFI,5,0),1,0)*Table_NFI[[#This Row],[NFI Core Kit]],Table_NFI[NFI Core Kit])</f>
        <v>0</v>
      </c>
      <c r="AA925" s="352">
        <f>IF(NFI_Expiration=1,IF($A925&lt;VLOOKUP(J$5,NFI,5,0),1,0)*Table_NFI[[#This Row],[Sanitary Kit]],Table_NFI[Sanitary Kit])</f>
        <v>0</v>
      </c>
      <c r="AB925" s="352">
        <f>IF(NFI_Expiration=1,IF($A925&lt;VLOOKUP(K$5,NFI,5,0),1,0)*Table_NFI[[#This Row],[Mosquito net]],Table_NFI[Mosquito net])</f>
        <v>0</v>
      </c>
      <c r="AC925" s="352">
        <f>IF(NFI_Expiration=1,IF($A925&lt;VLOOKUP(L$5,NFI,5,0),1,0)*Table_NFI[[#This Row],[Tarpaulin]],Table_NFI[[#This Row],[Tarpaulin]])</f>
        <v>0</v>
      </c>
      <c r="AD925" s="352">
        <f>IF(NFI_Expiration=1,IF($A925&lt;VLOOKUP(M$5,NFI,5,0),1,0)*Table_NFI[[#This Row],[Blanket]],Table_NFI[[#This Row],[Blanket]])</f>
        <v>0</v>
      </c>
      <c r="AE925" s="352">
        <f>IF(NFI_Expiration=1,IF($A925&lt;VLOOKUP(N$5,NFI,5,0),1,0)*Table_NFI[[#This Row],[Kitchen Set]],Table_NFI[Kitchen Set])</f>
        <v>0</v>
      </c>
      <c r="AF925" s="352">
        <f>IF(NFI_Expiration=1,IF($A925&lt;VLOOKUP(O$5,NFI,5,0),1,0)*Table_NFI[[#This Row],[Clothes Kit]],Table_NFI[Clothes Kit])</f>
        <v>0</v>
      </c>
      <c r="AG925" s="352">
        <f>IF(NFI_Expiration=1,IF($A925&lt;VLOOKUP(P$5,NFI,5,0),1,0)*Table_NFI[[#This Row],[Plastic Bucket]],Table_NFI[Plastic Bucket])</f>
        <v>0</v>
      </c>
      <c r="AH925" s="352">
        <f>IF(NFI_Expiration=1,IF($A925&lt;VLOOKUP(Q$5,NFI,5,0),1,0)*Table_NFI[[#This Row],[Plastic Mat]],Table_NFI[Plastic Mat])*IF(Table_NFI[[#This Row],[Distribution Date]]&gt;"2014-04-01",1,2.5)</f>
        <v>0</v>
      </c>
      <c r="AI925" s="352">
        <f>IF(NFI_Expiration=1,IF($A925&lt;VLOOKUP(R$5,NFI,5,0),1,0)*Table_NFI[[#This Row],[Winter Clothes Adult]],Table_NFI[Winter Clothes Adult])</f>
        <v>0</v>
      </c>
      <c r="AJ925" s="352">
        <f>IF(NFI_Expiration=1,IF($A925&lt;VLOOKUP(S$5,NFI,5,0),1,0)*Table_NFI[[#This Row],[Winter Clothes Children]],Table_NFI[Winter Clothes Children])</f>
        <v>0</v>
      </c>
      <c r="AK925" s="352">
        <f>IF(NFI_Expiration=1,IF($A925&lt;VLOOKUP(T$5,NFI,5,0),1,0)*Table_NFI[[#This Row],[Winter Items Other]],Table_NFI[Winter Items Other])</f>
        <v>0</v>
      </c>
      <c r="AL925" s="352">
        <f>IF(NFI_Expiration=1,IF($A925&lt;VLOOKUP(M$5,NFI,5,0),1,0)*Table_NFI[[#This Row],[Winter Blanket]],Table_NFI[[#This Row],[Winter Blanket]])</f>
        <v>0</v>
      </c>
      <c r="AM925" s="352">
        <f>IF(Table_NFI[[#This Row],[Winter Clothes Adult]]+Table_NFI[[#This Row],[Winter Clothes Children]]+Table_NFI[[#This Row],[Winter Items Other]]+Table_NFI[[#This Row],[Winter Blanket]]&gt;0,1,0)</f>
        <v>0</v>
      </c>
      <c r="AN925" s="392">
        <f>IF(NFI_Expiration=1,IF($A925&lt;VLOOKUP(V$5,NFI,5,0),1,0)*Table_NFI[[#This Row],[Jerry Can]],Table_NFI[Jerry Can])</f>
        <v>0</v>
      </c>
      <c r="AO925" s="540" t="str">
        <f>IFERROR(VLOOKUP(Table_NFI[[#This Row],[Camp Name]],CL,2,0),"")</f>
        <v>MMR001CMP068</v>
      </c>
      <c r="AP925" s="535">
        <f ca="1">IF(Table_NFI[[#This Row],[Pcode]]="","",IF(OFFSET(CampList[Opening Date],MATCH(Table_NFI[[#This Row],[Pcode]],CampList[CP_Pcode],0)-1,0,1,1)&gt;=NFI_Monitor_Date,1,0))</f>
        <v>0</v>
      </c>
      <c r="AQ925" s="540" t="str">
        <f>IFERROR(VLOOKUP(Table_NFI[[#This Row],[Camp Name]],CL,3,0),"")</f>
        <v>Open</v>
      </c>
      <c r="AR925" s="352" t="str">
        <f ca="1">IF(Table_NFI[[#This Row],[Pcode]]="","",OFFSET(CampList[Priority],MATCH(Table_NFI[[#This Row],[Pcode]],CampList[CP_Pcode],0)-1,0,1,1))</f>
        <v>P4</v>
      </c>
      <c r="AS925" s="351">
        <f>IFERROR(Table_NFI[[#This Row],[Kitchen Set]]/VLOOKUP(Table_NFI[[#This Row],[Camp Name]],CL,4,0),"")</f>
        <v>0</v>
      </c>
      <c r="AT925" s="533" t="s">
        <v>1094</v>
      </c>
      <c r="AU925" s="536"/>
    </row>
    <row r="926" spans="1:47" hidden="1" x14ac:dyDescent="0.25">
      <c r="A926" s="355">
        <f t="shared" si="14"/>
        <v>52.9</v>
      </c>
      <c r="B926" s="532">
        <v>40984</v>
      </c>
      <c r="C926" s="533" t="s">
        <v>907</v>
      </c>
      <c r="D926" s="533" t="s">
        <v>1004</v>
      </c>
      <c r="E926" s="533" t="s">
        <v>380</v>
      </c>
      <c r="F926" s="348" t="s">
        <v>302</v>
      </c>
      <c r="G926" s="348" t="s">
        <v>308</v>
      </c>
      <c r="H926" s="352">
        <v>49</v>
      </c>
      <c r="I926" s="349"/>
      <c r="J926" s="349"/>
      <c r="K926" s="349"/>
      <c r="L926" s="350"/>
      <c r="M926" s="350"/>
      <c r="N926" s="350"/>
      <c r="O926" s="350"/>
      <c r="P926" s="352"/>
      <c r="Q926" s="352"/>
      <c r="R926" s="352"/>
      <c r="S926" s="352"/>
      <c r="T926" s="352"/>
      <c r="U926" s="352"/>
      <c r="V926" s="497"/>
      <c r="W926" s="352"/>
      <c r="X926" s="352"/>
      <c r="Y926" s="352">
        <f>IF(NFI_Expiration=1,IF($A926&lt;VLOOKUP(H$5,NFI,5,0),1,0)*Table_NFI[[#This Row],[Hygiene Kit]],Table_NFI[Hygiene Kit])</f>
        <v>0</v>
      </c>
      <c r="Z926" s="352">
        <f>IF(NFI_Expiration=1,IF($A926&lt;VLOOKUP(I$5,NFI,5,0),1,0)*Table_NFI[[#This Row],[NFI Core Kit]],Table_NFI[NFI Core Kit])</f>
        <v>0</v>
      </c>
      <c r="AA926" s="352">
        <f>IF(NFI_Expiration=1,IF($A926&lt;VLOOKUP(J$5,NFI,5,0),1,0)*Table_NFI[[#This Row],[Sanitary Kit]],Table_NFI[Sanitary Kit])</f>
        <v>0</v>
      </c>
      <c r="AB926" s="352">
        <f>IF(NFI_Expiration=1,IF($A926&lt;VLOOKUP(K$5,NFI,5,0),1,0)*Table_NFI[[#This Row],[Mosquito net]],Table_NFI[Mosquito net])</f>
        <v>0</v>
      </c>
      <c r="AC926" s="352">
        <f>IF(NFI_Expiration=1,IF($A926&lt;VLOOKUP(L$5,NFI,5,0),1,0)*Table_NFI[[#This Row],[Tarpaulin]],Table_NFI[[#This Row],[Tarpaulin]])</f>
        <v>0</v>
      </c>
      <c r="AD926" s="352">
        <f>IF(NFI_Expiration=1,IF($A926&lt;VLOOKUP(M$5,NFI,5,0),1,0)*Table_NFI[[#This Row],[Blanket]],Table_NFI[[#This Row],[Blanket]])</f>
        <v>0</v>
      </c>
      <c r="AE926" s="352">
        <f>IF(NFI_Expiration=1,IF($A926&lt;VLOOKUP(N$5,NFI,5,0),1,0)*Table_NFI[[#This Row],[Kitchen Set]],Table_NFI[Kitchen Set])</f>
        <v>0</v>
      </c>
      <c r="AF926" s="352">
        <f>IF(NFI_Expiration=1,IF($A926&lt;VLOOKUP(O$5,NFI,5,0),1,0)*Table_NFI[[#This Row],[Clothes Kit]],Table_NFI[Clothes Kit])</f>
        <v>0</v>
      </c>
      <c r="AG926" s="352">
        <f>IF(NFI_Expiration=1,IF($A926&lt;VLOOKUP(P$5,NFI,5,0),1,0)*Table_NFI[[#This Row],[Plastic Bucket]],Table_NFI[Plastic Bucket])</f>
        <v>0</v>
      </c>
      <c r="AH926" s="352">
        <f>IF(NFI_Expiration=1,IF($A926&lt;VLOOKUP(Q$5,NFI,5,0),1,0)*Table_NFI[[#This Row],[Plastic Mat]],Table_NFI[Plastic Mat])*IF(Table_NFI[[#This Row],[Distribution Date]]&gt;"2014-04-01",1,2.5)</f>
        <v>0</v>
      </c>
      <c r="AI926" s="352">
        <f>IF(NFI_Expiration=1,IF($A926&lt;VLOOKUP(R$5,NFI,5,0),1,0)*Table_NFI[[#This Row],[Winter Clothes Adult]],Table_NFI[Winter Clothes Adult])</f>
        <v>0</v>
      </c>
      <c r="AJ926" s="352">
        <f>IF(NFI_Expiration=1,IF($A926&lt;VLOOKUP(S$5,NFI,5,0),1,0)*Table_NFI[[#This Row],[Winter Clothes Children]],Table_NFI[Winter Clothes Children])</f>
        <v>0</v>
      </c>
      <c r="AK926" s="352">
        <f>IF(NFI_Expiration=1,IF($A926&lt;VLOOKUP(T$5,NFI,5,0),1,0)*Table_NFI[[#This Row],[Winter Items Other]],Table_NFI[Winter Items Other])</f>
        <v>0</v>
      </c>
      <c r="AL926" s="352">
        <f>IF(NFI_Expiration=1,IF($A926&lt;VLOOKUP(M$5,NFI,5,0),1,0)*Table_NFI[[#This Row],[Winter Blanket]],Table_NFI[[#This Row],[Winter Blanket]])</f>
        <v>0</v>
      </c>
      <c r="AM926" s="352">
        <f>IF(Table_NFI[[#This Row],[Winter Clothes Adult]]+Table_NFI[[#This Row],[Winter Clothes Children]]+Table_NFI[[#This Row],[Winter Items Other]]+Table_NFI[[#This Row],[Winter Blanket]]&gt;0,1,0)</f>
        <v>0</v>
      </c>
      <c r="AN926" s="392">
        <f>IF(NFI_Expiration=1,IF($A926&lt;VLOOKUP(V$5,NFI,5,0),1,0)*Table_NFI[[#This Row],[Jerry Can]],Table_NFI[Jerry Can])</f>
        <v>0</v>
      </c>
      <c r="AO926" s="540" t="str">
        <f>IFERROR(VLOOKUP(Table_NFI[[#This Row],[Camp Name]],CL,2,0),"")</f>
        <v>MMR001CMP068</v>
      </c>
      <c r="AP926" s="535">
        <f ca="1">IF(Table_NFI[[#This Row],[Pcode]]="","",IF(OFFSET(CampList[Opening Date],MATCH(Table_NFI[[#This Row],[Pcode]],CampList[CP_Pcode],0)-1,0,1,1)&gt;=NFI_Monitor_Date,1,0))</f>
        <v>0</v>
      </c>
      <c r="AQ926" s="540" t="str">
        <f>IFERROR(VLOOKUP(Table_NFI[[#This Row],[Camp Name]],CL,3,0),"")</f>
        <v>Open</v>
      </c>
      <c r="AR926" s="352" t="str">
        <f ca="1">IF(Table_NFI[[#This Row],[Pcode]]="","",OFFSET(CampList[Priority],MATCH(Table_NFI[[#This Row],[Pcode]],CampList[CP_Pcode],0)-1,0,1,1))</f>
        <v>P4</v>
      </c>
      <c r="AS926" s="351">
        <f>IFERROR(Table_NFI[[#This Row],[Kitchen Set]]/VLOOKUP(Table_NFI[[#This Row],[Camp Name]],CL,4,0),"")</f>
        <v>0</v>
      </c>
      <c r="AT926" s="533"/>
      <c r="AU926" s="536"/>
    </row>
    <row r="927" spans="1:47" hidden="1" x14ac:dyDescent="0.25">
      <c r="A927" s="355">
        <f t="shared" si="14"/>
        <v>46.7</v>
      </c>
      <c r="B927" s="532">
        <v>41170</v>
      </c>
      <c r="C927" s="533" t="s">
        <v>907</v>
      </c>
      <c r="D927" s="533" t="s">
        <v>1004</v>
      </c>
      <c r="E927" s="533" t="s">
        <v>380</v>
      </c>
      <c r="F927" s="348" t="s">
        <v>302</v>
      </c>
      <c r="G927" s="348" t="s">
        <v>308</v>
      </c>
      <c r="H927" s="352">
        <v>59</v>
      </c>
      <c r="I927" s="349"/>
      <c r="J927" s="349"/>
      <c r="K927" s="349"/>
      <c r="L927" s="350"/>
      <c r="M927" s="350"/>
      <c r="N927" s="350"/>
      <c r="O927" s="350"/>
      <c r="P927" s="352"/>
      <c r="Q927" s="392"/>
      <c r="R927" s="392"/>
      <c r="S927" s="392"/>
      <c r="T927" s="392"/>
      <c r="U927" s="392"/>
      <c r="V927" s="497"/>
      <c r="W927" s="392"/>
      <c r="X927" s="392"/>
      <c r="Y927" s="352">
        <f>IF(NFI_Expiration=1,IF($A927&lt;VLOOKUP(H$5,NFI,5,0),1,0)*Table_NFI[[#This Row],[Hygiene Kit]],Table_NFI[Hygiene Kit])</f>
        <v>0</v>
      </c>
      <c r="Z927" s="352">
        <f>IF(NFI_Expiration=1,IF($A927&lt;VLOOKUP(I$5,NFI,5,0),1,0)*Table_NFI[[#This Row],[NFI Core Kit]],Table_NFI[NFI Core Kit])</f>
        <v>0</v>
      </c>
      <c r="AA927" s="352">
        <f>IF(NFI_Expiration=1,IF($A927&lt;VLOOKUP(J$5,NFI,5,0),1,0)*Table_NFI[[#This Row],[Sanitary Kit]],Table_NFI[Sanitary Kit])</f>
        <v>0</v>
      </c>
      <c r="AB927" s="352">
        <f>IF(NFI_Expiration=1,IF($A927&lt;VLOOKUP(K$5,NFI,5,0),1,0)*Table_NFI[[#This Row],[Mosquito net]],Table_NFI[Mosquito net])</f>
        <v>0</v>
      </c>
      <c r="AC927" s="352">
        <f>IF(NFI_Expiration=1,IF($A927&lt;VLOOKUP(L$5,NFI,5,0),1,0)*Table_NFI[[#This Row],[Tarpaulin]],Table_NFI[[#This Row],[Tarpaulin]])</f>
        <v>0</v>
      </c>
      <c r="AD927" s="352">
        <f>IF(NFI_Expiration=1,IF($A927&lt;VLOOKUP(M$5,NFI,5,0),1,0)*Table_NFI[[#This Row],[Blanket]],Table_NFI[[#This Row],[Blanket]])</f>
        <v>0</v>
      </c>
      <c r="AE927" s="352">
        <f>IF(NFI_Expiration=1,IF($A927&lt;VLOOKUP(N$5,NFI,5,0),1,0)*Table_NFI[[#This Row],[Kitchen Set]],Table_NFI[Kitchen Set])</f>
        <v>0</v>
      </c>
      <c r="AF927" s="352">
        <f>IF(NFI_Expiration=1,IF($A927&lt;VLOOKUP(O$5,NFI,5,0),1,0)*Table_NFI[[#This Row],[Clothes Kit]],Table_NFI[Clothes Kit])</f>
        <v>0</v>
      </c>
      <c r="AG927" s="352">
        <f>IF(NFI_Expiration=1,IF($A927&lt;VLOOKUP(P$5,NFI,5,0),1,0)*Table_NFI[[#This Row],[Plastic Bucket]],Table_NFI[Plastic Bucket])</f>
        <v>0</v>
      </c>
      <c r="AH927" s="352">
        <f>IF(NFI_Expiration=1,IF($A927&lt;VLOOKUP(Q$5,NFI,5,0),1,0)*Table_NFI[[#This Row],[Plastic Mat]],Table_NFI[Plastic Mat])*IF(Table_NFI[[#This Row],[Distribution Date]]&gt;"2014-04-01",1,2.5)</f>
        <v>0</v>
      </c>
      <c r="AI927" s="352">
        <f>IF(NFI_Expiration=1,IF($A927&lt;VLOOKUP(R$5,NFI,5,0),1,0)*Table_NFI[[#This Row],[Winter Clothes Adult]],Table_NFI[Winter Clothes Adult])</f>
        <v>0</v>
      </c>
      <c r="AJ927" s="352">
        <f>IF(NFI_Expiration=1,IF($A927&lt;VLOOKUP(S$5,NFI,5,0),1,0)*Table_NFI[[#This Row],[Winter Clothes Children]],Table_NFI[Winter Clothes Children])</f>
        <v>0</v>
      </c>
      <c r="AK927" s="352">
        <f>IF(NFI_Expiration=1,IF($A927&lt;VLOOKUP(T$5,NFI,5,0),1,0)*Table_NFI[[#This Row],[Winter Items Other]],Table_NFI[Winter Items Other])</f>
        <v>0</v>
      </c>
      <c r="AL927" s="352">
        <f>IF(NFI_Expiration=1,IF($A927&lt;VLOOKUP(M$5,NFI,5,0),1,0)*Table_NFI[[#This Row],[Winter Blanket]],Table_NFI[[#This Row],[Winter Blanket]])</f>
        <v>0</v>
      </c>
      <c r="AM927" s="352">
        <f>IF(Table_NFI[[#This Row],[Winter Clothes Adult]]+Table_NFI[[#This Row],[Winter Clothes Children]]+Table_NFI[[#This Row],[Winter Items Other]]+Table_NFI[[#This Row],[Winter Blanket]]&gt;0,1,0)</f>
        <v>0</v>
      </c>
      <c r="AN927" s="392">
        <f>IF(NFI_Expiration=1,IF($A927&lt;VLOOKUP(V$5,NFI,5,0),1,0)*Table_NFI[[#This Row],[Jerry Can]],Table_NFI[Jerry Can])</f>
        <v>0</v>
      </c>
      <c r="AO927" s="540" t="str">
        <f>IFERROR(VLOOKUP(Table_NFI[[#This Row],[Camp Name]],CL,2,0),"")</f>
        <v>MMR001CMP068</v>
      </c>
      <c r="AP927" s="535">
        <f ca="1">IF(Table_NFI[[#This Row],[Pcode]]="","",IF(OFFSET(CampList[Opening Date],MATCH(Table_NFI[[#This Row],[Pcode]],CampList[CP_Pcode],0)-1,0,1,1)&gt;=NFI_Monitor_Date,1,0))</f>
        <v>0</v>
      </c>
      <c r="AQ927" s="540" t="str">
        <f>IFERROR(VLOOKUP(Table_NFI[[#This Row],[Camp Name]],CL,3,0),"")</f>
        <v>Open</v>
      </c>
      <c r="AR927" s="352" t="str">
        <f ca="1">IF(Table_NFI[[#This Row],[Pcode]]="","",OFFSET(CampList[Priority],MATCH(Table_NFI[[#This Row],[Pcode]],CampList[CP_Pcode],0)-1,0,1,1))</f>
        <v>P4</v>
      </c>
      <c r="AS927" s="351">
        <f>IFERROR(Table_NFI[[#This Row],[Kitchen Set]]/VLOOKUP(Table_NFI[[#This Row],[Camp Name]],CL,4,0),"")</f>
        <v>0</v>
      </c>
      <c r="AT927" s="533"/>
      <c r="AU927" s="536"/>
    </row>
    <row r="928" spans="1:47" hidden="1" x14ac:dyDescent="0.25">
      <c r="A928" s="355">
        <f t="shared" si="14"/>
        <v>42.266666666666666</v>
      </c>
      <c r="B928" s="532">
        <v>41303</v>
      </c>
      <c r="C928" s="533" t="s">
        <v>907</v>
      </c>
      <c r="D928" s="534" t="s">
        <v>1004</v>
      </c>
      <c r="E928" s="533" t="s">
        <v>380</v>
      </c>
      <c r="F928" s="348" t="s">
        <v>302</v>
      </c>
      <c r="G928" s="348" t="s">
        <v>308</v>
      </c>
      <c r="H928" s="349">
        <v>177</v>
      </c>
      <c r="I928" s="349"/>
      <c r="J928" s="349"/>
      <c r="K928" s="349"/>
      <c r="L928" s="350"/>
      <c r="M928" s="350"/>
      <c r="N928" s="350"/>
      <c r="O928" s="350"/>
      <c r="P928" s="352">
        <v>0</v>
      </c>
      <c r="Q928" s="352">
        <v>0</v>
      </c>
      <c r="R928" s="352"/>
      <c r="S928" s="352"/>
      <c r="T928" s="352"/>
      <c r="U928" s="352"/>
      <c r="V928" s="497"/>
      <c r="W928" s="352"/>
      <c r="X928" s="352"/>
      <c r="Y928" s="352">
        <f>IF(NFI_Expiration=1,IF($A928&lt;VLOOKUP(H$5,NFI,5,0),1,0)*Table_NFI[[#This Row],[Hygiene Kit]],Table_NFI[Hygiene Kit])</f>
        <v>0</v>
      </c>
      <c r="Z928" s="352">
        <f>IF(NFI_Expiration=1,IF($A928&lt;VLOOKUP(I$5,NFI,5,0),1,0)*Table_NFI[[#This Row],[NFI Core Kit]],Table_NFI[NFI Core Kit])</f>
        <v>0</v>
      </c>
      <c r="AA928" s="352">
        <f>IF(NFI_Expiration=1,IF($A928&lt;VLOOKUP(J$5,NFI,5,0),1,0)*Table_NFI[[#This Row],[Sanitary Kit]],Table_NFI[Sanitary Kit])</f>
        <v>0</v>
      </c>
      <c r="AB928" s="352">
        <f>IF(NFI_Expiration=1,IF($A928&lt;VLOOKUP(K$5,NFI,5,0),1,0)*Table_NFI[[#This Row],[Mosquito net]],Table_NFI[Mosquito net])</f>
        <v>0</v>
      </c>
      <c r="AC928" s="352">
        <f>IF(NFI_Expiration=1,IF($A928&lt;VLOOKUP(L$5,NFI,5,0),1,0)*Table_NFI[[#This Row],[Tarpaulin]],Table_NFI[[#This Row],[Tarpaulin]])</f>
        <v>0</v>
      </c>
      <c r="AD928" s="352">
        <f>IF(NFI_Expiration=1,IF($A928&lt;VLOOKUP(M$5,NFI,5,0),1,0)*Table_NFI[[#This Row],[Blanket]],Table_NFI[[#This Row],[Blanket]])</f>
        <v>0</v>
      </c>
      <c r="AE928" s="352">
        <f>IF(NFI_Expiration=1,IF($A928&lt;VLOOKUP(N$5,NFI,5,0),1,0)*Table_NFI[[#This Row],[Kitchen Set]],Table_NFI[Kitchen Set])</f>
        <v>0</v>
      </c>
      <c r="AF928" s="352">
        <f>IF(NFI_Expiration=1,IF($A928&lt;VLOOKUP(O$5,NFI,5,0),1,0)*Table_NFI[[#This Row],[Clothes Kit]],Table_NFI[Clothes Kit])</f>
        <v>0</v>
      </c>
      <c r="AG928" s="352">
        <f>IF(NFI_Expiration=1,IF($A928&lt;VLOOKUP(P$5,NFI,5,0),1,0)*Table_NFI[[#This Row],[Plastic Bucket]],Table_NFI[Plastic Bucket])</f>
        <v>0</v>
      </c>
      <c r="AH928" s="352">
        <f>IF(NFI_Expiration=1,IF($A928&lt;VLOOKUP(Q$5,NFI,5,0),1,0)*Table_NFI[[#This Row],[Plastic Mat]],Table_NFI[Plastic Mat])*IF(Table_NFI[[#This Row],[Distribution Date]]&gt;"2014-04-01",1,2.5)</f>
        <v>0</v>
      </c>
      <c r="AI928" s="352">
        <f>IF(NFI_Expiration=1,IF($A928&lt;VLOOKUP(R$5,NFI,5,0),1,0)*Table_NFI[[#This Row],[Winter Clothes Adult]],Table_NFI[Winter Clothes Adult])</f>
        <v>0</v>
      </c>
      <c r="AJ928" s="352">
        <f>IF(NFI_Expiration=1,IF($A928&lt;VLOOKUP(S$5,NFI,5,0),1,0)*Table_NFI[[#This Row],[Winter Clothes Children]],Table_NFI[Winter Clothes Children])</f>
        <v>0</v>
      </c>
      <c r="AK928" s="352">
        <f>IF(NFI_Expiration=1,IF($A928&lt;VLOOKUP(T$5,NFI,5,0),1,0)*Table_NFI[[#This Row],[Winter Items Other]],Table_NFI[Winter Items Other])</f>
        <v>0</v>
      </c>
      <c r="AL928" s="352">
        <f>IF(NFI_Expiration=1,IF($A928&lt;VLOOKUP(M$5,NFI,5,0),1,0)*Table_NFI[[#This Row],[Winter Blanket]],Table_NFI[[#This Row],[Winter Blanket]])</f>
        <v>0</v>
      </c>
      <c r="AM928" s="352">
        <f>IF(Table_NFI[[#This Row],[Winter Clothes Adult]]+Table_NFI[[#This Row],[Winter Clothes Children]]+Table_NFI[[#This Row],[Winter Items Other]]+Table_NFI[[#This Row],[Winter Blanket]]&gt;0,1,0)</f>
        <v>0</v>
      </c>
      <c r="AN928" s="392">
        <f>IF(NFI_Expiration=1,IF($A928&lt;VLOOKUP(V$5,NFI,5,0),1,0)*Table_NFI[[#This Row],[Jerry Can]],Table_NFI[Jerry Can])</f>
        <v>0</v>
      </c>
      <c r="AO928" s="540" t="str">
        <f>IFERROR(VLOOKUP(Table_NFI[[#This Row],[Camp Name]],CL,2,0),"")</f>
        <v>MMR001CMP068</v>
      </c>
      <c r="AP928" s="535">
        <f ca="1">IF(Table_NFI[[#This Row],[Pcode]]="","",IF(OFFSET(CampList[Opening Date],MATCH(Table_NFI[[#This Row],[Pcode]],CampList[CP_Pcode],0)-1,0,1,1)&gt;=NFI_Monitor_Date,1,0))</f>
        <v>0</v>
      </c>
      <c r="AQ928" s="540" t="str">
        <f>IFERROR(VLOOKUP(Table_NFI[[#This Row],[Camp Name]],CL,3,0),"")</f>
        <v>Open</v>
      </c>
      <c r="AR928" s="352" t="str">
        <f ca="1">IF(Table_NFI[[#This Row],[Pcode]]="","",OFFSET(CampList[Priority],MATCH(Table_NFI[[#This Row],[Pcode]],CampList[CP_Pcode],0)-1,0,1,1))</f>
        <v>P4</v>
      </c>
      <c r="AS928" s="351">
        <f>IFERROR(Table_NFI[[#This Row],[Kitchen Set]]/VLOOKUP(Table_NFI[[#This Row],[Camp Name]],CL,4,0),"")</f>
        <v>0</v>
      </c>
      <c r="AT928" s="533" t="s">
        <v>1094</v>
      </c>
      <c r="AU928" s="536"/>
    </row>
    <row r="929" spans="1:47" ht="14.45" customHeight="1" x14ac:dyDescent="0.25">
      <c r="A929" s="355">
        <f t="shared" si="14"/>
        <v>52.233333333333334</v>
      </c>
      <c r="B929" s="532">
        <v>41004</v>
      </c>
      <c r="C929" s="533" t="s">
        <v>453</v>
      </c>
      <c r="D929" s="534" t="s">
        <v>453</v>
      </c>
      <c r="E929" s="533" t="s">
        <v>380</v>
      </c>
      <c r="F929" s="348" t="s">
        <v>185</v>
      </c>
      <c r="G929" s="348" t="s">
        <v>211</v>
      </c>
      <c r="H929" s="349"/>
      <c r="I929" s="349"/>
      <c r="J929" s="349"/>
      <c r="K929" s="349">
        <v>0</v>
      </c>
      <c r="L929" s="350">
        <v>50</v>
      </c>
      <c r="M929" s="350">
        <v>0</v>
      </c>
      <c r="N929" s="350">
        <v>0</v>
      </c>
      <c r="O929" s="350">
        <v>0</v>
      </c>
      <c r="P929" s="352"/>
      <c r="Q929" s="352"/>
      <c r="R929" s="352"/>
      <c r="S929" s="352"/>
      <c r="T929" s="352"/>
      <c r="U929" s="352"/>
      <c r="V929" s="497"/>
      <c r="W929" s="352"/>
      <c r="X929" s="352"/>
      <c r="Y929" s="352">
        <f>IF(NFI_Expiration=1,IF($A929&lt;VLOOKUP(H$5,NFI,5,0),1,0)*Table_NFI[[#This Row],[Hygiene Kit]],Table_NFI[Hygiene Kit])</f>
        <v>0</v>
      </c>
      <c r="Z929" s="352">
        <f>IF(NFI_Expiration=1,IF($A929&lt;VLOOKUP(I$5,NFI,5,0),1,0)*Table_NFI[[#This Row],[NFI Core Kit]],Table_NFI[NFI Core Kit])</f>
        <v>0</v>
      </c>
      <c r="AA929" s="352">
        <f>IF(NFI_Expiration=1,IF($A929&lt;VLOOKUP(J$5,NFI,5,0),1,0)*Table_NFI[[#This Row],[Sanitary Kit]],Table_NFI[Sanitary Kit])</f>
        <v>0</v>
      </c>
      <c r="AB929" s="352">
        <f>IF(NFI_Expiration=1,IF($A929&lt;VLOOKUP(K$5,NFI,5,0),1,0)*Table_NFI[[#This Row],[Mosquito net]],Table_NFI[Mosquito net])</f>
        <v>0</v>
      </c>
      <c r="AC929" s="352">
        <f>IF(NFI_Expiration=1,IF($A929&lt;VLOOKUP(L$5,NFI,5,0),1,0)*Table_NFI[[#This Row],[Tarpaulin]],Table_NFI[[#This Row],[Tarpaulin]])</f>
        <v>0</v>
      </c>
      <c r="AD929" s="352">
        <f>IF(NFI_Expiration=1,IF($A929&lt;VLOOKUP(M$5,NFI,5,0),1,0)*Table_NFI[[#This Row],[Blanket]],Table_NFI[[#This Row],[Blanket]])</f>
        <v>0</v>
      </c>
      <c r="AE929" s="352">
        <f>IF(NFI_Expiration=1,IF($A929&lt;VLOOKUP(N$5,NFI,5,0),1,0)*Table_NFI[[#This Row],[Kitchen Set]],Table_NFI[Kitchen Set])</f>
        <v>0</v>
      </c>
      <c r="AF929" s="352">
        <f>IF(NFI_Expiration=1,IF($A929&lt;VLOOKUP(O$5,NFI,5,0),1,0)*Table_NFI[[#This Row],[Clothes Kit]],Table_NFI[Clothes Kit])</f>
        <v>0</v>
      </c>
      <c r="AG929" s="352">
        <f>IF(NFI_Expiration=1,IF($A929&lt;VLOOKUP(P$5,NFI,5,0),1,0)*Table_NFI[[#This Row],[Plastic Bucket]],Table_NFI[Plastic Bucket])</f>
        <v>0</v>
      </c>
      <c r="AH929" s="352">
        <f>IF(NFI_Expiration=1,IF($A929&lt;VLOOKUP(Q$5,NFI,5,0),1,0)*Table_NFI[[#This Row],[Plastic Mat]],Table_NFI[Plastic Mat])*IF(Table_NFI[[#This Row],[Distribution Date]]&gt;"2014-04-01",1,2.5)</f>
        <v>0</v>
      </c>
      <c r="AI929" s="352">
        <f>IF(NFI_Expiration=1,IF($A929&lt;VLOOKUP(R$5,NFI,5,0),1,0)*Table_NFI[[#This Row],[Winter Clothes Adult]],Table_NFI[Winter Clothes Adult])</f>
        <v>0</v>
      </c>
      <c r="AJ929" s="352">
        <f>IF(NFI_Expiration=1,IF($A929&lt;VLOOKUP(S$5,NFI,5,0),1,0)*Table_NFI[[#This Row],[Winter Clothes Children]],Table_NFI[Winter Clothes Children])</f>
        <v>0</v>
      </c>
      <c r="AK929" s="352">
        <f>IF(NFI_Expiration=1,IF($A929&lt;VLOOKUP(T$5,NFI,5,0),1,0)*Table_NFI[[#This Row],[Winter Items Other]],Table_NFI[Winter Items Other])</f>
        <v>0</v>
      </c>
      <c r="AL929" s="352">
        <f>IF(NFI_Expiration=1,IF($A929&lt;VLOOKUP(M$5,NFI,5,0),1,0)*Table_NFI[[#This Row],[Winter Blanket]],Table_NFI[[#This Row],[Winter Blanket]])</f>
        <v>0</v>
      </c>
      <c r="AM929" s="352">
        <f>IF(Table_NFI[[#This Row],[Winter Clothes Adult]]+Table_NFI[[#This Row],[Winter Clothes Children]]+Table_NFI[[#This Row],[Winter Items Other]]+Table_NFI[[#This Row],[Winter Blanket]]&gt;0,1,0)</f>
        <v>0</v>
      </c>
      <c r="AN929" s="392">
        <f>IF(NFI_Expiration=1,IF($A929&lt;VLOOKUP(V$5,NFI,5,0),1,0)*Table_NFI[[#This Row],[Jerry Can]],Table_NFI[Jerry Can])</f>
        <v>0</v>
      </c>
      <c r="AO929" s="540" t="str">
        <f>IFERROR(VLOOKUP(Table_NFI[[#This Row],[Camp Name]],CL,2,0),"")</f>
        <v>MMR001CMP057</v>
      </c>
      <c r="AP929" s="535">
        <f ca="1">IF(Table_NFI[[#This Row],[Pcode]]="","",IF(OFFSET(CampList[Opening Date],MATCH(Table_NFI[[#This Row],[Pcode]],CampList[CP_Pcode],0)-1,0,1,1)&gt;=NFI_Monitor_Date,1,0))</f>
        <v>0</v>
      </c>
      <c r="AQ929" s="540" t="str">
        <f>IFERROR(VLOOKUP(Table_NFI[[#This Row],[Camp Name]],CL,3,0),"")</f>
        <v>Closed</v>
      </c>
      <c r="AR929" s="352" t="str">
        <f ca="1">IF(Table_NFI[[#This Row],[Pcode]]="","",OFFSET(CampList[Priority],MATCH(Table_NFI[[#This Row],[Pcode]],CampList[CP_Pcode],0)-1,0,1,1))</f>
        <v>P4</v>
      </c>
      <c r="AS929" s="351" t="str">
        <f>IFERROR(Table_NFI[[#This Row],[Kitchen Set]]/VLOOKUP(Table_NFI[[#This Row],[Camp Name]],CL,4,0),"")</f>
        <v/>
      </c>
      <c r="AT929" s="533" t="s">
        <v>1094</v>
      </c>
      <c r="AU929" s="536"/>
    </row>
    <row r="930" spans="1:47" ht="14.45" customHeight="1" x14ac:dyDescent="0.25">
      <c r="A930" s="355">
        <f t="shared" si="14"/>
        <v>52.266666666666666</v>
      </c>
      <c r="B930" s="532">
        <v>41003</v>
      </c>
      <c r="C930" s="533" t="s">
        <v>453</v>
      </c>
      <c r="D930" s="533" t="s">
        <v>453</v>
      </c>
      <c r="E930" s="533" t="s">
        <v>380</v>
      </c>
      <c r="F930" s="348" t="s">
        <v>151</v>
      </c>
      <c r="G930" s="348" t="s">
        <v>188</v>
      </c>
      <c r="H930" s="349"/>
      <c r="I930" s="349"/>
      <c r="J930" s="349"/>
      <c r="K930" s="349">
        <v>216</v>
      </c>
      <c r="L930" s="350">
        <v>108</v>
      </c>
      <c r="M930" s="350">
        <v>216</v>
      </c>
      <c r="N930" s="350">
        <v>108</v>
      </c>
      <c r="O930" s="350">
        <v>108</v>
      </c>
      <c r="P930" s="352">
        <v>108</v>
      </c>
      <c r="Q930" s="352">
        <v>108</v>
      </c>
      <c r="R930" s="352"/>
      <c r="S930" s="352"/>
      <c r="T930" s="352"/>
      <c r="U930" s="352"/>
      <c r="V930" s="497"/>
      <c r="W930" s="352"/>
      <c r="X930" s="352"/>
      <c r="Y930" s="352">
        <f>IF(NFI_Expiration=1,IF($A930&lt;VLOOKUP(H$5,NFI,5,0),1,0)*Table_NFI[[#This Row],[Hygiene Kit]],Table_NFI[Hygiene Kit])</f>
        <v>0</v>
      </c>
      <c r="Z930" s="352">
        <f>IF(NFI_Expiration=1,IF($A930&lt;VLOOKUP(I$5,NFI,5,0),1,0)*Table_NFI[[#This Row],[NFI Core Kit]],Table_NFI[NFI Core Kit])</f>
        <v>0</v>
      </c>
      <c r="AA930" s="352">
        <f>IF(NFI_Expiration=1,IF($A930&lt;VLOOKUP(J$5,NFI,5,0),1,0)*Table_NFI[[#This Row],[Sanitary Kit]],Table_NFI[Sanitary Kit])</f>
        <v>0</v>
      </c>
      <c r="AB930" s="352">
        <f>IF(NFI_Expiration=1,IF($A930&lt;VLOOKUP(K$5,NFI,5,0),1,0)*Table_NFI[[#This Row],[Mosquito net]],Table_NFI[Mosquito net])</f>
        <v>0</v>
      </c>
      <c r="AC930" s="352">
        <f>IF(NFI_Expiration=1,IF($A930&lt;VLOOKUP(L$5,NFI,5,0),1,0)*Table_NFI[[#This Row],[Tarpaulin]],Table_NFI[[#This Row],[Tarpaulin]])</f>
        <v>0</v>
      </c>
      <c r="AD930" s="352">
        <f>IF(NFI_Expiration=1,IF($A930&lt;VLOOKUP(M$5,NFI,5,0),1,0)*Table_NFI[[#This Row],[Blanket]],Table_NFI[[#This Row],[Blanket]])</f>
        <v>0</v>
      </c>
      <c r="AE930" s="352">
        <f>IF(NFI_Expiration=1,IF($A930&lt;VLOOKUP(N$5,NFI,5,0),1,0)*Table_NFI[[#This Row],[Kitchen Set]],Table_NFI[Kitchen Set])</f>
        <v>0</v>
      </c>
      <c r="AF930" s="352">
        <f>IF(NFI_Expiration=1,IF($A930&lt;VLOOKUP(O$5,NFI,5,0),1,0)*Table_NFI[[#This Row],[Clothes Kit]],Table_NFI[Clothes Kit])</f>
        <v>0</v>
      </c>
      <c r="AG930" s="352">
        <f>IF(NFI_Expiration=1,IF($A930&lt;VLOOKUP(P$5,NFI,5,0),1,0)*Table_NFI[[#This Row],[Plastic Bucket]],Table_NFI[Plastic Bucket])</f>
        <v>0</v>
      </c>
      <c r="AH930" s="352">
        <f>IF(NFI_Expiration=1,IF($A930&lt;VLOOKUP(Q$5,NFI,5,0),1,0)*Table_NFI[[#This Row],[Plastic Mat]],Table_NFI[Plastic Mat])*IF(Table_NFI[[#This Row],[Distribution Date]]&gt;"2014-04-01",1,2.5)</f>
        <v>0</v>
      </c>
      <c r="AI930" s="352">
        <f>IF(NFI_Expiration=1,IF($A930&lt;VLOOKUP(R$5,NFI,5,0),1,0)*Table_NFI[[#This Row],[Winter Clothes Adult]],Table_NFI[Winter Clothes Adult])</f>
        <v>0</v>
      </c>
      <c r="AJ930" s="352">
        <f>IF(NFI_Expiration=1,IF($A930&lt;VLOOKUP(S$5,NFI,5,0),1,0)*Table_NFI[[#This Row],[Winter Clothes Children]],Table_NFI[Winter Clothes Children])</f>
        <v>0</v>
      </c>
      <c r="AK930" s="352">
        <f>IF(NFI_Expiration=1,IF($A930&lt;VLOOKUP(T$5,NFI,5,0),1,0)*Table_NFI[[#This Row],[Winter Items Other]],Table_NFI[Winter Items Other])</f>
        <v>0</v>
      </c>
      <c r="AL930" s="352">
        <f>IF(NFI_Expiration=1,IF($A930&lt;VLOOKUP(M$5,NFI,5,0),1,0)*Table_NFI[[#This Row],[Winter Blanket]],Table_NFI[[#This Row],[Winter Blanket]])</f>
        <v>0</v>
      </c>
      <c r="AM930" s="352">
        <f>IF(Table_NFI[[#This Row],[Winter Clothes Adult]]+Table_NFI[[#This Row],[Winter Clothes Children]]+Table_NFI[[#This Row],[Winter Items Other]]+Table_NFI[[#This Row],[Winter Blanket]]&gt;0,1,0)</f>
        <v>0</v>
      </c>
      <c r="AN930" s="392">
        <f>IF(NFI_Expiration=1,IF($A930&lt;VLOOKUP(V$5,NFI,5,0),1,0)*Table_NFI[[#This Row],[Jerry Can]],Table_NFI[Jerry Can])</f>
        <v>0</v>
      </c>
      <c r="AO930" s="540" t="str">
        <f>IFERROR(VLOOKUP(Table_NFI[[#This Row],[Camp Name]],CL,2,0),"")</f>
        <v>MMR001CMP129</v>
      </c>
      <c r="AP930" s="535">
        <f ca="1">IF(Table_NFI[[#This Row],[Pcode]]="","",IF(OFFSET(CampList[Opening Date],MATCH(Table_NFI[[#This Row],[Pcode]],CampList[CP_Pcode],0)-1,0,1,1)&gt;=NFI_Monitor_Date,1,0))</f>
        <v>0</v>
      </c>
      <c r="AQ930" s="540" t="str">
        <f>IFERROR(VLOOKUP(Table_NFI[[#This Row],[Camp Name]],CL,3,0),"")</f>
        <v>Open</v>
      </c>
      <c r="AR930" s="352" t="str">
        <f ca="1">IF(Table_NFI[[#This Row],[Pcode]]="","",OFFSET(CampList[Priority],MATCH(Table_NFI[[#This Row],[Pcode]],CampList[CP_Pcode],0)-1,0,1,1))</f>
        <v>P2</v>
      </c>
      <c r="AS930" s="351">
        <f>IFERROR(Table_NFI[[#This Row],[Kitchen Set]]/VLOOKUP(Table_NFI[[#This Row],[Camp Name]],CL,4,0),"")</f>
        <v>0.44081632653061226</v>
      </c>
      <c r="AT930" s="533" t="s">
        <v>1094</v>
      </c>
      <c r="AU930" s="536"/>
    </row>
    <row r="931" spans="1:47" ht="14.45" hidden="1" customHeight="1" x14ac:dyDescent="0.25">
      <c r="A931" s="355">
        <f t="shared" si="14"/>
        <v>26.666666666666668</v>
      </c>
      <c r="B931" s="532">
        <v>41771</v>
      </c>
      <c r="C931" s="533" t="s">
        <v>1106</v>
      </c>
      <c r="D931" s="533" t="s">
        <v>902</v>
      </c>
      <c r="E931" s="533" t="s">
        <v>380</v>
      </c>
      <c r="F931" s="533" t="s">
        <v>237</v>
      </c>
      <c r="G931" s="533" t="s">
        <v>281</v>
      </c>
      <c r="H931" s="349"/>
      <c r="I931" s="349"/>
      <c r="J931" s="349"/>
      <c r="K931" s="349"/>
      <c r="L931" s="350"/>
      <c r="M931" s="350"/>
      <c r="N931" s="350"/>
      <c r="O931" s="350"/>
      <c r="P931" s="352"/>
      <c r="Q931" s="352"/>
      <c r="R931" s="352"/>
      <c r="S931" s="352"/>
      <c r="T931" s="352"/>
      <c r="U931" s="352">
        <v>168</v>
      </c>
      <c r="V931" s="497"/>
      <c r="W931" s="352"/>
      <c r="X931" s="352"/>
      <c r="Y931" s="352">
        <f>IF(NFI_Expiration=1,IF($A931&lt;VLOOKUP(H$5,NFI,5,0),1,0)*Table_NFI[[#This Row],[Hygiene Kit]],Table_NFI[Hygiene Kit])</f>
        <v>0</v>
      </c>
      <c r="Z931" s="352">
        <f>IF(NFI_Expiration=1,IF($A931&lt;VLOOKUP(I$5,NFI,5,0),1,0)*Table_NFI[[#This Row],[NFI Core Kit]],Table_NFI[NFI Core Kit])</f>
        <v>0</v>
      </c>
      <c r="AA931" s="352">
        <f>IF(NFI_Expiration=1,IF($A931&lt;VLOOKUP(J$5,NFI,5,0),1,0)*Table_NFI[[#This Row],[Sanitary Kit]],Table_NFI[Sanitary Kit])</f>
        <v>0</v>
      </c>
      <c r="AB931" s="352">
        <f>IF(NFI_Expiration=1,IF($A931&lt;VLOOKUP(K$5,NFI,5,0),1,0)*Table_NFI[[#This Row],[Mosquito net]],Table_NFI[Mosquito net])</f>
        <v>0</v>
      </c>
      <c r="AC931" s="352">
        <f>IF(NFI_Expiration=1,IF($A931&lt;VLOOKUP(L$5,NFI,5,0),1,0)*Table_NFI[[#This Row],[Tarpaulin]],Table_NFI[[#This Row],[Tarpaulin]])</f>
        <v>0</v>
      </c>
      <c r="AD931" s="352">
        <f>IF(NFI_Expiration=1,IF($A931&lt;VLOOKUP(M$5,NFI,5,0),1,0)*Table_NFI[[#This Row],[Blanket]],Table_NFI[[#This Row],[Blanket]])</f>
        <v>0</v>
      </c>
      <c r="AE931" s="352">
        <f>IF(NFI_Expiration=1,IF($A931&lt;VLOOKUP(N$5,NFI,5,0),1,0)*Table_NFI[[#This Row],[Kitchen Set]],Table_NFI[Kitchen Set])</f>
        <v>0</v>
      </c>
      <c r="AF931" s="352">
        <f>IF(NFI_Expiration=1,IF($A931&lt;VLOOKUP(O$5,NFI,5,0),1,0)*Table_NFI[[#This Row],[Clothes Kit]],Table_NFI[Clothes Kit])</f>
        <v>0</v>
      </c>
      <c r="AG931" s="352">
        <f>IF(NFI_Expiration=1,IF($A931&lt;VLOOKUP(P$5,NFI,5,0),1,0)*Table_NFI[[#This Row],[Plastic Bucket]],Table_NFI[Plastic Bucket])</f>
        <v>0</v>
      </c>
      <c r="AH931" s="352">
        <f>IF(NFI_Expiration=1,IF($A931&lt;VLOOKUP(Q$5,NFI,5,0),1,0)*Table_NFI[[#This Row],[Plastic Mat]],Table_NFI[Plastic Mat])*IF(Table_NFI[[#This Row],[Distribution Date]]&gt;"2014-04-01",1,2.5)</f>
        <v>0</v>
      </c>
      <c r="AI931" s="352">
        <f>IF(NFI_Expiration=1,IF($A931&lt;VLOOKUP(R$5,NFI,5,0),1,0)*Table_NFI[[#This Row],[Winter Clothes Adult]],Table_NFI[Winter Clothes Adult])</f>
        <v>0</v>
      </c>
      <c r="AJ931" s="352">
        <f>IF(NFI_Expiration=1,IF($A931&lt;VLOOKUP(S$5,NFI,5,0),1,0)*Table_NFI[[#This Row],[Winter Clothes Children]],Table_NFI[Winter Clothes Children])</f>
        <v>0</v>
      </c>
      <c r="AK931" s="352">
        <f>IF(NFI_Expiration=1,IF($A931&lt;VLOOKUP(T$5,NFI,5,0),1,0)*Table_NFI[[#This Row],[Winter Items Other]],Table_NFI[Winter Items Other])</f>
        <v>0</v>
      </c>
      <c r="AL931" s="352">
        <f>IF(NFI_Expiration=1,IF($A931&lt;VLOOKUP(M$5,NFI,5,0),1,0)*Table_NFI[[#This Row],[Winter Blanket]],Table_NFI[[#This Row],[Winter Blanket]])</f>
        <v>0</v>
      </c>
      <c r="AM931" s="352">
        <f>IF(Table_NFI[[#This Row],[Winter Clothes Adult]]+Table_NFI[[#This Row],[Winter Clothes Children]]+Table_NFI[[#This Row],[Winter Items Other]]+Table_NFI[[#This Row],[Winter Blanket]]&gt;0,1,0)</f>
        <v>1</v>
      </c>
      <c r="AN931" s="392">
        <f>IF(NFI_Expiration=1,IF($A931&lt;VLOOKUP(V$5,NFI,5,0),1,0)*Table_NFI[[#This Row],[Jerry Can]],Table_NFI[Jerry Can])</f>
        <v>0</v>
      </c>
      <c r="AO931" s="540" t="str">
        <f>IFERROR(VLOOKUP(Table_NFI[[#This Row],[Camp Name]],CL,2,0),"")</f>
        <v>MMR001CMP009</v>
      </c>
      <c r="AP931" s="535">
        <f ca="1">IF(Table_NFI[[#This Row],[Pcode]]="","",IF(OFFSET(CampList[Opening Date],MATCH(Table_NFI[[#This Row],[Pcode]],CampList[CP_Pcode],0)-1,0,1,1)&gt;=NFI_Monitor_Date,1,0))</f>
        <v>0</v>
      </c>
      <c r="AQ931" s="540" t="str">
        <f>IFERROR(VLOOKUP(Table_NFI[[#This Row],[Camp Name]],CL,3,0),"")</f>
        <v>Open</v>
      </c>
      <c r="AR931" s="352" t="str">
        <f ca="1">IF(Table_NFI[[#This Row],[Pcode]]="","",OFFSET(CampList[Priority],MATCH(Table_NFI[[#This Row],[Pcode]],CampList[CP_Pcode],0)-1,0,1,1))</f>
        <v>P4</v>
      </c>
      <c r="AS931" s="351">
        <f>IFERROR(Table_NFI[[#This Row],[Kitchen Set]]/VLOOKUP(Table_NFI[[#This Row],[Camp Name]],CL,4,0),"")</f>
        <v>0</v>
      </c>
      <c r="AT931" s="533"/>
      <c r="AU931" s="536"/>
    </row>
    <row r="932" spans="1:47" ht="14.45" customHeight="1" x14ac:dyDescent="0.25">
      <c r="A932" s="355">
        <f t="shared" si="14"/>
        <v>52.3</v>
      </c>
      <c r="B932" s="532">
        <v>41002</v>
      </c>
      <c r="C932" s="533" t="s">
        <v>453</v>
      </c>
      <c r="D932" s="533" t="s">
        <v>453</v>
      </c>
      <c r="E932" s="533" t="s">
        <v>380</v>
      </c>
      <c r="F932" s="348" t="s">
        <v>151</v>
      </c>
      <c r="G932" s="348" t="s">
        <v>198</v>
      </c>
      <c r="H932" s="349"/>
      <c r="I932" s="349"/>
      <c r="J932" s="349"/>
      <c r="K932" s="349">
        <v>510</v>
      </c>
      <c r="L932" s="350">
        <v>0</v>
      </c>
      <c r="M932" s="350">
        <v>510</v>
      </c>
      <c r="N932" s="350">
        <v>255</v>
      </c>
      <c r="O932" s="350">
        <v>255</v>
      </c>
      <c r="P932" s="352">
        <v>255</v>
      </c>
      <c r="Q932" s="352">
        <v>255</v>
      </c>
      <c r="R932" s="352"/>
      <c r="S932" s="352"/>
      <c r="T932" s="352"/>
      <c r="U932" s="352"/>
      <c r="V932" s="497"/>
      <c r="W932" s="352"/>
      <c r="X932" s="352"/>
      <c r="Y932" s="352">
        <f>IF(NFI_Expiration=1,IF($A932&lt;VLOOKUP(H$5,NFI,5,0),1,0)*Table_NFI[[#This Row],[Hygiene Kit]],Table_NFI[Hygiene Kit])</f>
        <v>0</v>
      </c>
      <c r="Z932" s="352">
        <f>IF(NFI_Expiration=1,IF($A932&lt;VLOOKUP(I$5,NFI,5,0),1,0)*Table_NFI[[#This Row],[NFI Core Kit]],Table_NFI[NFI Core Kit])</f>
        <v>0</v>
      </c>
      <c r="AA932" s="352">
        <f>IF(NFI_Expiration=1,IF($A932&lt;VLOOKUP(J$5,NFI,5,0),1,0)*Table_NFI[[#This Row],[Sanitary Kit]],Table_NFI[Sanitary Kit])</f>
        <v>0</v>
      </c>
      <c r="AB932" s="352">
        <f>IF(NFI_Expiration=1,IF($A932&lt;VLOOKUP(K$5,NFI,5,0),1,0)*Table_NFI[[#This Row],[Mosquito net]],Table_NFI[Mosquito net])</f>
        <v>0</v>
      </c>
      <c r="AC932" s="352">
        <f>IF(NFI_Expiration=1,IF($A932&lt;VLOOKUP(L$5,NFI,5,0),1,0)*Table_NFI[[#This Row],[Tarpaulin]],Table_NFI[[#This Row],[Tarpaulin]])</f>
        <v>0</v>
      </c>
      <c r="AD932" s="352">
        <f>IF(NFI_Expiration=1,IF($A932&lt;VLOOKUP(M$5,NFI,5,0),1,0)*Table_NFI[[#This Row],[Blanket]],Table_NFI[[#This Row],[Blanket]])</f>
        <v>0</v>
      </c>
      <c r="AE932" s="352">
        <f>IF(NFI_Expiration=1,IF($A932&lt;VLOOKUP(N$5,NFI,5,0),1,0)*Table_NFI[[#This Row],[Kitchen Set]],Table_NFI[Kitchen Set])</f>
        <v>0</v>
      </c>
      <c r="AF932" s="352">
        <f>IF(NFI_Expiration=1,IF($A932&lt;VLOOKUP(O$5,NFI,5,0),1,0)*Table_NFI[[#This Row],[Clothes Kit]],Table_NFI[Clothes Kit])</f>
        <v>0</v>
      </c>
      <c r="AG932" s="352">
        <f>IF(NFI_Expiration=1,IF($A932&lt;VLOOKUP(P$5,NFI,5,0),1,0)*Table_NFI[[#This Row],[Plastic Bucket]],Table_NFI[Plastic Bucket])</f>
        <v>0</v>
      </c>
      <c r="AH932" s="352">
        <f>IF(NFI_Expiration=1,IF($A932&lt;VLOOKUP(Q$5,NFI,5,0),1,0)*Table_NFI[[#This Row],[Plastic Mat]],Table_NFI[Plastic Mat])*IF(Table_NFI[[#This Row],[Distribution Date]]&gt;"2014-04-01",1,2.5)</f>
        <v>0</v>
      </c>
      <c r="AI932" s="352">
        <f>IF(NFI_Expiration=1,IF($A932&lt;VLOOKUP(R$5,NFI,5,0),1,0)*Table_NFI[[#This Row],[Winter Clothes Adult]],Table_NFI[Winter Clothes Adult])</f>
        <v>0</v>
      </c>
      <c r="AJ932" s="352">
        <f>IF(NFI_Expiration=1,IF($A932&lt;VLOOKUP(S$5,NFI,5,0),1,0)*Table_NFI[[#This Row],[Winter Clothes Children]],Table_NFI[Winter Clothes Children])</f>
        <v>0</v>
      </c>
      <c r="AK932" s="352">
        <f>IF(NFI_Expiration=1,IF($A932&lt;VLOOKUP(T$5,NFI,5,0),1,0)*Table_NFI[[#This Row],[Winter Items Other]],Table_NFI[Winter Items Other])</f>
        <v>0</v>
      </c>
      <c r="AL932" s="352">
        <f>IF(NFI_Expiration=1,IF($A932&lt;VLOOKUP(M$5,NFI,5,0),1,0)*Table_NFI[[#This Row],[Winter Blanket]],Table_NFI[[#This Row],[Winter Blanket]])</f>
        <v>0</v>
      </c>
      <c r="AM932" s="352">
        <f>IF(Table_NFI[[#This Row],[Winter Clothes Adult]]+Table_NFI[[#This Row],[Winter Clothes Children]]+Table_NFI[[#This Row],[Winter Items Other]]+Table_NFI[[#This Row],[Winter Blanket]]&gt;0,1,0)</f>
        <v>0</v>
      </c>
      <c r="AN932" s="392">
        <f>IF(NFI_Expiration=1,IF($A932&lt;VLOOKUP(V$5,NFI,5,0),1,0)*Table_NFI[[#This Row],[Jerry Can]],Table_NFI[Jerry Can])</f>
        <v>0</v>
      </c>
      <c r="AO932" s="540" t="str">
        <f>IFERROR(VLOOKUP(Table_NFI[[#This Row],[Camp Name]],CL,2,0),"")</f>
        <v>MMR001CMP128</v>
      </c>
      <c r="AP932" s="535">
        <f ca="1">IF(Table_NFI[[#This Row],[Pcode]]="","",IF(OFFSET(CampList[Opening Date],MATCH(Table_NFI[[#This Row],[Pcode]],CampList[CP_Pcode],0)-1,0,1,1)&gt;=NFI_Monitor_Date,1,0))</f>
        <v>0</v>
      </c>
      <c r="AQ932" s="540" t="str">
        <f>IFERROR(VLOOKUP(Table_NFI[[#This Row],[Camp Name]],CL,3,0),"")</f>
        <v>Open</v>
      </c>
      <c r="AR932" s="352" t="str">
        <f ca="1">IF(Table_NFI[[#This Row],[Pcode]]="","",OFFSET(CampList[Priority],MATCH(Table_NFI[[#This Row],[Pcode]],CampList[CP_Pcode],0)-1,0,1,1))</f>
        <v>P2</v>
      </c>
      <c r="AS932" s="351">
        <f>IFERROR(Table_NFI[[#This Row],[Kitchen Set]]/VLOOKUP(Table_NFI[[#This Row],[Camp Name]],CL,4,0),"")</f>
        <v>0.46788990825688076</v>
      </c>
      <c r="AT932" s="533" t="s">
        <v>1094</v>
      </c>
      <c r="AU932" s="536"/>
    </row>
    <row r="933" spans="1:47" ht="14.45" customHeight="1" x14ac:dyDescent="0.25">
      <c r="A933" s="355">
        <f t="shared" si="14"/>
        <v>52.466666666666669</v>
      </c>
      <c r="B933" s="532">
        <v>40997</v>
      </c>
      <c r="C933" s="533" t="s">
        <v>453</v>
      </c>
      <c r="D933" s="534" t="s">
        <v>453</v>
      </c>
      <c r="E933" s="533" t="s">
        <v>380</v>
      </c>
      <c r="F933" s="348" t="s">
        <v>151</v>
      </c>
      <c r="G933" s="348" t="s">
        <v>188</v>
      </c>
      <c r="H933" s="349"/>
      <c r="I933" s="349"/>
      <c r="J933" s="349"/>
      <c r="K933" s="349">
        <v>66</v>
      </c>
      <c r="L933" s="350">
        <v>66</v>
      </c>
      <c r="M933" s="350">
        <v>0</v>
      </c>
      <c r="N933" s="350">
        <v>0</v>
      </c>
      <c r="O933" s="350">
        <v>0</v>
      </c>
      <c r="P933" s="352"/>
      <c r="Q933" s="352"/>
      <c r="R933" s="352"/>
      <c r="S933" s="352"/>
      <c r="T933" s="352"/>
      <c r="U933" s="352"/>
      <c r="V933" s="497"/>
      <c r="W933" s="352"/>
      <c r="X933" s="352"/>
      <c r="Y933" s="352">
        <f>IF(NFI_Expiration=1,IF($A933&lt;VLOOKUP(H$5,NFI,5,0),1,0)*Table_NFI[[#This Row],[Hygiene Kit]],Table_NFI[Hygiene Kit])</f>
        <v>0</v>
      </c>
      <c r="Z933" s="352">
        <f>IF(NFI_Expiration=1,IF($A933&lt;VLOOKUP(I$5,NFI,5,0),1,0)*Table_NFI[[#This Row],[NFI Core Kit]],Table_NFI[NFI Core Kit])</f>
        <v>0</v>
      </c>
      <c r="AA933" s="352">
        <f>IF(NFI_Expiration=1,IF($A933&lt;VLOOKUP(J$5,NFI,5,0),1,0)*Table_NFI[[#This Row],[Sanitary Kit]],Table_NFI[Sanitary Kit])</f>
        <v>0</v>
      </c>
      <c r="AB933" s="352">
        <f>IF(NFI_Expiration=1,IF($A933&lt;VLOOKUP(K$5,NFI,5,0),1,0)*Table_NFI[[#This Row],[Mosquito net]],Table_NFI[Mosquito net])</f>
        <v>0</v>
      </c>
      <c r="AC933" s="352">
        <f>IF(NFI_Expiration=1,IF($A933&lt;VLOOKUP(L$5,NFI,5,0),1,0)*Table_NFI[[#This Row],[Tarpaulin]],Table_NFI[[#This Row],[Tarpaulin]])</f>
        <v>0</v>
      </c>
      <c r="AD933" s="352">
        <f>IF(NFI_Expiration=1,IF($A933&lt;VLOOKUP(M$5,NFI,5,0),1,0)*Table_NFI[[#This Row],[Blanket]],Table_NFI[[#This Row],[Blanket]])</f>
        <v>0</v>
      </c>
      <c r="AE933" s="352">
        <f>IF(NFI_Expiration=1,IF($A933&lt;VLOOKUP(N$5,NFI,5,0),1,0)*Table_NFI[[#This Row],[Kitchen Set]],Table_NFI[Kitchen Set])</f>
        <v>0</v>
      </c>
      <c r="AF933" s="352">
        <f>IF(NFI_Expiration=1,IF($A933&lt;VLOOKUP(O$5,NFI,5,0),1,0)*Table_NFI[[#This Row],[Clothes Kit]],Table_NFI[Clothes Kit])</f>
        <v>0</v>
      </c>
      <c r="AG933" s="352">
        <f>IF(NFI_Expiration=1,IF($A933&lt;VLOOKUP(P$5,NFI,5,0),1,0)*Table_NFI[[#This Row],[Plastic Bucket]],Table_NFI[Plastic Bucket])</f>
        <v>0</v>
      </c>
      <c r="AH933" s="352">
        <f>IF(NFI_Expiration=1,IF($A933&lt;VLOOKUP(Q$5,NFI,5,0),1,0)*Table_NFI[[#This Row],[Plastic Mat]],Table_NFI[Plastic Mat])*IF(Table_NFI[[#This Row],[Distribution Date]]&gt;"2014-04-01",1,2.5)</f>
        <v>0</v>
      </c>
      <c r="AI933" s="352">
        <f>IF(NFI_Expiration=1,IF($A933&lt;VLOOKUP(R$5,NFI,5,0),1,0)*Table_NFI[[#This Row],[Winter Clothes Adult]],Table_NFI[Winter Clothes Adult])</f>
        <v>0</v>
      </c>
      <c r="AJ933" s="352">
        <f>IF(NFI_Expiration=1,IF($A933&lt;VLOOKUP(S$5,NFI,5,0),1,0)*Table_NFI[[#This Row],[Winter Clothes Children]],Table_NFI[Winter Clothes Children])</f>
        <v>0</v>
      </c>
      <c r="AK933" s="352">
        <f>IF(NFI_Expiration=1,IF($A933&lt;VLOOKUP(T$5,NFI,5,0),1,0)*Table_NFI[[#This Row],[Winter Items Other]],Table_NFI[Winter Items Other])</f>
        <v>0</v>
      </c>
      <c r="AL933" s="352">
        <f>IF(NFI_Expiration=1,IF($A933&lt;VLOOKUP(M$5,NFI,5,0),1,0)*Table_NFI[[#This Row],[Winter Blanket]],Table_NFI[[#This Row],[Winter Blanket]])</f>
        <v>0</v>
      </c>
      <c r="AM933" s="352">
        <f>IF(Table_NFI[[#This Row],[Winter Clothes Adult]]+Table_NFI[[#This Row],[Winter Clothes Children]]+Table_NFI[[#This Row],[Winter Items Other]]+Table_NFI[[#This Row],[Winter Blanket]]&gt;0,1,0)</f>
        <v>0</v>
      </c>
      <c r="AN933" s="392">
        <f>IF(NFI_Expiration=1,IF($A933&lt;VLOOKUP(V$5,NFI,5,0),1,0)*Table_NFI[[#This Row],[Jerry Can]],Table_NFI[Jerry Can])</f>
        <v>0</v>
      </c>
      <c r="AO933" s="540" t="str">
        <f>IFERROR(VLOOKUP(Table_NFI[[#This Row],[Camp Name]],CL,2,0),"")</f>
        <v>MMR001CMP129</v>
      </c>
      <c r="AP933" s="535">
        <f ca="1">IF(Table_NFI[[#This Row],[Pcode]]="","",IF(OFFSET(CampList[Opening Date],MATCH(Table_NFI[[#This Row],[Pcode]],CampList[CP_Pcode],0)-1,0,1,1)&gt;=NFI_Monitor_Date,1,0))</f>
        <v>0</v>
      </c>
      <c r="AQ933" s="540" t="str">
        <f>IFERROR(VLOOKUP(Table_NFI[[#This Row],[Camp Name]],CL,3,0),"")</f>
        <v>Open</v>
      </c>
      <c r="AR933" s="352" t="str">
        <f ca="1">IF(Table_NFI[[#This Row],[Pcode]]="","",OFFSET(CampList[Priority],MATCH(Table_NFI[[#This Row],[Pcode]],CampList[CP_Pcode],0)-1,0,1,1))</f>
        <v>P2</v>
      </c>
      <c r="AS933" s="351">
        <f>IFERROR(Table_NFI[[#This Row],[Kitchen Set]]/VLOOKUP(Table_NFI[[#This Row],[Camp Name]],CL,4,0),"")</f>
        <v>0</v>
      </c>
      <c r="AT933" s="533" t="s">
        <v>1094</v>
      </c>
      <c r="AU933" s="536"/>
    </row>
    <row r="934" spans="1:47" ht="14.45" customHeight="1" x14ac:dyDescent="0.25">
      <c r="A934" s="355">
        <f t="shared" si="14"/>
        <v>52.466666666666669</v>
      </c>
      <c r="B934" s="532">
        <v>40997</v>
      </c>
      <c r="C934" s="533" t="s">
        <v>453</v>
      </c>
      <c r="D934" s="534" t="s">
        <v>453</v>
      </c>
      <c r="E934" s="533" t="s">
        <v>380</v>
      </c>
      <c r="F934" s="348" t="s">
        <v>185</v>
      </c>
      <c r="G934" s="348" t="s">
        <v>219</v>
      </c>
      <c r="H934" s="349"/>
      <c r="I934" s="349"/>
      <c r="J934" s="349"/>
      <c r="K934" s="349">
        <v>0</v>
      </c>
      <c r="L934" s="350">
        <v>50</v>
      </c>
      <c r="M934" s="350">
        <v>0</v>
      </c>
      <c r="N934" s="350">
        <v>0</v>
      </c>
      <c r="O934" s="350">
        <v>0</v>
      </c>
      <c r="P934" s="352"/>
      <c r="Q934" s="352"/>
      <c r="R934" s="352"/>
      <c r="S934" s="352"/>
      <c r="T934" s="352"/>
      <c r="U934" s="352"/>
      <c r="V934" s="497"/>
      <c r="W934" s="352"/>
      <c r="X934" s="352"/>
      <c r="Y934" s="352">
        <f>IF(NFI_Expiration=1,IF($A934&lt;VLOOKUP(H$5,NFI,5,0),1,0)*Table_NFI[[#This Row],[Hygiene Kit]],Table_NFI[Hygiene Kit])</f>
        <v>0</v>
      </c>
      <c r="Z934" s="352">
        <f>IF(NFI_Expiration=1,IF($A934&lt;VLOOKUP(I$5,NFI,5,0),1,0)*Table_NFI[[#This Row],[NFI Core Kit]],Table_NFI[NFI Core Kit])</f>
        <v>0</v>
      </c>
      <c r="AA934" s="352">
        <f>IF(NFI_Expiration=1,IF($A934&lt;VLOOKUP(J$5,NFI,5,0),1,0)*Table_NFI[[#This Row],[Sanitary Kit]],Table_NFI[Sanitary Kit])</f>
        <v>0</v>
      </c>
      <c r="AB934" s="352">
        <f>IF(NFI_Expiration=1,IF($A934&lt;VLOOKUP(K$5,NFI,5,0),1,0)*Table_NFI[[#This Row],[Mosquito net]],Table_NFI[Mosquito net])</f>
        <v>0</v>
      </c>
      <c r="AC934" s="352">
        <f>IF(NFI_Expiration=1,IF($A934&lt;VLOOKUP(L$5,NFI,5,0),1,0)*Table_NFI[[#This Row],[Tarpaulin]],Table_NFI[[#This Row],[Tarpaulin]])</f>
        <v>0</v>
      </c>
      <c r="AD934" s="352">
        <f>IF(NFI_Expiration=1,IF($A934&lt;VLOOKUP(M$5,NFI,5,0),1,0)*Table_NFI[[#This Row],[Blanket]],Table_NFI[[#This Row],[Blanket]])</f>
        <v>0</v>
      </c>
      <c r="AE934" s="352">
        <f>IF(NFI_Expiration=1,IF($A934&lt;VLOOKUP(N$5,NFI,5,0),1,0)*Table_NFI[[#This Row],[Kitchen Set]],Table_NFI[Kitchen Set])</f>
        <v>0</v>
      </c>
      <c r="AF934" s="352">
        <f>IF(NFI_Expiration=1,IF($A934&lt;VLOOKUP(O$5,NFI,5,0),1,0)*Table_NFI[[#This Row],[Clothes Kit]],Table_NFI[Clothes Kit])</f>
        <v>0</v>
      </c>
      <c r="AG934" s="352">
        <f>IF(NFI_Expiration=1,IF($A934&lt;VLOOKUP(P$5,NFI,5,0),1,0)*Table_NFI[[#This Row],[Plastic Bucket]],Table_NFI[Plastic Bucket])</f>
        <v>0</v>
      </c>
      <c r="AH934" s="352">
        <f>IF(NFI_Expiration=1,IF($A934&lt;VLOOKUP(Q$5,NFI,5,0),1,0)*Table_NFI[[#This Row],[Plastic Mat]],Table_NFI[Plastic Mat])*IF(Table_NFI[[#This Row],[Distribution Date]]&gt;"2014-04-01",1,2.5)</f>
        <v>0</v>
      </c>
      <c r="AI934" s="352">
        <f>IF(NFI_Expiration=1,IF($A934&lt;VLOOKUP(R$5,NFI,5,0),1,0)*Table_NFI[[#This Row],[Winter Clothes Adult]],Table_NFI[Winter Clothes Adult])</f>
        <v>0</v>
      </c>
      <c r="AJ934" s="352">
        <f>IF(NFI_Expiration=1,IF($A934&lt;VLOOKUP(S$5,NFI,5,0),1,0)*Table_NFI[[#This Row],[Winter Clothes Children]],Table_NFI[Winter Clothes Children])</f>
        <v>0</v>
      </c>
      <c r="AK934" s="352">
        <f>IF(NFI_Expiration=1,IF($A934&lt;VLOOKUP(T$5,NFI,5,0),1,0)*Table_NFI[[#This Row],[Winter Items Other]],Table_NFI[Winter Items Other])</f>
        <v>0</v>
      </c>
      <c r="AL934" s="352">
        <f>IF(NFI_Expiration=1,IF($A934&lt;VLOOKUP(M$5,NFI,5,0),1,0)*Table_NFI[[#This Row],[Winter Blanket]],Table_NFI[[#This Row],[Winter Blanket]])</f>
        <v>0</v>
      </c>
      <c r="AM934" s="352">
        <f>IF(Table_NFI[[#This Row],[Winter Clothes Adult]]+Table_NFI[[#This Row],[Winter Clothes Children]]+Table_NFI[[#This Row],[Winter Items Other]]+Table_NFI[[#This Row],[Winter Blanket]]&gt;0,1,0)</f>
        <v>0</v>
      </c>
      <c r="AN934" s="392">
        <f>IF(NFI_Expiration=1,IF($A934&lt;VLOOKUP(V$5,NFI,5,0),1,0)*Table_NFI[[#This Row],[Jerry Can]],Table_NFI[Jerry Can])</f>
        <v>0</v>
      </c>
      <c r="AO934" s="540" t="str">
        <f>IFERROR(VLOOKUP(Table_NFI[[#This Row],[Camp Name]],CL,2,0),"")</f>
        <v>MMR001CMP126</v>
      </c>
      <c r="AP934" s="535">
        <f ca="1">IF(Table_NFI[[#This Row],[Pcode]]="","",IF(OFFSET(CampList[Opening Date],MATCH(Table_NFI[[#This Row],[Pcode]],CampList[CP_Pcode],0)-1,0,1,1)&gt;=NFI_Monitor_Date,1,0))</f>
        <v>0</v>
      </c>
      <c r="AQ934" s="540" t="str">
        <f>IFERROR(VLOOKUP(Table_NFI[[#This Row],[Camp Name]],CL,3,0),"")</f>
        <v>Open</v>
      </c>
      <c r="AR934" s="352" t="str">
        <f ca="1">IF(Table_NFI[[#This Row],[Pcode]]="","",OFFSET(CampList[Priority],MATCH(Table_NFI[[#This Row],[Pcode]],CampList[CP_Pcode],0)-1,0,1,1))</f>
        <v>P2</v>
      </c>
      <c r="AS934" s="351">
        <f>IFERROR(Table_NFI[[#This Row],[Kitchen Set]]/VLOOKUP(Table_NFI[[#This Row],[Camp Name]],CL,4,0),"")</f>
        <v>0</v>
      </c>
      <c r="AT934" s="533" t="s">
        <v>1094</v>
      </c>
      <c r="AU934" s="536"/>
    </row>
    <row r="935" spans="1:47" ht="14.45" customHeight="1" x14ac:dyDescent="0.25">
      <c r="A935" s="355">
        <f t="shared" si="14"/>
        <v>52.466666666666669</v>
      </c>
      <c r="B935" s="532">
        <v>40997</v>
      </c>
      <c r="C935" s="533" t="s">
        <v>453</v>
      </c>
      <c r="D935" s="534" t="s">
        <v>453</v>
      </c>
      <c r="E935" s="533" t="s">
        <v>380</v>
      </c>
      <c r="F935" s="348" t="s">
        <v>185</v>
      </c>
      <c r="G935" s="348" t="s">
        <v>225</v>
      </c>
      <c r="H935" s="349"/>
      <c r="I935" s="349"/>
      <c r="J935" s="349"/>
      <c r="K935" s="349">
        <v>66</v>
      </c>
      <c r="L935" s="350">
        <v>66</v>
      </c>
      <c r="M935" s="350">
        <v>0</v>
      </c>
      <c r="N935" s="350">
        <v>0</v>
      </c>
      <c r="O935" s="350">
        <v>0</v>
      </c>
      <c r="P935" s="352"/>
      <c r="Q935" s="352"/>
      <c r="R935" s="352"/>
      <c r="S935" s="352"/>
      <c r="T935" s="352"/>
      <c r="U935" s="352"/>
      <c r="V935" s="497"/>
      <c r="W935" s="352"/>
      <c r="X935" s="352"/>
      <c r="Y935" s="352">
        <f>IF(NFI_Expiration=1,IF($A935&lt;VLOOKUP(H$5,NFI,5,0),1,0)*Table_NFI[[#This Row],[Hygiene Kit]],Table_NFI[Hygiene Kit])</f>
        <v>0</v>
      </c>
      <c r="Z935" s="352">
        <f>IF(NFI_Expiration=1,IF($A935&lt;VLOOKUP(I$5,NFI,5,0),1,0)*Table_NFI[[#This Row],[NFI Core Kit]],Table_NFI[NFI Core Kit])</f>
        <v>0</v>
      </c>
      <c r="AA935" s="352">
        <f>IF(NFI_Expiration=1,IF($A935&lt;VLOOKUP(J$5,NFI,5,0),1,0)*Table_NFI[[#This Row],[Sanitary Kit]],Table_NFI[Sanitary Kit])</f>
        <v>0</v>
      </c>
      <c r="AB935" s="352">
        <f>IF(NFI_Expiration=1,IF($A935&lt;VLOOKUP(K$5,NFI,5,0),1,0)*Table_NFI[[#This Row],[Mosquito net]],Table_NFI[Mosquito net])</f>
        <v>0</v>
      </c>
      <c r="AC935" s="352">
        <f>IF(NFI_Expiration=1,IF($A935&lt;VLOOKUP(L$5,NFI,5,0),1,0)*Table_NFI[[#This Row],[Tarpaulin]],Table_NFI[[#This Row],[Tarpaulin]])</f>
        <v>0</v>
      </c>
      <c r="AD935" s="352">
        <f>IF(NFI_Expiration=1,IF($A935&lt;VLOOKUP(M$5,NFI,5,0),1,0)*Table_NFI[[#This Row],[Blanket]],Table_NFI[[#This Row],[Blanket]])</f>
        <v>0</v>
      </c>
      <c r="AE935" s="352">
        <f>IF(NFI_Expiration=1,IF($A935&lt;VLOOKUP(N$5,NFI,5,0),1,0)*Table_NFI[[#This Row],[Kitchen Set]],Table_NFI[Kitchen Set])</f>
        <v>0</v>
      </c>
      <c r="AF935" s="352">
        <f>IF(NFI_Expiration=1,IF($A935&lt;VLOOKUP(O$5,NFI,5,0),1,0)*Table_NFI[[#This Row],[Clothes Kit]],Table_NFI[Clothes Kit])</f>
        <v>0</v>
      </c>
      <c r="AG935" s="352">
        <f>IF(NFI_Expiration=1,IF($A935&lt;VLOOKUP(P$5,NFI,5,0),1,0)*Table_NFI[[#This Row],[Plastic Bucket]],Table_NFI[Plastic Bucket])</f>
        <v>0</v>
      </c>
      <c r="AH935" s="352">
        <f>IF(NFI_Expiration=1,IF($A935&lt;VLOOKUP(Q$5,NFI,5,0),1,0)*Table_NFI[[#This Row],[Plastic Mat]],Table_NFI[Plastic Mat])*IF(Table_NFI[[#This Row],[Distribution Date]]&gt;"2014-04-01",1,2.5)</f>
        <v>0</v>
      </c>
      <c r="AI935" s="352">
        <f>IF(NFI_Expiration=1,IF($A935&lt;VLOOKUP(R$5,NFI,5,0),1,0)*Table_NFI[[#This Row],[Winter Clothes Adult]],Table_NFI[Winter Clothes Adult])</f>
        <v>0</v>
      </c>
      <c r="AJ935" s="352">
        <f>IF(NFI_Expiration=1,IF($A935&lt;VLOOKUP(S$5,NFI,5,0),1,0)*Table_NFI[[#This Row],[Winter Clothes Children]],Table_NFI[Winter Clothes Children])</f>
        <v>0</v>
      </c>
      <c r="AK935" s="352">
        <f>IF(NFI_Expiration=1,IF($A935&lt;VLOOKUP(T$5,NFI,5,0),1,0)*Table_NFI[[#This Row],[Winter Items Other]],Table_NFI[Winter Items Other])</f>
        <v>0</v>
      </c>
      <c r="AL935" s="352">
        <f>IF(NFI_Expiration=1,IF($A935&lt;VLOOKUP(M$5,NFI,5,0),1,0)*Table_NFI[[#This Row],[Winter Blanket]],Table_NFI[[#This Row],[Winter Blanket]])</f>
        <v>0</v>
      </c>
      <c r="AM935" s="352">
        <f>IF(Table_NFI[[#This Row],[Winter Clothes Adult]]+Table_NFI[[#This Row],[Winter Clothes Children]]+Table_NFI[[#This Row],[Winter Items Other]]+Table_NFI[[#This Row],[Winter Blanket]]&gt;0,1,0)</f>
        <v>0</v>
      </c>
      <c r="AN935" s="392">
        <f>IF(NFI_Expiration=1,IF($A935&lt;VLOOKUP(V$5,NFI,5,0),1,0)*Table_NFI[[#This Row],[Jerry Can]],Table_NFI[Jerry Can])</f>
        <v>0</v>
      </c>
      <c r="AO935" s="540" t="str">
        <f>IFERROR(VLOOKUP(Table_NFI[[#This Row],[Camp Name]],CL,2,0),"")</f>
        <v>MMR001CMP073</v>
      </c>
      <c r="AP935" s="535">
        <f ca="1">IF(Table_NFI[[#This Row],[Pcode]]="","",IF(OFFSET(CampList[Opening Date],MATCH(Table_NFI[[#This Row],[Pcode]],CampList[CP_Pcode],0)-1,0,1,1)&gt;=NFI_Monitor_Date,1,0))</f>
        <v>0</v>
      </c>
      <c r="AQ935" s="540" t="str">
        <f>IFERROR(VLOOKUP(Table_NFI[[#This Row],[Camp Name]],CL,3,0),"")</f>
        <v>Open</v>
      </c>
      <c r="AR935" s="352" t="str">
        <f ca="1">IF(Table_NFI[[#This Row],[Pcode]]="","",OFFSET(CampList[Priority],MATCH(Table_NFI[[#This Row],[Pcode]],CampList[CP_Pcode],0)-1,0,1,1))</f>
        <v>P3</v>
      </c>
      <c r="AS935" s="351">
        <f>IFERROR(Table_NFI[[#This Row],[Kitchen Set]]/VLOOKUP(Table_NFI[[#This Row],[Camp Name]],CL,4,0),"")</f>
        <v>0</v>
      </c>
      <c r="AT935" s="533" t="s">
        <v>1094</v>
      </c>
      <c r="AU935" s="536"/>
    </row>
    <row r="936" spans="1:47" ht="14.45" customHeight="1" x14ac:dyDescent="0.25">
      <c r="A936" s="355">
        <f t="shared" si="14"/>
        <v>52.5</v>
      </c>
      <c r="B936" s="532">
        <v>40996</v>
      </c>
      <c r="C936" s="533" t="s">
        <v>453</v>
      </c>
      <c r="D936" s="534" t="s">
        <v>453</v>
      </c>
      <c r="E936" s="533" t="s">
        <v>380</v>
      </c>
      <c r="F936" s="348" t="s">
        <v>185</v>
      </c>
      <c r="G936" s="348" t="s">
        <v>915</v>
      </c>
      <c r="H936" s="349"/>
      <c r="I936" s="349"/>
      <c r="J936" s="349"/>
      <c r="K936" s="349">
        <v>217</v>
      </c>
      <c r="L936" s="350">
        <v>217</v>
      </c>
      <c r="M936" s="350">
        <v>0</v>
      </c>
      <c r="N936" s="350">
        <v>0</v>
      </c>
      <c r="O936" s="350">
        <v>0</v>
      </c>
      <c r="P936" s="352"/>
      <c r="Q936" s="352"/>
      <c r="R936" s="352"/>
      <c r="S936" s="352"/>
      <c r="T936" s="352"/>
      <c r="U936" s="352"/>
      <c r="V936" s="497"/>
      <c r="W936" s="352"/>
      <c r="X936" s="352"/>
      <c r="Y936" s="352">
        <f>IF(NFI_Expiration=1,IF($A936&lt;VLOOKUP(H$5,NFI,5,0),1,0)*Table_NFI[[#This Row],[Hygiene Kit]],Table_NFI[Hygiene Kit])</f>
        <v>0</v>
      </c>
      <c r="Z936" s="352">
        <f>IF(NFI_Expiration=1,IF($A936&lt;VLOOKUP(I$5,NFI,5,0),1,0)*Table_NFI[[#This Row],[NFI Core Kit]],Table_NFI[NFI Core Kit])</f>
        <v>0</v>
      </c>
      <c r="AA936" s="352">
        <f>IF(NFI_Expiration=1,IF($A936&lt;VLOOKUP(J$5,NFI,5,0),1,0)*Table_NFI[[#This Row],[Sanitary Kit]],Table_NFI[Sanitary Kit])</f>
        <v>0</v>
      </c>
      <c r="AB936" s="352">
        <f>IF(NFI_Expiration=1,IF($A936&lt;VLOOKUP(K$5,NFI,5,0),1,0)*Table_NFI[[#This Row],[Mosquito net]],Table_NFI[Mosquito net])</f>
        <v>0</v>
      </c>
      <c r="AC936" s="352">
        <f>IF(NFI_Expiration=1,IF($A936&lt;VLOOKUP(L$5,NFI,5,0),1,0)*Table_NFI[[#This Row],[Tarpaulin]],Table_NFI[[#This Row],[Tarpaulin]])</f>
        <v>0</v>
      </c>
      <c r="AD936" s="352">
        <f>IF(NFI_Expiration=1,IF($A936&lt;VLOOKUP(M$5,NFI,5,0),1,0)*Table_NFI[[#This Row],[Blanket]],Table_NFI[[#This Row],[Blanket]])</f>
        <v>0</v>
      </c>
      <c r="AE936" s="352">
        <f>IF(NFI_Expiration=1,IF($A936&lt;VLOOKUP(N$5,NFI,5,0),1,0)*Table_NFI[[#This Row],[Kitchen Set]],Table_NFI[Kitchen Set])</f>
        <v>0</v>
      </c>
      <c r="AF936" s="352">
        <f>IF(NFI_Expiration=1,IF($A936&lt;VLOOKUP(O$5,NFI,5,0),1,0)*Table_NFI[[#This Row],[Clothes Kit]],Table_NFI[Clothes Kit])</f>
        <v>0</v>
      </c>
      <c r="AG936" s="352">
        <f>IF(NFI_Expiration=1,IF($A936&lt;VLOOKUP(P$5,NFI,5,0),1,0)*Table_NFI[[#This Row],[Plastic Bucket]],Table_NFI[Plastic Bucket])</f>
        <v>0</v>
      </c>
      <c r="AH936" s="352">
        <f>IF(NFI_Expiration=1,IF($A936&lt;VLOOKUP(Q$5,NFI,5,0),1,0)*Table_NFI[[#This Row],[Plastic Mat]],Table_NFI[Plastic Mat])*IF(Table_NFI[[#This Row],[Distribution Date]]&gt;"2014-04-01",1,2.5)</f>
        <v>0</v>
      </c>
      <c r="AI936" s="352">
        <f>IF(NFI_Expiration=1,IF($A936&lt;VLOOKUP(R$5,NFI,5,0),1,0)*Table_NFI[[#This Row],[Winter Clothes Adult]],Table_NFI[Winter Clothes Adult])</f>
        <v>0</v>
      </c>
      <c r="AJ936" s="352">
        <f>IF(NFI_Expiration=1,IF($A936&lt;VLOOKUP(S$5,NFI,5,0),1,0)*Table_NFI[[#This Row],[Winter Clothes Children]],Table_NFI[Winter Clothes Children])</f>
        <v>0</v>
      </c>
      <c r="AK936" s="352">
        <f>IF(NFI_Expiration=1,IF($A936&lt;VLOOKUP(T$5,NFI,5,0),1,0)*Table_NFI[[#This Row],[Winter Items Other]],Table_NFI[Winter Items Other])</f>
        <v>0</v>
      </c>
      <c r="AL936" s="352">
        <f>IF(NFI_Expiration=1,IF($A936&lt;VLOOKUP(M$5,NFI,5,0),1,0)*Table_NFI[[#This Row],[Winter Blanket]],Table_NFI[[#This Row],[Winter Blanket]])</f>
        <v>0</v>
      </c>
      <c r="AM936" s="352">
        <f>IF(Table_NFI[[#This Row],[Winter Clothes Adult]]+Table_NFI[[#This Row],[Winter Clothes Children]]+Table_NFI[[#This Row],[Winter Items Other]]+Table_NFI[[#This Row],[Winter Blanket]]&gt;0,1,0)</f>
        <v>0</v>
      </c>
      <c r="AN936" s="392">
        <f>IF(NFI_Expiration=1,IF($A936&lt;VLOOKUP(V$5,NFI,5,0),1,0)*Table_NFI[[#This Row],[Jerry Can]],Table_NFI[Jerry Can])</f>
        <v>0</v>
      </c>
      <c r="AO936" s="540" t="str">
        <f>IFERROR(VLOOKUP(Table_NFI[[#This Row],[Camp Name]],CL,2,0),"")</f>
        <v/>
      </c>
      <c r="AP936" s="535" t="str">
        <f ca="1">IF(Table_NFI[[#This Row],[Pcode]]="","",IF(OFFSET(CampList[Opening Date],MATCH(Table_NFI[[#This Row],[Pcode]],CampList[CP_Pcode],0)-1,0,1,1)&gt;=NFI_Monitor_Date,1,0))</f>
        <v/>
      </c>
      <c r="AQ936" s="540" t="str">
        <f>IFERROR(VLOOKUP(Table_NFI[[#This Row],[Camp Name]],CL,3,0),"")</f>
        <v/>
      </c>
      <c r="AR936" s="352" t="str">
        <f ca="1">IF(Table_NFI[[#This Row],[Pcode]]="","",OFFSET(CampList[Priority],MATCH(Table_NFI[[#This Row],[Pcode]],CampList[CP_Pcode],0)-1,0,1,1))</f>
        <v/>
      </c>
      <c r="AS936" s="351" t="str">
        <f>IFERROR(Table_NFI[[#This Row],[Kitchen Set]]/VLOOKUP(Table_NFI[[#This Row],[Camp Name]],CL,4,0),"")</f>
        <v/>
      </c>
      <c r="AT936" s="533" t="s">
        <v>1094</v>
      </c>
      <c r="AU936" s="536"/>
    </row>
    <row r="937" spans="1:47" ht="14.45" customHeight="1" x14ac:dyDescent="0.25">
      <c r="A937" s="355">
        <f t="shared" si="14"/>
        <v>52.533333333333331</v>
      </c>
      <c r="B937" s="532">
        <v>40995</v>
      </c>
      <c r="C937" s="533" t="s">
        <v>453</v>
      </c>
      <c r="D937" s="534" t="s">
        <v>453</v>
      </c>
      <c r="E937" s="533" t="s">
        <v>380</v>
      </c>
      <c r="F937" s="348" t="s">
        <v>5</v>
      </c>
      <c r="G937" s="348" t="s">
        <v>6</v>
      </c>
      <c r="H937" s="349"/>
      <c r="I937" s="349"/>
      <c r="J937" s="349"/>
      <c r="K937" s="349">
        <v>560</v>
      </c>
      <c r="L937" s="350">
        <v>280</v>
      </c>
      <c r="M937" s="350">
        <v>560</v>
      </c>
      <c r="N937" s="350">
        <v>280</v>
      </c>
      <c r="O937" s="350">
        <v>280</v>
      </c>
      <c r="P937" s="352">
        <v>280</v>
      </c>
      <c r="Q937" s="352">
        <v>280</v>
      </c>
      <c r="R937" s="352"/>
      <c r="S937" s="352"/>
      <c r="T937" s="352"/>
      <c r="U937" s="352"/>
      <c r="V937" s="497"/>
      <c r="W937" s="352"/>
      <c r="X937" s="352"/>
      <c r="Y937" s="352">
        <f>IF(NFI_Expiration=1,IF($A937&lt;VLOOKUP(H$5,NFI,5,0),1,0)*Table_NFI[[#This Row],[Hygiene Kit]],Table_NFI[Hygiene Kit])</f>
        <v>0</v>
      </c>
      <c r="Z937" s="352">
        <f>IF(NFI_Expiration=1,IF($A937&lt;VLOOKUP(I$5,NFI,5,0),1,0)*Table_NFI[[#This Row],[NFI Core Kit]],Table_NFI[NFI Core Kit])</f>
        <v>0</v>
      </c>
      <c r="AA937" s="352">
        <f>IF(NFI_Expiration=1,IF($A937&lt;VLOOKUP(J$5,NFI,5,0),1,0)*Table_NFI[[#This Row],[Sanitary Kit]],Table_NFI[Sanitary Kit])</f>
        <v>0</v>
      </c>
      <c r="AB937" s="352">
        <f>IF(NFI_Expiration=1,IF($A937&lt;VLOOKUP(K$5,NFI,5,0),1,0)*Table_NFI[[#This Row],[Mosquito net]],Table_NFI[Mosquito net])</f>
        <v>0</v>
      </c>
      <c r="AC937" s="352">
        <f>IF(NFI_Expiration=1,IF($A937&lt;VLOOKUP(L$5,NFI,5,0),1,0)*Table_NFI[[#This Row],[Tarpaulin]],Table_NFI[[#This Row],[Tarpaulin]])</f>
        <v>0</v>
      </c>
      <c r="AD937" s="352">
        <f>IF(NFI_Expiration=1,IF($A937&lt;VLOOKUP(M$5,NFI,5,0),1,0)*Table_NFI[[#This Row],[Blanket]],Table_NFI[[#This Row],[Blanket]])</f>
        <v>0</v>
      </c>
      <c r="AE937" s="352">
        <f>IF(NFI_Expiration=1,IF($A937&lt;VLOOKUP(N$5,NFI,5,0),1,0)*Table_NFI[[#This Row],[Kitchen Set]],Table_NFI[Kitchen Set])</f>
        <v>0</v>
      </c>
      <c r="AF937" s="352">
        <f>IF(NFI_Expiration=1,IF($A937&lt;VLOOKUP(O$5,NFI,5,0),1,0)*Table_NFI[[#This Row],[Clothes Kit]],Table_NFI[Clothes Kit])</f>
        <v>0</v>
      </c>
      <c r="AG937" s="352">
        <f>IF(NFI_Expiration=1,IF($A937&lt;VLOOKUP(P$5,NFI,5,0),1,0)*Table_NFI[[#This Row],[Plastic Bucket]],Table_NFI[Plastic Bucket])</f>
        <v>0</v>
      </c>
      <c r="AH937" s="352">
        <f>IF(NFI_Expiration=1,IF($A937&lt;VLOOKUP(Q$5,NFI,5,0),1,0)*Table_NFI[[#This Row],[Plastic Mat]],Table_NFI[Plastic Mat])*IF(Table_NFI[[#This Row],[Distribution Date]]&gt;"2014-04-01",1,2.5)</f>
        <v>0</v>
      </c>
      <c r="AI937" s="352">
        <f>IF(NFI_Expiration=1,IF($A937&lt;VLOOKUP(R$5,NFI,5,0),1,0)*Table_NFI[[#This Row],[Winter Clothes Adult]],Table_NFI[Winter Clothes Adult])</f>
        <v>0</v>
      </c>
      <c r="AJ937" s="352">
        <f>IF(NFI_Expiration=1,IF($A937&lt;VLOOKUP(S$5,NFI,5,0),1,0)*Table_NFI[[#This Row],[Winter Clothes Children]],Table_NFI[Winter Clothes Children])</f>
        <v>0</v>
      </c>
      <c r="AK937" s="352">
        <f>IF(NFI_Expiration=1,IF($A937&lt;VLOOKUP(T$5,NFI,5,0),1,0)*Table_NFI[[#This Row],[Winter Items Other]],Table_NFI[Winter Items Other])</f>
        <v>0</v>
      </c>
      <c r="AL937" s="352">
        <f>IF(NFI_Expiration=1,IF($A937&lt;VLOOKUP(M$5,NFI,5,0),1,0)*Table_NFI[[#This Row],[Winter Blanket]],Table_NFI[[#This Row],[Winter Blanket]])</f>
        <v>0</v>
      </c>
      <c r="AM937" s="352">
        <f>IF(Table_NFI[[#This Row],[Winter Clothes Adult]]+Table_NFI[[#This Row],[Winter Clothes Children]]+Table_NFI[[#This Row],[Winter Items Other]]+Table_NFI[[#This Row],[Winter Blanket]]&gt;0,1,0)</f>
        <v>0</v>
      </c>
      <c r="AN937" s="392">
        <f>IF(NFI_Expiration=1,IF($A937&lt;VLOOKUP(V$5,NFI,5,0),1,0)*Table_NFI[[#This Row],[Jerry Can]],Table_NFI[Jerry Can])</f>
        <v>0</v>
      </c>
      <c r="AO937" s="540" t="str">
        <f>IFERROR(VLOOKUP(Table_NFI[[#This Row],[Camp Name]],CL,2,0),"")</f>
        <v>MMR001CMP050</v>
      </c>
      <c r="AP937" s="535">
        <f ca="1">IF(Table_NFI[[#This Row],[Pcode]]="","",IF(OFFSET(CampList[Opening Date],MATCH(Table_NFI[[#This Row],[Pcode]],CampList[CP_Pcode],0)-1,0,1,1)&gt;=NFI_Monitor_Date,1,0))</f>
        <v>0</v>
      </c>
      <c r="AQ937" s="540" t="str">
        <f>IFERROR(VLOOKUP(Table_NFI[[#This Row],[Camp Name]],CL,3,0),"")</f>
        <v>Open</v>
      </c>
      <c r="AR937" s="352" t="str">
        <f ca="1">IF(Table_NFI[[#This Row],[Pcode]]="","",OFFSET(CampList[Priority],MATCH(Table_NFI[[#This Row],[Pcode]],CampList[CP_Pcode],0)-1,0,1,1))</f>
        <v>P4</v>
      </c>
      <c r="AS937" s="351">
        <f>IFERROR(Table_NFI[[#This Row],[Kitchen Set]]/VLOOKUP(Table_NFI[[#This Row],[Camp Name]],CL,4,0),"")</f>
        <v>1.0218978102189782</v>
      </c>
      <c r="AT937" s="533" t="s">
        <v>1094</v>
      </c>
      <c r="AU937" s="536"/>
    </row>
    <row r="938" spans="1:47" ht="14.45" hidden="1" customHeight="1" x14ac:dyDescent="0.25">
      <c r="A938" s="355">
        <f t="shared" si="14"/>
        <v>25.833333333333332</v>
      </c>
      <c r="B938" s="532">
        <v>41796</v>
      </c>
      <c r="C938" s="533" t="s">
        <v>1106</v>
      </c>
      <c r="D938" s="533" t="s">
        <v>902</v>
      </c>
      <c r="E938" s="533" t="s">
        <v>380</v>
      </c>
      <c r="F938" s="533" t="s">
        <v>180</v>
      </c>
      <c r="G938" s="533" t="s">
        <v>181</v>
      </c>
      <c r="H938" s="349"/>
      <c r="I938" s="349"/>
      <c r="J938" s="349"/>
      <c r="K938" s="349"/>
      <c r="L938" s="350"/>
      <c r="M938" s="350"/>
      <c r="N938" s="350"/>
      <c r="O938" s="350"/>
      <c r="P938" s="352"/>
      <c r="Q938" s="352"/>
      <c r="R938" s="352"/>
      <c r="S938" s="352"/>
      <c r="T938" s="352"/>
      <c r="U938" s="352">
        <v>24</v>
      </c>
      <c r="V938" s="497"/>
      <c r="W938" s="352"/>
      <c r="X938" s="352"/>
      <c r="Y938" s="352">
        <f>IF(NFI_Expiration=1,IF($A938&lt;VLOOKUP(H$5,NFI,5,0),1,0)*Table_NFI[[#This Row],[Hygiene Kit]],Table_NFI[Hygiene Kit])</f>
        <v>0</v>
      </c>
      <c r="Z938" s="352">
        <f>IF(NFI_Expiration=1,IF($A938&lt;VLOOKUP(I$5,NFI,5,0),1,0)*Table_NFI[[#This Row],[NFI Core Kit]],Table_NFI[NFI Core Kit])</f>
        <v>0</v>
      </c>
      <c r="AA938" s="352">
        <f>IF(NFI_Expiration=1,IF($A938&lt;VLOOKUP(J$5,NFI,5,0),1,0)*Table_NFI[[#This Row],[Sanitary Kit]],Table_NFI[Sanitary Kit])</f>
        <v>0</v>
      </c>
      <c r="AB938" s="352">
        <f>IF(NFI_Expiration=1,IF($A938&lt;VLOOKUP(K$5,NFI,5,0),1,0)*Table_NFI[[#This Row],[Mosquito net]],Table_NFI[Mosquito net])</f>
        <v>0</v>
      </c>
      <c r="AC938" s="352">
        <f>IF(NFI_Expiration=1,IF($A938&lt;VLOOKUP(L$5,NFI,5,0),1,0)*Table_NFI[[#This Row],[Tarpaulin]],Table_NFI[[#This Row],[Tarpaulin]])</f>
        <v>0</v>
      </c>
      <c r="AD938" s="352">
        <f>IF(NFI_Expiration=1,IF($A938&lt;VLOOKUP(M$5,NFI,5,0),1,0)*Table_NFI[[#This Row],[Blanket]],Table_NFI[[#This Row],[Blanket]])</f>
        <v>0</v>
      </c>
      <c r="AE938" s="352">
        <f>IF(NFI_Expiration=1,IF($A938&lt;VLOOKUP(N$5,NFI,5,0),1,0)*Table_NFI[[#This Row],[Kitchen Set]],Table_NFI[Kitchen Set])</f>
        <v>0</v>
      </c>
      <c r="AF938" s="352">
        <f>IF(NFI_Expiration=1,IF($A938&lt;VLOOKUP(O$5,NFI,5,0),1,0)*Table_NFI[[#This Row],[Clothes Kit]],Table_NFI[Clothes Kit])</f>
        <v>0</v>
      </c>
      <c r="AG938" s="352">
        <f>IF(NFI_Expiration=1,IF($A938&lt;VLOOKUP(P$5,NFI,5,0),1,0)*Table_NFI[[#This Row],[Plastic Bucket]],Table_NFI[Plastic Bucket])</f>
        <v>0</v>
      </c>
      <c r="AH938" s="352">
        <f>IF(NFI_Expiration=1,IF($A938&lt;VLOOKUP(Q$5,NFI,5,0),1,0)*Table_NFI[[#This Row],[Plastic Mat]],Table_NFI[Plastic Mat])*IF(Table_NFI[[#This Row],[Distribution Date]]&gt;"2014-04-01",1,2.5)</f>
        <v>0</v>
      </c>
      <c r="AI938" s="352">
        <f>IF(NFI_Expiration=1,IF($A938&lt;VLOOKUP(R$5,NFI,5,0),1,0)*Table_NFI[[#This Row],[Winter Clothes Adult]],Table_NFI[Winter Clothes Adult])</f>
        <v>0</v>
      </c>
      <c r="AJ938" s="352">
        <f>IF(NFI_Expiration=1,IF($A938&lt;VLOOKUP(S$5,NFI,5,0),1,0)*Table_NFI[[#This Row],[Winter Clothes Children]],Table_NFI[Winter Clothes Children])</f>
        <v>0</v>
      </c>
      <c r="AK938" s="352">
        <f>IF(NFI_Expiration=1,IF($A938&lt;VLOOKUP(T$5,NFI,5,0),1,0)*Table_NFI[[#This Row],[Winter Items Other]],Table_NFI[Winter Items Other])</f>
        <v>0</v>
      </c>
      <c r="AL938" s="352">
        <f>IF(NFI_Expiration=1,IF($A938&lt;VLOOKUP(M$5,NFI,5,0),1,0)*Table_NFI[[#This Row],[Winter Blanket]],Table_NFI[[#This Row],[Winter Blanket]])</f>
        <v>0</v>
      </c>
      <c r="AM938" s="352">
        <f>IF(Table_NFI[[#This Row],[Winter Clothes Adult]]+Table_NFI[[#This Row],[Winter Clothes Children]]+Table_NFI[[#This Row],[Winter Items Other]]+Table_NFI[[#This Row],[Winter Blanket]]&gt;0,1,0)</f>
        <v>1</v>
      </c>
      <c r="AN938" s="392">
        <f>IF(NFI_Expiration=1,IF($A938&lt;VLOOKUP(V$5,NFI,5,0),1,0)*Table_NFI[[#This Row],[Jerry Can]],Table_NFI[Jerry Can])</f>
        <v>0</v>
      </c>
      <c r="AO938" s="540" t="str">
        <f>IFERROR(VLOOKUP(Table_NFI[[#This Row],[Camp Name]],CL,2,0),"")</f>
        <v>MMR001CMP080</v>
      </c>
      <c r="AP938" s="535">
        <f ca="1">IF(Table_NFI[[#This Row],[Pcode]]="","",IF(OFFSET(CampList[Opening Date],MATCH(Table_NFI[[#This Row],[Pcode]],CampList[CP_Pcode],0)-1,0,1,1)&gt;=NFI_Monitor_Date,1,0))</f>
        <v>0</v>
      </c>
      <c r="AQ938" s="540" t="str">
        <f>IFERROR(VLOOKUP(Table_NFI[[#This Row],[Camp Name]],CL,3,0),"")</f>
        <v>Open</v>
      </c>
      <c r="AR938" s="352" t="str">
        <f ca="1">IF(Table_NFI[[#This Row],[Pcode]]="","",OFFSET(CampList[Priority],MATCH(Table_NFI[[#This Row],[Pcode]],CampList[CP_Pcode],0)-1,0,1,1))</f>
        <v>P4</v>
      </c>
      <c r="AS938" s="351">
        <f>IFERROR(Table_NFI[[#This Row],[Kitchen Set]]/VLOOKUP(Table_NFI[[#This Row],[Camp Name]],CL,4,0),"")</f>
        <v>0</v>
      </c>
      <c r="AT938" s="533"/>
      <c r="AU938" s="536"/>
    </row>
    <row r="939" spans="1:47" ht="14.45" hidden="1" customHeight="1" x14ac:dyDescent="0.25">
      <c r="A939" s="355">
        <f t="shared" si="14"/>
        <v>41.866666666666667</v>
      </c>
      <c r="B939" s="532">
        <v>41315</v>
      </c>
      <c r="C939" s="533" t="s">
        <v>902</v>
      </c>
      <c r="D939" s="534" t="s">
        <v>902</v>
      </c>
      <c r="E939" s="533" t="s">
        <v>380</v>
      </c>
      <c r="F939" s="348" t="s">
        <v>180</v>
      </c>
      <c r="G939" s="348" t="s">
        <v>181</v>
      </c>
      <c r="H939" s="349"/>
      <c r="I939" s="349"/>
      <c r="J939" s="349"/>
      <c r="K939" s="349"/>
      <c r="L939" s="350">
        <v>20</v>
      </c>
      <c r="M939" s="350"/>
      <c r="N939" s="350">
        <v>12</v>
      </c>
      <c r="O939" s="350"/>
      <c r="P939" s="352">
        <v>0</v>
      </c>
      <c r="Q939" s="352">
        <v>0</v>
      </c>
      <c r="R939" s="352"/>
      <c r="S939" s="352"/>
      <c r="T939" s="352"/>
      <c r="U939" s="352"/>
      <c r="V939" s="497"/>
      <c r="W939" s="352"/>
      <c r="X939" s="352"/>
      <c r="Y939" s="352">
        <f>IF(NFI_Expiration=1,IF($A939&lt;VLOOKUP(H$5,NFI,5,0),1,0)*Table_NFI[[#This Row],[Hygiene Kit]],Table_NFI[Hygiene Kit])</f>
        <v>0</v>
      </c>
      <c r="Z939" s="352">
        <f>IF(NFI_Expiration=1,IF($A939&lt;VLOOKUP(I$5,NFI,5,0),1,0)*Table_NFI[[#This Row],[NFI Core Kit]],Table_NFI[NFI Core Kit])</f>
        <v>0</v>
      </c>
      <c r="AA939" s="352">
        <f>IF(NFI_Expiration=1,IF($A939&lt;VLOOKUP(J$5,NFI,5,0),1,0)*Table_NFI[[#This Row],[Sanitary Kit]],Table_NFI[Sanitary Kit])</f>
        <v>0</v>
      </c>
      <c r="AB939" s="352">
        <f>IF(NFI_Expiration=1,IF($A939&lt;VLOOKUP(K$5,NFI,5,0),1,0)*Table_NFI[[#This Row],[Mosquito net]],Table_NFI[Mosquito net])</f>
        <v>0</v>
      </c>
      <c r="AC939" s="352">
        <f>IF(NFI_Expiration=1,IF($A939&lt;VLOOKUP(L$5,NFI,5,0),1,0)*Table_NFI[[#This Row],[Tarpaulin]],Table_NFI[[#This Row],[Tarpaulin]])</f>
        <v>0</v>
      </c>
      <c r="AD939" s="352">
        <f>IF(NFI_Expiration=1,IF($A939&lt;VLOOKUP(M$5,NFI,5,0),1,0)*Table_NFI[[#This Row],[Blanket]],Table_NFI[[#This Row],[Blanket]])</f>
        <v>0</v>
      </c>
      <c r="AE939" s="352">
        <f>IF(NFI_Expiration=1,IF($A939&lt;VLOOKUP(N$5,NFI,5,0),1,0)*Table_NFI[[#This Row],[Kitchen Set]],Table_NFI[Kitchen Set])</f>
        <v>0</v>
      </c>
      <c r="AF939" s="352">
        <f>IF(NFI_Expiration=1,IF($A939&lt;VLOOKUP(O$5,NFI,5,0),1,0)*Table_NFI[[#This Row],[Clothes Kit]],Table_NFI[Clothes Kit])</f>
        <v>0</v>
      </c>
      <c r="AG939" s="352">
        <f>IF(NFI_Expiration=1,IF($A939&lt;VLOOKUP(P$5,NFI,5,0),1,0)*Table_NFI[[#This Row],[Plastic Bucket]],Table_NFI[Plastic Bucket])</f>
        <v>0</v>
      </c>
      <c r="AH939" s="352">
        <f>IF(NFI_Expiration=1,IF($A939&lt;VLOOKUP(Q$5,NFI,5,0),1,0)*Table_NFI[[#This Row],[Plastic Mat]],Table_NFI[Plastic Mat])*IF(Table_NFI[[#This Row],[Distribution Date]]&gt;"2014-04-01",1,2.5)</f>
        <v>0</v>
      </c>
      <c r="AI939" s="352">
        <f>IF(NFI_Expiration=1,IF($A939&lt;VLOOKUP(R$5,NFI,5,0),1,0)*Table_NFI[[#This Row],[Winter Clothes Adult]],Table_NFI[Winter Clothes Adult])</f>
        <v>0</v>
      </c>
      <c r="AJ939" s="352">
        <f>IF(NFI_Expiration=1,IF($A939&lt;VLOOKUP(S$5,NFI,5,0),1,0)*Table_NFI[[#This Row],[Winter Clothes Children]],Table_NFI[Winter Clothes Children])</f>
        <v>0</v>
      </c>
      <c r="AK939" s="352">
        <f>IF(NFI_Expiration=1,IF($A939&lt;VLOOKUP(T$5,NFI,5,0),1,0)*Table_NFI[[#This Row],[Winter Items Other]],Table_NFI[Winter Items Other])</f>
        <v>0</v>
      </c>
      <c r="AL939" s="352">
        <f>IF(NFI_Expiration=1,IF($A939&lt;VLOOKUP(M$5,NFI,5,0),1,0)*Table_NFI[[#This Row],[Winter Blanket]],Table_NFI[[#This Row],[Winter Blanket]])</f>
        <v>0</v>
      </c>
      <c r="AM939" s="352">
        <f>IF(Table_NFI[[#This Row],[Winter Clothes Adult]]+Table_NFI[[#This Row],[Winter Clothes Children]]+Table_NFI[[#This Row],[Winter Items Other]]+Table_NFI[[#This Row],[Winter Blanket]]&gt;0,1,0)</f>
        <v>0</v>
      </c>
      <c r="AN939" s="392">
        <f>IF(NFI_Expiration=1,IF($A939&lt;VLOOKUP(V$5,NFI,5,0),1,0)*Table_NFI[[#This Row],[Jerry Can]],Table_NFI[Jerry Can])</f>
        <v>0</v>
      </c>
      <c r="AO939" s="540" t="str">
        <f>IFERROR(VLOOKUP(Table_NFI[[#This Row],[Camp Name]],CL,2,0),"")</f>
        <v>MMR001CMP080</v>
      </c>
      <c r="AP939" s="535">
        <f ca="1">IF(Table_NFI[[#This Row],[Pcode]]="","",IF(OFFSET(CampList[Opening Date],MATCH(Table_NFI[[#This Row],[Pcode]],CampList[CP_Pcode],0)-1,0,1,1)&gt;=NFI_Monitor_Date,1,0))</f>
        <v>0</v>
      </c>
      <c r="AQ939" s="540" t="str">
        <f>IFERROR(VLOOKUP(Table_NFI[[#This Row],[Camp Name]],CL,3,0),"")</f>
        <v>Open</v>
      </c>
      <c r="AR939" s="352" t="str">
        <f ca="1">IF(Table_NFI[[#This Row],[Pcode]]="","",OFFSET(CampList[Priority],MATCH(Table_NFI[[#This Row],[Pcode]],CampList[CP_Pcode],0)-1,0,1,1))</f>
        <v>P4</v>
      </c>
      <c r="AS939" s="351">
        <f>IFERROR(Table_NFI[[#This Row],[Kitchen Set]]/VLOOKUP(Table_NFI[[#This Row],[Camp Name]],CL,4,0),"")</f>
        <v>1</v>
      </c>
      <c r="AT939" s="533" t="s">
        <v>1094</v>
      </c>
      <c r="AU939" s="536"/>
    </row>
    <row r="940" spans="1:47" ht="14.45" customHeight="1" x14ac:dyDescent="0.25">
      <c r="A940" s="355">
        <f t="shared" si="14"/>
        <v>52.533333333333331</v>
      </c>
      <c r="B940" s="532">
        <v>40995</v>
      </c>
      <c r="C940" s="533" t="s">
        <v>453</v>
      </c>
      <c r="D940" s="534" t="s">
        <v>453</v>
      </c>
      <c r="E940" s="533" t="s">
        <v>380</v>
      </c>
      <c r="F940" s="348" t="s">
        <v>310</v>
      </c>
      <c r="G940" s="348" t="s">
        <v>334</v>
      </c>
      <c r="H940" s="349"/>
      <c r="I940" s="349"/>
      <c r="J940" s="349"/>
      <c r="K940" s="349">
        <v>460</v>
      </c>
      <c r="L940" s="350">
        <v>228</v>
      </c>
      <c r="M940" s="350">
        <v>460</v>
      </c>
      <c r="N940" s="350">
        <v>228</v>
      </c>
      <c r="O940" s="350">
        <v>228</v>
      </c>
      <c r="P940" s="352">
        <v>228</v>
      </c>
      <c r="Q940" s="352">
        <v>228</v>
      </c>
      <c r="R940" s="352"/>
      <c r="S940" s="352"/>
      <c r="T940" s="352"/>
      <c r="U940" s="352"/>
      <c r="V940" s="497"/>
      <c r="W940" s="352"/>
      <c r="X940" s="352"/>
      <c r="Y940" s="352">
        <f>IF(NFI_Expiration=1,IF($A940&lt;VLOOKUP(H$5,NFI,5,0),1,0)*Table_NFI[[#This Row],[Hygiene Kit]],Table_NFI[Hygiene Kit])</f>
        <v>0</v>
      </c>
      <c r="Z940" s="352">
        <f>IF(NFI_Expiration=1,IF($A940&lt;VLOOKUP(I$5,NFI,5,0),1,0)*Table_NFI[[#This Row],[NFI Core Kit]],Table_NFI[NFI Core Kit])</f>
        <v>0</v>
      </c>
      <c r="AA940" s="352">
        <f>IF(NFI_Expiration=1,IF($A940&lt;VLOOKUP(J$5,NFI,5,0),1,0)*Table_NFI[[#This Row],[Sanitary Kit]],Table_NFI[Sanitary Kit])</f>
        <v>0</v>
      </c>
      <c r="AB940" s="352">
        <f>IF(NFI_Expiration=1,IF($A940&lt;VLOOKUP(K$5,NFI,5,0),1,0)*Table_NFI[[#This Row],[Mosquito net]],Table_NFI[Mosquito net])</f>
        <v>0</v>
      </c>
      <c r="AC940" s="352">
        <f>IF(NFI_Expiration=1,IF($A940&lt;VLOOKUP(L$5,NFI,5,0),1,0)*Table_NFI[[#This Row],[Tarpaulin]],Table_NFI[[#This Row],[Tarpaulin]])</f>
        <v>0</v>
      </c>
      <c r="AD940" s="352">
        <f>IF(NFI_Expiration=1,IF($A940&lt;VLOOKUP(M$5,NFI,5,0),1,0)*Table_NFI[[#This Row],[Blanket]],Table_NFI[[#This Row],[Blanket]])</f>
        <v>0</v>
      </c>
      <c r="AE940" s="352">
        <f>IF(NFI_Expiration=1,IF($A940&lt;VLOOKUP(N$5,NFI,5,0),1,0)*Table_NFI[[#This Row],[Kitchen Set]],Table_NFI[Kitchen Set])</f>
        <v>0</v>
      </c>
      <c r="AF940" s="352">
        <f>IF(NFI_Expiration=1,IF($A940&lt;VLOOKUP(O$5,NFI,5,0),1,0)*Table_NFI[[#This Row],[Clothes Kit]],Table_NFI[Clothes Kit])</f>
        <v>0</v>
      </c>
      <c r="AG940" s="352">
        <f>IF(NFI_Expiration=1,IF($A940&lt;VLOOKUP(P$5,NFI,5,0),1,0)*Table_NFI[[#This Row],[Plastic Bucket]],Table_NFI[Plastic Bucket])</f>
        <v>0</v>
      </c>
      <c r="AH940" s="352">
        <f>IF(NFI_Expiration=1,IF($A940&lt;VLOOKUP(Q$5,NFI,5,0),1,0)*Table_NFI[[#This Row],[Plastic Mat]],Table_NFI[Plastic Mat])*IF(Table_NFI[[#This Row],[Distribution Date]]&gt;"2014-04-01",1,2.5)</f>
        <v>0</v>
      </c>
      <c r="AI940" s="352">
        <f>IF(NFI_Expiration=1,IF($A940&lt;VLOOKUP(R$5,NFI,5,0),1,0)*Table_NFI[[#This Row],[Winter Clothes Adult]],Table_NFI[Winter Clothes Adult])</f>
        <v>0</v>
      </c>
      <c r="AJ940" s="352">
        <f>IF(NFI_Expiration=1,IF($A940&lt;VLOOKUP(S$5,NFI,5,0),1,0)*Table_NFI[[#This Row],[Winter Clothes Children]],Table_NFI[Winter Clothes Children])</f>
        <v>0</v>
      </c>
      <c r="AK940" s="352">
        <f>IF(NFI_Expiration=1,IF($A940&lt;VLOOKUP(T$5,NFI,5,0),1,0)*Table_NFI[[#This Row],[Winter Items Other]],Table_NFI[Winter Items Other])</f>
        <v>0</v>
      </c>
      <c r="AL940" s="352">
        <f>IF(NFI_Expiration=1,IF($A940&lt;VLOOKUP(M$5,NFI,5,0),1,0)*Table_NFI[[#This Row],[Winter Blanket]],Table_NFI[[#This Row],[Winter Blanket]])</f>
        <v>0</v>
      </c>
      <c r="AM940" s="352">
        <f>IF(Table_NFI[[#This Row],[Winter Clothes Adult]]+Table_NFI[[#This Row],[Winter Clothes Children]]+Table_NFI[[#This Row],[Winter Items Other]]+Table_NFI[[#This Row],[Winter Blanket]]&gt;0,1,0)</f>
        <v>0</v>
      </c>
      <c r="AN940" s="392">
        <f>IF(NFI_Expiration=1,IF($A940&lt;VLOOKUP(V$5,NFI,5,0),1,0)*Table_NFI[[#This Row],[Jerry Can]],Table_NFI[Jerry Can])</f>
        <v>0</v>
      </c>
      <c r="AO940" s="540" t="str">
        <f>IFERROR(VLOOKUP(Table_NFI[[#This Row],[Camp Name]],CL,2,0),"")</f>
        <v>MMR001CMP113</v>
      </c>
      <c r="AP940" s="535">
        <f ca="1">IF(Table_NFI[[#This Row],[Pcode]]="","",IF(OFFSET(CampList[Opening Date],MATCH(Table_NFI[[#This Row],[Pcode]],CampList[CP_Pcode],0)-1,0,1,1)&gt;=NFI_Monitor_Date,1,0))</f>
        <v>0</v>
      </c>
      <c r="AQ940" s="540" t="str">
        <f>IFERROR(VLOOKUP(Table_NFI[[#This Row],[Camp Name]],CL,3,0),"")</f>
        <v>Open</v>
      </c>
      <c r="AR940" s="352" t="str">
        <f ca="1">IF(Table_NFI[[#This Row],[Pcode]]="","",OFFSET(CampList[Priority],MATCH(Table_NFI[[#This Row],[Pcode]],CampList[CP_Pcode],0)-1,0,1,1))</f>
        <v>P1</v>
      </c>
      <c r="AS940" s="351">
        <f>IFERROR(Table_NFI[[#This Row],[Kitchen Set]]/VLOOKUP(Table_NFI[[#This Row],[Camp Name]],CL,4,0),"")</f>
        <v>1.425</v>
      </c>
      <c r="AT940" s="533" t="s">
        <v>1094</v>
      </c>
      <c r="AU940" s="536"/>
    </row>
    <row r="941" spans="1:47" ht="14.45" customHeight="1" x14ac:dyDescent="0.25">
      <c r="A941" s="355">
        <f t="shared" si="14"/>
        <v>52.533333333333331</v>
      </c>
      <c r="B941" s="532">
        <v>40995</v>
      </c>
      <c r="C941" s="533" t="s">
        <v>453</v>
      </c>
      <c r="D941" s="534" t="s">
        <v>453</v>
      </c>
      <c r="E941" s="533" t="s">
        <v>380</v>
      </c>
      <c r="F941" s="348" t="s">
        <v>185</v>
      </c>
      <c r="G941" s="348" t="s">
        <v>914</v>
      </c>
      <c r="H941" s="349"/>
      <c r="I941" s="349"/>
      <c r="J941" s="349"/>
      <c r="K941" s="349">
        <v>52</v>
      </c>
      <c r="L941" s="350">
        <v>52</v>
      </c>
      <c r="M941" s="350">
        <v>0</v>
      </c>
      <c r="N941" s="350">
        <v>0</v>
      </c>
      <c r="O941" s="350">
        <v>0</v>
      </c>
      <c r="P941" s="352"/>
      <c r="Q941" s="352"/>
      <c r="R941" s="352"/>
      <c r="S941" s="352"/>
      <c r="T941" s="352"/>
      <c r="U941" s="352"/>
      <c r="V941" s="497"/>
      <c r="W941" s="352"/>
      <c r="X941" s="352"/>
      <c r="Y941" s="352">
        <f>IF(NFI_Expiration=1,IF($A941&lt;VLOOKUP(H$5,NFI,5,0),1,0)*Table_NFI[[#This Row],[Hygiene Kit]],Table_NFI[Hygiene Kit])</f>
        <v>0</v>
      </c>
      <c r="Z941" s="352">
        <f>IF(NFI_Expiration=1,IF($A941&lt;VLOOKUP(I$5,NFI,5,0),1,0)*Table_NFI[[#This Row],[NFI Core Kit]],Table_NFI[NFI Core Kit])</f>
        <v>0</v>
      </c>
      <c r="AA941" s="352">
        <f>IF(NFI_Expiration=1,IF($A941&lt;VLOOKUP(J$5,NFI,5,0),1,0)*Table_NFI[[#This Row],[Sanitary Kit]],Table_NFI[Sanitary Kit])</f>
        <v>0</v>
      </c>
      <c r="AB941" s="352">
        <f>IF(NFI_Expiration=1,IF($A941&lt;VLOOKUP(K$5,NFI,5,0),1,0)*Table_NFI[[#This Row],[Mosquito net]],Table_NFI[Mosquito net])</f>
        <v>0</v>
      </c>
      <c r="AC941" s="352">
        <f>IF(NFI_Expiration=1,IF($A941&lt;VLOOKUP(L$5,NFI,5,0),1,0)*Table_NFI[[#This Row],[Tarpaulin]],Table_NFI[[#This Row],[Tarpaulin]])</f>
        <v>0</v>
      </c>
      <c r="AD941" s="352">
        <f>IF(NFI_Expiration=1,IF($A941&lt;VLOOKUP(M$5,NFI,5,0),1,0)*Table_NFI[[#This Row],[Blanket]],Table_NFI[[#This Row],[Blanket]])</f>
        <v>0</v>
      </c>
      <c r="AE941" s="352">
        <f>IF(NFI_Expiration=1,IF($A941&lt;VLOOKUP(N$5,NFI,5,0),1,0)*Table_NFI[[#This Row],[Kitchen Set]],Table_NFI[Kitchen Set])</f>
        <v>0</v>
      </c>
      <c r="AF941" s="352">
        <f>IF(NFI_Expiration=1,IF($A941&lt;VLOOKUP(O$5,NFI,5,0),1,0)*Table_NFI[[#This Row],[Clothes Kit]],Table_NFI[Clothes Kit])</f>
        <v>0</v>
      </c>
      <c r="AG941" s="352">
        <f>IF(NFI_Expiration=1,IF($A941&lt;VLOOKUP(P$5,NFI,5,0),1,0)*Table_NFI[[#This Row],[Plastic Bucket]],Table_NFI[Plastic Bucket])</f>
        <v>0</v>
      </c>
      <c r="AH941" s="352">
        <f>IF(NFI_Expiration=1,IF($A941&lt;VLOOKUP(Q$5,NFI,5,0),1,0)*Table_NFI[[#This Row],[Plastic Mat]],Table_NFI[Plastic Mat])*IF(Table_NFI[[#This Row],[Distribution Date]]&gt;"2014-04-01",1,2.5)</f>
        <v>0</v>
      </c>
      <c r="AI941" s="352">
        <f>IF(NFI_Expiration=1,IF($A941&lt;VLOOKUP(R$5,NFI,5,0),1,0)*Table_NFI[[#This Row],[Winter Clothes Adult]],Table_NFI[Winter Clothes Adult])</f>
        <v>0</v>
      </c>
      <c r="AJ941" s="352">
        <f>IF(NFI_Expiration=1,IF($A941&lt;VLOOKUP(S$5,NFI,5,0),1,0)*Table_NFI[[#This Row],[Winter Clothes Children]],Table_NFI[Winter Clothes Children])</f>
        <v>0</v>
      </c>
      <c r="AK941" s="352">
        <f>IF(NFI_Expiration=1,IF($A941&lt;VLOOKUP(T$5,NFI,5,0),1,0)*Table_NFI[[#This Row],[Winter Items Other]],Table_NFI[Winter Items Other])</f>
        <v>0</v>
      </c>
      <c r="AL941" s="352">
        <f>IF(NFI_Expiration=1,IF($A941&lt;VLOOKUP(M$5,NFI,5,0),1,0)*Table_NFI[[#This Row],[Winter Blanket]],Table_NFI[[#This Row],[Winter Blanket]])</f>
        <v>0</v>
      </c>
      <c r="AM941" s="352">
        <f>IF(Table_NFI[[#This Row],[Winter Clothes Adult]]+Table_NFI[[#This Row],[Winter Clothes Children]]+Table_NFI[[#This Row],[Winter Items Other]]+Table_NFI[[#This Row],[Winter Blanket]]&gt;0,1,0)</f>
        <v>0</v>
      </c>
      <c r="AN941" s="392">
        <f>IF(NFI_Expiration=1,IF($A941&lt;VLOOKUP(V$5,NFI,5,0),1,0)*Table_NFI[[#This Row],[Jerry Can]],Table_NFI[Jerry Can])</f>
        <v>0</v>
      </c>
      <c r="AO941" s="540" t="str">
        <f>IFERROR(VLOOKUP(Table_NFI[[#This Row],[Camp Name]],CL,2,0),"")</f>
        <v/>
      </c>
      <c r="AP941" s="535" t="str">
        <f ca="1">IF(Table_NFI[[#This Row],[Pcode]]="","",IF(OFFSET(CampList[Opening Date],MATCH(Table_NFI[[#This Row],[Pcode]],CampList[CP_Pcode],0)-1,0,1,1)&gt;=NFI_Monitor_Date,1,0))</f>
        <v/>
      </c>
      <c r="AQ941" s="540" t="str">
        <f>IFERROR(VLOOKUP(Table_NFI[[#This Row],[Camp Name]],CL,3,0),"")</f>
        <v/>
      </c>
      <c r="AR941" s="352" t="str">
        <f ca="1">IF(Table_NFI[[#This Row],[Pcode]]="","",OFFSET(CampList[Priority],MATCH(Table_NFI[[#This Row],[Pcode]],CampList[CP_Pcode],0)-1,0,1,1))</f>
        <v/>
      </c>
      <c r="AS941" s="351" t="str">
        <f>IFERROR(Table_NFI[[#This Row],[Kitchen Set]]/VLOOKUP(Table_NFI[[#This Row],[Camp Name]],CL,4,0),"")</f>
        <v/>
      </c>
      <c r="AT941" s="533" t="s">
        <v>1094</v>
      </c>
      <c r="AU941" s="536"/>
    </row>
    <row r="942" spans="1:47" ht="14.45" hidden="1" customHeight="1" x14ac:dyDescent="0.25">
      <c r="A942" s="355">
        <f t="shared" si="14"/>
        <v>18.466666666666665</v>
      </c>
      <c r="B942" s="532">
        <v>42017</v>
      </c>
      <c r="C942" s="533" t="s">
        <v>1096</v>
      </c>
      <c r="D942" s="533" t="s">
        <v>902</v>
      </c>
      <c r="E942" s="533" t="s">
        <v>380</v>
      </c>
      <c r="F942" s="533" t="s">
        <v>809</v>
      </c>
      <c r="G942" s="533" t="s">
        <v>809</v>
      </c>
      <c r="H942" s="349"/>
      <c r="I942" s="352"/>
      <c r="J942" s="352"/>
      <c r="K942" s="352"/>
      <c r="L942" s="350"/>
      <c r="M942" s="350"/>
      <c r="N942" s="350"/>
      <c r="O942" s="350"/>
      <c r="P942" s="352"/>
      <c r="Q942" s="352"/>
      <c r="R942" s="352">
        <v>91</v>
      </c>
      <c r="S942" s="352">
        <v>32</v>
      </c>
      <c r="T942" s="352"/>
      <c r="U942" s="352">
        <v>36</v>
      </c>
      <c r="V942" s="497"/>
      <c r="W942" s="352"/>
      <c r="X942" s="352"/>
      <c r="Y942" s="352">
        <f>IF(NFI_Expiration=1,IF($A942&lt;VLOOKUP(H$5,NFI,5,0),1,0)*Table_NFI[[#This Row],[Hygiene Kit]],Table_NFI[Hygiene Kit])</f>
        <v>0</v>
      </c>
      <c r="Z942" s="352">
        <f>IF(NFI_Expiration=1,IF($A942&lt;VLOOKUP(I$5,NFI,5,0),1,0)*Table_NFI[[#This Row],[NFI Core Kit]],Table_NFI[NFI Core Kit])</f>
        <v>0</v>
      </c>
      <c r="AA942" s="352">
        <f>IF(NFI_Expiration=1,IF($A942&lt;VLOOKUP(J$5,NFI,5,0),1,0)*Table_NFI[[#This Row],[Sanitary Kit]],Table_NFI[Sanitary Kit])</f>
        <v>0</v>
      </c>
      <c r="AB942" s="352">
        <f>IF(NFI_Expiration=1,IF($A942&lt;VLOOKUP(K$5,NFI,5,0),1,0)*Table_NFI[[#This Row],[Mosquito net]],Table_NFI[Mosquito net])</f>
        <v>0</v>
      </c>
      <c r="AC942" s="352">
        <f>IF(NFI_Expiration=1,IF($A942&lt;VLOOKUP(L$5,NFI,5,0),1,0)*Table_NFI[[#This Row],[Tarpaulin]],Table_NFI[[#This Row],[Tarpaulin]])</f>
        <v>0</v>
      </c>
      <c r="AD942" s="352">
        <f>IF(NFI_Expiration=1,IF($A942&lt;VLOOKUP(M$5,NFI,5,0),1,0)*Table_NFI[[#This Row],[Blanket]],Table_NFI[[#This Row],[Blanket]])</f>
        <v>0</v>
      </c>
      <c r="AE942" s="352">
        <f>IF(NFI_Expiration=1,IF($A942&lt;VLOOKUP(N$5,NFI,5,0),1,0)*Table_NFI[[#This Row],[Kitchen Set]],Table_NFI[Kitchen Set])</f>
        <v>0</v>
      </c>
      <c r="AF942" s="352">
        <f>IF(NFI_Expiration=1,IF($A942&lt;VLOOKUP(O$5,NFI,5,0),1,0)*Table_NFI[[#This Row],[Clothes Kit]],Table_NFI[Clothes Kit])</f>
        <v>0</v>
      </c>
      <c r="AG942" s="352">
        <f>IF(NFI_Expiration=1,IF($A942&lt;VLOOKUP(P$5,NFI,5,0),1,0)*Table_NFI[[#This Row],[Plastic Bucket]],Table_NFI[Plastic Bucket])</f>
        <v>0</v>
      </c>
      <c r="AH942" s="352">
        <f>IF(NFI_Expiration=1,IF($A942&lt;VLOOKUP(Q$5,NFI,5,0),1,0)*Table_NFI[[#This Row],[Plastic Mat]],Table_NFI[Plastic Mat])*IF(Table_NFI[[#This Row],[Distribution Date]]&gt;"2014-04-01",1,2.5)</f>
        <v>0</v>
      </c>
      <c r="AI942" s="352">
        <f>IF(NFI_Expiration=1,IF($A942&lt;VLOOKUP(R$5,NFI,5,0),1,0)*Table_NFI[[#This Row],[Winter Clothes Adult]],Table_NFI[Winter Clothes Adult])</f>
        <v>0</v>
      </c>
      <c r="AJ942" s="352">
        <f>IF(NFI_Expiration=1,IF($A942&lt;VLOOKUP(S$5,NFI,5,0),1,0)*Table_NFI[[#This Row],[Winter Clothes Children]],Table_NFI[Winter Clothes Children])</f>
        <v>0</v>
      </c>
      <c r="AK942" s="352">
        <f>IF(NFI_Expiration=1,IF($A942&lt;VLOOKUP(T$5,NFI,5,0),1,0)*Table_NFI[[#This Row],[Winter Items Other]],Table_NFI[Winter Items Other])</f>
        <v>0</v>
      </c>
      <c r="AL942" s="352">
        <f>IF(NFI_Expiration=1,IF($A942&lt;VLOOKUP(M$5,NFI,5,0),1,0)*Table_NFI[[#This Row],[Winter Blanket]],Table_NFI[[#This Row],[Winter Blanket]])</f>
        <v>0</v>
      </c>
      <c r="AM942" s="352">
        <f>IF(Table_NFI[[#This Row],[Winter Clothes Adult]]+Table_NFI[[#This Row],[Winter Clothes Children]]+Table_NFI[[#This Row],[Winter Items Other]]+Table_NFI[[#This Row],[Winter Blanket]]&gt;0,1,0)</f>
        <v>1</v>
      </c>
      <c r="AN942" s="392">
        <f>IF(NFI_Expiration=1,IF($A942&lt;VLOOKUP(V$5,NFI,5,0),1,0)*Table_NFI[[#This Row],[Jerry Can]],Table_NFI[Jerry Can])</f>
        <v>0</v>
      </c>
      <c r="AO942" s="540" t="str">
        <f>IFERROR(VLOOKUP(Table_NFI[[#This Row],[Camp Name]],CL,2,0),"")</f>
        <v>MMR001CMP206</v>
      </c>
      <c r="AP942" s="535">
        <f ca="1">IF(Table_NFI[[#This Row],[Pcode]]="","",IF(OFFSET(CampList[Opening Date],MATCH(Table_NFI[[#This Row],[Pcode]],CampList[CP_Pcode],0)-1,0,1,1)&gt;=NFI_Monitor_Date,1,0))</f>
        <v>0</v>
      </c>
      <c r="AQ942" s="540" t="str">
        <f>IFERROR(VLOOKUP(Table_NFI[[#This Row],[Camp Name]],CL,3,0),"")</f>
        <v>Open</v>
      </c>
      <c r="AR942" s="352" t="str">
        <f ca="1">IF(Table_NFI[[#This Row],[Pcode]]="","",OFFSET(CampList[Priority],MATCH(Table_NFI[[#This Row],[Pcode]],CampList[CP_Pcode],0)-1,0,1,1))</f>
        <v>P4</v>
      </c>
      <c r="AS942" s="351">
        <f>IFERROR(Table_NFI[[#This Row],[Kitchen Set]]/VLOOKUP(Table_NFI[[#This Row],[Camp Name]],CL,4,0),"")</f>
        <v>0</v>
      </c>
      <c r="AT942" s="533"/>
      <c r="AU942" s="557"/>
    </row>
    <row r="943" spans="1:47" ht="14.45" hidden="1" customHeight="1" x14ac:dyDescent="0.25">
      <c r="A943" s="355">
        <f t="shared" si="14"/>
        <v>29.3</v>
      </c>
      <c r="B943" s="532">
        <v>41692</v>
      </c>
      <c r="C943" s="533" t="s">
        <v>1106</v>
      </c>
      <c r="D943" s="533" t="s">
        <v>902</v>
      </c>
      <c r="E943" s="533" t="s">
        <v>380</v>
      </c>
      <c r="F943" s="533" t="s">
        <v>809</v>
      </c>
      <c r="G943" s="533" t="s">
        <v>809</v>
      </c>
      <c r="H943" s="349"/>
      <c r="I943" s="349"/>
      <c r="J943" s="349"/>
      <c r="K943" s="349"/>
      <c r="L943" s="350"/>
      <c r="M943" s="350"/>
      <c r="N943" s="350"/>
      <c r="O943" s="350"/>
      <c r="P943" s="352"/>
      <c r="Q943" s="352"/>
      <c r="R943" s="352"/>
      <c r="S943" s="352"/>
      <c r="T943" s="352"/>
      <c r="U943" s="352">
        <v>16</v>
      </c>
      <c r="V943" s="497"/>
      <c r="W943" s="352"/>
      <c r="X943" s="352"/>
      <c r="Y943" s="352">
        <f>IF(NFI_Expiration=1,IF($A943&lt;VLOOKUP(H$5,NFI,5,0),1,0)*Table_NFI[[#This Row],[Hygiene Kit]],Table_NFI[Hygiene Kit])</f>
        <v>0</v>
      </c>
      <c r="Z943" s="352">
        <f>IF(NFI_Expiration=1,IF($A943&lt;VLOOKUP(I$5,NFI,5,0),1,0)*Table_NFI[[#This Row],[NFI Core Kit]],Table_NFI[NFI Core Kit])</f>
        <v>0</v>
      </c>
      <c r="AA943" s="352">
        <f>IF(NFI_Expiration=1,IF($A943&lt;VLOOKUP(J$5,NFI,5,0),1,0)*Table_NFI[[#This Row],[Sanitary Kit]],Table_NFI[Sanitary Kit])</f>
        <v>0</v>
      </c>
      <c r="AB943" s="352">
        <f>IF(NFI_Expiration=1,IF($A943&lt;VLOOKUP(K$5,NFI,5,0),1,0)*Table_NFI[[#This Row],[Mosquito net]],Table_NFI[Mosquito net])</f>
        <v>0</v>
      </c>
      <c r="AC943" s="352">
        <f>IF(NFI_Expiration=1,IF($A943&lt;VLOOKUP(L$5,NFI,5,0),1,0)*Table_NFI[[#This Row],[Tarpaulin]],Table_NFI[[#This Row],[Tarpaulin]])</f>
        <v>0</v>
      </c>
      <c r="AD943" s="352">
        <f>IF(NFI_Expiration=1,IF($A943&lt;VLOOKUP(M$5,NFI,5,0),1,0)*Table_NFI[[#This Row],[Blanket]],Table_NFI[[#This Row],[Blanket]])</f>
        <v>0</v>
      </c>
      <c r="AE943" s="352">
        <f>IF(NFI_Expiration=1,IF($A943&lt;VLOOKUP(N$5,NFI,5,0),1,0)*Table_NFI[[#This Row],[Kitchen Set]],Table_NFI[Kitchen Set])</f>
        <v>0</v>
      </c>
      <c r="AF943" s="352">
        <f>IF(NFI_Expiration=1,IF($A943&lt;VLOOKUP(O$5,NFI,5,0),1,0)*Table_NFI[[#This Row],[Clothes Kit]],Table_NFI[Clothes Kit])</f>
        <v>0</v>
      </c>
      <c r="AG943" s="352">
        <f>IF(NFI_Expiration=1,IF($A943&lt;VLOOKUP(P$5,NFI,5,0),1,0)*Table_NFI[[#This Row],[Plastic Bucket]],Table_NFI[Plastic Bucket])</f>
        <v>0</v>
      </c>
      <c r="AH943" s="352">
        <f>IF(NFI_Expiration=1,IF($A943&lt;VLOOKUP(Q$5,NFI,5,0),1,0)*Table_NFI[[#This Row],[Plastic Mat]],Table_NFI[Plastic Mat])*IF(Table_NFI[[#This Row],[Distribution Date]]&gt;"2014-04-01",1,2.5)</f>
        <v>0</v>
      </c>
      <c r="AI943" s="352">
        <f>IF(NFI_Expiration=1,IF($A943&lt;VLOOKUP(R$5,NFI,5,0),1,0)*Table_NFI[[#This Row],[Winter Clothes Adult]],Table_NFI[Winter Clothes Adult])</f>
        <v>0</v>
      </c>
      <c r="AJ943" s="352">
        <f>IF(NFI_Expiration=1,IF($A943&lt;VLOOKUP(S$5,NFI,5,0),1,0)*Table_NFI[[#This Row],[Winter Clothes Children]],Table_NFI[Winter Clothes Children])</f>
        <v>0</v>
      </c>
      <c r="AK943" s="352">
        <f>IF(NFI_Expiration=1,IF($A943&lt;VLOOKUP(T$5,NFI,5,0),1,0)*Table_NFI[[#This Row],[Winter Items Other]],Table_NFI[Winter Items Other])</f>
        <v>0</v>
      </c>
      <c r="AL943" s="352">
        <f>IF(NFI_Expiration=1,IF($A943&lt;VLOOKUP(M$5,NFI,5,0),1,0)*Table_NFI[[#This Row],[Winter Blanket]],Table_NFI[[#This Row],[Winter Blanket]])</f>
        <v>0</v>
      </c>
      <c r="AM943" s="352">
        <f>IF(Table_NFI[[#This Row],[Winter Clothes Adult]]+Table_NFI[[#This Row],[Winter Clothes Children]]+Table_NFI[[#This Row],[Winter Items Other]]+Table_NFI[[#This Row],[Winter Blanket]]&gt;0,1,0)</f>
        <v>1</v>
      </c>
      <c r="AN943" s="392">
        <f>IF(NFI_Expiration=1,IF($A943&lt;VLOOKUP(V$5,NFI,5,0),1,0)*Table_NFI[[#This Row],[Jerry Can]],Table_NFI[Jerry Can])</f>
        <v>0</v>
      </c>
      <c r="AO943" s="540" t="str">
        <f>IFERROR(VLOOKUP(Table_NFI[[#This Row],[Camp Name]],CL,2,0),"")</f>
        <v>MMR001CMP206</v>
      </c>
      <c r="AP943" s="535">
        <f ca="1">IF(Table_NFI[[#This Row],[Pcode]]="","",IF(OFFSET(CampList[Opening Date],MATCH(Table_NFI[[#This Row],[Pcode]],CampList[CP_Pcode],0)-1,0,1,1)&gt;=NFI_Monitor_Date,1,0))</f>
        <v>0</v>
      </c>
      <c r="AQ943" s="540" t="str">
        <f>IFERROR(VLOOKUP(Table_NFI[[#This Row],[Camp Name]],CL,3,0),"")</f>
        <v>Open</v>
      </c>
      <c r="AR943" s="352" t="str">
        <f ca="1">IF(Table_NFI[[#This Row],[Pcode]]="","",OFFSET(CampList[Priority],MATCH(Table_NFI[[#This Row],[Pcode]],CampList[CP_Pcode],0)-1,0,1,1))</f>
        <v>P4</v>
      </c>
      <c r="AS943" s="351">
        <f>IFERROR(Table_NFI[[#This Row],[Kitchen Set]]/VLOOKUP(Table_NFI[[#This Row],[Camp Name]],CL,4,0),"")</f>
        <v>0</v>
      </c>
      <c r="AT943" s="533"/>
      <c r="AU943" s="536"/>
    </row>
    <row r="944" spans="1:47" ht="14.45" hidden="1" customHeight="1" x14ac:dyDescent="0.25">
      <c r="A944" s="355">
        <f t="shared" si="14"/>
        <v>40.299999999999997</v>
      </c>
      <c r="B944" s="532">
        <v>41362</v>
      </c>
      <c r="C944" s="533" t="s">
        <v>902</v>
      </c>
      <c r="D944" s="533" t="s">
        <v>902</v>
      </c>
      <c r="E944" s="533" t="s">
        <v>380</v>
      </c>
      <c r="F944" s="533" t="s">
        <v>809</v>
      </c>
      <c r="G944" s="348" t="s">
        <v>809</v>
      </c>
      <c r="H944" s="349"/>
      <c r="I944" s="349"/>
      <c r="J944" s="349">
        <v>6</v>
      </c>
      <c r="K944" s="349"/>
      <c r="L944" s="350"/>
      <c r="M944" s="350"/>
      <c r="N944" s="350">
        <v>6</v>
      </c>
      <c r="O944" s="350"/>
      <c r="P944" s="352">
        <v>0</v>
      </c>
      <c r="Q944" s="352">
        <v>0</v>
      </c>
      <c r="R944" s="352"/>
      <c r="S944" s="352"/>
      <c r="T944" s="352"/>
      <c r="U944" s="352"/>
      <c r="V944" s="497"/>
      <c r="W944" s="352"/>
      <c r="X944" s="352"/>
      <c r="Y944" s="352">
        <f>IF(NFI_Expiration=1,IF($A944&lt;VLOOKUP(H$5,NFI,5,0),1,0)*Table_NFI[[#This Row],[Hygiene Kit]],Table_NFI[Hygiene Kit])</f>
        <v>0</v>
      </c>
      <c r="Z944" s="352">
        <f>IF(NFI_Expiration=1,IF($A944&lt;VLOOKUP(I$5,NFI,5,0),1,0)*Table_NFI[[#This Row],[NFI Core Kit]],Table_NFI[NFI Core Kit])</f>
        <v>0</v>
      </c>
      <c r="AA944" s="352">
        <f>IF(NFI_Expiration=1,IF($A944&lt;VLOOKUP(J$5,NFI,5,0),1,0)*Table_NFI[[#This Row],[Sanitary Kit]],Table_NFI[Sanitary Kit])</f>
        <v>0</v>
      </c>
      <c r="AB944" s="352">
        <f>IF(NFI_Expiration=1,IF($A944&lt;VLOOKUP(K$5,NFI,5,0),1,0)*Table_NFI[[#This Row],[Mosquito net]],Table_NFI[Mosquito net])</f>
        <v>0</v>
      </c>
      <c r="AC944" s="352">
        <f>IF(NFI_Expiration=1,IF($A944&lt;VLOOKUP(L$5,NFI,5,0),1,0)*Table_NFI[[#This Row],[Tarpaulin]],Table_NFI[[#This Row],[Tarpaulin]])</f>
        <v>0</v>
      </c>
      <c r="AD944" s="352">
        <f>IF(NFI_Expiration=1,IF($A944&lt;VLOOKUP(M$5,NFI,5,0),1,0)*Table_NFI[[#This Row],[Blanket]],Table_NFI[[#This Row],[Blanket]])</f>
        <v>0</v>
      </c>
      <c r="AE944" s="352">
        <f>IF(NFI_Expiration=1,IF($A944&lt;VLOOKUP(N$5,NFI,5,0),1,0)*Table_NFI[[#This Row],[Kitchen Set]],Table_NFI[Kitchen Set])</f>
        <v>0</v>
      </c>
      <c r="AF944" s="352">
        <f>IF(NFI_Expiration=1,IF($A944&lt;VLOOKUP(O$5,NFI,5,0),1,0)*Table_NFI[[#This Row],[Clothes Kit]],Table_NFI[Clothes Kit])</f>
        <v>0</v>
      </c>
      <c r="AG944" s="352">
        <f>IF(NFI_Expiration=1,IF($A944&lt;VLOOKUP(P$5,NFI,5,0),1,0)*Table_NFI[[#This Row],[Plastic Bucket]],Table_NFI[Plastic Bucket])</f>
        <v>0</v>
      </c>
      <c r="AH944" s="352">
        <f>IF(NFI_Expiration=1,IF($A944&lt;VLOOKUP(Q$5,NFI,5,0),1,0)*Table_NFI[[#This Row],[Plastic Mat]],Table_NFI[Plastic Mat])*IF(Table_NFI[[#This Row],[Distribution Date]]&gt;"2014-04-01",1,2.5)</f>
        <v>0</v>
      </c>
      <c r="AI944" s="352">
        <f>IF(NFI_Expiration=1,IF($A944&lt;VLOOKUP(R$5,NFI,5,0),1,0)*Table_NFI[[#This Row],[Winter Clothes Adult]],Table_NFI[Winter Clothes Adult])</f>
        <v>0</v>
      </c>
      <c r="AJ944" s="352">
        <f>IF(NFI_Expiration=1,IF($A944&lt;VLOOKUP(S$5,NFI,5,0),1,0)*Table_NFI[[#This Row],[Winter Clothes Children]],Table_NFI[Winter Clothes Children])</f>
        <v>0</v>
      </c>
      <c r="AK944" s="352">
        <f>IF(NFI_Expiration=1,IF($A944&lt;VLOOKUP(T$5,NFI,5,0),1,0)*Table_NFI[[#This Row],[Winter Items Other]],Table_NFI[Winter Items Other])</f>
        <v>0</v>
      </c>
      <c r="AL944" s="352">
        <f>IF(NFI_Expiration=1,IF($A944&lt;VLOOKUP(M$5,NFI,5,0),1,0)*Table_NFI[[#This Row],[Winter Blanket]],Table_NFI[[#This Row],[Winter Blanket]])</f>
        <v>0</v>
      </c>
      <c r="AM944" s="352">
        <f>IF(Table_NFI[[#This Row],[Winter Clothes Adult]]+Table_NFI[[#This Row],[Winter Clothes Children]]+Table_NFI[[#This Row],[Winter Items Other]]+Table_NFI[[#This Row],[Winter Blanket]]&gt;0,1,0)</f>
        <v>0</v>
      </c>
      <c r="AN944" s="392">
        <f>IF(NFI_Expiration=1,IF($A944&lt;VLOOKUP(V$5,NFI,5,0),1,0)*Table_NFI[[#This Row],[Jerry Can]],Table_NFI[Jerry Can])</f>
        <v>0</v>
      </c>
      <c r="AO944" s="540" t="str">
        <f>IFERROR(VLOOKUP(Table_NFI[[#This Row],[Camp Name]],CL,2,0),"")</f>
        <v>MMR001CMP206</v>
      </c>
      <c r="AP944" s="535">
        <f ca="1">IF(Table_NFI[[#This Row],[Pcode]]="","",IF(OFFSET(CampList[Opening Date],MATCH(Table_NFI[[#This Row],[Pcode]],CampList[CP_Pcode],0)-1,0,1,1)&gt;=NFI_Monitor_Date,1,0))</f>
        <v>0</v>
      </c>
      <c r="AQ944" s="540" t="str">
        <f>IFERROR(VLOOKUP(Table_NFI[[#This Row],[Camp Name]],CL,3,0),"")</f>
        <v>Open</v>
      </c>
      <c r="AR944" s="352" t="str">
        <f ca="1">IF(Table_NFI[[#This Row],[Pcode]]="","",OFFSET(CampList[Priority],MATCH(Table_NFI[[#This Row],[Pcode]],CampList[CP_Pcode],0)-1,0,1,1))</f>
        <v>P4</v>
      </c>
      <c r="AS944" s="351">
        <f>IFERROR(Table_NFI[[#This Row],[Kitchen Set]]/VLOOKUP(Table_NFI[[#This Row],[Camp Name]],CL,4,0),"")</f>
        <v>1.2</v>
      </c>
      <c r="AT944" s="533" t="s">
        <v>1094</v>
      </c>
      <c r="AU944" s="536"/>
    </row>
    <row r="945" spans="1:47" ht="14.45" customHeight="1" x14ac:dyDescent="0.25">
      <c r="A945" s="355">
        <f t="shared" si="14"/>
        <v>52.533333333333331</v>
      </c>
      <c r="B945" s="532">
        <v>40995</v>
      </c>
      <c r="C945" s="533" t="s">
        <v>453</v>
      </c>
      <c r="D945" s="533" t="s">
        <v>453</v>
      </c>
      <c r="E945" s="533" t="s">
        <v>380</v>
      </c>
      <c r="F945" s="348" t="s">
        <v>310</v>
      </c>
      <c r="G945" s="348" t="s">
        <v>355</v>
      </c>
      <c r="H945" s="349"/>
      <c r="I945" s="349"/>
      <c r="J945" s="349"/>
      <c r="K945" s="349">
        <v>0</v>
      </c>
      <c r="L945" s="350">
        <v>40</v>
      </c>
      <c r="M945" s="350">
        <v>0</v>
      </c>
      <c r="N945" s="350">
        <v>0</v>
      </c>
      <c r="O945" s="350">
        <v>0</v>
      </c>
      <c r="P945" s="352"/>
      <c r="Q945" s="352"/>
      <c r="R945" s="352"/>
      <c r="S945" s="352"/>
      <c r="T945" s="352"/>
      <c r="U945" s="352"/>
      <c r="V945" s="497"/>
      <c r="W945" s="352"/>
      <c r="X945" s="352"/>
      <c r="Y945" s="352">
        <f>IF(NFI_Expiration=1,IF($A945&lt;VLOOKUP(H$5,NFI,5,0),1,0)*Table_NFI[[#This Row],[Hygiene Kit]],Table_NFI[Hygiene Kit])</f>
        <v>0</v>
      </c>
      <c r="Z945" s="352">
        <f>IF(NFI_Expiration=1,IF($A945&lt;VLOOKUP(I$5,NFI,5,0),1,0)*Table_NFI[[#This Row],[NFI Core Kit]],Table_NFI[NFI Core Kit])</f>
        <v>0</v>
      </c>
      <c r="AA945" s="352">
        <f>IF(NFI_Expiration=1,IF($A945&lt;VLOOKUP(J$5,NFI,5,0),1,0)*Table_NFI[[#This Row],[Sanitary Kit]],Table_NFI[Sanitary Kit])</f>
        <v>0</v>
      </c>
      <c r="AB945" s="352">
        <f>IF(NFI_Expiration=1,IF($A945&lt;VLOOKUP(K$5,NFI,5,0),1,0)*Table_NFI[[#This Row],[Mosquito net]],Table_NFI[Mosquito net])</f>
        <v>0</v>
      </c>
      <c r="AC945" s="352">
        <f>IF(NFI_Expiration=1,IF($A945&lt;VLOOKUP(L$5,NFI,5,0),1,0)*Table_NFI[[#This Row],[Tarpaulin]],Table_NFI[[#This Row],[Tarpaulin]])</f>
        <v>0</v>
      </c>
      <c r="AD945" s="352">
        <f>IF(NFI_Expiration=1,IF($A945&lt;VLOOKUP(M$5,NFI,5,0),1,0)*Table_NFI[[#This Row],[Blanket]],Table_NFI[[#This Row],[Blanket]])</f>
        <v>0</v>
      </c>
      <c r="AE945" s="352">
        <f>IF(NFI_Expiration=1,IF($A945&lt;VLOOKUP(N$5,NFI,5,0),1,0)*Table_NFI[[#This Row],[Kitchen Set]],Table_NFI[Kitchen Set])</f>
        <v>0</v>
      </c>
      <c r="AF945" s="352">
        <f>IF(NFI_Expiration=1,IF($A945&lt;VLOOKUP(O$5,NFI,5,0),1,0)*Table_NFI[[#This Row],[Clothes Kit]],Table_NFI[Clothes Kit])</f>
        <v>0</v>
      </c>
      <c r="AG945" s="352">
        <f>IF(NFI_Expiration=1,IF($A945&lt;VLOOKUP(P$5,NFI,5,0),1,0)*Table_NFI[[#This Row],[Plastic Bucket]],Table_NFI[Plastic Bucket])</f>
        <v>0</v>
      </c>
      <c r="AH945" s="352">
        <f>IF(NFI_Expiration=1,IF($A945&lt;VLOOKUP(Q$5,NFI,5,0),1,0)*Table_NFI[[#This Row],[Plastic Mat]],Table_NFI[Plastic Mat])*IF(Table_NFI[[#This Row],[Distribution Date]]&gt;"2014-04-01",1,2.5)</f>
        <v>0</v>
      </c>
      <c r="AI945" s="352">
        <f>IF(NFI_Expiration=1,IF($A945&lt;VLOOKUP(R$5,NFI,5,0),1,0)*Table_NFI[[#This Row],[Winter Clothes Adult]],Table_NFI[Winter Clothes Adult])</f>
        <v>0</v>
      </c>
      <c r="AJ945" s="352">
        <f>IF(NFI_Expiration=1,IF($A945&lt;VLOOKUP(S$5,NFI,5,0),1,0)*Table_NFI[[#This Row],[Winter Clothes Children]],Table_NFI[Winter Clothes Children])</f>
        <v>0</v>
      </c>
      <c r="AK945" s="352">
        <f>IF(NFI_Expiration=1,IF($A945&lt;VLOOKUP(T$5,NFI,5,0),1,0)*Table_NFI[[#This Row],[Winter Items Other]],Table_NFI[Winter Items Other])</f>
        <v>0</v>
      </c>
      <c r="AL945" s="352">
        <f>IF(NFI_Expiration=1,IF($A945&lt;VLOOKUP(M$5,NFI,5,0),1,0)*Table_NFI[[#This Row],[Winter Blanket]],Table_NFI[[#This Row],[Winter Blanket]])</f>
        <v>0</v>
      </c>
      <c r="AM945" s="352">
        <f>IF(Table_NFI[[#This Row],[Winter Clothes Adult]]+Table_NFI[[#This Row],[Winter Clothes Children]]+Table_NFI[[#This Row],[Winter Items Other]]+Table_NFI[[#This Row],[Winter Blanket]]&gt;0,1,0)</f>
        <v>0</v>
      </c>
      <c r="AN945" s="392">
        <f>IF(NFI_Expiration=1,IF($A945&lt;VLOOKUP(V$5,NFI,5,0),1,0)*Table_NFI[[#This Row],[Jerry Can]],Table_NFI[Jerry Can])</f>
        <v>0</v>
      </c>
      <c r="AO945" s="540" t="str">
        <f>IFERROR(VLOOKUP(Table_NFI[[#This Row],[Camp Name]],CL,2,0),"")</f>
        <v>MMR001CMP160</v>
      </c>
      <c r="AP945" s="535">
        <f ca="1">IF(Table_NFI[[#This Row],[Pcode]]="","",IF(OFFSET(CampList[Opening Date],MATCH(Table_NFI[[#This Row],[Pcode]],CampList[CP_Pcode],0)-1,0,1,1)&gt;=NFI_Monitor_Date,1,0))</f>
        <v>0</v>
      </c>
      <c r="AQ945" s="540" t="str">
        <f>IFERROR(VLOOKUP(Table_NFI[[#This Row],[Camp Name]],CL,3,0),"")</f>
        <v>Open</v>
      </c>
      <c r="AR945" s="352" t="str">
        <f ca="1">IF(Table_NFI[[#This Row],[Pcode]]="","",OFFSET(CampList[Priority],MATCH(Table_NFI[[#This Row],[Pcode]],CampList[CP_Pcode],0)-1,0,1,1))</f>
        <v>P1</v>
      </c>
      <c r="AS945" s="351">
        <f>IFERROR(Table_NFI[[#This Row],[Kitchen Set]]/VLOOKUP(Table_NFI[[#This Row],[Camp Name]],CL,4,0),"")</f>
        <v>0</v>
      </c>
      <c r="AT945" s="533" t="s">
        <v>1094</v>
      </c>
      <c r="AU945" s="536"/>
    </row>
    <row r="946" spans="1:47" ht="14.45" customHeight="1" x14ac:dyDescent="0.25">
      <c r="A946" s="355">
        <f t="shared" si="14"/>
        <v>52.533333333333331</v>
      </c>
      <c r="B946" s="532">
        <v>40995</v>
      </c>
      <c r="C946" s="533" t="s">
        <v>453</v>
      </c>
      <c r="D946" s="534" t="s">
        <v>453</v>
      </c>
      <c r="E946" s="533" t="s">
        <v>380</v>
      </c>
      <c r="F946" s="348" t="s">
        <v>5</v>
      </c>
      <c r="G946" s="348" t="s">
        <v>22</v>
      </c>
      <c r="H946" s="349"/>
      <c r="I946" s="349"/>
      <c r="J946" s="349"/>
      <c r="K946" s="349">
        <v>1000</v>
      </c>
      <c r="L946" s="350">
        <v>500</v>
      </c>
      <c r="M946" s="350">
        <v>1000</v>
      </c>
      <c r="N946" s="350">
        <v>500</v>
      </c>
      <c r="O946" s="350">
        <v>500</v>
      </c>
      <c r="P946" s="352">
        <v>500</v>
      </c>
      <c r="Q946" s="352">
        <v>500</v>
      </c>
      <c r="R946" s="352"/>
      <c r="S946" s="352"/>
      <c r="T946" s="352"/>
      <c r="U946" s="352"/>
      <c r="V946" s="497"/>
      <c r="W946" s="352"/>
      <c r="X946" s="352"/>
      <c r="Y946" s="352">
        <f>IF(NFI_Expiration=1,IF($A946&lt;VLOOKUP(H$5,NFI,5,0),1,0)*Table_NFI[[#This Row],[Hygiene Kit]],Table_NFI[Hygiene Kit])</f>
        <v>0</v>
      </c>
      <c r="Z946" s="352">
        <f>IF(NFI_Expiration=1,IF($A946&lt;VLOOKUP(I$5,NFI,5,0),1,0)*Table_NFI[[#This Row],[NFI Core Kit]],Table_NFI[NFI Core Kit])</f>
        <v>0</v>
      </c>
      <c r="AA946" s="352">
        <f>IF(NFI_Expiration=1,IF($A946&lt;VLOOKUP(J$5,NFI,5,0),1,0)*Table_NFI[[#This Row],[Sanitary Kit]],Table_NFI[Sanitary Kit])</f>
        <v>0</v>
      </c>
      <c r="AB946" s="352">
        <f>IF(NFI_Expiration=1,IF($A946&lt;VLOOKUP(K$5,NFI,5,0),1,0)*Table_NFI[[#This Row],[Mosquito net]],Table_NFI[Mosquito net])</f>
        <v>0</v>
      </c>
      <c r="AC946" s="352">
        <f>IF(NFI_Expiration=1,IF($A946&lt;VLOOKUP(L$5,NFI,5,0),1,0)*Table_NFI[[#This Row],[Tarpaulin]],Table_NFI[[#This Row],[Tarpaulin]])</f>
        <v>0</v>
      </c>
      <c r="AD946" s="352">
        <f>IF(NFI_Expiration=1,IF($A946&lt;VLOOKUP(M$5,NFI,5,0),1,0)*Table_NFI[[#This Row],[Blanket]],Table_NFI[[#This Row],[Blanket]])</f>
        <v>0</v>
      </c>
      <c r="AE946" s="352">
        <f>IF(NFI_Expiration=1,IF($A946&lt;VLOOKUP(N$5,NFI,5,0),1,0)*Table_NFI[[#This Row],[Kitchen Set]],Table_NFI[Kitchen Set])</f>
        <v>0</v>
      </c>
      <c r="AF946" s="352">
        <f>IF(NFI_Expiration=1,IF($A946&lt;VLOOKUP(O$5,NFI,5,0),1,0)*Table_NFI[[#This Row],[Clothes Kit]],Table_NFI[Clothes Kit])</f>
        <v>0</v>
      </c>
      <c r="AG946" s="352">
        <f>IF(NFI_Expiration=1,IF($A946&lt;VLOOKUP(P$5,NFI,5,0),1,0)*Table_NFI[[#This Row],[Plastic Bucket]],Table_NFI[Plastic Bucket])</f>
        <v>0</v>
      </c>
      <c r="AH946" s="352">
        <f>IF(NFI_Expiration=1,IF($A946&lt;VLOOKUP(Q$5,NFI,5,0),1,0)*Table_NFI[[#This Row],[Plastic Mat]],Table_NFI[Plastic Mat])*IF(Table_NFI[[#This Row],[Distribution Date]]&gt;"2014-04-01",1,2.5)</f>
        <v>0</v>
      </c>
      <c r="AI946" s="352">
        <f>IF(NFI_Expiration=1,IF($A946&lt;VLOOKUP(R$5,NFI,5,0),1,0)*Table_NFI[[#This Row],[Winter Clothes Adult]],Table_NFI[Winter Clothes Adult])</f>
        <v>0</v>
      </c>
      <c r="AJ946" s="352">
        <f>IF(NFI_Expiration=1,IF($A946&lt;VLOOKUP(S$5,NFI,5,0),1,0)*Table_NFI[[#This Row],[Winter Clothes Children]],Table_NFI[Winter Clothes Children])</f>
        <v>0</v>
      </c>
      <c r="AK946" s="352">
        <f>IF(NFI_Expiration=1,IF($A946&lt;VLOOKUP(T$5,NFI,5,0),1,0)*Table_NFI[[#This Row],[Winter Items Other]],Table_NFI[Winter Items Other])</f>
        <v>0</v>
      </c>
      <c r="AL946" s="352">
        <f>IF(NFI_Expiration=1,IF($A946&lt;VLOOKUP(M$5,NFI,5,0),1,0)*Table_NFI[[#This Row],[Winter Blanket]],Table_NFI[[#This Row],[Winter Blanket]])</f>
        <v>0</v>
      </c>
      <c r="AM946" s="352">
        <f>IF(Table_NFI[[#This Row],[Winter Clothes Adult]]+Table_NFI[[#This Row],[Winter Clothes Children]]+Table_NFI[[#This Row],[Winter Items Other]]+Table_NFI[[#This Row],[Winter Blanket]]&gt;0,1,0)</f>
        <v>0</v>
      </c>
      <c r="AN946" s="392">
        <f>IF(NFI_Expiration=1,IF($A946&lt;VLOOKUP(V$5,NFI,5,0),1,0)*Table_NFI[[#This Row],[Jerry Can]],Table_NFI[Jerry Can])</f>
        <v>0</v>
      </c>
      <c r="AO946" s="540" t="str">
        <f>IFERROR(VLOOKUP(Table_NFI[[#This Row],[Camp Name]],CL,2,0),"")</f>
        <v>MMR001CMP047</v>
      </c>
      <c r="AP946" s="535">
        <f ca="1">IF(Table_NFI[[#This Row],[Pcode]]="","",IF(OFFSET(CampList[Opening Date],MATCH(Table_NFI[[#This Row],[Pcode]],CampList[CP_Pcode],0)-1,0,1,1)&gt;=NFI_Monitor_Date,1,0))</f>
        <v>0</v>
      </c>
      <c r="AQ946" s="540" t="str">
        <f>IFERROR(VLOOKUP(Table_NFI[[#This Row],[Camp Name]],CL,3,0),"")</f>
        <v>Open</v>
      </c>
      <c r="AR946" s="352" t="str">
        <f ca="1">IF(Table_NFI[[#This Row],[Pcode]]="","",OFFSET(CampList[Priority],MATCH(Table_NFI[[#This Row],[Pcode]],CampList[CP_Pcode],0)-1,0,1,1))</f>
        <v>P4</v>
      </c>
      <c r="AS946" s="351">
        <f>IFERROR(Table_NFI[[#This Row],[Kitchen Set]]/VLOOKUP(Table_NFI[[#This Row],[Camp Name]],CL,4,0),"")</f>
        <v>0.79491255961844198</v>
      </c>
      <c r="AT946" s="533" t="s">
        <v>1094</v>
      </c>
      <c r="AU946" s="536"/>
    </row>
    <row r="947" spans="1:47" ht="14.45" hidden="1" customHeight="1" x14ac:dyDescent="0.25">
      <c r="A947" s="355">
        <f t="shared" si="14"/>
        <v>27.766666666666666</v>
      </c>
      <c r="B947" s="532">
        <v>41738</v>
      </c>
      <c r="C947" s="533" t="s">
        <v>1106</v>
      </c>
      <c r="D947" s="533" t="s">
        <v>902</v>
      </c>
      <c r="E947" s="533" t="s">
        <v>380</v>
      </c>
      <c r="F947" s="533" t="s">
        <v>5</v>
      </c>
      <c r="G947" s="533" t="s">
        <v>24</v>
      </c>
      <c r="H947" s="349"/>
      <c r="I947" s="349"/>
      <c r="J947" s="349"/>
      <c r="K947" s="349"/>
      <c r="L947" s="350"/>
      <c r="M947" s="350"/>
      <c r="N947" s="350"/>
      <c r="O947" s="350"/>
      <c r="P947" s="352"/>
      <c r="Q947" s="352"/>
      <c r="R947" s="352"/>
      <c r="S947" s="352"/>
      <c r="T947" s="352"/>
      <c r="U947" s="352">
        <v>122</v>
      </c>
      <c r="V947" s="497"/>
      <c r="W947" s="352"/>
      <c r="X947" s="352"/>
      <c r="Y947" s="352">
        <f>IF(NFI_Expiration=1,IF($A947&lt;VLOOKUP(H$5,NFI,5,0),1,0)*Table_NFI[[#This Row],[Hygiene Kit]],Table_NFI[Hygiene Kit])</f>
        <v>0</v>
      </c>
      <c r="Z947" s="352">
        <f>IF(NFI_Expiration=1,IF($A947&lt;VLOOKUP(I$5,NFI,5,0),1,0)*Table_NFI[[#This Row],[NFI Core Kit]],Table_NFI[NFI Core Kit])</f>
        <v>0</v>
      </c>
      <c r="AA947" s="352">
        <f>IF(NFI_Expiration=1,IF($A947&lt;VLOOKUP(J$5,NFI,5,0),1,0)*Table_NFI[[#This Row],[Sanitary Kit]],Table_NFI[Sanitary Kit])</f>
        <v>0</v>
      </c>
      <c r="AB947" s="352">
        <f>IF(NFI_Expiration=1,IF($A947&lt;VLOOKUP(K$5,NFI,5,0),1,0)*Table_NFI[[#This Row],[Mosquito net]],Table_NFI[Mosquito net])</f>
        <v>0</v>
      </c>
      <c r="AC947" s="352">
        <f>IF(NFI_Expiration=1,IF($A947&lt;VLOOKUP(L$5,NFI,5,0),1,0)*Table_NFI[[#This Row],[Tarpaulin]],Table_NFI[[#This Row],[Tarpaulin]])</f>
        <v>0</v>
      </c>
      <c r="AD947" s="352">
        <f>IF(NFI_Expiration=1,IF($A947&lt;VLOOKUP(M$5,NFI,5,0),1,0)*Table_NFI[[#This Row],[Blanket]],Table_NFI[[#This Row],[Blanket]])</f>
        <v>0</v>
      </c>
      <c r="AE947" s="352">
        <f>IF(NFI_Expiration=1,IF($A947&lt;VLOOKUP(N$5,NFI,5,0),1,0)*Table_NFI[[#This Row],[Kitchen Set]],Table_NFI[Kitchen Set])</f>
        <v>0</v>
      </c>
      <c r="AF947" s="352">
        <f>IF(NFI_Expiration=1,IF($A947&lt;VLOOKUP(O$5,NFI,5,0),1,0)*Table_NFI[[#This Row],[Clothes Kit]],Table_NFI[Clothes Kit])</f>
        <v>0</v>
      </c>
      <c r="AG947" s="352">
        <f>IF(NFI_Expiration=1,IF($A947&lt;VLOOKUP(P$5,NFI,5,0),1,0)*Table_NFI[[#This Row],[Plastic Bucket]],Table_NFI[Plastic Bucket])</f>
        <v>0</v>
      </c>
      <c r="AH947" s="352">
        <f>IF(NFI_Expiration=1,IF($A947&lt;VLOOKUP(Q$5,NFI,5,0),1,0)*Table_NFI[[#This Row],[Plastic Mat]],Table_NFI[Plastic Mat])*IF(Table_NFI[[#This Row],[Distribution Date]]&gt;"2014-04-01",1,2.5)</f>
        <v>0</v>
      </c>
      <c r="AI947" s="352">
        <f>IF(NFI_Expiration=1,IF($A947&lt;VLOOKUP(R$5,NFI,5,0),1,0)*Table_NFI[[#This Row],[Winter Clothes Adult]],Table_NFI[Winter Clothes Adult])</f>
        <v>0</v>
      </c>
      <c r="AJ947" s="352">
        <f>IF(NFI_Expiration=1,IF($A947&lt;VLOOKUP(S$5,NFI,5,0),1,0)*Table_NFI[[#This Row],[Winter Clothes Children]],Table_NFI[Winter Clothes Children])</f>
        <v>0</v>
      </c>
      <c r="AK947" s="352">
        <f>IF(NFI_Expiration=1,IF($A947&lt;VLOOKUP(T$5,NFI,5,0),1,0)*Table_NFI[[#This Row],[Winter Items Other]],Table_NFI[Winter Items Other])</f>
        <v>0</v>
      </c>
      <c r="AL947" s="352">
        <f>IF(NFI_Expiration=1,IF($A947&lt;VLOOKUP(M$5,NFI,5,0),1,0)*Table_NFI[[#This Row],[Winter Blanket]],Table_NFI[[#This Row],[Winter Blanket]])</f>
        <v>0</v>
      </c>
      <c r="AM947" s="352">
        <f>IF(Table_NFI[[#This Row],[Winter Clothes Adult]]+Table_NFI[[#This Row],[Winter Clothes Children]]+Table_NFI[[#This Row],[Winter Items Other]]+Table_NFI[[#This Row],[Winter Blanket]]&gt;0,1,0)</f>
        <v>1</v>
      </c>
      <c r="AN947" s="392">
        <f>IF(NFI_Expiration=1,IF($A947&lt;VLOOKUP(V$5,NFI,5,0),1,0)*Table_NFI[[#This Row],[Jerry Can]],Table_NFI[Jerry Can])</f>
        <v>0</v>
      </c>
      <c r="AO947" s="540" t="str">
        <f>IFERROR(VLOOKUP(Table_NFI[[#This Row],[Camp Name]],CL,2,0),"")</f>
        <v>MMR001CMP055</v>
      </c>
      <c r="AP947" s="535">
        <f ca="1">IF(Table_NFI[[#This Row],[Pcode]]="","",IF(OFFSET(CampList[Opening Date],MATCH(Table_NFI[[#This Row],[Pcode]],CampList[CP_Pcode],0)-1,0,1,1)&gt;=NFI_Monitor_Date,1,0))</f>
        <v>0</v>
      </c>
      <c r="AQ947" s="540" t="str">
        <f>IFERROR(VLOOKUP(Table_NFI[[#This Row],[Camp Name]],CL,3,0),"")</f>
        <v>Open</v>
      </c>
      <c r="AR947" s="352" t="str">
        <f ca="1">IF(Table_NFI[[#This Row],[Pcode]]="","",OFFSET(CampList[Priority],MATCH(Table_NFI[[#This Row],[Pcode]],CampList[CP_Pcode],0)-1,0,1,1))</f>
        <v>P4</v>
      </c>
      <c r="AS947" s="351">
        <f>IFERROR(Table_NFI[[#This Row],[Kitchen Set]]/VLOOKUP(Table_NFI[[#This Row],[Camp Name]],CL,4,0),"")</f>
        <v>0</v>
      </c>
      <c r="AT947" s="533"/>
      <c r="AU947" s="536"/>
    </row>
    <row r="948" spans="1:47" hidden="1" x14ac:dyDescent="0.25">
      <c r="A948" s="355">
        <f t="shared" si="14"/>
        <v>45.666666666666664</v>
      </c>
      <c r="B948" s="532">
        <v>41201</v>
      </c>
      <c r="C948" s="533" t="s">
        <v>907</v>
      </c>
      <c r="D948" s="533" t="s">
        <v>907</v>
      </c>
      <c r="E948" s="533" t="s">
        <v>380</v>
      </c>
      <c r="F948" s="533" t="s">
        <v>5</v>
      </c>
      <c r="G948" s="533" t="s">
        <v>24</v>
      </c>
      <c r="H948" s="352">
        <v>47</v>
      </c>
      <c r="I948" s="349"/>
      <c r="J948" s="349"/>
      <c r="K948" s="349"/>
      <c r="L948" s="350"/>
      <c r="M948" s="350"/>
      <c r="N948" s="350"/>
      <c r="O948" s="350"/>
      <c r="P948" s="352"/>
      <c r="Q948" s="392"/>
      <c r="R948" s="392"/>
      <c r="S948" s="392"/>
      <c r="T948" s="392"/>
      <c r="U948" s="392"/>
      <c r="V948" s="497"/>
      <c r="W948" s="392"/>
      <c r="X948" s="392"/>
      <c r="Y948" s="352">
        <f>IF(NFI_Expiration=1,IF($A948&lt;VLOOKUP(H$5,NFI,5,0),1,0)*Table_NFI[[#This Row],[Hygiene Kit]],Table_NFI[Hygiene Kit])</f>
        <v>0</v>
      </c>
      <c r="Z948" s="352">
        <f>IF(NFI_Expiration=1,IF($A948&lt;VLOOKUP(I$5,NFI,5,0),1,0)*Table_NFI[[#This Row],[NFI Core Kit]],Table_NFI[NFI Core Kit])</f>
        <v>0</v>
      </c>
      <c r="AA948" s="352">
        <f>IF(NFI_Expiration=1,IF($A948&lt;VLOOKUP(J$5,NFI,5,0),1,0)*Table_NFI[[#This Row],[Sanitary Kit]],Table_NFI[Sanitary Kit])</f>
        <v>0</v>
      </c>
      <c r="AB948" s="352">
        <f>IF(NFI_Expiration=1,IF($A948&lt;VLOOKUP(K$5,NFI,5,0),1,0)*Table_NFI[[#This Row],[Mosquito net]],Table_NFI[Mosquito net])</f>
        <v>0</v>
      </c>
      <c r="AC948" s="352">
        <f>IF(NFI_Expiration=1,IF($A948&lt;VLOOKUP(L$5,NFI,5,0),1,0)*Table_NFI[[#This Row],[Tarpaulin]],Table_NFI[[#This Row],[Tarpaulin]])</f>
        <v>0</v>
      </c>
      <c r="AD948" s="352">
        <f>IF(NFI_Expiration=1,IF($A948&lt;VLOOKUP(M$5,NFI,5,0),1,0)*Table_NFI[[#This Row],[Blanket]],Table_NFI[[#This Row],[Blanket]])</f>
        <v>0</v>
      </c>
      <c r="AE948" s="352">
        <f>IF(NFI_Expiration=1,IF($A948&lt;VLOOKUP(N$5,NFI,5,0),1,0)*Table_NFI[[#This Row],[Kitchen Set]],Table_NFI[Kitchen Set])</f>
        <v>0</v>
      </c>
      <c r="AF948" s="352">
        <f>IF(NFI_Expiration=1,IF($A948&lt;VLOOKUP(O$5,NFI,5,0),1,0)*Table_NFI[[#This Row],[Clothes Kit]],Table_NFI[Clothes Kit])</f>
        <v>0</v>
      </c>
      <c r="AG948" s="352">
        <f>IF(NFI_Expiration=1,IF($A948&lt;VLOOKUP(P$5,NFI,5,0),1,0)*Table_NFI[[#This Row],[Plastic Bucket]],Table_NFI[Plastic Bucket])</f>
        <v>0</v>
      </c>
      <c r="AH948" s="352">
        <f>IF(NFI_Expiration=1,IF($A948&lt;VLOOKUP(Q$5,NFI,5,0),1,0)*Table_NFI[[#This Row],[Plastic Mat]],Table_NFI[Plastic Mat])*IF(Table_NFI[[#This Row],[Distribution Date]]&gt;"2014-04-01",1,2.5)</f>
        <v>0</v>
      </c>
      <c r="AI948" s="352">
        <f>IF(NFI_Expiration=1,IF($A948&lt;VLOOKUP(R$5,NFI,5,0),1,0)*Table_NFI[[#This Row],[Winter Clothes Adult]],Table_NFI[Winter Clothes Adult])</f>
        <v>0</v>
      </c>
      <c r="AJ948" s="352">
        <f>IF(NFI_Expiration=1,IF($A948&lt;VLOOKUP(S$5,NFI,5,0),1,0)*Table_NFI[[#This Row],[Winter Clothes Children]],Table_NFI[Winter Clothes Children])</f>
        <v>0</v>
      </c>
      <c r="AK948" s="352">
        <f>IF(NFI_Expiration=1,IF($A948&lt;VLOOKUP(T$5,NFI,5,0),1,0)*Table_NFI[[#This Row],[Winter Items Other]],Table_NFI[Winter Items Other])</f>
        <v>0</v>
      </c>
      <c r="AL948" s="352">
        <f>IF(NFI_Expiration=1,IF($A948&lt;VLOOKUP(M$5,NFI,5,0),1,0)*Table_NFI[[#This Row],[Winter Blanket]],Table_NFI[[#This Row],[Winter Blanket]])</f>
        <v>0</v>
      </c>
      <c r="AM948" s="352">
        <f>IF(Table_NFI[[#This Row],[Winter Clothes Adult]]+Table_NFI[[#This Row],[Winter Clothes Children]]+Table_NFI[[#This Row],[Winter Items Other]]+Table_NFI[[#This Row],[Winter Blanket]]&gt;0,1,0)</f>
        <v>0</v>
      </c>
      <c r="AN948" s="392">
        <f>IF(NFI_Expiration=1,IF($A948&lt;VLOOKUP(V$5,NFI,5,0),1,0)*Table_NFI[[#This Row],[Jerry Can]],Table_NFI[Jerry Can])</f>
        <v>0</v>
      </c>
      <c r="AO948" s="540" t="str">
        <f>IFERROR(VLOOKUP(Table_NFI[[#This Row],[Camp Name]],CL,2,0),"")</f>
        <v>MMR001CMP055</v>
      </c>
      <c r="AP948" s="535">
        <f ca="1">IF(Table_NFI[[#This Row],[Pcode]]="","",IF(OFFSET(CampList[Opening Date],MATCH(Table_NFI[[#This Row],[Pcode]],CampList[CP_Pcode],0)-1,0,1,1)&gt;=NFI_Monitor_Date,1,0))</f>
        <v>0</v>
      </c>
      <c r="AQ948" s="540" t="str">
        <f>IFERROR(VLOOKUP(Table_NFI[[#This Row],[Camp Name]],CL,3,0),"")</f>
        <v>Open</v>
      </c>
      <c r="AR948" s="352" t="str">
        <f ca="1">IF(Table_NFI[[#This Row],[Pcode]]="","",OFFSET(CampList[Priority],MATCH(Table_NFI[[#This Row],[Pcode]],CampList[CP_Pcode],0)-1,0,1,1))</f>
        <v>P4</v>
      </c>
      <c r="AS948" s="351">
        <f>IFERROR(Table_NFI[[#This Row],[Kitchen Set]]/VLOOKUP(Table_NFI[[#This Row],[Camp Name]],CL,4,0),"")</f>
        <v>0</v>
      </c>
      <c r="AT948" s="533"/>
      <c r="AU948" s="536"/>
    </row>
    <row r="949" spans="1:47" ht="14.45" hidden="1" customHeight="1" x14ac:dyDescent="0.25">
      <c r="A949" s="355">
        <f t="shared" si="14"/>
        <v>32.1</v>
      </c>
      <c r="B949" s="532">
        <v>41608</v>
      </c>
      <c r="C949" s="533" t="s">
        <v>1099</v>
      </c>
      <c r="D949" s="534" t="s">
        <v>946</v>
      </c>
      <c r="E949" s="533" t="s">
        <v>380</v>
      </c>
      <c r="F949" s="348" t="s">
        <v>5</v>
      </c>
      <c r="G949" s="348" t="s">
        <v>24</v>
      </c>
      <c r="H949" s="349"/>
      <c r="I949" s="349"/>
      <c r="J949" s="349"/>
      <c r="K949" s="349"/>
      <c r="L949" s="350"/>
      <c r="M949" s="350">
        <v>135</v>
      </c>
      <c r="N949" s="350"/>
      <c r="O949" s="350"/>
      <c r="P949" s="352"/>
      <c r="Q949" s="352"/>
      <c r="R949" s="352">
        <v>68</v>
      </c>
      <c r="S949" s="352">
        <v>61</v>
      </c>
      <c r="T949" s="352">
        <v>0</v>
      </c>
      <c r="U949" s="352"/>
      <c r="V949" s="497"/>
      <c r="W949" s="352"/>
      <c r="X949" s="352"/>
      <c r="Y949" s="352">
        <f>IF(NFI_Expiration=1,IF($A949&lt;VLOOKUP(H$5,NFI,5,0),1,0)*Table_NFI[[#This Row],[Hygiene Kit]],Table_NFI[Hygiene Kit])</f>
        <v>0</v>
      </c>
      <c r="Z949" s="352">
        <f>IF(NFI_Expiration=1,IF($A949&lt;VLOOKUP(I$5,NFI,5,0),1,0)*Table_NFI[[#This Row],[NFI Core Kit]],Table_NFI[NFI Core Kit])</f>
        <v>0</v>
      </c>
      <c r="AA949" s="352">
        <f>IF(NFI_Expiration=1,IF($A949&lt;VLOOKUP(J$5,NFI,5,0),1,0)*Table_NFI[[#This Row],[Sanitary Kit]],Table_NFI[Sanitary Kit])</f>
        <v>0</v>
      </c>
      <c r="AB949" s="352">
        <f>IF(NFI_Expiration=1,IF($A949&lt;VLOOKUP(K$5,NFI,5,0),1,0)*Table_NFI[[#This Row],[Mosquito net]],Table_NFI[Mosquito net])</f>
        <v>0</v>
      </c>
      <c r="AC949" s="352">
        <f>IF(NFI_Expiration=1,IF($A949&lt;VLOOKUP(L$5,NFI,5,0),1,0)*Table_NFI[[#This Row],[Tarpaulin]],Table_NFI[[#This Row],[Tarpaulin]])</f>
        <v>0</v>
      </c>
      <c r="AD949" s="352">
        <f>IF(NFI_Expiration=1,IF($A949&lt;VLOOKUP(M$5,NFI,5,0),1,0)*Table_NFI[[#This Row],[Blanket]],Table_NFI[[#This Row],[Blanket]])</f>
        <v>0</v>
      </c>
      <c r="AE949" s="352">
        <f>IF(NFI_Expiration=1,IF($A949&lt;VLOOKUP(N$5,NFI,5,0),1,0)*Table_NFI[[#This Row],[Kitchen Set]],Table_NFI[Kitchen Set])</f>
        <v>0</v>
      </c>
      <c r="AF949" s="352">
        <f>IF(NFI_Expiration=1,IF($A949&lt;VLOOKUP(O$5,NFI,5,0),1,0)*Table_NFI[[#This Row],[Clothes Kit]],Table_NFI[Clothes Kit])</f>
        <v>0</v>
      </c>
      <c r="AG949" s="352">
        <f>IF(NFI_Expiration=1,IF($A949&lt;VLOOKUP(P$5,NFI,5,0),1,0)*Table_NFI[[#This Row],[Plastic Bucket]],Table_NFI[Plastic Bucket])</f>
        <v>0</v>
      </c>
      <c r="AH949" s="352">
        <f>IF(NFI_Expiration=1,IF($A949&lt;VLOOKUP(Q$5,NFI,5,0),1,0)*Table_NFI[[#This Row],[Plastic Mat]],Table_NFI[Plastic Mat])*IF(Table_NFI[[#This Row],[Distribution Date]]&gt;"2014-04-01",1,2.5)</f>
        <v>0</v>
      </c>
      <c r="AI949" s="352">
        <f>IF(NFI_Expiration=1,IF($A949&lt;VLOOKUP(R$5,NFI,5,0),1,0)*Table_NFI[[#This Row],[Winter Clothes Adult]],Table_NFI[Winter Clothes Adult])</f>
        <v>0</v>
      </c>
      <c r="AJ949" s="352">
        <f>IF(NFI_Expiration=1,IF($A949&lt;VLOOKUP(S$5,NFI,5,0),1,0)*Table_NFI[[#This Row],[Winter Clothes Children]],Table_NFI[Winter Clothes Children])</f>
        <v>0</v>
      </c>
      <c r="AK949" s="352">
        <f>IF(NFI_Expiration=1,IF($A949&lt;VLOOKUP(T$5,NFI,5,0),1,0)*Table_NFI[[#This Row],[Winter Items Other]],Table_NFI[Winter Items Other])</f>
        <v>0</v>
      </c>
      <c r="AL949" s="352">
        <f>IF(NFI_Expiration=1,IF($A949&lt;VLOOKUP(M$5,NFI,5,0),1,0)*Table_NFI[[#This Row],[Winter Blanket]],Table_NFI[[#This Row],[Winter Blanket]])</f>
        <v>0</v>
      </c>
      <c r="AM949" s="352">
        <f>IF(Table_NFI[[#This Row],[Winter Clothes Adult]]+Table_NFI[[#This Row],[Winter Clothes Children]]+Table_NFI[[#This Row],[Winter Items Other]]+Table_NFI[[#This Row],[Winter Blanket]]&gt;0,1,0)</f>
        <v>1</v>
      </c>
      <c r="AN949" s="392">
        <f>IF(NFI_Expiration=1,IF($A949&lt;VLOOKUP(V$5,NFI,5,0),1,0)*Table_NFI[[#This Row],[Jerry Can]],Table_NFI[Jerry Can])</f>
        <v>0</v>
      </c>
      <c r="AO949" s="540" t="str">
        <f>IFERROR(VLOOKUP(Table_NFI[[#This Row],[Camp Name]],CL,2,0),"")</f>
        <v>MMR001CMP055</v>
      </c>
      <c r="AP949" s="535">
        <f ca="1">IF(Table_NFI[[#This Row],[Pcode]]="","",IF(OFFSET(CampList[Opening Date],MATCH(Table_NFI[[#This Row],[Pcode]],CampList[CP_Pcode],0)-1,0,1,1)&gt;=NFI_Monitor_Date,1,0))</f>
        <v>0</v>
      </c>
      <c r="AQ949" s="540" t="str">
        <f>IFERROR(VLOOKUP(Table_NFI[[#This Row],[Camp Name]],CL,3,0),"")</f>
        <v>Open</v>
      </c>
      <c r="AR949" s="352" t="str">
        <f ca="1">IF(Table_NFI[[#This Row],[Pcode]]="","",OFFSET(CampList[Priority],MATCH(Table_NFI[[#This Row],[Pcode]],CampList[CP_Pcode],0)-1,0,1,1))</f>
        <v>P4</v>
      </c>
      <c r="AS949" s="351">
        <f>IFERROR(Table_NFI[[#This Row],[Kitchen Set]]/VLOOKUP(Table_NFI[[#This Row],[Camp Name]],CL,4,0),"")</f>
        <v>0</v>
      </c>
      <c r="AT949" s="533" t="s">
        <v>1094</v>
      </c>
      <c r="AU949" s="536"/>
    </row>
    <row r="950" spans="1:47" hidden="1" x14ac:dyDescent="0.2">
      <c r="A950" s="355">
        <f t="shared" si="14"/>
        <v>19.600000000000001</v>
      </c>
      <c r="B950" s="532">
        <v>41983</v>
      </c>
      <c r="C950" s="533" t="s">
        <v>907</v>
      </c>
      <c r="D950" s="533" t="s">
        <v>907</v>
      </c>
      <c r="E950" s="533" t="s">
        <v>380</v>
      </c>
      <c r="F950" s="533" t="s">
        <v>5</v>
      </c>
      <c r="G950" s="533" t="s">
        <v>24</v>
      </c>
      <c r="H950" s="349"/>
      <c r="I950" s="349"/>
      <c r="J950" s="677">
        <v>55</v>
      </c>
      <c r="K950" s="349"/>
      <c r="L950" s="350"/>
      <c r="M950" s="350"/>
      <c r="N950" s="350"/>
      <c r="O950" s="350"/>
      <c r="P950" s="352"/>
      <c r="Q950" s="352"/>
      <c r="R950" s="352"/>
      <c r="S950" s="352"/>
      <c r="T950" s="352"/>
      <c r="U950" s="352"/>
      <c r="V950" s="497"/>
      <c r="W950" s="352"/>
      <c r="X950" s="352"/>
      <c r="Y950" s="352">
        <f>IF(NFI_Expiration=1,IF($A950&lt;VLOOKUP(H$5,NFI,5,0),1,0)*Table_NFI[[#This Row],[Hygiene Kit]],Table_NFI[Hygiene Kit])</f>
        <v>0</v>
      </c>
      <c r="Z950" s="352">
        <f>IF(NFI_Expiration=1,IF($A950&lt;VLOOKUP(I$5,NFI,5,0),1,0)*Table_NFI[[#This Row],[NFI Core Kit]],Table_NFI[NFI Core Kit])</f>
        <v>0</v>
      </c>
      <c r="AA950" s="352">
        <f>IF(NFI_Expiration=1,IF($A950&lt;VLOOKUP(J$5,NFI,5,0),1,0)*Table_NFI[[#This Row],[Sanitary Kit]],Table_NFI[Sanitary Kit])</f>
        <v>0</v>
      </c>
      <c r="AB950" s="352">
        <f>IF(NFI_Expiration=1,IF($A950&lt;VLOOKUP(K$5,NFI,5,0),1,0)*Table_NFI[[#This Row],[Mosquito net]],Table_NFI[Mosquito net])</f>
        <v>0</v>
      </c>
      <c r="AC950" s="352">
        <f>IF(NFI_Expiration=1,IF($A950&lt;VLOOKUP(L$5,NFI,5,0),1,0)*Table_NFI[[#This Row],[Tarpaulin]],Table_NFI[[#This Row],[Tarpaulin]])</f>
        <v>0</v>
      </c>
      <c r="AD950" s="352">
        <f>IF(NFI_Expiration=1,IF($A950&lt;VLOOKUP(M$5,NFI,5,0),1,0)*Table_NFI[[#This Row],[Blanket]],Table_NFI[[#This Row],[Blanket]])</f>
        <v>0</v>
      </c>
      <c r="AE950" s="352">
        <f>IF(NFI_Expiration=1,IF($A950&lt;VLOOKUP(N$5,NFI,5,0),1,0)*Table_NFI[[#This Row],[Kitchen Set]],Table_NFI[Kitchen Set])</f>
        <v>0</v>
      </c>
      <c r="AF950" s="352">
        <f>IF(NFI_Expiration=1,IF($A950&lt;VLOOKUP(O$5,NFI,5,0),1,0)*Table_NFI[[#This Row],[Clothes Kit]],Table_NFI[Clothes Kit])</f>
        <v>0</v>
      </c>
      <c r="AG950" s="352">
        <f>IF(NFI_Expiration=1,IF($A950&lt;VLOOKUP(P$5,NFI,5,0),1,0)*Table_NFI[[#This Row],[Plastic Bucket]],Table_NFI[Plastic Bucket])</f>
        <v>0</v>
      </c>
      <c r="AH950" s="352">
        <f>IF(NFI_Expiration=1,IF($A950&lt;VLOOKUP(Q$5,NFI,5,0),1,0)*Table_NFI[[#This Row],[Plastic Mat]],Table_NFI[Plastic Mat])*IF(Table_NFI[[#This Row],[Distribution Date]]&gt;"2014-04-01",1,2.5)</f>
        <v>0</v>
      </c>
      <c r="AI950" s="352">
        <f>IF(NFI_Expiration=1,IF($A950&lt;VLOOKUP(R$5,NFI,5,0),1,0)*Table_NFI[[#This Row],[Winter Clothes Adult]],Table_NFI[Winter Clothes Adult])</f>
        <v>0</v>
      </c>
      <c r="AJ950" s="352">
        <f>IF(NFI_Expiration=1,IF($A950&lt;VLOOKUP(S$5,NFI,5,0),1,0)*Table_NFI[[#This Row],[Winter Clothes Children]],Table_NFI[Winter Clothes Children])</f>
        <v>0</v>
      </c>
      <c r="AK950" s="352">
        <f>IF(NFI_Expiration=1,IF($A950&lt;VLOOKUP(T$5,NFI,5,0),1,0)*Table_NFI[[#This Row],[Winter Items Other]],Table_NFI[Winter Items Other])</f>
        <v>0</v>
      </c>
      <c r="AL950" s="352">
        <f>IF(NFI_Expiration=1,IF($A950&lt;VLOOKUP(M$5,NFI,5,0),1,0)*Table_NFI[[#This Row],[Winter Blanket]],Table_NFI[[#This Row],[Winter Blanket]])</f>
        <v>0</v>
      </c>
      <c r="AM950" s="352">
        <f>IF(Table_NFI[[#This Row],[Winter Clothes Adult]]+Table_NFI[[#This Row],[Winter Clothes Children]]+Table_NFI[[#This Row],[Winter Items Other]]+Table_NFI[[#This Row],[Winter Blanket]]&gt;0,1,0)</f>
        <v>0</v>
      </c>
      <c r="AN950" s="392">
        <f>IF(NFI_Expiration=1,IF($A950&lt;VLOOKUP(V$5,NFI,5,0),1,0)*Table_NFI[[#This Row],[Jerry Can]],Table_NFI[Jerry Can])</f>
        <v>0</v>
      </c>
      <c r="AO950" s="540" t="str">
        <f>IFERROR(VLOOKUP(Table_NFI[[#This Row],[Camp Name]],CL,2,0),"")</f>
        <v>MMR001CMP055</v>
      </c>
      <c r="AP950" s="535">
        <f ca="1">IF(Table_NFI[[#This Row],[Pcode]]="","",IF(OFFSET(CampList[Opening Date],MATCH(Table_NFI[[#This Row],[Pcode]],CampList[CP_Pcode],0)-1,0,1,1)&gt;=NFI_Monitor_Date,1,0))</f>
        <v>0</v>
      </c>
      <c r="AQ950" s="540" t="str">
        <f>IFERROR(VLOOKUP(Table_NFI[[#This Row],[Camp Name]],CL,3,0),"")</f>
        <v>Open</v>
      </c>
      <c r="AR950" s="352" t="str">
        <f ca="1">IF(Table_NFI[[#This Row],[Pcode]]="","",OFFSET(CampList[Priority],MATCH(Table_NFI[[#This Row],[Pcode]],CampList[CP_Pcode],0)-1,0,1,1))</f>
        <v>P4</v>
      </c>
      <c r="AS950" s="351">
        <f>IFERROR(Table_NFI[[#This Row],[Kitchen Set]]/VLOOKUP(Table_NFI[[#This Row],[Camp Name]],CL,4,0),"")</f>
        <v>0</v>
      </c>
      <c r="AT950" s="533"/>
      <c r="AU950" s="536"/>
    </row>
    <row r="951" spans="1:47" hidden="1" x14ac:dyDescent="0.25">
      <c r="A951" s="355">
        <f t="shared" si="14"/>
        <v>15.633333333333333</v>
      </c>
      <c r="B951" s="532">
        <v>42102</v>
      </c>
      <c r="C951" s="533" t="s">
        <v>907</v>
      </c>
      <c r="D951" s="533" t="s">
        <v>907</v>
      </c>
      <c r="E951" s="533" t="s">
        <v>380</v>
      </c>
      <c r="F951" s="533" t="s">
        <v>5</v>
      </c>
      <c r="G951" s="533" t="s">
        <v>24</v>
      </c>
      <c r="H951" s="349"/>
      <c r="I951" s="349"/>
      <c r="J951" s="350"/>
      <c r="K951" s="349"/>
      <c r="L951" s="350"/>
      <c r="M951" s="350"/>
      <c r="N951" s="350"/>
      <c r="O951" s="350"/>
      <c r="P951" s="352"/>
      <c r="Q951" s="392"/>
      <c r="R951" s="392"/>
      <c r="S951" s="392"/>
      <c r="T951" s="392"/>
      <c r="U951" s="392"/>
      <c r="V951" s="497"/>
      <c r="W951" s="392">
        <v>2</v>
      </c>
      <c r="X951" s="392"/>
      <c r="Y951" s="352">
        <f>IF(NFI_Expiration=1,IF($A951&lt;VLOOKUP(H$5,NFI,5,0),1,0)*Table_NFI[[#This Row],[Hygiene Kit]],Table_NFI[Hygiene Kit])</f>
        <v>0</v>
      </c>
      <c r="Z951" s="352">
        <f>IF(NFI_Expiration=1,IF($A951&lt;VLOOKUP(I$5,NFI,5,0),1,0)*Table_NFI[[#This Row],[NFI Core Kit]],Table_NFI[NFI Core Kit])</f>
        <v>0</v>
      </c>
      <c r="AA951" s="352">
        <f>IF(NFI_Expiration=1,IF($A951&lt;VLOOKUP(J$5,NFI,5,0),1,0)*Table_NFI[[#This Row],[Sanitary Kit]],Table_NFI[Sanitary Kit])</f>
        <v>0</v>
      </c>
      <c r="AB951" s="352">
        <f>IF(NFI_Expiration=1,IF($A951&lt;VLOOKUP(K$5,NFI,5,0),1,0)*Table_NFI[[#This Row],[Mosquito net]],Table_NFI[Mosquito net])</f>
        <v>0</v>
      </c>
      <c r="AC951" s="352">
        <f>IF(NFI_Expiration=1,IF($A951&lt;VLOOKUP(L$5,NFI,5,0),1,0)*Table_NFI[[#This Row],[Tarpaulin]],Table_NFI[[#This Row],[Tarpaulin]])</f>
        <v>0</v>
      </c>
      <c r="AD951" s="352">
        <f>IF(NFI_Expiration=1,IF($A951&lt;VLOOKUP(M$5,NFI,5,0),1,0)*Table_NFI[[#This Row],[Blanket]],Table_NFI[[#This Row],[Blanket]])</f>
        <v>0</v>
      </c>
      <c r="AE951" s="352">
        <f>IF(NFI_Expiration=1,IF($A951&lt;VLOOKUP(N$5,NFI,5,0),1,0)*Table_NFI[[#This Row],[Kitchen Set]],Table_NFI[Kitchen Set])</f>
        <v>0</v>
      </c>
      <c r="AF951" s="352">
        <f>IF(NFI_Expiration=1,IF($A951&lt;VLOOKUP(O$5,NFI,5,0),1,0)*Table_NFI[[#This Row],[Clothes Kit]],Table_NFI[Clothes Kit])</f>
        <v>0</v>
      </c>
      <c r="AG951" s="352">
        <f>IF(NFI_Expiration=1,IF($A951&lt;VLOOKUP(P$5,NFI,5,0),1,0)*Table_NFI[[#This Row],[Plastic Bucket]],Table_NFI[Plastic Bucket])</f>
        <v>0</v>
      </c>
      <c r="AH951" s="352">
        <f>IF(NFI_Expiration=1,IF($A951&lt;VLOOKUP(Q$5,NFI,5,0),1,0)*Table_NFI[[#This Row],[Plastic Mat]],Table_NFI[Plastic Mat])*IF(Table_NFI[[#This Row],[Distribution Date]]&gt;"2014-04-01",1,2.5)</f>
        <v>0</v>
      </c>
      <c r="AI951" s="352">
        <f>IF(NFI_Expiration=1,IF($A951&lt;VLOOKUP(R$5,NFI,5,0),1,0)*Table_NFI[[#This Row],[Winter Clothes Adult]],Table_NFI[Winter Clothes Adult])</f>
        <v>0</v>
      </c>
      <c r="AJ951" s="352">
        <f>IF(NFI_Expiration=1,IF($A951&lt;VLOOKUP(S$5,NFI,5,0),1,0)*Table_NFI[[#This Row],[Winter Clothes Children]],Table_NFI[Winter Clothes Children])</f>
        <v>0</v>
      </c>
      <c r="AK951" s="352">
        <f>IF(NFI_Expiration=1,IF($A951&lt;VLOOKUP(T$5,NFI,5,0),1,0)*Table_NFI[[#This Row],[Winter Items Other]],Table_NFI[Winter Items Other])</f>
        <v>0</v>
      </c>
      <c r="AL951" s="352">
        <f>IF(NFI_Expiration=1,IF($A951&lt;VLOOKUP(M$5,NFI,5,0),1,0)*Table_NFI[[#This Row],[Winter Blanket]],Table_NFI[[#This Row],[Winter Blanket]])</f>
        <v>0</v>
      </c>
      <c r="AM951" s="352">
        <f>IF(Table_NFI[[#This Row],[Winter Clothes Adult]]+Table_NFI[[#This Row],[Winter Clothes Children]]+Table_NFI[[#This Row],[Winter Items Other]]+Table_NFI[[#This Row],[Winter Blanket]]&gt;0,1,0)</f>
        <v>0</v>
      </c>
      <c r="AN951" s="392">
        <f>IF(NFI_Expiration=1,IF($A951&lt;VLOOKUP(V$5,NFI,5,0),1,0)*Table_NFI[[#This Row],[Jerry Can]],Table_NFI[Jerry Can])</f>
        <v>0</v>
      </c>
      <c r="AO951" s="540" t="str">
        <f>IFERROR(VLOOKUP(Table_NFI[[#This Row],[Camp Name]],CL,2,0),"")</f>
        <v>MMR001CMP055</v>
      </c>
      <c r="AP951" s="535">
        <f ca="1">IF(Table_NFI[[#This Row],[Pcode]]="","",IF(OFFSET(CampList[Opening Date],MATCH(Table_NFI[[#This Row],[Pcode]],CampList[CP_Pcode],0)-1,0,1,1)&gt;=NFI_Monitor_Date,1,0))</f>
        <v>0</v>
      </c>
      <c r="AQ951" s="540" t="str">
        <f>IFERROR(VLOOKUP(Table_NFI[[#This Row],[Camp Name]],CL,3,0),"")</f>
        <v>Open</v>
      </c>
      <c r="AR951" s="352" t="str">
        <f ca="1">IF(Table_NFI[[#This Row],[Pcode]]="","",OFFSET(CampList[Priority],MATCH(Table_NFI[[#This Row],[Pcode]],CampList[CP_Pcode],0)-1,0,1,1))</f>
        <v>P4</v>
      </c>
      <c r="AS951" s="351">
        <f>IFERROR(Table_NFI[[#This Row],[Kitchen Set]]/VLOOKUP(Table_NFI[[#This Row],[Camp Name]],CL,4,0),"")</f>
        <v>0</v>
      </c>
      <c r="AT951" s="533"/>
      <c r="AU951" s="536"/>
    </row>
    <row r="952" spans="1:47" hidden="1" x14ac:dyDescent="0.25">
      <c r="A952" s="355">
        <f t="shared" si="14"/>
        <v>49.1</v>
      </c>
      <c r="B952" s="532">
        <v>41098</v>
      </c>
      <c r="C952" s="533" t="s">
        <v>907</v>
      </c>
      <c r="D952" s="533" t="s">
        <v>907</v>
      </c>
      <c r="E952" s="533" t="s">
        <v>380</v>
      </c>
      <c r="F952" s="533" t="s">
        <v>5</v>
      </c>
      <c r="G952" s="533" t="s">
        <v>1559</v>
      </c>
      <c r="H952" s="352">
        <v>3</v>
      </c>
      <c r="I952" s="349"/>
      <c r="J952" s="350"/>
      <c r="K952" s="349"/>
      <c r="L952" s="350"/>
      <c r="M952" s="350"/>
      <c r="N952" s="350"/>
      <c r="O952" s="350"/>
      <c r="P952" s="352"/>
      <c r="Q952" s="392"/>
      <c r="R952" s="392"/>
      <c r="S952" s="392"/>
      <c r="T952" s="392"/>
      <c r="U952" s="392"/>
      <c r="V952" s="497"/>
      <c r="W952" s="392"/>
      <c r="X952" s="392"/>
      <c r="Y952" s="352">
        <f>IF(NFI_Expiration=1,IF($A952&lt;VLOOKUP(H$5,NFI,5,0),1,0)*Table_NFI[[#This Row],[Hygiene Kit]],Table_NFI[Hygiene Kit])</f>
        <v>0</v>
      </c>
      <c r="Z952" s="352">
        <f>IF(NFI_Expiration=1,IF($A952&lt;VLOOKUP(I$5,NFI,5,0),1,0)*Table_NFI[[#This Row],[NFI Core Kit]],Table_NFI[NFI Core Kit])</f>
        <v>0</v>
      </c>
      <c r="AA952" s="352">
        <f>IF(NFI_Expiration=1,IF($A952&lt;VLOOKUP(J$5,NFI,5,0),1,0)*Table_NFI[[#This Row],[Sanitary Kit]],Table_NFI[Sanitary Kit])</f>
        <v>0</v>
      </c>
      <c r="AB952" s="352">
        <f>IF(NFI_Expiration=1,IF($A952&lt;VLOOKUP(K$5,NFI,5,0),1,0)*Table_NFI[[#This Row],[Mosquito net]],Table_NFI[Mosquito net])</f>
        <v>0</v>
      </c>
      <c r="AC952" s="352">
        <f>IF(NFI_Expiration=1,IF($A952&lt;VLOOKUP(L$5,NFI,5,0),1,0)*Table_NFI[[#This Row],[Tarpaulin]],Table_NFI[[#This Row],[Tarpaulin]])</f>
        <v>0</v>
      </c>
      <c r="AD952" s="352">
        <f>IF(NFI_Expiration=1,IF($A952&lt;VLOOKUP(M$5,NFI,5,0),1,0)*Table_NFI[[#This Row],[Blanket]],Table_NFI[[#This Row],[Blanket]])</f>
        <v>0</v>
      </c>
      <c r="AE952" s="352">
        <f>IF(NFI_Expiration=1,IF($A952&lt;VLOOKUP(N$5,NFI,5,0),1,0)*Table_NFI[[#This Row],[Kitchen Set]],Table_NFI[Kitchen Set])</f>
        <v>0</v>
      </c>
      <c r="AF952" s="352">
        <f>IF(NFI_Expiration=1,IF($A952&lt;VLOOKUP(O$5,NFI,5,0),1,0)*Table_NFI[[#This Row],[Clothes Kit]],Table_NFI[Clothes Kit])</f>
        <v>0</v>
      </c>
      <c r="AG952" s="352">
        <f>IF(NFI_Expiration=1,IF($A952&lt;VLOOKUP(P$5,NFI,5,0),1,0)*Table_NFI[[#This Row],[Plastic Bucket]],Table_NFI[Plastic Bucket])</f>
        <v>0</v>
      </c>
      <c r="AH952" s="352">
        <f>IF(NFI_Expiration=1,IF($A952&lt;VLOOKUP(Q$5,NFI,5,0),1,0)*Table_NFI[[#This Row],[Plastic Mat]],Table_NFI[Plastic Mat])*IF(Table_NFI[[#This Row],[Distribution Date]]&gt;"2014-04-01",1,2.5)</f>
        <v>0</v>
      </c>
      <c r="AI952" s="352">
        <f>IF(NFI_Expiration=1,IF($A952&lt;VLOOKUP(R$5,NFI,5,0),1,0)*Table_NFI[[#This Row],[Winter Clothes Adult]],Table_NFI[Winter Clothes Adult])</f>
        <v>0</v>
      </c>
      <c r="AJ952" s="352">
        <f>IF(NFI_Expiration=1,IF($A952&lt;VLOOKUP(S$5,NFI,5,0),1,0)*Table_NFI[[#This Row],[Winter Clothes Children]],Table_NFI[Winter Clothes Children])</f>
        <v>0</v>
      </c>
      <c r="AK952" s="352">
        <f>IF(NFI_Expiration=1,IF($A952&lt;VLOOKUP(T$5,NFI,5,0),1,0)*Table_NFI[[#This Row],[Winter Items Other]],Table_NFI[Winter Items Other])</f>
        <v>0</v>
      </c>
      <c r="AL952" s="352">
        <f>IF(NFI_Expiration=1,IF($A952&lt;VLOOKUP(M$5,NFI,5,0),1,0)*Table_NFI[[#This Row],[Winter Blanket]],Table_NFI[[#This Row],[Winter Blanket]])</f>
        <v>0</v>
      </c>
      <c r="AM952" s="352">
        <f>IF(Table_NFI[[#This Row],[Winter Clothes Adult]]+Table_NFI[[#This Row],[Winter Clothes Children]]+Table_NFI[[#This Row],[Winter Items Other]]+Table_NFI[[#This Row],[Winter Blanket]]&gt;0,1,0)</f>
        <v>0</v>
      </c>
      <c r="AN952" s="392">
        <f>IF(NFI_Expiration=1,IF($A952&lt;VLOOKUP(V$5,NFI,5,0),1,0)*Table_NFI[[#This Row],[Jerry Can]],Table_NFI[Jerry Can])</f>
        <v>0</v>
      </c>
      <c r="AO952" s="540" t="str">
        <f>IFERROR(VLOOKUP(Table_NFI[[#This Row],[Camp Name]],CL,2,0),"")</f>
        <v/>
      </c>
      <c r="AP952" s="535" t="str">
        <f ca="1">IF(Table_NFI[[#This Row],[Pcode]]="","",IF(OFFSET(CampList[Opening Date],MATCH(Table_NFI[[#This Row],[Pcode]],CampList[CP_Pcode],0)-1,0,1,1)&gt;=NFI_Monitor_Date,1,0))</f>
        <v/>
      </c>
      <c r="AQ952" s="540" t="str">
        <f>IFERROR(VLOOKUP(Table_NFI[[#This Row],[Camp Name]],CL,3,0),"")</f>
        <v/>
      </c>
      <c r="AR952" s="352" t="str">
        <f ca="1">IF(Table_NFI[[#This Row],[Pcode]]="","",OFFSET(CampList[Priority],MATCH(Table_NFI[[#This Row],[Pcode]],CampList[CP_Pcode],0)-1,0,1,1))</f>
        <v/>
      </c>
      <c r="AS952" s="351" t="str">
        <f>IFERROR(Table_NFI[[#This Row],[Kitchen Set]]/VLOOKUP(Table_NFI[[#This Row],[Camp Name]],CL,4,0),"")</f>
        <v/>
      </c>
      <c r="AT952" s="533"/>
      <c r="AU952" s="536"/>
    </row>
    <row r="953" spans="1:47" hidden="1" x14ac:dyDescent="0.25">
      <c r="A953" s="355">
        <f t="shared" si="14"/>
        <v>53.666666666666664</v>
      </c>
      <c r="B953" s="532">
        <v>40961</v>
      </c>
      <c r="C953" s="533" t="s">
        <v>907</v>
      </c>
      <c r="D953" s="533" t="s">
        <v>907</v>
      </c>
      <c r="E953" s="533" t="s">
        <v>380</v>
      </c>
      <c r="F953" s="533" t="s">
        <v>5</v>
      </c>
      <c r="G953" s="533" t="s">
        <v>1559</v>
      </c>
      <c r="H953" s="352">
        <v>23</v>
      </c>
      <c r="I953" s="349"/>
      <c r="J953" s="350"/>
      <c r="K953" s="349"/>
      <c r="L953" s="350"/>
      <c r="M953" s="350"/>
      <c r="N953" s="350"/>
      <c r="O953" s="350"/>
      <c r="P953" s="352"/>
      <c r="Q953" s="392"/>
      <c r="R953" s="392"/>
      <c r="S953" s="392"/>
      <c r="T953" s="392"/>
      <c r="U953" s="392"/>
      <c r="V953" s="497"/>
      <c r="W953" s="392"/>
      <c r="X953" s="392"/>
      <c r="Y953" s="352">
        <f>IF(NFI_Expiration=1,IF($A953&lt;VLOOKUP(H$5,NFI,5,0),1,0)*Table_NFI[[#This Row],[Hygiene Kit]],Table_NFI[Hygiene Kit])</f>
        <v>0</v>
      </c>
      <c r="Z953" s="352">
        <f>IF(NFI_Expiration=1,IF($A953&lt;VLOOKUP(I$5,NFI,5,0),1,0)*Table_NFI[[#This Row],[NFI Core Kit]],Table_NFI[NFI Core Kit])</f>
        <v>0</v>
      </c>
      <c r="AA953" s="352">
        <f>IF(NFI_Expiration=1,IF($A953&lt;VLOOKUP(J$5,NFI,5,0),1,0)*Table_NFI[[#This Row],[Sanitary Kit]],Table_NFI[Sanitary Kit])</f>
        <v>0</v>
      </c>
      <c r="AB953" s="352">
        <f>IF(NFI_Expiration=1,IF($A953&lt;VLOOKUP(K$5,NFI,5,0),1,0)*Table_NFI[[#This Row],[Mosquito net]],Table_NFI[Mosquito net])</f>
        <v>0</v>
      </c>
      <c r="AC953" s="352">
        <f>IF(NFI_Expiration=1,IF($A953&lt;VLOOKUP(L$5,NFI,5,0),1,0)*Table_NFI[[#This Row],[Tarpaulin]],Table_NFI[[#This Row],[Tarpaulin]])</f>
        <v>0</v>
      </c>
      <c r="AD953" s="352">
        <f>IF(NFI_Expiration=1,IF($A953&lt;VLOOKUP(M$5,NFI,5,0),1,0)*Table_NFI[[#This Row],[Blanket]],Table_NFI[[#This Row],[Blanket]])</f>
        <v>0</v>
      </c>
      <c r="AE953" s="352">
        <f>IF(NFI_Expiration=1,IF($A953&lt;VLOOKUP(N$5,NFI,5,0),1,0)*Table_NFI[[#This Row],[Kitchen Set]],Table_NFI[Kitchen Set])</f>
        <v>0</v>
      </c>
      <c r="AF953" s="352">
        <f>IF(NFI_Expiration=1,IF($A953&lt;VLOOKUP(O$5,NFI,5,0),1,0)*Table_NFI[[#This Row],[Clothes Kit]],Table_NFI[Clothes Kit])</f>
        <v>0</v>
      </c>
      <c r="AG953" s="352">
        <f>IF(NFI_Expiration=1,IF($A953&lt;VLOOKUP(P$5,NFI,5,0),1,0)*Table_NFI[[#This Row],[Plastic Bucket]],Table_NFI[Plastic Bucket])</f>
        <v>0</v>
      </c>
      <c r="AH953" s="352">
        <f>IF(NFI_Expiration=1,IF($A953&lt;VLOOKUP(Q$5,NFI,5,0),1,0)*Table_NFI[[#This Row],[Plastic Mat]],Table_NFI[Plastic Mat])*IF(Table_NFI[[#This Row],[Distribution Date]]&gt;"2014-04-01",1,2.5)</f>
        <v>0</v>
      </c>
      <c r="AI953" s="352">
        <f>IF(NFI_Expiration=1,IF($A953&lt;VLOOKUP(R$5,NFI,5,0),1,0)*Table_NFI[[#This Row],[Winter Clothes Adult]],Table_NFI[Winter Clothes Adult])</f>
        <v>0</v>
      </c>
      <c r="AJ953" s="352">
        <f>IF(NFI_Expiration=1,IF($A953&lt;VLOOKUP(S$5,NFI,5,0),1,0)*Table_NFI[[#This Row],[Winter Clothes Children]],Table_NFI[Winter Clothes Children])</f>
        <v>0</v>
      </c>
      <c r="AK953" s="352">
        <f>IF(NFI_Expiration=1,IF($A953&lt;VLOOKUP(T$5,NFI,5,0),1,0)*Table_NFI[[#This Row],[Winter Items Other]],Table_NFI[Winter Items Other])</f>
        <v>0</v>
      </c>
      <c r="AL953" s="352">
        <f>IF(NFI_Expiration=1,IF($A953&lt;VLOOKUP(M$5,NFI,5,0),1,0)*Table_NFI[[#This Row],[Winter Blanket]],Table_NFI[[#This Row],[Winter Blanket]])</f>
        <v>0</v>
      </c>
      <c r="AM953" s="352">
        <f>IF(Table_NFI[[#This Row],[Winter Clothes Adult]]+Table_NFI[[#This Row],[Winter Clothes Children]]+Table_NFI[[#This Row],[Winter Items Other]]+Table_NFI[[#This Row],[Winter Blanket]]&gt;0,1,0)</f>
        <v>0</v>
      </c>
      <c r="AN953" s="392">
        <f>IF(NFI_Expiration=1,IF($A953&lt;VLOOKUP(V$5,NFI,5,0),1,0)*Table_NFI[[#This Row],[Jerry Can]],Table_NFI[Jerry Can])</f>
        <v>0</v>
      </c>
      <c r="AO953" s="540" t="str">
        <f>IFERROR(VLOOKUP(Table_NFI[[#This Row],[Camp Name]],CL,2,0),"")</f>
        <v/>
      </c>
      <c r="AP953" s="535" t="str">
        <f ca="1">IF(Table_NFI[[#This Row],[Pcode]]="","",IF(OFFSET(CampList[Opening Date],MATCH(Table_NFI[[#This Row],[Pcode]],CampList[CP_Pcode],0)-1,0,1,1)&gt;=NFI_Monitor_Date,1,0))</f>
        <v/>
      </c>
      <c r="AQ953" s="540" t="str">
        <f>IFERROR(VLOOKUP(Table_NFI[[#This Row],[Camp Name]],CL,3,0),"")</f>
        <v/>
      </c>
      <c r="AR953" s="352" t="str">
        <f ca="1">IF(Table_NFI[[#This Row],[Pcode]]="","",OFFSET(CampList[Priority],MATCH(Table_NFI[[#This Row],[Pcode]],CampList[CP_Pcode],0)-1,0,1,1))</f>
        <v/>
      </c>
      <c r="AS953" s="351" t="str">
        <f>IFERROR(Table_NFI[[#This Row],[Kitchen Set]]/VLOOKUP(Table_NFI[[#This Row],[Camp Name]],CL,4,0),"")</f>
        <v/>
      </c>
      <c r="AT953" s="533"/>
      <c r="AU953" s="536"/>
    </row>
    <row r="954" spans="1:47" hidden="1" x14ac:dyDescent="0.25">
      <c r="A954" s="355">
        <f t="shared" si="14"/>
        <v>46.633333333333333</v>
      </c>
      <c r="B954" s="532">
        <v>41172</v>
      </c>
      <c r="C954" s="533" t="s">
        <v>907</v>
      </c>
      <c r="D954" s="533" t="s">
        <v>1004</v>
      </c>
      <c r="E954" s="533" t="s">
        <v>380</v>
      </c>
      <c r="F954" s="533" t="s">
        <v>302</v>
      </c>
      <c r="G954" s="533" t="s">
        <v>1560</v>
      </c>
      <c r="H954" s="352">
        <v>92</v>
      </c>
      <c r="I954" s="349"/>
      <c r="J954" s="350"/>
      <c r="K954" s="349"/>
      <c r="L954" s="350"/>
      <c r="M954" s="350"/>
      <c r="N954" s="350"/>
      <c r="O954" s="350"/>
      <c r="P954" s="352"/>
      <c r="Q954" s="392"/>
      <c r="R954" s="392"/>
      <c r="S954" s="392"/>
      <c r="T954" s="392"/>
      <c r="U954" s="392"/>
      <c r="V954" s="497"/>
      <c r="W954" s="392"/>
      <c r="X954" s="392"/>
      <c r="Y954" s="352">
        <f>IF(NFI_Expiration=1,IF($A954&lt;VLOOKUP(H$5,NFI,5,0),1,0)*Table_NFI[[#This Row],[Hygiene Kit]],Table_NFI[Hygiene Kit])</f>
        <v>0</v>
      </c>
      <c r="Z954" s="352">
        <f>IF(NFI_Expiration=1,IF($A954&lt;VLOOKUP(I$5,NFI,5,0),1,0)*Table_NFI[[#This Row],[NFI Core Kit]],Table_NFI[NFI Core Kit])</f>
        <v>0</v>
      </c>
      <c r="AA954" s="352">
        <f>IF(NFI_Expiration=1,IF($A954&lt;VLOOKUP(J$5,NFI,5,0),1,0)*Table_NFI[[#This Row],[Sanitary Kit]],Table_NFI[Sanitary Kit])</f>
        <v>0</v>
      </c>
      <c r="AB954" s="352">
        <f>IF(NFI_Expiration=1,IF($A954&lt;VLOOKUP(K$5,NFI,5,0),1,0)*Table_NFI[[#This Row],[Mosquito net]],Table_NFI[Mosquito net])</f>
        <v>0</v>
      </c>
      <c r="AC954" s="352">
        <f>IF(NFI_Expiration=1,IF($A954&lt;VLOOKUP(L$5,NFI,5,0),1,0)*Table_NFI[[#This Row],[Tarpaulin]],Table_NFI[[#This Row],[Tarpaulin]])</f>
        <v>0</v>
      </c>
      <c r="AD954" s="352">
        <f>IF(NFI_Expiration=1,IF($A954&lt;VLOOKUP(M$5,NFI,5,0),1,0)*Table_NFI[[#This Row],[Blanket]],Table_NFI[[#This Row],[Blanket]])</f>
        <v>0</v>
      </c>
      <c r="AE954" s="352">
        <f>IF(NFI_Expiration=1,IF($A954&lt;VLOOKUP(N$5,NFI,5,0),1,0)*Table_NFI[[#This Row],[Kitchen Set]],Table_NFI[Kitchen Set])</f>
        <v>0</v>
      </c>
      <c r="AF954" s="352">
        <f>IF(NFI_Expiration=1,IF($A954&lt;VLOOKUP(O$5,NFI,5,0),1,0)*Table_NFI[[#This Row],[Clothes Kit]],Table_NFI[Clothes Kit])</f>
        <v>0</v>
      </c>
      <c r="AG954" s="352">
        <f>IF(NFI_Expiration=1,IF($A954&lt;VLOOKUP(P$5,NFI,5,0),1,0)*Table_NFI[[#This Row],[Plastic Bucket]],Table_NFI[Plastic Bucket])</f>
        <v>0</v>
      </c>
      <c r="AH954" s="352">
        <f>IF(NFI_Expiration=1,IF($A954&lt;VLOOKUP(Q$5,NFI,5,0),1,0)*Table_NFI[[#This Row],[Plastic Mat]],Table_NFI[Plastic Mat])*IF(Table_NFI[[#This Row],[Distribution Date]]&gt;"2014-04-01",1,2.5)</f>
        <v>0</v>
      </c>
      <c r="AI954" s="352">
        <f>IF(NFI_Expiration=1,IF($A954&lt;VLOOKUP(R$5,NFI,5,0),1,0)*Table_NFI[[#This Row],[Winter Clothes Adult]],Table_NFI[Winter Clothes Adult])</f>
        <v>0</v>
      </c>
      <c r="AJ954" s="352">
        <f>IF(NFI_Expiration=1,IF($A954&lt;VLOOKUP(S$5,NFI,5,0),1,0)*Table_NFI[[#This Row],[Winter Clothes Children]],Table_NFI[Winter Clothes Children])</f>
        <v>0</v>
      </c>
      <c r="AK954" s="352">
        <f>IF(NFI_Expiration=1,IF($A954&lt;VLOOKUP(T$5,NFI,5,0),1,0)*Table_NFI[[#This Row],[Winter Items Other]],Table_NFI[Winter Items Other])</f>
        <v>0</v>
      </c>
      <c r="AL954" s="352">
        <f>IF(NFI_Expiration=1,IF($A954&lt;VLOOKUP(M$5,NFI,5,0),1,0)*Table_NFI[[#This Row],[Winter Blanket]],Table_NFI[[#This Row],[Winter Blanket]])</f>
        <v>0</v>
      </c>
      <c r="AM954" s="352">
        <f>IF(Table_NFI[[#This Row],[Winter Clothes Adult]]+Table_NFI[[#This Row],[Winter Clothes Children]]+Table_NFI[[#This Row],[Winter Items Other]]+Table_NFI[[#This Row],[Winter Blanket]]&gt;0,1,0)</f>
        <v>0</v>
      </c>
      <c r="AN954" s="392">
        <f>IF(NFI_Expiration=1,IF($A954&lt;VLOOKUP(V$5,NFI,5,0),1,0)*Table_NFI[[#This Row],[Jerry Can]],Table_NFI[Jerry Can])</f>
        <v>0</v>
      </c>
      <c r="AO954" s="540" t="str">
        <f>IFERROR(VLOOKUP(Table_NFI[[#This Row],[Camp Name]],CL,2,0),"")</f>
        <v/>
      </c>
      <c r="AP954" s="535" t="str">
        <f ca="1">IF(Table_NFI[[#This Row],[Pcode]]="","",IF(OFFSET(CampList[Opening Date],MATCH(Table_NFI[[#This Row],[Pcode]],CampList[CP_Pcode],0)-1,0,1,1)&gt;=NFI_Monitor_Date,1,0))</f>
        <v/>
      </c>
      <c r="AQ954" s="540" t="str">
        <f>IFERROR(VLOOKUP(Table_NFI[[#This Row],[Camp Name]],CL,3,0),"")</f>
        <v/>
      </c>
      <c r="AR954" s="352" t="str">
        <f ca="1">IF(Table_NFI[[#This Row],[Pcode]]="","",OFFSET(CampList[Priority],MATCH(Table_NFI[[#This Row],[Pcode]],CampList[CP_Pcode],0)-1,0,1,1))</f>
        <v/>
      </c>
      <c r="AS954" s="351" t="str">
        <f>IFERROR(Table_NFI[[#This Row],[Kitchen Set]]/VLOOKUP(Table_NFI[[#This Row],[Camp Name]],CL,4,0),"")</f>
        <v/>
      </c>
      <c r="AT954" s="533"/>
      <c r="AU954" s="536"/>
    </row>
    <row r="955" spans="1:47" hidden="1" x14ac:dyDescent="0.25">
      <c r="A955" s="355">
        <f t="shared" si="14"/>
        <v>46.7</v>
      </c>
      <c r="B955" s="532">
        <v>41170</v>
      </c>
      <c r="C955" s="533" t="s">
        <v>907</v>
      </c>
      <c r="D955" s="533" t="s">
        <v>1004</v>
      </c>
      <c r="E955" s="533" t="s">
        <v>380</v>
      </c>
      <c r="F955" s="533" t="s">
        <v>302</v>
      </c>
      <c r="G955" s="533" t="s">
        <v>1561</v>
      </c>
      <c r="H955" s="352">
        <v>45</v>
      </c>
      <c r="I955" s="349"/>
      <c r="J955" s="350"/>
      <c r="K955" s="349"/>
      <c r="L955" s="350"/>
      <c r="M955" s="350"/>
      <c r="N955" s="350"/>
      <c r="O955" s="350"/>
      <c r="P955" s="352"/>
      <c r="Q955" s="392"/>
      <c r="R955" s="392"/>
      <c r="S955" s="392"/>
      <c r="T955" s="392"/>
      <c r="U955" s="392"/>
      <c r="V955" s="497"/>
      <c r="W955" s="392"/>
      <c r="X955" s="392"/>
      <c r="Y955" s="352">
        <f>IF(NFI_Expiration=1,IF($A955&lt;VLOOKUP(H$5,NFI,5,0),1,0)*Table_NFI[[#This Row],[Hygiene Kit]],Table_NFI[Hygiene Kit])</f>
        <v>0</v>
      </c>
      <c r="Z955" s="352">
        <f>IF(NFI_Expiration=1,IF($A955&lt;VLOOKUP(I$5,NFI,5,0),1,0)*Table_NFI[[#This Row],[NFI Core Kit]],Table_NFI[NFI Core Kit])</f>
        <v>0</v>
      </c>
      <c r="AA955" s="352">
        <f>IF(NFI_Expiration=1,IF($A955&lt;VLOOKUP(J$5,NFI,5,0),1,0)*Table_NFI[[#This Row],[Sanitary Kit]],Table_NFI[Sanitary Kit])</f>
        <v>0</v>
      </c>
      <c r="AB955" s="352">
        <f>IF(NFI_Expiration=1,IF($A955&lt;VLOOKUP(K$5,NFI,5,0),1,0)*Table_NFI[[#This Row],[Mosquito net]],Table_NFI[Mosquito net])</f>
        <v>0</v>
      </c>
      <c r="AC955" s="352">
        <f>IF(NFI_Expiration=1,IF($A955&lt;VLOOKUP(L$5,NFI,5,0),1,0)*Table_NFI[[#This Row],[Tarpaulin]],Table_NFI[[#This Row],[Tarpaulin]])</f>
        <v>0</v>
      </c>
      <c r="AD955" s="352">
        <f>IF(NFI_Expiration=1,IF($A955&lt;VLOOKUP(M$5,NFI,5,0),1,0)*Table_NFI[[#This Row],[Blanket]],Table_NFI[[#This Row],[Blanket]])</f>
        <v>0</v>
      </c>
      <c r="AE955" s="352">
        <f>IF(NFI_Expiration=1,IF($A955&lt;VLOOKUP(N$5,NFI,5,0),1,0)*Table_NFI[[#This Row],[Kitchen Set]],Table_NFI[Kitchen Set])</f>
        <v>0</v>
      </c>
      <c r="AF955" s="352">
        <f>IF(NFI_Expiration=1,IF($A955&lt;VLOOKUP(O$5,NFI,5,0),1,0)*Table_NFI[[#This Row],[Clothes Kit]],Table_NFI[Clothes Kit])</f>
        <v>0</v>
      </c>
      <c r="AG955" s="352">
        <f>IF(NFI_Expiration=1,IF($A955&lt;VLOOKUP(P$5,NFI,5,0),1,0)*Table_NFI[[#This Row],[Plastic Bucket]],Table_NFI[Plastic Bucket])</f>
        <v>0</v>
      </c>
      <c r="AH955" s="352">
        <f>IF(NFI_Expiration=1,IF($A955&lt;VLOOKUP(Q$5,NFI,5,0),1,0)*Table_NFI[[#This Row],[Plastic Mat]],Table_NFI[Plastic Mat])*IF(Table_NFI[[#This Row],[Distribution Date]]&gt;"2014-04-01",1,2.5)</f>
        <v>0</v>
      </c>
      <c r="AI955" s="352">
        <f>IF(NFI_Expiration=1,IF($A955&lt;VLOOKUP(R$5,NFI,5,0),1,0)*Table_NFI[[#This Row],[Winter Clothes Adult]],Table_NFI[Winter Clothes Adult])</f>
        <v>0</v>
      </c>
      <c r="AJ955" s="352">
        <f>IF(NFI_Expiration=1,IF($A955&lt;VLOOKUP(S$5,NFI,5,0),1,0)*Table_NFI[[#This Row],[Winter Clothes Children]],Table_NFI[Winter Clothes Children])</f>
        <v>0</v>
      </c>
      <c r="AK955" s="352">
        <f>IF(NFI_Expiration=1,IF($A955&lt;VLOOKUP(T$5,NFI,5,0),1,0)*Table_NFI[[#This Row],[Winter Items Other]],Table_NFI[Winter Items Other])</f>
        <v>0</v>
      </c>
      <c r="AL955" s="352">
        <f>IF(NFI_Expiration=1,IF($A955&lt;VLOOKUP(M$5,NFI,5,0),1,0)*Table_NFI[[#This Row],[Winter Blanket]],Table_NFI[[#This Row],[Winter Blanket]])</f>
        <v>0</v>
      </c>
      <c r="AM955" s="352">
        <f>IF(Table_NFI[[#This Row],[Winter Clothes Adult]]+Table_NFI[[#This Row],[Winter Clothes Children]]+Table_NFI[[#This Row],[Winter Items Other]]+Table_NFI[[#This Row],[Winter Blanket]]&gt;0,1,0)</f>
        <v>0</v>
      </c>
      <c r="AN955" s="392">
        <f>IF(NFI_Expiration=1,IF($A955&lt;VLOOKUP(V$5,NFI,5,0),1,0)*Table_NFI[[#This Row],[Jerry Can]],Table_NFI[Jerry Can])</f>
        <v>0</v>
      </c>
      <c r="AO955" s="540" t="str">
        <f>IFERROR(VLOOKUP(Table_NFI[[#This Row],[Camp Name]],CL,2,0),"")</f>
        <v/>
      </c>
      <c r="AP955" s="535" t="str">
        <f ca="1">IF(Table_NFI[[#This Row],[Pcode]]="","",IF(OFFSET(CampList[Opening Date],MATCH(Table_NFI[[#This Row],[Pcode]],CampList[CP_Pcode],0)-1,0,1,1)&gt;=NFI_Monitor_Date,1,0))</f>
        <v/>
      </c>
      <c r="AQ955" s="540" t="str">
        <f>IFERROR(VLOOKUP(Table_NFI[[#This Row],[Camp Name]],CL,3,0),"")</f>
        <v/>
      </c>
      <c r="AR955" s="352" t="str">
        <f ca="1">IF(Table_NFI[[#This Row],[Pcode]]="","",OFFSET(CampList[Priority],MATCH(Table_NFI[[#This Row],[Pcode]],CampList[CP_Pcode],0)-1,0,1,1))</f>
        <v/>
      </c>
      <c r="AS955" s="351" t="str">
        <f>IFERROR(Table_NFI[[#This Row],[Kitchen Set]]/VLOOKUP(Table_NFI[[#This Row],[Camp Name]],CL,4,0),"")</f>
        <v/>
      </c>
      <c r="AT955" s="533"/>
      <c r="AU955" s="536"/>
    </row>
    <row r="956" spans="1:47" hidden="1" x14ac:dyDescent="0.25">
      <c r="A956" s="355">
        <f t="shared" si="14"/>
        <v>46.7</v>
      </c>
      <c r="B956" s="532">
        <v>41170</v>
      </c>
      <c r="C956" s="533" t="s">
        <v>907</v>
      </c>
      <c r="D956" s="533" t="s">
        <v>1004</v>
      </c>
      <c r="E956" s="533" t="s">
        <v>380</v>
      </c>
      <c r="F956" s="533" t="s">
        <v>302</v>
      </c>
      <c r="G956" s="533" t="s">
        <v>1562</v>
      </c>
      <c r="H956" s="352">
        <v>22</v>
      </c>
      <c r="I956" s="349"/>
      <c r="J956" s="350"/>
      <c r="K956" s="349"/>
      <c r="L956" s="350"/>
      <c r="M956" s="350"/>
      <c r="N956" s="350"/>
      <c r="O956" s="350"/>
      <c r="P956" s="352"/>
      <c r="Q956" s="392"/>
      <c r="R956" s="392"/>
      <c r="S956" s="392"/>
      <c r="T956" s="392"/>
      <c r="U956" s="392"/>
      <c r="V956" s="497"/>
      <c r="W956" s="392"/>
      <c r="X956" s="392"/>
      <c r="Y956" s="352">
        <f>IF(NFI_Expiration=1,IF($A956&lt;VLOOKUP(H$5,NFI,5,0),1,0)*Table_NFI[[#This Row],[Hygiene Kit]],Table_NFI[Hygiene Kit])</f>
        <v>0</v>
      </c>
      <c r="Z956" s="352">
        <f>IF(NFI_Expiration=1,IF($A956&lt;VLOOKUP(I$5,NFI,5,0),1,0)*Table_NFI[[#This Row],[NFI Core Kit]],Table_NFI[NFI Core Kit])</f>
        <v>0</v>
      </c>
      <c r="AA956" s="352">
        <f>IF(NFI_Expiration=1,IF($A956&lt;VLOOKUP(J$5,NFI,5,0),1,0)*Table_NFI[[#This Row],[Sanitary Kit]],Table_NFI[Sanitary Kit])</f>
        <v>0</v>
      </c>
      <c r="AB956" s="352">
        <f>IF(NFI_Expiration=1,IF($A956&lt;VLOOKUP(K$5,NFI,5,0),1,0)*Table_NFI[[#This Row],[Mosquito net]],Table_NFI[Mosquito net])</f>
        <v>0</v>
      </c>
      <c r="AC956" s="352">
        <f>IF(NFI_Expiration=1,IF($A956&lt;VLOOKUP(L$5,NFI,5,0),1,0)*Table_NFI[[#This Row],[Tarpaulin]],Table_NFI[[#This Row],[Tarpaulin]])</f>
        <v>0</v>
      </c>
      <c r="AD956" s="352">
        <f>IF(NFI_Expiration=1,IF($A956&lt;VLOOKUP(M$5,NFI,5,0),1,0)*Table_NFI[[#This Row],[Blanket]],Table_NFI[[#This Row],[Blanket]])</f>
        <v>0</v>
      </c>
      <c r="AE956" s="352">
        <f>IF(NFI_Expiration=1,IF($A956&lt;VLOOKUP(N$5,NFI,5,0),1,0)*Table_NFI[[#This Row],[Kitchen Set]],Table_NFI[Kitchen Set])</f>
        <v>0</v>
      </c>
      <c r="AF956" s="352">
        <f>IF(NFI_Expiration=1,IF($A956&lt;VLOOKUP(O$5,NFI,5,0),1,0)*Table_NFI[[#This Row],[Clothes Kit]],Table_NFI[Clothes Kit])</f>
        <v>0</v>
      </c>
      <c r="AG956" s="352">
        <f>IF(NFI_Expiration=1,IF($A956&lt;VLOOKUP(P$5,NFI,5,0),1,0)*Table_NFI[[#This Row],[Plastic Bucket]],Table_NFI[Plastic Bucket])</f>
        <v>0</v>
      </c>
      <c r="AH956" s="352">
        <f>IF(NFI_Expiration=1,IF($A956&lt;VLOOKUP(Q$5,NFI,5,0),1,0)*Table_NFI[[#This Row],[Plastic Mat]],Table_NFI[Plastic Mat])*IF(Table_NFI[[#This Row],[Distribution Date]]&gt;"2014-04-01",1,2.5)</f>
        <v>0</v>
      </c>
      <c r="AI956" s="352">
        <f>IF(NFI_Expiration=1,IF($A956&lt;VLOOKUP(R$5,NFI,5,0),1,0)*Table_NFI[[#This Row],[Winter Clothes Adult]],Table_NFI[Winter Clothes Adult])</f>
        <v>0</v>
      </c>
      <c r="AJ956" s="352">
        <f>IF(NFI_Expiration=1,IF($A956&lt;VLOOKUP(S$5,NFI,5,0),1,0)*Table_NFI[[#This Row],[Winter Clothes Children]],Table_NFI[Winter Clothes Children])</f>
        <v>0</v>
      </c>
      <c r="AK956" s="352">
        <f>IF(NFI_Expiration=1,IF($A956&lt;VLOOKUP(T$5,NFI,5,0),1,0)*Table_NFI[[#This Row],[Winter Items Other]],Table_NFI[Winter Items Other])</f>
        <v>0</v>
      </c>
      <c r="AL956" s="352">
        <f>IF(NFI_Expiration=1,IF($A956&lt;VLOOKUP(M$5,NFI,5,0),1,0)*Table_NFI[[#This Row],[Winter Blanket]],Table_NFI[[#This Row],[Winter Blanket]])</f>
        <v>0</v>
      </c>
      <c r="AM956" s="352">
        <f>IF(Table_NFI[[#This Row],[Winter Clothes Adult]]+Table_NFI[[#This Row],[Winter Clothes Children]]+Table_NFI[[#This Row],[Winter Items Other]]+Table_NFI[[#This Row],[Winter Blanket]]&gt;0,1,0)</f>
        <v>0</v>
      </c>
      <c r="AN956" s="392">
        <f>IF(NFI_Expiration=1,IF($A956&lt;VLOOKUP(V$5,NFI,5,0),1,0)*Table_NFI[[#This Row],[Jerry Can]],Table_NFI[Jerry Can])</f>
        <v>0</v>
      </c>
      <c r="AO956" s="540" t="str">
        <f>IFERROR(VLOOKUP(Table_NFI[[#This Row],[Camp Name]],CL,2,0),"")</f>
        <v/>
      </c>
      <c r="AP956" s="535" t="str">
        <f ca="1">IF(Table_NFI[[#This Row],[Pcode]]="","",IF(OFFSET(CampList[Opening Date],MATCH(Table_NFI[[#This Row],[Pcode]],CampList[CP_Pcode],0)-1,0,1,1)&gt;=NFI_Monitor_Date,1,0))</f>
        <v/>
      </c>
      <c r="AQ956" s="540" t="str">
        <f>IFERROR(VLOOKUP(Table_NFI[[#This Row],[Camp Name]],CL,3,0),"")</f>
        <v/>
      </c>
      <c r="AR956" s="352" t="str">
        <f ca="1">IF(Table_NFI[[#This Row],[Pcode]]="","",OFFSET(CampList[Priority],MATCH(Table_NFI[[#This Row],[Pcode]],CampList[CP_Pcode],0)-1,0,1,1))</f>
        <v/>
      </c>
      <c r="AS956" s="351" t="str">
        <f>IFERROR(Table_NFI[[#This Row],[Kitchen Set]]/VLOOKUP(Table_NFI[[#This Row],[Camp Name]],CL,4,0),"")</f>
        <v/>
      </c>
      <c r="AT956" s="533"/>
      <c r="AU956" s="536"/>
    </row>
    <row r="957" spans="1:47" hidden="1" x14ac:dyDescent="0.25">
      <c r="A957" s="355">
        <f t="shared" si="14"/>
        <v>46.7</v>
      </c>
      <c r="B957" s="532">
        <v>41170</v>
      </c>
      <c r="C957" s="533" t="s">
        <v>907</v>
      </c>
      <c r="D957" s="533" t="s">
        <v>1004</v>
      </c>
      <c r="E957" s="533" t="s">
        <v>380</v>
      </c>
      <c r="F957" s="533" t="s">
        <v>302</v>
      </c>
      <c r="G957" s="533" t="s">
        <v>1563</v>
      </c>
      <c r="H957" s="352">
        <v>130</v>
      </c>
      <c r="I957" s="349"/>
      <c r="J957" s="350"/>
      <c r="K957" s="349"/>
      <c r="L957" s="350"/>
      <c r="M957" s="350"/>
      <c r="N957" s="350"/>
      <c r="O957" s="350"/>
      <c r="P957" s="352"/>
      <c r="Q957" s="392"/>
      <c r="R957" s="392"/>
      <c r="S957" s="392"/>
      <c r="T957" s="392"/>
      <c r="U957" s="392"/>
      <c r="V957" s="497"/>
      <c r="W957" s="392"/>
      <c r="X957" s="392"/>
      <c r="Y957" s="352">
        <f>IF(NFI_Expiration=1,IF($A957&lt;VLOOKUP(H$5,NFI,5,0),1,0)*Table_NFI[[#This Row],[Hygiene Kit]],Table_NFI[Hygiene Kit])</f>
        <v>0</v>
      </c>
      <c r="Z957" s="352">
        <f>IF(NFI_Expiration=1,IF($A957&lt;VLOOKUP(I$5,NFI,5,0),1,0)*Table_NFI[[#This Row],[NFI Core Kit]],Table_NFI[NFI Core Kit])</f>
        <v>0</v>
      </c>
      <c r="AA957" s="352">
        <f>IF(NFI_Expiration=1,IF($A957&lt;VLOOKUP(J$5,NFI,5,0),1,0)*Table_NFI[[#This Row],[Sanitary Kit]],Table_NFI[Sanitary Kit])</f>
        <v>0</v>
      </c>
      <c r="AB957" s="352">
        <f>IF(NFI_Expiration=1,IF($A957&lt;VLOOKUP(K$5,NFI,5,0),1,0)*Table_NFI[[#This Row],[Mosquito net]],Table_NFI[Mosquito net])</f>
        <v>0</v>
      </c>
      <c r="AC957" s="352">
        <f>IF(NFI_Expiration=1,IF($A957&lt;VLOOKUP(L$5,NFI,5,0),1,0)*Table_NFI[[#This Row],[Tarpaulin]],Table_NFI[[#This Row],[Tarpaulin]])</f>
        <v>0</v>
      </c>
      <c r="AD957" s="352">
        <f>IF(NFI_Expiration=1,IF($A957&lt;VLOOKUP(M$5,NFI,5,0),1,0)*Table_NFI[[#This Row],[Blanket]],Table_NFI[[#This Row],[Blanket]])</f>
        <v>0</v>
      </c>
      <c r="AE957" s="352">
        <f>IF(NFI_Expiration=1,IF($A957&lt;VLOOKUP(N$5,NFI,5,0),1,0)*Table_NFI[[#This Row],[Kitchen Set]],Table_NFI[Kitchen Set])</f>
        <v>0</v>
      </c>
      <c r="AF957" s="352">
        <f>IF(NFI_Expiration=1,IF($A957&lt;VLOOKUP(O$5,NFI,5,0),1,0)*Table_NFI[[#This Row],[Clothes Kit]],Table_NFI[Clothes Kit])</f>
        <v>0</v>
      </c>
      <c r="AG957" s="352">
        <f>IF(NFI_Expiration=1,IF($A957&lt;VLOOKUP(P$5,NFI,5,0),1,0)*Table_NFI[[#This Row],[Plastic Bucket]],Table_NFI[Plastic Bucket])</f>
        <v>0</v>
      </c>
      <c r="AH957" s="352">
        <f>IF(NFI_Expiration=1,IF($A957&lt;VLOOKUP(Q$5,NFI,5,0),1,0)*Table_NFI[[#This Row],[Plastic Mat]],Table_NFI[Plastic Mat])*IF(Table_NFI[[#This Row],[Distribution Date]]&gt;"2014-04-01",1,2.5)</f>
        <v>0</v>
      </c>
      <c r="AI957" s="352">
        <f>IF(NFI_Expiration=1,IF($A957&lt;VLOOKUP(R$5,NFI,5,0),1,0)*Table_NFI[[#This Row],[Winter Clothes Adult]],Table_NFI[Winter Clothes Adult])</f>
        <v>0</v>
      </c>
      <c r="AJ957" s="352">
        <f>IF(NFI_Expiration=1,IF($A957&lt;VLOOKUP(S$5,NFI,5,0),1,0)*Table_NFI[[#This Row],[Winter Clothes Children]],Table_NFI[Winter Clothes Children])</f>
        <v>0</v>
      </c>
      <c r="AK957" s="352">
        <f>IF(NFI_Expiration=1,IF($A957&lt;VLOOKUP(T$5,NFI,5,0),1,0)*Table_NFI[[#This Row],[Winter Items Other]],Table_NFI[Winter Items Other])</f>
        <v>0</v>
      </c>
      <c r="AL957" s="352">
        <f>IF(NFI_Expiration=1,IF($A957&lt;VLOOKUP(M$5,NFI,5,0),1,0)*Table_NFI[[#This Row],[Winter Blanket]],Table_NFI[[#This Row],[Winter Blanket]])</f>
        <v>0</v>
      </c>
      <c r="AM957" s="352">
        <f>IF(Table_NFI[[#This Row],[Winter Clothes Adult]]+Table_NFI[[#This Row],[Winter Clothes Children]]+Table_NFI[[#This Row],[Winter Items Other]]+Table_NFI[[#This Row],[Winter Blanket]]&gt;0,1,0)</f>
        <v>0</v>
      </c>
      <c r="AN957" s="392">
        <f>IF(NFI_Expiration=1,IF($A957&lt;VLOOKUP(V$5,NFI,5,0),1,0)*Table_NFI[[#This Row],[Jerry Can]],Table_NFI[Jerry Can])</f>
        <v>0</v>
      </c>
      <c r="AO957" s="540" t="str">
        <f>IFERROR(VLOOKUP(Table_NFI[[#This Row],[Camp Name]],CL,2,0),"")</f>
        <v/>
      </c>
      <c r="AP957" s="535" t="str">
        <f ca="1">IF(Table_NFI[[#This Row],[Pcode]]="","",IF(OFFSET(CampList[Opening Date],MATCH(Table_NFI[[#This Row],[Pcode]],CampList[CP_Pcode],0)-1,0,1,1)&gt;=NFI_Monitor_Date,1,0))</f>
        <v/>
      </c>
      <c r="AQ957" s="540" t="str">
        <f>IFERROR(VLOOKUP(Table_NFI[[#This Row],[Camp Name]],CL,3,0),"")</f>
        <v/>
      </c>
      <c r="AR957" s="352" t="str">
        <f ca="1">IF(Table_NFI[[#This Row],[Pcode]]="","",OFFSET(CampList[Priority],MATCH(Table_NFI[[#This Row],[Pcode]],CampList[CP_Pcode],0)-1,0,1,1))</f>
        <v/>
      </c>
      <c r="AS957" s="351" t="str">
        <f>IFERROR(Table_NFI[[#This Row],[Kitchen Set]]/VLOOKUP(Table_NFI[[#This Row],[Camp Name]],CL,4,0),"")</f>
        <v/>
      </c>
      <c r="AT957" s="533"/>
      <c r="AU957" s="536"/>
    </row>
    <row r="958" spans="1:47" hidden="1" x14ac:dyDescent="0.25">
      <c r="A958" s="355">
        <f t="shared" si="14"/>
        <v>45.8</v>
      </c>
      <c r="B958" s="532">
        <v>41197</v>
      </c>
      <c r="C958" s="533" t="s">
        <v>907</v>
      </c>
      <c r="D958" s="533" t="s">
        <v>1004</v>
      </c>
      <c r="E958" s="533" t="s">
        <v>380</v>
      </c>
      <c r="F958" s="533" t="s">
        <v>302</v>
      </c>
      <c r="G958" s="533" t="s">
        <v>1564</v>
      </c>
      <c r="H958" s="352">
        <v>38</v>
      </c>
      <c r="I958" s="349"/>
      <c r="J958" s="350"/>
      <c r="K958" s="349"/>
      <c r="L958" s="350"/>
      <c r="M958" s="350"/>
      <c r="N958" s="350"/>
      <c r="O958" s="350"/>
      <c r="P958" s="352"/>
      <c r="Q958" s="392"/>
      <c r="R958" s="392"/>
      <c r="S958" s="392"/>
      <c r="T958" s="392"/>
      <c r="U958" s="392"/>
      <c r="V958" s="497"/>
      <c r="W958" s="392"/>
      <c r="X958" s="392"/>
      <c r="Y958" s="352">
        <f>IF(NFI_Expiration=1,IF($A958&lt;VLOOKUP(H$5,NFI,5,0),1,0)*Table_NFI[[#This Row],[Hygiene Kit]],Table_NFI[Hygiene Kit])</f>
        <v>0</v>
      </c>
      <c r="Z958" s="352">
        <f>IF(NFI_Expiration=1,IF($A958&lt;VLOOKUP(I$5,NFI,5,0),1,0)*Table_NFI[[#This Row],[NFI Core Kit]],Table_NFI[NFI Core Kit])</f>
        <v>0</v>
      </c>
      <c r="AA958" s="352">
        <f>IF(NFI_Expiration=1,IF($A958&lt;VLOOKUP(J$5,NFI,5,0),1,0)*Table_NFI[[#This Row],[Sanitary Kit]],Table_NFI[Sanitary Kit])</f>
        <v>0</v>
      </c>
      <c r="AB958" s="352">
        <f>IF(NFI_Expiration=1,IF($A958&lt;VLOOKUP(K$5,NFI,5,0),1,0)*Table_NFI[[#This Row],[Mosquito net]],Table_NFI[Mosquito net])</f>
        <v>0</v>
      </c>
      <c r="AC958" s="352">
        <f>IF(NFI_Expiration=1,IF($A958&lt;VLOOKUP(L$5,NFI,5,0),1,0)*Table_NFI[[#This Row],[Tarpaulin]],Table_NFI[[#This Row],[Tarpaulin]])</f>
        <v>0</v>
      </c>
      <c r="AD958" s="352">
        <f>IF(NFI_Expiration=1,IF($A958&lt;VLOOKUP(M$5,NFI,5,0),1,0)*Table_NFI[[#This Row],[Blanket]],Table_NFI[[#This Row],[Blanket]])</f>
        <v>0</v>
      </c>
      <c r="AE958" s="352">
        <f>IF(NFI_Expiration=1,IF($A958&lt;VLOOKUP(N$5,NFI,5,0),1,0)*Table_NFI[[#This Row],[Kitchen Set]],Table_NFI[Kitchen Set])</f>
        <v>0</v>
      </c>
      <c r="AF958" s="352">
        <f>IF(NFI_Expiration=1,IF($A958&lt;VLOOKUP(O$5,NFI,5,0),1,0)*Table_NFI[[#This Row],[Clothes Kit]],Table_NFI[Clothes Kit])</f>
        <v>0</v>
      </c>
      <c r="AG958" s="352">
        <f>IF(NFI_Expiration=1,IF($A958&lt;VLOOKUP(P$5,NFI,5,0),1,0)*Table_NFI[[#This Row],[Plastic Bucket]],Table_NFI[Plastic Bucket])</f>
        <v>0</v>
      </c>
      <c r="AH958" s="352">
        <f>IF(NFI_Expiration=1,IF($A958&lt;VLOOKUP(Q$5,NFI,5,0),1,0)*Table_NFI[[#This Row],[Plastic Mat]],Table_NFI[Plastic Mat])*IF(Table_NFI[[#This Row],[Distribution Date]]&gt;"2014-04-01",1,2.5)</f>
        <v>0</v>
      </c>
      <c r="AI958" s="352">
        <f>IF(NFI_Expiration=1,IF($A958&lt;VLOOKUP(R$5,NFI,5,0),1,0)*Table_NFI[[#This Row],[Winter Clothes Adult]],Table_NFI[Winter Clothes Adult])</f>
        <v>0</v>
      </c>
      <c r="AJ958" s="352">
        <f>IF(NFI_Expiration=1,IF($A958&lt;VLOOKUP(S$5,NFI,5,0),1,0)*Table_NFI[[#This Row],[Winter Clothes Children]],Table_NFI[Winter Clothes Children])</f>
        <v>0</v>
      </c>
      <c r="AK958" s="352">
        <f>IF(NFI_Expiration=1,IF($A958&lt;VLOOKUP(T$5,NFI,5,0),1,0)*Table_NFI[[#This Row],[Winter Items Other]],Table_NFI[Winter Items Other])</f>
        <v>0</v>
      </c>
      <c r="AL958" s="352">
        <f>IF(NFI_Expiration=1,IF($A958&lt;VLOOKUP(M$5,NFI,5,0),1,0)*Table_NFI[[#This Row],[Winter Blanket]],Table_NFI[[#This Row],[Winter Blanket]])</f>
        <v>0</v>
      </c>
      <c r="AM958" s="352">
        <f>IF(Table_NFI[[#This Row],[Winter Clothes Adult]]+Table_NFI[[#This Row],[Winter Clothes Children]]+Table_NFI[[#This Row],[Winter Items Other]]+Table_NFI[[#This Row],[Winter Blanket]]&gt;0,1,0)</f>
        <v>0</v>
      </c>
      <c r="AN958" s="392">
        <f>IF(NFI_Expiration=1,IF($A958&lt;VLOOKUP(V$5,NFI,5,0),1,0)*Table_NFI[[#This Row],[Jerry Can]],Table_NFI[Jerry Can])</f>
        <v>0</v>
      </c>
      <c r="AO958" s="540" t="str">
        <f>IFERROR(VLOOKUP(Table_NFI[[#This Row],[Camp Name]],CL,2,0),"")</f>
        <v/>
      </c>
      <c r="AP958" s="535" t="str">
        <f ca="1">IF(Table_NFI[[#This Row],[Pcode]]="","",IF(OFFSET(CampList[Opening Date],MATCH(Table_NFI[[#This Row],[Pcode]],CampList[CP_Pcode],0)-1,0,1,1)&gt;=NFI_Monitor_Date,1,0))</f>
        <v/>
      </c>
      <c r="AQ958" s="540" t="str">
        <f>IFERROR(VLOOKUP(Table_NFI[[#This Row],[Camp Name]],CL,3,0),"")</f>
        <v/>
      </c>
      <c r="AR958" s="352" t="str">
        <f ca="1">IF(Table_NFI[[#This Row],[Pcode]]="","",OFFSET(CampList[Priority],MATCH(Table_NFI[[#This Row],[Pcode]],CampList[CP_Pcode],0)-1,0,1,1))</f>
        <v/>
      </c>
      <c r="AS958" s="351" t="str">
        <f>IFERROR(Table_NFI[[#This Row],[Kitchen Set]]/VLOOKUP(Table_NFI[[#This Row],[Camp Name]],CL,4,0),"")</f>
        <v/>
      </c>
      <c r="AT958" s="533"/>
      <c r="AU958" s="536"/>
    </row>
    <row r="959" spans="1:47" hidden="1" x14ac:dyDescent="0.25">
      <c r="A959" s="355">
        <f t="shared" si="14"/>
        <v>53.1</v>
      </c>
      <c r="B959" s="532">
        <v>40978</v>
      </c>
      <c r="C959" s="533" t="s">
        <v>907</v>
      </c>
      <c r="D959" s="533"/>
      <c r="E959" s="533" t="s">
        <v>380</v>
      </c>
      <c r="F959" s="533" t="s">
        <v>185</v>
      </c>
      <c r="G959" s="533" t="s">
        <v>1565</v>
      </c>
      <c r="H959" s="352">
        <v>36</v>
      </c>
      <c r="I959" s="349"/>
      <c r="J959" s="350"/>
      <c r="K959" s="349"/>
      <c r="L959" s="350"/>
      <c r="M959" s="350"/>
      <c r="N959" s="350"/>
      <c r="O959" s="350"/>
      <c r="P959" s="352"/>
      <c r="Q959" s="392"/>
      <c r="R959" s="392"/>
      <c r="S959" s="392"/>
      <c r="T959" s="392"/>
      <c r="U959" s="392"/>
      <c r="V959" s="497"/>
      <c r="W959" s="392"/>
      <c r="X959" s="392"/>
      <c r="Y959" s="352">
        <f>IF(NFI_Expiration=1,IF($A959&lt;VLOOKUP(H$5,NFI,5,0),1,0)*Table_NFI[[#This Row],[Hygiene Kit]],Table_NFI[Hygiene Kit])</f>
        <v>0</v>
      </c>
      <c r="Z959" s="352">
        <f>IF(NFI_Expiration=1,IF($A959&lt;VLOOKUP(I$5,NFI,5,0),1,0)*Table_NFI[[#This Row],[NFI Core Kit]],Table_NFI[NFI Core Kit])</f>
        <v>0</v>
      </c>
      <c r="AA959" s="352">
        <f>IF(NFI_Expiration=1,IF($A959&lt;VLOOKUP(J$5,NFI,5,0),1,0)*Table_NFI[[#This Row],[Sanitary Kit]],Table_NFI[Sanitary Kit])</f>
        <v>0</v>
      </c>
      <c r="AB959" s="352">
        <f>IF(NFI_Expiration=1,IF($A959&lt;VLOOKUP(K$5,NFI,5,0),1,0)*Table_NFI[[#This Row],[Mosquito net]],Table_NFI[Mosquito net])</f>
        <v>0</v>
      </c>
      <c r="AC959" s="352">
        <f>IF(NFI_Expiration=1,IF($A959&lt;VLOOKUP(L$5,NFI,5,0),1,0)*Table_NFI[[#This Row],[Tarpaulin]],Table_NFI[[#This Row],[Tarpaulin]])</f>
        <v>0</v>
      </c>
      <c r="AD959" s="352">
        <f>IF(NFI_Expiration=1,IF($A959&lt;VLOOKUP(M$5,NFI,5,0),1,0)*Table_NFI[[#This Row],[Blanket]],Table_NFI[[#This Row],[Blanket]])</f>
        <v>0</v>
      </c>
      <c r="AE959" s="352">
        <f>IF(NFI_Expiration=1,IF($A959&lt;VLOOKUP(N$5,NFI,5,0),1,0)*Table_NFI[[#This Row],[Kitchen Set]],Table_NFI[Kitchen Set])</f>
        <v>0</v>
      </c>
      <c r="AF959" s="352">
        <f>IF(NFI_Expiration=1,IF($A959&lt;VLOOKUP(O$5,NFI,5,0),1,0)*Table_NFI[[#This Row],[Clothes Kit]],Table_NFI[Clothes Kit])</f>
        <v>0</v>
      </c>
      <c r="AG959" s="352">
        <f>IF(NFI_Expiration=1,IF($A959&lt;VLOOKUP(P$5,NFI,5,0),1,0)*Table_NFI[[#This Row],[Plastic Bucket]],Table_NFI[Plastic Bucket])</f>
        <v>0</v>
      </c>
      <c r="AH959" s="352">
        <f>IF(NFI_Expiration=1,IF($A959&lt;VLOOKUP(Q$5,NFI,5,0),1,0)*Table_NFI[[#This Row],[Plastic Mat]],Table_NFI[Plastic Mat])*IF(Table_NFI[[#This Row],[Distribution Date]]&gt;"2014-04-01",1,2.5)</f>
        <v>0</v>
      </c>
      <c r="AI959" s="352">
        <f>IF(NFI_Expiration=1,IF($A959&lt;VLOOKUP(R$5,NFI,5,0),1,0)*Table_NFI[[#This Row],[Winter Clothes Adult]],Table_NFI[Winter Clothes Adult])</f>
        <v>0</v>
      </c>
      <c r="AJ959" s="352">
        <f>IF(NFI_Expiration=1,IF($A959&lt;VLOOKUP(S$5,NFI,5,0),1,0)*Table_NFI[[#This Row],[Winter Clothes Children]],Table_NFI[Winter Clothes Children])</f>
        <v>0</v>
      </c>
      <c r="AK959" s="352">
        <f>IF(NFI_Expiration=1,IF($A959&lt;VLOOKUP(T$5,NFI,5,0),1,0)*Table_NFI[[#This Row],[Winter Items Other]],Table_NFI[Winter Items Other])</f>
        <v>0</v>
      </c>
      <c r="AL959" s="352">
        <f>IF(NFI_Expiration=1,IF($A959&lt;VLOOKUP(M$5,NFI,5,0),1,0)*Table_NFI[[#This Row],[Winter Blanket]],Table_NFI[[#This Row],[Winter Blanket]])</f>
        <v>0</v>
      </c>
      <c r="AM959" s="352">
        <f>IF(Table_NFI[[#This Row],[Winter Clothes Adult]]+Table_NFI[[#This Row],[Winter Clothes Children]]+Table_NFI[[#This Row],[Winter Items Other]]+Table_NFI[[#This Row],[Winter Blanket]]&gt;0,1,0)</f>
        <v>0</v>
      </c>
      <c r="AN959" s="392">
        <f>IF(NFI_Expiration=1,IF($A959&lt;VLOOKUP(V$5,NFI,5,0),1,0)*Table_NFI[[#This Row],[Jerry Can]],Table_NFI[Jerry Can])</f>
        <v>0</v>
      </c>
      <c r="AO959" s="540" t="str">
        <f>IFERROR(VLOOKUP(Table_NFI[[#This Row],[Camp Name]],CL,2,0),"")</f>
        <v/>
      </c>
      <c r="AP959" s="535" t="str">
        <f ca="1">IF(Table_NFI[[#This Row],[Pcode]]="","",IF(OFFSET(CampList[Opening Date],MATCH(Table_NFI[[#This Row],[Pcode]],CampList[CP_Pcode],0)-1,0,1,1)&gt;=NFI_Monitor_Date,1,0))</f>
        <v/>
      </c>
      <c r="AQ959" s="540" t="str">
        <f>IFERROR(VLOOKUP(Table_NFI[[#This Row],[Camp Name]],CL,3,0),"")</f>
        <v/>
      </c>
      <c r="AR959" s="352" t="str">
        <f ca="1">IF(Table_NFI[[#This Row],[Pcode]]="","",OFFSET(CampList[Priority],MATCH(Table_NFI[[#This Row],[Pcode]],CampList[CP_Pcode],0)-1,0,1,1))</f>
        <v/>
      </c>
      <c r="AS959" s="351" t="str">
        <f>IFERROR(Table_NFI[[#This Row],[Kitchen Set]]/VLOOKUP(Table_NFI[[#This Row],[Camp Name]],CL,4,0),"")</f>
        <v/>
      </c>
      <c r="AT959" s="533"/>
      <c r="AU959" s="536"/>
    </row>
    <row r="960" spans="1:47" hidden="1" x14ac:dyDescent="0.25">
      <c r="A960" s="355">
        <f t="shared" si="14"/>
        <v>7.166666666666667</v>
      </c>
      <c r="B960" s="532">
        <v>42356</v>
      </c>
      <c r="C960" s="533" t="s">
        <v>907</v>
      </c>
      <c r="D960" s="533" t="s">
        <v>907</v>
      </c>
      <c r="E960" s="533" t="s">
        <v>380</v>
      </c>
      <c r="F960" s="533" t="s">
        <v>5</v>
      </c>
      <c r="G960" s="533" t="s">
        <v>24</v>
      </c>
      <c r="H960" s="349"/>
      <c r="I960" s="349"/>
      <c r="J960" s="350"/>
      <c r="K960" s="349"/>
      <c r="L960" s="350"/>
      <c r="M960" s="350"/>
      <c r="N960" s="350"/>
      <c r="O960" s="350"/>
      <c r="P960" s="352"/>
      <c r="Q960" s="392"/>
      <c r="R960" s="392"/>
      <c r="S960" s="392"/>
      <c r="T960" s="392"/>
      <c r="U960" s="392"/>
      <c r="V960" s="497"/>
      <c r="W960" s="392">
        <v>5</v>
      </c>
      <c r="X960" s="392"/>
      <c r="Y960" s="352">
        <f>IF(NFI_Expiration=1,IF($A960&lt;VLOOKUP(H$5,NFI,5,0),1,0)*Table_NFI[[#This Row],[Hygiene Kit]],Table_NFI[Hygiene Kit])</f>
        <v>0</v>
      </c>
      <c r="Z960" s="352">
        <f>IF(NFI_Expiration=1,IF($A960&lt;VLOOKUP(I$5,NFI,5,0),1,0)*Table_NFI[[#This Row],[NFI Core Kit]],Table_NFI[NFI Core Kit])</f>
        <v>0</v>
      </c>
      <c r="AA960" s="352">
        <f>IF(NFI_Expiration=1,IF($A960&lt;VLOOKUP(J$5,NFI,5,0),1,0)*Table_NFI[[#This Row],[Sanitary Kit]],Table_NFI[Sanitary Kit])</f>
        <v>0</v>
      </c>
      <c r="AB960" s="352">
        <f>IF(NFI_Expiration=1,IF($A960&lt;VLOOKUP(K$5,NFI,5,0),1,0)*Table_NFI[[#This Row],[Mosquito net]],Table_NFI[Mosquito net])</f>
        <v>0</v>
      </c>
      <c r="AC960" s="352">
        <f>IF(NFI_Expiration=1,IF($A960&lt;VLOOKUP(L$5,NFI,5,0),1,0)*Table_NFI[[#This Row],[Tarpaulin]],Table_NFI[[#This Row],[Tarpaulin]])</f>
        <v>0</v>
      </c>
      <c r="AD960" s="352">
        <f>IF(NFI_Expiration=1,IF($A960&lt;VLOOKUP(M$5,NFI,5,0),1,0)*Table_NFI[[#This Row],[Blanket]],Table_NFI[[#This Row],[Blanket]])</f>
        <v>0</v>
      </c>
      <c r="AE960" s="352">
        <f>IF(NFI_Expiration=1,IF($A960&lt;VLOOKUP(N$5,NFI,5,0),1,0)*Table_NFI[[#This Row],[Kitchen Set]],Table_NFI[Kitchen Set])</f>
        <v>0</v>
      </c>
      <c r="AF960" s="352">
        <f>IF(NFI_Expiration=1,IF($A960&lt;VLOOKUP(O$5,NFI,5,0),1,0)*Table_NFI[[#This Row],[Clothes Kit]],Table_NFI[Clothes Kit])</f>
        <v>0</v>
      </c>
      <c r="AG960" s="352">
        <f>IF(NFI_Expiration=1,IF($A960&lt;VLOOKUP(P$5,NFI,5,0),1,0)*Table_NFI[[#This Row],[Plastic Bucket]],Table_NFI[Plastic Bucket])</f>
        <v>0</v>
      </c>
      <c r="AH960" s="352">
        <f>IF(NFI_Expiration=1,IF($A960&lt;VLOOKUP(Q$5,NFI,5,0),1,0)*Table_NFI[[#This Row],[Plastic Mat]],Table_NFI[Plastic Mat])*IF(Table_NFI[[#This Row],[Distribution Date]]&gt;"2014-04-01",1,2.5)</f>
        <v>0</v>
      </c>
      <c r="AI960" s="352">
        <f>IF(NFI_Expiration=1,IF($A960&lt;VLOOKUP(R$5,NFI,5,0),1,0)*Table_NFI[[#This Row],[Winter Clothes Adult]],Table_NFI[Winter Clothes Adult])</f>
        <v>0</v>
      </c>
      <c r="AJ960" s="352">
        <f>IF(NFI_Expiration=1,IF($A960&lt;VLOOKUP(S$5,NFI,5,0),1,0)*Table_NFI[[#This Row],[Winter Clothes Children]],Table_NFI[Winter Clothes Children])</f>
        <v>0</v>
      </c>
      <c r="AK960" s="352">
        <f>IF(NFI_Expiration=1,IF($A960&lt;VLOOKUP(T$5,NFI,5,0),1,0)*Table_NFI[[#This Row],[Winter Items Other]],Table_NFI[Winter Items Other])</f>
        <v>0</v>
      </c>
      <c r="AL960" s="352">
        <f>IF(NFI_Expiration=1,IF($A960&lt;VLOOKUP(M$5,NFI,5,0),1,0)*Table_NFI[[#This Row],[Winter Blanket]],Table_NFI[[#This Row],[Winter Blanket]])</f>
        <v>0</v>
      </c>
      <c r="AM960" s="352">
        <f>IF(Table_NFI[[#This Row],[Winter Clothes Adult]]+Table_NFI[[#This Row],[Winter Clothes Children]]+Table_NFI[[#This Row],[Winter Items Other]]+Table_NFI[[#This Row],[Winter Blanket]]&gt;0,1,0)</f>
        <v>0</v>
      </c>
      <c r="AN960" s="392">
        <f>IF(NFI_Expiration=1,IF($A960&lt;VLOOKUP(V$5,NFI,5,0),1,0)*Table_NFI[[#This Row],[Jerry Can]],Table_NFI[Jerry Can])</f>
        <v>0</v>
      </c>
      <c r="AO960" s="540" t="str">
        <f>IFERROR(VLOOKUP(Table_NFI[[#This Row],[Camp Name]],CL,2,0),"")</f>
        <v>MMR001CMP055</v>
      </c>
      <c r="AP960" s="535">
        <f ca="1">IF(Table_NFI[[#This Row],[Pcode]]="","",IF(OFFSET(CampList[Opening Date],MATCH(Table_NFI[[#This Row],[Pcode]],CampList[CP_Pcode],0)-1,0,1,1)&gt;=NFI_Monitor_Date,1,0))</f>
        <v>0</v>
      </c>
      <c r="AQ960" s="540" t="str">
        <f>IFERROR(VLOOKUP(Table_NFI[[#This Row],[Camp Name]],CL,3,0),"")</f>
        <v>Open</v>
      </c>
      <c r="AR960" s="352" t="str">
        <f ca="1">IF(Table_NFI[[#This Row],[Pcode]]="","",OFFSET(CampList[Priority],MATCH(Table_NFI[[#This Row],[Pcode]],CampList[CP_Pcode],0)-1,0,1,1))</f>
        <v>P4</v>
      </c>
      <c r="AS960" s="351">
        <f>IFERROR(Table_NFI[[#This Row],[Kitchen Set]]/VLOOKUP(Table_NFI[[#This Row],[Camp Name]],CL,4,0),"")</f>
        <v>0</v>
      </c>
      <c r="AT960" s="533"/>
      <c r="AU960" s="536"/>
    </row>
    <row r="961" spans="1:47" hidden="1" x14ac:dyDescent="0.25">
      <c r="A961" s="355">
        <f t="shared" si="14"/>
        <v>4.833333333333333</v>
      </c>
      <c r="B961" s="532">
        <v>42426</v>
      </c>
      <c r="C961" s="533" t="s">
        <v>907</v>
      </c>
      <c r="D961" s="533" t="s">
        <v>907</v>
      </c>
      <c r="E961" s="533" t="s">
        <v>380</v>
      </c>
      <c r="F961" s="533" t="s">
        <v>5</v>
      </c>
      <c r="G961" s="533" t="s">
        <v>24</v>
      </c>
      <c r="H961" s="349"/>
      <c r="I961" s="349"/>
      <c r="J961" s="350"/>
      <c r="K961" s="349"/>
      <c r="L961" s="350"/>
      <c r="M961" s="350"/>
      <c r="N961" s="350"/>
      <c r="O961" s="350"/>
      <c r="P961" s="352"/>
      <c r="Q961" s="392"/>
      <c r="R961" s="392"/>
      <c r="S961" s="392"/>
      <c r="T961" s="392"/>
      <c r="U961" s="392"/>
      <c r="V961" s="497"/>
      <c r="W961" s="392">
        <v>5</v>
      </c>
      <c r="X961" s="392"/>
      <c r="Y961" s="352">
        <f>IF(NFI_Expiration=1,IF($A961&lt;VLOOKUP(H$5,NFI,5,0),1,0)*Table_NFI[[#This Row],[Hygiene Kit]],Table_NFI[Hygiene Kit])</f>
        <v>0</v>
      </c>
      <c r="Z961" s="352">
        <f>IF(NFI_Expiration=1,IF($A961&lt;VLOOKUP(I$5,NFI,5,0),1,0)*Table_NFI[[#This Row],[NFI Core Kit]],Table_NFI[NFI Core Kit])</f>
        <v>0</v>
      </c>
      <c r="AA961" s="352">
        <f>IF(NFI_Expiration=1,IF($A961&lt;VLOOKUP(J$5,NFI,5,0),1,0)*Table_NFI[[#This Row],[Sanitary Kit]],Table_NFI[Sanitary Kit])</f>
        <v>0</v>
      </c>
      <c r="AB961" s="352">
        <f>IF(NFI_Expiration=1,IF($A961&lt;VLOOKUP(K$5,NFI,5,0),1,0)*Table_NFI[[#This Row],[Mosquito net]],Table_NFI[Mosquito net])</f>
        <v>0</v>
      </c>
      <c r="AC961" s="352">
        <f>IF(NFI_Expiration=1,IF($A961&lt;VLOOKUP(L$5,NFI,5,0),1,0)*Table_NFI[[#This Row],[Tarpaulin]],Table_NFI[[#This Row],[Tarpaulin]])</f>
        <v>0</v>
      </c>
      <c r="AD961" s="352">
        <f>IF(NFI_Expiration=1,IF($A961&lt;VLOOKUP(M$5,NFI,5,0),1,0)*Table_NFI[[#This Row],[Blanket]],Table_NFI[[#This Row],[Blanket]])</f>
        <v>0</v>
      </c>
      <c r="AE961" s="352">
        <f>IF(NFI_Expiration=1,IF($A961&lt;VLOOKUP(N$5,NFI,5,0),1,0)*Table_NFI[[#This Row],[Kitchen Set]],Table_NFI[Kitchen Set])</f>
        <v>0</v>
      </c>
      <c r="AF961" s="352">
        <f>IF(NFI_Expiration=1,IF($A961&lt;VLOOKUP(O$5,NFI,5,0),1,0)*Table_NFI[[#This Row],[Clothes Kit]],Table_NFI[Clothes Kit])</f>
        <v>0</v>
      </c>
      <c r="AG961" s="352">
        <f>IF(NFI_Expiration=1,IF($A961&lt;VLOOKUP(P$5,NFI,5,0),1,0)*Table_NFI[[#This Row],[Plastic Bucket]],Table_NFI[Plastic Bucket])</f>
        <v>0</v>
      </c>
      <c r="AH961" s="352">
        <f>IF(NFI_Expiration=1,IF($A961&lt;VLOOKUP(Q$5,NFI,5,0),1,0)*Table_NFI[[#This Row],[Plastic Mat]],Table_NFI[Plastic Mat])*IF(Table_NFI[[#This Row],[Distribution Date]]&gt;"2014-04-01",1,2.5)</f>
        <v>0</v>
      </c>
      <c r="AI961" s="352">
        <f>IF(NFI_Expiration=1,IF($A961&lt;VLOOKUP(R$5,NFI,5,0),1,0)*Table_NFI[[#This Row],[Winter Clothes Adult]],Table_NFI[Winter Clothes Adult])</f>
        <v>0</v>
      </c>
      <c r="AJ961" s="352">
        <f>IF(NFI_Expiration=1,IF($A961&lt;VLOOKUP(S$5,NFI,5,0),1,0)*Table_NFI[[#This Row],[Winter Clothes Children]],Table_NFI[Winter Clothes Children])</f>
        <v>0</v>
      </c>
      <c r="AK961" s="352">
        <f>IF(NFI_Expiration=1,IF($A961&lt;VLOOKUP(T$5,NFI,5,0),1,0)*Table_NFI[[#This Row],[Winter Items Other]],Table_NFI[Winter Items Other])</f>
        <v>0</v>
      </c>
      <c r="AL961" s="352">
        <f>IF(NFI_Expiration=1,IF($A961&lt;VLOOKUP(M$5,NFI,5,0),1,0)*Table_NFI[[#This Row],[Winter Blanket]],Table_NFI[[#This Row],[Winter Blanket]])</f>
        <v>0</v>
      </c>
      <c r="AM961" s="352">
        <f>IF(Table_NFI[[#This Row],[Winter Clothes Adult]]+Table_NFI[[#This Row],[Winter Clothes Children]]+Table_NFI[[#This Row],[Winter Items Other]]+Table_NFI[[#This Row],[Winter Blanket]]&gt;0,1,0)</f>
        <v>0</v>
      </c>
      <c r="AN961" s="392">
        <f>IF(NFI_Expiration=1,IF($A961&lt;VLOOKUP(V$5,NFI,5,0),1,0)*Table_NFI[[#This Row],[Jerry Can]],Table_NFI[Jerry Can])</f>
        <v>0</v>
      </c>
      <c r="AO961" s="540" t="str">
        <f>IFERROR(VLOOKUP(Table_NFI[[#This Row],[Camp Name]],CL,2,0),"")</f>
        <v>MMR001CMP055</v>
      </c>
      <c r="AP961" s="535">
        <f ca="1">IF(Table_NFI[[#This Row],[Pcode]]="","",IF(OFFSET(CampList[Opening Date],MATCH(Table_NFI[[#This Row],[Pcode]],CampList[CP_Pcode],0)-1,0,1,1)&gt;=NFI_Monitor_Date,1,0))</f>
        <v>0</v>
      </c>
      <c r="AQ961" s="540" t="str">
        <f>IFERROR(VLOOKUP(Table_NFI[[#This Row],[Camp Name]],CL,3,0),"")</f>
        <v>Open</v>
      </c>
      <c r="AR961" s="352" t="str">
        <f ca="1">IF(Table_NFI[[#This Row],[Pcode]]="","",OFFSET(CampList[Priority],MATCH(Table_NFI[[#This Row],[Pcode]],CampList[CP_Pcode],0)-1,0,1,1))</f>
        <v>P4</v>
      </c>
      <c r="AS961" s="351">
        <f>IFERROR(Table_NFI[[#This Row],[Kitchen Set]]/VLOOKUP(Table_NFI[[#This Row],[Camp Name]],CL,4,0),"")</f>
        <v>0</v>
      </c>
      <c r="AT961" s="533"/>
      <c r="AU961" s="536"/>
    </row>
    <row r="962" spans="1:47" hidden="1" x14ac:dyDescent="0.25">
      <c r="A962" s="355">
        <f t="shared" si="14"/>
        <v>2.7333333333333334</v>
      </c>
      <c r="B962" s="532">
        <v>42489</v>
      </c>
      <c r="C962" s="533" t="s">
        <v>907</v>
      </c>
      <c r="D962" s="533" t="s">
        <v>907</v>
      </c>
      <c r="E962" s="533" t="s">
        <v>380</v>
      </c>
      <c r="F962" s="533" t="s">
        <v>5</v>
      </c>
      <c r="G962" s="533" t="s">
        <v>24</v>
      </c>
      <c r="H962" s="349"/>
      <c r="I962" s="349"/>
      <c r="J962" s="350"/>
      <c r="K962" s="349"/>
      <c r="L962" s="350"/>
      <c r="M962" s="350"/>
      <c r="N962" s="350"/>
      <c r="O962" s="350"/>
      <c r="P962" s="352"/>
      <c r="Q962" s="392"/>
      <c r="R962" s="392"/>
      <c r="S962" s="392"/>
      <c r="T962" s="392"/>
      <c r="U962" s="392"/>
      <c r="V962" s="497"/>
      <c r="W962" s="392">
        <v>10</v>
      </c>
      <c r="X962" s="392"/>
      <c r="Y962" s="352">
        <f>IF(NFI_Expiration=1,IF($A962&lt;VLOOKUP(H$5,NFI,5,0),1,0)*Table_NFI[[#This Row],[Hygiene Kit]],Table_NFI[Hygiene Kit])</f>
        <v>0</v>
      </c>
      <c r="Z962" s="352">
        <f>IF(NFI_Expiration=1,IF($A962&lt;VLOOKUP(I$5,NFI,5,0),1,0)*Table_NFI[[#This Row],[NFI Core Kit]],Table_NFI[NFI Core Kit])</f>
        <v>0</v>
      </c>
      <c r="AA962" s="352">
        <f>IF(NFI_Expiration=1,IF($A962&lt;VLOOKUP(J$5,NFI,5,0),1,0)*Table_NFI[[#This Row],[Sanitary Kit]],Table_NFI[Sanitary Kit])</f>
        <v>0</v>
      </c>
      <c r="AB962" s="352">
        <f>IF(NFI_Expiration=1,IF($A962&lt;VLOOKUP(K$5,NFI,5,0),1,0)*Table_NFI[[#This Row],[Mosquito net]],Table_NFI[Mosquito net])</f>
        <v>0</v>
      </c>
      <c r="AC962" s="352">
        <f>IF(NFI_Expiration=1,IF($A962&lt;VLOOKUP(L$5,NFI,5,0),1,0)*Table_NFI[[#This Row],[Tarpaulin]],Table_NFI[[#This Row],[Tarpaulin]])</f>
        <v>0</v>
      </c>
      <c r="AD962" s="352">
        <f>IF(NFI_Expiration=1,IF($A962&lt;VLOOKUP(M$5,NFI,5,0),1,0)*Table_NFI[[#This Row],[Blanket]],Table_NFI[[#This Row],[Blanket]])</f>
        <v>0</v>
      </c>
      <c r="AE962" s="352">
        <f>IF(NFI_Expiration=1,IF($A962&lt;VLOOKUP(N$5,NFI,5,0),1,0)*Table_NFI[[#This Row],[Kitchen Set]],Table_NFI[Kitchen Set])</f>
        <v>0</v>
      </c>
      <c r="AF962" s="352">
        <f>IF(NFI_Expiration=1,IF($A962&lt;VLOOKUP(O$5,NFI,5,0),1,0)*Table_NFI[[#This Row],[Clothes Kit]],Table_NFI[Clothes Kit])</f>
        <v>0</v>
      </c>
      <c r="AG962" s="352">
        <f>IF(NFI_Expiration=1,IF($A962&lt;VLOOKUP(P$5,NFI,5,0),1,0)*Table_NFI[[#This Row],[Plastic Bucket]],Table_NFI[Plastic Bucket])</f>
        <v>0</v>
      </c>
      <c r="AH962" s="352">
        <f>IF(NFI_Expiration=1,IF($A962&lt;VLOOKUP(Q$5,NFI,5,0),1,0)*Table_NFI[[#This Row],[Plastic Mat]],Table_NFI[Plastic Mat])*IF(Table_NFI[[#This Row],[Distribution Date]]&gt;"2014-04-01",1,2.5)</f>
        <v>0</v>
      </c>
      <c r="AI962" s="352">
        <f>IF(NFI_Expiration=1,IF($A962&lt;VLOOKUP(R$5,NFI,5,0),1,0)*Table_NFI[[#This Row],[Winter Clothes Adult]],Table_NFI[Winter Clothes Adult])</f>
        <v>0</v>
      </c>
      <c r="AJ962" s="352">
        <f>IF(NFI_Expiration=1,IF($A962&lt;VLOOKUP(S$5,NFI,5,0),1,0)*Table_NFI[[#This Row],[Winter Clothes Children]],Table_NFI[Winter Clothes Children])</f>
        <v>0</v>
      </c>
      <c r="AK962" s="352">
        <f>IF(NFI_Expiration=1,IF($A962&lt;VLOOKUP(T$5,NFI,5,0),1,0)*Table_NFI[[#This Row],[Winter Items Other]],Table_NFI[Winter Items Other])</f>
        <v>0</v>
      </c>
      <c r="AL962" s="352">
        <f>IF(NFI_Expiration=1,IF($A962&lt;VLOOKUP(M$5,NFI,5,0),1,0)*Table_NFI[[#This Row],[Winter Blanket]],Table_NFI[[#This Row],[Winter Blanket]])</f>
        <v>0</v>
      </c>
      <c r="AM962" s="352">
        <f>IF(Table_NFI[[#This Row],[Winter Clothes Adult]]+Table_NFI[[#This Row],[Winter Clothes Children]]+Table_NFI[[#This Row],[Winter Items Other]]+Table_NFI[[#This Row],[Winter Blanket]]&gt;0,1,0)</f>
        <v>0</v>
      </c>
      <c r="AN962" s="392">
        <f>IF(NFI_Expiration=1,IF($A962&lt;VLOOKUP(V$5,NFI,5,0),1,0)*Table_NFI[[#This Row],[Jerry Can]],Table_NFI[Jerry Can])</f>
        <v>0</v>
      </c>
      <c r="AO962" s="540" t="str">
        <f>IFERROR(VLOOKUP(Table_NFI[[#This Row],[Camp Name]],CL,2,0),"")</f>
        <v>MMR001CMP055</v>
      </c>
      <c r="AP962" s="535">
        <f ca="1">IF(Table_NFI[[#This Row],[Pcode]]="","",IF(OFFSET(CampList[Opening Date],MATCH(Table_NFI[[#This Row],[Pcode]],CampList[CP_Pcode],0)-1,0,1,1)&gt;=NFI_Monitor_Date,1,0))</f>
        <v>0</v>
      </c>
      <c r="AQ962" s="540" t="str">
        <f>IFERROR(VLOOKUP(Table_NFI[[#This Row],[Camp Name]],CL,3,0),"")</f>
        <v>Open</v>
      </c>
      <c r="AR962" s="352" t="str">
        <f ca="1">IF(Table_NFI[[#This Row],[Pcode]]="","",OFFSET(CampList[Priority],MATCH(Table_NFI[[#This Row],[Pcode]],CampList[CP_Pcode],0)-1,0,1,1))</f>
        <v>P4</v>
      </c>
      <c r="AS962" s="351">
        <f>IFERROR(Table_NFI[[#This Row],[Kitchen Set]]/VLOOKUP(Table_NFI[[#This Row],[Camp Name]],CL,4,0),"")</f>
        <v>0</v>
      </c>
      <c r="AT962" s="533"/>
      <c r="AU962" s="536"/>
    </row>
    <row r="963" spans="1:47" hidden="1" x14ac:dyDescent="0.2">
      <c r="A963" s="355">
        <f t="shared" si="14"/>
        <v>13.966666666666667</v>
      </c>
      <c r="B963" s="532">
        <v>42152</v>
      </c>
      <c r="C963" s="533" t="s">
        <v>907</v>
      </c>
      <c r="D963" s="533" t="s">
        <v>907</v>
      </c>
      <c r="E963" s="533" t="s">
        <v>380</v>
      </c>
      <c r="F963" s="533" t="s">
        <v>5</v>
      </c>
      <c r="G963" s="533" t="s">
        <v>24</v>
      </c>
      <c r="H963" s="349"/>
      <c r="I963" s="349"/>
      <c r="J963" s="677">
        <v>36</v>
      </c>
      <c r="K963" s="349"/>
      <c r="L963" s="350"/>
      <c r="M963" s="350"/>
      <c r="N963" s="350"/>
      <c r="O963" s="350"/>
      <c r="P963" s="352"/>
      <c r="Q963" s="392"/>
      <c r="R963" s="392"/>
      <c r="S963" s="392"/>
      <c r="T963" s="392"/>
      <c r="U963" s="392"/>
      <c r="V963" s="497"/>
      <c r="W963" s="392"/>
      <c r="X963" s="392"/>
      <c r="Y963" s="352">
        <f>IF(NFI_Expiration=1,IF($A963&lt;VLOOKUP(H$5,NFI,5,0),1,0)*Table_NFI[[#This Row],[Hygiene Kit]],Table_NFI[Hygiene Kit])</f>
        <v>0</v>
      </c>
      <c r="Z963" s="352">
        <f>IF(NFI_Expiration=1,IF($A963&lt;VLOOKUP(I$5,NFI,5,0),1,0)*Table_NFI[[#This Row],[NFI Core Kit]],Table_NFI[NFI Core Kit])</f>
        <v>0</v>
      </c>
      <c r="AA963" s="352">
        <f>IF(NFI_Expiration=1,IF($A963&lt;VLOOKUP(J$5,NFI,5,0),1,0)*Table_NFI[[#This Row],[Sanitary Kit]],Table_NFI[Sanitary Kit])</f>
        <v>0</v>
      </c>
      <c r="AB963" s="352">
        <f>IF(NFI_Expiration=1,IF($A963&lt;VLOOKUP(K$5,NFI,5,0),1,0)*Table_NFI[[#This Row],[Mosquito net]],Table_NFI[Mosquito net])</f>
        <v>0</v>
      </c>
      <c r="AC963" s="352">
        <f>IF(NFI_Expiration=1,IF($A963&lt;VLOOKUP(L$5,NFI,5,0),1,0)*Table_NFI[[#This Row],[Tarpaulin]],Table_NFI[[#This Row],[Tarpaulin]])</f>
        <v>0</v>
      </c>
      <c r="AD963" s="352">
        <f>IF(NFI_Expiration=1,IF($A963&lt;VLOOKUP(M$5,NFI,5,0),1,0)*Table_NFI[[#This Row],[Blanket]],Table_NFI[[#This Row],[Blanket]])</f>
        <v>0</v>
      </c>
      <c r="AE963" s="352">
        <f>IF(NFI_Expiration=1,IF($A963&lt;VLOOKUP(N$5,NFI,5,0),1,0)*Table_NFI[[#This Row],[Kitchen Set]],Table_NFI[Kitchen Set])</f>
        <v>0</v>
      </c>
      <c r="AF963" s="352">
        <f>IF(NFI_Expiration=1,IF($A963&lt;VLOOKUP(O$5,NFI,5,0),1,0)*Table_NFI[[#This Row],[Clothes Kit]],Table_NFI[Clothes Kit])</f>
        <v>0</v>
      </c>
      <c r="AG963" s="352">
        <f>IF(NFI_Expiration=1,IF($A963&lt;VLOOKUP(P$5,NFI,5,0),1,0)*Table_NFI[[#This Row],[Plastic Bucket]],Table_NFI[Plastic Bucket])</f>
        <v>0</v>
      </c>
      <c r="AH963" s="352">
        <f>IF(NFI_Expiration=1,IF($A963&lt;VLOOKUP(Q$5,NFI,5,0),1,0)*Table_NFI[[#This Row],[Plastic Mat]],Table_NFI[Plastic Mat])*IF(Table_NFI[[#This Row],[Distribution Date]]&gt;"2014-04-01",1,2.5)</f>
        <v>0</v>
      </c>
      <c r="AI963" s="352">
        <f>IF(NFI_Expiration=1,IF($A963&lt;VLOOKUP(R$5,NFI,5,0),1,0)*Table_NFI[[#This Row],[Winter Clothes Adult]],Table_NFI[Winter Clothes Adult])</f>
        <v>0</v>
      </c>
      <c r="AJ963" s="352">
        <f>IF(NFI_Expiration=1,IF($A963&lt;VLOOKUP(S$5,NFI,5,0),1,0)*Table_NFI[[#This Row],[Winter Clothes Children]],Table_NFI[Winter Clothes Children])</f>
        <v>0</v>
      </c>
      <c r="AK963" s="352">
        <f>IF(NFI_Expiration=1,IF($A963&lt;VLOOKUP(T$5,NFI,5,0),1,0)*Table_NFI[[#This Row],[Winter Items Other]],Table_NFI[Winter Items Other])</f>
        <v>0</v>
      </c>
      <c r="AL963" s="352">
        <f>IF(NFI_Expiration=1,IF($A963&lt;VLOOKUP(M$5,NFI,5,0),1,0)*Table_NFI[[#This Row],[Winter Blanket]],Table_NFI[[#This Row],[Winter Blanket]])</f>
        <v>0</v>
      </c>
      <c r="AM963" s="352">
        <f>IF(Table_NFI[[#This Row],[Winter Clothes Adult]]+Table_NFI[[#This Row],[Winter Clothes Children]]+Table_NFI[[#This Row],[Winter Items Other]]+Table_NFI[[#This Row],[Winter Blanket]]&gt;0,1,0)</f>
        <v>0</v>
      </c>
      <c r="AN963" s="392">
        <f>IF(NFI_Expiration=1,IF($A963&lt;VLOOKUP(V$5,NFI,5,0),1,0)*Table_NFI[[#This Row],[Jerry Can]],Table_NFI[Jerry Can])</f>
        <v>0</v>
      </c>
      <c r="AO963" s="540" t="str">
        <f>IFERROR(VLOOKUP(Table_NFI[[#This Row],[Camp Name]],CL,2,0),"")</f>
        <v>MMR001CMP055</v>
      </c>
      <c r="AP963" s="535">
        <f ca="1">IF(Table_NFI[[#This Row],[Pcode]]="","",IF(OFFSET(CampList[Opening Date],MATCH(Table_NFI[[#This Row],[Pcode]],CampList[CP_Pcode],0)-1,0,1,1)&gt;=NFI_Monitor_Date,1,0))</f>
        <v>0</v>
      </c>
      <c r="AQ963" s="540" t="str">
        <f>IFERROR(VLOOKUP(Table_NFI[[#This Row],[Camp Name]],CL,3,0),"")</f>
        <v>Open</v>
      </c>
      <c r="AR963" s="352" t="str">
        <f ca="1">IF(Table_NFI[[#This Row],[Pcode]]="","",OFFSET(CampList[Priority],MATCH(Table_NFI[[#This Row],[Pcode]],CampList[CP_Pcode],0)-1,0,1,1))</f>
        <v>P4</v>
      </c>
      <c r="AS963" s="351">
        <f>IFERROR(Table_NFI[[#This Row],[Kitchen Set]]/VLOOKUP(Table_NFI[[#This Row],[Camp Name]],CL,4,0),"")</f>
        <v>0</v>
      </c>
      <c r="AT963" s="533"/>
      <c r="AU963" s="536"/>
    </row>
    <row r="964" spans="1:47" hidden="1" x14ac:dyDescent="0.2">
      <c r="A964" s="355">
        <f t="shared" si="14"/>
        <v>5.5666666666666664</v>
      </c>
      <c r="B964" s="532">
        <v>42404</v>
      </c>
      <c r="C964" s="533" t="s">
        <v>907</v>
      </c>
      <c r="D964" s="533" t="s">
        <v>907</v>
      </c>
      <c r="E964" s="533" t="s">
        <v>380</v>
      </c>
      <c r="F964" s="533" t="s">
        <v>5</v>
      </c>
      <c r="G964" s="533" t="s">
        <v>24</v>
      </c>
      <c r="H964" s="349"/>
      <c r="I964" s="349"/>
      <c r="J964" s="677">
        <v>29</v>
      </c>
      <c r="K964" s="349"/>
      <c r="L964" s="350"/>
      <c r="M964" s="350"/>
      <c r="N964" s="350"/>
      <c r="O964" s="350"/>
      <c r="P964" s="352"/>
      <c r="Q964" s="392"/>
      <c r="R964" s="392"/>
      <c r="S964" s="392"/>
      <c r="T964" s="392"/>
      <c r="U964" s="392"/>
      <c r="V964" s="497"/>
      <c r="W964" s="392"/>
      <c r="X964" s="392"/>
      <c r="Y964" s="352">
        <f>IF(NFI_Expiration=1,IF($A964&lt;VLOOKUP(H$5,NFI,5,0),1,0)*Table_NFI[[#This Row],[Hygiene Kit]],Table_NFI[Hygiene Kit])</f>
        <v>0</v>
      </c>
      <c r="Z964" s="352">
        <f>IF(NFI_Expiration=1,IF($A964&lt;VLOOKUP(I$5,NFI,5,0),1,0)*Table_NFI[[#This Row],[NFI Core Kit]],Table_NFI[NFI Core Kit])</f>
        <v>0</v>
      </c>
      <c r="AA964" s="352">
        <f>IF(NFI_Expiration=1,IF($A964&lt;VLOOKUP(J$5,NFI,5,0),1,0)*Table_NFI[[#This Row],[Sanitary Kit]],Table_NFI[Sanitary Kit])</f>
        <v>29</v>
      </c>
      <c r="AB964" s="352">
        <f>IF(NFI_Expiration=1,IF($A964&lt;VLOOKUP(K$5,NFI,5,0),1,0)*Table_NFI[[#This Row],[Mosquito net]],Table_NFI[Mosquito net])</f>
        <v>0</v>
      </c>
      <c r="AC964" s="352">
        <f>IF(NFI_Expiration=1,IF($A964&lt;VLOOKUP(L$5,NFI,5,0),1,0)*Table_NFI[[#This Row],[Tarpaulin]],Table_NFI[[#This Row],[Tarpaulin]])</f>
        <v>0</v>
      </c>
      <c r="AD964" s="352">
        <f>IF(NFI_Expiration=1,IF($A964&lt;VLOOKUP(M$5,NFI,5,0),1,0)*Table_NFI[[#This Row],[Blanket]],Table_NFI[[#This Row],[Blanket]])</f>
        <v>0</v>
      </c>
      <c r="AE964" s="352">
        <f>IF(NFI_Expiration=1,IF($A964&lt;VLOOKUP(N$5,NFI,5,0),1,0)*Table_NFI[[#This Row],[Kitchen Set]],Table_NFI[Kitchen Set])</f>
        <v>0</v>
      </c>
      <c r="AF964" s="352">
        <f>IF(NFI_Expiration=1,IF($A964&lt;VLOOKUP(O$5,NFI,5,0),1,0)*Table_NFI[[#This Row],[Clothes Kit]],Table_NFI[Clothes Kit])</f>
        <v>0</v>
      </c>
      <c r="AG964" s="352">
        <f>IF(NFI_Expiration=1,IF($A964&lt;VLOOKUP(P$5,NFI,5,0),1,0)*Table_NFI[[#This Row],[Plastic Bucket]],Table_NFI[Plastic Bucket])</f>
        <v>0</v>
      </c>
      <c r="AH964" s="352">
        <f>IF(NFI_Expiration=1,IF($A964&lt;VLOOKUP(Q$5,NFI,5,0),1,0)*Table_NFI[[#This Row],[Plastic Mat]],Table_NFI[Plastic Mat])*IF(Table_NFI[[#This Row],[Distribution Date]]&gt;"2014-04-01",1,2.5)</f>
        <v>0</v>
      </c>
      <c r="AI964" s="352">
        <f>IF(NFI_Expiration=1,IF($A964&lt;VLOOKUP(R$5,NFI,5,0),1,0)*Table_NFI[[#This Row],[Winter Clothes Adult]],Table_NFI[Winter Clothes Adult])</f>
        <v>0</v>
      </c>
      <c r="AJ964" s="352">
        <f>IF(NFI_Expiration=1,IF($A964&lt;VLOOKUP(S$5,NFI,5,0),1,0)*Table_NFI[[#This Row],[Winter Clothes Children]],Table_NFI[Winter Clothes Children])</f>
        <v>0</v>
      </c>
      <c r="AK964" s="352">
        <f>IF(NFI_Expiration=1,IF($A964&lt;VLOOKUP(T$5,NFI,5,0),1,0)*Table_NFI[[#This Row],[Winter Items Other]],Table_NFI[Winter Items Other])</f>
        <v>0</v>
      </c>
      <c r="AL964" s="352">
        <f>IF(NFI_Expiration=1,IF($A964&lt;VLOOKUP(M$5,NFI,5,0),1,0)*Table_NFI[[#This Row],[Winter Blanket]],Table_NFI[[#This Row],[Winter Blanket]])</f>
        <v>0</v>
      </c>
      <c r="AM964" s="352">
        <f>IF(Table_NFI[[#This Row],[Winter Clothes Adult]]+Table_NFI[[#This Row],[Winter Clothes Children]]+Table_NFI[[#This Row],[Winter Items Other]]+Table_NFI[[#This Row],[Winter Blanket]]&gt;0,1,0)</f>
        <v>0</v>
      </c>
      <c r="AN964" s="392">
        <f>IF(NFI_Expiration=1,IF($A964&lt;VLOOKUP(V$5,NFI,5,0),1,0)*Table_NFI[[#This Row],[Jerry Can]],Table_NFI[Jerry Can])</f>
        <v>0</v>
      </c>
      <c r="AO964" s="540" t="str">
        <f>IFERROR(VLOOKUP(Table_NFI[[#This Row],[Camp Name]],CL,2,0),"")</f>
        <v>MMR001CMP055</v>
      </c>
      <c r="AP964" s="535">
        <f ca="1">IF(Table_NFI[[#This Row],[Pcode]]="","",IF(OFFSET(CampList[Opening Date],MATCH(Table_NFI[[#This Row],[Pcode]],CampList[CP_Pcode],0)-1,0,1,1)&gt;=NFI_Monitor_Date,1,0))</f>
        <v>0</v>
      </c>
      <c r="AQ964" s="540" t="str">
        <f>IFERROR(VLOOKUP(Table_NFI[[#This Row],[Camp Name]],CL,3,0),"")</f>
        <v>Open</v>
      </c>
      <c r="AR964" s="352" t="str">
        <f ca="1">IF(Table_NFI[[#This Row],[Pcode]]="","",OFFSET(CampList[Priority],MATCH(Table_NFI[[#This Row],[Pcode]],CampList[CP_Pcode],0)-1,0,1,1))</f>
        <v>P4</v>
      </c>
      <c r="AS964" s="351">
        <f>IFERROR(Table_NFI[[#This Row],[Kitchen Set]]/VLOOKUP(Table_NFI[[#This Row],[Camp Name]],CL,4,0),"")</f>
        <v>0</v>
      </c>
      <c r="AT964" s="533"/>
      <c r="AU964" s="536"/>
    </row>
    <row r="965" spans="1:47" hidden="1" x14ac:dyDescent="0.25">
      <c r="A965" s="355">
        <f t="shared" si="14"/>
        <v>32.1</v>
      </c>
      <c r="B965" s="532">
        <v>41608</v>
      </c>
      <c r="C965" s="533" t="s">
        <v>907</v>
      </c>
      <c r="D965" s="533"/>
      <c r="E965" s="533" t="s">
        <v>380</v>
      </c>
      <c r="F965" s="348" t="s">
        <v>5</v>
      </c>
      <c r="G965" s="348" t="s">
        <v>24</v>
      </c>
      <c r="H965" s="349"/>
      <c r="I965" s="349"/>
      <c r="J965" s="349"/>
      <c r="K965" s="349"/>
      <c r="L965" s="350"/>
      <c r="M965" s="350"/>
      <c r="N965" s="350"/>
      <c r="O965" s="350"/>
      <c r="P965" s="352"/>
      <c r="Q965" s="352"/>
      <c r="R965" s="352"/>
      <c r="S965" s="352"/>
      <c r="T965" s="352"/>
      <c r="U965" s="352"/>
      <c r="V965" s="497"/>
      <c r="W965" s="352"/>
      <c r="X965" s="352"/>
      <c r="Y965" s="352">
        <f>IF(NFI_Expiration=1,IF($A965&lt;VLOOKUP(H$5,NFI,5,0),1,0)*Table_NFI[[#This Row],[Hygiene Kit]],Table_NFI[Hygiene Kit])</f>
        <v>0</v>
      </c>
      <c r="Z965" s="352">
        <f>IF(NFI_Expiration=1,IF($A965&lt;VLOOKUP(I$5,NFI,5,0),1,0)*Table_NFI[[#This Row],[NFI Core Kit]],Table_NFI[NFI Core Kit])</f>
        <v>0</v>
      </c>
      <c r="AA965" s="352">
        <f>IF(NFI_Expiration=1,IF($A965&lt;VLOOKUP(J$5,NFI,5,0),1,0)*Table_NFI[[#This Row],[Sanitary Kit]],Table_NFI[Sanitary Kit])</f>
        <v>0</v>
      </c>
      <c r="AB965" s="352">
        <f>IF(NFI_Expiration=1,IF($A965&lt;VLOOKUP(K$5,NFI,5,0),1,0)*Table_NFI[[#This Row],[Mosquito net]],Table_NFI[Mosquito net])</f>
        <v>0</v>
      </c>
      <c r="AC965" s="352">
        <f>IF(NFI_Expiration=1,IF($A965&lt;VLOOKUP(L$5,NFI,5,0),1,0)*Table_NFI[[#This Row],[Tarpaulin]],Table_NFI[[#This Row],[Tarpaulin]])</f>
        <v>0</v>
      </c>
      <c r="AD965" s="352">
        <f>IF(NFI_Expiration=1,IF($A965&lt;VLOOKUP(M$5,NFI,5,0),1,0)*Table_NFI[[#This Row],[Blanket]],Table_NFI[[#This Row],[Blanket]])</f>
        <v>0</v>
      </c>
      <c r="AE965" s="352">
        <f>IF(NFI_Expiration=1,IF($A965&lt;VLOOKUP(N$5,NFI,5,0),1,0)*Table_NFI[[#This Row],[Kitchen Set]],Table_NFI[Kitchen Set])</f>
        <v>0</v>
      </c>
      <c r="AF965" s="352">
        <f>IF(NFI_Expiration=1,IF($A965&lt;VLOOKUP(O$5,NFI,5,0),1,0)*Table_NFI[[#This Row],[Clothes Kit]],Table_NFI[Clothes Kit])</f>
        <v>0</v>
      </c>
      <c r="AG965" s="352">
        <f>IF(NFI_Expiration=1,IF($A965&lt;VLOOKUP(P$5,NFI,5,0),1,0)*Table_NFI[[#This Row],[Plastic Bucket]],Table_NFI[Plastic Bucket])</f>
        <v>0</v>
      </c>
      <c r="AH965" s="352">
        <f>IF(NFI_Expiration=1,IF($A965&lt;VLOOKUP(Q$5,NFI,5,0),1,0)*Table_NFI[[#This Row],[Plastic Mat]],Table_NFI[Plastic Mat])*IF(Table_NFI[[#This Row],[Distribution Date]]&gt;"2014-04-01",1,2.5)</f>
        <v>0</v>
      </c>
      <c r="AI965" s="352">
        <f>IF(NFI_Expiration=1,IF($A965&lt;VLOOKUP(R$5,NFI,5,0),1,0)*Table_NFI[[#This Row],[Winter Clothes Adult]],Table_NFI[Winter Clothes Adult])</f>
        <v>0</v>
      </c>
      <c r="AJ965" s="352">
        <f>IF(NFI_Expiration=1,IF($A965&lt;VLOOKUP(S$5,NFI,5,0),1,0)*Table_NFI[[#This Row],[Winter Clothes Children]],Table_NFI[Winter Clothes Children])</f>
        <v>0</v>
      </c>
      <c r="AK965" s="352">
        <f>IF(NFI_Expiration=1,IF($A965&lt;VLOOKUP(T$5,NFI,5,0),1,0)*Table_NFI[[#This Row],[Winter Items Other]],Table_NFI[Winter Items Other])</f>
        <v>0</v>
      </c>
      <c r="AL965" s="352">
        <f>IF(NFI_Expiration=1,IF($A965&lt;VLOOKUP(M$5,NFI,5,0),1,0)*Table_NFI[[#This Row],[Winter Blanket]],Table_NFI[[#This Row],[Winter Blanket]])</f>
        <v>0</v>
      </c>
      <c r="AM965" s="352">
        <f>IF(Table_NFI[[#This Row],[Winter Clothes Adult]]+Table_NFI[[#This Row],[Winter Clothes Children]]+Table_NFI[[#This Row],[Winter Items Other]]+Table_NFI[[#This Row],[Winter Blanket]]&gt;0,1,0)</f>
        <v>0</v>
      </c>
      <c r="AN965" s="392">
        <f>IF(NFI_Expiration=1,IF($A965&lt;VLOOKUP(V$5,NFI,5,0),1,0)*Table_NFI[[#This Row],[Jerry Can]],Table_NFI[Jerry Can])</f>
        <v>0</v>
      </c>
      <c r="AO965" s="540" t="str">
        <f>IFERROR(VLOOKUP(Table_NFI[[#This Row],[Camp Name]],CL,2,0),"")</f>
        <v>MMR001CMP055</v>
      </c>
      <c r="AP965" s="535">
        <f ca="1">IF(Table_NFI[[#This Row],[Pcode]]="","",IF(OFFSET(CampList[Opening Date],MATCH(Table_NFI[[#This Row],[Pcode]],CampList[CP_Pcode],0)-1,0,1,1)&gt;=NFI_Monitor_Date,1,0))</f>
        <v>0</v>
      </c>
      <c r="AQ965" s="540" t="str">
        <f>IFERROR(VLOOKUP(Table_NFI[[#This Row],[Camp Name]],CL,3,0),"")</f>
        <v>Open</v>
      </c>
      <c r="AR965" s="352" t="str">
        <f ca="1">IF(Table_NFI[[#This Row],[Pcode]]="","",OFFSET(CampList[Priority],MATCH(Table_NFI[[#This Row],[Pcode]],CampList[CP_Pcode],0)-1,0,1,1))</f>
        <v>P4</v>
      </c>
      <c r="AS965" s="351">
        <f>IFERROR(Table_NFI[[#This Row],[Kitchen Set]]/VLOOKUP(Table_NFI[[#This Row],[Camp Name]],CL,4,0),"")</f>
        <v>0</v>
      </c>
      <c r="AT965" s="533" t="s">
        <v>1094</v>
      </c>
      <c r="AU965" s="536"/>
    </row>
    <row r="966" spans="1:47" hidden="1" x14ac:dyDescent="0.25">
      <c r="A966" s="355">
        <f t="shared" ref="A966:A1029" si="15">IF(ISBLANK(B966),"",(Report_Date-B966)/30)</f>
        <v>32.866666666666667</v>
      </c>
      <c r="B966" s="532">
        <v>41585</v>
      </c>
      <c r="C966" s="533" t="s">
        <v>907</v>
      </c>
      <c r="D966" s="533" t="s">
        <v>907</v>
      </c>
      <c r="E966" s="533" t="s">
        <v>380</v>
      </c>
      <c r="F966" s="533" t="s">
        <v>5</v>
      </c>
      <c r="G966" s="533" t="s">
        <v>24</v>
      </c>
      <c r="H966" s="349"/>
      <c r="I966" s="349"/>
      <c r="J966" s="349"/>
      <c r="K966" s="349"/>
      <c r="L966" s="350"/>
      <c r="M966" s="350"/>
      <c r="N966" s="350"/>
      <c r="O966" s="350"/>
      <c r="P966" s="352"/>
      <c r="Q966" s="352"/>
      <c r="R966" s="352">
        <v>64</v>
      </c>
      <c r="S966" s="352">
        <v>118</v>
      </c>
      <c r="T966" s="352">
        <v>364</v>
      </c>
      <c r="U966" s="352">
        <v>182</v>
      </c>
      <c r="V966" s="497"/>
      <c r="W966" s="352"/>
      <c r="X966" s="352"/>
      <c r="Y966" s="352">
        <f>IF(NFI_Expiration=1,IF($A966&lt;VLOOKUP(H$5,NFI,5,0),1,0)*Table_NFI[[#This Row],[Hygiene Kit]],Table_NFI[Hygiene Kit])</f>
        <v>0</v>
      </c>
      <c r="Z966" s="352">
        <f>IF(NFI_Expiration=1,IF($A966&lt;VLOOKUP(I$5,NFI,5,0),1,0)*Table_NFI[[#This Row],[NFI Core Kit]],Table_NFI[NFI Core Kit])</f>
        <v>0</v>
      </c>
      <c r="AA966" s="352">
        <f>IF(NFI_Expiration=1,IF($A966&lt;VLOOKUP(J$5,NFI,5,0),1,0)*Table_NFI[[#This Row],[Sanitary Kit]],Table_NFI[Sanitary Kit])</f>
        <v>0</v>
      </c>
      <c r="AB966" s="352">
        <f>IF(NFI_Expiration=1,IF($A966&lt;VLOOKUP(K$5,NFI,5,0),1,0)*Table_NFI[[#This Row],[Mosquito net]],Table_NFI[Mosquito net])</f>
        <v>0</v>
      </c>
      <c r="AC966" s="352">
        <f>IF(NFI_Expiration=1,IF($A966&lt;VLOOKUP(L$5,NFI,5,0),1,0)*Table_NFI[[#This Row],[Tarpaulin]],Table_NFI[[#This Row],[Tarpaulin]])</f>
        <v>0</v>
      </c>
      <c r="AD966" s="352">
        <f>IF(NFI_Expiration=1,IF($A966&lt;VLOOKUP(M$5,NFI,5,0),1,0)*Table_NFI[[#This Row],[Blanket]],Table_NFI[[#This Row],[Blanket]])</f>
        <v>0</v>
      </c>
      <c r="AE966" s="352">
        <f>IF(NFI_Expiration=1,IF($A966&lt;VLOOKUP(N$5,NFI,5,0),1,0)*Table_NFI[[#This Row],[Kitchen Set]],Table_NFI[Kitchen Set])</f>
        <v>0</v>
      </c>
      <c r="AF966" s="352">
        <f>IF(NFI_Expiration=1,IF($A966&lt;VLOOKUP(O$5,NFI,5,0),1,0)*Table_NFI[[#This Row],[Clothes Kit]],Table_NFI[Clothes Kit])</f>
        <v>0</v>
      </c>
      <c r="AG966" s="352">
        <f>IF(NFI_Expiration=1,IF($A966&lt;VLOOKUP(P$5,NFI,5,0),1,0)*Table_NFI[[#This Row],[Plastic Bucket]],Table_NFI[Plastic Bucket])</f>
        <v>0</v>
      </c>
      <c r="AH966" s="352">
        <f>IF(NFI_Expiration=1,IF($A966&lt;VLOOKUP(Q$5,NFI,5,0),1,0)*Table_NFI[[#This Row],[Plastic Mat]],Table_NFI[Plastic Mat])*IF(Table_NFI[[#This Row],[Distribution Date]]&gt;"2014-04-01",1,2.5)</f>
        <v>0</v>
      </c>
      <c r="AI966" s="352">
        <f>IF(NFI_Expiration=1,IF($A966&lt;VLOOKUP(R$5,NFI,5,0),1,0)*Table_NFI[[#This Row],[Winter Clothes Adult]],Table_NFI[Winter Clothes Adult])</f>
        <v>0</v>
      </c>
      <c r="AJ966" s="352">
        <f>IF(NFI_Expiration=1,IF($A966&lt;VLOOKUP(S$5,NFI,5,0),1,0)*Table_NFI[[#This Row],[Winter Clothes Children]],Table_NFI[Winter Clothes Children])</f>
        <v>0</v>
      </c>
      <c r="AK966" s="352">
        <f>IF(NFI_Expiration=1,IF($A966&lt;VLOOKUP(T$5,NFI,5,0),1,0)*Table_NFI[[#This Row],[Winter Items Other]],Table_NFI[Winter Items Other])</f>
        <v>0</v>
      </c>
      <c r="AL966" s="352">
        <f>IF(NFI_Expiration=1,IF($A966&lt;VLOOKUP(M$5,NFI,5,0),1,0)*Table_NFI[[#This Row],[Winter Blanket]],Table_NFI[[#This Row],[Winter Blanket]])</f>
        <v>0</v>
      </c>
      <c r="AM966" s="352">
        <f>IF(Table_NFI[[#This Row],[Winter Clothes Adult]]+Table_NFI[[#This Row],[Winter Clothes Children]]+Table_NFI[[#This Row],[Winter Items Other]]+Table_NFI[[#This Row],[Winter Blanket]]&gt;0,1,0)</f>
        <v>1</v>
      </c>
      <c r="AN966" s="392">
        <f>IF(NFI_Expiration=1,IF($A966&lt;VLOOKUP(V$5,NFI,5,0),1,0)*Table_NFI[[#This Row],[Jerry Can]],Table_NFI[Jerry Can])</f>
        <v>0</v>
      </c>
      <c r="AO966" s="540" t="str">
        <f>IFERROR(VLOOKUP(Table_NFI[[#This Row],[Camp Name]],CL,2,0),"")</f>
        <v>MMR001CMP055</v>
      </c>
      <c r="AP966" s="535">
        <f ca="1">IF(Table_NFI[[#This Row],[Pcode]]="","",IF(OFFSET(CampList[Opening Date],MATCH(Table_NFI[[#This Row],[Pcode]],CampList[CP_Pcode],0)-1,0,1,1)&gt;=NFI_Monitor_Date,1,0))</f>
        <v>0</v>
      </c>
      <c r="AQ966" s="540" t="str">
        <f>IFERROR(VLOOKUP(Table_NFI[[#This Row],[Camp Name]],CL,3,0),"")</f>
        <v>Open</v>
      </c>
      <c r="AR966" s="352" t="str">
        <f ca="1">IF(Table_NFI[[#This Row],[Pcode]]="","",OFFSET(CampList[Priority],MATCH(Table_NFI[[#This Row],[Pcode]],CampList[CP_Pcode],0)-1,0,1,1))</f>
        <v>P4</v>
      </c>
      <c r="AS966" s="351">
        <f>IFERROR(Table_NFI[[#This Row],[Kitchen Set]]/VLOOKUP(Table_NFI[[#This Row],[Camp Name]],CL,4,0),"")</f>
        <v>0</v>
      </c>
      <c r="AT966" s="533"/>
      <c r="AU966" s="536"/>
    </row>
    <row r="967" spans="1:47" ht="14.45" customHeight="1" x14ac:dyDescent="0.25">
      <c r="A967" s="355">
        <f t="shared" si="15"/>
        <v>52.56666666666667</v>
      </c>
      <c r="B967" s="532">
        <v>40994</v>
      </c>
      <c r="C967" s="533" t="s">
        <v>453</v>
      </c>
      <c r="D967" s="533" t="s">
        <v>453</v>
      </c>
      <c r="E967" s="533" t="s">
        <v>380</v>
      </c>
      <c r="F967" s="348" t="s">
        <v>310</v>
      </c>
      <c r="G967" s="348" t="s">
        <v>334</v>
      </c>
      <c r="H967" s="349"/>
      <c r="I967" s="349"/>
      <c r="J967" s="349"/>
      <c r="K967" s="349">
        <v>460</v>
      </c>
      <c r="L967" s="350">
        <v>250</v>
      </c>
      <c r="M967" s="350">
        <v>460</v>
      </c>
      <c r="N967" s="350">
        <v>230</v>
      </c>
      <c r="O967" s="350">
        <v>0</v>
      </c>
      <c r="P967" s="352"/>
      <c r="Q967" s="352"/>
      <c r="R967" s="352"/>
      <c r="S967" s="352"/>
      <c r="T967" s="352"/>
      <c r="U967" s="352"/>
      <c r="V967" s="497"/>
      <c r="W967" s="352"/>
      <c r="X967" s="352"/>
      <c r="Y967" s="352">
        <f>IF(NFI_Expiration=1,IF($A967&lt;VLOOKUP(H$5,NFI,5,0),1,0)*Table_NFI[[#This Row],[Hygiene Kit]],Table_NFI[Hygiene Kit])</f>
        <v>0</v>
      </c>
      <c r="Z967" s="352">
        <f>IF(NFI_Expiration=1,IF($A967&lt;VLOOKUP(I$5,NFI,5,0),1,0)*Table_NFI[[#This Row],[NFI Core Kit]],Table_NFI[NFI Core Kit])</f>
        <v>0</v>
      </c>
      <c r="AA967" s="352">
        <f>IF(NFI_Expiration=1,IF($A967&lt;VLOOKUP(J$5,NFI,5,0),1,0)*Table_NFI[[#This Row],[Sanitary Kit]],Table_NFI[Sanitary Kit])</f>
        <v>0</v>
      </c>
      <c r="AB967" s="352">
        <f>IF(NFI_Expiration=1,IF($A967&lt;VLOOKUP(K$5,NFI,5,0),1,0)*Table_NFI[[#This Row],[Mosquito net]],Table_NFI[Mosquito net])</f>
        <v>0</v>
      </c>
      <c r="AC967" s="352">
        <f>IF(NFI_Expiration=1,IF($A967&lt;VLOOKUP(L$5,NFI,5,0),1,0)*Table_NFI[[#This Row],[Tarpaulin]],Table_NFI[[#This Row],[Tarpaulin]])</f>
        <v>0</v>
      </c>
      <c r="AD967" s="352">
        <f>IF(NFI_Expiration=1,IF($A967&lt;VLOOKUP(M$5,NFI,5,0),1,0)*Table_NFI[[#This Row],[Blanket]],Table_NFI[[#This Row],[Blanket]])</f>
        <v>0</v>
      </c>
      <c r="AE967" s="352">
        <f>IF(NFI_Expiration=1,IF($A967&lt;VLOOKUP(N$5,NFI,5,0),1,0)*Table_NFI[[#This Row],[Kitchen Set]],Table_NFI[Kitchen Set])</f>
        <v>0</v>
      </c>
      <c r="AF967" s="352">
        <f>IF(NFI_Expiration=1,IF($A967&lt;VLOOKUP(O$5,NFI,5,0),1,0)*Table_NFI[[#This Row],[Clothes Kit]],Table_NFI[Clothes Kit])</f>
        <v>0</v>
      </c>
      <c r="AG967" s="352">
        <f>IF(NFI_Expiration=1,IF($A967&lt;VLOOKUP(P$5,NFI,5,0),1,0)*Table_NFI[[#This Row],[Plastic Bucket]],Table_NFI[Plastic Bucket])</f>
        <v>0</v>
      </c>
      <c r="AH967" s="352">
        <f>IF(NFI_Expiration=1,IF($A967&lt;VLOOKUP(Q$5,NFI,5,0),1,0)*Table_NFI[[#This Row],[Plastic Mat]],Table_NFI[Plastic Mat])*IF(Table_NFI[[#This Row],[Distribution Date]]&gt;"2014-04-01",1,2.5)</f>
        <v>0</v>
      </c>
      <c r="AI967" s="352">
        <f>IF(NFI_Expiration=1,IF($A967&lt;VLOOKUP(R$5,NFI,5,0),1,0)*Table_NFI[[#This Row],[Winter Clothes Adult]],Table_NFI[Winter Clothes Adult])</f>
        <v>0</v>
      </c>
      <c r="AJ967" s="352">
        <f>IF(NFI_Expiration=1,IF($A967&lt;VLOOKUP(S$5,NFI,5,0),1,0)*Table_NFI[[#This Row],[Winter Clothes Children]],Table_NFI[Winter Clothes Children])</f>
        <v>0</v>
      </c>
      <c r="AK967" s="352">
        <f>IF(NFI_Expiration=1,IF($A967&lt;VLOOKUP(T$5,NFI,5,0),1,0)*Table_NFI[[#This Row],[Winter Items Other]],Table_NFI[Winter Items Other])</f>
        <v>0</v>
      </c>
      <c r="AL967" s="352">
        <f>IF(NFI_Expiration=1,IF($A967&lt;VLOOKUP(M$5,NFI,5,0),1,0)*Table_NFI[[#This Row],[Winter Blanket]],Table_NFI[[#This Row],[Winter Blanket]])</f>
        <v>0</v>
      </c>
      <c r="AM967" s="352">
        <f>IF(Table_NFI[[#This Row],[Winter Clothes Adult]]+Table_NFI[[#This Row],[Winter Clothes Children]]+Table_NFI[[#This Row],[Winter Items Other]]+Table_NFI[[#This Row],[Winter Blanket]]&gt;0,1,0)</f>
        <v>0</v>
      </c>
      <c r="AN967" s="392">
        <f>IF(NFI_Expiration=1,IF($A967&lt;VLOOKUP(V$5,NFI,5,0),1,0)*Table_NFI[[#This Row],[Jerry Can]],Table_NFI[Jerry Can])</f>
        <v>0</v>
      </c>
      <c r="AO967" s="540" t="str">
        <f>IFERROR(VLOOKUP(Table_NFI[[#This Row],[Camp Name]],CL,2,0),"")</f>
        <v>MMR001CMP113</v>
      </c>
      <c r="AP967" s="535">
        <f ca="1">IF(Table_NFI[[#This Row],[Pcode]]="","",IF(OFFSET(CampList[Opening Date],MATCH(Table_NFI[[#This Row],[Pcode]],CampList[CP_Pcode],0)-1,0,1,1)&gt;=NFI_Monitor_Date,1,0))</f>
        <v>0</v>
      </c>
      <c r="AQ967" s="540" t="str">
        <f>IFERROR(VLOOKUP(Table_NFI[[#This Row],[Camp Name]],CL,3,0),"")</f>
        <v>Open</v>
      </c>
      <c r="AR967" s="352" t="str">
        <f ca="1">IF(Table_NFI[[#This Row],[Pcode]]="","",OFFSET(CampList[Priority],MATCH(Table_NFI[[#This Row],[Pcode]],CampList[CP_Pcode],0)-1,0,1,1))</f>
        <v>P1</v>
      </c>
      <c r="AS967" s="351">
        <f>IFERROR(Table_NFI[[#This Row],[Kitchen Set]]/VLOOKUP(Table_NFI[[#This Row],[Camp Name]],CL,4,0),"")</f>
        <v>1.4375</v>
      </c>
      <c r="AT967" s="533" t="s">
        <v>1094</v>
      </c>
      <c r="AU967" s="536"/>
    </row>
    <row r="968" spans="1:47" ht="14.45" hidden="1" customHeight="1" x14ac:dyDescent="0.25">
      <c r="A968" s="355">
        <f t="shared" si="15"/>
        <v>26.133333333333333</v>
      </c>
      <c r="B968" s="532">
        <v>41787</v>
      </c>
      <c r="C968" s="533" t="s">
        <v>1106</v>
      </c>
      <c r="D968" s="533" t="s">
        <v>902</v>
      </c>
      <c r="E968" s="533" t="s">
        <v>380</v>
      </c>
      <c r="F968" s="533" t="s">
        <v>237</v>
      </c>
      <c r="G968" s="533" t="s">
        <v>238</v>
      </c>
      <c r="H968" s="349"/>
      <c r="I968" s="349"/>
      <c r="J968" s="349"/>
      <c r="K968" s="349"/>
      <c r="L968" s="350"/>
      <c r="M968" s="350"/>
      <c r="N968" s="350"/>
      <c r="O968" s="350"/>
      <c r="P968" s="352"/>
      <c r="Q968" s="352"/>
      <c r="R968" s="352"/>
      <c r="S968" s="352"/>
      <c r="T968" s="352"/>
      <c r="U968" s="352">
        <v>120</v>
      </c>
      <c r="V968" s="497"/>
      <c r="W968" s="352"/>
      <c r="X968" s="352"/>
      <c r="Y968" s="352">
        <f>IF(NFI_Expiration=1,IF($A968&lt;VLOOKUP(H$5,NFI,5,0),1,0)*Table_NFI[[#This Row],[Hygiene Kit]],Table_NFI[Hygiene Kit])</f>
        <v>0</v>
      </c>
      <c r="Z968" s="352">
        <f>IF(NFI_Expiration=1,IF($A968&lt;VLOOKUP(I$5,NFI,5,0),1,0)*Table_NFI[[#This Row],[NFI Core Kit]],Table_NFI[NFI Core Kit])</f>
        <v>0</v>
      </c>
      <c r="AA968" s="352">
        <f>IF(NFI_Expiration=1,IF($A968&lt;VLOOKUP(J$5,NFI,5,0),1,0)*Table_NFI[[#This Row],[Sanitary Kit]],Table_NFI[Sanitary Kit])</f>
        <v>0</v>
      </c>
      <c r="AB968" s="352">
        <f>IF(NFI_Expiration=1,IF($A968&lt;VLOOKUP(K$5,NFI,5,0),1,0)*Table_NFI[[#This Row],[Mosquito net]],Table_NFI[Mosquito net])</f>
        <v>0</v>
      </c>
      <c r="AC968" s="352">
        <f>IF(NFI_Expiration=1,IF($A968&lt;VLOOKUP(L$5,NFI,5,0),1,0)*Table_NFI[[#This Row],[Tarpaulin]],Table_NFI[[#This Row],[Tarpaulin]])</f>
        <v>0</v>
      </c>
      <c r="AD968" s="352">
        <f>IF(NFI_Expiration=1,IF($A968&lt;VLOOKUP(M$5,NFI,5,0),1,0)*Table_NFI[[#This Row],[Blanket]],Table_NFI[[#This Row],[Blanket]])</f>
        <v>0</v>
      </c>
      <c r="AE968" s="352">
        <f>IF(NFI_Expiration=1,IF($A968&lt;VLOOKUP(N$5,NFI,5,0),1,0)*Table_NFI[[#This Row],[Kitchen Set]],Table_NFI[Kitchen Set])</f>
        <v>0</v>
      </c>
      <c r="AF968" s="352">
        <f>IF(NFI_Expiration=1,IF($A968&lt;VLOOKUP(O$5,NFI,5,0),1,0)*Table_NFI[[#This Row],[Clothes Kit]],Table_NFI[Clothes Kit])</f>
        <v>0</v>
      </c>
      <c r="AG968" s="352">
        <f>IF(NFI_Expiration=1,IF($A968&lt;VLOOKUP(P$5,NFI,5,0),1,0)*Table_NFI[[#This Row],[Plastic Bucket]],Table_NFI[Plastic Bucket])</f>
        <v>0</v>
      </c>
      <c r="AH968" s="352">
        <f>IF(NFI_Expiration=1,IF($A968&lt;VLOOKUP(Q$5,NFI,5,0),1,0)*Table_NFI[[#This Row],[Plastic Mat]],Table_NFI[Plastic Mat])*IF(Table_NFI[[#This Row],[Distribution Date]]&gt;"2014-04-01",1,2.5)</f>
        <v>0</v>
      </c>
      <c r="AI968" s="352">
        <f>IF(NFI_Expiration=1,IF($A968&lt;VLOOKUP(R$5,NFI,5,0),1,0)*Table_NFI[[#This Row],[Winter Clothes Adult]],Table_NFI[Winter Clothes Adult])</f>
        <v>0</v>
      </c>
      <c r="AJ968" s="352">
        <f>IF(NFI_Expiration=1,IF($A968&lt;VLOOKUP(S$5,NFI,5,0),1,0)*Table_NFI[[#This Row],[Winter Clothes Children]],Table_NFI[Winter Clothes Children])</f>
        <v>0</v>
      </c>
      <c r="AK968" s="352">
        <f>IF(NFI_Expiration=1,IF($A968&lt;VLOOKUP(T$5,NFI,5,0),1,0)*Table_NFI[[#This Row],[Winter Items Other]],Table_NFI[Winter Items Other])</f>
        <v>0</v>
      </c>
      <c r="AL968" s="352">
        <f>IF(NFI_Expiration=1,IF($A968&lt;VLOOKUP(M$5,NFI,5,0),1,0)*Table_NFI[[#This Row],[Winter Blanket]],Table_NFI[[#This Row],[Winter Blanket]])</f>
        <v>0</v>
      </c>
      <c r="AM968" s="352">
        <f>IF(Table_NFI[[#This Row],[Winter Clothes Adult]]+Table_NFI[[#This Row],[Winter Clothes Children]]+Table_NFI[[#This Row],[Winter Items Other]]+Table_NFI[[#This Row],[Winter Blanket]]&gt;0,1,0)</f>
        <v>1</v>
      </c>
      <c r="AN968" s="392">
        <f>IF(NFI_Expiration=1,IF($A968&lt;VLOOKUP(V$5,NFI,5,0),1,0)*Table_NFI[[#This Row],[Jerry Can]],Table_NFI[Jerry Can])</f>
        <v>0</v>
      </c>
      <c r="AO968" s="540" t="str">
        <f>IFERROR(VLOOKUP(Table_NFI[[#This Row],[Camp Name]],CL,2,0),"")</f>
        <v>MMR001CMP001</v>
      </c>
      <c r="AP968" s="535">
        <f ca="1">IF(Table_NFI[[#This Row],[Pcode]]="","",IF(OFFSET(CampList[Opening Date],MATCH(Table_NFI[[#This Row],[Pcode]],CampList[CP_Pcode],0)-1,0,1,1)&gt;=NFI_Monitor_Date,1,0))</f>
        <v>0</v>
      </c>
      <c r="AQ968" s="540" t="str">
        <f>IFERROR(VLOOKUP(Table_NFI[[#This Row],[Camp Name]],CL,3,0),"")</f>
        <v>Open</v>
      </c>
      <c r="AR968" s="352" t="str">
        <f ca="1">IF(Table_NFI[[#This Row],[Pcode]]="","",OFFSET(CampList[Priority],MATCH(Table_NFI[[#This Row],[Pcode]],CampList[CP_Pcode],0)-1,0,1,1))</f>
        <v>P4</v>
      </c>
      <c r="AS968" s="351">
        <f>IFERROR(Table_NFI[[#This Row],[Kitchen Set]]/VLOOKUP(Table_NFI[[#This Row],[Camp Name]],CL,4,0),"")</f>
        <v>0</v>
      </c>
      <c r="AT968" s="533"/>
      <c r="AU968" s="536"/>
    </row>
    <row r="969" spans="1:47" ht="14.45" customHeight="1" x14ac:dyDescent="0.25">
      <c r="A969" s="355">
        <f t="shared" si="15"/>
        <v>52.56666666666667</v>
      </c>
      <c r="B969" s="532">
        <v>40994</v>
      </c>
      <c r="C969" s="533" t="s">
        <v>453</v>
      </c>
      <c r="D969" s="534" t="s">
        <v>453</v>
      </c>
      <c r="E969" s="533" t="s">
        <v>380</v>
      </c>
      <c r="F969" s="348" t="s">
        <v>185</v>
      </c>
      <c r="G969" s="348" t="s">
        <v>211</v>
      </c>
      <c r="H969" s="349"/>
      <c r="I969" s="349"/>
      <c r="J969" s="349"/>
      <c r="K969" s="349">
        <v>49</v>
      </c>
      <c r="L969" s="350">
        <v>49</v>
      </c>
      <c r="M969" s="350">
        <v>0</v>
      </c>
      <c r="N969" s="350">
        <v>0</v>
      </c>
      <c r="O969" s="350">
        <v>49</v>
      </c>
      <c r="P969" s="352">
        <v>49</v>
      </c>
      <c r="Q969" s="352">
        <v>49</v>
      </c>
      <c r="R969" s="352"/>
      <c r="S969" s="352"/>
      <c r="T969" s="352"/>
      <c r="U969" s="352"/>
      <c r="V969" s="497"/>
      <c r="W969" s="352"/>
      <c r="X969" s="352"/>
      <c r="Y969" s="352">
        <f>IF(NFI_Expiration=1,IF($A969&lt;VLOOKUP(H$5,NFI,5,0),1,0)*Table_NFI[[#This Row],[Hygiene Kit]],Table_NFI[Hygiene Kit])</f>
        <v>0</v>
      </c>
      <c r="Z969" s="352">
        <f>IF(NFI_Expiration=1,IF($A969&lt;VLOOKUP(I$5,NFI,5,0),1,0)*Table_NFI[[#This Row],[NFI Core Kit]],Table_NFI[NFI Core Kit])</f>
        <v>0</v>
      </c>
      <c r="AA969" s="352">
        <f>IF(NFI_Expiration=1,IF($A969&lt;VLOOKUP(J$5,NFI,5,0),1,0)*Table_NFI[[#This Row],[Sanitary Kit]],Table_NFI[Sanitary Kit])</f>
        <v>0</v>
      </c>
      <c r="AB969" s="352">
        <f>IF(NFI_Expiration=1,IF($A969&lt;VLOOKUP(K$5,NFI,5,0),1,0)*Table_NFI[[#This Row],[Mosquito net]],Table_NFI[Mosquito net])</f>
        <v>0</v>
      </c>
      <c r="AC969" s="352">
        <f>IF(NFI_Expiration=1,IF($A969&lt;VLOOKUP(L$5,NFI,5,0),1,0)*Table_NFI[[#This Row],[Tarpaulin]],Table_NFI[[#This Row],[Tarpaulin]])</f>
        <v>0</v>
      </c>
      <c r="AD969" s="352">
        <f>IF(NFI_Expiration=1,IF($A969&lt;VLOOKUP(M$5,NFI,5,0),1,0)*Table_NFI[[#This Row],[Blanket]],Table_NFI[[#This Row],[Blanket]])</f>
        <v>0</v>
      </c>
      <c r="AE969" s="352">
        <f>IF(NFI_Expiration=1,IF($A969&lt;VLOOKUP(N$5,NFI,5,0),1,0)*Table_NFI[[#This Row],[Kitchen Set]],Table_NFI[Kitchen Set])</f>
        <v>0</v>
      </c>
      <c r="AF969" s="352">
        <f>IF(NFI_Expiration=1,IF($A969&lt;VLOOKUP(O$5,NFI,5,0),1,0)*Table_NFI[[#This Row],[Clothes Kit]],Table_NFI[Clothes Kit])</f>
        <v>0</v>
      </c>
      <c r="AG969" s="352">
        <f>IF(NFI_Expiration=1,IF($A969&lt;VLOOKUP(P$5,NFI,5,0),1,0)*Table_NFI[[#This Row],[Plastic Bucket]],Table_NFI[Plastic Bucket])</f>
        <v>0</v>
      </c>
      <c r="AH969" s="352">
        <f>IF(NFI_Expiration=1,IF($A969&lt;VLOOKUP(Q$5,NFI,5,0),1,0)*Table_NFI[[#This Row],[Plastic Mat]],Table_NFI[Plastic Mat])*IF(Table_NFI[[#This Row],[Distribution Date]]&gt;"2014-04-01",1,2.5)</f>
        <v>0</v>
      </c>
      <c r="AI969" s="352">
        <f>IF(NFI_Expiration=1,IF($A969&lt;VLOOKUP(R$5,NFI,5,0),1,0)*Table_NFI[[#This Row],[Winter Clothes Adult]],Table_NFI[Winter Clothes Adult])</f>
        <v>0</v>
      </c>
      <c r="AJ969" s="352">
        <f>IF(NFI_Expiration=1,IF($A969&lt;VLOOKUP(S$5,NFI,5,0),1,0)*Table_NFI[[#This Row],[Winter Clothes Children]],Table_NFI[Winter Clothes Children])</f>
        <v>0</v>
      </c>
      <c r="AK969" s="352">
        <f>IF(NFI_Expiration=1,IF($A969&lt;VLOOKUP(T$5,NFI,5,0),1,0)*Table_NFI[[#This Row],[Winter Items Other]],Table_NFI[Winter Items Other])</f>
        <v>0</v>
      </c>
      <c r="AL969" s="352">
        <f>IF(NFI_Expiration=1,IF($A969&lt;VLOOKUP(M$5,NFI,5,0),1,0)*Table_NFI[[#This Row],[Winter Blanket]],Table_NFI[[#This Row],[Winter Blanket]])</f>
        <v>0</v>
      </c>
      <c r="AM969" s="352">
        <f>IF(Table_NFI[[#This Row],[Winter Clothes Adult]]+Table_NFI[[#This Row],[Winter Clothes Children]]+Table_NFI[[#This Row],[Winter Items Other]]+Table_NFI[[#This Row],[Winter Blanket]]&gt;0,1,0)</f>
        <v>0</v>
      </c>
      <c r="AN969" s="392">
        <f>IF(NFI_Expiration=1,IF($A969&lt;VLOOKUP(V$5,NFI,5,0),1,0)*Table_NFI[[#This Row],[Jerry Can]],Table_NFI[Jerry Can])</f>
        <v>0</v>
      </c>
      <c r="AO969" s="540" t="str">
        <f>IFERROR(VLOOKUP(Table_NFI[[#This Row],[Camp Name]],CL,2,0),"")</f>
        <v>MMR001CMP057</v>
      </c>
      <c r="AP969" s="535">
        <f ca="1">IF(Table_NFI[[#This Row],[Pcode]]="","",IF(OFFSET(CampList[Opening Date],MATCH(Table_NFI[[#This Row],[Pcode]],CampList[CP_Pcode],0)-1,0,1,1)&gt;=NFI_Monitor_Date,1,0))</f>
        <v>0</v>
      </c>
      <c r="AQ969" s="540" t="str">
        <f>IFERROR(VLOOKUP(Table_NFI[[#This Row],[Camp Name]],CL,3,0),"")</f>
        <v>Closed</v>
      </c>
      <c r="AR969" s="352" t="str">
        <f ca="1">IF(Table_NFI[[#This Row],[Pcode]]="","",OFFSET(CampList[Priority],MATCH(Table_NFI[[#This Row],[Pcode]],CampList[CP_Pcode],0)-1,0,1,1))</f>
        <v>P4</v>
      </c>
      <c r="AS969" s="351" t="str">
        <f>IFERROR(Table_NFI[[#This Row],[Kitchen Set]]/VLOOKUP(Table_NFI[[#This Row],[Camp Name]],CL,4,0),"")</f>
        <v/>
      </c>
      <c r="AT969" s="533" t="s">
        <v>1094</v>
      </c>
      <c r="AU969" s="536"/>
    </row>
    <row r="970" spans="1:47" ht="14.45" customHeight="1" x14ac:dyDescent="0.25">
      <c r="A970" s="355">
        <f t="shared" si="15"/>
        <v>53.2</v>
      </c>
      <c r="B970" s="532">
        <v>40975</v>
      </c>
      <c r="C970" s="533" t="s">
        <v>453</v>
      </c>
      <c r="D970" s="534" t="s">
        <v>453</v>
      </c>
      <c r="E970" s="533" t="s">
        <v>380</v>
      </c>
      <c r="F970" s="348" t="s">
        <v>310</v>
      </c>
      <c r="G970" s="348" t="s">
        <v>318</v>
      </c>
      <c r="H970" s="349"/>
      <c r="I970" s="349"/>
      <c r="J970" s="349"/>
      <c r="K970" s="349">
        <v>12</v>
      </c>
      <c r="L970" s="350">
        <v>8</v>
      </c>
      <c r="M970" s="350">
        <v>12</v>
      </c>
      <c r="N970" s="350">
        <v>8</v>
      </c>
      <c r="O970" s="350">
        <v>8</v>
      </c>
      <c r="P970" s="352">
        <v>8</v>
      </c>
      <c r="Q970" s="352">
        <v>8</v>
      </c>
      <c r="R970" s="352"/>
      <c r="S970" s="352"/>
      <c r="T970" s="352"/>
      <c r="U970" s="352"/>
      <c r="V970" s="497"/>
      <c r="W970" s="352"/>
      <c r="X970" s="352"/>
      <c r="Y970" s="352">
        <f>IF(NFI_Expiration=1,IF($A970&lt;VLOOKUP(H$5,NFI,5,0),1,0)*Table_NFI[[#This Row],[Hygiene Kit]],Table_NFI[Hygiene Kit])</f>
        <v>0</v>
      </c>
      <c r="Z970" s="352">
        <f>IF(NFI_Expiration=1,IF($A970&lt;VLOOKUP(I$5,NFI,5,0),1,0)*Table_NFI[[#This Row],[NFI Core Kit]],Table_NFI[NFI Core Kit])</f>
        <v>0</v>
      </c>
      <c r="AA970" s="352">
        <f>IF(NFI_Expiration=1,IF($A970&lt;VLOOKUP(J$5,NFI,5,0),1,0)*Table_NFI[[#This Row],[Sanitary Kit]],Table_NFI[Sanitary Kit])</f>
        <v>0</v>
      </c>
      <c r="AB970" s="352">
        <f>IF(NFI_Expiration=1,IF($A970&lt;VLOOKUP(K$5,NFI,5,0),1,0)*Table_NFI[[#This Row],[Mosquito net]],Table_NFI[Mosquito net])</f>
        <v>0</v>
      </c>
      <c r="AC970" s="352">
        <f>IF(NFI_Expiration=1,IF($A970&lt;VLOOKUP(L$5,NFI,5,0),1,0)*Table_NFI[[#This Row],[Tarpaulin]],Table_NFI[[#This Row],[Tarpaulin]])</f>
        <v>0</v>
      </c>
      <c r="AD970" s="352">
        <f>IF(NFI_Expiration=1,IF($A970&lt;VLOOKUP(M$5,NFI,5,0),1,0)*Table_NFI[[#This Row],[Blanket]],Table_NFI[[#This Row],[Blanket]])</f>
        <v>0</v>
      </c>
      <c r="AE970" s="352">
        <f>IF(NFI_Expiration=1,IF($A970&lt;VLOOKUP(N$5,NFI,5,0),1,0)*Table_NFI[[#This Row],[Kitchen Set]],Table_NFI[Kitchen Set])</f>
        <v>0</v>
      </c>
      <c r="AF970" s="352">
        <f>IF(NFI_Expiration=1,IF($A970&lt;VLOOKUP(O$5,NFI,5,0),1,0)*Table_NFI[[#This Row],[Clothes Kit]],Table_NFI[Clothes Kit])</f>
        <v>0</v>
      </c>
      <c r="AG970" s="352">
        <f>IF(NFI_Expiration=1,IF($A970&lt;VLOOKUP(P$5,NFI,5,0),1,0)*Table_NFI[[#This Row],[Plastic Bucket]],Table_NFI[Plastic Bucket])</f>
        <v>0</v>
      </c>
      <c r="AH970" s="352">
        <f>IF(NFI_Expiration=1,IF($A970&lt;VLOOKUP(Q$5,NFI,5,0),1,0)*Table_NFI[[#This Row],[Plastic Mat]],Table_NFI[Plastic Mat])*IF(Table_NFI[[#This Row],[Distribution Date]]&gt;"2014-04-01",1,2.5)</f>
        <v>0</v>
      </c>
      <c r="AI970" s="352">
        <f>IF(NFI_Expiration=1,IF($A970&lt;VLOOKUP(R$5,NFI,5,0),1,0)*Table_NFI[[#This Row],[Winter Clothes Adult]],Table_NFI[Winter Clothes Adult])</f>
        <v>0</v>
      </c>
      <c r="AJ970" s="352">
        <f>IF(NFI_Expiration=1,IF($A970&lt;VLOOKUP(S$5,NFI,5,0),1,0)*Table_NFI[[#This Row],[Winter Clothes Children]],Table_NFI[Winter Clothes Children])</f>
        <v>0</v>
      </c>
      <c r="AK970" s="352">
        <f>IF(NFI_Expiration=1,IF($A970&lt;VLOOKUP(T$5,NFI,5,0),1,0)*Table_NFI[[#This Row],[Winter Items Other]],Table_NFI[Winter Items Other])</f>
        <v>0</v>
      </c>
      <c r="AL970" s="352">
        <f>IF(NFI_Expiration=1,IF($A970&lt;VLOOKUP(M$5,NFI,5,0),1,0)*Table_NFI[[#This Row],[Winter Blanket]],Table_NFI[[#This Row],[Winter Blanket]])</f>
        <v>0</v>
      </c>
      <c r="AM970" s="352">
        <f>IF(Table_NFI[[#This Row],[Winter Clothes Adult]]+Table_NFI[[#This Row],[Winter Clothes Children]]+Table_NFI[[#This Row],[Winter Items Other]]+Table_NFI[[#This Row],[Winter Blanket]]&gt;0,1,0)</f>
        <v>0</v>
      </c>
      <c r="AN970" s="392">
        <f>IF(NFI_Expiration=1,IF($A970&lt;VLOOKUP(V$5,NFI,5,0),1,0)*Table_NFI[[#This Row],[Jerry Can]],Table_NFI[Jerry Can])</f>
        <v>0</v>
      </c>
      <c r="AO970" s="540" t="str">
        <f>IFERROR(VLOOKUP(Table_NFI[[#This Row],[Camp Name]],CL,2,0),"")</f>
        <v>MMR001CMP032</v>
      </c>
      <c r="AP970" s="535">
        <f ca="1">IF(Table_NFI[[#This Row],[Pcode]]="","",IF(OFFSET(CampList[Opening Date],MATCH(Table_NFI[[#This Row],[Pcode]],CampList[CP_Pcode],0)-1,0,1,1)&gt;=NFI_Monitor_Date,1,0))</f>
        <v>0</v>
      </c>
      <c r="AQ970" s="540" t="str">
        <f>IFERROR(VLOOKUP(Table_NFI[[#This Row],[Camp Name]],CL,3,0),"")</f>
        <v>Open</v>
      </c>
      <c r="AR970" s="352" t="str">
        <f ca="1">IF(Table_NFI[[#This Row],[Pcode]]="","",OFFSET(CampList[Priority],MATCH(Table_NFI[[#This Row],[Pcode]],CampList[CP_Pcode],0)-1,0,1,1))</f>
        <v>P4</v>
      </c>
      <c r="AS970" s="351">
        <f>IFERROR(Table_NFI[[#This Row],[Kitchen Set]]/VLOOKUP(Table_NFI[[#This Row],[Camp Name]],CL,4,0),"")</f>
        <v>8.7912087912087919E-2</v>
      </c>
      <c r="AT970" s="533" t="s">
        <v>1094</v>
      </c>
      <c r="AU970" s="536"/>
    </row>
    <row r="971" spans="1:47" ht="14.45" customHeight="1" x14ac:dyDescent="0.25">
      <c r="A971" s="355">
        <f t="shared" si="15"/>
        <v>53.2</v>
      </c>
      <c r="B971" s="532">
        <v>40975</v>
      </c>
      <c r="C971" s="533" t="s">
        <v>453</v>
      </c>
      <c r="D971" s="533" t="s">
        <v>453</v>
      </c>
      <c r="E971" s="533" t="s">
        <v>380</v>
      </c>
      <c r="F971" s="533" t="s">
        <v>310</v>
      </c>
      <c r="G971" s="348" t="s">
        <v>349</v>
      </c>
      <c r="H971" s="349"/>
      <c r="I971" s="349"/>
      <c r="J971" s="349"/>
      <c r="K971" s="349">
        <v>38</v>
      </c>
      <c r="L971" s="350">
        <v>18</v>
      </c>
      <c r="M971" s="350">
        <v>38</v>
      </c>
      <c r="N971" s="350">
        <v>17</v>
      </c>
      <c r="O971" s="350">
        <v>18</v>
      </c>
      <c r="P971" s="352">
        <v>18</v>
      </c>
      <c r="Q971" s="352">
        <v>18</v>
      </c>
      <c r="R971" s="352"/>
      <c r="S971" s="352"/>
      <c r="T971" s="352"/>
      <c r="U971" s="352"/>
      <c r="V971" s="497"/>
      <c r="W971" s="352"/>
      <c r="X971" s="352"/>
      <c r="Y971" s="352">
        <f>IF(NFI_Expiration=1,IF($A971&lt;VLOOKUP(H$5,NFI,5,0),1,0)*Table_NFI[[#This Row],[Hygiene Kit]],Table_NFI[Hygiene Kit])</f>
        <v>0</v>
      </c>
      <c r="Z971" s="352">
        <f>IF(NFI_Expiration=1,IF($A971&lt;VLOOKUP(I$5,NFI,5,0),1,0)*Table_NFI[[#This Row],[NFI Core Kit]],Table_NFI[NFI Core Kit])</f>
        <v>0</v>
      </c>
      <c r="AA971" s="352">
        <f>IF(NFI_Expiration=1,IF($A971&lt;VLOOKUP(J$5,NFI,5,0),1,0)*Table_NFI[[#This Row],[Sanitary Kit]],Table_NFI[Sanitary Kit])</f>
        <v>0</v>
      </c>
      <c r="AB971" s="352">
        <f>IF(NFI_Expiration=1,IF($A971&lt;VLOOKUP(K$5,NFI,5,0),1,0)*Table_NFI[[#This Row],[Mosquito net]],Table_NFI[Mosquito net])</f>
        <v>0</v>
      </c>
      <c r="AC971" s="352">
        <f>IF(NFI_Expiration=1,IF($A971&lt;VLOOKUP(L$5,NFI,5,0),1,0)*Table_NFI[[#This Row],[Tarpaulin]],Table_NFI[[#This Row],[Tarpaulin]])</f>
        <v>0</v>
      </c>
      <c r="AD971" s="352">
        <f>IF(NFI_Expiration=1,IF($A971&lt;VLOOKUP(M$5,NFI,5,0),1,0)*Table_NFI[[#This Row],[Blanket]],Table_NFI[[#This Row],[Blanket]])</f>
        <v>0</v>
      </c>
      <c r="AE971" s="352">
        <f>IF(NFI_Expiration=1,IF($A971&lt;VLOOKUP(N$5,NFI,5,0),1,0)*Table_NFI[[#This Row],[Kitchen Set]],Table_NFI[Kitchen Set])</f>
        <v>0</v>
      </c>
      <c r="AF971" s="352">
        <f>IF(NFI_Expiration=1,IF($A971&lt;VLOOKUP(O$5,NFI,5,0),1,0)*Table_NFI[[#This Row],[Clothes Kit]],Table_NFI[Clothes Kit])</f>
        <v>0</v>
      </c>
      <c r="AG971" s="352">
        <f>IF(NFI_Expiration=1,IF($A971&lt;VLOOKUP(P$5,NFI,5,0),1,0)*Table_NFI[[#This Row],[Plastic Bucket]],Table_NFI[Plastic Bucket])</f>
        <v>0</v>
      </c>
      <c r="AH971" s="352">
        <f>IF(NFI_Expiration=1,IF($A971&lt;VLOOKUP(Q$5,NFI,5,0),1,0)*Table_NFI[[#This Row],[Plastic Mat]],Table_NFI[Plastic Mat])*IF(Table_NFI[[#This Row],[Distribution Date]]&gt;"2014-04-01",1,2.5)</f>
        <v>0</v>
      </c>
      <c r="AI971" s="352">
        <f>IF(NFI_Expiration=1,IF($A971&lt;VLOOKUP(R$5,NFI,5,0),1,0)*Table_NFI[[#This Row],[Winter Clothes Adult]],Table_NFI[Winter Clothes Adult])</f>
        <v>0</v>
      </c>
      <c r="AJ971" s="352">
        <f>IF(NFI_Expiration=1,IF($A971&lt;VLOOKUP(S$5,NFI,5,0),1,0)*Table_NFI[[#This Row],[Winter Clothes Children]],Table_NFI[Winter Clothes Children])</f>
        <v>0</v>
      </c>
      <c r="AK971" s="352">
        <f>IF(NFI_Expiration=1,IF($A971&lt;VLOOKUP(T$5,NFI,5,0),1,0)*Table_NFI[[#This Row],[Winter Items Other]],Table_NFI[Winter Items Other])</f>
        <v>0</v>
      </c>
      <c r="AL971" s="352">
        <f>IF(NFI_Expiration=1,IF($A971&lt;VLOOKUP(M$5,NFI,5,0),1,0)*Table_NFI[[#This Row],[Winter Blanket]],Table_NFI[[#This Row],[Winter Blanket]])</f>
        <v>0</v>
      </c>
      <c r="AM971" s="352">
        <f>IF(Table_NFI[[#This Row],[Winter Clothes Adult]]+Table_NFI[[#This Row],[Winter Clothes Children]]+Table_NFI[[#This Row],[Winter Items Other]]+Table_NFI[[#This Row],[Winter Blanket]]&gt;0,1,0)</f>
        <v>0</v>
      </c>
      <c r="AN971" s="392">
        <f>IF(NFI_Expiration=1,IF($A971&lt;VLOOKUP(V$5,NFI,5,0),1,0)*Table_NFI[[#This Row],[Jerry Can]],Table_NFI[Jerry Can])</f>
        <v>0</v>
      </c>
      <c r="AO971" s="540" t="str">
        <f>IFERROR(VLOOKUP(Table_NFI[[#This Row],[Camp Name]],CL,2,0),"")</f>
        <v>MMR001CMP037</v>
      </c>
      <c r="AP971" s="535">
        <f ca="1">IF(Table_NFI[[#This Row],[Pcode]]="","",IF(OFFSET(CampList[Opening Date],MATCH(Table_NFI[[#This Row],[Pcode]],CampList[CP_Pcode],0)-1,0,1,1)&gt;=NFI_Monitor_Date,1,0))</f>
        <v>0</v>
      </c>
      <c r="AQ971" s="540" t="str">
        <f>IFERROR(VLOOKUP(Table_NFI[[#This Row],[Camp Name]],CL,3,0),"")</f>
        <v>Open</v>
      </c>
      <c r="AR971" s="352" t="str">
        <f ca="1">IF(Table_NFI[[#This Row],[Pcode]]="","",OFFSET(CampList[Priority],MATCH(Table_NFI[[#This Row],[Pcode]],CampList[CP_Pcode],0)-1,0,1,1))</f>
        <v>P4</v>
      </c>
      <c r="AS971" s="351">
        <f>IFERROR(Table_NFI[[#This Row],[Kitchen Set]]/VLOOKUP(Table_NFI[[#This Row],[Camp Name]],CL,4,0),"")</f>
        <v>0.38636363636363635</v>
      </c>
      <c r="AT971" s="533" t="s">
        <v>1094</v>
      </c>
      <c r="AU971" s="536"/>
    </row>
    <row r="972" spans="1:47" ht="14.45" hidden="1" customHeight="1" x14ac:dyDescent="0.25">
      <c r="A972" s="355">
        <f t="shared" si="15"/>
        <v>26.133333333333333</v>
      </c>
      <c r="B972" s="532">
        <v>41787</v>
      </c>
      <c r="C972" s="533" t="s">
        <v>1106</v>
      </c>
      <c r="D972" s="533" t="s">
        <v>902</v>
      </c>
      <c r="E972" s="533" t="s">
        <v>380</v>
      </c>
      <c r="F972" s="533" t="s">
        <v>237</v>
      </c>
      <c r="G972" s="533" t="s">
        <v>1247</v>
      </c>
      <c r="H972" s="349"/>
      <c r="I972" s="349"/>
      <c r="J972" s="349"/>
      <c r="K972" s="349"/>
      <c r="L972" s="350"/>
      <c r="M972" s="350"/>
      <c r="N972" s="350"/>
      <c r="O972" s="350"/>
      <c r="P972" s="352"/>
      <c r="Q972" s="352"/>
      <c r="R972" s="352"/>
      <c r="S972" s="352"/>
      <c r="T972" s="352"/>
      <c r="U972" s="352">
        <v>138</v>
      </c>
      <c r="V972" s="497"/>
      <c r="W972" s="352"/>
      <c r="X972" s="352"/>
      <c r="Y972" s="352">
        <f>IF(NFI_Expiration=1,IF($A972&lt;VLOOKUP(H$5,NFI,5,0),1,0)*Table_NFI[[#This Row],[Hygiene Kit]],Table_NFI[Hygiene Kit])</f>
        <v>0</v>
      </c>
      <c r="Z972" s="352">
        <f>IF(NFI_Expiration=1,IF($A972&lt;VLOOKUP(I$5,NFI,5,0),1,0)*Table_NFI[[#This Row],[NFI Core Kit]],Table_NFI[NFI Core Kit])</f>
        <v>0</v>
      </c>
      <c r="AA972" s="352">
        <f>IF(NFI_Expiration=1,IF($A972&lt;VLOOKUP(J$5,NFI,5,0),1,0)*Table_NFI[[#This Row],[Sanitary Kit]],Table_NFI[Sanitary Kit])</f>
        <v>0</v>
      </c>
      <c r="AB972" s="352">
        <f>IF(NFI_Expiration=1,IF($A972&lt;VLOOKUP(K$5,NFI,5,0),1,0)*Table_NFI[[#This Row],[Mosquito net]],Table_NFI[Mosquito net])</f>
        <v>0</v>
      </c>
      <c r="AC972" s="352">
        <f>IF(NFI_Expiration=1,IF($A972&lt;VLOOKUP(L$5,NFI,5,0),1,0)*Table_NFI[[#This Row],[Tarpaulin]],Table_NFI[[#This Row],[Tarpaulin]])</f>
        <v>0</v>
      </c>
      <c r="AD972" s="352">
        <f>IF(NFI_Expiration=1,IF($A972&lt;VLOOKUP(M$5,NFI,5,0),1,0)*Table_NFI[[#This Row],[Blanket]],Table_NFI[[#This Row],[Blanket]])</f>
        <v>0</v>
      </c>
      <c r="AE972" s="352">
        <f>IF(NFI_Expiration=1,IF($A972&lt;VLOOKUP(N$5,NFI,5,0),1,0)*Table_NFI[[#This Row],[Kitchen Set]],Table_NFI[Kitchen Set])</f>
        <v>0</v>
      </c>
      <c r="AF972" s="352">
        <f>IF(NFI_Expiration=1,IF($A972&lt;VLOOKUP(O$5,NFI,5,0),1,0)*Table_NFI[[#This Row],[Clothes Kit]],Table_NFI[Clothes Kit])</f>
        <v>0</v>
      </c>
      <c r="AG972" s="352">
        <f>IF(NFI_Expiration=1,IF($A972&lt;VLOOKUP(P$5,NFI,5,0),1,0)*Table_NFI[[#This Row],[Plastic Bucket]],Table_NFI[Plastic Bucket])</f>
        <v>0</v>
      </c>
      <c r="AH972" s="352">
        <f>IF(NFI_Expiration=1,IF($A972&lt;VLOOKUP(Q$5,NFI,5,0),1,0)*Table_NFI[[#This Row],[Plastic Mat]],Table_NFI[Plastic Mat])*IF(Table_NFI[[#This Row],[Distribution Date]]&gt;"2014-04-01",1,2.5)</f>
        <v>0</v>
      </c>
      <c r="AI972" s="352">
        <f>IF(NFI_Expiration=1,IF($A972&lt;VLOOKUP(R$5,NFI,5,0),1,0)*Table_NFI[[#This Row],[Winter Clothes Adult]],Table_NFI[Winter Clothes Adult])</f>
        <v>0</v>
      </c>
      <c r="AJ972" s="352">
        <f>IF(NFI_Expiration=1,IF($A972&lt;VLOOKUP(S$5,NFI,5,0),1,0)*Table_NFI[[#This Row],[Winter Clothes Children]],Table_NFI[Winter Clothes Children])</f>
        <v>0</v>
      </c>
      <c r="AK972" s="352">
        <f>IF(NFI_Expiration=1,IF($A972&lt;VLOOKUP(T$5,NFI,5,0),1,0)*Table_NFI[[#This Row],[Winter Items Other]],Table_NFI[Winter Items Other])</f>
        <v>0</v>
      </c>
      <c r="AL972" s="352">
        <f>IF(NFI_Expiration=1,IF($A972&lt;VLOOKUP(M$5,NFI,5,0),1,0)*Table_NFI[[#This Row],[Winter Blanket]],Table_NFI[[#This Row],[Winter Blanket]])</f>
        <v>0</v>
      </c>
      <c r="AM972" s="352">
        <f>IF(Table_NFI[[#This Row],[Winter Clothes Adult]]+Table_NFI[[#This Row],[Winter Clothes Children]]+Table_NFI[[#This Row],[Winter Items Other]]+Table_NFI[[#This Row],[Winter Blanket]]&gt;0,1,0)</f>
        <v>1</v>
      </c>
      <c r="AN972" s="392">
        <f>IF(NFI_Expiration=1,IF($A972&lt;VLOOKUP(V$5,NFI,5,0),1,0)*Table_NFI[[#This Row],[Jerry Can]],Table_NFI[Jerry Can])</f>
        <v>0</v>
      </c>
      <c r="AO972" s="540" t="str">
        <f>IFERROR(VLOOKUP(Table_NFI[[#This Row],[Camp Name]],CL,2,0),"")</f>
        <v>MMR001CMP023</v>
      </c>
      <c r="AP972" s="535">
        <f ca="1">IF(Table_NFI[[#This Row],[Pcode]]="","",IF(OFFSET(CampList[Opening Date],MATCH(Table_NFI[[#This Row],[Pcode]],CampList[CP_Pcode],0)-1,0,1,1)&gt;=NFI_Monitor_Date,1,0))</f>
        <v>0</v>
      </c>
      <c r="AQ972" s="540" t="str">
        <f>IFERROR(VLOOKUP(Table_NFI[[#This Row],[Camp Name]],CL,3,0),"")</f>
        <v>Open</v>
      </c>
      <c r="AR972" s="352" t="str">
        <f ca="1">IF(Table_NFI[[#This Row],[Pcode]]="","",OFFSET(CampList[Priority],MATCH(Table_NFI[[#This Row],[Pcode]],CampList[CP_Pcode],0)-1,0,1,1))</f>
        <v>P4</v>
      </c>
      <c r="AS972" s="351">
        <f>IFERROR(Table_NFI[[#This Row],[Kitchen Set]]/VLOOKUP(Table_NFI[[#This Row],[Camp Name]],CL,4,0),"")</f>
        <v>0</v>
      </c>
      <c r="AT972" s="533"/>
      <c r="AU972" s="536"/>
    </row>
    <row r="973" spans="1:47" ht="14.45" customHeight="1" x14ac:dyDescent="0.25">
      <c r="A973" s="355">
        <f t="shared" si="15"/>
        <v>53.5</v>
      </c>
      <c r="B973" s="532">
        <v>40966</v>
      </c>
      <c r="C973" s="533" t="s">
        <v>453</v>
      </c>
      <c r="D973" s="534" t="s">
        <v>904</v>
      </c>
      <c r="E973" s="533" t="s">
        <v>380</v>
      </c>
      <c r="F973" s="348" t="s">
        <v>237</v>
      </c>
      <c r="G973" s="348" t="s">
        <v>283</v>
      </c>
      <c r="H973" s="349"/>
      <c r="I973" s="349"/>
      <c r="J973" s="349"/>
      <c r="K973" s="349">
        <v>34</v>
      </c>
      <c r="L973" s="350">
        <v>0</v>
      </c>
      <c r="M973" s="350">
        <v>34</v>
      </c>
      <c r="N973" s="350">
        <v>0</v>
      </c>
      <c r="O973" s="350">
        <v>34</v>
      </c>
      <c r="P973" s="352">
        <v>34</v>
      </c>
      <c r="Q973" s="352">
        <v>34</v>
      </c>
      <c r="R973" s="352"/>
      <c r="S973" s="352"/>
      <c r="T973" s="352"/>
      <c r="U973" s="352"/>
      <c r="V973" s="497"/>
      <c r="W973" s="352"/>
      <c r="X973" s="352"/>
      <c r="Y973" s="352">
        <f>IF(NFI_Expiration=1,IF($A973&lt;VLOOKUP(H$5,NFI,5,0),1,0)*Table_NFI[[#This Row],[Hygiene Kit]],Table_NFI[Hygiene Kit])</f>
        <v>0</v>
      </c>
      <c r="Z973" s="352">
        <f>IF(NFI_Expiration=1,IF($A973&lt;VLOOKUP(I$5,NFI,5,0),1,0)*Table_NFI[[#This Row],[NFI Core Kit]],Table_NFI[NFI Core Kit])</f>
        <v>0</v>
      </c>
      <c r="AA973" s="352">
        <f>IF(NFI_Expiration=1,IF($A973&lt;VLOOKUP(J$5,NFI,5,0),1,0)*Table_NFI[[#This Row],[Sanitary Kit]],Table_NFI[Sanitary Kit])</f>
        <v>0</v>
      </c>
      <c r="AB973" s="352">
        <f>IF(NFI_Expiration=1,IF($A973&lt;VLOOKUP(K$5,NFI,5,0),1,0)*Table_NFI[[#This Row],[Mosquito net]],Table_NFI[Mosquito net])</f>
        <v>0</v>
      </c>
      <c r="AC973" s="352">
        <f>IF(NFI_Expiration=1,IF($A973&lt;VLOOKUP(L$5,NFI,5,0),1,0)*Table_NFI[[#This Row],[Tarpaulin]],Table_NFI[[#This Row],[Tarpaulin]])</f>
        <v>0</v>
      </c>
      <c r="AD973" s="352">
        <f>IF(NFI_Expiration=1,IF($A973&lt;VLOOKUP(M$5,NFI,5,0),1,0)*Table_NFI[[#This Row],[Blanket]],Table_NFI[[#This Row],[Blanket]])</f>
        <v>0</v>
      </c>
      <c r="AE973" s="352">
        <f>IF(NFI_Expiration=1,IF($A973&lt;VLOOKUP(N$5,NFI,5,0),1,0)*Table_NFI[[#This Row],[Kitchen Set]],Table_NFI[Kitchen Set])</f>
        <v>0</v>
      </c>
      <c r="AF973" s="352">
        <f>IF(NFI_Expiration=1,IF($A973&lt;VLOOKUP(O$5,NFI,5,0),1,0)*Table_NFI[[#This Row],[Clothes Kit]],Table_NFI[Clothes Kit])</f>
        <v>0</v>
      </c>
      <c r="AG973" s="352">
        <f>IF(NFI_Expiration=1,IF($A973&lt;VLOOKUP(P$5,NFI,5,0),1,0)*Table_NFI[[#This Row],[Plastic Bucket]],Table_NFI[Plastic Bucket])</f>
        <v>0</v>
      </c>
      <c r="AH973" s="352">
        <f>IF(NFI_Expiration=1,IF($A973&lt;VLOOKUP(Q$5,NFI,5,0),1,0)*Table_NFI[[#This Row],[Plastic Mat]],Table_NFI[Plastic Mat])*IF(Table_NFI[[#This Row],[Distribution Date]]&gt;"2014-04-01",1,2.5)</f>
        <v>0</v>
      </c>
      <c r="AI973" s="352">
        <f>IF(NFI_Expiration=1,IF($A973&lt;VLOOKUP(R$5,NFI,5,0),1,0)*Table_NFI[[#This Row],[Winter Clothes Adult]],Table_NFI[Winter Clothes Adult])</f>
        <v>0</v>
      </c>
      <c r="AJ973" s="352">
        <f>IF(NFI_Expiration=1,IF($A973&lt;VLOOKUP(S$5,NFI,5,0),1,0)*Table_NFI[[#This Row],[Winter Clothes Children]],Table_NFI[Winter Clothes Children])</f>
        <v>0</v>
      </c>
      <c r="AK973" s="352">
        <f>IF(NFI_Expiration=1,IF($A973&lt;VLOOKUP(T$5,NFI,5,0),1,0)*Table_NFI[[#This Row],[Winter Items Other]],Table_NFI[Winter Items Other])</f>
        <v>0</v>
      </c>
      <c r="AL973" s="352">
        <f>IF(NFI_Expiration=1,IF($A973&lt;VLOOKUP(M$5,NFI,5,0),1,0)*Table_NFI[[#This Row],[Winter Blanket]],Table_NFI[[#This Row],[Winter Blanket]])</f>
        <v>0</v>
      </c>
      <c r="AM973" s="352">
        <f>IF(Table_NFI[[#This Row],[Winter Clothes Adult]]+Table_NFI[[#This Row],[Winter Clothes Children]]+Table_NFI[[#This Row],[Winter Items Other]]+Table_NFI[[#This Row],[Winter Blanket]]&gt;0,1,0)</f>
        <v>0</v>
      </c>
      <c r="AN973" s="392">
        <f>IF(NFI_Expiration=1,IF($A973&lt;VLOOKUP(V$5,NFI,5,0),1,0)*Table_NFI[[#This Row],[Jerry Can]],Table_NFI[Jerry Can])</f>
        <v>0</v>
      </c>
      <c r="AO973" s="540" t="str">
        <f>IFERROR(VLOOKUP(Table_NFI[[#This Row],[Camp Name]],CL,2,0),"")</f>
        <v>MMR001CMP022</v>
      </c>
      <c r="AP973" s="535">
        <f ca="1">IF(Table_NFI[[#This Row],[Pcode]]="","",IF(OFFSET(CampList[Opening Date],MATCH(Table_NFI[[#This Row],[Pcode]],CampList[CP_Pcode],0)-1,0,1,1)&gt;=NFI_Monitor_Date,1,0))</f>
        <v>0</v>
      </c>
      <c r="AQ973" s="540" t="str">
        <f>IFERROR(VLOOKUP(Table_NFI[[#This Row],[Camp Name]],CL,3,0),"")</f>
        <v>Open</v>
      </c>
      <c r="AR973" s="352" t="str">
        <f ca="1">IF(Table_NFI[[#This Row],[Pcode]]="","",OFFSET(CampList[Priority],MATCH(Table_NFI[[#This Row],[Pcode]],CampList[CP_Pcode],0)-1,0,1,1))</f>
        <v>P4</v>
      </c>
      <c r="AS973" s="351">
        <f>IFERROR(Table_NFI[[#This Row],[Kitchen Set]]/VLOOKUP(Table_NFI[[#This Row],[Camp Name]],CL,4,0),"")</f>
        <v>0</v>
      </c>
      <c r="AT973" s="533" t="s">
        <v>1094</v>
      </c>
      <c r="AU973" s="536"/>
    </row>
    <row r="974" spans="1:47" ht="14.45" customHeight="1" x14ac:dyDescent="0.25">
      <c r="A974" s="355">
        <f t="shared" si="15"/>
        <v>53.533333333333331</v>
      </c>
      <c r="B974" s="532">
        <v>40965</v>
      </c>
      <c r="C974" s="533" t="s">
        <v>453</v>
      </c>
      <c r="D974" s="533" t="s">
        <v>453</v>
      </c>
      <c r="E974" s="533" t="s">
        <v>380</v>
      </c>
      <c r="F974" s="533" t="s">
        <v>237</v>
      </c>
      <c r="G974" s="348" t="s">
        <v>918</v>
      </c>
      <c r="H974" s="349"/>
      <c r="I974" s="349"/>
      <c r="J974" s="349"/>
      <c r="K974" s="349">
        <v>25</v>
      </c>
      <c r="L974" s="350">
        <v>18</v>
      </c>
      <c r="M974" s="350">
        <v>25</v>
      </c>
      <c r="N974" s="350">
        <v>18</v>
      </c>
      <c r="O974" s="350">
        <v>18</v>
      </c>
      <c r="P974" s="352">
        <v>18</v>
      </c>
      <c r="Q974" s="352">
        <v>18</v>
      </c>
      <c r="R974" s="352"/>
      <c r="S974" s="352"/>
      <c r="T974" s="352"/>
      <c r="U974" s="352"/>
      <c r="V974" s="497"/>
      <c r="W974" s="352"/>
      <c r="X974" s="352"/>
      <c r="Y974" s="352">
        <f>IF(NFI_Expiration=1,IF($A974&lt;VLOOKUP(H$5,NFI,5,0),1,0)*Table_NFI[[#This Row],[Hygiene Kit]],Table_NFI[Hygiene Kit])</f>
        <v>0</v>
      </c>
      <c r="Z974" s="352">
        <f>IF(NFI_Expiration=1,IF($A974&lt;VLOOKUP(I$5,NFI,5,0),1,0)*Table_NFI[[#This Row],[NFI Core Kit]],Table_NFI[NFI Core Kit])</f>
        <v>0</v>
      </c>
      <c r="AA974" s="352">
        <f>IF(NFI_Expiration=1,IF($A974&lt;VLOOKUP(J$5,NFI,5,0),1,0)*Table_NFI[[#This Row],[Sanitary Kit]],Table_NFI[Sanitary Kit])</f>
        <v>0</v>
      </c>
      <c r="AB974" s="352">
        <f>IF(NFI_Expiration=1,IF($A974&lt;VLOOKUP(K$5,NFI,5,0),1,0)*Table_NFI[[#This Row],[Mosquito net]],Table_NFI[Mosquito net])</f>
        <v>0</v>
      </c>
      <c r="AC974" s="352">
        <f>IF(NFI_Expiration=1,IF($A974&lt;VLOOKUP(L$5,NFI,5,0),1,0)*Table_NFI[[#This Row],[Tarpaulin]],Table_NFI[[#This Row],[Tarpaulin]])</f>
        <v>0</v>
      </c>
      <c r="AD974" s="352">
        <f>IF(NFI_Expiration=1,IF($A974&lt;VLOOKUP(M$5,NFI,5,0),1,0)*Table_NFI[[#This Row],[Blanket]],Table_NFI[[#This Row],[Blanket]])</f>
        <v>0</v>
      </c>
      <c r="AE974" s="352">
        <f>IF(NFI_Expiration=1,IF($A974&lt;VLOOKUP(N$5,NFI,5,0),1,0)*Table_NFI[[#This Row],[Kitchen Set]],Table_NFI[Kitchen Set])</f>
        <v>0</v>
      </c>
      <c r="AF974" s="352">
        <f>IF(NFI_Expiration=1,IF($A974&lt;VLOOKUP(O$5,NFI,5,0),1,0)*Table_NFI[[#This Row],[Clothes Kit]],Table_NFI[Clothes Kit])</f>
        <v>0</v>
      </c>
      <c r="AG974" s="352">
        <f>IF(NFI_Expiration=1,IF($A974&lt;VLOOKUP(P$5,NFI,5,0),1,0)*Table_NFI[[#This Row],[Plastic Bucket]],Table_NFI[Plastic Bucket])</f>
        <v>0</v>
      </c>
      <c r="AH974" s="352">
        <f>IF(NFI_Expiration=1,IF($A974&lt;VLOOKUP(Q$5,NFI,5,0),1,0)*Table_NFI[[#This Row],[Plastic Mat]],Table_NFI[Plastic Mat])*IF(Table_NFI[[#This Row],[Distribution Date]]&gt;"2014-04-01",1,2.5)</f>
        <v>0</v>
      </c>
      <c r="AI974" s="352">
        <f>IF(NFI_Expiration=1,IF($A974&lt;VLOOKUP(R$5,NFI,5,0),1,0)*Table_NFI[[#This Row],[Winter Clothes Adult]],Table_NFI[Winter Clothes Adult])</f>
        <v>0</v>
      </c>
      <c r="AJ974" s="352">
        <f>IF(NFI_Expiration=1,IF($A974&lt;VLOOKUP(S$5,NFI,5,0),1,0)*Table_NFI[[#This Row],[Winter Clothes Children]],Table_NFI[Winter Clothes Children])</f>
        <v>0</v>
      </c>
      <c r="AK974" s="352">
        <f>IF(NFI_Expiration=1,IF($A974&lt;VLOOKUP(T$5,NFI,5,0),1,0)*Table_NFI[[#This Row],[Winter Items Other]],Table_NFI[Winter Items Other])</f>
        <v>0</v>
      </c>
      <c r="AL974" s="352">
        <f>IF(NFI_Expiration=1,IF($A974&lt;VLOOKUP(M$5,NFI,5,0),1,0)*Table_NFI[[#This Row],[Winter Blanket]],Table_NFI[[#This Row],[Winter Blanket]])</f>
        <v>0</v>
      </c>
      <c r="AM974" s="352">
        <f>IF(Table_NFI[[#This Row],[Winter Clothes Adult]]+Table_NFI[[#This Row],[Winter Clothes Children]]+Table_NFI[[#This Row],[Winter Items Other]]+Table_NFI[[#This Row],[Winter Blanket]]&gt;0,1,0)</f>
        <v>0</v>
      </c>
      <c r="AN974" s="392">
        <f>IF(NFI_Expiration=1,IF($A974&lt;VLOOKUP(V$5,NFI,5,0),1,0)*Table_NFI[[#This Row],[Jerry Can]],Table_NFI[Jerry Can])</f>
        <v>0</v>
      </c>
      <c r="AO974" s="540" t="str">
        <f>IFERROR(VLOOKUP(Table_NFI[[#This Row],[Camp Name]],CL,2,0),"")</f>
        <v/>
      </c>
      <c r="AP974" s="535" t="str">
        <f ca="1">IF(Table_NFI[[#This Row],[Pcode]]="","",IF(OFFSET(CampList[Opening Date],MATCH(Table_NFI[[#This Row],[Pcode]],CampList[CP_Pcode],0)-1,0,1,1)&gt;=NFI_Monitor_Date,1,0))</f>
        <v/>
      </c>
      <c r="AQ974" s="540" t="str">
        <f>IFERROR(VLOOKUP(Table_NFI[[#This Row],[Camp Name]],CL,3,0),"")</f>
        <v/>
      </c>
      <c r="AR974" s="352" t="str">
        <f ca="1">IF(Table_NFI[[#This Row],[Pcode]]="","",OFFSET(CampList[Priority],MATCH(Table_NFI[[#This Row],[Pcode]],CampList[CP_Pcode],0)-1,0,1,1))</f>
        <v/>
      </c>
      <c r="AS974" s="351" t="str">
        <f>IFERROR(Table_NFI[[#This Row],[Kitchen Set]]/VLOOKUP(Table_NFI[[#This Row],[Camp Name]],CL,4,0),"")</f>
        <v/>
      </c>
      <c r="AT974" s="533" t="s">
        <v>1094</v>
      </c>
      <c r="AU974" s="536" t="s">
        <v>1164</v>
      </c>
    </row>
    <row r="975" spans="1:47" ht="14.45" hidden="1" customHeight="1" x14ac:dyDescent="0.25">
      <c r="A975" s="355">
        <f t="shared" si="15"/>
        <v>43.233333333333334</v>
      </c>
      <c r="B975" s="532">
        <v>41274</v>
      </c>
      <c r="C975" s="533" t="s">
        <v>454</v>
      </c>
      <c r="D975" s="534" t="s">
        <v>454</v>
      </c>
      <c r="E975" s="533" t="s">
        <v>380</v>
      </c>
      <c r="F975" s="348" t="s">
        <v>237</v>
      </c>
      <c r="G975" s="348" t="s">
        <v>1247</v>
      </c>
      <c r="H975" s="349">
        <v>34</v>
      </c>
      <c r="I975" s="349"/>
      <c r="J975" s="349"/>
      <c r="K975" s="349"/>
      <c r="L975" s="350"/>
      <c r="M975" s="350"/>
      <c r="N975" s="350"/>
      <c r="O975" s="350"/>
      <c r="P975" s="352">
        <v>0</v>
      </c>
      <c r="Q975" s="352">
        <v>0</v>
      </c>
      <c r="R975" s="352"/>
      <c r="S975" s="352"/>
      <c r="T975" s="352"/>
      <c r="U975" s="352"/>
      <c r="V975" s="497"/>
      <c r="W975" s="352"/>
      <c r="X975" s="352"/>
      <c r="Y975" s="352">
        <f>IF(NFI_Expiration=1,IF($A975&lt;VLOOKUP(H$5,NFI,5,0),1,0)*Table_NFI[[#This Row],[Hygiene Kit]],Table_NFI[Hygiene Kit])</f>
        <v>0</v>
      </c>
      <c r="Z975" s="352">
        <f>IF(NFI_Expiration=1,IF($A975&lt;VLOOKUP(I$5,NFI,5,0),1,0)*Table_NFI[[#This Row],[NFI Core Kit]],Table_NFI[NFI Core Kit])</f>
        <v>0</v>
      </c>
      <c r="AA975" s="352">
        <f>IF(NFI_Expiration=1,IF($A975&lt;VLOOKUP(J$5,NFI,5,0),1,0)*Table_NFI[[#This Row],[Sanitary Kit]],Table_NFI[Sanitary Kit])</f>
        <v>0</v>
      </c>
      <c r="AB975" s="352">
        <f>IF(NFI_Expiration=1,IF($A975&lt;VLOOKUP(K$5,NFI,5,0),1,0)*Table_NFI[[#This Row],[Mosquito net]],Table_NFI[Mosquito net])</f>
        <v>0</v>
      </c>
      <c r="AC975" s="352">
        <f>IF(NFI_Expiration=1,IF($A975&lt;VLOOKUP(L$5,NFI,5,0),1,0)*Table_NFI[[#This Row],[Tarpaulin]],Table_NFI[[#This Row],[Tarpaulin]])</f>
        <v>0</v>
      </c>
      <c r="AD975" s="352">
        <f>IF(NFI_Expiration=1,IF($A975&lt;VLOOKUP(M$5,NFI,5,0),1,0)*Table_NFI[[#This Row],[Blanket]],Table_NFI[[#This Row],[Blanket]])</f>
        <v>0</v>
      </c>
      <c r="AE975" s="352">
        <f>IF(NFI_Expiration=1,IF($A975&lt;VLOOKUP(N$5,NFI,5,0),1,0)*Table_NFI[[#This Row],[Kitchen Set]],Table_NFI[Kitchen Set])</f>
        <v>0</v>
      </c>
      <c r="AF975" s="352">
        <f>IF(NFI_Expiration=1,IF($A975&lt;VLOOKUP(O$5,NFI,5,0),1,0)*Table_NFI[[#This Row],[Clothes Kit]],Table_NFI[Clothes Kit])</f>
        <v>0</v>
      </c>
      <c r="AG975" s="352">
        <f>IF(NFI_Expiration=1,IF($A975&lt;VLOOKUP(P$5,NFI,5,0),1,0)*Table_NFI[[#This Row],[Plastic Bucket]],Table_NFI[Plastic Bucket])</f>
        <v>0</v>
      </c>
      <c r="AH975" s="352">
        <f>IF(NFI_Expiration=1,IF($A975&lt;VLOOKUP(Q$5,NFI,5,0),1,0)*Table_NFI[[#This Row],[Plastic Mat]],Table_NFI[Plastic Mat])*IF(Table_NFI[[#This Row],[Distribution Date]]&gt;"2014-04-01",1,2.5)</f>
        <v>0</v>
      </c>
      <c r="AI975" s="352">
        <f>IF(NFI_Expiration=1,IF($A975&lt;VLOOKUP(R$5,NFI,5,0),1,0)*Table_NFI[[#This Row],[Winter Clothes Adult]],Table_NFI[Winter Clothes Adult])</f>
        <v>0</v>
      </c>
      <c r="AJ975" s="352">
        <f>IF(NFI_Expiration=1,IF($A975&lt;VLOOKUP(S$5,NFI,5,0),1,0)*Table_NFI[[#This Row],[Winter Clothes Children]],Table_NFI[Winter Clothes Children])</f>
        <v>0</v>
      </c>
      <c r="AK975" s="352">
        <f>IF(NFI_Expiration=1,IF($A975&lt;VLOOKUP(T$5,NFI,5,0),1,0)*Table_NFI[[#This Row],[Winter Items Other]],Table_NFI[Winter Items Other])</f>
        <v>0</v>
      </c>
      <c r="AL975" s="352">
        <f>IF(NFI_Expiration=1,IF($A975&lt;VLOOKUP(M$5,NFI,5,0),1,0)*Table_NFI[[#This Row],[Winter Blanket]],Table_NFI[[#This Row],[Winter Blanket]])</f>
        <v>0</v>
      </c>
      <c r="AM975" s="352">
        <f>IF(Table_NFI[[#This Row],[Winter Clothes Adult]]+Table_NFI[[#This Row],[Winter Clothes Children]]+Table_NFI[[#This Row],[Winter Items Other]]+Table_NFI[[#This Row],[Winter Blanket]]&gt;0,1,0)</f>
        <v>0</v>
      </c>
      <c r="AN975" s="392">
        <f>IF(NFI_Expiration=1,IF($A975&lt;VLOOKUP(V$5,NFI,5,0),1,0)*Table_NFI[[#This Row],[Jerry Can]],Table_NFI[Jerry Can])</f>
        <v>0</v>
      </c>
      <c r="AO975" s="540" t="str">
        <f>IFERROR(VLOOKUP(Table_NFI[[#This Row],[Camp Name]],CL,2,0),"")</f>
        <v>MMR001CMP023</v>
      </c>
      <c r="AP975" s="535">
        <f ca="1">IF(Table_NFI[[#This Row],[Pcode]]="","",IF(OFFSET(CampList[Opening Date],MATCH(Table_NFI[[#This Row],[Pcode]],CampList[CP_Pcode],0)-1,0,1,1)&gt;=NFI_Monitor_Date,1,0))</f>
        <v>0</v>
      </c>
      <c r="AQ975" s="540" t="str">
        <f>IFERROR(VLOOKUP(Table_NFI[[#This Row],[Camp Name]],CL,3,0),"")</f>
        <v>Open</v>
      </c>
      <c r="AR975" s="352" t="str">
        <f ca="1">IF(Table_NFI[[#This Row],[Pcode]]="","",OFFSET(CampList[Priority],MATCH(Table_NFI[[#This Row],[Pcode]],CampList[CP_Pcode],0)-1,0,1,1))</f>
        <v>P4</v>
      </c>
      <c r="AS975" s="351">
        <f>IFERROR(Table_NFI[[#This Row],[Kitchen Set]]/VLOOKUP(Table_NFI[[#This Row],[Camp Name]],CL,4,0),"")</f>
        <v>0</v>
      </c>
      <c r="AT975" s="533" t="s">
        <v>1094</v>
      </c>
      <c r="AU975" s="536"/>
    </row>
    <row r="976" spans="1:47" ht="14.45" customHeight="1" x14ac:dyDescent="0.25">
      <c r="A976" s="355">
        <f t="shared" si="15"/>
        <v>53.533333333333331</v>
      </c>
      <c r="B976" s="532">
        <v>40965</v>
      </c>
      <c r="C976" s="533" t="s">
        <v>453</v>
      </c>
      <c r="D976" s="533" t="s">
        <v>904</v>
      </c>
      <c r="E976" s="533" t="s">
        <v>380</v>
      </c>
      <c r="F976" s="348" t="s">
        <v>237</v>
      </c>
      <c r="G976" s="348" t="s">
        <v>919</v>
      </c>
      <c r="H976" s="349"/>
      <c r="I976" s="349"/>
      <c r="J976" s="349"/>
      <c r="K976" s="349">
        <v>25</v>
      </c>
      <c r="L976" s="350">
        <v>0</v>
      </c>
      <c r="M976" s="350">
        <v>25</v>
      </c>
      <c r="N976" s="350">
        <v>0</v>
      </c>
      <c r="O976" s="350">
        <v>10</v>
      </c>
      <c r="P976" s="352">
        <v>10</v>
      </c>
      <c r="Q976" s="352">
        <v>10</v>
      </c>
      <c r="R976" s="352"/>
      <c r="S976" s="352"/>
      <c r="T976" s="352"/>
      <c r="U976" s="352"/>
      <c r="V976" s="497"/>
      <c r="W976" s="352"/>
      <c r="X976" s="352"/>
      <c r="Y976" s="352">
        <f>IF(NFI_Expiration=1,IF($A976&lt;VLOOKUP(H$5,NFI,5,0),1,0)*Table_NFI[[#This Row],[Hygiene Kit]],Table_NFI[Hygiene Kit])</f>
        <v>0</v>
      </c>
      <c r="Z976" s="352">
        <f>IF(NFI_Expiration=1,IF($A976&lt;VLOOKUP(I$5,NFI,5,0),1,0)*Table_NFI[[#This Row],[NFI Core Kit]],Table_NFI[NFI Core Kit])</f>
        <v>0</v>
      </c>
      <c r="AA976" s="352">
        <f>IF(NFI_Expiration=1,IF($A976&lt;VLOOKUP(J$5,NFI,5,0),1,0)*Table_NFI[[#This Row],[Sanitary Kit]],Table_NFI[Sanitary Kit])</f>
        <v>0</v>
      </c>
      <c r="AB976" s="352">
        <f>IF(NFI_Expiration=1,IF($A976&lt;VLOOKUP(K$5,NFI,5,0),1,0)*Table_NFI[[#This Row],[Mosquito net]],Table_NFI[Mosquito net])</f>
        <v>0</v>
      </c>
      <c r="AC976" s="352">
        <f>IF(NFI_Expiration=1,IF($A976&lt;VLOOKUP(L$5,NFI,5,0),1,0)*Table_NFI[[#This Row],[Tarpaulin]],Table_NFI[[#This Row],[Tarpaulin]])</f>
        <v>0</v>
      </c>
      <c r="AD976" s="352">
        <f>IF(NFI_Expiration=1,IF($A976&lt;VLOOKUP(M$5,NFI,5,0),1,0)*Table_NFI[[#This Row],[Blanket]],Table_NFI[[#This Row],[Blanket]])</f>
        <v>0</v>
      </c>
      <c r="AE976" s="352">
        <f>IF(NFI_Expiration=1,IF($A976&lt;VLOOKUP(N$5,NFI,5,0),1,0)*Table_NFI[[#This Row],[Kitchen Set]],Table_NFI[Kitchen Set])</f>
        <v>0</v>
      </c>
      <c r="AF976" s="352">
        <f>IF(NFI_Expiration=1,IF($A976&lt;VLOOKUP(O$5,NFI,5,0),1,0)*Table_NFI[[#This Row],[Clothes Kit]],Table_NFI[Clothes Kit])</f>
        <v>0</v>
      </c>
      <c r="AG976" s="352">
        <f>IF(NFI_Expiration=1,IF($A976&lt;VLOOKUP(P$5,NFI,5,0),1,0)*Table_NFI[[#This Row],[Plastic Bucket]],Table_NFI[Plastic Bucket])</f>
        <v>0</v>
      </c>
      <c r="AH976" s="352">
        <f>IF(NFI_Expiration=1,IF($A976&lt;VLOOKUP(Q$5,NFI,5,0),1,0)*Table_NFI[[#This Row],[Plastic Mat]],Table_NFI[Plastic Mat])*IF(Table_NFI[[#This Row],[Distribution Date]]&gt;"2014-04-01",1,2.5)</f>
        <v>0</v>
      </c>
      <c r="AI976" s="352">
        <f>IF(NFI_Expiration=1,IF($A976&lt;VLOOKUP(R$5,NFI,5,0),1,0)*Table_NFI[[#This Row],[Winter Clothes Adult]],Table_NFI[Winter Clothes Adult])</f>
        <v>0</v>
      </c>
      <c r="AJ976" s="352">
        <f>IF(NFI_Expiration=1,IF($A976&lt;VLOOKUP(S$5,NFI,5,0),1,0)*Table_NFI[[#This Row],[Winter Clothes Children]],Table_NFI[Winter Clothes Children])</f>
        <v>0</v>
      </c>
      <c r="AK976" s="352">
        <f>IF(NFI_Expiration=1,IF($A976&lt;VLOOKUP(T$5,NFI,5,0),1,0)*Table_NFI[[#This Row],[Winter Items Other]],Table_NFI[Winter Items Other])</f>
        <v>0</v>
      </c>
      <c r="AL976" s="352">
        <f>IF(NFI_Expiration=1,IF($A976&lt;VLOOKUP(M$5,NFI,5,0),1,0)*Table_NFI[[#This Row],[Winter Blanket]],Table_NFI[[#This Row],[Winter Blanket]])</f>
        <v>0</v>
      </c>
      <c r="AM976" s="352">
        <f>IF(Table_NFI[[#This Row],[Winter Clothes Adult]]+Table_NFI[[#This Row],[Winter Clothes Children]]+Table_NFI[[#This Row],[Winter Items Other]]+Table_NFI[[#This Row],[Winter Blanket]]&gt;0,1,0)</f>
        <v>0</v>
      </c>
      <c r="AN976" s="392">
        <f>IF(NFI_Expiration=1,IF($A976&lt;VLOOKUP(V$5,NFI,5,0),1,0)*Table_NFI[[#This Row],[Jerry Can]],Table_NFI[Jerry Can])</f>
        <v>0</v>
      </c>
      <c r="AO976" s="540" t="str">
        <f>IFERROR(VLOOKUP(Table_NFI[[#This Row],[Camp Name]],CL,2,0),"")</f>
        <v/>
      </c>
      <c r="AP976" s="535" t="str">
        <f ca="1">IF(Table_NFI[[#This Row],[Pcode]]="","",IF(OFFSET(CampList[Opening Date],MATCH(Table_NFI[[#This Row],[Pcode]],CampList[CP_Pcode],0)-1,0,1,1)&gt;=NFI_Monitor_Date,1,0))</f>
        <v/>
      </c>
      <c r="AQ976" s="540" t="str">
        <f>IFERROR(VLOOKUP(Table_NFI[[#This Row],[Camp Name]],CL,3,0),"")</f>
        <v/>
      </c>
      <c r="AR976" s="352" t="str">
        <f ca="1">IF(Table_NFI[[#This Row],[Pcode]]="","",OFFSET(CampList[Priority],MATCH(Table_NFI[[#This Row],[Pcode]],CampList[CP_Pcode],0)-1,0,1,1))</f>
        <v/>
      </c>
      <c r="AS976" s="351" t="str">
        <f>IFERROR(Table_NFI[[#This Row],[Kitchen Set]]/VLOOKUP(Table_NFI[[#This Row],[Camp Name]],CL,4,0),"")</f>
        <v/>
      </c>
      <c r="AT976" s="533" t="s">
        <v>1094</v>
      </c>
      <c r="AU976" s="536"/>
    </row>
    <row r="977" spans="1:47" ht="14.45" customHeight="1" x14ac:dyDescent="0.25">
      <c r="A977" s="355">
        <f t="shared" si="15"/>
        <v>53.666666666666664</v>
      </c>
      <c r="B977" s="532">
        <v>40961</v>
      </c>
      <c r="C977" s="533" t="s">
        <v>453</v>
      </c>
      <c r="D977" s="533" t="s">
        <v>506</v>
      </c>
      <c r="E977" s="533" t="s">
        <v>380</v>
      </c>
      <c r="F977" s="533" t="s">
        <v>185</v>
      </c>
      <c r="G977" s="533" t="s">
        <v>217</v>
      </c>
      <c r="H977" s="352">
        <v>149</v>
      </c>
      <c r="I977" s="352"/>
      <c r="J977" s="352"/>
      <c r="K977" s="352"/>
      <c r="L977" s="350"/>
      <c r="M977" s="350"/>
      <c r="N977" s="350"/>
      <c r="O977" s="350"/>
      <c r="P977" s="352"/>
      <c r="Q977" s="352"/>
      <c r="R977" s="352"/>
      <c r="S977" s="352"/>
      <c r="T977" s="352"/>
      <c r="U977" s="352"/>
      <c r="V977" s="497"/>
      <c r="W977" s="352"/>
      <c r="X977" s="352"/>
      <c r="Y977" s="352">
        <f>IF(NFI_Expiration=1,IF($A977&lt;VLOOKUP(H$5,NFI,5,0),1,0)*Table_NFI[[#This Row],[Hygiene Kit]],Table_NFI[Hygiene Kit])</f>
        <v>0</v>
      </c>
      <c r="Z977" s="352">
        <f>IF(NFI_Expiration=1,IF($A977&lt;VLOOKUP(I$5,NFI,5,0),1,0)*Table_NFI[[#This Row],[NFI Core Kit]],Table_NFI[NFI Core Kit])</f>
        <v>0</v>
      </c>
      <c r="AA977" s="352">
        <f>IF(NFI_Expiration=1,IF($A977&lt;VLOOKUP(J$5,NFI,5,0),1,0)*Table_NFI[[#This Row],[Sanitary Kit]],Table_NFI[Sanitary Kit])</f>
        <v>0</v>
      </c>
      <c r="AB977" s="352">
        <f>IF(NFI_Expiration=1,IF($A977&lt;VLOOKUP(K$5,NFI,5,0),1,0)*Table_NFI[[#This Row],[Mosquito net]],Table_NFI[Mosquito net])</f>
        <v>0</v>
      </c>
      <c r="AC977" s="352">
        <f>IF(NFI_Expiration=1,IF($A977&lt;VLOOKUP(L$5,NFI,5,0),1,0)*Table_NFI[[#This Row],[Tarpaulin]],Table_NFI[[#This Row],[Tarpaulin]])</f>
        <v>0</v>
      </c>
      <c r="AD977" s="352">
        <f>IF(NFI_Expiration=1,IF($A977&lt;VLOOKUP(M$5,NFI,5,0),1,0)*Table_NFI[[#This Row],[Blanket]],Table_NFI[[#This Row],[Blanket]])</f>
        <v>0</v>
      </c>
      <c r="AE977" s="352">
        <f>IF(NFI_Expiration=1,IF($A977&lt;VLOOKUP(N$5,NFI,5,0),1,0)*Table_NFI[[#This Row],[Kitchen Set]],Table_NFI[Kitchen Set])</f>
        <v>0</v>
      </c>
      <c r="AF977" s="352">
        <f>IF(NFI_Expiration=1,IF($A977&lt;VLOOKUP(O$5,NFI,5,0),1,0)*Table_NFI[[#This Row],[Clothes Kit]],Table_NFI[Clothes Kit])</f>
        <v>0</v>
      </c>
      <c r="AG977" s="352">
        <f>IF(NFI_Expiration=1,IF($A977&lt;VLOOKUP(P$5,NFI,5,0),1,0)*Table_NFI[[#This Row],[Plastic Bucket]],Table_NFI[Plastic Bucket])</f>
        <v>0</v>
      </c>
      <c r="AH977" s="352">
        <f>IF(NFI_Expiration=1,IF($A977&lt;VLOOKUP(Q$5,NFI,5,0),1,0)*Table_NFI[[#This Row],[Plastic Mat]],Table_NFI[Plastic Mat])*IF(Table_NFI[[#This Row],[Distribution Date]]&gt;"2014-04-01",1,2.5)</f>
        <v>0</v>
      </c>
      <c r="AI977" s="352">
        <f>IF(NFI_Expiration=1,IF($A977&lt;VLOOKUP(R$5,NFI,5,0),1,0)*Table_NFI[[#This Row],[Winter Clothes Adult]],Table_NFI[Winter Clothes Adult])</f>
        <v>0</v>
      </c>
      <c r="AJ977" s="352">
        <f>IF(NFI_Expiration=1,IF($A977&lt;VLOOKUP(S$5,NFI,5,0),1,0)*Table_NFI[[#This Row],[Winter Clothes Children]],Table_NFI[Winter Clothes Children])</f>
        <v>0</v>
      </c>
      <c r="AK977" s="352">
        <f>IF(NFI_Expiration=1,IF($A977&lt;VLOOKUP(T$5,NFI,5,0),1,0)*Table_NFI[[#This Row],[Winter Items Other]],Table_NFI[Winter Items Other])</f>
        <v>0</v>
      </c>
      <c r="AL977" s="352">
        <f>IF(NFI_Expiration=1,IF($A977&lt;VLOOKUP(M$5,NFI,5,0),1,0)*Table_NFI[[#This Row],[Winter Blanket]],Table_NFI[[#This Row],[Winter Blanket]])</f>
        <v>0</v>
      </c>
      <c r="AM977" s="352">
        <f>IF(Table_NFI[[#This Row],[Winter Clothes Adult]]+Table_NFI[[#This Row],[Winter Clothes Children]]+Table_NFI[[#This Row],[Winter Items Other]]+Table_NFI[[#This Row],[Winter Blanket]]&gt;0,1,0)</f>
        <v>0</v>
      </c>
      <c r="AN977" s="392">
        <f>IF(NFI_Expiration=1,IF($A977&lt;VLOOKUP(V$5,NFI,5,0),1,0)*Table_NFI[[#This Row],[Jerry Can]],Table_NFI[Jerry Can])</f>
        <v>0</v>
      </c>
      <c r="AO977" s="540" t="str">
        <f>IFERROR(VLOOKUP(Table_NFI[[#This Row],[Camp Name]],CL,2,0),"")</f>
        <v>MMR001CMP059</v>
      </c>
      <c r="AP977" s="535">
        <f ca="1">IF(Table_NFI[[#This Row],[Pcode]]="","",IF(OFFSET(CampList[Opening Date],MATCH(Table_NFI[[#This Row],[Pcode]],CampList[CP_Pcode],0)-1,0,1,1)&gt;=NFI_Monitor_Date,1,0))</f>
        <v>0</v>
      </c>
      <c r="AQ977" s="540" t="str">
        <f>IFERROR(VLOOKUP(Table_NFI[[#This Row],[Camp Name]],CL,3,0),"")</f>
        <v>Closed</v>
      </c>
      <c r="AR977" s="352" t="str">
        <f ca="1">IF(Table_NFI[[#This Row],[Pcode]]="","",OFFSET(CampList[Priority],MATCH(Table_NFI[[#This Row],[Pcode]],CampList[CP_Pcode],0)-1,0,1,1))</f>
        <v>P4</v>
      </c>
      <c r="AS977" s="351" t="str">
        <f>IFERROR(Table_NFI[[#This Row],[Kitchen Set]]/VLOOKUP(Table_NFI[[#This Row],[Camp Name]],CL,4,0),"")</f>
        <v/>
      </c>
      <c r="AT977" s="533"/>
      <c r="AU977" s="536"/>
    </row>
    <row r="978" spans="1:47" ht="14.45" customHeight="1" x14ac:dyDescent="0.25">
      <c r="A978" s="355">
        <f t="shared" si="15"/>
        <v>54.166666666666664</v>
      </c>
      <c r="B978" s="532">
        <v>40946</v>
      </c>
      <c r="C978" s="533" t="s">
        <v>453</v>
      </c>
      <c r="D978" s="534" t="s">
        <v>904</v>
      </c>
      <c r="E978" s="533" t="s">
        <v>380</v>
      </c>
      <c r="F978" s="348" t="s">
        <v>237</v>
      </c>
      <c r="G978" s="348" t="s">
        <v>263</v>
      </c>
      <c r="H978" s="349"/>
      <c r="I978" s="349"/>
      <c r="J978" s="349"/>
      <c r="K978" s="349">
        <v>38</v>
      </c>
      <c r="L978" s="350">
        <v>18</v>
      </c>
      <c r="M978" s="350">
        <v>38</v>
      </c>
      <c r="N978" s="350">
        <v>18</v>
      </c>
      <c r="O978" s="350">
        <v>18</v>
      </c>
      <c r="P978" s="352">
        <v>18</v>
      </c>
      <c r="Q978" s="352">
        <v>18</v>
      </c>
      <c r="R978" s="352"/>
      <c r="S978" s="352"/>
      <c r="T978" s="352"/>
      <c r="U978" s="352"/>
      <c r="V978" s="497"/>
      <c r="W978" s="352"/>
      <c r="X978" s="352"/>
      <c r="Y978" s="352">
        <f>IF(NFI_Expiration=1,IF($A978&lt;VLOOKUP(H$5,NFI,5,0),1,0)*Table_NFI[[#This Row],[Hygiene Kit]],Table_NFI[Hygiene Kit])</f>
        <v>0</v>
      </c>
      <c r="Z978" s="352">
        <f>IF(NFI_Expiration=1,IF($A978&lt;VLOOKUP(I$5,NFI,5,0),1,0)*Table_NFI[[#This Row],[NFI Core Kit]],Table_NFI[NFI Core Kit])</f>
        <v>0</v>
      </c>
      <c r="AA978" s="352">
        <f>IF(NFI_Expiration=1,IF($A978&lt;VLOOKUP(J$5,NFI,5,0),1,0)*Table_NFI[[#This Row],[Sanitary Kit]],Table_NFI[Sanitary Kit])</f>
        <v>0</v>
      </c>
      <c r="AB978" s="352">
        <f>IF(NFI_Expiration=1,IF($A978&lt;VLOOKUP(K$5,NFI,5,0),1,0)*Table_NFI[[#This Row],[Mosquito net]],Table_NFI[Mosquito net])</f>
        <v>0</v>
      </c>
      <c r="AC978" s="352">
        <f>IF(NFI_Expiration=1,IF($A978&lt;VLOOKUP(L$5,NFI,5,0),1,0)*Table_NFI[[#This Row],[Tarpaulin]],Table_NFI[[#This Row],[Tarpaulin]])</f>
        <v>0</v>
      </c>
      <c r="AD978" s="352">
        <f>IF(NFI_Expiration=1,IF($A978&lt;VLOOKUP(M$5,NFI,5,0),1,0)*Table_NFI[[#This Row],[Blanket]],Table_NFI[[#This Row],[Blanket]])</f>
        <v>0</v>
      </c>
      <c r="AE978" s="352">
        <f>IF(NFI_Expiration=1,IF($A978&lt;VLOOKUP(N$5,NFI,5,0),1,0)*Table_NFI[[#This Row],[Kitchen Set]],Table_NFI[Kitchen Set])</f>
        <v>0</v>
      </c>
      <c r="AF978" s="352">
        <f>IF(NFI_Expiration=1,IF($A978&lt;VLOOKUP(O$5,NFI,5,0),1,0)*Table_NFI[[#This Row],[Clothes Kit]],Table_NFI[Clothes Kit])</f>
        <v>0</v>
      </c>
      <c r="AG978" s="352">
        <f>IF(NFI_Expiration=1,IF($A978&lt;VLOOKUP(P$5,NFI,5,0),1,0)*Table_NFI[[#This Row],[Plastic Bucket]],Table_NFI[Plastic Bucket])</f>
        <v>0</v>
      </c>
      <c r="AH978" s="352">
        <f>IF(NFI_Expiration=1,IF($A978&lt;VLOOKUP(Q$5,NFI,5,0),1,0)*Table_NFI[[#This Row],[Plastic Mat]],Table_NFI[Plastic Mat])*IF(Table_NFI[[#This Row],[Distribution Date]]&gt;"2014-04-01",1,2.5)</f>
        <v>0</v>
      </c>
      <c r="AI978" s="352">
        <f>IF(NFI_Expiration=1,IF($A978&lt;VLOOKUP(R$5,NFI,5,0),1,0)*Table_NFI[[#This Row],[Winter Clothes Adult]],Table_NFI[Winter Clothes Adult])</f>
        <v>0</v>
      </c>
      <c r="AJ978" s="352">
        <f>IF(NFI_Expiration=1,IF($A978&lt;VLOOKUP(S$5,NFI,5,0),1,0)*Table_NFI[[#This Row],[Winter Clothes Children]],Table_NFI[Winter Clothes Children])</f>
        <v>0</v>
      </c>
      <c r="AK978" s="352">
        <f>IF(NFI_Expiration=1,IF($A978&lt;VLOOKUP(T$5,NFI,5,0),1,0)*Table_NFI[[#This Row],[Winter Items Other]],Table_NFI[Winter Items Other])</f>
        <v>0</v>
      </c>
      <c r="AL978" s="352">
        <f>IF(NFI_Expiration=1,IF($A978&lt;VLOOKUP(M$5,NFI,5,0),1,0)*Table_NFI[[#This Row],[Winter Blanket]],Table_NFI[[#This Row],[Winter Blanket]])</f>
        <v>0</v>
      </c>
      <c r="AM978" s="352">
        <f>IF(Table_NFI[[#This Row],[Winter Clothes Adult]]+Table_NFI[[#This Row],[Winter Clothes Children]]+Table_NFI[[#This Row],[Winter Items Other]]+Table_NFI[[#This Row],[Winter Blanket]]&gt;0,1,0)</f>
        <v>0</v>
      </c>
      <c r="AN978" s="392">
        <f>IF(NFI_Expiration=1,IF($A978&lt;VLOOKUP(V$5,NFI,5,0),1,0)*Table_NFI[[#This Row],[Jerry Can]],Table_NFI[Jerry Can])</f>
        <v>0</v>
      </c>
      <c r="AO978" s="540" t="str">
        <f>IFERROR(VLOOKUP(Table_NFI[[#This Row],[Camp Name]],CL,2,0),"")</f>
        <v>MMR001CMP020</v>
      </c>
      <c r="AP978" s="535">
        <f ca="1">IF(Table_NFI[[#This Row],[Pcode]]="","",IF(OFFSET(CampList[Opening Date],MATCH(Table_NFI[[#This Row],[Pcode]],CampList[CP_Pcode],0)-1,0,1,1)&gt;=NFI_Monitor_Date,1,0))</f>
        <v>0</v>
      </c>
      <c r="AQ978" s="540" t="str">
        <f>IFERROR(VLOOKUP(Table_NFI[[#This Row],[Camp Name]],CL,3,0),"")</f>
        <v>Open</v>
      </c>
      <c r="AR978" s="352" t="str">
        <f ca="1">IF(Table_NFI[[#This Row],[Pcode]]="","",OFFSET(CampList[Priority],MATCH(Table_NFI[[#This Row],[Pcode]],CampList[CP_Pcode],0)-1,0,1,1))</f>
        <v>P4</v>
      </c>
      <c r="AS978" s="351">
        <f>IFERROR(Table_NFI[[#This Row],[Kitchen Set]]/VLOOKUP(Table_NFI[[#This Row],[Camp Name]],CL,4,0),"")</f>
        <v>0.8571428571428571</v>
      </c>
      <c r="AT978" s="533" t="s">
        <v>1094</v>
      </c>
      <c r="AU978" s="536"/>
    </row>
    <row r="979" spans="1:47" ht="14.45" customHeight="1" x14ac:dyDescent="0.25">
      <c r="A979" s="355">
        <f t="shared" si="15"/>
        <v>54.2</v>
      </c>
      <c r="B979" s="532">
        <v>40945</v>
      </c>
      <c r="C979" s="533" t="s">
        <v>453</v>
      </c>
      <c r="D979" s="534" t="s">
        <v>453</v>
      </c>
      <c r="E979" s="533" t="s">
        <v>380</v>
      </c>
      <c r="F979" s="348" t="s">
        <v>310</v>
      </c>
      <c r="G979" s="348" t="s">
        <v>351</v>
      </c>
      <c r="H979" s="349"/>
      <c r="I979" s="349"/>
      <c r="J979" s="349"/>
      <c r="K979" s="349">
        <v>0</v>
      </c>
      <c r="L979" s="350">
        <v>0</v>
      </c>
      <c r="M979" s="350">
        <v>0</v>
      </c>
      <c r="N979" s="350">
        <v>0</v>
      </c>
      <c r="O979" s="350">
        <v>13</v>
      </c>
      <c r="P979" s="352">
        <v>13</v>
      </c>
      <c r="Q979" s="352">
        <v>13</v>
      </c>
      <c r="R979" s="352"/>
      <c r="S979" s="352"/>
      <c r="T979" s="352"/>
      <c r="U979" s="352"/>
      <c r="V979" s="497"/>
      <c r="W979" s="352"/>
      <c r="X979" s="352"/>
      <c r="Y979" s="352">
        <f>IF(NFI_Expiration=1,IF($A979&lt;VLOOKUP(H$5,NFI,5,0),1,0)*Table_NFI[[#This Row],[Hygiene Kit]],Table_NFI[Hygiene Kit])</f>
        <v>0</v>
      </c>
      <c r="Z979" s="352">
        <f>IF(NFI_Expiration=1,IF($A979&lt;VLOOKUP(I$5,NFI,5,0),1,0)*Table_NFI[[#This Row],[NFI Core Kit]],Table_NFI[NFI Core Kit])</f>
        <v>0</v>
      </c>
      <c r="AA979" s="352">
        <f>IF(NFI_Expiration=1,IF($A979&lt;VLOOKUP(J$5,NFI,5,0),1,0)*Table_NFI[[#This Row],[Sanitary Kit]],Table_NFI[Sanitary Kit])</f>
        <v>0</v>
      </c>
      <c r="AB979" s="352">
        <f>IF(NFI_Expiration=1,IF($A979&lt;VLOOKUP(K$5,NFI,5,0),1,0)*Table_NFI[[#This Row],[Mosquito net]],Table_NFI[Mosquito net])</f>
        <v>0</v>
      </c>
      <c r="AC979" s="352">
        <f>IF(NFI_Expiration=1,IF($A979&lt;VLOOKUP(L$5,NFI,5,0),1,0)*Table_NFI[[#This Row],[Tarpaulin]],Table_NFI[[#This Row],[Tarpaulin]])</f>
        <v>0</v>
      </c>
      <c r="AD979" s="352">
        <f>IF(NFI_Expiration=1,IF($A979&lt;VLOOKUP(M$5,NFI,5,0),1,0)*Table_NFI[[#This Row],[Blanket]],Table_NFI[[#This Row],[Blanket]])</f>
        <v>0</v>
      </c>
      <c r="AE979" s="352">
        <f>IF(NFI_Expiration=1,IF($A979&lt;VLOOKUP(N$5,NFI,5,0),1,0)*Table_NFI[[#This Row],[Kitchen Set]],Table_NFI[Kitchen Set])</f>
        <v>0</v>
      </c>
      <c r="AF979" s="352">
        <f>IF(NFI_Expiration=1,IF($A979&lt;VLOOKUP(O$5,NFI,5,0),1,0)*Table_NFI[[#This Row],[Clothes Kit]],Table_NFI[Clothes Kit])</f>
        <v>0</v>
      </c>
      <c r="AG979" s="352">
        <f>IF(NFI_Expiration=1,IF($A979&lt;VLOOKUP(P$5,NFI,5,0),1,0)*Table_NFI[[#This Row],[Plastic Bucket]],Table_NFI[Plastic Bucket])</f>
        <v>0</v>
      </c>
      <c r="AH979" s="352">
        <f>IF(NFI_Expiration=1,IF($A979&lt;VLOOKUP(Q$5,NFI,5,0),1,0)*Table_NFI[[#This Row],[Plastic Mat]],Table_NFI[Plastic Mat])*IF(Table_NFI[[#This Row],[Distribution Date]]&gt;"2014-04-01",1,2.5)</f>
        <v>0</v>
      </c>
      <c r="AI979" s="352">
        <f>IF(NFI_Expiration=1,IF($A979&lt;VLOOKUP(R$5,NFI,5,0),1,0)*Table_NFI[[#This Row],[Winter Clothes Adult]],Table_NFI[Winter Clothes Adult])</f>
        <v>0</v>
      </c>
      <c r="AJ979" s="352">
        <f>IF(NFI_Expiration=1,IF($A979&lt;VLOOKUP(S$5,NFI,5,0),1,0)*Table_NFI[[#This Row],[Winter Clothes Children]],Table_NFI[Winter Clothes Children])</f>
        <v>0</v>
      </c>
      <c r="AK979" s="352">
        <f>IF(NFI_Expiration=1,IF($A979&lt;VLOOKUP(T$5,NFI,5,0),1,0)*Table_NFI[[#This Row],[Winter Items Other]],Table_NFI[Winter Items Other])</f>
        <v>0</v>
      </c>
      <c r="AL979" s="352">
        <f>IF(NFI_Expiration=1,IF($A979&lt;VLOOKUP(M$5,NFI,5,0),1,0)*Table_NFI[[#This Row],[Winter Blanket]],Table_NFI[[#This Row],[Winter Blanket]])</f>
        <v>0</v>
      </c>
      <c r="AM979" s="352">
        <f>IF(Table_NFI[[#This Row],[Winter Clothes Adult]]+Table_NFI[[#This Row],[Winter Clothes Children]]+Table_NFI[[#This Row],[Winter Items Other]]+Table_NFI[[#This Row],[Winter Blanket]]&gt;0,1,0)</f>
        <v>0</v>
      </c>
      <c r="AN979" s="392">
        <f>IF(NFI_Expiration=1,IF($A979&lt;VLOOKUP(V$5,NFI,5,0),1,0)*Table_NFI[[#This Row],[Jerry Can]],Table_NFI[Jerry Can])</f>
        <v>0</v>
      </c>
      <c r="AO979" s="540" t="str">
        <f>IFERROR(VLOOKUP(Table_NFI[[#This Row],[Camp Name]],CL,2,0),"")</f>
        <v>MMR001CMP026</v>
      </c>
      <c r="AP979" s="535">
        <f ca="1">IF(Table_NFI[[#This Row],[Pcode]]="","",IF(OFFSET(CampList[Opening Date],MATCH(Table_NFI[[#This Row],[Pcode]],CampList[CP_Pcode],0)-1,0,1,1)&gt;=NFI_Monitor_Date,1,0))</f>
        <v>0</v>
      </c>
      <c r="AQ979" s="540" t="str">
        <f>IFERROR(VLOOKUP(Table_NFI[[#This Row],[Camp Name]],CL,3,0),"")</f>
        <v>Open</v>
      </c>
      <c r="AR979" s="352" t="str">
        <f ca="1">IF(Table_NFI[[#This Row],[Pcode]]="","",OFFSET(CampList[Priority],MATCH(Table_NFI[[#This Row],[Pcode]],CampList[CP_Pcode],0)-1,0,1,1))</f>
        <v>P4</v>
      </c>
      <c r="AS979" s="351">
        <f>IFERROR(Table_NFI[[#This Row],[Kitchen Set]]/VLOOKUP(Table_NFI[[#This Row],[Camp Name]],CL,4,0),"")</f>
        <v>0</v>
      </c>
      <c r="AT979" s="533" t="s">
        <v>1094</v>
      </c>
      <c r="AU979" s="536"/>
    </row>
    <row r="980" spans="1:47" ht="14.45" hidden="1" customHeight="1" x14ac:dyDescent="0.25">
      <c r="A980" s="355">
        <f t="shared" si="15"/>
        <v>25.366666666666667</v>
      </c>
      <c r="B980" s="532">
        <v>41810</v>
      </c>
      <c r="C980" s="533" t="s">
        <v>1106</v>
      </c>
      <c r="D980" s="533" t="s">
        <v>902</v>
      </c>
      <c r="E980" s="533" t="s">
        <v>380</v>
      </c>
      <c r="F980" s="533" t="s">
        <v>237</v>
      </c>
      <c r="G980" s="533" t="s">
        <v>249</v>
      </c>
      <c r="H980" s="349"/>
      <c r="I980" s="349"/>
      <c r="J980" s="349"/>
      <c r="K980" s="349"/>
      <c r="L980" s="350"/>
      <c r="M980" s="350"/>
      <c r="N980" s="350"/>
      <c r="O980" s="350"/>
      <c r="P980" s="352"/>
      <c r="Q980" s="352"/>
      <c r="R980" s="352"/>
      <c r="S980" s="352"/>
      <c r="T980" s="352"/>
      <c r="U980" s="352">
        <v>16</v>
      </c>
      <c r="V980" s="497"/>
      <c r="W980" s="352"/>
      <c r="X980" s="352"/>
      <c r="Y980" s="352">
        <f>IF(NFI_Expiration=1,IF($A980&lt;VLOOKUP(H$5,NFI,5,0),1,0)*Table_NFI[[#This Row],[Hygiene Kit]],Table_NFI[Hygiene Kit])</f>
        <v>0</v>
      </c>
      <c r="Z980" s="352">
        <f>IF(NFI_Expiration=1,IF($A980&lt;VLOOKUP(I$5,NFI,5,0),1,0)*Table_NFI[[#This Row],[NFI Core Kit]],Table_NFI[NFI Core Kit])</f>
        <v>0</v>
      </c>
      <c r="AA980" s="352">
        <f>IF(NFI_Expiration=1,IF($A980&lt;VLOOKUP(J$5,NFI,5,0),1,0)*Table_NFI[[#This Row],[Sanitary Kit]],Table_NFI[Sanitary Kit])</f>
        <v>0</v>
      </c>
      <c r="AB980" s="352">
        <f>IF(NFI_Expiration=1,IF($A980&lt;VLOOKUP(K$5,NFI,5,0),1,0)*Table_NFI[[#This Row],[Mosquito net]],Table_NFI[Mosquito net])</f>
        <v>0</v>
      </c>
      <c r="AC980" s="352">
        <f>IF(NFI_Expiration=1,IF($A980&lt;VLOOKUP(L$5,NFI,5,0),1,0)*Table_NFI[[#This Row],[Tarpaulin]],Table_NFI[[#This Row],[Tarpaulin]])</f>
        <v>0</v>
      </c>
      <c r="AD980" s="352">
        <f>IF(NFI_Expiration=1,IF($A980&lt;VLOOKUP(M$5,NFI,5,0),1,0)*Table_NFI[[#This Row],[Blanket]],Table_NFI[[#This Row],[Blanket]])</f>
        <v>0</v>
      </c>
      <c r="AE980" s="352">
        <f>IF(NFI_Expiration=1,IF($A980&lt;VLOOKUP(N$5,NFI,5,0),1,0)*Table_NFI[[#This Row],[Kitchen Set]],Table_NFI[Kitchen Set])</f>
        <v>0</v>
      </c>
      <c r="AF980" s="352">
        <f>IF(NFI_Expiration=1,IF($A980&lt;VLOOKUP(O$5,NFI,5,0),1,0)*Table_NFI[[#This Row],[Clothes Kit]],Table_NFI[Clothes Kit])</f>
        <v>0</v>
      </c>
      <c r="AG980" s="352">
        <f>IF(NFI_Expiration=1,IF($A980&lt;VLOOKUP(P$5,NFI,5,0),1,0)*Table_NFI[[#This Row],[Plastic Bucket]],Table_NFI[Plastic Bucket])</f>
        <v>0</v>
      </c>
      <c r="AH980" s="352">
        <f>IF(NFI_Expiration=1,IF($A980&lt;VLOOKUP(Q$5,NFI,5,0),1,0)*Table_NFI[[#This Row],[Plastic Mat]],Table_NFI[Plastic Mat])*IF(Table_NFI[[#This Row],[Distribution Date]]&gt;"2014-04-01",1,2.5)</f>
        <v>0</v>
      </c>
      <c r="AI980" s="352">
        <f>IF(NFI_Expiration=1,IF($A980&lt;VLOOKUP(R$5,NFI,5,0),1,0)*Table_NFI[[#This Row],[Winter Clothes Adult]],Table_NFI[Winter Clothes Adult])</f>
        <v>0</v>
      </c>
      <c r="AJ980" s="352">
        <f>IF(NFI_Expiration=1,IF($A980&lt;VLOOKUP(S$5,NFI,5,0),1,0)*Table_NFI[[#This Row],[Winter Clothes Children]],Table_NFI[Winter Clothes Children])</f>
        <v>0</v>
      </c>
      <c r="AK980" s="352">
        <f>IF(NFI_Expiration=1,IF($A980&lt;VLOOKUP(T$5,NFI,5,0),1,0)*Table_NFI[[#This Row],[Winter Items Other]],Table_NFI[Winter Items Other])</f>
        <v>0</v>
      </c>
      <c r="AL980" s="352">
        <f>IF(NFI_Expiration=1,IF($A980&lt;VLOOKUP(M$5,NFI,5,0),1,0)*Table_NFI[[#This Row],[Winter Blanket]],Table_NFI[[#This Row],[Winter Blanket]])</f>
        <v>0</v>
      </c>
      <c r="AM980" s="352">
        <f>IF(Table_NFI[[#This Row],[Winter Clothes Adult]]+Table_NFI[[#This Row],[Winter Clothes Children]]+Table_NFI[[#This Row],[Winter Items Other]]+Table_NFI[[#This Row],[Winter Blanket]]&gt;0,1,0)</f>
        <v>1</v>
      </c>
      <c r="AN980" s="392">
        <f>IF(NFI_Expiration=1,IF($A980&lt;VLOOKUP(V$5,NFI,5,0),1,0)*Table_NFI[[#This Row],[Jerry Can]],Table_NFI[Jerry Can])</f>
        <v>0</v>
      </c>
      <c r="AO980" s="540" t="str">
        <f>IFERROR(VLOOKUP(Table_NFI[[#This Row],[Camp Name]],CL,2,0),"")</f>
        <v>MMR001CMP004</v>
      </c>
      <c r="AP980" s="535">
        <f ca="1">IF(Table_NFI[[#This Row],[Pcode]]="","",IF(OFFSET(CampList[Opening Date],MATCH(Table_NFI[[#This Row],[Pcode]],CampList[CP_Pcode],0)-1,0,1,1)&gt;=NFI_Monitor_Date,1,0))</f>
        <v>0</v>
      </c>
      <c r="AQ980" s="540" t="str">
        <f>IFERROR(VLOOKUP(Table_NFI[[#This Row],[Camp Name]],CL,3,0),"")</f>
        <v>Open</v>
      </c>
      <c r="AR980" s="352" t="str">
        <f ca="1">IF(Table_NFI[[#This Row],[Pcode]]="","",OFFSET(CampList[Priority],MATCH(Table_NFI[[#This Row],[Pcode]],CampList[CP_Pcode],0)-1,0,1,1))</f>
        <v>P4</v>
      </c>
      <c r="AS980" s="351">
        <f>IFERROR(Table_NFI[[#This Row],[Kitchen Set]]/VLOOKUP(Table_NFI[[#This Row],[Camp Name]],CL,4,0),"")</f>
        <v>0</v>
      </c>
      <c r="AT980" s="533"/>
      <c r="AU980" s="536"/>
    </row>
    <row r="981" spans="1:47" ht="14.45" hidden="1" customHeight="1" x14ac:dyDescent="0.25">
      <c r="A981" s="355">
        <f t="shared" si="15"/>
        <v>43.233333333333334</v>
      </c>
      <c r="B981" s="532">
        <v>41274</v>
      </c>
      <c r="C981" s="533" t="s">
        <v>454</v>
      </c>
      <c r="D981" s="534" t="s">
        <v>454</v>
      </c>
      <c r="E981" s="533" t="s">
        <v>380</v>
      </c>
      <c r="F981" s="348" t="s">
        <v>237</v>
      </c>
      <c r="G981" s="348" t="s">
        <v>249</v>
      </c>
      <c r="H981" s="349">
        <v>14</v>
      </c>
      <c r="I981" s="349"/>
      <c r="J981" s="349"/>
      <c r="K981" s="349"/>
      <c r="L981" s="350"/>
      <c r="M981" s="350"/>
      <c r="N981" s="350"/>
      <c r="O981" s="350"/>
      <c r="P981" s="352">
        <v>0</v>
      </c>
      <c r="Q981" s="352">
        <v>0</v>
      </c>
      <c r="R981" s="352"/>
      <c r="S981" s="352"/>
      <c r="T981" s="352"/>
      <c r="U981" s="352"/>
      <c r="V981" s="497"/>
      <c r="W981" s="352"/>
      <c r="X981" s="352"/>
      <c r="Y981" s="352">
        <f>IF(NFI_Expiration=1,IF($A981&lt;VLOOKUP(H$5,NFI,5,0),1,0)*Table_NFI[[#This Row],[Hygiene Kit]],Table_NFI[Hygiene Kit])</f>
        <v>0</v>
      </c>
      <c r="Z981" s="352">
        <f>IF(NFI_Expiration=1,IF($A981&lt;VLOOKUP(I$5,NFI,5,0),1,0)*Table_NFI[[#This Row],[NFI Core Kit]],Table_NFI[NFI Core Kit])</f>
        <v>0</v>
      </c>
      <c r="AA981" s="352">
        <f>IF(NFI_Expiration=1,IF($A981&lt;VLOOKUP(J$5,NFI,5,0),1,0)*Table_NFI[[#This Row],[Sanitary Kit]],Table_NFI[Sanitary Kit])</f>
        <v>0</v>
      </c>
      <c r="AB981" s="352">
        <f>IF(NFI_Expiration=1,IF($A981&lt;VLOOKUP(K$5,NFI,5,0),1,0)*Table_NFI[[#This Row],[Mosquito net]],Table_NFI[Mosquito net])</f>
        <v>0</v>
      </c>
      <c r="AC981" s="352">
        <f>IF(NFI_Expiration=1,IF($A981&lt;VLOOKUP(L$5,NFI,5,0),1,0)*Table_NFI[[#This Row],[Tarpaulin]],Table_NFI[[#This Row],[Tarpaulin]])</f>
        <v>0</v>
      </c>
      <c r="AD981" s="352">
        <f>IF(NFI_Expiration=1,IF($A981&lt;VLOOKUP(M$5,NFI,5,0),1,0)*Table_NFI[[#This Row],[Blanket]],Table_NFI[[#This Row],[Blanket]])</f>
        <v>0</v>
      </c>
      <c r="AE981" s="352">
        <f>IF(NFI_Expiration=1,IF($A981&lt;VLOOKUP(N$5,NFI,5,0),1,0)*Table_NFI[[#This Row],[Kitchen Set]],Table_NFI[Kitchen Set])</f>
        <v>0</v>
      </c>
      <c r="AF981" s="352">
        <f>IF(NFI_Expiration=1,IF($A981&lt;VLOOKUP(O$5,NFI,5,0),1,0)*Table_NFI[[#This Row],[Clothes Kit]],Table_NFI[Clothes Kit])</f>
        <v>0</v>
      </c>
      <c r="AG981" s="352">
        <f>IF(NFI_Expiration=1,IF($A981&lt;VLOOKUP(P$5,NFI,5,0),1,0)*Table_NFI[[#This Row],[Plastic Bucket]],Table_NFI[Plastic Bucket])</f>
        <v>0</v>
      </c>
      <c r="AH981" s="352">
        <f>IF(NFI_Expiration=1,IF($A981&lt;VLOOKUP(Q$5,NFI,5,0),1,0)*Table_NFI[[#This Row],[Plastic Mat]],Table_NFI[Plastic Mat])*IF(Table_NFI[[#This Row],[Distribution Date]]&gt;"2014-04-01",1,2.5)</f>
        <v>0</v>
      </c>
      <c r="AI981" s="352">
        <f>IF(NFI_Expiration=1,IF($A981&lt;VLOOKUP(R$5,NFI,5,0),1,0)*Table_NFI[[#This Row],[Winter Clothes Adult]],Table_NFI[Winter Clothes Adult])</f>
        <v>0</v>
      </c>
      <c r="AJ981" s="352">
        <f>IF(NFI_Expiration=1,IF($A981&lt;VLOOKUP(S$5,NFI,5,0),1,0)*Table_NFI[[#This Row],[Winter Clothes Children]],Table_NFI[Winter Clothes Children])</f>
        <v>0</v>
      </c>
      <c r="AK981" s="352">
        <f>IF(NFI_Expiration=1,IF($A981&lt;VLOOKUP(T$5,NFI,5,0),1,0)*Table_NFI[[#This Row],[Winter Items Other]],Table_NFI[Winter Items Other])</f>
        <v>0</v>
      </c>
      <c r="AL981" s="352">
        <f>IF(NFI_Expiration=1,IF($A981&lt;VLOOKUP(M$5,NFI,5,0),1,0)*Table_NFI[[#This Row],[Winter Blanket]],Table_NFI[[#This Row],[Winter Blanket]])</f>
        <v>0</v>
      </c>
      <c r="AM981" s="352">
        <f>IF(Table_NFI[[#This Row],[Winter Clothes Adult]]+Table_NFI[[#This Row],[Winter Clothes Children]]+Table_NFI[[#This Row],[Winter Items Other]]+Table_NFI[[#This Row],[Winter Blanket]]&gt;0,1,0)</f>
        <v>0</v>
      </c>
      <c r="AN981" s="392">
        <f>IF(NFI_Expiration=1,IF($A981&lt;VLOOKUP(V$5,NFI,5,0),1,0)*Table_NFI[[#This Row],[Jerry Can]],Table_NFI[Jerry Can])</f>
        <v>0</v>
      </c>
      <c r="AO981" s="540" t="str">
        <f>IFERROR(VLOOKUP(Table_NFI[[#This Row],[Camp Name]],CL,2,0),"")</f>
        <v>MMR001CMP004</v>
      </c>
      <c r="AP981" s="535">
        <f ca="1">IF(Table_NFI[[#This Row],[Pcode]]="","",IF(OFFSET(CampList[Opening Date],MATCH(Table_NFI[[#This Row],[Pcode]],CampList[CP_Pcode],0)-1,0,1,1)&gt;=NFI_Monitor_Date,1,0))</f>
        <v>0</v>
      </c>
      <c r="AQ981" s="540" t="str">
        <f>IFERROR(VLOOKUP(Table_NFI[[#This Row],[Camp Name]],CL,3,0),"")</f>
        <v>Open</v>
      </c>
      <c r="AR981" s="352" t="str">
        <f ca="1">IF(Table_NFI[[#This Row],[Pcode]]="","",OFFSET(CampList[Priority],MATCH(Table_NFI[[#This Row],[Pcode]],CampList[CP_Pcode],0)-1,0,1,1))</f>
        <v>P4</v>
      </c>
      <c r="AS981" s="351">
        <f>IFERROR(Table_NFI[[#This Row],[Kitchen Set]]/VLOOKUP(Table_NFI[[#This Row],[Camp Name]],CL,4,0),"")</f>
        <v>0</v>
      </c>
      <c r="AT981" s="533" t="s">
        <v>1094</v>
      </c>
      <c r="AU981" s="536"/>
    </row>
    <row r="982" spans="1:47" ht="14.45" customHeight="1" x14ac:dyDescent="0.25">
      <c r="A982" s="355">
        <f t="shared" si="15"/>
        <v>54.333333333333336</v>
      </c>
      <c r="B982" s="532">
        <v>40941</v>
      </c>
      <c r="C982" s="534" t="s">
        <v>453</v>
      </c>
      <c r="D982" s="534" t="s">
        <v>453</v>
      </c>
      <c r="E982" s="533" t="s">
        <v>380</v>
      </c>
      <c r="F982" s="348" t="s">
        <v>151</v>
      </c>
      <c r="G982" s="348" t="s">
        <v>152</v>
      </c>
      <c r="H982" s="352">
        <v>718</v>
      </c>
      <c r="I982" s="349"/>
      <c r="J982" s="349"/>
      <c r="K982" s="349"/>
      <c r="L982" s="350"/>
      <c r="M982" s="350"/>
      <c r="N982" s="350"/>
      <c r="O982" s="350"/>
      <c r="P982" s="352"/>
      <c r="Q982" s="352"/>
      <c r="R982" s="352"/>
      <c r="S982" s="352"/>
      <c r="T982" s="352"/>
      <c r="U982" s="352"/>
      <c r="V982" s="497"/>
      <c r="W982" s="352"/>
      <c r="X982" s="352"/>
      <c r="Y982" s="352">
        <f>IF(NFI_Expiration=1,IF($A982&lt;VLOOKUP(H$5,NFI,5,0),1,0)*Table_NFI[[#This Row],[Hygiene Kit]],Table_NFI[Hygiene Kit])</f>
        <v>0</v>
      </c>
      <c r="Z982" s="352">
        <f>IF(NFI_Expiration=1,IF($A982&lt;VLOOKUP(I$5,NFI,5,0),1,0)*Table_NFI[[#This Row],[NFI Core Kit]],Table_NFI[NFI Core Kit])</f>
        <v>0</v>
      </c>
      <c r="AA982" s="352">
        <f>IF(NFI_Expiration=1,IF($A982&lt;VLOOKUP(J$5,NFI,5,0),1,0)*Table_NFI[[#This Row],[Sanitary Kit]],Table_NFI[Sanitary Kit])</f>
        <v>0</v>
      </c>
      <c r="AB982" s="352">
        <f>IF(NFI_Expiration=1,IF($A982&lt;VLOOKUP(K$5,NFI,5,0),1,0)*Table_NFI[[#This Row],[Mosquito net]],Table_NFI[Mosquito net])</f>
        <v>0</v>
      </c>
      <c r="AC982" s="352">
        <f>IF(NFI_Expiration=1,IF($A982&lt;VLOOKUP(L$5,NFI,5,0),1,0)*Table_NFI[[#This Row],[Tarpaulin]],Table_NFI[[#This Row],[Tarpaulin]])</f>
        <v>0</v>
      </c>
      <c r="AD982" s="352">
        <f>IF(NFI_Expiration=1,IF($A982&lt;VLOOKUP(M$5,NFI,5,0),1,0)*Table_NFI[[#This Row],[Blanket]],Table_NFI[[#This Row],[Blanket]])</f>
        <v>0</v>
      </c>
      <c r="AE982" s="352">
        <f>IF(NFI_Expiration=1,IF($A982&lt;VLOOKUP(N$5,NFI,5,0),1,0)*Table_NFI[[#This Row],[Kitchen Set]],Table_NFI[Kitchen Set])</f>
        <v>0</v>
      </c>
      <c r="AF982" s="352">
        <f>IF(NFI_Expiration=1,IF($A982&lt;VLOOKUP(O$5,NFI,5,0),1,0)*Table_NFI[[#This Row],[Clothes Kit]],Table_NFI[Clothes Kit])</f>
        <v>0</v>
      </c>
      <c r="AG982" s="352">
        <f>IF(NFI_Expiration=1,IF($A982&lt;VLOOKUP(P$5,NFI,5,0),1,0)*Table_NFI[[#This Row],[Plastic Bucket]],Table_NFI[Plastic Bucket])</f>
        <v>0</v>
      </c>
      <c r="AH982" s="352">
        <f>IF(NFI_Expiration=1,IF($A982&lt;VLOOKUP(Q$5,NFI,5,0),1,0)*Table_NFI[[#This Row],[Plastic Mat]],Table_NFI[Plastic Mat])*IF(Table_NFI[[#This Row],[Distribution Date]]&gt;"2014-04-01",1,2.5)</f>
        <v>0</v>
      </c>
      <c r="AI982" s="352">
        <f>IF(NFI_Expiration=1,IF($A982&lt;VLOOKUP(R$5,NFI,5,0),1,0)*Table_NFI[[#This Row],[Winter Clothes Adult]],Table_NFI[Winter Clothes Adult])</f>
        <v>0</v>
      </c>
      <c r="AJ982" s="352">
        <f>IF(NFI_Expiration=1,IF($A982&lt;VLOOKUP(S$5,NFI,5,0),1,0)*Table_NFI[[#This Row],[Winter Clothes Children]],Table_NFI[Winter Clothes Children])</f>
        <v>0</v>
      </c>
      <c r="AK982" s="352">
        <f>IF(NFI_Expiration=1,IF($A982&lt;VLOOKUP(T$5,NFI,5,0),1,0)*Table_NFI[[#This Row],[Winter Items Other]],Table_NFI[Winter Items Other])</f>
        <v>0</v>
      </c>
      <c r="AL982" s="352">
        <f>IF(NFI_Expiration=1,IF($A982&lt;VLOOKUP(M$5,NFI,5,0),1,0)*Table_NFI[[#This Row],[Winter Blanket]],Table_NFI[[#This Row],[Winter Blanket]])</f>
        <v>0</v>
      </c>
      <c r="AM982" s="352">
        <f>IF(Table_NFI[[#This Row],[Winter Clothes Adult]]+Table_NFI[[#This Row],[Winter Clothes Children]]+Table_NFI[[#This Row],[Winter Items Other]]+Table_NFI[[#This Row],[Winter Blanket]]&gt;0,1,0)</f>
        <v>0</v>
      </c>
      <c r="AN982" s="392">
        <f>IF(NFI_Expiration=1,IF($A982&lt;VLOOKUP(V$5,NFI,5,0),1,0)*Table_NFI[[#This Row],[Jerry Can]],Table_NFI[Jerry Can])</f>
        <v>0</v>
      </c>
      <c r="AO982" s="540" t="str">
        <f>IFERROR(VLOOKUP(Table_NFI[[#This Row],[Camp Name]],CL,2,0),"")</f>
        <v>MMR001CMP066</v>
      </c>
      <c r="AP982" s="535">
        <f ca="1">IF(Table_NFI[[#This Row],[Pcode]]="","",IF(OFFSET(CampList[Opening Date],MATCH(Table_NFI[[#This Row],[Pcode]],CampList[CP_Pcode],0)-1,0,1,1)&gt;=NFI_Monitor_Date,1,0))</f>
        <v>0</v>
      </c>
      <c r="AQ982" s="540" t="str">
        <f>IFERROR(VLOOKUP(Table_NFI[[#This Row],[Camp Name]],CL,3,0),"")</f>
        <v>Open</v>
      </c>
      <c r="AR982" s="352" t="str">
        <f ca="1">IF(Table_NFI[[#This Row],[Pcode]]="","",OFFSET(CampList[Priority],MATCH(Table_NFI[[#This Row],[Pcode]],CampList[CP_Pcode],0)-1,0,1,1))</f>
        <v>P4</v>
      </c>
      <c r="AS982" s="351">
        <f>IFERROR(Table_NFI[[#This Row],[Kitchen Set]]/VLOOKUP(Table_NFI[[#This Row],[Camp Name]],CL,4,0),"")</f>
        <v>0</v>
      </c>
      <c r="AT982" s="533"/>
      <c r="AU982" s="536"/>
    </row>
    <row r="983" spans="1:47" ht="14.45" customHeight="1" x14ac:dyDescent="0.25">
      <c r="A983" s="355">
        <f t="shared" si="15"/>
        <v>54.4</v>
      </c>
      <c r="B983" s="532">
        <v>40939</v>
      </c>
      <c r="C983" s="533" t="s">
        <v>453</v>
      </c>
      <c r="D983" s="533" t="s">
        <v>453</v>
      </c>
      <c r="E983" s="533" t="s">
        <v>380</v>
      </c>
      <c r="F983" s="533" t="s">
        <v>310</v>
      </c>
      <c r="G983" s="348" t="s">
        <v>351</v>
      </c>
      <c r="H983" s="349"/>
      <c r="I983" s="349"/>
      <c r="J983" s="349"/>
      <c r="K983" s="349">
        <v>0</v>
      </c>
      <c r="L983" s="350">
        <v>0</v>
      </c>
      <c r="M983" s="350">
        <v>0</v>
      </c>
      <c r="N983" s="350">
        <v>0</v>
      </c>
      <c r="O983" s="350">
        <v>61</v>
      </c>
      <c r="P983" s="352">
        <v>61</v>
      </c>
      <c r="Q983" s="352">
        <v>61</v>
      </c>
      <c r="R983" s="352"/>
      <c r="S983" s="352"/>
      <c r="T983" s="352"/>
      <c r="U983" s="352"/>
      <c r="V983" s="497"/>
      <c r="W983" s="352"/>
      <c r="X983" s="352"/>
      <c r="Y983" s="352">
        <f>IF(NFI_Expiration=1,IF($A983&lt;VLOOKUP(H$5,NFI,5,0),1,0)*Table_NFI[[#This Row],[Hygiene Kit]],Table_NFI[Hygiene Kit])</f>
        <v>0</v>
      </c>
      <c r="Z983" s="352">
        <f>IF(NFI_Expiration=1,IF($A983&lt;VLOOKUP(I$5,NFI,5,0),1,0)*Table_NFI[[#This Row],[NFI Core Kit]],Table_NFI[NFI Core Kit])</f>
        <v>0</v>
      </c>
      <c r="AA983" s="352">
        <f>IF(NFI_Expiration=1,IF($A983&lt;VLOOKUP(J$5,NFI,5,0),1,0)*Table_NFI[[#This Row],[Sanitary Kit]],Table_NFI[Sanitary Kit])</f>
        <v>0</v>
      </c>
      <c r="AB983" s="352">
        <f>IF(NFI_Expiration=1,IF($A983&lt;VLOOKUP(K$5,NFI,5,0),1,0)*Table_NFI[[#This Row],[Mosquito net]],Table_NFI[Mosquito net])</f>
        <v>0</v>
      </c>
      <c r="AC983" s="352">
        <f>IF(NFI_Expiration=1,IF($A983&lt;VLOOKUP(L$5,NFI,5,0),1,0)*Table_NFI[[#This Row],[Tarpaulin]],Table_NFI[[#This Row],[Tarpaulin]])</f>
        <v>0</v>
      </c>
      <c r="AD983" s="352">
        <f>IF(NFI_Expiration=1,IF($A983&lt;VLOOKUP(M$5,NFI,5,0),1,0)*Table_NFI[[#This Row],[Blanket]],Table_NFI[[#This Row],[Blanket]])</f>
        <v>0</v>
      </c>
      <c r="AE983" s="352">
        <f>IF(NFI_Expiration=1,IF($A983&lt;VLOOKUP(N$5,NFI,5,0),1,0)*Table_NFI[[#This Row],[Kitchen Set]],Table_NFI[Kitchen Set])</f>
        <v>0</v>
      </c>
      <c r="AF983" s="352">
        <f>IF(NFI_Expiration=1,IF($A983&lt;VLOOKUP(O$5,NFI,5,0),1,0)*Table_NFI[[#This Row],[Clothes Kit]],Table_NFI[Clothes Kit])</f>
        <v>0</v>
      </c>
      <c r="AG983" s="352">
        <f>IF(NFI_Expiration=1,IF($A983&lt;VLOOKUP(P$5,NFI,5,0),1,0)*Table_NFI[[#This Row],[Plastic Bucket]],Table_NFI[Plastic Bucket])</f>
        <v>0</v>
      </c>
      <c r="AH983" s="352">
        <f>IF(NFI_Expiration=1,IF($A983&lt;VLOOKUP(Q$5,NFI,5,0),1,0)*Table_NFI[[#This Row],[Plastic Mat]],Table_NFI[Plastic Mat])*IF(Table_NFI[[#This Row],[Distribution Date]]&gt;"2014-04-01",1,2.5)</f>
        <v>0</v>
      </c>
      <c r="AI983" s="352">
        <f>IF(NFI_Expiration=1,IF($A983&lt;VLOOKUP(R$5,NFI,5,0),1,0)*Table_NFI[[#This Row],[Winter Clothes Adult]],Table_NFI[Winter Clothes Adult])</f>
        <v>0</v>
      </c>
      <c r="AJ983" s="352">
        <f>IF(NFI_Expiration=1,IF($A983&lt;VLOOKUP(S$5,NFI,5,0),1,0)*Table_NFI[[#This Row],[Winter Clothes Children]],Table_NFI[Winter Clothes Children])</f>
        <v>0</v>
      </c>
      <c r="AK983" s="352">
        <f>IF(NFI_Expiration=1,IF($A983&lt;VLOOKUP(T$5,NFI,5,0),1,0)*Table_NFI[[#This Row],[Winter Items Other]],Table_NFI[Winter Items Other])</f>
        <v>0</v>
      </c>
      <c r="AL983" s="352">
        <f>IF(NFI_Expiration=1,IF($A983&lt;VLOOKUP(M$5,NFI,5,0),1,0)*Table_NFI[[#This Row],[Winter Blanket]],Table_NFI[[#This Row],[Winter Blanket]])</f>
        <v>0</v>
      </c>
      <c r="AM983" s="352">
        <f>IF(Table_NFI[[#This Row],[Winter Clothes Adult]]+Table_NFI[[#This Row],[Winter Clothes Children]]+Table_NFI[[#This Row],[Winter Items Other]]+Table_NFI[[#This Row],[Winter Blanket]]&gt;0,1,0)</f>
        <v>0</v>
      </c>
      <c r="AN983" s="392">
        <f>IF(NFI_Expiration=1,IF($A983&lt;VLOOKUP(V$5,NFI,5,0),1,0)*Table_NFI[[#This Row],[Jerry Can]],Table_NFI[Jerry Can])</f>
        <v>0</v>
      </c>
      <c r="AO983" s="540" t="str">
        <f>IFERROR(VLOOKUP(Table_NFI[[#This Row],[Camp Name]],CL,2,0),"")</f>
        <v>MMR001CMP026</v>
      </c>
      <c r="AP983" s="535">
        <f ca="1">IF(Table_NFI[[#This Row],[Pcode]]="","",IF(OFFSET(CampList[Opening Date],MATCH(Table_NFI[[#This Row],[Pcode]],CampList[CP_Pcode],0)-1,0,1,1)&gt;=NFI_Monitor_Date,1,0))</f>
        <v>0</v>
      </c>
      <c r="AQ983" s="540" t="str">
        <f>IFERROR(VLOOKUP(Table_NFI[[#This Row],[Camp Name]],CL,3,0),"")</f>
        <v>Open</v>
      </c>
      <c r="AR983" s="352" t="str">
        <f ca="1">IF(Table_NFI[[#This Row],[Pcode]]="","",OFFSET(CampList[Priority],MATCH(Table_NFI[[#This Row],[Pcode]],CampList[CP_Pcode],0)-1,0,1,1))</f>
        <v>P4</v>
      </c>
      <c r="AS983" s="351">
        <f>IFERROR(Table_NFI[[#This Row],[Kitchen Set]]/VLOOKUP(Table_NFI[[#This Row],[Camp Name]],CL,4,0),"")</f>
        <v>0</v>
      </c>
      <c r="AT983" s="533" t="s">
        <v>1094</v>
      </c>
      <c r="AU983" s="536"/>
    </row>
    <row r="984" spans="1:47" ht="14.45" hidden="1" customHeight="1" x14ac:dyDescent="0.25">
      <c r="A984" s="355">
        <f t="shared" si="15"/>
        <v>26.133333333333333</v>
      </c>
      <c r="B984" s="532">
        <v>41787</v>
      </c>
      <c r="C984" s="533" t="s">
        <v>1106</v>
      </c>
      <c r="D984" s="533" t="s">
        <v>902</v>
      </c>
      <c r="E984" s="533" t="s">
        <v>380</v>
      </c>
      <c r="F984" s="533" t="s">
        <v>237</v>
      </c>
      <c r="G984" s="533" t="s">
        <v>251</v>
      </c>
      <c r="H984" s="349"/>
      <c r="I984" s="349"/>
      <c r="J984" s="349"/>
      <c r="K984" s="349"/>
      <c r="L984" s="350"/>
      <c r="M984" s="350"/>
      <c r="N984" s="350"/>
      <c r="O984" s="350"/>
      <c r="P984" s="352"/>
      <c r="Q984" s="352"/>
      <c r="R984" s="352"/>
      <c r="S984" s="352"/>
      <c r="T984" s="352"/>
      <c r="U984" s="352">
        <v>58</v>
      </c>
      <c r="V984" s="497"/>
      <c r="W984" s="352"/>
      <c r="X984" s="352"/>
      <c r="Y984" s="352">
        <f>IF(NFI_Expiration=1,IF($A984&lt;VLOOKUP(H$5,NFI,5,0),1,0)*Table_NFI[[#This Row],[Hygiene Kit]],Table_NFI[Hygiene Kit])</f>
        <v>0</v>
      </c>
      <c r="Z984" s="352">
        <f>IF(NFI_Expiration=1,IF($A984&lt;VLOOKUP(I$5,NFI,5,0),1,0)*Table_NFI[[#This Row],[NFI Core Kit]],Table_NFI[NFI Core Kit])</f>
        <v>0</v>
      </c>
      <c r="AA984" s="352">
        <f>IF(NFI_Expiration=1,IF($A984&lt;VLOOKUP(J$5,NFI,5,0),1,0)*Table_NFI[[#This Row],[Sanitary Kit]],Table_NFI[Sanitary Kit])</f>
        <v>0</v>
      </c>
      <c r="AB984" s="352">
        <f>IF(NFI_Expiration=1,IF($A984&lt;VLOOKUP(K$5,NFI,5,0),1,0)*Table_NFI[[#This Row],[Mosquito net]],Table_NFI[Mosquito net])</f>
        <v>0</v>
      </c>
      <c r="AC984" s="352">
        <f>IF(NFI_Expiration=1,IF($A984&lt;VLOOKUP(L$5,NFI,5,0),1,0)*Table_NFI[[#This Row],[Tarpaulin]],Table_NFI[[#This Row],[Tarpaulin]])</f>
        <v>0</v>
      </c>
      <c r="AD984" s="352">
        <f>IF(NFI_Expiration=1,IF($A984&lt;VLOOKUP(M$5,NFI,5,0),1,0)*Table_NFI[[#This Row],[Blanket]],Table_NFI[[#This Row],[Blanket]])</f>
        <v>0</v>
      </c>
      <c r="AE984" s="352">
        <f>IF(NFI_Expiration=1,IF($A984&lt;VLOOKUP(N$5,NFI,5,0),1,0)*Table_NFI[[#This Row],[Kitchen Set]],Table_NFI[Kitchen Set])</f>
        <v>0</v>
      </c>
      <c r="AF984" s="352">
        <f>IF(NFI_Expiration=1,IF($A984&lt;VLOOKUP(O$5,NFI,5,0),1,0)*Table_NFI[[#This Row],[Clothes Kit]],Table_NFI[Clothes Kit])</f>
        <v>0</v>
      </c>
      <c r="AG984" s="352">
        <f>IF(NFI_Expiration=1,IF($A984&lt;VLOOKUP(P$5,NFI,5,0),1,0)*Table_NFI[[#This Row],[Plastic Bucket]],Table_NFI[Plastic Bucket])</f>
        <v>0</v>
      </c>
      <c r="AH984" s="352">
        <f>IF(NFI_Expiration=1,IF($A984&lt;VLOOKUP(Q$5,NFI,5,0),1,0)*Table_NFI[[#This Row],[Plastic Mat]],Table_NFI[Plastic Mat])*IF(Table_NFI[[#This Row],[Distribution Date]]&gt;"2014-04-01",1,2.5)</f>
        <v>0</v>
      </c>
      <c r="AI984" s="352">
        <f>IF(NFI_Expiration=1,IF($A984&lt;VLOOKUP(R$5,NFI,5,0),1,0)*Table_NFI[[#This Row],[Winter Clothes Adult]],Table_NFI[Winter Clothes Adult])</f>
        <v>0</v>
      </c>
      <c r="AJ984" s="352">
        <f>IF(NFI_Expiration=1,IF($A984&lt;VLOOKUP(S$5,NFI,5,0),1,0)*Table_NFI[[#This Row],[Winter Clothes Children]],Table_NFI[Winter Clothes Children])</f>
        <v>0</v>
      </c>
      <c r="AK984" s="352">
        <f>IF(NFI_Expiration=1,IF($A984&lt;VLOOKUP(T$5,NFI,5,0),1,0)*Table_NFI[[#This Row],[Winter Items Other]],Table_NFI[Winter Items Other])</f>
        <v>0</v>
      </c>
      <c r="AL984" s="352">
        <f>IF(NFI_Expiration=1,IF($A984&lt;VLOOKUP(M$5,NFI,5,0),1,0)*Table_NFI[[#This Row],[Winter Blanket]],Table_NFI[[#This Row],[Winter Blanket]])</f>
        <v>0</v>
      </c>
      <c r="AM984" s="352">
        <f>IF(Table_NFI[[#This Row],[Winter Clothes Adult]]+Table_NFI[[#This Row],[Winter Clothes Children]]+Table_NFI[[#This Row],[Winter Items Other]]+Table_NFI[[#This Row],[Winter Blanket]]&gt;0,1,0)</f>
        <v>1</v>
      </c>
      <c r="AN984" s="392">
        <f>IF(NFI_Expiration=1,IF($A984&lt;VLOOKUP(V$5,NFI,5,0),1,0)*Table_NFI[[#This Row],[Jerry Can]],Table_NFI[Jerry Can])</f>
        <v>0</v>
      </c>
      <c r="AO984" s="540" t="str">
        <f>IFERROR(VLOOKUP(Table_NFI[[#This Row],[Camp Name]],CL,2,0),"")</f>
        <v>MMR001CMP003</v>
      </c>
      <c r="AP984" s="535">
        <f ca="1">IF(Table_NFI[[#This Row],[Pcode]]="","",IF(OFFSET(CampList[Opening Date],MATCH(Table_NFI[[#This Row],[Pcode]],CampList[CP_Pcode],0)-1,0,1,1)&gt;=NFI_Monitor_Date,1,0))</f>
        <v>0</v>
      </c>
      <c r="AQ984" s="540" t="str">
        <f>IFERROR(VLOOKUP(Table_NFI[[#This Row],[Camp Name]],CL,3,0),"")</f>
        <v>Open</v>
      </c>
      <c r="AR984" s="352" t="str">
        <f ca="1">IF(Table_NFI[[#This Row],[Pcode]]="","",OFFSET(CampList[Priority],MATCH(Table_NFI[[#This Row],[Pcode]],CampList[CP_Pcode],0)-1,0,1,1))</f>
        <v>P4</v>
      </c>
      <c r="AS984" s="351">
        <f>IFERROR(Table_NFI[[#This Row],[Kitchen Set]]/VLOOKUP(Table_NFI[[#This Row],[Camp Name]],CL,4,0),"")</f>
        <v>0</v>
      </c>
      <c r="AT984" s="533"/>
      <c r="AU984" s="536"/>
    </row>
    <row r="985" spans="1:47" ht="14.45" customHeight="1" x14ac:dyDescent="0.25">
      <c r="A985" s="355">
        <f t="shared" si="15"/>
        <v>54.8</v>
      </c>
      <c r="B985" s="532">
        <v>40927</v>
      </c>
      <c r="C985" s="533" t="s">
        <v>453</v>
      </c>
      <c r="D985" s="533" t="s">
        <v>461</v>
      </c>
      <c r="E985" s="533" t="s">
        <v>380</v>
      </c>
      <c r="F985" s="348" t="s">
        <v>237</v>
      </c>
      <c r="G985" s="348" t="s">
        <v>253</v>
      </c>
      <c r="H985" s="349"/>
      <c r="I985" s="349"/>
      <c r="J985" s="349"/>
      <c r="K985" s="349">
        <v>0</v>
      </c>
      <c r="L985" s="350">
        <v>0</v>
      </c>
      <c r="M985" s="350">
        <v>0</v>
      </c>
      <c r="N985" s="350">
        <v>0</v>
      </c>
      <c r="O985" s="350">
        <v>118</v>
      </c>
      <c r="P985" s="352">
        <v>118</v>
      </c>
      <c r="Q985" s="352">
        <v>118</v>
      </c>
      <c r="R985" s="352"/>
      <c r="S985" s="352"/>
      <c r="T985" s="352"/>
      <c r="U985" s="352"/>
      <c r="V985" s="497"/>
      <c r="W985" s="352"/>
      <c r="X985" s="352"/>
      <c r="Y985" s="352">
        <f>IF(NFI_Expiration=1,IF($A985&lt;VLOOKUP(H$5,NFI,5,0),1,0)*Table_NFI[[#This Row],[Hygiene Kit]],Table_NFI[Hygiene Kit])</f>
        <v>0</v>
      </c>
      <c r="Z985" s="352">
        <f>IF(NFI_Expiration=1,IF($A985&lt;VLOOKUP(I$5,NFI,5,0),1,0)*Table_NFI[[#This Row],[NFI Core Kit]],Table_NFI[NFI Core Kit])</f>
        <v>0</v>
      </c>
      <c r="AA985" s="352">
        <f>IF(NFI_Expiration=1,IF($A985&lt;VLOOKUP(J$5,NFI,5,0),1,0)*Table_NFI[[#This Row],[Sanitary Kit]],Table_NFI[Sanitary Kit])</f>
        <v>0</v>
      </c>
      <c r="AB985" s="352">
        <f>IF(NFI_Expiration=1,IF($A985&lt;VLOOKUP(K$5,NFI,5,0),1,0)*Table_NFI[[#This Row],[Mosquito net]],Table_NFI[Mosquito net])</f>
        <v>0</v>
      </c>
      <c r="AC985" s="352">
        <f>IF(NFI_Expiration=1,IF($A985&lt;VLOOKUP(L$5,NFI,5,0),1,0)*Table_NFI[[#This Row],[Tarpaulin]],Table_NFI[[#This Row],[Tarpaulin]])</f>
        <v>0</v>
      </c>
      <c r="AD985" s="352">
        <f>IF(NFI_Expiration=1,IF($A985&lt;VLOOKUP(M$5,NFI,5,0),1,0)*Table_NFI[[#This Row],[Blanket]],Table_NFI[[#This Row],[Blanket]])</f>
        <v>0</v>
      </c>
      <c r="AE985" s="352">
        <f>IF(NFI_Expiration=1,IF($A985&lt;VLOOKUP(N$5,NFI,5,0),1,0)*Table_NFI[[#This Row],[Kitchen Set]],Table_NFI[Kitchen Set])</f>
        <v>0</v>
      </c>
      <c r="AF985" s="352">
        <f>IF(NFI_Expiration=1,IF($A985&lt;VLOOKUP(O$5,NFI,5,0),1,0)*Table_NFI[[#This Row],[Clothes Kit]],Table_NFI[Clothes Kit])</f>
        <v>0</v>
      </c>
      <c r="AG985" s="352">
        <f>IF(NFI_Expiration=1,IF($A985&lt;VLOOKUP(P$5,NFI,5,0),1,0)*Table_NFI[[#This Row],[Plastic Bucket]],Table_NFI[Plastic Bucket])</f>
        <v>0</v>
      </c>
      <c r="AH985" s="352">
        <f>IF(NFI_Expiration=1,IF($A985&lt;VLOOKUP(Q$5,NFI,5,0),1,0)*Table_NFI[[#This Row],[Plastic Mat]],Table_NFI[Plastic Mat])*IF(Table_NFI[[#This Row],[Distribution Date]]&gt;"2014-04-01",1,2.5)</f>
        <v>0</v>
      </c>
      <c r="AI985" s="352">
        <f>IF(NFI_Expiration=1,IF($A985&lt;VLOOKUP(R$5,NFI,5,0),1,0)*Table_NFI[[#This Row],[Winter Clothes Adult]],Table_NFI[Winter Clothes Adult])</f>
        <v>0</v>
      </c>
      <c r="AJ985" s="352">
        <f>IF(NFI_Expiration=1,IF($A985&lt;VLOOKUP(S$5,NFI,5,0),1,0)*Table_NFI[[#This Row],[Winter Clothes Children]],Table_NFI[Winter Clothes Children])</f>
        <v>0</v>
      </c>
      <c r="AK985" s="352">
        <f>IF(NFI_Expiration=1,IF($A985&lt;VLOOKUP(T$5,NFI,5,0),1,0)*Table_NFI[[#This Row],[Winter Items Other]],Table_NFI[Winter Items Other])</f>
        <v>0</v>
      </c>
      <c r="AL985" s="352">
        <f>IF(NFI_Expiration=1,IF($A985&lt;VLOOKUP(M$5,NFI,5,0),1,0)*Table_NFI[[#This Row],[Winter Blanket]],Table_NFI[[#This Row],[Winter Blanket]])</f>
        <v>0</v>
      </c>
      <c r="AM985" s="352">
        <f>IF(Table_NFI[[#This Row],[Winter Clothes Adult]]+Table_NFI[[#This Row],[Winter Clothes Children]]+Table_NFI[[#This Row],[Winter Items Other]]+Table_NFI[[#This Row],[Winter Blanket]]&gt;0,1,0)</f>
        <v>0</v>
      </c>
      <c r="AN985" s="392">
        <f>IF(NFI_Expiration=1,IF($A985&lt;VLOOKUP(V$5,NFI,5,0),1,0)*Table_NFI[[#This Row],[Jerry Can]],Table_NFI[Jerry Can])</f>
        <v>0</v>
      </c>
      <c r="AO985" s="540" t="str">
        <f>IFERROR(VLOOKUP(Table_NFI[[#This Row],[Camp Name]],CL,2,0),"")</f>
        <v>MMR001CMP018</v>
      </c>
      <c r="AP985" s="535">
        <f ca="1">IF(Table_NFI[[#This Row],[Pcode]]="","",IF(OFFSET(CampList[Opening Date],MATCH(Table_NFI[[#This Row],[Pcode]],CampList[CP_Pcode],0)-1,0,1,1)&gt;=NFI_Monitor_Date,1,0))</f>
        <v>0</v>
      </c>
      <c r="AQ985" s="540" t="str">
        <f>IFERROR(VLOOKUP(Table_NFI[[#This Row],[Camp Name]],CL,3,0),"")</f>
        <v>Open</v>
      </c>
      <c r="AR985" s="352" t="str">
        <f ca="1">IF(Table_NFI[[#This Row],[Pcode]]="","",OFFSET(CampList[Priority],MATCH(Table_NFI[[#This Row],[Pcode]],CampList[CP_Pcode],0)-1,0,1,1))</f>
        <v>P4</v>
      </c>
      <c r="AS985" s="351">
        <f>IFERROR(Table_NFI[[#This Row],[Kitchen Set]]/VLOOKUP(Table_NFI[[#This Row],[Camp Name]],CL,4,0),"")</f>
        <v>0</v>
      </c>
      <c r="AT985" s="533" t="s">
        <v>1094</v>
      </c>
      <c r="AU985" s="536"/>
    </row>
    <row r="986" spans="1:47" ht="14.45" customHeight="1" x14ac:dyDescent="0.25">
      <c r="A986" s="355">
        <f t="shared" si="15"/>
        <v>55</v>
      </c>
      <c r="B986" s="532">
        <v>40921</v>
      </c>
      <c r="C986" s="533" t="s">
        <v>453</v>
      </c>
      <c r="D986" s="534" t="s">
        <v>461</v>
      </c>
      <c r="E986" s="533" t="s">
        <v>380</v>
      </c>
      <c r="F986" s="348" t="s">
        <v>528</v>
      </c>
      <c r="G986" s="348" t="s">
        <v>62</v>
      </c>
      <c r="H986" s="349"/>
      <c r="I986" s="349"/>
      <c r="J986" s="349"/>
      <c r="K986" s="349">
        <v>52</v>
      </c>
      <c r="L986" s="350">
        <v>26</v>
      </c>
      <c r="M986" s="350">
        <v>36</v>
      </c>
      <c r="N986" s="350">
        <v>0</v>
      </c>
      <c r="O986" s="350">
        <v>26</v>
      </c>
      <c r="P986" s="352">
        <v>26</v>
      </c>
      <c r="Q986" s="352">
        <v>26</v>
      </c>
      <c r="R986" s="352"/>
      <c r="S986" s="352"/>
      <c r="T986" s="352"/>
      <c r="U986" s="352"/>
      <c r="V986" s="497"/>
      <c r="W986" s="352"/>
      <c r="X986" s="352"/>
      <c r="Y986" s="352">
        <f>IF(NFI_Expiration=1,IF($A986&lt;VLOOKUP(H$5,NFI,5,0),1,0)*Table_NFI[[#This Row],[Hygiene Kit]],Table_NFI[Hygiene Kit])</f>
        <v>0</v>
      </c>
      <c r="Z986" s="352">
        <f>IF(NFI_Expiration=1,IF($A986&lt;VLOOKUP(I$5,NFI,5,0),1,0)*Table_NFI[[#This Row],[NFI Core Kit]],Table_NFI[NFI Core Kit])</f>
        <v>0</v>
      </c>
      <c r="AA986" s="352">
        <f>IF(NFI_Expiration=1,IF($A986&lt;VLOOKUP(J$5,NFI,5,0),1,0)*Table_NFI[[#This Row],[Sanitary Kit]],Table_NFI[Sanitary Kit])</f>
        <v>0</v>
      </c>
      <c r="AB986" s="352">
        <f>IF(NFI_Expiration=1,IF($A986&lt;VLOOKUP(K$5,NFI,5,0),1,0)*Table_NFI[[#This Row],[Mosquito net]],Table_NFI[Mosquito net])</f>
        <v>0</v>
      </c>
      <c r="AC986" s="352">
        <f>IF(NFI_Expiration=1,IF($A986&lt;VLOOKUP(L$5,NFI,5,0),1,0)*Table_NFI[[#This Row],[Tarpaulin]],Table_NFI[[#This Row],[Tarpaulin]])</f>
        <v>0</v>
      </c>
      <c r="AD986" s="352">
        <f>IF(NFI_Expiration=1,IF($A986&lt;VLOOKUP(M$5,NFI,5,0),1,0)*Table_NFI[[#This Row],[Blanket]],Table_NFI[[#This Row],[Blanket]])</f>
        <v>0</v>
      </c>
      <c r="AE986" s="352">
        <f>IF(NFI_Expiration=1,IF($A986&lt;VLOOKUP(N$5,NFI,5,0),1,0)*Table_NFI[[#This Row],[Kitchen Set]],Table_NFI[Kitchen Set])</f>
        <v>0</v>
      </c>
      <c r="AF986" s="352">
        <f>IF(NFI_Expiration=1,IF($A986&lt;VLOOKUP(O$5,NFI,5,0),1,0)*Table_NFI[[#This Row],[Clothes Kit]],Table_NFI[Clothes Kit])</f>
        <v>0</v>
      </c>
      <c r="AG986" s="352">
        <f>IF(NFI_Expiration=1,IF($A986&lt;VLOOKUP(P$5,NFI,5,0),1,0)*Table_NFI[[#This Row],[Plastic Bucket]],Table_NFI[Plastic Bucket])</f>
        <v>0</v>
      </c>
      <c r="AH986" s="352">
        <f>IF(NFI_Expiration=1,IF($A986&lt;VLOOKUP(Q$5,NFI,5,0),1,0)*Table_NFI[[#This Row],[Plastic Mat]],Table_NFI[Plastic Mat])*IF(Table_NFI[[#This Row],[Distribution Date]]&gt;"2014-04-01",1,2.5)</f>
        <v>0</v>
      </c>
      <c r="AI986" s="352">
        <f>IF(NFI_Expiration=1,IF($A986&lt;VLOOKUP(R$5,NFI,5,0),1,0)*Table_NFI[[#This Row],[Winter Clothes Adult]],Table_NFI[Winter Clothes Adult])</f>
        <v>0</v>
      </c>
      <c r="AJ986" s="352">
        <f>IF(NFI_Expiration=1,IF($A986&lt;VLOOKUP(S$5,NFI,5,0),1,0)*Table_NFI[[#This Row],[Winter Clothes Children]],Table_NFI[Winter Clothes Children])</f>
        <v>0</v>
      </c>
      <c r="AK986" s="352">
        <f>IF(NFI_Expiration=1,IF($A986&lt;VLOOKUP(T$5,NFI,5,0),1,0)*Table_NFI[[#This Row],[Winter Items Other]],Table_NFI[Winter Items Other])</f>
        <v>0</v>
      </c>
      <c r="AL986" s="352">
        <f>IF(NFI_Expiration=1,IF($A986&lt;VLOOKUP(M$5,NFI,5,0),1,0)*Table_NFI[[#This Row],[Winter Blanket]],Table_NFI[[#This Row],[Winter Blanket]])</f>
        <v>0</v>
      </c>
      <c r="AM986" s="352">
        <f>IF(Table_NFI[[#This Row],[Winter Clothes Adult]]+Table_NFI[[#This Row],[Winter Clothes Children]]+Table_NFI[[#This Row],[Winter Items Other]]+Table_NFI[[#This Row],[Winter Blanket]]&gt;0,1,0)</f>
        <v>0</v>
      </c>
      <c r="AN986" s="392">
        <f>IF(NFI_Expiration=1,IF($A986&lt;VLOOKUP(V$5,NFI,5,0),1,0)*Table_NFI[[#This Row],[Jerry Can]],Table_NFI[Jerry Can])</f>
        <v>0</v>
      </c>
      <c r="AO986" s="540" t="str">
        <f>IFERROR(VLOOKUP(Table_NFI[[#This Row],[Camp Name]],CL,2,0),"")</f>
        <v>MMR001CMP179</v>
      </c>
      <c r="AP986" s="535">
        <f ca="1">IF(Table_NFI[[#This Row],[Pcode]]="","",IF(OFFSET(CampList[Opening Date],MATCH(Table_NFI[[#This Row],[Pcode]],CampList[CP_Pcode],0)-1,0,1,1)&gt;=NFI_Monitor_Date,1,0))</f>
        <v>0</v>
      </c>
      <c r="AQ986" s="540" t="str">
        <f>IFERROR(VLOOKUP(Table_NFI[[#This Row],[Camp Name]],CL,3,0),"")</f>
        <v>Open</v>
      </c>
      <c r="AR986" s="352" t="str">
        <f ca="1">IF(Table_NFI[[#This Row],[Pcode]]="","",OFFSET(CampList[Priority],MATCH(Table_NFI[[#This Row],[Pcode]],CampList[CP_Pcode],0)-1,0,1,1))</f>
        <v>P4</v>
      </c>
      <c r="AS986" s="351">
        <f>IFERROR(Table_NFI[[#This Row],[Kitchen Set]]/VLOOKUP(Table_NFI[[#This Row],[Camp Name]],CL,4,0),"")</f>
        <v>0</v>
      </c>
      <c r="AT986" s="533" t="s">
        <v>1094</v>
      </c>
      <c r="AU986" s="536"/>
    </row>
    <row r="987" spans="1:47" ht="14.45" hidden="1" customHeight="1" x14ac:dyDescent="0.25">
      <c r="A987" s="355">
        <f t="shared" si="15"/>
        <v>25.266666666666666</v>
      </c>
      <c r="B987" s="532">
        <v>41813</v>
      </c>
      <c r="C987" s="533" t="s">
        <v>1106</v>
      </c>
      <c r="D987" s="533" t="s">
        <v>902</v>
      </c>
      <c r="E987" s="533" t="s">
        <v>380</v>
      </c>
      <c r="F987" s="533" t="s">
        <v>237</v>
      </c>
      <c r="G987" s="533" t="s">
        <v>275</v>
      </c>
      <c r="H987" s="349"/>
      <c r="I987" s="349"/>
      <c r="J987" s="349"/>
      <c r="K987" s="349"/>
      <c r="L987" s="350"/>
      <c r="M987" s="350"/>
      <c r="N987" s="350"/>
      <c r="O987" s="350"/>
      <c r="P987" s="352"/>
      <c r="Q987" s="352"/>
      <c r="R987" s="352"/>
      <c r="S987" s="352"/>
      <c r="T987" s="352"/>
      <c r="U987" s="352">
        <v>88</v>
      </c>
      <c r="V987" s="497"/>
      <c r="W987" s="352"/>
      <c r="X987" s="352"/>
      <c r="Y987" s="352">
        <f>IF(NFI_Expiration=1,IF($A987&lt;VLOOKUP(H$5,NFI,5,0),1,0)*Table_NFI[[#This Row],[Hygiene Kit]],Table_NFI[Hygiene Kit])</f>
        <v>0</v>
      </c>
      <c r="Z987" s="352">
        <f>IF(NFI_Expiration=1,IF($A987&lt;VLOOKUP(I$5,NFI,5,0),1,0)*Table_NFI[[#This Row],[NFI Core Kit]],Table_NFI[NFI Core Kit])</f>
        <v>0</v>
      </c>
      <c r="AA987" s="352">
        <f>IF(NFI_Expiration=1,IF($A987&lt;VLOOKUP(J$5,NFI,5,0),1,0)*Table_NFI[[#This Row],[Sanitary Kit]],Table_NFI[Sanitary Kit])</f>
        <v>0</v>
      </c>
      <c r="AB987" s="352">
        <f>IF(NFI_Expiration=1,IF($A987&lt;VLOOKUP(K$5,NFI,5,0),1,0)*Table_NFI[[#This Row],[Mosquito net]],Table_NFI[Mosquito net])</f>
        <v>0</v>
      </c>
      <c r="AC987" s="352">
        <f>IF(NFI_Expiration=1,IF($A987&lt;VLOOKUP(L$5,NFI,5,0),1,0)*Table_NFI[[#This Row],[Tarpaulin]],Table_NFI[[#This Row],[Tarpaulin]])</f>
        <v>0</v>
      </c>
      <c r="AD987" s="352">
        <f>IF(NFI_Expiration=1,IF($A987&lt;VLOOKUP(M$5,NFI,5,0),1,0)*Table_NFI[[#This Row],[Blanket]],Table_NFI[[#This Row],[Blanket]])</f>
        <v>0</v>
      </c>
      <c r="AE987" s="352">
        <f>IF(NFI_Expiration=1,IF($A987&lt;VLOOKUP(N$5,NFI,5,0),1,0)*Table_NFI[[#This Row],[Kitchen Set]],Table_NFI[Kitchen Set])</f>
        <v>0</v>
      </c>
      <c r="AF987" s="352">
        <f>IF(NFI_Expiration=1,IF($A987&lt;VLOOKUP(O$5,NFI,5,0),1,0)*Table_NFI[[#This Row],[Clothes Kit]],Table_NFI[Clothes Kit])</f>
        <v>0</v>
      </c>
      <c r="AG987" s="352">
        <f>IF(NFI_Expiration=1,IF($A987&lt;VLOOKUP(P$5,NFI,5,0),1,0)*Table_NFI[[#This Row],[Plastic Bucket]],Table_NFI[Plastic Bucket])</f>
        <v>0</v>
      </c>
      <c r="AH987" s="352">
        <f>IF(NFI_Expiration=1,IF($A987&lt;VLOOKUP(Q$5,NFI,5,0),1,0)*Table_NFI[[#This Row],[Plastic Mat]],Table_NFI[Plastic Mat])*IF(Table_NFI[[#This Row],[Distribution Date]]&gt;"2014-04-01",1,2.5)</f>
        <v>0</v>
      </c>
      <c r="AI987" s="352">
        <f>IF(NFI_Expiration=1,IF($A987&lt;VLOOKUP(R$5,NFI,5,0),1,0)*Table_NFI[[#This Row],[Winter Clothes Adult]],Table_NFI[Winter Clothes Adult])</f>
        <v>0</v>
      </c>
      <c r="AJ987" s="352">
        <f>IF(NFI_Expiration=1,IF($A987&lt;VLOOKUP(S$5,NFI,5,0),1,0)*Table_NFI[[#This Row],[Winter Clothes Children]],Table_NFI[Winter Clothes Children])</f>
        <v>0</v>
      </c>
      <c r="AK987" s="352">
        <f>IF(NFI_Expiration=1,IF($A987&lt;VLOOKUP(T$5,NFI,5,0),1,0)*Table_NFI[[#This Row],[Winter Items Other]],Table_NFI[Winter Items Other])</f>
        <v>0</v>
      </c>
      <c r="AL987" s="352">
        <f>IF(NFI_Expiration=1,IF($A987&lt;VLOOKUP(M$5,NFI,5,0),1,0)*Table_NFI[[#This Row],[Winter Blanket]],Table_NFI[[#This Row],[Winter Blanket]])</f>
        <v>0</v>
      </c>
      <c r="AM987" s="352">
        <f>IF(Table_NFI[[#This Row],[Winter Clothes Adult]]+Table_NFI[[#This Row],[Winter Clothes Children]]+Table_NFI[[#This Row],[Winter Items Other]]+Table_NFI[[#This Row],[Winter Blanket]]&gt;0,1,0)</f>
        <v>1</v>
      </c>
      <c r="AN987" s="392">
        <f>IF(NFI_Expiration=1,IF($A987&lt;VLOOKUP(V$5,NFI,5,0),1,0)*Table_NFI[[#This Row],[Jerry Can]],Table_NFI[Jerry Can])</f>
        <v>0</v>
      </c>
      <c r="AO987" s="540" t="str">
        <f>IFERROR(VLOOKUP(Table_NFI[[#This Row],[Camp Name]],CL,2,0),"")</f>
        <v>MMR001CMP005</v>
      </c>
      <c r="AP987" s="535">
        <f ca="1">IF(Table_NFI[[#This Row],[Pcode]]="","",IF(OFFSET(CampList[Opening Date],MATCH(Table_NFI[[#This Row],[Pcode]],CampList[CP_Pcode],0)-1,0,1,1)&gt;=NFI_Monitor_Date,1,0))</f>
        <v>0</v>
      </c>
      <c r="AQ987" s="540" t="str">
        <f>IFERROR(VLOOKUP(Table_NFI[[#This Row],[Camp Name]],CL,3,0),"")</f>
        <v>Open</v>
      </c>
      <c r="AR987" s="352" t="str">
        <f ca="1">IF(Table_NFI[[#This Row],[Pcode]]="","",OFFSET(CampList[Priority],MATCH(Table_NFI[[#This Row],[Pcode]],CampList[CP_Pcode],0)-1,0,1,1))</f>
        <v>P4</v>
      </c>
      <c r="AS987" s="351">
        <f>IFERROR(Table_NFI[[#This Row],[Kitchen Set]]/VLOOKUP(Table_NFI[[#This Row],[Camp Name]],CL,4,0),"")</f>
        <v>0</v>
      </c>
      <c r="AT987" s="533"/>
      <c r="AU987" s="536"/>
    </row>
    <row r="988" spans="1:47" s="537" customFormat="1" ht="14.45" customHeight="1" x14ac:dyDescent="0.25">
      <c r="A988" s="355">
        <f t="shared" si="15"/>
        <v>55</v>
      </c>
      <c r="B988" s="532">
        <v>40921</v>
      </c>
      <c r="C988" s="533" t="s">
        <v>453</v>
      </c>
      <c r="D988" s="533" t="s">
        <v>461</v>
      </c>
      <c r="E988" s="533" t="s">
        <v>380</v>
      </c>
      <c r="F988" s="348" t="s">
        <v>528</v>
      </c>
      <c r="G988" s="348" t="s">
        <v>62</v>
      </c>
      <c r="H988" s="349"/>
      <c r="I988" s="349"/>
      <c r="J988" s="349"/>
      <c r="K988" s="349">
        <v>120</v>
      </c>
      <c r="L988" s="350">
        <v>60</v>
      </c>
      <c r="M988" s="350">
        <v>60</v>
      </c>
      <c r="N988" s="350">
        <v>0</v>
      </c>
      <c r="O988" s="350">
        <v>60</v>
      </c>
      <c r="P988" s="352">
        <v>60</v>
      </c>
      <c r="Q988" s="352">
        <v>60</v>
      </c>
      <c r="R988" s="352"/>
      <c r="S988" s="352"/>
      <c r="T988" s="352"/>
      <c r="U988" s="352"/>
      <c r="V988" s="497"/>
      <c r="W988" s="352"/>
      <c r="X988" s="352"/>
      <c r="Y988" s="352">
        <f>IF(NFI_Expiration=1,IF($A988&lt;VLOOKUP(H$5,NFI,5,0),1,0)*Table_NFI[[#This Row],[Hygiene Kit]],Table_NFI[Hygiene Kit])</f>
        <v>0</v>
      </c>
      <c r="Z988" s="352">
        <f>IF(NFI_Expiration=1,IF($A988&lt;VLOOKUP(I$5,NFI,5,0),1,0)*Table_NFI[[#This Row],[NFI Core Kit]],Table_NFI[NFI Core Kit])</f>
        <v>0</v>
      </c>
      <c r="AA988" s="352">
        <f>IF(NFI_Expiration=1,IF($A988&lt;VLOOKUP(J$5,NFI,5,0),1,0)*Table_NFI[[#This Row],[Sanitary Kit]],Table_NFI[Sanitary Kit])</f>
        <v>0</v>
      </c>
      <c r="AB988" s="352">
        <f>IF(NFI_Expiration=1,IF($A988&lt;VLOOKUP(K$5,NFI,5,0),1,0)*Table_NFI[[#This Row],[Mosquito net]],Table_NFI[Mosquito net])</f>
        <v>0</v>
      </c>
      <c r="AC988" s="352">
        <f>IF(NFI_Expiration=1,IF($A988&lt;VLOOKUP(L$5,NFI,5,0),1,0)*Table_NFI[[#This Row],[Tarpaulin]],Table_NFI[[#This Row],[Tarpaulin]])</f>
        <v>0</v>
      </c>
      <c r="AD988" s="352">
        <f>IF(NFI_Expiration=1,IF($A988&lt;VLOOKUP(M$5,NFI,5,0),1,0)*Table_NFI[[#This Row],[Blanket]],Table_NFI[[#This Row],[Blanket]])</f>
        <v>0</v>
      </c>
      <c r="AE988" s="352">
        <f>IF(NFI_Expiration=1,IF($A988&lt;VLOOKUP(N$5,NFI,5,0),1,0)*Table_NFI[[#This Row],[Kitchen Set]],Table_NFI[Kitchen Set])</f>
        <v>0</v>
      </c>
      <c r="AF988" s="352">
        <f>IF(NFI_Expiration=1,IF($A988&lt;VLOOKUP(O$5,NFI,5,0),1,0)*Table_NFI[[#This Row],[Clothes Kit]],Table_NFI[Clothes Kit])</f>
        <v>0</v>
      </c>
      <c r="AG988" s="352">
        <f>IF(NFI_Expiration=1,IF($A988&lt;VLOOKUP(P$5,NFI,5,0),1,0)*Table_NFI[[#This Row],[Plastic Bucket]],Table_NFI[Plastic Bucket])</f>
        <v>0</v>
      </c>
      <c r="AH988" s="352">
        <f>IF(NFI_Expiration=1,IF($A988&lt;VLOOKUP(Q$5,NFI,5,0),1,0)*Table_NFI[[#This Row],[Plastic Mat]],Table_NFI[Plastic Mat])*IF(Table_NFI[[#This Row],[Distribution Date]]&gt;"2014-04-01",1,2.5)</f>
        <v>0</v>
      </c>
      <c r="AI988" s="352">
        <f>IF(NFI_Expiration=1,IF($A988&lt;VLOOKUP(R$5,NFI,5,0),1,0)*Table_NFI[[#This Row],[Winter Clothes Adult]],Table_NFI[Winter Clothes Adult])</f>
        <v>0</v>
      </c>
      <c r="AJ988" s="352">
        <f>IF(NFI_Expiration=1,IF($A988&lt;VLOOKUP(S$5,NFI,5,0),1,0)*Table_NFI[[#This Row],[Winter Clothes Children]],Table_NFI[Winter Clothes Children])</f>
        <v>0</v>
      </c>
      <c r="AK988" s="352">
        <f>IF(NFI_Expiration=1,IF($A988&lt;VLOOKUP(T$5,NFI,5,0),1,0)*Table_NFI[[#This Row],[Winter Items Other]],Table_NFI[Winter Items Other])</f>
        <v>0</v>
      </c>
      <c r="AL988" s="352">
        <f>IF(NFI_Expiration=1,IF($A988&lt;VLOOKUP(M$5,NFI,5,0),1,0)*Table_NFI[[#This Row],[Winter Blanket]],Table_NFI[[#This Row],[Winter Blanket]])</f>
        <v>0</v>
      </c>
      <c r="AM988" s="352">
        <f>IF(Table_NFI[[#This Row],[Winter Clothes Adult]]+Table_NFI[[#This Row],[Winter Clothes Children]]+Table_NFI[[#This Row],[Winter Items Other]]+Table_NFI[[#This Row],[Winter Blanket]]&gt;0,1,0)</f>
        <v>0</v>
      </c>
      <c r="AN988" s="392">
        <f>IF(NFI_Expiration=1,IF($A988&lt;VLOOKUP(V$5,NFI,5,0),1,0)*Table_NFI[[#This Row],[Jerry Can]],Table_NFI[Jerry Can])</f>
        <v>0</v>
      </c>
      <c r="AO988" s="540" t="str">
        <f>IFERROR(VLOOKUP(Table_NFI[[#This Row],[Camp Name]],CL,2,0),"")</f>
        <v>MMR001CMP179</v>
      </c>
      <c r="AP988" s="535">
        <f ca="1">IF(Table_NFI[[#This Row],[Pcode]]="","",IF(OFFSET(CampList[Opening Date],MATCH(Table_NFI[[#This Row],[Pcode]],CampList[CP_Pcode],0)-1,0,1,1)&gt;=NFI_Monitor_Date,1,0))</f>
        <v>0</v>
      </c>
      <c r="AQ988" s="540" t="str">
        <f>IFERROR(VLOOKUP(Table_NFI[[#This Row],[Camp Name]],CL,3,0),"")</f>
        <v>Open</v>
      </c>
      <c r="AR988" s="352" t="str">
        <f ca="1">IF(Table_NFI[[#This Row],[Pcode]]="","",OFFSET(CampList[Priority],MATCH(Table_NFI[[#This Row],[Pcode]],CampList[CP_Pcode],0)-1,0,1,1))</f>
        <v>P4</v>
      </c>
      <c r="AS988" s="351">
        <f>IFERROR(Table_NFI[[#This Row],[Kitchen Set]]/VLOOKUP(Table_NFI[[#This Row],[Camp Name]],CL,4,0),"")</f>
        <v>0</v>
      </c>
      <c r="AT988" s="533" t="s">
        <v>1094</v>
      </c>
      <c r="AU988" s="536"/>
    </row>
    <row r="989" spans="1:47" s="537" customFormat="1" ht="14.45" customHeight="1" x14ac:dyDescent="0.25">
      <c r="A989" s="355">
        <f t="shared" si="15"/>
        <v>55</v>
      </c>
      <c r="B989" s="532">
        <v>40921</v>
      </c>
      <c r="C989" s="533" t="s">
        <v>453</v>
      </c>
      <c r="D989" s="534" t="s">
        <v>461</v>
      </c>
      <c r="E989" s="533" t="s">
        <v>380</v>
      </c>
      <c r="F989" s="348" t="s">
        <v>528</v>
      </c>
      <c r="G989" s="348" t="s">
        <v>62</v>
      </c>
      <c r="H989" s="349"/>
      <c r="I989" s="349"/>
      <c r="J989" s="349"/>
      <c r="K989" s="349">
        <v>148</v>
      </c>
      <c r="L989" s="350">
        <v>74</v>
      </c>
      <c r="M989" s="350">
        <v>74</v>
      </c>
      <c r="N989" s="350">
        <v>0</v>
      </c>
      <c r="O989" s="350">
        <v>74</v>
      </c>
      <c r="P989" s="352">
        <v>74</v>
      </c>
      <c r="Q989" s="352">
        <v>74</v>
      </c>
      <c r="R989" s="352"/>
      <c r="S989" s="352"/>
      <c r="T989" s="352"/>
      <c r="U989" s="352"/>
      <c r="V989" s="497"/>
      <c r="W989" s="352"/>
      <c r="X989" s="352"/>
      <c r="Y989" s="352">
        <f>IF(NFI_Expiration=1,IF($A989&lt;VLOOKUP(H$5,NFI,5,0),1,0)*Table_NFI[[#This Row],[Hygiene Kit]],Table_NFI[Hygiene Kit])</f>
        <v>0</v>
      </c>
      <c r="Z989" s="352">
        <f>IF(NFI_Expiration=1,IF($A989&lt;VLOOKUP(I$5,NFI,5,0),1,0)*Table_NFI[[#This Row],[NFI Core Kit]],Table_NFI[NFI Core Kit])</f>
        <v>0</v>
      </c>
      <c r="AA989" s="352">
        <f>IF(NFI_Expiration=1,IF($A989&lt;VLOOKUP(J$5,NFI,5,0),1,0)*Table_NFI[[#This Row],[Sanitary Kit]],Table_NFI[Sanitary Kit])</f>
        <v>0</v>
      </c>
      <c r="AB989" s="352">
        <f>IF(NFI_Expiration=1,IF($A989&lt;VLOOKUP(K$5,NFI,5,0),1,0)*Table_NFI[[#This Row],[Mosquito net]],Table_NFI[Mosquito net])</f>
        <v>0</v>
      </c>
      <c r="AC989" s="352">
        <f>IF(NFI_Expiration=1,IF($A989&lt;VLOOKUP(L$5,NFI,5,0),1,0)*Table_NFI[[#This Row],[Tarpaulin]],Table_NFI[[#This Row],[Tarpaulin]])</f>
        <v>0</v>
      </c>
      <c r="AD989" s="352">
        <f>IF(NFI_Expiration=1,IF($A989&lt;VLOOKUP(M$5,NFI,5,0),1,0)*Table_NFI[[#This Row],[Blanket]],Table_NFI[[#This Row],[Blanket]])</f>
        <v>0</v>
      </c>
      <c r="AE989" s="352">
        <f>IF(NFI_Expiration=1,IF($A989&lt;VLOOKUP(N$5,NFI,5,0),1,0)*Table_NFI[[#This Row],[Kitchen Set]],Table_NFI[Kitchen Set])</f>
        <v>0</v>
      </c>
      <c r="AF989" s="352">
        <f>IF(NFI_Expiration=1,IF($A989&lt;VLOOKUP(O$5,NFI,5,0),1,0)*Table_NFI[[#This Row],[Clothes Kit]],Table_NFI[Clothes Kit])</f>
        <v>0</v>
      </c>
      <c r="AG989" s="352">
        <f>IF(NFI_Expiration=1,IF($A989&lt;VLOOKUP(P$5,NFI,5,0),1,0)*Table_NFI[[#This Row],[Plastic Bucket]],Table_NFI[Plastic Bucket])</f>
        <v>0</v>
      </c>
      <c r="AH989" s="352">
        <f>IF(NFI_Expiration=1,IF($A989&lt;VLOOKUP(Q$5,NFI,5,0),1,0)*Table_NFI[[#This Row],[Plastic Mat]],Table_NFI[Plastic Mat])*IF(Table_NFI[[#This Row],[Distribution Date]]&gt;"2014-04-01",1,2.5)</f>
        <v>0</v>
      </c>
      <c r="AI989" s="352">
        <f>IF(NFI_Expiration=1,IF($A989&lt;VLOOKUP(R$5,NFI,5,0),1,0)*Table_NFI[[#This Row],[Winter Clothes Adult]],Table_NFI[Winter Clothes Adult])</f>
        <v>0</v>
      </c>
      <c r="AJ989" s="352">
        <f>IF(NFI_Expiration=1,IF($A989&lt;VLOOKUP(S$5,NFI,5,0),1,0)*Table_NFI[[#This Row],[Winter Clothes Children]],Table_NFI[Winter Clothes Children])</f>
        <v>0</v>
      </c>
      <c r="AK989" s="352">
        <f>IF(NFI_Expiration=1,IF($A989&lt;VLOOKUP(T$5,NFI,5,0),1,0)*Table_NFI[[#This Row],[Winter Items Other]],Table_NFI[Winter Items Other])</f>
        <v>0</v>
      </c>
      <c r="AL989" s="352">
        <f>IF(NFI_Expiration=1,IF($A989&lt;VLOOKUP(M$5,NFI,5,0),1,0)*Table_NFI[[#This Row],[Winter Blanket]],Table_NFI[[#This Row],[Winter Blanket]])</f>
        <v>0</v>
      </c>
      <c r="AM989" s="352">
        <f>IF(Table_NFI[[#This Row],[Winter Clothes Adult]]+Table_NFI[[#This Row],[Winter Clothes Children]]+Table_NFI[[#This Row],[Winter Items Other]]+Table_NFI[[#This Row],[Winter Blanket]]&gt;0,1,0)</f>
        <v>0</v>
      </c>
      <c r="AN989" s="392">
        <f>IF(NFI_Expiration=1,IF($A989&lt;VLOOKUP(V$5,NFI,5,0),1,0)*Table_NFI[[#This Row],[Jerry Can]],Table_NFI[Jerry Can])</f>
        <v>0</v>
      </c>
      <c r="AO989" s="540" t="str">
        <f>IFERROR(VLOOKUP(Table_NFI[[#This Row],[Camp Name]],CL,2,0),"")</f>
        <v>MMR001CMP179</v>
      </c>
      <c r="AP989" s="535">
        <f ca="1">IF(Table_NFI[[#This Row],[Pcode]]="","",IF(OFFSET(CampList[Opening Date],MATCH(Table_NFI[[#This Row],[Pcode]],CampList[CP_Pcode],0)-1,0,1,1)&gt;=NFI_Monitor_Date,1,0))</f>
        <v>0</v>
      </c>
      <c r="AQ989" s="540" t="str">
        <f>IFERROR(VLOOKUP(Table_NFI[[#This Row],[Camp Name]],CL,3,0),"")</f>
        <v>Open</v>
      </c>
      <c r="AR989" s="352" t="str">
        <f ca="1">IF(Table_NFI[[#This Row],[Pcode]]="","",OFFSET(CampList[Priority],MATCH(Table_NFI[[#This Row],[Pcode]],CampList[CP_Pcode],0)-1,0,1,1))</f>
        <v>P4</v>
      </c>
      <c r="AS989" s="351">
        <f>IFERROR(Table_NFI[[#This Row],[Kitchen Set]]/VLOOKUP(Table_NFI[[#This Row],[Camp Name]],CL,4,0),"")</f>
        <v>0</v>
      </c>
      <c r="AT989" s="533" t="s">
        <v>1094</v>
      </c>
      <c r="AU989" s="536"/>
    </row>
    <row r="990" spans="1:47" s="537" customFormat="1" ht="14.45" customHeight="1" x14ac:dyDescent="0.25">
      <c r="A990" s="355">
        <f t="shared" si="15"/>
        <v>55</v>
      </c>
      <c r="B990" s="532">
        <v>40921</v>
      </c>
      <c r="C990" s="533" t="s">
        <v>453</v>
      </c>
      <c r="D990" s="534" t="s">
        <v>461</v>
      </c>
      <c r="E990" s="533" t="s">
        <v>380</v>
      </c>
      <c r="F990" s="348" t="s">
        <v>528</v>
      </c>
      <c r="G990" s="348" t="s">
        <v>52</v>
      </c>
      <c r="H990" s="349"/>
      <c r="I990" s="349"/>
      <c r="J990" s="349"/>
      <c r="K990" s="349">
        <v>70</v>
      </c>
      <c r="L990" s="350">
        <v>35</v>
      </c>
      <c r="M990" s="350">
        <v>35</v>
      </c>
      <c r="N990" s="350">
        <v>0</v>
      </c>
      <c r="O990" s="350">
        <v>35</v>
      </c>
      <c r="P990" s="352">
        <v>35</v>
      </c>
      <c r="Q990" s="352">
        <v>35</v>
      </c>
      <c r="R990" s="352"/>
      <c r="S990" s="352"/>
      <c r="T990" s="352"/>
      <c r="U990" s="352"/>
      <c r="V990" s="497"/>
      <c r="W990" s="352"/>
      <c r="X990" s="352"/>
      <c r="Y990" s="352">
        <f>IF(NFI_Expiration=1,IF($A990&lt;VLOOKUP(H$5,NFI,5,0),1,0)*Table_NFI[[#This Row],[Hygiene Kit]],Table_NFI[Hygiene Kit])</f>
        <v>0</v>
      </c>
      <c r="Z990" s="352">
        <f>IF(NFI_Expiration=1,IF($A990&lt;VLOOKUP(I$5,NFI,5,0),1,0)*Table_NFI[[#This Row],[NFI Core Kit]],Table_NFI[NFI Core Kit])</f>
        <v>0</v>
      </c>
      <c r="AA990" s="352">
        <f>IF(NFI_Expiration=1,IF($A990&lt;VLOOKUP(J$5,NFI,5,0),1,0)*Table_NFI[[#This Row],[Sanitary Kit]],Table_NFI[Sanitary Kit])</f>
        <v>0</v>
      </c>
      <c r="AB990" s="352">
        <f>IF(NFI_Expiration=1,IF($A990&lt;VLOOKUP(K$5,NFI,5,0),1,0)*Table_NFI[[#This Row],[Mosquito net]],Table_NFI[Mosquito net])</f>
        <v>0</v>
      </c>
      <c r="AC990" s="352">
        <f>IF(NFI_Expiration=1,IF($A990&lt;VLOOKUP(L$5,NFI,5,0),1,0)*Table_NFI[[#This Row],[Tarpaulin]],Table_NFI[[#This Row],[Tarpaulin]])</f>
        <v>0</v>
      </c>
      <c r="AD990" s="352">
        <f>IF(NFI_Expiration=1,IF($A990&lt;VLOOKUP(M$5,NFI,5,0),1,0)*Table_NFI[[#This Row],[Blanket]],Table_NFI[[#This Row],[Blanket]])</f>
        <v>0</v>
      </c>
      <c r="AE990" s="352">
        <f>IF(NFI_Expiration=1,IF($A990&lt;VLOOKUP(N$5,NFI,5,0),1,0)*Table_NFI[[#This Row],[Kitchen Set]],Table_NFI[Kitchen Set])</f>
        <v>0</v>
      </c>
      <c r="AF990" s="352">
        <f>IF(NFI_Expiration=1,IF($A990&lt;VLOOKUP(O$5,NFI,5,0),1,0)*Table_NFI[[#This Row],[Clothes Kit]],Table_NFI[Clothes Kit])</f>
        <v>0</v>
      </c>
      <c r="AG990" s="352">
        <f>IF(NFI_Expiration=1,IF($A990&lt;VLOOKUP(P$5,NFI,5,0),1,0)*Table_NFI[[#This Row],[Plastic Bucket]],Table_NFI[Plastic Bucket])</f>
        <v>0</v>
      </c>
      <c r="AH990" s="352">
        <f>IF(NFI_Expiration=1,IF($A990&lt;VLOOKUP(Q$5,NFI,5,0),1,0)*Table_NFI[[#This Row],[Plastic Mat]],Table_NFI[Plastic Mat])*IF(Table_NFI[[#This Row],[Distribution Date]]&gt;"2014-04-01",1,2.5)</f>
        <v>0</v>
      </c>
      <c r="AI990" s="352">
        <f>IF(NFI_Expiration=1,IF($A990&lt;VLOOKUP(R$5,NFI,5,0),1,0)*Table_NFI[[#This Row],[Winter Clothes Adult]],Table_NFI[Winter Clothes Adult])</f>
        <v>0</v>
      </c>
      <c r="AJ990" s="352">
        <f>IF(NFI_Expiration=1,IF($A990&lt;VLOOKUP(S$5,NFI,5,0),1,0)*Table_NFI[[#This Row],[Winter Clothes Children]],Table_NFI[Winter Clothes Children])</f>
        <v>0</v>
      </c>
      <c r="AK990" s="352">
        <f>IF(NFI_Expiration=1,IF($A990&lt;VLOOKUP(T$5,NFI,5,0),1,0)*Table_NFI[[#This Row],[Winter Items Other]],Table_NFI[Winter Items Other])</f>
        <v>0</v>
      </c>
      <c r="AL990" s="352">
        <f>IF(NFI_Expiration=1,IF($A990&lt;VLOOKUP(M$5,NFI,5,0),1,0)*Table_NFI[[#This Row],[Winter Blanket]],Table_NFI[[#This Row],[Winter Blanket]])</f>
        <v>0</v>
      </c>
      <c r="AM990" s="352">
        <f>IF(Table_NFI[[#This Row],[Winter Clothes Adult]]+Table_NFI[[#This Row],[Winter Clothes Children]]+Table_NFI[[#This Row],[Winter Items Other]]+Table_NFI[[#This Row],[Winter Blanket]]&gt;0,1,0)</f>
        <v>0</v>
      </c>
      <c r="AN990" s="392">
        <f>IF(NFI_Expiration=1,IF($A990&lt;VLOOKUP(V$5,NFI,5,0),1,0)*Table_NFI[[#This Row],[Jerry Can]],Table_NFI[Jerry Can])</f>
        <v>0</v>
      </c>
      <c r="AO990" s="540" t="str">
        <f>IFERROR(VLOOKUP(Table_NFI[[#This Row],[Camp Name]],CL,2,0),"")</f>
        <v>MMR001CMP169</v>
      </c>
      <c r="AP990" s="535">
        <f ca="1">IF(Table_NFI[[#This Row],[Pcode]]="","",IF(OFFSET(CampList[Opening Date],MATCH(Table_NFI[[#This Row],[Pcode]],CampList[CP_Pcode],0)-1,0,1,1)&gt;=NFI_Monitor_Date,1,0))</f>
        <v>0</v>
      </c>
      <c r="AQ990" s="540" t="str">
        <f>IFERROR(VLOOKUP(Table_NFI[[#This Row],[Camp Name]],CL,3,0),"")</f>
        <v>Open</v>
      </c>
      <c r="AR990" s="352" t="str">
        <f ca="1">IF(Table_NFI[[#This Row],[Pcode]]="","",OFFSET(CampList[Priority],MATCH(Table_NFI[[#This Row],[Pcode]],CampList[CP_Pcode],0)-1,0,1,1))</f>
        <v>P4</v>
      </c>
      <c r="AS990" s="351">
        <f>IFERROR(Table_NFI[[#This Row],[Kitchen Set]]/VLOOKUP(Table_NFI[[#This Row],[Camp Name]],CL,4,0),"")</f>
        <v>0</v>
      </c>
      <c r="AT990" s="533" t="s">
        <v>1094</v>
      </c>
      <c r="AU990" s="536"/>
    </row>
    <row r="991" spans="1:47" s="537" customFormat="1" ht="14.45" customHeight="1" x14ac:dyDescent="0.25">
      <c r="A991" s="355">
        <f t="shared" si="15"/>
        <v>55</v>
      </c>
      <c r="B991" s="532">
        <v>40921</v>
      </c>
      <c r="C991" s="533" t="s">
        <v>453</v>
      </c>
      <c r="D991" s="534" t="s">
        <v>461</v>
      </c>
      <c r="E991" s="533" t="s">
        <v>380</v>
      </c>
      <c r="F991" s="348" t="s">
        <v>528</v>
      </c>
      <c r="G991" s="348" t="s">
        <v>88</v>
      </c>
      <c r="H991" s="349"/>
      <c r="I991" s="349"/>
      <c r="J991" s="349"/>
      <c r="K991" s="349">
        <v>10</v>
      </c>
      <c r="L991" s="350">
        <v>5</v>
      </c>
      <c r="M991" s="350">
        <v>5</v>
      </c>
      <c r="N991" s="350">
        <v>0</v>
      </c>
      <c r="O991" s="350">
        <v>5</v>
      </c>
      <c r="P991" s="352">
        <v>5</v>
      </c>
      <c r="Q991" s="352">
        <v>5</v>
      </c>
      <c r="R991" s="352"/>
      <c r="S991" s="352"/>
      <c r="T991" s="352"/>
      <c r="U991" s="352"/>
      <c r="V991" s="497"/>
      <c r="W991" s="352"/>
      <c r="X991" s="352"/>
      <c r="Y991" s="352">
        <f>IF(NFI_Expiration=1,IF($A991&lt;VLOOKUP(H$5,NFI,5,0),1,0)*Table_NFI[[#This Row],[Hygiene Kit]],Table_NFI[Hygiene Kit])</f>
        <v>0</v>
      </c>
      <c r="Z991" s="352">
        <f>IF(NFI_Expiration=1,IF($A991&lt;VLOOKUP(I$5,NFI,5,0),1,0)*Table_NFI[[#This Row],[NFI Core Kit]],Table_NFI[NFI Core Kit])</f>
        <v>0</v>
      </c>
      <c r="AA991" s="352">
        <f>IF(NFI_Expiration=1,IF($A991&lt;VLOOKUP(J$5,NFI,5,0),1,0)*Table_NFI[[#This Row],[Sanitary Kit]],Table_NFI[Sanitary Kit])</f>
        <v>0</v>
      </c>
      <c r="AB991" s="352">
        <f>IF(NFI_Expiration=1,IF($A991&lt;VLOOKUP(K$5,NFI,5,0),1,0)*Table_NFI[[#This Row],[Mosquito net]],Table_NFI[Mosquito net])</f>
        <v>0</v>
      </c>
      <c r="AC991" s="352">
        <f>IF(NFI_Expiration=1,IF($A991&lt;VLOOKUP(L$5,NFI,5,0),1,0)*Table_NFI[[#This Row],[Tarpaulin]],Table_NFI[[#This Row],[Tarpaulin]])</f>
        <v>0</v>
      </c>
      <c r="AD991" s="352">
        <f>IF(NFI_Expiration=1,IF($A991&lt;VLOOKUP(M$5,NFI,5,0),1,0)*Table_NFI[[#This Row],[Blanket]],Table_NFI[[#This Row],[Blanket]])</f>
        <v>0</v>
      </c>
      <c r="AE991" s="352">
        <f>IF(NFI_Expiration=1,IF($A991&lt;VLOOKUP(N$5,NFI,5,0),1,0)*Table_NFI[[#This Row],[Kitchen Set]],Table_NFI[Kitchen Set])</f>
        <v>0</v>
      </c>
      <c r="AF991" s="352">
        <f>IF(NFI_Expiration=1,IF($A991&lt;VLOOKUP(O$5,NFI,5,0),1,0)*Table_NFI[[#This Row],[Clothes Kit]],Table_NFI[Clothes Kit])</f>
        <v>0</v>
      </c>
      <c r="AG991" s="352">
        <f>IF(NFI_Expiration=1,IF($A991&lt;VLOOKUP(P$5,NFI,5,0),1,0)*Table_NFI[[#This Row],[Plastic Bucket]],Table_NFI[Plastic Bucket])</f>
        <v>0</v>
      </c>
      <c r="AH991" s="352">
        <f>IF(NFI_Expiration=1,IF($A991&lt;VLOOKUP(Q$5,NFI,5,0),1,0)*Table_NFI[[#This Row],[Plastic Mat]],Table_NFI[Plastic Mat])*IF(Table_NFI[[#This Row],[Distribution Date]]&gt;"2014-04-01",1,2.5)</f>
        <v>0</v>
      </c>
      <c r="AI991" s="352">
        <f>IF(NFI_Expiration=1,IF($A991&lt;VLOOKUP(R$5,NFI,5,0),1,0)*Table_NFI[[#This Row],[Winter Clothes Adult]],Table_NFI[Winter Clothes Adult])</f>
        <v>0</v>
      </c>
      <c r="AJ991" s="352">
        <f>IF(NFI_Expiration=1,IF($A991&lt;VLOOKUP(S$5,NFI,5,0),1,0)*Table_NFI[[#This Row],[Winter Clothes Children]],Table_NFI[Winter Clothes Children])</f>
        <v>0</v>
      </c>
      <c r="AK991" s="352">
        <f>IF(NFI_Expiration=1,IF($A991&lt;VLOOKUP(T$5,NFI,5,0),1,0)*Table_NFI[[#This Row],[Winter Items Other]],Table_NFI[Winter Items Other])</f>
        <v>0</v>
      </c>
      <c r="AL991" s="352">
        <f>IF(NFI_Expiration=1,IF($A991&lt;VLOOKUP(M$5,NFI,5,0),1,0)*Table_NFI[[#This Row],[Winter Blanket]],Table_NFI[[#This Row],[Winter Blanket]])</f>
        <v>0</v>
      </c>
      <c r="AM991" s="352">
        <f>IF(Table_NFI[[#This Row],[Winter Clothes Adult]]+Table_NFI[[#This Row],[Winter Clothes Children]]+Table_NFI[[#This Row],[Winter Items Other]]+Table_NFI[[#This Row],[Winter Blanket]]&gt;0,1,0)</f>
        <v>0</v>
      </c>
      <c r="AN991" s="392">
        <f>IF(NFI_Expiration=1,IF($A991&lt;VLOOKUP(V$5,NFI,5,0),1,0)*Table_NFI[[#This Row],[Jerry Can]],Table_NFI[Jerry Can])</f>
        <v>0</v>
      </c>
      <c r="AO991" s="540" t="str">
        <f>IFERROR(VLOOKUP(Table_NFI[[#This Row],[Camp Name]],CL,2,0),"")</f>
        <v>MMR001CMP148</v>
      </c>
      <c r="AP991" s="535">
        <f ca="1">IF(Table_NFI[[#This Row],[Pcode]]="","",IF(OFFSET(CampList[Opening Date],MATCH(Table_NFI[[#This Row],[Pcode]],CampList[CP_Pcode],0)-1,0,1,1)&gt;=NFI_Monitor_Date,1,0))</f>
        <v>0</v>
      </c>
      <c r="AQ991" s="540" t="str">
        <f>IFERROR(VLOOKUP(Table_NFI[[#This Row],[Camp Name]],CL,3,0),"")</f>
        <v>Open</v>
      </c>
      <c r="AR991" s="352" t="str">
        <f ca="1">IF(Table_NFI[[#This Row],[Pcode]]="","",OFFSET(CampList[Priority],MATCH(Table_NFI[[#This Row],[Pcode]],CampList[CP_Pcode],0)-1,0,1,1))</f>
        <v>P4</v>
      </c>
      <c r="AS991" s="351">
        <f>IFERROR(Table_NFI[[#This Row],[Kitchen Set]]/VLOOKUP(Table_NFI[[#This Row],[Camp Name]],CL,4,0),"")</f>
        <v>0</v>
      </c>
      <c r="AT991" s="533" t="s">
        <v>1094</v>
      </c>
      <c r="AU991" s="536"/>
    </row>
    <row r="992" spans="1:47" s="537" customFormat="1" ht="14.45" customHeight="1" x14ac:dyDescent="0.25">
      <c r="A992" s="355">
        <f t="shared" si="15"/>
        <v>55</v>
      </c>
      <c r="B992" s="532">
        <v>40921</v>
      </c>
      <c r="C992" s="533" t="s">
        <v>453</v>
      </c>
      <c r="D992" s="534" t="s">
        <v>461</v>
      </c>
      <c r="E992" s="533" t="s">
        <v>380</v>
      </c>
      <c r="F992" s="348"/>
      <c r="G992" s="348" t="s">
        <v>910</v>
      </c>
      <c r="H992" s="349"/>
      <c r="I992" s="349"/>
      <c r="J992" s="349"/>
      <c r="K992" s="349">
        <v>76</v>
      </c>
      <c r="L992" s="350">
        <v>38</v>
      </c>
      <c r="M992" s="350">
        <v>38</v>
      </c>
      <c r="N992" s="350">
        <v>0</v>
      </c>
      <c r="O992" s="350">
        <v>38</v>
      </c>
      <c r="P992" s="352">
        <v>38</v>
      </c>
      <c r="Q992" s="352">
        <v>38</v>
      </c>
      <c r="R992" s="352"/>
      <c r="S992" s="352"/>
      <c r="T992" s="352"/>
      <c r="U992" s="352"/>
      <c r="V992" s="497"/>
      <c r="W992" s="352"/>
      <c r="X992" s="352"/>
      <c r="Y992" s="352">
        <f>IF(NFI_Expiration=1,IF($A992&lt;VLOOKUP(H$5,NFI,5,0),1,0)*Table_NFI[[#This Row],[Hygiene Kit]],Table_NFI[Hygiene Kit])</f>
        <v>0</v>
      </c>
      <c r="Z992" s="352">
        <f>IF(NFI_Expiration=1,IF($A992&lt;VLOOKUP(I$5,NFI,5,0),1,0)*Table_NFI[[#This Row],[NFI Core Kit]],Table_NFI[NFI Core Kit])</f>
        <v>0</v>
      </c>
      <c r="AA992" s="352">
        <f>IF(NFI_Expiration=1,IF($A992&lt;VLOOKUP(J$5,NFI,5,0),1,0)*Table_NFI[[#This Row],[Sanitary Kit]],Table_NFI[Sanitary Kit])</f>
        <v>0</v>
      </c>
      <c r="AB992" s="352">
        <f>IF(NFI_Expiration=1,IF($A992&lt;VLOOKUP(K$5,NFI,5,0),1,0)*Table_NFI[[#This Row],[Mosquito net]],Table_NFI[Mosquito net])</f>
        <v>0</v>
      </c>
      <c r="AC992" s="352">
        <f>IF(NFI_Expiration=1,IF($A992&lt;VLOOKUP(L$5,NFI,5,0),1,0)*Table_NFI[[#This Row],[Tarpaulin]],Table_NFI[[#This Row],[Tarpaulin]])</f>
        <v>0</v>
      </c>
      <c r="AD992" s="352">
        <f>IF(NFI_Expiration=1,IF($A992&lt;VLOOKUP(M$5,NFI,5,0),1,0)*Table_NFI[[#This Row],[Blanket]],Table_NFI[[#This Row],[Blanket]])</f>
        <v>0</v>
      </c>
      <c r="AE992" s="352">
        <f>IF(NFI_Expiration=1,IF($A992&lt;VLOOKUP(N$5,NFI,5,0),1,0)*Table_NFI[[#This Row],[Kitchen Set]],Table_NFI[Kitchen Set])</f>
        <v>0</v>
      </c>
      <c r="AF992" s="352">
        <f>IF(NFI_Expiration=1,IF($A992&lt;VLOOKUP(O$5,NFI,5,0),1,0)*Table_NFI[[#This Row],[Clothes Kit]],Table_NFI[Clothes Kit])</f>
        <v>0</v>
      </c>
      <c r="AG992" s="352">
        <f>IF(NFI_Expiration=1,IF($A992&lt;VLOOKUP(P$5,NFI,5,0),1,0)*Table_NFI[[#This Row],[Plastic Bucket]],Table_NFI[Plastic Bucket])</f>
        <v>0</v>
      </c>
      <c r="AH992" s="352">
        <f>IF(NFI_Expiration=1,IF($A992&lt;VLOOKUP(Q$5,NFI,5,0),1,0)*Table_NFI[[#This Row],[Plastic Mat]],Table_NFI[Plastic Mat])*IF(Table_NFI[[#This Row],[Distribution Date]]&gt;"2014-04-01",1,2.5)</f>
        <v>0</v>
      </c>
      <c r="AI992" s="352">
        <f>IF(NFI_Expiration=1,IF($A992&lt;VLOOKUP(R$5,NFI,5,0),1,0)*Table_NFI[[#This Row],[Winter Clothes Adult]],Table_NFI[Winter Clothes Adult])</f>
        <v>0</v>
      </c>
      <c r="AJ992" s="352">
        <f>IF(NFI_Expiration=1,IF($A992&lt;VLOOKUP(S$5,NFI,5,0),1,0)*Table_NFI[[#This Row],[Winter Clothes Children]],Table_NFI[Winter Clothes Children])</f>
        <v>0</v>
      </c>
      <c r="AK992" s="352">
        <f>IF(NFI_Expiration=1,IF($A992&lt;VLOOKUP(T$5,NFI,5,0),1,0)*Table_NFI[[#This Row],[Winter Items Other]],Table_NFI[Winter Items Other])</f>
        <v>0</v>
      </c>
      <c r="AL992" s="352">
        <f>IF(NFI_Expiration=1,IF($A992&lt;VLOOKUP(M$5,NFI,5,0),1,0)*Table_NFI[[#This Row],[Winter Blanket]],Table_NFI[[#This Row],[Winter Blanket]])</f>
        <v>0</v>
      </c>
      <c r="AM992" s="352">
        <f>IF(Table_NFI[[#This Row],[Winter Clothes Adult]]+Table_NFI[[#This Row],[Winter Clothes Children]]+Table_NFI[[#This Row],[Winter Items Other]]+Table_NFI[[#This Row],[Winter Blanket]]&gt;0,1,0)</f>
        <v>0</v>
      </c>
      <c r="AN992" s="392">
        <f>IF(NFI_Expiration=1,IF($A992&lt;VLOOKUP(V$5,NFI,5,0),1,0)*Table_NFI[[#This Row],[Jerry Can]],Table_NFI[Jerry Can])</f>
        <v>0</v>
      </c>
      <c r="AO992" s="540" t="str">
        <f>IFERROR(VLOOKUP(Table_NFI[[#This Row],[Camp Name]],CL,2,0),"")</f>
        <v/>
      </c>
      <c r="AP992" s="535" t="str">
        <f ca="1">IF(Table_NFI[[#This Row],[Pcode]]="","",IF(OFFSET(CampList[Opening Date],MATCH(Table_NFI[[#This Row],[Pcode]],CampList[CP_Pcode],0)-1,0,1,1)&gt;=NFI_Monitor_Date,1,0))</f>
        <v/>
      </c>
      <c r="AQ992" s="540" t="str">
        <f>IFERROR(VLOOKUP(Table_NFI[[#This Row],[Camp Name]],CL,3,0),"")</f>
        <v/>
      </c>
      <c r="AR992" s="352" t="str">
        <f ca="1">IF(Table_NFI[[#This Row],[Pcode]]="","",OFFSET(CampList[Priority],MATCH(Table_NFI[[#This Row],[Pcode]],CampList[CP_Pcode],0)-1,0,1,1))</f>
        <v/>
      </c>
      <c r="AS992" s="351" t="str">
        <f>IFERROR(Table_NFI[[#This Row],[Kitchen Set]]/VLOOKUP(Table_NFI[[#This Row],[Camp Name]],CL,4,0),"")</f>
        <v/>
      </c>
      <c r="AT992" s="533" t="s">
        <v>1094</v>
      </c>
      <c r="AU992" s="536"/>
    </row>
    <row r="993" spans="1:47" s="537" customFormat="1" ht="14.45" hidden="1" customHeight="1" x14ac:dyDescent="0.25">
      <c r="A993" s="355">
        <f t="shared" si="15"/>
        <v>26.366666666666667</v>
      </c>
      <c r="B993" s="532">
        <v>41780</v>
      </c>
      <c r="C993" s="533" t="s">
        <v>1106</v>
      </c>
      <c r="D993" s="533" t="s">
        <v>902</v>
      </c>
      <c r="E993" s="533" t="s">
        <v>380</v>
      </c>
      <c r="F993" s="533" t="s">
        <v>310</v>
      </c>
      <c r="G993" s="533" t="s">
        <v>349</v>
      </c>
      <c r="H993" s="349"/>
      <c r="I993" s="349"/>
      <c r="J993" s="349"/>
      <c r="K993" s="349"/>
      <c r="L993" s="350"/>
      <c r="M993" s="350"/>
      <c r="N993" s="350"/>
      <c r="O993" s="350"/>
      <c r="P993" s="352"/>
      <c r="Q993" s="352"/>
      <c r="R993" s="352"/>
      <c r="S993" s="352"/>
      <c r="T993" s="352"/>
      <c r="U993" s="352">
        <v>136</v>
      </c>
      <c r="V993" s="497"/>
      <c r="W993" s="352"/>
      <c r="X993" s="352"/>
      <c r="Y993" s="352">
        <f>IF(NFI_Expiration=1,IF($A993&lt;VLOOKUP(H$5,NFI,5,0),1,0)*Table_NFI[[#This Row],[Hygiene Kit]],Table_NFI[Hygiene Kit])</f>
        <v>0</v>
      </c>
      <c r="Z993" s="352">
        <f>IF(NFI_Expiration=1,IF($A993&lt;VLOOKUP(I$5,NFI,5,0),1,0)*Table_NFI[[#This Row],[NFI Core Kit]],Table_NFI[NFI Core Kit])</f>
        <v>0</v>
      </c>
      <c r="AA993" s="352">
        <f>IF(NFI_Expiration=1,IF($A993&lt;VLOOKUP(J$5,NFI,5,0),1,0)*Table_NFI[[#This Row],[Sanitary Kit]],Table_NFI[Sanitary Kit])</f>
        <v>0</v>
      </c>
      <c r="AB993" s="352">
        <f>IF(NFI_Expiration=1,IF($A993&lt;VLOOKUP(K$5,NFI,5,0),1,0)*Table_NFI[[#This Row],[Mosquito net]],Table_NFI[Mosquito net])</f>
        <v>0</v>
      </c>
      <c r="AC993" s="352">
        <f>IF(NFI_Expiration=1,IF($A993&lt;VLOOKUP(L$5,NFI,5,0),1,0)*Table_NFI[[#This Row],[Tarpaulin]],Table_NFI[[#This Row],[Tarpaulin]])</f>
        <v>0</v>
      </c>
      <c r="AD993" s="352">
        <f>IF(NFI_Expiration=1,IF($A993&lt;VLOOKUP(M$5,NFI,5,0),1,0)*Table_NFI[[#This Row],[Blanket]],Table_NFI[[#This Row],[Blanket]])</f>
        <v>0</v>
      </c>
      <c r="AE993" s="352">
        <f>IF(NFI_Expiration=1,IF($A993&lt;VLOOKUP(N$5,NFI,5,0),1,0)*Table_NFI[[#This Row],[Kitchen Set]],Table_NFI[Kitchen Set])</f>
        <v>0</v>
      </c>
      <c r="AF993" s="352">
        <f>IF(NFI_Expiration=1,IF($A993&lt;VLOOKUP(O$5,NFI,5,0),1,0)*Table_NFI[[#This Row],[Clothes Kit]],Table_NFI[Clothes Kit])</f>
        <v>0</v>
      </c>
      <c r="AG993" s="352">
        <f>IF(NFI_Expiration=1,IF($A993&lt;VLOOKUP(P$5,NFI,5,0),1,0)*Table_NFI[[#This Row],[Plastic Bucket]],Table_NFI[Plastic Bucket])</f>
        <v>0</v>
      </c>
      <c r="AH993" s="352">
        <f>IF(NFI_Expiration=1,IF($A993&lt;VLOOKUP(Q$5,NFI,5,0),1,0)*Table_NFI[[#This Row],[Plastic Mat]],Table_NFI[Plastic Mat])*IF(Table_NFI[[#This Row],[Distribution Date]]&gt;"2014-04-01",1,2.5)</f>
        <v>0</v>
      </c>
      <c r="AI993" s="352">
        <f>IF(NFI_Expiration=1,IF($A993&lt;VLOOKUP(R$5,NFI,5,0),1,0)*Table_NFI[[#This Row],[Winter Clothes Adult]],Table_NFI[Winter Clothes Adult])</f>
        <v>0</v>
      </c>
      <c r="AJ993" s="352">
        <f>IF(NFI_Expiration=1,IF($A993&lt;VLOOKUP(S$5,NFI,5,0),1,0)*Table_NFI[[#This Row],[Winter Clothes Children]],Table_NFI[Winter Clothes Children])</f>
        <v>0</v>
      </c>
      <c r="AK993" s="352">
        <f>IF(NFI_Expiration=1,IF($A993&lt;VLOOKUP(T$5,NFI,5,0),1,0)*Table_NFI[[#This Row],[Winter Items Other]],Table_NFI[Winter Items Other])</f>
        <v>0</v>
      </c>
      <c r="AL993" s="352">
        <f>IF(NFI_Expiration=1,IF($A993&lt;VLOOKUP(M$5,NFI,5,0),1,0)*Table_NFI[[#This Row],[Winter Blanket]],Table_NFI[[#This Row],[Winter Blanket]])</f>
        <v>0</v>
      </c>
      <c r="AM993" s="352">
        <f>IF(Table_NFI[[#This Row],[Winter Clothes Adult]]+Table_NFI[[#This Row],[Winter Clothes Children]]+Table_NFI[[#This Row],[Winter Items Other]]+Table_NFI[[#This Row],[Winter Blanket]]&gt;0,1,0)</f>
        <v>1</v>
      </c>
      <c r="AN993" s="392">
        <f>IF(NFI_Expiration=1,IF($A993&lt;VLOOKUP(V$5,NFI,5,0),1,0)*Table_NFI[[#This Row],[Jerry Can]],Table_NFI[Jerry Can])</f>
        <v>0</v>
      </c>
      <c r="AO993" s="540" t="str">
        <f>IFERROR(VLOOKUP(Table_NFI[[#This Row],[Camp Name]],CL,2,0),"")</f>
        <v>MMR001CMP037</v>
      </c>
      <c r="AP993" s="535">
        <f ca="1">IF(Table_NFI[[#This Row],[Pcode]]="","",IF(OFFSET(CampList[Opening Date],MATCH(Table_NFI[[#This Row],[Pcode]],CampList[CP_Pcode],0)-1,0,1,1)&gt;=NFI_Monitor_Date,1,0))</f>
        <v>0</v>
      </c>
      <c r="AQ993" s="540" t="str">
        <f>IFERROR(VLOOKUP(Table_NFI[[#This Row],[Camp Name]],CL,3,0),"")</f>
        <v>Open</v>
      </c>
      <c r="AR993" s="352" t="str">
        <f ca="1">IF(Table_NFI[[#This Row],[Pcode]]="","",OFFSET(CampList[Priority],MATCH(Table_NFI[[#This Row],[Pcode]],CampList[CP_Pcode],0)-1,0,1,1))</f>
        <v>P4</v>
      </c>
      <c r="AS993" s="351">
        <f>IFERROR(Table_NFI[[#This Row],[Kitchen Set]]/VLOOKUP(Table_NFI[[#This Row],[Camp Name]],CL,4,0),"")</f>
        <v>0</v>
      </c>
      <c r="AT993" s="533"/>
      <c r="AU993" s="536"/>
    </row>
    <row r="994" spans="1:47" s="537" customFormat="1" hidden="1" x14ac:dyDescent="0.25">
      <c r="A994" s="355">
        <f t="shared" si="15"/>
        <v>31.4</v>
      </c>
      <c r="B994" s="532">
        <v>41629</v>
      </c>
      <c r="C994" s="533" t="s">
        <v>907</v>
      </c>
      <c r="D994" s="533" t="s">
        <v>461</v>
      </c>
      <c r="E994" s="533" t="s">
        <v>380</v>
      </c>
      <c r="F994" s="533" t="s">
        <v>310</v>
      </c>
      <c r="G994" s="533" t="s">
        <v>349</v>
      </c>
      <c r="H994" s="349"/>
      <c r="I994" s="349"/>
      <c r="J994" s="349"/>
      <c r="K994" s="349"/>
      <c r="L994" s="350"/>
      <c r="M994" s="350"/>
      <c r="N994" s="350"/>
      <c r="O994" s="350"/>
      <c r="P994" s="352"/>
      <c r="Q994" s="352"/>
      <c r="R994" s="352">
        <v>75</v>
      </c>
      <c r="S994" s="352">
        <v>139</v>
      </c>
      <c r="T994" s="352">
        <v>428</v>
      </c>
      <c r="U994" s="352">
        <v>214</v>
      </c>
      <c r="V994" s="497"/>
      <c r="W994" s="352"/>
      <c r="X994" s="352"/>
      <c r="Y994" s="352">
        <f>IF(NFI_Expiration=1,IF($A994&lt;VLOOKUP(H$5,NFI,5,0),1,0)*Table_NFI[[#This Row],[Hygiene Kit]],Table_NFI[Hygiene Kit])</f>
        <v>0</v>
      </c>
      <c r="Z994" s="352">
        <f>IF(NFI_Expiration=1,IF($A994&lt;VLOOKUP(I$5,NFI,5,0),1,0)*Table_NFI[[#This Row],[NFI Core Kit]],Table_NFI[NFI Core Kit])</f>
        <v>0</v>
      </c>
      <c r="AA994" s="352">
        <f>IF(NFI_Expiration=1,IF($A994&lt;VLOOKUP(J$5,NFI,5,0),1,0)*Table_NFI[[#This Row],[Sanitary Kit]],Table_NFI[Sanitary Kit])</f>
        <v>0</v>
      </c>
      <c r="AB994" s="352">
        <f>IF(NFI_Expiration=1,IF($A994&lt;VLOOKUP(K$5,NFI,5,0),1,0)*Table_NFI[[#This Row],[Mosquito net]],Table_NFI[Mosquito net])</f>
        <v>0</v>
      </c>
      <c r="AC994" s="352">
        <f>IF(NFI_Expiration=1,IF($A994&lt;VLOOKUP(L$5,NFI,5,0),1,0)*Table_NFI[[#This Row],[Tarpaulin]],Table_NFI[[#This Row],[Tarpaulin]])</f>
        <v>0</v>
      </c>
      <c r="AD994" s="352">
        <f>IF(NFI_Expiration=1,IF($A994&lt;VLOOKUP(M$5,NFI,5,0),1,0)*Table_NFI[[#This Row],[Blanket]],Table_NFI[[#This Row],[Blanket]])</f>
        <v>0</v>
      </c>
      <c r="AE994" s="352">
        <f>IF(NFI_Expiration=1,IF($A994&lt;VLOOKUP(N$5,NFI,5,0),1,0)*Table_NFI[[#This Row],[Kitchen Set]],Table_NFI[Kitchen Set])</f>
        <v>0</v>
      </c>
      <c r="AF994" s="352">
        <f>IF(NFI_Expiration=1,IF($A994&lt;VLOOKUP(O$5,NFI,5,0),1,0)*Table_NFI[[#This Row],[Clothes Kit]],Table_NFI[Clothes Kit])</f>
        <v>0</v>
      </c>
      <c r="AG994" s="352">
        <f>IF(NFI_Expiration=1,IF($A994&lt;VLOOKUP(P$5,NFI,5,0),1,0)*Table_NFI[[#This Row],[Plastic Bucket]],Table_NFI[Plastic Bucket])</f>
        <v>0</v>
      </c>
      <c r="AH994" s="352">
        <f>IF(NFI_Expiration=1,IF($A994&lt;VLOOKUP(Q$5,NFI,5,0),1,0)*Table_NFI[[#This Row],[Plastic Mat]],Table_NFI[Plastic Mat])*IF(Table_NFI[[#This Row],[Distribution Date]]&gt;"2014-04-01",1,2.5)</f>
        <v>0</v>
      </c>
      <c r="AI994" s="352">
        <f>IF(NFI_Expiration=1,IF($A994&lt;VLOOKUP(R$5,NFI,5,0),1,0)*Table_NFI[[#This Row],[Winter Clothes Adult]],Table_NFI[Winter Clothes Adult])</f>
        <v>0</v>
      </c>
      <c r="AJ994" s="352">
        <f>IF(NFI_Expiration=1,IF($A994&lt;VLOOKUP(S$5,NFI,5,0),1,0)*Table_NFI[[#This Row],[Winter Clothes Children]],Table_NFI[Winter Clothes Children])</f>
        <v>0</v>
      </c>
      <c r="AK994" s="352">
        <f>IF(NFI_Expiration=1,IF($A994&lt;VLOOKUP(T$5,NFI,5,0),1,0)*Table_NFI[[#This Row],[Winter Items Other]],Table_NFI[Winter Items Other])</f>
        <v>0</v>
      </c>
      <c r="AL994" s="352">
        <f>IF(NFI_Expiration=1,IF($A994&lt;VLOOKUP(M$5,NFI,5,0),1,0)*Table_NFI[[#This Row],[Winter Blanket]],Table_NFI[[#This Row],[Winter Blanket]])</f>
        <v>0</v>
      </c>
      <c r="AM994" s="352">
        <f>IF(Table_NFI[[#This Row],[Winter Clothes Adult]]+Table_NFI[[#This Row],[Winter Clothes Children]]+Table_NFI[[#This Row],[Winter Items Other]]+Table_NFI[[#This Row],[Winter Blanket]]&gt;0,1,0)</f>
        <v>1</v>
      </c>
      <c r="AN994" s="392">
        <f>IF(NFI_Expiration=1,IF($A994&lt;VLOOKUP(V$5,NFI,5,0),1,0)*Table_NFI[[#This Row],[Jerry Can]],Table_NFI[Jerry Can])</f>
        <v>0</v>
      </c>
      <c r="AO994" s="540" t="str">
        <f>IFERROR(VLOOKUP(Table_NFI[[#This Row],[Camp Name]],CL,2,0),"")</f>
        <v>MMR001CMP037</v>
      </c>
      <c r="AP994" s="535">
        <f ca="1">IF(Table_NFI[[#This Row],[Pcode]]="","",IF(OFFSET(CampList[Opening Date],MATCH(Table_NFI[[#This Row],[Pcode]],CampList[CP_Pcode],0)-1,0,1,1)&gt;=NFI_Monitor_Date,1,0))</f>
        <v>0</v>
      </c>
      <c r="AQ994" s="540" t="str">
        <f>IFERROR(VLOOKUP(Table_NFI[[#This Row],[Camp Name]],CL,3,0),"")</f>
        <v>Open</v>
      </c>
      <c r="AR994" s="352" t="str">
        <f ca="1">IF(Table_NFI[[#This Row],[Pcode]]="","",OFFSET(CampList[Priority],MATCH(Table_NFI[[#This Row],[Pcode]],CampList[CP_Pcode],0)-1,0,1,1))</f>
        <v>P4</v>
      </c>
      <c r="AS994" s="351">
        <f>IFERROR(Table_NFI[[#This Row],[Kitchen Set]]/VLOOKUP(Table_NFI[[#This Row],[Camp Name]],CL,4,0),"")</f>
        <v>0</v>
      </c>
      <c r="AT994" s="533"/>
      <c r="AU994" s="536"/>
    </row>
    <row r="995" spans="1:47" s="537" customFormat="1" hidden="1" x14ac:dyDescent="0.25">
      <c r="A995" s="355">
        <f t="shared" si="15"/>
        <v>32.1</v>
      </c>
      <c r="B995" s="532">
        <v>41608</v>
      </c>
      <c r="C995" s="533" t="s">
        <v>907</v>
      </c>
      <c r="D995" s="533" t="s">
        <v>461</v>
      </c>
      <c r="E995" s="533" t="s">
        <v>380</v>
      </c>
      <c r="F995" s="348" t="s">
        <v>310</v>
      </c>
      <c r="G995" s="348" t="s">
        <v>349</v>
      </c>
      <c r="H995" s="349"/>
      <c r="I995" s="349"/>
      <c r="J995" s="349"/>
      <c r="K995" s="349"/>
      <c r="L995" s="350"/>
      <c r="M995" s="350"/>
      <c r="N995" s="350"/>
      <c r="O995" s="350"/>
      <c r="P995" s="352"/>
      <c r="Q995" s="352"/>
      <c r="R995" s="352"/>
      <c r="S995" s="352"/>
      <c r="T995" s="352"/>
      <c r="U995" s="352"/>
      <c r="V995" s="497"/>
      <c r="W995" s="352"/>
      <c r="X995" s="352"/>
      <c r="Y995" s="352">
        <f>IF(NFI_Expiration=1,IF($A995&lt;VLOOKUP(H$5,NFI,5,0),1,0)*Table_NFI[[#This Row],[Hygiene Kit]],Table_NFI[Hygiene Kit])</f>
        <v>0</v>
      </c>
      <c r="Z995" s="352">
        <f>IF(NFI_Expiration=1,IF($A995&lt;VLOOKUP(I$5,NFI,5,0),1,0)*Table_NFI[[#This Row],[NFI Core Kit]],Table_NFI[NFI Core Kit])</f>
        <v>0</v>
      </c>
      <c r="AA995" s="352">
        <f>IF(NFI_Expiration=1,IF($A995&lt;VLOOKUP(J$5,NFI,5,0),1,0)*Table_NFI[[#This Row],[Sanitary Kit]],Table_NFI[Sanitary Kit])</f>
        <v>0</v>
      </c>
      <c r="AB995" s="352">
        <f>IF(NFI_Expiration=1,IF($A995&lt;VLOOKUP(K$5,NFI,5,0),1,0)*Table_NFI[[#This Row],[Mosquito net]],Table_NFI[Mosquito net])</f>
        <v>0</v>
      </c>
      <c r="AC995" s="352">
        <f>IF(NFI_Expiration=1,IF($A995&lt;VLOOKUP(L$5,NFI,5,0),1,0)*Table_NFI[[#This Row],[Tarpaulin]],Table_NFI[[#This Row],[Tarpaulin]])</f>
        <v>0</v>
      </c>
      <c r="AD995" s="352">
        <f>IF(NFI_Expiration=1,IF($A995&lt;VLOOKUP(M$5,NFI,5,0),1,0)*Table_NFI[[#This Row],[Blanket]],Table_NFI[[#This Row],[Blanket]])</f>
        <v>0</v>
      </c>
      <c r="AE995" s="352">
        <f>IF(NFI_Expiration=1,IF($A995&lt;VLOOKUP(N$5,NFI,5,0),1,0)*Table_NFI[[#This Row],[Kitchen Set]],Table_NFI[Kitchen Set])</f>
        <v>0</v>
      </c>
      <c r="AF995" s="352">
        <f>IF(NFI_Expiration=1,IF($A995&lt;VLOOKUP(O$5,NFI,5,0),1,0)*Table_NFI[[#This Row],[Clothes Kit]],Table_NFI[Clothes Kit])</f>
        <v>0</v>
      </c>
      <c r="AG995" s="352">
        <f>IF(NFI_Expiration=1,IF($A995&lt;VLOOKUP(P$5,NFI,5,0),1,0)*Table_NFI[[#This Row],[Plastic Bucket]],Table_NFI[Plastic Bucket])</f>
        <v>0</v>
      </c>
      <c r="AH995" s="352">
        <f>IF(NFI_Expiration=1,IF($A995&lt;VLOOKUP(Q$5,NFI,5,0),1,0)*Table_NFI[[#This Row],[Plastic Mat]],Table_NFI[Plastic Mat])*IF(Table_NFI[[#This Row],[Distribution Date]]&gt;"2014-04-01",1,2.5)</f>
        <v>0</v>
      </c>
      <c r="AI995" s="352">
        <f>IF(NFI_Expiration=1,IF($A995&lt;VLOOKUP(R$5,NFI,5,0),1,0)*Table_NFI[[#This Row],[Winter Clothes Adult]],Table_NFI[Winter Clothes Adult])</f>
        <v>0</v>
      </c>
      <c r="AJ995" s="352">
        <f>IF(NFI_Expiration=1,IF($A995&lt;VLOOKUP(S$5,NFI,5,0),1,0)*Table_NFI[[#This Row],[Winter Clothes Children]],Table_NFI[Winter Clothes Children])</f>
        <v>0</v>
      </c>
      <c r="AK995" s="352">
        <f>IF(NFI_Expiration=1,IF($A995&lt;VLOOKUP(T$5,NFI,5,0),1,0)*Table_NFI[[#This Row],[Winter Items Other]],Table_NFI[Winter Items Other])</f>
        <v>0</v>
      </c>
      <c r="AL995" s="352">
        <f>IF(NFI_Expiration=1,IF($A995&lt;VLOOKUP(M$5,NFI,5,0),1,0)*Table_NFI[[#This Row],[Winter Blanket]],Table_NFI[[#This Row],[Winter Blanket]])</f>
        <v>0</v>
      </c>
      <c r="AM995" s="352">
        <f>IF(Table_NFI[[#This Row],[Winter Clothes Adult]]+Table_NFI[[#This Row],[Winter Clothes Children]]+Table_NFI[[#This Row],[Winter Items Other]]+Table_NFI[[#This Row],[Winter Blanket]]&gt;0,1,0)</f>
        <v>0</v>
      </c>
      <c r="AN995" s="392">
        <f>IF(NFI_Expiration=1,IF($A995&lt;VLOOKUP(V$5,NFI,5,0),1,0)*Table_NFI[[#This Row],[Jerry Can]],Table_NFI[Jerry Can])</f>
        <v>0</v>
      </c>
      <c r="AO995" s="540" t="str">
        <f>IFERROR(VLOOKUP(Table_NFI[[#This Row],[Camp Name]],CL,2,0),"")</f>
        <v>MMR001CMP037</v>
      </c>
      <c r="AP995" s="535">
        <f ca="1">IF(Table_NFI[[#This Row],[Pcode]]="","",IF(OFFSET(CampList[Opening Date],MATCH(Table_NFI[[#This Row],[Pcode]],CampList[CP_Pcode],0)-1,0,1,1)&gt;=NFI_Monitor_Date,1,0))</f>
        <v>0</v>
      </c>
      <c r="AQ995" s="540" t="str">
        <f>IFERROR(VLOOKUP(Table_NFI[[#This Row],[Camp Name]],CL,3,0),"")</f>
        <v>Open</v>
      </c>
      <c r="AR995" s="352" t="str">
        <f ca="1">IF(Table_NFI[[#This Row],[Pcode]]="","",OFFSET(CampList[Priority],MATCH(Table_NFI[[#This Row],[Pcode]],CampList[CP_Pcode],0)-1,0,1,1))</f>
        <v>P4</v>
      </c>
      <c r="AS995" s="351">
        <f>IFERROR(Table_NFI[[#This Row],[Kitchen Set]]/VLOOKUP(Table_NFI[[#This Row],[Camp Name]],CL,4,0),"")</f>
        <v>0</v>
      </c>
      <c r="AT995" s="533" t="s">
        <v>1094</v>
      </c>
      <c r="AU995" s="536"/>
    </row>
    <row r="996" spans="1:47" ht="14.45" hidden="1" customHeight="1" x14ac:dyDescent="0.25">
      <c r="A996" s="355">
        <f t="shared" si="15"/>
        <v>42.2</v>
      </c>
      <c r="B996" s="532">
        <v>41305</v>
      </c>
      <c r="C996" s="533" t="s">
        <v>570</v>
      </c>
      <c r="D996" s="534" t="s">
        <v>570</v>
      </c>
      <c r="E996" s="533" t="s">
        <v>380</v>
      </c>
      <c r="F996" s="348" t="s">
        <v>310</v>
      </c>
      <c r="G996" s="348" t="s">
        <v>349</v>
      </c>
      <c r="H996" s="349"/>
      <c r="I996" s="349"/>
      <c r="J996" s="349"/>
      <c r="K996" s="349"/>
      <c r="L996" s="350"/>
      <c r="M996" s="350">
        <v>122</v>
      </c>
      <c r="N996" s="350"/>
      <c r="O996" s="350"/>
      <c r="P996" s="352">
        <v>0</v>
      </c>
      <c r="Q996" s="352">
        <v>0</v>
      </c>
      <c r="R996" s="352"/>
      <c r="S996" s="352"/>
      <c r="T996" s="352"/>
      <c r="U996" s="352"/>
      <c r="V996" s="497"/>
      <c r="W996" s="352"/>
      <c r="X996" s="352"/>
      <c r="Y996" s="352">
        <f>IF(NFI_Expiration=1,IF($A996&lt;VLOOKUP(H$5,NFI,5,0),1,0)*Table_NFI[[#This Row],[Hygiene Kit]],Table_NFI[Hygiene Kit])</f>
        <v>0</v>
      </c>
      <c r="Z996" s="352">
        <f>IF(NFI_Expiration=1,IF($A996&lt;VLOOKUP(I$5,NFI,5,0),1,0)*Table_NFI[[#This Row],[NFI Core Kit]],Table_NFI[NFI Core Kit])</f>
        <v>0</v>
      </c>
      <c r="AA996" s="352">
        <f>IF(NFI_Expiration=1,IF($A996&lt;VLOOKUP(J$5,NFI,5,0),1,0)*Table_NFI[[#This Row],[Sanitary Kit]],Table_NFI[Sanitary Kit])</f>
        <v>0</v>
      </c>
      <c r="AB996" s="352">
        <f>IF(NFI_Expiration=1,IF($A996&lt;VLOOKUP(K$5,NFI,5,0),1,0)*Table_NFI[[#This Row],[Mosquito net]],Table_NFI[Mosquito net])</f>
        <v>0</v>
      </c>
      <c r="AC996" s="352">
        <f>IF(NFI_Expiration=1,IF($A996&lt;VLOOKUP(L$5,NFI,5,0),1,0)*Table_NFI[[#This Row],[Tarpaulin]],Table_NFI[[#This Row],[Tarpaulin]])</f>
        <v>0</v>
      </c>
      <c r="AD996" s="352">
        <f>IF(NFI_Expiration=1,IF($A996&lt;VLOOKUP(M$5,NFI,5,0),1,0)*Table_NFI[[#This Row],[Blanket]],Table_NFI[[#This Row],[Blanket]])</f>
        <v>0</v>
      </c>
      <c r="AE996" s="352">
        <f>IF(NFI_Expiration=1,IF($A996&lt;VLOOKUP(N$5,NFI,5,0),1,0)*Table_NFI[[#This Row],[Kitchen Set]],Table_NFI[Kitchen Set])</f>
        <v>0</v>
      </c>
      <c r="AF996" s="352">
        <f>IF(NFI_Expiration=1,IF($A996&lt;VLOOKUP(O$5,NFI,5,0),1,0)*Table_NFI[[#This Row],[Clothes Kit]],Table_NFI[Clothes Kit])</f>
        <v>0</v>
      </c>
      <c r="AG996" s="352">
        <f>IF(NFI_Expiration=1,IF($A996&lt;VLOOKUP(P$5,NFI,5,0),1,0)*Table_NFI[[#This Row],[Plastic Bucket]],Table_NFI[Plastic Bucket])</f>
        <v>0</v>
      </c>
      <c r="AH996" s="352">
        <f>IF(NFI_Expiration=1,IF($A996&lt;VLOOKUP(Q$5,NFI,5,0),1,0)*Table_NFI[[#This Row],[Plastic Mat]],Table_NFI[Plastic Mat])*IF(Table_NFI[[#This Row],[Distribution Date]]&gt;"2014-04-01",1,2.5)</f>
        <v>0</v>
      </c>
      <c r="AI996" s="352">
        <f>IF(NFI_Expiration=1,IF($A996&lt;VLOOKUP(R$5,NFI,5,0),1,0)*Table_NFI[[#This Row],[Winter Clothes Adult]],Table_NFI[Winter Clothes Adult])</f>
        <v>0</v>
      </c>
      <c r="AJ996" s="352">
        <f>IF(NFI_Expiration=1,IF($A996&lt;VLOOKUP(S$5,NFI,5,0),1,0)*Table_NFI[[#This Row],[Winter Clothes Children]],Table_NFI[Winter Clothes Children])</f>
        <v>0</v>
      </c>
      <c r="AK996" s="352">
        <f>IF(NFI_Expiration=1,IF($A996&lt;VLOOKUP(T$5,NFI,5,0),1,0)*Table_NFI[[#This Row],[Winter Items Other]],Table_NFI[Winter Items Other])</f>
        <v>0</v>
      </c>
      <c r="AL996" s="352">
        <f>IF(NFI_Expiration=1,IF($A996&lt;VLOOKUP(M$5,NFI,5,0),1,0)*Table_NFI[[#This Row],[Winter Blanket]],Table_NFI[[#This Row],[Winter Blanket]])</f>
        <v>0</v>
      </c>
      <c r="AM996" s="352">
        <f>IF(Table_NFI[[#This Row],[Winter Clothes Adult]]+Table_NFI[[#This Row],[Winter Clothes Children]]+Table_NFI[[#This Row],[Winter Items Other]]+Table_NFI[[#This Row],[Winter Blanket]]&gt;0,1,0)</f>
        <v>0</v>
      </c>
      <c r="AN996" s="392">
        <f>IF(NFI_Expiration=1,IF($A996&lt;VLOOKUP(V$5,NFI,5,0),1,0)*Table_NFI[[#This Row],[Jerry Can]],Table_NFI[Jerry Can])</f>
        <v>0</v>
      </c>
      <c r="AO996" s="540" t="str">
        <f>IFERROR(VLOOKUP(Table_NFI[[#This Row],[Camp Name]],CL,2,0),"")</f>
        <v>MMR001CMP037</v>
      </c>
      <c r="AP996" s="535">
        <f ca="1">IF(Table_NFI[[#This Row],[Pcode]]="","",IF(OFFSET(CampList[Opening Date],MATCH(Table_NFI[[#This Row],[Pcode]],CampList[CP_Pcode],0)-1,0,1,1)&gt;=NFI_Monitor_Date,1,0))</f>
        <v>0</v>
      </c>
      <c r="AQ996" s="540" t="str">
        <f>IFERROR(VLOOKUP(Table_NFI[[#This Row],[Camp Name]],CL,3,0),"")</f>
        <v>Open</v>
      </c>
      <c r="AR996" s="352" t="str">
        <f ca="1">IF(Table_NFI[[#This Row],[Pcode]]="","",OFFSET(CampList[Priority],MATCH(Table_NFI[[#This Row],[Pcode]],CampList[CP_Pcode],0)-1,0,1,1))</f>
        <v>P4</v>
      </c>
      <c r="AS996" s="351">
        <f>IFERROR(Table_NFI[[#This Row],[Kitchen Set]]/VLOOKUP(Table_NFI[[#This Row],[Camp Name]],CL,4,0),"")</f>
        <v>0</v>
      </c>
      <c r="AT996" s="533" t="s">
        <v>1094</v>
      </c>
      <c r="AU996" s="536"/>
    </row>
    <row r="997" spans="1:47" ht="14.45" hidden="1" customHeight="1" x14ac:dyDescent="0.25">
      <c r="A997" s="355">
        <f t="shared" si="15"/>
        <v>43.233333333333334</v>
      </c>
      <c r="B997" s="532">
        <v>41274</v>
      </c>
      <c r="C997" s="533" t="s">
        <v>454</v>
      </c>
      <c r="D997" s="533" t="s">
        <v>454</v>
      </c>
      <c r="E997" s="533" t="s">
        <v>380</v>
      </c>
      <c r="F997" s="348" t="s">
        <v>310</v>
      </c>
      <c r="G997" s="348" t="s">
        <v>349</v>
      </c>
      <c r="H997" s="349">
        <v>68</v>
      </c>
      <c r="I997" s="349"/>
      <c r="J997" s="349"/>
      <c r="K997" s="349"/>
      <c r="L997" s="350"/>
      <c r="M997" s="350"/>
      <c r="N997" s="350"/>
      <c r="O997" s="350"/>
      <c r="P997" s="352">
        <v>0</v>
      </c>
      <c r="Q997" s="352">
        <v>0</v>
      </c>
      <c r="R997" s="352"/>
      <c r="S997" s="352"/>
      <c r="T997" s="352"/>
      <c r="U997" s="352"/>
      <c r="V997" s="497"/>
      <c r="W997" s="352"/>
      <c r="X997" s="352"/>
      <c r="Y997" s="352">
        <f>IF(NFI_Expiration=1,IF($A997&lt;VLOOKUP(H$5,NFI,5,0),1,0)*Table_NFI[[#This Row],[Hygiene Kit]],Table_NFI[Hygiene Kit])</f>
        <v>0</v>
      </c>
      <c r="Z997" s="352">
        <f>IF(NFI_Expiration=1,IF($A997&lt;VLOOKUP(I$5,NFI,5,0),1,0)*Table_NFI[[#This Row],[NFI Core Kit]],Table_NFI[NFI Core Kit])</f>
        <v>0</v>
      </c>
      <c r="AA997" s="352">
        <f>IF(NFI_Expiration=1,IF($A997&lt;VLOOKUP(J$5,NFI,5,0),1,0)*Table_NFI[[#This Row],[Sanitary Kit]],Table_NFI[Sanitary Kit])</f>
        <v>0</v>
      </c>
      <c r="AB997" s="352">
        <f>IF(NFI_Expiration=1,IF($A997&lt;VLOOKUP(K$5,NFI,5,0),1,0)*Table_NFI[[#This Row],[Mosquito net]],Table_NFI[Mosquito net])</f>
        <v>0</v>
      </c>
      <c r="AC997" s="352">
        <f>IF(NFI_Expiration=1,IF($A997&lt;VLOOKUP(L$5,NFI,5,0),1,0)*Table_NFI[[#This Row],[Tarpaulin]],Table_NFI[[#This Row],[Tarpaulin]])</f>
        <v>0</v>
      </c>
      <c r="AD997" s="352">
        <f>IF(NFI_Expiration=1,IF($A997&lt;VLOOKUP(M$5,NFI,5,0),1,0)*Table_NFI[[#This Row],[Blanket]],Table_NFI[[#This Row],[Blanket]])</f>
        <v>0</v>
      </c>
      <c r="AE997" s="352">
        <f>IF(NFI_Expiration=1,IF($A997&lt;VLOOKUP(N$5,NFI,5,0),1,0)*Table_NFI[[#This Row],[Kitchen Set]],Table_NFI[Kitchen Set])</f>
        <v>0</v>
      </c>
      <c r="AF997" s="352">
        <f>IF(NFI_Expiration=1,IF($A997&lt;VLOOKUP(O$5,NFI,5,0),1,0)*Table_NFI[[#This Row],[Clothes Kit]],Table_NFI[Clothes Kit])</f>
        <v>0</v>
      </c>
      <c r="AG997" s="352">
        <f>IF(NFI_Expiration=1,IF($A997&lt;VLOOKUP(P$5,NFI,5,0),1,0)*Table_NFI[[#This Row],[Plastic Bucket]],Table_NFI[Plastic Bucket])</f>
        <v>0</v>
      </c>
      <c r="AH997" s="352">
        <f>IF(NFI_Expiration=1,IF($A997&lt;VLOOKUP(Q$5,NFI,5,0),1,0)*Table_NFI[[#This Row],[Plastic Mat]],Table_NFI[Plastic Mat])*IF(Table_NFI[[#This Row],[Distribution Date]]&gt;"2014-04-01",1,2.5)</f>
        <v>0</v>
      </c>
      <c r="AI997" s="352">
        <f>IF(NFI_Expiration=1,IF($A997&lt;VLOOKUP(R$5,NFI,5,0),1,0)*Table_NFI[[#This Row],[Winter Clothes Adult]],Table_NFI[Winter Clothes Adult])</f>
        <v>0</v>
      </c>
      <c r="AJ997" s="352">
        <f>IF(NFI_Expiration=1,IF($A997&lt;VLOOKUP(S$5,NFI,5,0),1,0)*Table_NFI[[#This Row],[Winter Clothes Children]],Table_NFI[Winter Clothes Children])</f>
        <v>0</v>
      </c>
      <c r="AK997" s="352">
        <f>IF(NFI_Expiration=1,IF($A997&lt;VLOOKUP(T$5,NFI,5,0),1,0)*Table_NFI[[#This Row],[Winter Items Other]],Table_NFI[Winter Items Other])</f>
        <v>0</v>
      </c>
      <c r="AL997" s="352">
        <f>IF(NFI_Expiration=1,IF($A997&lt;VLOOKUP(M$5,NFI,5,0),1,0)*Table_NFI[[#This Row],[Winter Blanket]],Table_NFI[[#This Row],[Winter Blanket]])</f>
        <v>0</v>
      </c>
      <c r="AM997" s="352">
        <f>IF(Table_NFI[[#This Row],[Winter Clothes Adult]]+Table_NFI[[#This Row],[Winter Clothes Children]]+Table_NFI[[#This Row],[Winter Items Other]]+Table_NFI[[#This Row],[Winter Blanket]]&gt;0,1,0)</f>
        <v>0</v>
      </c>
      <c r="AN997" s="392">
        <f>IF(NFI_Expiration=1,IF($A997&lt;VLOOKUP(V$5,NFI,5,0),1,0)*Table_NFI[[#This Row],[Jerry Can]],Table_NFI[Jerry Can])</f>
        <v>0</v>
      </c>
      <c r="AO997" s="540" t="str">
        <f>IFERROR(VLOOKUP(Table_NFI[[#This Row],[Camp Name]],CL,2,0),"")</f>
        <v>MMR001CMP037</v>
      </c>
      <c r="AP997" s="535">
        <f ca="1">IF(Table_NFI[[#This Row],[Pcode]]="","",IF(OFFSET(CampList[Opening Date],MATCH(Table_NFI[[#This Row],[Pcode]],CampList[CP_Pcode],0)-1,0,1,1)&gt;=NFI_Monitor_Date,1,0))</f>
        <v>0</v>
      </c>
      <c r="AQ997" s="540" t="str">
        <f>IFERROR(VLOOKUP(Table_NFI[[#This Row],[Camp Name]],CL,3,0),"")</f>
        <v>Open</v>
      </c>
      <c r="AR997" s="352" t="str">
        <f ca="1">IF(Table_NFI[[#This Row],[Pcode]]="","",OFFSET(CampList[Priority],MATCH(Table_NFI[[#This Row],[Pcode]],CampList[CP_Pcode],0)-1,0,1,1))</f>
        <v>P4</v>
      </c>
      <c r="AS997" s="351">
        <f>IFERROR(Table_NFI[[#This Row],[Kitchen Set]]/VLOOKUP(Table_NFI[[#This Row],[Camp Name]],CL,4,0),"")</f>
        <v>0</v>
      </c>
      <c r="AT997" s="533" t="s">
        <v>1094</v>
      </c>
      <c r="AU997" s="536"/>
    </row>
    <row r="998" spans="1:47" s="537" customFormat="1" ht="14.45" customHeight="1" x14ac:dyDescent="0.25">
      <c r="A998" s="355">
        <f t="shared" si="15"/>
        <v>55</v>
      </c>
      <c r="B998" s="532">
        <v>40921</v>
      </c>
      <c r="C998" s="533" t="s">
        <v>453</v>
      </c>
      <c r="D998" s="534" t="s">
        <v>461</v>
      </c>
      <c r="E998" s="533" t="s">
        <v>380</v>
      </c>
      <c r="F998" s="348"/>
      <c r="G998" s="348" t="s">
        <v>912</v>
      </c>
      <c r="H998" s="349"/>
      <c r="I998" s="349"/>
      <c r="J998" s="349"/>
      <c r="K998" s="349">
        <v>18</v>
      </c>
      <c r="L998" s="350">
        <v>9</v>
      </c>
      <c r="M998" s="350">
        <v>9</v>
      </c>
      <c r="N998" s="350">
        <v>0</v>
      </c>
      <c r="O998" s="350">
        <v>9</v>
      </c>
      <c r="P998" s="352">
        <v>9</v>
      </c>
      <c r="Q998" s="352">
        <v>9</v>
      </c>
      <c r="R998" s="352"/>
      <c r="S998" s="352"/>
      <c r="T998" s="352"/>
      <c r="U998" s="352"/>
      <c r="V998" s="497"/>
      <c r="W998" s="352"/>
      <c r="X998" s="352"/>
      <c r="Y998" s="352">
        <f>IF(NFI_Expiration=1,IF($A998&lt;VLOOKUP(H$5,NFI,5,0),1,0)*Table_NFI[[#This Row],[Hygiene Kit]],Table_NFI[Hygiene Kit])</f>
        <v>0</v>
      </c>
      <c r="Z998" s="352">
        <f>IF(NFI_Expiration=1,IF($A998&lt;VLOOKUP(I$5,NFI,5,0),1,0)*Table_NFI[[#This Row],[NFI Core Kit]],Table_NFI[NFI Core Kit])</f>
        <v>0</v>
      </c>
      <c r="AA998" s="352">
        <f>IF(NFI_Expiration=1,IF($A998&lt;VLOOKUP(J$5,NFI,5,0),1,0)*Table_NFI[[#This Row],[Sanitary Kit]],Table_NFI[Sanitary Kit])</f>
        <v>0</v>
      </c>
      <c r="AB998" s="352">
        <f>IF(NFI_Expiration=1,IF($A998&lt;VLOOKUP(K$5,NFI,5,0),1,0)*Table_NFI[[#This Row],[Mosquito net]],Table_NFI[Mosquito net])</f>
        <v>0</v>
      </c>
      <c r="AC998" s="352">
        <f>IF(NFI_Expiration=1,IF($A998&lt;VLOOKUP(L$5,NFI,5,0),1,0)*Table_NFI[[#This Row],[Tarpaulin]],Table_NFI[[#This Row],[Tarpaulin]])</f>
        <v>0</v>
      </c>
      <c r="AD998" s="352">
        <f>IF(NFI_Expiration=1,IF($A998&lt;VLOOKUP(M$5,NFI,5,0),1,0)*Table_NFI[[#This Row],[Blanket]],Table_NFI[[#This Row],[Blanket]])</f>
        <v>0</v>
      </c>
      <c r="AE998" s="352">
        <f>IF(NFI_Expiration=1,IF($A998&lt;VLOOKUP(N$5,NFI,5,0),1,0)*Table_NFI[[#This Row],[Kitchen Set]],Table_NFI[Kitchen Set])</f>
        <v>0</v>
      </c>
      <c r="AF998" s="352">
        <f>IF(NFI_Expiration=1,IF($A998&lt;VLOOKUP(O$5,NFI,5,0),1,0)*Table_NFI[[#This Row],[Clothes Kit]],Table_NFI[Clothes Kit])</f>
        <v>0</v>
      </c>
      <c r="AG998" s="352">
        <f>IF(NFI_Expiration=1,IF($A998&lt;VLOOKUP(P$5,NFI,5,0),1,0)*Table_NFI[[#This Row],[Plastic Bucket]],Table_NFI[Plastic Bucket])</f>
        <v>0</v>
      </c>
      <c r="AH998" s="352">
        <f>IF(NFI_Expiration=1,IF($A998&lt;VLOOKUP(Q$5,NFI,5,0),1,0)*Table_NFI[[#This Row],[Plastic Mat]],Table_NFI[Plastic Mat])*IF(Table_NFI[[#This Row],[Distribution Date]]&gt;"2014-04-01",1,2.5)</f>
        <v>0</v>
      </c>
      <c r="AI998" s="352">
        <f>IF(NFI_Expiration=1,IF($A998&lt;VLOOKUP(R$5,NFI,5,0),1,0)*Table_NFI[[#This Row],[Winter Clothes Adult]],Table_NFI[Winter Clothes Adult])</f>
        <v>0</v>
      </c>
      <c r="AJ998" s="352">
        <f>IF(NFI_Expiration=1,IF($A998&lt;VLOOKUP(S$5,NFI,5,0),1,0)*Table_NFI[[#This Row],[Winter Clothes Children]],Table_NFI[Winter Clothes Children])</f>
        <v>0</v>
      </c>
      <c r="AK998" s="352">
        <f>IF(NFI_Expiration=1,IF($A998&lt;VLOOKUP(T$5,NFI,5,0),1,0)*Table_NFI[[#This Row],[Winter Items Other]],Table_NFI[Winter Items Other])</f>
        <v>0</v>
      </c>
      <c r="AL998" s="352">
        <f>IF(NFI_Expiration=1,IF($A998&lt;VLOOKUP(M$5,NFI,5,0),1,0)*Table_NFI[[#This Row],[Winter Blanket]],Table_NFI[[#This Row],[Winter Blanket]])</f>
        <v>0</v>
      </c>
      <c r="AM998" s="352">
        <f>IF(Table_NFI[[#This Row],[Winter Clothes Adult]]+Table_NFI[[#This Row],[Winter Clothes Children]]+Table_NFI[[#This Row],[Winter Items Other]]+Table_NFI[[#This Row],[Winter Blanket]]&gt;0,1,0)</f>
        <v>0</v>
      </c>
      <c r="AN998" s="392">
        <f>IF(NFI_Expiration=1,IF($A998&lt;VLOOKUP(V$5,NFI,5,0),1,0)*Table_NFI[[#This Row],[Jerry Can]],Table_NFI[Jerry Can])</f>
        <v>0</v>
      </c>
      <c r="AO998" s="540" t="str">
        <f>IFERROR(VLOOKUP(Table_NFI[[#This Row],[Camp Name]],CL,2,0),"")</f>
        <v/>
      </c>
      <c r="AP998" s="535" t="str">
        <f ca="1">IF(Table_NFI[[#This Row],[Pcode]]="","",IF(OFFSET(CampList[Opening Date],MATCH(Table_NFI[[#This Row],[Pcode]],CampList[CP_Pcode],0)-1,0,1,1)&gt;=NFI_Monitor_Date,1,0))</f>
        <v/>
      </c>
      <c r="AQ998" s="540" t="str">
        <f>IFERROR(VLOOKUP(Table_NFI[[#This Row],[Camp Name]],CL,3,0),"")</f>
        <v/>
      </c>
      <c r="AR998" s="352" t="str">
        <f ca="1">IF(Table_NFI[[#This Row],[Pcode]]="","",OFFSET(CampList[Priority],MATCH(Table_NFI[[#This Row],[Pcode]],CampList[CP_Pcode],0)-1,0,1,1))</f>
        <v/>
      </c>
      <c r="AS998" s="351" t="str">
        <f>IFERROR(Table_NFI[[#This Row],[Kitchen Set]]/VLOOKUP(Table_NFI[[#This Row],[Camp Name]],CL,4,0),"")</f>
        <v/>
      </c>
      <c r="AT998" s="533" t="s">
        <v>1094</v>
      </c>
      <c r="AU998" s="536" t="s">
        <v>1164</v>
      </c>
    </row>
    <row r="999" spans="1:47" s="537" customFormat="1" ht="14.45" customHeight="1" x14ac:dyDescent="0.25">
      <c r="A999" s="355">
        <f t="shared" si="15"/>
        <v>55</v>
      </c>
      <c r="B999" s="532">
        <v>40921</v>
      </c>
      <c r="C999" s="533" t="s">
        <v>453</v>
      </c>
      <c r="D999" s="534" t="s">
        <v>461</v>
      </c>
      <c r="E999" s="533" t="s">
        <v>380</v>
      </c>
      <c r="F999" s="348"/>
      <c r="G999" s="348" t="s">
        <v>913</v>
      </c>
      <c r="H999" s="349"/>
      <c r="I999" s="349"/>
      <c r="J999" s="349"/>
      <c r="K999" s="349">
        <v>10</v>
      </c>
      <c r="L999" s="350">
        <v>5</v>
      </c>
      <c r="M999" s="350">
        <v>5</v>
      </c>
      <c r="N999" s="350">
        <v>0</v>
      </c>
      <c r="O999" s="350">
        <v>5</v>
      </c>
      <c r="P999" s="352">
        <v>5</v>
      </c>
      <c r="Q999" s="352">
        <v>5</v>
      </c>
      <c r="R999" s="352"/>
      <c r="S999" s="352"/>
      <c r="T999" s="352"/>
      <c r="U999" s="352"/>
      <c r="V999" s="497"/>
      <c r="W999" s="352"/>
      <c r="X999" s="352"/>
      <c r="Y999" s="352">
        <f>IF(NFI_Expiration=1,IF($A999&lt;VLOOKUP(H$5,NFI,5,0),1,0)*Table_NFI[[#This Row],[Hygiene Kit]],Table_NFI[Hygiene Kit])</f>
        <v>0</v>
      </c>
      <c r="Z999" s="352">
        <f>IF(NFI_Expiration=1,IF($A999&lt;VLOOKUP(I$5,NFI,5,0),1,0)*Table_NFI[[#This Row],[NFI Core Kit]],Table_NFI[NFI Core Kit])</f>
        <v>0</v>
      </c>
      <c r="AA999" s="352">
        <f>IF(NFI_Expiration=1,IF($A999&lt;VLOOKUP(J$5,NFI,5,0),1,0)*Table_NFI[[#This Row],[Sanitary Kit]],Table_NFI[Sanitary Kit])</f>
        <v>0</v>
      </c>
      <c r="AB999" s="352">
        <f>IF(NFI_Expiration=1,IF($A999&lt;VLOOKUP(K$5,NFI,5,0),1,0)*Table_NFI[[#This Row],[Mosquito net]],Table_NFI[Mosquito net])</f>
        <v>0</v>
      </c>
      <c r="AC999" s="352">
        <f>IF(NFI_Expiration=1,IF($A999&lt;VLOOKUP(L$5,NFI,5,0),1,0)*Table_NFI[[#This Row],[Tarpaulin]],Table_NFI[[#This Row],[Tarpaulin]])</f>
        <v>0</v>
      </c>
      <c r="AD999" s="352">
        <f>IF(NFI_Expiration=1,IF($A999&lt;VLOOKUP(M$5,NFI,5,0),1,0)*Table_NFI[[#This Row],[Blanket]],Table_NFI[[#This Row],[Blanket]])</f>
        <v>0</v>
      </c>
      <c r="AE999" s="352">
        <f>IF(NFI_Expiration=1,IF($A999&lt;VLOOKUP(N$5,NFI,5,0),1,0)*Table_NFI[[#This Row],[Kitchen Set]],Table_NFI[Kitchen Set])</f>
        <v>0</v>
      </c>
      <c r="AF999" s="352">
        <f>IF(NFI_Expiration=1,IF($A999&lt;VLOOKUP(O$5,NFI,5,0),1,0)*Table_NFI[[#This Row],[Clothes Kit]],Table_NFI[Clothes Kit])</f>
        <v>0</v>
      </c>
      <c r="AG999" s="352">
        <f>IF(NFI_Expiration=1,IF($A999&lt;VLOOKUP(P$5,NFI,5,0),1,0)*Table_NFI[[#This Row],[Plastic Bucket]],Table_NFI[Plastic Bucket])</f>
        <v>0</v>
      </c>
      <c r="AH999" s="352">
        <f>IF(NFI_Expiration=1,IF($A999&lt;VLOOKUP(Q$5,NFI,5,0),1,0)*Table_NFI[[#This Row],[Plastic Mat]],Table_NFI[Plastic Mat])*IF(Table_NFI[[#This Row],[Distribution Date]]&gt;"2014-04-01",1,2.5)</f>
        <v>0</v>
      </c>
      <c r="AI999" s="352">
        <f>IF(NFI_Expiration=1,IF($A999&lt;VLOOKUP(R$5,NFI,5,0),1,0)*Table_NFI[[#This Row],[Winter Clothes Adult]],Table_NFI[Winter Clothes Adult])</f>
        <v>0</v>
      </c>
      <c r="AJ999" s="352">
        <f>IF(NFI_Expiration=1,IF($A999&lt;VLOOKUP(S$5,NFI,5,0),1,0)*Table_NFI[[#This Row],[Winter Clothes Children]],Table_NFI[Winter Clothes Children])</f>
        <v>0</v>
      </c>
      <c r="AK999" s="352">
        <f>IF(NFI_Expiration=1,IF($A999&lt;VLOOKUP(T$5,NFI,5,0),1,0)*Table_NFI[[#This Row],[Winter Items Other]],Table_NFI[Winter Items Other])</f>
        <v>0</v>
      </c>
      <c r="AL999" s="352">
        <f>IF(NFI_Expiration=1,IF($A999&lt;VLOOKUP(M$5,NFI,5,0),1,0)*Table_NFI[[#This Row],[Winter Blanket]],Table_NFI[[#This Row],[Winter Blanket]])</f>
        <v>0</v>
      </c>
      <c r="AM999" s="352">
        <f>IF(Table_NFI[[#This Row],[Winter Clothes Adult]]+Table_NFI[[#This Row],[Winter Clothes Children]]+Table_NFI[[#This Row],[Winter Items Other]]+Table_NFI[[#This Row],[Winter Blanket]]&gt;0,1,0)</f>
        <v>0</v>
      </c>
      <c r="AN999" s="392">
        <f>IF(NFI_Expiration=1,IF($A999&lt;VLOOKUP(V$5,NFI,5,0),1,0)*Table_NFI[[#This Row],[Jerry Can]],Table_NFI[Jerry Can])</f>
        <v>0</v>
      </c>
      <c r="AO999" s="540" t="str">
        <f>IFERROR(VLOOKUP(Table_NFI[[#This Row],[Camp Name]],CL,2,0),"")</f>
        <v/>
      </c>
      <c r="AP999" s="535" t="str">
        <f ca="1">IF(Table_NFI[[#This Row],[Pcode]]="","",IF(OFFSET(CampList[Opening Date],MATCH(Table_NFI[[#This Row],[Pcode]],CampList[CP_Pcode],0)-1,0,1,1)&gt;=NFI_Monitor_Date,1,0))</f>
        <v/>
      </c>
      <c r="AQ999" s="540" t="str">
        <f>IFERROR(VLOOKUP(Table_NFI[[#This Row],[Camp Name]],CL,3,0),"")</f>
        <v/>
      </c>
      <c r="AR999" s="352" t="str">
        <f ca="1">IF(Table_NFI[[#This Row],[Pcode]]="","",OFFSET(CampList[Priority],MATCH(Table_NFI[[#This Row],[Pcode]],CampList[CP_Pcode],0)-1,0,1,1))</f>
        <v/>
      </c>
      <c r="AS999" s="351" t="str">
        <f>IFERROR(Table_NFI[[#This Row],[Kitchen Set]]/VLOOKUP(Table_NFI[[#This Row],[Camp Name]],CL,4,0),"")</f>
        <v/>
      </c>
      <c r="AT999" s="533" t="s">
        <v>1094</v>
      </c>
      <c r="AU999" s="536" t="s">
        <v>1165</v>
      </c>
    </row>
    <row r="1000" spans="1:47" s="129" customFormat="1" ht="14.45" customHeight="1" x14ac:dyDescent="0.25">
      <c r="A1000" s="355">
        <f t="shared" si="15"/>
        <v>55</v>
      </c>
      <c r="B1000" s="532">
        <v>40921</v>
      </c>
      <c r="C1000" s="533" t="s">
        <v>453</v>
      </c>
      <c r="D1000" s="534" t="s">
        <v>453</v>
      </c>
      <c r="E1000" s="533" t="s">
        <v>380</v>
      </c>
      <c r="F1000" s="348" t="s">
        <v>310</v>
      </c>
      <c r="G1000" s="348" t="s">
        <v>326</v>
      </c>
      <c r="H1000" s="349"/>
      <c r="I1000" s="349"/>
      <c r="J1000" s="349"/>
      <c r="K1000" s="349">
        <v>35</v>
      </c>
      <c r="L1000" s="350">
        <v>17</v>
      </c>
      <c r="M1000" s="350">
        <v>35</v>
      </c>
      <c r="N1000" s="350">
        <v>17</v>
      </c>
      <c r="O1000" s="350">
        <v>17</v>
      </c>
      <c r="P1000" s="352">
        <v>17</v>
      </c>
      <c r="Q1000" s="352">
        <v>17</v>
      </c>
      <c r="R1000" s="352"/>
      <c r="S1000" s="352"/>
      <c r="T1000" s="352"/>
      <c r="U1000" s="352"/>
      <c r="V1000" s="497"/>
      <c r="W1000" s="352"/>
      <c r="X1000" s="352"/>
      <c r="Y1000" s="352">
        <f>IF(NFI_Expiration=1,IF($A1000&lt;VLOOKUP(H$5,NFI,5,0),1,0)*Table_NFI[[#This Row],[Hygiene Kit]],Table_NFI[Hygiene Kit])</f>
        <v>0</v>
      </c>
      <c r="Z1000" s="352">
        <f>IF(NFI_Expiration=1,IF($A1000&lt;VLOOKUP(I$5,NFI,5,0),1,0)*Table_NFI[[#This Row],[NFI Core Kit]],Table_NFI[NFI Core Kit])</f>
        <v>0</v>
      </c>
      <c r="AA1000" s="352">
        <f>IF(NFI_Expiration=1,IF($A1000&lt;VLOOKUP(J$5,NFI,5,0),1,0)*Table_NFI[[#This Row],[Sanitary Kit]],Table_NFI[Sanitary Kit])</f>
        <v>0</v>
      </c>
      <c r="AB1000" s="352">
        <f>IF(NFI_Expiration=1,IF($A1000&lt;VLOOKUP(K$5,NFI,5,0),1,0)*Table_NFI[[#This Row],[Mosquito net]],Table_NFI[Mosquito net])</f>
        <v>0</v>
      </c>
      <c r="AC1000" s="352">
        <f>IF(NFI_Expiration=1,IF($A1000&lt;VLOOKUP(L$5,NFI,5,0),1,0)*Table_NFI[[#This Row],[Tarpaulin]],Table_NFI[[#This Row],[Tarpaulin]])</f>
        <v>0</v>
      </c>
      <c r="AD1000" s="352">
        <f>IF(NFI_Expiration=1,IF($A1000&lt;VLOOKUP(M$5,NFI,5,0),1,0)*Table_NFI[[#This Row],[Blanket]],Table_NFI[[#This Row],[Blanket]])</f>
        <v>0</v>
      </c>
      <c r="AE1000" s="352">
        <f>IF(NFI_Expiration=1,IF($A1000&lt;VLOOKUP(N$5,NFI,5,0),1,0)*Table_NFI[[#This Row],[Kitchen Set]],Table_NFI[Kitchen Set])</f>
        <v>0</v>
      </c>
      <c r="AF1000" s="352">
        <f>IF(NFI_Expiration=1,IF($A1000&lt;VLOOKUP(O$5,NFI,5,0),1,0)*Table_NFI[[#This Row],[Clothes Kit]],Table_NFI[Clothes Kit])</f>
        <v>0</v>
      </c>
      <c r="AG1000" s="352">
        <f>IF(NFI_Expiration=1,IF($A1000&lt;VLOOKUP(P$5,NFI,5,0),1,0)*Table_NFI[[#This Row],[Plastic Bucket]],Table_NFI[Plastic Bucket])</f>
        <v>0</v>
      </c>
      <c r="AH1000" s="352">
        <f>IF(NFI_Expiration=1,IF($A1000&lt;VLOOKUP(Q$5,NFI,5,0),1,0)*Table_NFI[[#This Row],[Plastic Mat]],Table_NFI[Plastic Mat])*IF(Table_NFI[[#This Row],[Distribution Date]]&gt;"2014-04-01",1,2.5)</f>
        <v>0</v>
      </c>
      <c r="AI1000" s="352">
        <f>IF(NFI_Expiration=1,IF($A1000&lt;VLOOKUP(R$5,NFI,5,0),1,0)*Table_NFI[[#This Row],[Winter Clothes Adult]],Table_NFI[Winter Clothes Adult])</f>
        <v>0</v>
      </c>
      <c r="AJ1000" s="352">
        <f>IF(NFI_Expiration=1,IF($A1000&lt;VLOOKUP(S$5,NFI,5,0),1,0)*Table_NFI[[#This Row],[Winter Clothes Children]],Table_NFI[Winter Clothes Children])</f>
        <v>0</v>
      </c>
      <c r="AK1000" s="352">
        <f>IF(NFI_Expiration=1,IF($A1000&lt;VLOOKUP(T$5,NFI,5,0),1,0)*Table_NFI[[#This Row],[Winter Items Other]],Table_NFI[Winter Items Other])</f>
        <v>0</v>
      </c>
      <c r="AL1000" s="352">
        <f>IF(NFI_Expiration=1,IF($A1000&lt;VLOOKUP(M$5,NFI,5,0),1,0)*Table_NFI[[#This Row],[Winter Blanket]],Table_NFI[[#This Row],[Winter Blanket]])</f>
        <v>0</v>
      </c>
      <c r="AM1000" s="352">
        <f>IF(Table_NFI[[#This Row],[Winter Clothes Adult]]+Table_NFI[[#This Row],[Winter Clothes Children]]+Table_NFI[[#This Row],[Winter Items Other]]+Table_NFI[[#This Row],[Winter Blanket]]&gt;0,1,0)</f>
        <v>0</v>
      </c>
      <c r="AN1000" s="392">
        <f>IF(NFI_Expiration=1,IF($A1000&lt;VLOOKUP(V$5,NFI,5,0),1,0)*Table_NFI[[#This Row],[Jerry Can]],Table_NFI[Jerry Can])</f>
        <v>0</v>
      </c>
      <c r="AO1000" s="540" t="str">
        <f>IFERROR(VLOOKUP(Table_NFI[[#This Row],[Camp Name]],CL,2,0),"")</f>
        <v>MMR001CMP039</v>
      </c>
      <c r="AP1000" s="535">
        <f ca="1">IF(Table_NFI[[#This Row],[Pcode]]="","",IF(OFFSET(CampList[Opening Date],MATCH(Table_NFI[[#This Row],[Pcode]],CampList[CP_Pcode],0)-1,0,1,1)&gt;=NFI_Monitor_Date,1,0))</f>
        <v>0</v>
      </c>
      <c r="AQ1000" s="540" t="str">
        <f>IFERROR(VLOOKUP(Table_NFI[[#This Row],[Camp Name]],CL,3,0),"")</f>
        <v>Open</v>
      </c>
      <c r="AR1000" s="352" t="str">
        <f ca="1">IF(Table_NFI[[#This Row],[Pcode]]="","",OFFSET(CampList[Priority],MATCH(Table_NFI[[#This Row],[Pcode]],CampList[CP_Pcode],0)-1,0,1,1))</f>
        <v>P4</v>
      </c>
      <c r="AS1000" s="351">
        <f>IFERROR(Table_NFI[[#This Row],[Kitchen Set]]/VLOOKUP(Table_NFI[[#This Row],[Camp Name]],CL,4,0),"")</f>
        <v>0.36956521739130432</v>
      </c>
      <c r="AT1000" s="533" t="s">
        <v>1094</v>
      </c>
      <c r="AU1000" s="536"/>
    </row>
    <row r="1001" spans="1:47" s="129" customFormat="1" ht="14.45" customHeight="1" x14ac:dyDescent="0.25">
      <c r="A1001" s="355">
        <f t="shared" si="15"/>
        <v>55</v>
      </c>
      <c r="B1001" s="532">
        <v>40921</v>
      </c>
      <c r="C1001" s="533" t="s">
        <v>453</v>
      </c>
      <c r="D1001" s="534" t="s">
        <v>461</v>
      </c>
      <c r="E1001" s="533" t="s">
        <v>380</v>
      </c>
      <c r="F1001" s="348" t="s">
        <v>528</v>
      </c>
      <c r="G1001" s="353" t="s">
        <v>136</v>
      </c>
      <c r="H1001" s="349"/>
      <c r="I1001" s="349"/>
      <c r="J1001" s="349"/>
      <c r="K1001" s="349">
        <v>224</v>
      </c>
      <c r="L1001" s="350">
        <v>112</v>
      </c>
      <c r="M1001" s="350">
        <v>112</v>
      </c>
      <c r="N1001" s="350">
        <v>0</v>
      </c>
      <c r="O1001" s="350">
        <v>112</v>
      </c>
      <c r="P1001" s="352">
        <v>112</v>
      </c>
      <c r="Q1001" s="352">
        <v>112</v>
      </c>
      <c r="R1001" s="352"/>
      <c r="S1001" s="352"/>
      <c r="T1001" s="352"/>
      <c r="U1001" s="352"/>
      <c r="V1001" s="497"/>
      <c r="W1001" s="352"/>
      <c r="X1001" s="352"/>
      <c r="Y1001" s="352">
        <f>IF(NFI_Expiration=1,IF($A1001&lt;VLOOKUP(H$5,NFI,5,0),1,0)*Table_NFI[[#This Row],[Hygiene Kit]],Table_NFI[Hygiene Kit])</f>
        <v>0</v>
      </c>
      <c r="Z1001" s="352">
        <f>IF(NFI_Expiration=1,IF($A1001&lt;VLOOKUP(I$5,NFI,5,0),1,0)*Table_NFI[[#This Row],[NFI Core Kit]],Table_NFI[NFI Core Kit])</f>
        <v>0</v>
      </c>
      <c r="AA1001" s="352">
        <f>IF(NFI_Expiration=1,IF($A1001&lt;VLOOKUP(J$5,NFI,5,0),1,0)*Table_NFI[[#This Row],[Sanitary Kit]],Table_NFI[Sanitary Kit])</f>
        <v>0</v>
      </c>
      <c r="AB1001" s="352">
        <f>IF(NFI_Expiration=1,IF($A1001&lt;VLOOKUP(K$5,NFI,5,0),1,0)*Table_NFI[[#This Row],[Mosquito net]],Table_NFI[Mosquito net])</f>
        <v>0</v>
      </c>
      <c r="AC1001" s="352">
        <f>IF(NFI_Expiration=1,IF($A1001&lt;VLOOKUP(L$5,NFI,5,0),1,0)*Table_NFI[[#This Row],[Tarpaulin]],Table_NFI[[#This Row],[Tarpaulin]])</f>
        <v>0</v>
      </c>
      <c r="AD1001" s="352">
        <f>IF(NFI_Expiration=1,IF($A1001&lt;VLOOKUP(M$5,NFI,5,0),1,0)*Table_NFI[[#This Row],[Blanket]],Table_NFI[[#This Row],[Blanket]])</f>
        <v>0</v>
      </c>
      <c r="AE1001" s="352">
        <f>IF(NFI_Expiration=1,IF($A1001&lt;VLOOKUP(N$5,NFI,5,0),1,0)*Table_NFI[[#This Row],[Kitchen Set]],Table_NFI[Kitchen Set])</f>
        <v>0</v>
      </c>
      <c r="AF1001" s="352">
        <f>IF(NFI_Expiration=1,IF($A1001&lt;VLOOKUP(O$5,NFI,5,0),1,0)*Table_NFI[[#This Row],[Clothes Kit]],Table_NFI[Clothes Kit])</f>
        <v>0</v>
      </c>
      <c r="AG1001" s="352">
        <f>IF(NFI_Expiration=1,IF($A1001&lt;VLOOKUP(P$5,NFI,5,0),1,0)*Table_NFI[[#This Row],[Plastic Bucket]],Table_NFI[Plastic Bucket])</f>
        <v>0</v>
      </c>
      <c r="AH1001" s="352">
        <f>IF(NFI_Expiration=1,IF($A1001&lt;VLOOKUP(Q$5,NFI,5,0),1,0)*Table_NFI[[#This Row],[Plastic Mat]],Table_NFI[Plastic Mat])*IF(Table_NFI[[#This Row],[Distribution Date]]&gt;"2014-04-01",1,2.5)</f>
        <v>0</v>
      </c>
      <c r="AI1001" s="352">
        <f>IF(NFI_Expiration=1,IF($A1001&lt;VLOOKUP(R$5,NFI,5,0),1,0)*Table_NFI[[#This Row],[Winter Clothes Adult]],Table_NFI[Winter Clothes Adult])</f>
        <v>0</v>
      </c>
      <c r="AJ1001" s="352">
        <f>IF(NFI_Expiration=1,IF($A1001&lt;VLOOKUP(S$5,NFI,5,0),1,0)*Table_NFI[[#This Row],[Winter Clothes Children]],Table_NFI[Winter Clothes Children])</f>
        <v>0</v>
      </c>
      <c r="AK1001" s="352">
        <f>IF(NFI_Expiration=1,IF($A1001&lt;VLOOKUP(T$5,NFI,5,0),1,0)*Table_NFI[[#This Row],[Winter Items Other]],Table_NFI[Winter Items Other])</f>
        <v>0</v>
      </c>
      <c r="AL1001" s="352">
        <f>IF(NFI_Expiration=1,IF($A1001&lt;VLOOKUP(M$5,NFI,5,0),1,0)*Table_NFI[[#This Row],[Winter Blanket]],Table_NFI[[#This Row],[Winter Blanket]])</f>
        <v>0</v>
      </c>
      <c r="AM1001" s="352">
        <f>IF(Table_NFI[[#This Row],[Winter Clothes Adult]]+Table_NFI[[#This Row],[Winter Clothes Children]]+Table_NFI[[#This Row],[Winter Items Other]]+Table_NFI[[#This Row],[Winter Blanket]]&gt;0,1,0)</f>
        <v>0</v>
      </c>
      <c r="AN1001" s="392">
        <f>IF(NFI_Expiration=1,IF($A1001&lt;VLOOKUP(V$5,NFI,5,0),1,0)*Table_NFI[[#This Row],[Jerry Can]],Table_NFI[Jerry Can])</f>
        <v>0</v>
      </c>
      <c r="AO1001" s="540" t="str">
        <f>IFERROR(VLOOKUP(Table_NFI[[#This Row],[Camp Name]],CL,2,0),"")</f>
        <v>MMR001CMP106</v>
      </c>
      <c r="AP1001" s="535">
        <f ca="1">IF(Table_NFI[[#This Row],[Pcode]]="","",IF(OFFSET(CampList[Opening Date],MATCH(Table_NFI[[#This Row],[Pcode]],CampList[CP_Pcode],0)-1,0,1,1)&gt;=NFI_Monitor_Date,1,0))</f>
        <v>0</v>
      </c>
      <c r="AQ1001" s="540" t="str">
        <f>IFERROR(VLOOKUP(Table_NFI[[#This Row],[Camp Name]],CL,3,0),"")</f>
        <v>Closed</v>
      </c>
      <c r="AR1001" s="352" t="str">
        <f ca="1">IF(Table_NFI[[#This Row],[Pcode]]="","",OFFSET(CampList[Priority],MATCH(Table_NFI[[#This Row],[Pcode]],CampList[CP_Pcode],0)-1,0,1,1))</f>
        <v/>
      </c>
      <c r="AS1001" s="351" t="str">
        <f>IFERROR(Table_NFI[[#This Row],[Kitchen Set]]/VLOOKUP(Table_NFI[[#This Row],[Camp Name]],CL,4,0),"")</f>
        <v/>
      </c>
      <c r="AT1001" s="533" t="s">
        <v>1094</v>
      </c>
      <c r="AU1001" s="536"/>
    </row>
    <row r="1002" spans="1:47" s="129" customFormat="1" ht="14.45" customHeight="1" x14ac:dyDescent="0.25">
      <c r="A1002" s="355">
        <f t="shared" si="15"/>
        <v>55</v>
      </c>
      <c r="B1002" s="532">
        <v>40921</v>
      </c>
      <c r="C1002" s="533" t="s">
        <v>453</v>
      </c>
      <c r="D1002" s="534" t="s">
        <v>461</v>
      </c>
      <c r="E1002" s="533" t="s">
        <v>380</v>
      </c>
      <c r="F1002" s="348" t="s">
        <v>528</v>
      </c>
      <c r="G1002" s="348" t="s">
        <v>84</v>
      </c>
      <c r="H1002" s="349"/>
      <c r="I1002" s="349"/>
      <c r="J1002" s="349"/>
      <c r="K1002" s="349">
        <v>34</v>
      </c>
      <c r="L1002" s="350">
        <v>17</v>
      </c>
      <c r="M1002" s="350">
        <v>17</v>
      </c>
      <c r="N1002" s="350">
        <v>0</v>
      </c>
      <c r="O1002" s="350">
        <v>17</v>
      </c>
      <c r="P1002" s="352">
        <v>17</v>
      </c>
      <c r="Q1002" s="352">
        <v>17</v>
      </c>
      <c r="R1002" s="352"/>
      <c r="S1002" s="352"/>
      <c r="T1002" s="352"/>
      <c r="U1002" s="352"/>
      <c r="V1002" s="497"/>
      <c r="W1002" s="352"/>
      <c r="X1002" s="352"/>
      <c r="Y1002" s="352">
        <f>IF(NFI_Expiration=1,IF($A1002&lt;VLOOKUP(H$5,NFI,5,0),1,0)*Table_NFI[[#This Row],[Hygiene Kit]],Table_NFI[Hygiene Kit])</f>
        <v>0</v>
      </c>
      <c r="Z1002" s="352">
        <f>IF(NFI_Expiration=1,IF($A1002&lt;VLOOKUP(I$5,NFI,5,0),1,0)*Table_NFI[[#This Row],[NFI Core Kit]],Table_NFI[NFI Core Kit])</f>
        <v>0</v>
      </c>
      <c r="AA1002" s="352">
        <f>IF(NFI_Expiration=1,IF($A1002&lt;VLOOKUP(J$5,NFI,5,0),1,0)*Table_NFI[[#This Row],[Sanitary Kit]],Table_NFI[Sanitary Kit])</f>
        <v>0</v>
      </c>
      <c r="AB1002" s="352">
        <f>IF(NFI_Expiration=1,IF($A1002&lt;VLOOKUP(K$5,NFI,5,0),1,0)*Table_NFI[[#This Row],[Mosquito net]],Table_NFI[Mosquito net])</f>
        <v>0</v>
      </c>
      <c r="AC1002" s="352">
        <f>IF(NFI_Expiration=1,IF($A1002&lt;VLOOKUP(L$5,NFI,5,0),1,0)*Table_NFI[[#This Row],[Tarpaulin]],Table_NFI[[#This Row],[Tarpaulin]])</f>
        <v>0</v>
      </c>
      <c r="AD1002" s="352">
        <f>IF(NFI_Expiration=1,IF($A1002&lt;VLOOKUP(M$5,NFI,5,0),1,0)*Table_NFI[[#This Row],[Blanket]],Table_NFI[[#This Row],[Blanket]])</f>
        <v>0</v>
      </c>
      <c r="AE1002" s="352">
        <f>IF(NFI_Expiration=1,IF($A1002&lt;VLOOKUP(N$5,NFI,5,0),1,0)*Table_NFI[[#This Row],[Kitchen Set]],Table_NFI[Kitchen Set])</f>
        <v>0</v>
      </c>
      <c r="AF1002" s="352">
        <f>IF(NFI_Expiration=1,IF($A1002&lt;VLOOKUP(O$5,NFI,5,0),1,0)*Table_NFI[[#This Row],[Clothes Kit]],Table_NFI[Clothes Kit])</f>
        <v>0</v>
      </c>
      <c r="AG1002" s="352">
        <f>IF(NFI_Expiration=1,IF($A1002&lt;VLOOKUP(P$5,NFI,5,0),1,0)*Table_NFI[[#This Row],[Plastic Bucket]],Table_NFI[Plastic Bucket])</f>
        <v>0</v>
      </c>
      <c r="AH1002" s="352">
        <f>IF(NFI_Expiration=1,IF($A1002&lt;VLOOKUP(Q$5,NFI,5,0),1,0)*Table_NFI[[#This Row],[Plastic Mat]],Table_NFI[Plastic Mat])*IF(Table_NFI[[#This Row],[Distribution Date]]&gt;"2014-04-01",1,2.5)</f>
        <v>0</v>
      </c>
      <c r="AI1002" s="352">
        <f>IF(NFI_Expiration=1,IF($A1002&lt;VLOOKUP(R$5,NFI,5,0),1,0)*Table_NFI[[#This Row],[Winter Clothes Adult]],Table_NFI[Winter Clothes Adult])</f>
        <v>0</v>
      </c>
      <c r="AJ1002" s="352">
        <f>IF(NFI_Expiration=1,IF($A1002&lt;VLOOKUP(S$5,NFI,5,0),1,0)*Table_NFI[[#This Row],[Winter Clothes Children]],Table_NFI[Winter Clothes Children])</f>
        <v>0</v>
      </c>
      <c r="AK1002" s="352">
        <f>IF(NFI_Expiration=1,IF($A1002&lt;VLOOKUP(T$5,NFI,5,0),1,0)*Table_NFI[[#This Row],[Winter Items Other]],Table_NFI[Winter Items Other])</f>
        <v>0</v>
      </c>
      <c r="AL1002" s="352">
        <f>IF(NFI_Expiration=1,IF($A1002&lt;VLOOKUP(M$5,NFI,5,0),1,0)*Table_NFI[[#This Row],[Winter Blanket]],Table_NFI[[#This Row],[Winter Blanket]])</f>
        <v>0</v>
      </c>
      <c r="AM1002" s="352">
        <f>IF(Table_NFI[[#This Row],[Winter Clothes Adult]]+Table_NFI[[#This Row],[Winter Clothes Children]]+Table_NFI[[#This Row],[Winter Items Other]]+Table_NFI[[#This Row],[Winter Blanket]]&gt;0,1,0)</f>
        <v>0</v>
      </c>
      <c r="AN1002" s="392">
        <f>IF(NFI_Expiration=1,IF($A1002&lt;VLOOKUP(V$5,NFI,5,0),1,0)*Table_NFI[[#This Row],[Jerry Can]],Table_NFI[Jerry Can])</f>
        <v>0</v>
      </c>
      <c r="AO1002" s="540" t="str">
        <f>IFERROR(VLOOKUP(Table_NFI[[#This Row],[Camp Name]],CL,2,0),"")</f>
        <v>MMR001CMP085</v>
      </c>
      <c r="AP1002" s="535">
        <f ca="1">IF(Table_NFI[[#This Row],[Pcode]]="","",IF(OFFSET(CampList[Opening Date],MATCH(Table_NFI[[#This Row],[Pcode]],CampList[CP_Pcode],0)-1,0,1,1)&gt;=NFI_Monitor_Date,1,0))</f>
        <v>0</v>
      </c>
      <c r="AQ1002" s="540" t="str">
        <f>IFERROR(VLOOKUP(Table_NFI[[#This Row],[Camp Name]],CL,3,0),"")</f>
        <v>Closed</v>
      </c>
      <c r="AR1002" s="352" t="str">
        <f ca="1">IF(Table_NFI[[#This Row],[Pcode]]="","",OFFSET(CampList[Priority],MATCH(Table_NFI[[#This Row],[Pcode]],CampList[CP_Pcode],0)-1,0,1,1))</f>
        <v/>
      </c>
      <c r="AS1002" s="351" t="str">
        <f>IFERROR(Table_NFI[[#This Row],[Kitchen Set]]/VLOOKUP(Table_NFI[[#This Row],[Camp Name]],CL,4,0),"")</f>
        <v/>
      </c>
      <c r="AT1002" s="533" t="s">
        <v>1094</v>
      </c>
      <c r="AU1002" s="536"/>
    </row>
    <row r="1003" spans="1:47" s="129" customFormat="1" ht="14.45" customHeight="1" x14ac:dyDescent="0.25">
      <c r="A1003" s="355">
        <f t="shared" si="15"/>
        <v>55</v>
      </c>
      <c r="B1003" s="532">
        <v>40921</v>
      </c>
      <c r="C1003" s="533" t="s">
        <v>453</v>
      </c>
      <c r="D1003" s="534" t="s">
        <v>461</v>
      </c>
      <c r="E1003" s="533" t="s">
        <v>380</v>
      </c>
      <c r="F1003" s="348"/>
      <c r="G1003" s="348" t="s">
        <v>917</v>
      </c>
      <c r="H1003" s="349"/>
      <c r="I1003" s="349"/>
      <c r="J1003" s="349"/>
      <c r="K1003" s="349">
        <v>126</v>
      </c>
      <c r="L1003" s="350">
        <v>63</v>
      </c>
      <c r="M1003" s="350">
        <v>63</v>
      </c>
      <c r="N1003" s="350">
        <v>0</v>
      </c>
      <c r="O1003" s="350">
        <v>63</v>
      </c>
      <c r="P1003" s="352">
        <v>63</v>
      </c>
      <c r="Q1003" s="352">
        <v>63</v>
      </c>
      <c r="R1003" s="352"/>
      <c r="S1003" s="352"/>
      <c r="T1003" s="352"/>
      <c r="U1003" s="352"/>
      <c r="V1003" s="497"/>
      <c r="W1003" s="352"/>
      <c r="X1003" s="352"/>
      <c r="Y1003" s="352">
        <f>IF(NFI_Expiration=1,IF($A1003&lt;VLOOKUP(H$5,NFI,5,0),1,0)*Table_NFI[[#This Row],[Hygiene Kit]],Table_NFI[Hygiene Kit])</f>
        <v>0</v>
      </c>
      <c r="Z1003" s="352">
        <f>IF(NFI_Expiration=1,IF($A1003&lt;VLOOKUP(I$5,NFI,5,0),1,0)*Table_NFI[[#This Row],[NFI Core Kit]],Table_NFI[NFI Core Kit])</f>
        <v>0</v>
      </c>
      <c r="AA1003" s="352">
        <f>IF(NFI_Expiration=1,IF($A1003&lt;VLOOKUP(J$5,NFI,5,0),1,0)*Table_NFI[[#This Row],[Sanitary Kit]],Table_NFI[Sanitary Kit])</f>
        <v>0</v>
      </c>
      <c r="AB1003" s="352">
        <f>IF(NFI_Expiration=1,IF($A1003&lt;VLOOKUP(K$5,NFI,5,0),1,0)*Table_NFI[[#This Row],[Mosquito net]],Table_NFI[Mosquito net])</f>
        <v>0</v>
      </c>
      <c r="AC1003" s="352">
        <f>IF(NFI_Expiration=1,IF($A1003&lt;VLOOKUP(L$5,NFI,5,0),1,0)*Table_NFI[[#This Row],[Tarpaulin]],Table_NFI[[#This Row],[Tarpaulin]])</f>
        <v>0</v>
      </c>
      <c r="AD1003" s="352">
        <f>IF(NFI_Expiration=1,IF($A1003&lt;VLOOKUP(M$5,NFI,5,0),1,0)*Table_NFI[[#This Row],[Blanket]],Table_NFI[[#This Row],[Blanket]])</f>
        <v>0</v>
      </c>
      <c r="AE1003" s="352">
        <f>IF(NFI_Expiration=1,IF($A1003&lt;VLOOKUP(N$5,NFI,5,0),1,0)*Table_NFI[[#This Row],[Kitchen Set]],Table_NFI[Kitchen Set])</f>
        <v>0</v>
      </c>
      <c r="AF1003" s="352">
        <f>IF(NFI_Expiration=1,IF($A1003&lt;VLOOKUP(O$5,NFI,5,0),1,0)*Table_NFI[[#This Row],[Clothes Kit]],Table_NFI[Clothes Kit])</f>
        <v>0</v>
      </c>
      <c r="AG1003" s="352">
        <f>IF(NFI_Expiration=1,IF($A1003&lt;VLOOKUP(P$5,NFI,5,0),1,0)*Table_NFI[[#This Row],[Plastic Bucket]],Table_NFI[Plastic Bucket])</f>
        <v>0</v>
      </c>
      <c r="AH1003" s="352">
        <f>IF(NFI_Expiration=1,IF($A1003&lt;VLOOKUP(Q$5,NFI,5,0),1,0)*Table_NFI[[#This Row],[Plastic Mat]],Table_NFI[Plastic Mat])*IF(Table_NFI[[#This Row],[Distribution Date]]&gt;"2014-04-01",1,2.5)</f>
        <v>0</v>
      </c>
      <c r="AI1003" s="352">
        <f>IF(NFI_Expiration=1,IF($A1003&lt;VLOOKUP(R$5,NFI,5,0),1,0)*Table_NFI[[#This Row],[Winter Clothes Adult]],Table_NFI[Winter Clothes Adult])</f>
        <v>0</v>
      </c>
      <c r="AJ1003" s="352">
        <f>IF(NFI_Expiration=1,IF($A1003&lt;VLOOKUP(S$5,NFI,5,0),1,0)*Table_NFI[[#This Row],[Winter Clothes Children]],Table_NFI[Winter Clothes Children])</f>
        <v>0</v>
      </c>
      <c r="AK1003" s="352">
        <f>IF(NFI_Expiration=1,IF($A1003&lt;VLOOKUP(T$5,NFI,5,0),1,0)*Table_NFI[[#This Row],[Winter Items Other]],Table_NFI[Winter Items Other])</f>
        <v>0</v>
      </c>
      <c r="AL1003" s="352">
        <f>IF(NFI_Expiration=1,IF($A1003&lt;VLOOKUP(M$5,NFI,5,0),1,0)*Table_NFI[[#This Row],[Winter Blanket]],Table_NFI[[#This Row],[Winter Blanket]])</f>
        <v>0</v>
      </c>
      <c r="AM1003" s="352">
        <f>IF(Table_NFI[[#This Row],[Winter Clothes Adult]]+Table_NFI[[#This Row],[Winter Clothes Children]]+Table_NFI[[#This Row],[Winter Items Other]]+Table_NFI[[#This Row],[Winter Blanket]]&gt;0,1,0)</f>
        <v>0</v>
      </c>
      <c r="AN1003" s="392">
        <f>IF(NFI_Expiration=1,IF($A1003&lt;VLOOKUP(V$5,NFI,5,0),1,0)*Table_NFI[[#This Row],[Jerry Can]],Table_NFI[Jerry Can])</f>
        <v>0</v>
      </c>
      <c r="AO1003" s="540" t="str">
        <f>IFERROR(VLOOKUP(Table_NFI[[#This Row],[Camp Name]],CL,2,0),"")</f>
        <v/>
      </c>
      <c r="AP1003" s="535" t="str">
        <f ca="1">IF(Table_NFI[[#This Row],[Pcode]]="","",IF(OFFSET(CampList[Opening Date],MATCH(Table_NFI[[#This Row],[Pcode]],CampList[CP_Pcode],0)-1,0,1,1)&gt;=NFI_Monitor_Date,1,0))</f>
        <v/>
      </c>
      <c r="AQ1003" s="540" t="str">
        <f>IFERROR(VLOOKUP(Table_NFI[[#This Row],[Camp Name]],CL,3,0),"")</f>
        <v/>
      </c>
      <c r="AR1003" s="352" t="str">
        <f ca="1">IF(Table_NFI[[#This Row],[Pcode]]="","",OFFSET(CampList[Priority],MATCH(Table_NFI[[#This Row],[Pcode]],CampList[CP_Pcode],0)-1,0,1,1))</f>
        <v/>
      </c>
      <c r="AS1003" s="351" t="str">
        <f>IFERROR(Table_NFI[[#This Row],[Kitchen Set]]/VLOOKUP(Table_NFI[[#This Row],[Camp Name]],CL,4,0),"")</f>
        <v/>
      </c>
      <c r="AT1003" s="533" t="s">
        <v>1094</v>
      </c>
      <c r="AU1003" s="536" t="s">
        <v>1163</v>
      </c>
    </row>
    <row r="1004" spans="1:47" s="129" customFormat="1" ht="14.45" hidden="1" customHeight="1" x14ac:dyDescent="0.25">
      <c r="A1004" s="355">
        <f t="shared" si="15"/>
        <v>20.6</v>
      </c>
      <c r="B1004" s="532">
        <v>41953</v>
      </c>
      <c r="C1004" s="533" t="s">
        <v>1096</v>
      </c>
      <c r="D1004" s="533" t="s">
        <v>902</v>
      </c>
      <c r="E1004" s="533" t="s">
        <v>380</v>
      </c>
      <c r="F1004" s="533" t="s">
        <v>300</v>
      </c>
      <c r="G1004" s="533" t="s">
        <v>301</v>
      </c>
      <c r="H1004" s="349"/>
      <c r="I1004" s="349"/>
      <c r="J1004" s="349"/>
      <c r="K1004" s="349"/>
      <c r="L1004" s="350"/>
      <c r="M1004" s="350"/>
      <c r="N1004" s="350"/>
      <c r="O1004" s="350"/>
      <c r="P1004" s="352"/>
      <c r="Q1004" s="352"/>
      <c r="R1004" s="352">
        <v>72</v>
      </c>
      <c r="S1004" s="352">
        <v>11</v>
      </c>
      <c r="T1004" s="352"/>
      <c r="U1004" s="352"/>
      <c r="V1004" s="497"/>
      <c r="W1004" s="352"/>
      <c r="X1004" s="352"/>
      <c r="Y1004" s="352">
        <f>IF(NFI_Expiration=1,IF($A1004&lt;VLOOKUP(H$5,NFI,5,0),1,0)*Table_NFI[[#This Row],[Hygiene Kit]],Table_NFI[Hygiene Kit])</f>
        <v>0</v>
      </c>
      <c r="Z1004" s="352">
        <f>IF(NFI_Expiration=1,IF($A1004&lt;VLOOKUP(I$5,NFI,5,0),1,0)*Table_NFI[[#This Row],[NFI Core Kit]],Table_NFI[NFI Core Kit])</f>
        <v>0</v>
      </c>
      <c r="AA1004" s="352">
        <f>IF(NFI_Expiration=1,IF($A1004&lt;VLOOKUP(J$5,NFI,5,0),1,0)*Table_NFI[[#This Row],[Sanitary Kit]],Table_NFI[Sanitary Kit])</f>
        <v>0</v>
      </c>
      <c r="AB1004" s="352">
        <f>IF(NFI_Expiration=1,IF($A1004&lt;VLOOKUP(K$5,NFI,5,0),1,0)*Table_NFI[[#This Row],[Mosquito net]],Table_NFI[Mosquito net])</f>
        <v>0</v>
      </c>
      <c r="AC1004" s="352">
        <f>IF(NFI_Expiration=1,IF($A1004&lt;VLOOKUP(L$5,NFI,5,0),1,0)*Table_NFI[[#This Row],[Tarpaulin]],Table_NFI[[#This Row],[Tarpaulin]])</f>
        <v>0</v>
      </c>
      <c r="AD1004" s="352">
        <f>IF(NFI_Expiration=1,IF($A1004&lt;VLOOKUP(M$5,NFI,5,0),1,0)*Table_NFI[[#This Row],[Blanket]],Table_NFI[[#This Row],[Blanket]])</f>
        <v>0</v>
      </c>
      <c r="AE1004" s="352">
        <f>IF(NFI_Expiration=1,IF($A1004&lt;VLOOKUP(N$5,NFI,5,0),1,0)*Table_NFI[[#This Row],[Kitchen Set]],Table_NFI[Kitchen Set])</f>
        <v>0</v>
      </c>
      <c r="AF1004" s="352">
        <f>IF(NFI_Expiration=1,IF($A1004&lt;VLOOKUP(O$5,NFI,5,0),1,0)*Table_NFI[[#This Row],[Clothes Kit]],Table_NFI[Clothes Kit])</f>
        <v>0</v>
      </c>
      <c r="AG1004" s="352">
        <f>IF(NFI_Expiration=1,IF($A1004&lt;VLOOKUP(P$5,NFI,5,0),1,0)*Table_NFI[[#This Row],[Plastic Bucket]],Table_NFI[Plastic Bucket])</f>
        <v>0</v>
      </c>
      <c r="AH1004" s="352">
        <f>IF(NFI_Expiration=1,IF($A1004&lt;VLOOKUP(Q$5,NFI,5,0),1,0)*Table_NFI[[#This Row],[Plastic Mat]],Table_NFI[Plastic Mat])*IF(Table_NFI[[#This Row],[Distribution Date]]&gt;"2014-04-01",1,2.5)</f>
        <v>0</v>
      </c>
      <c r="AI1004" s="352">
        <f>IF(NFI_Expiration=1,IF($A1004&lt;VLOOKUP(R$5,NFI,5,0),1,0)*Table_NFI[[#This Row],[Winter Clothes Adult]],Table_NFI[Winter Clothes Adult])</f>
        <v>0</v>
      </c>
      <c r="AJ1004" s="352">
        <f>IF(NFI_Expiration=1,IF($A1004&lt;VLOOKUP(S$5,NFI,5,0),1,0)*Table_NFI[[#This Row],[Winter Clothes Children]],Table_NFI[Winter Clothes Children])</f>
        <v>0</v>
      </c>
      <c r="AK1004" s="352">
        <f>IF(NFI_Expiration=1,IF($A1004&lt;VLOOKUP(T$5,NFI,5,0),1,0)*Table_NFI[[#This Row],[Winter Items Other]],Table_NFI[Winter Items Other])</f>
        <v>0</v>
      </c>
      <c r="AL1004" s="352">
        <f>IF(NFI_Expiration=1,IF($A1004&lt;VLOOKUP(M$5,NFI,5,0),1,0)*Table_NFI[[#This Row],[Winter Blanket]],Table_NFI[[#This Row],[Winter Blanket]])</f>
        <v>0</v>
      </c>
      <c r="AM1004" s="352">
        <f>IF(Table_NFI[[#This Row],[Winter Clothes Adult]]+Table_NFI[[#This Row],[Winter Clothes Children]]+Table_NFI[[#This Row],[Winter Items Other]]+Table_NFI[[#This Row],[Winter Blanket]]&gt;0,1,0)</f>
        <v>1</v>
      </c>
      <c r="AN1004" s="392">
        <f>IF(NFI_Expiration=1,IF($A1004&lt;VLOOKUP(V$5,NFI,5,0),1,0)*Table_NFI[[#This Row],[Jerry Can]],Table_NFI[Jerry Can])</f>
        <v>0</v>
      </c>
      <c r="AO1004" s="540" t="str">
        <f>IFERROR(VLOOKUP(Table_NFI[[#This Row],[Camp Name]],CL,2,0),"")</f>
        <v>MMR001CMP075</v>
      </c>
      <c r="AP1004" s="535">
        <f ca="1">IF(Table_NFI[[#This Row],[Pcode]]="","",IF(OFFSET(CampList[Opening Date],MATCH(Table_NFI[[#This Row],[Pcode]],CampList[CP_Pcode],0)-1,0,1,1)&gt;=NFI_Monitor_Date,1,0))</f>
        <v>0</v>
      </c>
      <c r="AQ1004" s="540" t="str">
        <f>IFERROR(VLOOKUP(Table_NFI[[#This Row],[Camp Name]],CL,3,0),"")</f>
        <v>Open</v>
      </c>
      <c r="AR1004" s="352" t="str">
        <f ca="1">IF(Table_NFI[[#This Row],[Pcode]]="","",OFFSET(CampList[Priority],MATCH(Table_NFI[[#This Row],[Pcode]],CampList[CP_Pcode],0)-1,0,1,1))</f>
        <v>P3</v>
      </c>
      <c r="AS1004" s="351">
        <f>IFERROR(Table_NFI[[#This Row],[Kitchen Set]]/VLOOKUP(Table_NFI[[#This Row],[Camp Name]],CL,4,0),"")</f>
        <v>0</v>
      </c>
      <c r="AT1004" s="533"/>
      <c r="AU1004" s="536"/>
    </row>
    <row r="1005" spans="1:47" s="129" customFormat="1" ht="14.45" hidden="1" customHeight="1" x14ac:dyDescent="0.25">
      <c r="A1005" s="355">
        <f t="shared" si="15"/>
        <v>30.4</v>
      </c>
      <c r="B1005" s="532">
        <v>41659</v>
      </c>
      <c r="C1005" s="533" t="s">
        <v>1096</v>
      </c>
      <c r="D1005" s="533" t="s">
        <v>902</v>
      </c>
      <c r="E1005" s="533" t="s">
        <v>380</v>
      </c>
      <c r="F1005" s="533" t="s">
        <v>300</v>
      </c>
      <c r="G1005" s="533" t="s">
        <v>301</v>
      </c>
      <c r="H1005" s="349"/>
      <c r="I1005" s="349"/>
      <c r="J1005" s="349"/>
      <c r="K1005" s="349">
        <v>18</v>
      </c>
      <c r="L1005" s="350">
        <v>36</v>
      </c>
      <c r="M1005" s="350">
        <v>36</v>
      </c>
      <c r="N1005" s="350">
        <v>18</v>
      </c>
      <c r="O1005" s="350"/>
      <c r="P1005" s="352"/>
      <c r="Q1005" s="352"/>
      <c r="R1005" s="352">
        <v>53</v>
      </c>
      <c r="S1005" s="352">
        <v>42</v>
      </c>
      <c r="T1005" s="352"/>
      <c r="U1005" s="352"/>
      <c r="V1005" s="497"/>
      <c r="W1005" s="352"/>
      <c r="X1005" s="352"/>
      <c r="Y1005" s="352">
        <f>IF(NFI_Expiration=1,IF($A1005&lt;VLOOKUP(H$5,NFI,5,0),1,0)*Table_NFI[[#This Row],[Hygiene Kit]],Table_NFI[Hygiene Kit])</f>
        <v>0</v>
      </c>
      <c r="Z1005" s="352">
        <f>IF(NFI_Expiration=1,IF($A1005&lt;VLOOKUP(I$5,NFI,5,0),1,0)*Table_NFI[[#This Row],[NFI Core Kit]],Table_NFI[NFI Core Kit])</f>
        <v>0</v>
      </c>
      <c r="AA1005" s="352">
        <f>IF(NFI_Expiration=1,IF($A1005&lt;VLOOKUP(J$5,NFI,5,0),1,0)*Table_NFI[[#This Row],[Sanitary Kit]],Table_NFI[Sanitary Kit])</f>
        <v>0</v>
      </c>
      <c r="AB1005" s="352">
        <f>IF(NFI_Expiration=1,IF($A1005&lt;VLOOKUP(K$5,NFI,5,0),1,0)*Table_NFI[[#This Row],[Mosquito net]],Table_NFI[Mosquito net])</f>
        <v>0</v>
      </c>
      <c r="AC1005" s="352">
        <f>IF(NFI_Expiration=1,IF($A1005&lt;VLOOKUP(L$5,NFI,5,0),1,0)*Table_NFI[[#This Row],[Tarpaulin]],Table_NFI[[#This Row],[Tarpaulin]])</f>
        <v>0</v>
      </c>
      <c r="AD1005" s="352">
        <f>IF(NFI_Expiration=1,IF($A1005&lt;VLOOKUP(M$5,NFI,5,0),1,0)*Table_NFI[[#This Row],[Blanket]],Table_NFI[[#This Row],[Blanket]])</f>
        <v>0</v>
      </c>
      <c r="AE1005" s="352">
        <f>IF(NFI_Expiration=1,IF($A1005&lt;VLOOKUP(N$5,NFI,5,0),1,0)*Table_NFI[[#This Row],[Kitchen Set]],Table_NFI[Kitchen Set])</f>
        <v>0</v>
      </c>
      <c r="AF1005" s="352">
        <f>IF(NFI_Expiration=1,IF($A1005&lt;VLOOKUP(O$5,NFI,5,0),1,0)*Table_NFI[[#This Row],[Clothes Kit]],Table_NFI[Clothes Kit])</f>
        <v>0</v>
      </c>
      <c r="AG1005" s="352">
        <f>IF(NFI_Expiration=1,IF($A1005&lt;VLOOKUP(P$5,NFI,5,0),1,0)*Table_NFI[[#This Row],[Plastic Bucket]],Table_NFI[Plastic Bucket])</f>
        <v>0</v>
      </c>
      <c r="AH1005" s="352">
        <f>IF(NFI_Expiration=1,IF($A1005&lt;VLOOKUP(Q$5,NFI,5,0),1,0)*Table_NFI[[#This Row],[Plastic Mat]],Table_NFI[Plastic Mat])*IF(Table_NFI[[#This Row],[Distribution Date]]&gt;"2014-04-01",1,2.5)</f>
        <v>0</v>
      </c>
      <c r="AI1005" s="352">
        <f>IF(NFI_Expiration=1,IF($A1005&lt;VLOOKUP(R$5,NFI,5,0),1,0)*Table_NFI[[#This Row],[Winter Clothes Adult]],Table_NFI[Winter Clothes Adult])</f>
        <v>0</v>
      </c>
      <c r="AJ1005" s="352">
        <f>IF(NFI_Expiration=1,IF($A1005&lt;VLOOKUP(S$5,NFI,5,0),1,0)*Table_NFI[[#This Row],[Winter Clothes Children]],Table_NFI[Winter Clothes Children])</f>
        <v>0</v>
      </c>
      <c r="AK1005" s="352">
        <f>IF(NFI_Expiration=1,IF($A1005&lt;VLOOKUP(T$5,NFI,5,0),1,0)*Table_NFI[[#This Row],[Winter Items Other]],Table_NFI[Winter Items Other])</f>
        <v>0</v>
      </c>
      <c r="AL1005" s="352">
        <f>IF(NFI_Expiration=1,IF($A1005&lt;VLOOKUP(M$5,NFI,5,0),1,0)*Table_NFI[[#This Row],[Winter Blanket]],Table_NFI[[#This Row],[Winter Blanket]])</f>
        <v>0</v>
      </c>
      <c r="AM1005" s="352">
        <f>IF(Table_NFI[[#This Row],[Winter Clothes Adult]]+Table_NFI[[#This Row],[Winter Clothes Children]]+Table_NFI[[#This Row],[Winter Items Other]]+Table_NFI[[#This Row],[Winter Blanket]]&gt;0,1,0)</f>
        <v>1</v>
      </c>
      <c r="AN1005" s="392">
        <f>IF(NFI_Expiration=1,IF($A1005&lt;VLOOKUP(V$5,NFI,5,0),1,0)*Table_NFI[[#This Row],[Jerry Can]],Table_NFI[Jerry Can])</f>
        <v>0</v>
      </c>
      <c r="AO1005" s="540" t="str">
        <f>IFERROR(VLOOKUP(Table_NFI[[#This Row],[Camp Name]],CL,2,0),"")</f>
        <v>MMR001CMP075</v>
      </c>
      <c r="AP1005" s="535">
        <f ca="1">IF(Table_NFI[[#This Row],[Pcode]]="","",IF(OFFSET(CampList[Opening Date],MATCH(Table_NFI[[#This Row],[Pcode]],CampList[CP_Pcode],0)-1,0,1,1)&gt;=NFI_Monitor_Date,1,0))</f>
        <v>0</v>
      </c>
      <c r="AQ1005" s="540" t="str">
        <f>IFERROR(VLOOKUP(Table_NFI[[#This Row],[Camp Name]],CL,3,0),"")</f>
        <v>Open</v>
      </c>
      <c r="AR1005" s="352" t="str">
        <f ca="1">IF(Table_NFI[[#This Row],[Pcode]]="","",OFFSET(CampList[Priority],MATCH(Table_NFI[[#This Row],[Pcode]],CampList[CP_Pcode],0)-1,0,1,1))</f>
        <v>P3</v>
      </c>
      <c r="AS1005" s="351">
        <f>IFERROR(Table_NFI[[#This Row],[Kitchen Set]]/VLOOKUP(Table_NFI[[#This Row],[Camp Name]],CL,4,0),"")</f>
        <v>1.2857142857142858</v>
      </c>
      <c r="AT1005" s="533"/>
      <c r="AU1005" s="536"/>
    </row>
    <row r="1006" spans="1:47" s="129" customFormat="1" ht="14.45" customHeight="1" x14ac:dyDescent="0.25">
      <c r="A1006" s="355">
        <f t="shared" si="15"/>
        <v>55</v>
      </c>
      <c r="B1006" s="532">
        <v>40921</v>
      </c>
      <c r="C1006" s="533" t="s">
        <v>453</v>
      </c>
      <c r="D1006" s="534" t="s">
        <v>461</v>
      </c>
      <c r="E1006" s="533" t="s">
        <v>380</v>
      </c>
      <c r="F1006" s="348" t="s">
        <v>528</v>
      </c>
      <c r="G1006" s="348" t="s">
        <v>110</v>
      </c>
      <c r="H1006" s="349"/>
      <c r="I1006" s="349"/>
      <c r="J1006" s="349"/>
      <c r="K1006" s="349">
        <v>112</v>
      </c>
      <c r="L1006" s="350">
        <v>56</v>
      </c>
      <c r="M1006" s="350">
        <v>56</v>
      </c>
      <c r="N1006" s="350">
        <v>0</v>
      </c>
      <c r="O1006" s="350">
        <v>56</v>
      </c>
      <c r="P1006" s="352">
        <v>56</v>
      </c>
      <c r="Q1006" s="352">
        <v>56</v>
      </c>
      <c r="R1006" s="352"/>
      <c r="S1006" s="352"/>
      <c r="T1006" s="352"/>
      <c r="U1006" s="352"/>
      <c r="V1006" s="497"/>
      <c r="W1006" s="352"/>
      <c r="X1006" s="352"/>
      <c r="Y1006" s="352">
        <f>IF(NFI_Expiration=1,IF($A1006&lt;VLOOKUP(H$5,NFI,5,0),1,0)*Table_NFI[[#This Row],[Hygiene Kit]],Table_NFI[Hygiene Kit])</f>
        <v>0</v>
      </c>
      <c r="Z1006" s="352">
        <f>IF(NFI_Expiration=1,IF($A1006&lt;VLOOKUP(I$5,NFI,5,0),1,0)*Table_NFI[[#This Row],[NFI Core Kit]],Table_NFI[NFI Core Kit])</f>
        <v>0</v>
      </c>
      <c r="AA1006" s="352">
        <f>IF(NFI_Expiration=1,IF($A1006&lt;VLOOKUP(J$5,NFI,5,0),1,0)*Table_NFI[[#This Row],[Sanitary Kit]],Table_NFI[Sanitary Kit])</f>
        <v>0</v>
      </c>
      <c r="AB1006" s="352">
        <f>IF(NFI_Expiration=1,IF($A1006&lt;VLOOKUP(K$5,NFI,5,0),1,0)*Table_NFI[[#This Row],[Mosquito net]],Table_NFI[Mosquito net])</f>
        <v>0</v>
      </c>
      <c r="AC1006" s="352">
        <f>IF(NFI_Expiration=1,IF($A1006&lt;VLOOKUP(L$5,NFI,5,0),1,0)*Table_NFI[[#This Row],[Tarpaulin]],Table_NFI[[#This Row],[Tarpaulin]])</f>
        <v>0</v>
      </c>
      <c r="AD1006" s="352">
        <f>IF(NFI_Expiration=1,IF($A1006&lt;VLOOKUP(M$5,NFI,5,0),1,0)*Table_NFI[[#This Row],[Blanket]],Table_NFI[[#This Row],[Blanket]])</f>
        <v>0</v>
      </c>
      <c r="AE1006" s="352">
        <f>IF(NFI_Expiration=1,IF($A1006&lt;VLOOKUP(N$5,NFI,5,0),1,0)*Table_NFI[[#This Row],[Kitchen Set]],Table_NFI[Kitchen Set])</f>
        <v>0</v>
      </c>
      <c r="AF1006" s="352">
        <f>IF(NFI_Expiration=1,IF($A1006&lt;VLOOKUP(O$5,NFI,5,0),1,0)*Table_NFI[[#This Row],[Clothes Kit]],Table_NFI[Clothes Kit])</f>
        <v>0</v>
      </c>
      <c r="AG1006" s="352">
        <f>IF(NFI_Expiration=1,IF($A1006&lt;VLOOKUP(P$5,NFI,5,0),1,0)*Table_NFI[[#This Row],[Plastic Bucket]],Table_NFI[Plastic Bucket])</f>
        <v>0</v>
      </c>
      <c r="AH1006" s="352">
        <f>IF(NFI_Expiration=1,IF($A1006&lt;VLOOKUP(Q$5,NFI,5,0),1,0)*Table_NFI[[#This Row],[Plastic Mat]],Table_NFI[Plastic Mat])*IF(Table_NFI[[#This Row],[Distribution Date]]&gt;"2014-04-01",1,2.5)</f>
        <v>0</v>
      </c>
      <c r="AI1006" s="352">
        <f>IF(NFI_Expiration=1,IF($A1006&lt;VLOOKUP(R$5,NFI,5,0),1,0)*Table_NFI[[#This Row],[Winter Clothes Adult]],Table_NFI[Winter Clothes Adult])</f>
        <v>0</v>
      </c>
      <c r="AJ1006" s="352">
        <f>IF(NFI_Expiration=1,IF($A1006&lt;VLOOKUP(S$5,NFI,5,0),1,0)*Table_NFI[[#This Row],[Winter Clothes Children]],Table_NFI[Winter Clothes Children])</f>
        <v>0</v>
      </c>
      <c r="AK1006" s="352">
        <f>IF(NFI_Expiration=1,IF($A1006&lt;VLOOKUP(T$5,NFI,5,0),1,0)*Table_NFI[[#This Row],[Winter Items Other]],Table_NFI[Winter Items Other])</f>
        <v>0</v>
      </c>
      <c r="AL1006" s="352">
        <f>IF(NFI_Expiration=1,IF($A1006&lt;VLOOKUP(M$5,NFI,5,0),1,0)*Table_NFI[[#This Row],[Winter Blanket]],Table_NFI[[#This Row],[Winter Blanket]])</f>
        <v>0</v>
      </c>
      <c r="AM1006" s="352">
        <f>IF(Table_NFI[[#This Row],[Winter Clothes Adult]]+Table_NFI[[#This Row],[Winter Clothes Children]]+Table_NFI[[#This Row],[Winter Items Other]]+Table_NFI[[#This Row],[Winter Blanket]]&gt;0,1,0)</f>
        <v>0</v>
      </c>
      <c r="AN1006" s="392">
        <f>IF(NFI_Expiration=1,IF($A1006&lt;VLOOKUP(V$5,NFI,5,0),1,0)*Table_NFI[[#This Row],[Jerry Can]],Table_NFI[Jerry Can])</f>
        <v>0</v>
      </c>
      <c r="AO1006" s="540" t="str">
        <f>IFERROR(VLOOKUP(Table_NFI[[#This Row],[Camp Name]],CL,2,0),"")</f>
        <v>MMR001CMP082</v>
      </c>
      <c r="AP1006" s="535">
        <f ca="1">IF(Table_NFI[[#This Row],[Pcode]]="","",IF(OFFSET(CampList[Opening Date],MATCH(Table_NFI[[#This Row],[Pcode]],CampList[CP_Pcode],0)-1,0,1,1)&gt;=NFI_Monitor_Date,1,0))</f>
        <v>0</v>
      </c>
      <c r="AQ1006" s="540" t="str">
        <f>IFERROR(VLOOKUP(Table_NFI[[#This Row],[Camp Name]],CL,3,0),"")</f>
        <v>Closed</v>
      </c>
      <c r="AR1006" s="352" t="str">
        <f ca="1">IF(Table_NFI[[#This Row],[Pcode]]="","",OFFSET(CampList[Priority],MATCH(Table_NFI[[#This Row],[Pcode]],CampList[CP_Pcode],0)-1,0,1,1))</f>
        <v/>
      </c>
      <c r="AS1006" s="351" t="str">
        <f>IFERROR(Table_NFI[[#This Row],[Kitchen Set]]/VLOOKUP(Table_NFI[[#This Row],[Camp Name]],CL,4,0),"")</f>
        <v/>
      </c>
      <c r="AT1006" s="533" t="s">
        <v>1094</v>
      </c>
      <c r="AU1006" s="536"/>
    </row>
    <row r="1007" spans="1:47" s="129" customFormat="1" ht="14.45" hidden="1" customHeight="1" x14ac:dyDescent="0.25">
      <c r="A1007" s="355">
        <f t="shared" si="15"/>
        <v>24.866666666666667</v>
      </c>
      <c r="B1007" s="532">
        <v>41825</v>
      </c>
      <c r="C1007" s="533" t="s">
        <v>1106</v>
      </c>
      <c r="D1007" s="533" t="s">
        <v>902</v>
      </c>
      <c r="E1007" s="533" t="s">
        <v>380</v>
      </c>
      <c r="F1007" s="533" t="s">
        <v>310</v>
      </c>
      <c r="G1007" s="533" t="s">
        <v>316</v>
      </c>
      <c r="H1007" s="349"/>
      <c r="I1007" s="349"/>
      <c r="J1007" s="349"/>
      <c r="K1007" s="349"/>
      <c r="L1007" s="350"/>
      <c r="M1007" s="350"/>
      <c r="N1007" s="350"/>
      <c r="O1007" s="350"/>
      <c r="P1007" s="352"/>
      <c r="Q1007" s="352"/>
      <c r="R1007" s="352"/>
      <c r="S1007" s="352"/>
      <c r="T1007" s="352"/>
      <c r="U1007" s="352">
        <v>124</v>
      </c>
      <c r="V1007" s="497"/>
      <c r="W1007" s="352"/>
      <c r="X1007" s="352"/>
      <c r="Y1007" s="352">
        <f>IF(NFI_Expiration=1,IF($A1007&lt;VLOOKUP(H$5,NFI,5,0),1,0)*Table_NFI[[#This Row],[Hygiene Kit]],Table_NFI[Hygiene Kit])</f>
        <v>0</v>
      </c>
      <c r="Z1007" s="352">
        <f>IF(NFI_Expiration=1,IF($A1007&lt;VLOOKUP(I$5,NFI,5,0),1,0)*Table_NFI[[#This Row],[NFI Core Kit]],Table_NFI[NFI Core Kit])</f>
        <v>0</v>
      </c>
      <c r="AA1007" s="352">
        <f>IF(NFI_Expiration=1,IF($A1007&lt;VLOOKUP(J$5,NFI,5,0),1,0)*Table_NFI[[#This Row],[Sanitary Kit]],Table_NFI[Sanitary Kit])</f>
        <v>0</v>
      </c>
      <c r="AB1007" s="352">
        <f>IF(NFI_Expiration=1,IF($A1007&lt;VLOOKUP(K$5,NFI,5,0),1,0)*Table_NFI[[#This Row],[Mosquito net]],Table_NFI[Mosquito net])</f>
        <v>0</v>
      </c>
      <c r="AC1007" s="352">
        <f>IF(NFI_Expiration=1,IF($A1007&lt;VLOOKUP(L$5,NFI,5,0),1,0)*Table_NFI[[#This Row],[Tarpaulin]],Table_NFI[[#This Row],[Tarpaulin]])</f>
        <v>0</v>
      </c>
      <c r="AD1007" s="352">
        <f>IF(NFI_Expiration=1,IF($A1007&lt;VLOOKUP(M$5,NFI,5,0),1,0)*Table_NFI[[#This Row],[Blanket]],Table_NFI[[#This Row],[Blanket]])</f>
        <v>0</v>
      </c>
      <c r="AE1007" s="352">
        <f>IF(NFI_Expiration=1,IF($A1007&lt;VLOOKUP(N$5,NFI,5,0),1,0)*Table_NFI[[#This Row],[Kitchen Set]],Table_NFI[Kitchen Set])</f>
        <v>0</v>
      </c>
      <c r="AF1007" s="352">
        <f>IF(NFI_Expiration=1,IF($A1007&lt;VLOOKUP(O$5,NFI,5,0),1,0)*Table_NFI[[#This Row],[Clothes Kit]],Table_NFI[Clothes Kit])</f>
        <v>0</v>
      </c>
      <c r="AG1007" s="352">
        <f>IF(NFI_Expiration=1,IF($A1007&lt;VLOOKUP(P$5,NFI,5,0),1,0)*Table_NFI[[#This Row],[Plastic Bucket]],Table_NFI[Plastic Bucket])</f>
        <v>0</v>
      </c>
      <c r="AH1007" s="352">
        <f>IF(NFI_Expiration=1,IF($A1007&lt;VLOOKUP(Q$5,NFI,5,0),1,0)*Table_NFI[[#This Row],[Plastic Mat]],Table_NFI[Plastic Mat])*IF(Table_NFI[[#This Row],[Distribution Date]]&gt;"2014-04-01",1,2.5)</f>
        <v>0</v>
      </c>
      <c r="AI1007" s="352">
        <f>IF(NFI_Expiration=1,IF($A1007&lt;VLOOKUP(R$5,NFI,5,0),1,0)*Table_NFI[[#This Row],[Winter Clothes Adult]],Table_NFI[Winter Clothes Adult])</f>
        <v>0</v>
      </c>
      <c r="AJ1007" s="352">
        <f>IF(NFI_Expiration=1,IF($A1007&lt;VLOOKUP(S$5,NFI,5,0),1,0)*Table_NFI[[#This Row],[Winter Clothes Children]],Table_NFI[Winter Clothes Children])</f>
        <v>0</v>
      </c>
      <c r="AK1007" s="352">
        <f>IF(NFI_Expiration=1,IF($A1007&lt;VLOOKUP(T$5,NFI,5,0),1,0)*Table_NFI[[#This Row],[Winter Items Other]],Table_NFI[Winter Items Other])</f>
        <v>0</v>
      </c>
      <c r="AL1007" s="352">
        <f>IF(NFI_Expiration=1,IF($A1007&lt;VLOOKUP(M$5,NFI,5,0),1,0)*Table_NFI[[#This Row],[Winter Blanket]],Table_NFI[[#This Row],[Winter Blanket]])</f>
        <v>0</v>
      </c>
      <c r="AM1007" s="352">
        <f>IF(Table_NFI[[#This Row],[Winter Clothes Adult]]+Table_NFI[[#This Row],[Winter Clothes Children]]+Table_NFI[[#This Row],[Winter Items Other]]+Table_NFI[[#This Row],[Winter Blanket]]&gt;0,1,0)</f>
        <v>1</v>
      </c>
      <c r="AN1007" s="392">
        <f>IF(NFI_Expiration=1,IF($A1007&lt;VLOOKUP(V$5,NFI,5,0),1,0)*Table_NFI[[#This Row],[Jerry Can]],Table_NFI[Jerry Can])</f>
        <v>0</v>
      </c>
      <c r="AO1007" s="540" t="str">
        <f>IFERROR(VLOOKUP(Table_NFI[[#This Row],[Camp Name]],CL,2,0),"")</f>
        <v>MMR001CMP038</v>
      </c>
      <c r="AP1007" s="535">
        <f ca="1">IF(Table_NFI[[#This Row],[Pcode]]="","",IF(OFFSET(CampList[Opening Date],MATCH(Table_NFI[[#This Row],[Pcode]],CampList[CP_Pcode],0)-1,0,1,1)&gt;=NFI_Monitor_Date,1,0))</f>
        <v>0</v>
      </c>
      <c r="AQ1007" s="540" t="str">
        <f>IFERROR(VLOOKUP(Table_NFI[[#This Row],[Camp Name]],CL,3,0),"")</f>
        <v>Open</v>
      </c>
      <c r="AR1007" s="352" t="str">
        <f ca="1">IF(Table_NFI[[#This Row],[Pcode]]="","",OFFSET(CampList[Priority],MATCH(Table_NFI[[#This Row],[Pcode]],CampList[CP_Pcode],0)-1,0,1,1))</f>
        <v>P4</v>
      </c>
      <c r="AS1007" s="351">
        <f>IFERROR(Table_NFI[[#This Row],[Kitchen Set]]/VLOOKUP(Table_NFI[[#This Row],[Camp Name]],CL,4,0),"")</f>
        <v>0</v>
      </c>
      <c r="AT1007" s="533"/>
      <c r="AU1007" s="536"/>
    </row>
    <row r="1008" spans="1:47" s="129" customFormat="1" ht="14.45" hidden="1" customHeight="1" x14ac:dyDescent="0.25">
      <c r="A1008" s="355">
        <f t="shared" si="15"/>
        <v>31.566666666666666</v>
      </c>
      <c r="B1008" s="532">
        <v>41624</v>
      </c>
      <c r="C1008" s="533" t="s">
        <v>907</v>
      </c>
      <c r="D1008" s="533" t="s">
        <v>461</v>
      </c>
      <c r="E1008" s="533" t="s">
        <v>380</v>
      </c>
      <c r="F1008" s="533" t="s">
        <v>310</v>
      </c>
      <c r="G1008" s="533" t="s">
        <v>316</v>
      </c>
      <c r="H1008" s="349"/>
      <c r="I1008" s="349"/>
      <c r="J1008" s="349"/>
      <c r="K1008" s="349"/>
      <c r="L1008" s="350"/>
      <c r="M1008" s="350"/>
      <c r="N1008" s="350"/>
      <c r="O1008" s="350"/>
      <c r="P1008" s="352"/>
      <c r="Q1008" s="352"/>
      <c r="R1008" s="352">
        <v>77</v>
      </c>
      <c r="S1008" s="352">
        <v>153</v>
      </c>
      <c r="T1008" s="352">
        <v>460</v>
      </c>
      <c r="U1008" s="352">
        <v>230</v>
      </c>
      <c r="V1008" s="497"/>
      <c r="W1008" s="352"/>
      <c r="X1008" s="352"/>
      <c r="Y1008" s="352">
        <f>IF(NFI_Expiration=1,IF($A1008&lt;VLOOKUP(H$5,NFI,5,0),1,0)*Table_NFI[[#This Row],[Hygiene Kit]],Table_NFI[Hygiene Kit])</f>
        <v>0</v>
      </c>
      <c r="Z1008" s="352">
        <f>IF(NFI_Expiration=1,IF($A1008&lt;VLOOKUP(I$5,NFI,5,0),1,0)*Table_NFI[[#This Row],[NFI Core Kit]],Table_NFI[NFI Core Kit])</f>
        <v>0</v>
      </c>
      <c r="AA1008" s="352">
        <f>IF(NFI_Expiration=1,IF($A1008&lt;VLOOKUP(J$5,NFI,5,0),1,0)*Table_NFI[[#This Row],[Sanitary Kit]],Table_NFI[Sanitary Kit])</f>
        <v>0</v>
      </c>
      <c r="AB1008" s="352">
        <f>IF(NFI_Expiration=1,IF($A1008&lt;VLOOKUP(K$5,NFI,5,0),1,0)*Table_NFI[[#This Row],[Mosquito net]],Table_NFI[Mosquito net])</f>
        <v>0</v>
      </c>
      <c r="AC1008" s="352">
        <f>IF(NFI_Expiration=1,IF($A1008&lt;VLOOKUP(L$5,NFI,5,0),1,0)*Table_NFI[[#This Row],[Tarpaulin]],Table_NFI[[#This Row],[Tarpaulin]])</f>
        <v>0</v>
      </c>
      <c r="AD1008" s="352">
        <f>IF(NFI_Expiration=1,IF($A1008&lt;VLOOKUP(M$5,NFI,5,0),1,0)*Table_NFI[[#This Row],[Blanket]],Table_NFI[[#This Row],[Blanket]])</f>
        <v>0</v>
      </c>
      <c r="AE1008" s="352">
        <f>IF(NFI_Expiration=1,IF($A1008&lt;VLOOKUP(N$5,NFI,5,0),1,0)*Table_NFI[[#This Row],[Kitchen Set]],Table_NFI[Kitchen Set])</f>
        <v>0</v>
      </c>
      <c r="AF1008" s="352">
        <f>IF(NFI_Expiration=1,IF($A1008&lt;VLOOKUP(O$5,NFI,5,0),1,0)*Table_NFI[[#This Row],[Clothes Kit]],Table_NFI[Clothes Kit])</f>
        <v>0</v>
      </c>
      <c r="AG1008" s="352">
        <f>IF(NFI_Expiration=1,IF($A1008&lt;VLOOKUP(P$5,NFI,5,0),1,0)*Table_NFI[[#This Row],[Plastic Bucket]],Table_NFI[Plastic Bucket])</f>
        <v>0</v>
      </c>
      <c r="AH1008" s="352">
        <f>IF(NFI_Expiration=1,IF($A1008&lt;VLOOKUP(Q$5,NFI,5,0),1,0)*Table_NFI[[#This Row],[Plastic Mat]],Table_NFI[Plastic Mat])*IF(Table_NFI[[#This Row],[Distribution Date]]&gt;"2014-04-01",1,2.5)</f>
        <v>0</v>
      </c>
      <c r="AI1008" s="352">
        <f>IF(NFI_Expiration=1,IF($A1008&lt;VLOOKUP(R$5,NFI,5,0),1,0)*Table_NFI[[#This Row],[Winter Clothes Adult]],Table_NFI[Winter Clothes Adult])</f>
        <v>0</v>
      </c>
      <c r="AJ1008" s="352">
        <f>IF(NFI_Expiration=1,IF($A1008&lt;VLOOKUP(S$5,NFI,5,0),1,0)*Table_NFI[[#This Row],[Winter Clothes Children]],Table_NFI[Winter Clothes Children])</f>
        <v>0</v>
      </c>
      <c r="AK1008" s="352">
        <f>IF(NFI_Expiration=1,IF($A1008&lt;VLOOKUP(T$5,NFI,5,0),1,0)*Table_NFI[[#This Row],[Winter Items Other]],Table_NFI[Winter Items Other])</f>
        <v>0</v>
      </c>
      <c r="AL1008" s="352">
        <f>IF(NFI_Expiration=1,IF($A1008&lt;VLOOKUP(M$5,NFI,5,0),1,0)*Table_NFI[[#This Row],[Winter Blanket]],Table_NFI[[#This Row],[Winter Blanket]])</f>
        <v>0</v>
      </c>
      <c r="AM1008" s="352">
        <f>IF(Table_NFI[[#This Row],[Winter Clothes Adult]]+Table_NFI[[#This Row],[Winter Clothes Children]]+Table_NFI[[#This Row],[Winter Items Other]]+Table_NFI[[#This Row],[Winter Blanket]]&gt;0,1,0)</f>
        <v>1</v>
      </c>
      <c r="AN1008" s="392">
        <f>IF(NFI_Expiration=1,IF($A1008&lt;VLOOKUP(V$5,NFI,5,0),1,0)*Table_NFI[[#This Row],[Jerry Can]],Table_NFI[Jerry Can])</f>
        <v>0</v>
      </c>
      <c r="AO1008" s="540" t="str">
        <f>IFERROR(VLOOKUP(Table_NFI[[#This Row],[Camp Name]],CL,2,0),"")</f>
        <v>MMR001CMP038</v>
      </c>
      <c r="AP1008" s="535">
        <f ca="1">IF(Table_NFI[[#This Row],[Pcode]]="","",IF(OFFSET(CampList[Opening Date],MATCH(Table_NFI[[#This Row],[Pcode]],CampList[CP_Pcode],0)-1,0,1,1)&gt;=NFI_Monitor_Date,1,0))</f>
        <v>0</v>
      </c>
      <c r="AQ1008" s="540" t="str">
        <f>IFERROR(VLOOKUP(Table_NFI[[#This Row],[Camp Name]],CL,3,0),"")</f>
        <v>Open</v>
      </c>
      <c r="AR1008" s="352" t="str">
        <f ca="1">IF(Table_NFI[[#This Row],[Pcode]]="","",OFFSET(CampList[Priority],MATCH(Table_NFI[[#This Row],[Pcode]],CampList[CP_Pcode],0)-1,0,1,1))</f>
        <v>P4</v>
      </c>
      <c r="AS1008" s="351">
        <f>IFERROR(Table_NFI[[#This Row],[Kitchen Set]]/VLOOKUP(Table_NFI[[#This Row],[Camp Name]],CL,4,0),"")</f>
        <v>0</v>
      </c>
      <c r="AT1008" s="533"/>
      <c r="AU1008" s="536"/>
    </row>
    <row r="1009" spans="1:47" s="129" customFormat="1" ht="14.45" hidden="1" customHeight="1" x14ac:dyDescent="0.25">
      <c r="A1009" s="355">
        <f t="shared" si="15"/>
        <v>32.1</v>
      </c>
      <c r="B1009" s="532">
        <v>41608</v>
      </c>
      <c r="C1009" s="533" t="s">
        <v>907</v>
      </c>
      <c r="D1009" s="533" t="s">
        <v>461</v>
      </c>
      <c r="E1009" s="533" t="s">
        <v>380</v>
      </c>
      <c r="F1009" s="348" t="s">
        <v>310</v>
      </c>
      <c r="G1009" s="348" t="s">
        <v>316</v>
      </c>
      <c r="H1009" s="349"/>
      <c r="I1009" s="349"/>
      <c r="J1009" s="349"/>
      <c r="K1009" s="349"/>
      <c r="L1009" s="350"/>
      <c r="M1009" s="350"/>
      <c r="N1009" s="350"/>
      <c r="O1009" s="350"/>
      <c r="P1009" s="352"/>
      <c r="Q1009" s="352"/>
      <c r="R1009" s="352"/>
      <c r="S1009" s="352"/>
      <c r="T1009" s="352"/>
      <c r="U1009" s="352"/>
      <c r="V1009" s="497"/>
      <c r="W1009" s="352"/>
      <c r="X1009" s="352"/>
      <c r="Y1009" s="352">
        <f>IF(NFI_Expiration=1,IF($A1009&lt;VLOOKUP(H$5,NFI,5,0),1,0)*Table_NFI[[#This Row],[Hygiene Kit]],Table_NFI[Hygiene Kit])</f>
        <v>0</v>
      </c>
      <c r="Z1009" s="352">
        <f>IF(NFI_Expiration=1,IF($A1009&lt;VLOOKUP(I$5,NFI,5,0),1,0)*Table_NFI[[#This Row],[NFI Core Kit]],Table_NFI[NFI Core Kit])</f>
        <v>0</v>
      </c>
      <c r="AA1009" s="352">
        <f>IF(NFI_Expiration=1,IF($A1009&lt;VLOOKUP(J$5,NFI,5,0),1,0)*Table_NFI[[#This Row],[Sanitary Kit]],Table_NFI[Sanitary Kit])</f>
        <v>0</v>
      </c>
      <c r="AB1009" s="352">
        <f>IF(NFI_Expiration=1,IF($A1009&lt;VLOOKUP(K$5,NFI,5,0),1,0)*Table_NFI[[#This Row],[Mosquito net]],Table_NFI[Mosquito net])</f>
        <v>0</v>
      </c>
      <c r="AC1009" s="352">
        <f>IF(NFI_Expiration=1,IF($A1009&lt;VLOOKUP(L$5,NFI,5,0),1,0)*Table_NFI[[#This Row],[Tarpaulin]],Table_NFI[[#This Row],[Tarpaulin]])</f>
        <v>0</v>
      </c>
      <c r="AD1009" s="352">
        <f>IF(NFI_Expiration=1,IF($A1009&lt;VLOOKUP(M$5,NFI,5,0),1,0)*Table_NFI[[#This Row],[Blanket]],Table_NFI[[#This Row],[Blanket]])</f>
        <v>0</v>
      </c>
      <c r="AE1009" s="352">
        <f>IF(NFI_Expiration=1,IF($A1009&lt;VLOOKUP(N$5,NFI,5,0),1,0)*Table_NFI[[#This Row],[Kitchen Set]],Table_NFI[Kitchen Set])</f>
        <v>0</v>
      </c>
      <c r="AF1009" s="352">
        <f>IF(NFI_Expiration=1,IF($A1009&lt;VLOOKUP(O$5,NFI,5,0),1,0)*Table_NFI[[#This Row],[Clothes Kit]],Table_NFI[Clothes Kit])</f>
        <v>0</v>
      </c>
      <c r="AG1009" s="352">
        <f>IF(NFI_Expiration=1,IF($A1009&lt;VLOOKUP(P$5,NFI,5,0),1,0)*Table_NFI[[#This Row],[Plastic Bucket]],Table_NFI[Plastic Bucket])</f>
        <v>0</v>
      </c>
      <c r="AH1009" s="352">
        <f>IF(NFI_Expiration=1,IF($A1009&lt;VLOOKUP(Q$5,NFI,5,0),1,0)*Table_NFI[[#This Row],[Plastic Mat]],Table_NFI[Plastic Mat])*IF(Table_NFI[[#This Row],[Distribution Date]]&gt;"2014-04-01",1,2.5)</f>
        <v>0</v>
      </c>
      <c r="AI1009" s="352">
        <f>IF(NFI_Expiration=1,IF($A1009&lt;VLOOKUP(R$5,NFI,5,0),1,0)*Table_NFI[[#This Row],[Winter Clothes Adult]],Table_NFI[Winter Clothes Adult])</f>
        <v>0</v>
      </c>
      <c r="AJ1009" s="352">
        <f>IF(NFI_Expiration=1,IF($A1009&lt;VLOOKUP(S$5,NFI,5,0),1,0)*Table_NFI[[#This Row],[Winter Clothes Children]],Table_NFI[Winter Clothes Children])</f>
        <v>0</v>
      </c>
      <c r="AK1009" s="352">
        <f>IF(NFI_Expiration=1,IF($A1009&lt;VLOOKUP(T$5,NFI,5,0),1,0)*Table_NFI[[#This Row],[Winter Items Other]],Table_NFI[Winter Items Other])</f>
        <v>0</v>
      </c>
      <c r="AL1009" s="352">
        <f>IF(NFI_Expiration=1,IF($A1009&lt;VLOOKUP(M$5,NFI,5,0),1,0)*Table_NFI[[#This Row],[Winter Blanket]],Table_NFI[[#This Row],[Winter Blanket]])</f>
        <v>0</v>
      </c>
      <c r="AM1009" s="352">
        <f>IF(Table_NFI[[#This Row],[Winter Clothes Adult]]+Table_NFI[[#This Row],[Winter Clothes Children]]+Table_NFI[[#This Row],[Winter Items Other]]+Table_NFI[[#This Row],[Winter Blanket]]&gt;0,1,0)</f>
        <v>0</v>
      </c>
      <c r="AN1009" s="392">
        <f>IF(NFI_Expiration=1,IF($A1009&lt;VLOOKUP(V$5,NFI,5,0),1,0)*Table_NFI[[#This Row],[Jerry Can]],Table_NFI[Jerry Can])</f>
        <v>0</v>
      </c>
      <c r="AO1009" s="540" t="str">
        <f>IFERROR(VLOOKUP(Table_NFI[[#This Row],[Camp Name]],CL,2,0),"")</f>
        <v>MMR001CMP038</v>
      </c>
      <c r="AP1009" s="535">
        <f ca="1">IF(Table_NFI[[#This Row],[Pcode]]="","",IF(OFFSET(CampList[Opening Date],MATCH(Table_NFI[[#This Row],[Pcode]],CampList[CP_Pcode],0)-1,0,1,1)&gt;=NFI_Monitor_Date,1,0))</f>
        <v>0</v>
      </c>
      <c r="AQ1009" s="540" t="str">
        <f>IFERROR(VLOOKUP(Table_NFI[[#This Row],[Camp Name]],CL,3,0),"")</f>
        <v>Open</v>
      </c>
      <c r="AR1009" s="352" t="str">
        <f ca="1">IF(Table_NFI[[#This Row],[Pcode]]="","",OFFSET(CampList[Priority],MATCH(Table_NFI[[#This Row],[Pcode]],CampList[CP_Pcode],0)-1,0,1,1))</f>
        <v>P4</v>
      </c>
      <c r="AS1009" s="351">
        <f>IFERROR(Table_NFI[[#This Row],[Kitchen Set]]/VLOOKUP(Table_NFI[[#This Row],[Camp Name]],CL,4,0),"")</f>
        <v>0</v>
      </c>
      <c r="AT1009" s="533" t="s">
        <v>1094</v>
      </c>
      <c r="AU1009" s="536"/>
    </row>
    <row r="1010" spans="1:47" s="129" customFormat="1" ht="14.45" customHeight="1" x14ac:dyDescent="0.25">
      <c r="A1010" s="355">
        <f t="shared" si="15"/>
        <v>55.06666666666667</v>
      </c>
      <c r="B1010" s="532">
        <v>40919</v>
      </c>
      <c r="C1010" s="533" t="s">
        <v>453</v>
      </c>
      <c r="D1010" s="534" t="s">
        <v>461</v>
      </c>
      <c r="E1010" s="533" t="s">
        <v>380</v>
      </c>
      <c r="F1010" s="348" t="s">
        <v>310</v>
      </c>
      <c r="G1010" s="348" t="s">
        <v>347</v>
      </c>
      <c r="H1010" s="349"/>
      <c r="I1010" s="349"/>
      <c r="J1010" s="349"/>
      <c r="K1010" s="349">
        <v>536</v>
      </c>
      <c r="L1010" s="350">
        <v>268</v>
      </c>
      <c r="M1010" s="350">
        <v>536</v>
      </c>
      <c r="N1010" s="350">
        <v>268</v>
      </c>
      <c r="O1010" s="350">
        <v>268</v>
      </c>
      <c r="P1010" s="352">
        <v>268</v>
      </c>
      <c r="Q1010" s="352">
        <v>268</v>
      </c>
      <c r="R1010" s="352"/>
      <c r="S1010" s="352"/>
      <c r="T1010" s="352"/>
      <c r="U1010" s="352"/>
      <c r="V1010" s="497"/>
      <c r="W1010" s="352"/>
      <c r="X1010" s="352"/>
      <c r="Y1010" s="352">
        <f>IF(NFI_Expiration=1,IF($A1010&lt;VLOOKUP(H$5,NFI,5,0),1,0)*Table_NFI[[#This Row],[Hygiene Kit]],Table_NFI[Hygiene Kit])</f>
        <v>0</v>
      </c>
      <c r="Z1010" s="352">
        <f>IF(NFI_Expiration=1,IF($A1010&lt;VLOOKUP(I$5,NFI,5,0),1,0)*Table_NFI[[#This Row],[NFI Core Kit]],Table_NFI[NFI Core Kit])</f>
        <v>0</v>
      </c>
      <c r="AA1010" s="352">
        <f>IF(NFI_Expiration=1,IF($A1010&lt;VLOOKUP(J$5,NFI,5,0),1,0)*Table_NFI[[#This Row],[Sanitary Kit]],Table_NFI[Sanitary Kit])</f>
        <v>0</v>
      </c>
      <c r="AB1010" s="352">
        <f>IF(NFI_Expiration=1,IF($A1010&lt;VLOOKUP(K$5,NFI,5,0),1,0)*Table_NFI[[#This Row],[Mosquito net]],Table_NFI[Mosquito net])</f>
        <v>0</v>
      </c>
      <c r="AC1010" s="352">
        <f>IF(NFI_Expiration=1,IF($A1010&lt;VLOOKUP(L$5,NFI,5,0),1,0)*Table_NFI[[#This Row],[Tarpaulin]],Table_NFI[[#This Row],[Tarpaulin]])</f>
        <v>0</v>
      </c>
      <c r="AD1010" s="352">
        <f>IF(NFI_Expiration=1,IF($A1010&lt;VLOOKUP(M$5,NFI,5,0),1,0)*Table_NFI[[#This Row],[Blanket]],Table_NFI[[#This Row],[Blanket]])</f>
        <v>0</v>
      </c>
      <c r="AE1010" s="352">
        <f>IF(NFI_Expiration=1,IF($A1010&lt;VLOOKUP(N$5,NFI,5,0),1,0)*Table_NFI[[#This Row],[Kitchen Set]],Table_NFI[Kitchen Set])</f>
        <v>0</v>
      </c>
      <c r="AF1010" s="352">
        <f>IF(NFI_Expiration=1,IF($A1010&lt;VLOOKUP(O$5,NFI,5,0),1,0)*Table_NFI[[#This Row],[Clothes Kit]],Table_NFI[Clothes Kit])</f>
        <v>0</v>
      </c>
      <c r="AG1010" s="352">
        <f>IF(NFI_Expiration=1,IF($A1010&lt;VLOOKUP(P$5,NFI,5,0),1,0)*Table_NFI[[#This Row],[Plastic Bucket]],Table_NFI[Plastic Bucket])</f>
        <v>0</v>
      </c>
      <c r="AH1010" s="352">
        <f>IF(NFI_Expiration=1,IF($A1010&lt;VLOOKUP(Q$5,NFI,5,0),1,0)*Table_NFI[[#This Row],[Plastic Mat]],Table_NFI[Plastic Mat])*IF(Table_NFI[[#This Row],[Distribution Date]]&gt;"2014-04-01",1,2.5)</f>
        <v>0</v>
      </c>
      <c r="AI1010" s="352">
        <f>IF(NFI_Expiration=1,IF($A1010&lt;VLOOKUP(R$5,NFI,5,0),1,0)*Table_NFI[[#This Row],[Winter Clothes Adult]],Table_NFI[Winter Clothes Adult])</f>
        <v>0</v>
      </c>
      <c r="AJ1010" s="352">
        <f>IF(NFI_Expiration=1,IF($A1010&lt;VLOOKUP(S$5,NFI,5,0),1,0)*Table_NFI[[#This Row],[Winter Clothes Children]],Table_NFI[Winter Clothes Children])</f>
        <v>0</v>
      </c>
      <c r="AK1010" s="352">
        <f>IF(NFI_Expiration=1,IF($A1010&lt;VLOOKUP(T$5,NFI,5,0),1,0)*Table_NFI[[#This Row],[Winter Items Other]],Table_NFI[Winter Items Other])</f>
        <v>0</v>
      </c>
      <c r="AL1010" s="352">
        <f>IF(NFI_Expiration=1,IF($A1010&lt;VLOOKUP(M$5,NFI,5,0),1,0)*Table_NFI[[#This Row],[Winter Blanket]],Table_NFI[[#This Row],[Winter Blanket]])</f>
        <v>0</v>
      </c>
      <c r="AM1010" s="352">
        <f>IF(Table_NFI[[#This Row],[Winter Clothes Adult]]+Table_NFI[[#This Row],[Winter Clothes Children]]+Table_NFI[[#This Row],[Winter Items Other]]+Table_NFI[[#This Row],[Winter Blanket]]&gt;0,1,0)</f>
        <v>0</v>
      </c>
      <c r="AN1010" s="392">
        <f>IF(NFI_Expiration=1,IF($A1010&lt;VLOOKUP(V$5,NFI,5,0),1,0)*Table_NFI[[#This Row],[Jerry Can]],Table_NFI[Jerry Can])</f>
        <v>0</v>
      </c>
      <c r="AO1010" s="540" t="str">
        <f>IFERROR(VLOOKUP(Table_NFI[[#This Row],[Camp Name]],CL,2,0),"")</f>
        <v>MMR001CMP041</v>
      </c>
      <c r="AP1010" s="535">
        <f ca="1">IF(Table_NFI[[#This Row],[Pcode]]="","",IF(OFFSET(CampList[Opening Date],MATCH(Table_NFI[[#This Row],[Pcode]],CampList[CP_Pcode],0)-1,0,1,1)&gt;=NFI_Monitor_Date,1,0))</f>
        <v>0</v>
      </c>
      <c r="AQ1010" s="540" t="str">
        <f>IFERROR(VLOOKUP(Table_NFI[[#This Row],[Camp Name]],CL,3,0),"")</f>
        <v>Open</v>
      </c>
      <c r="AR1010" s="352" t="str">
        <f ca="1">IF(Table_NFI[[#This Row],[Pcode]]="","",OFFSET(CampList[Priority],MATCH(Table_NFI[[#This Row],[Pcode]],CampList[CP_Pcode],0)-1,0,1,1))</f>
        <v>P1</v>
      </c>
      <c r="AS1010" s="351">
        <f>IFERROR(Table_NFI[[#This Row],[Kitchen Set]]/VLOOKUP(Table_NFI[[#This Row],[Camp Name]],CL,4,0),"")</f>
        <v>1.4972067039106145</v>
      </c>
      <c r="AT1010" s="533" t="s">
        <v>1094</v>
      </c>
      <c r="AU1010" s="536"/>
    </row>
    <row r="1011" spans="1:47" s="129" customFormat="1" ht="14.45" customHeight="1" x14ac:dyDescent="0.25">
      <c r="A1011" s="355">
        <f t="shared" si="15"/>
        <v>55.2</v>
      </c>
      <c r="B1011" s="532">
        <v>40915</v>
      </c>
      <c r="C1011" s="533" t="s">
        <v>453</v>
      </c>
      <c r="D1011" s="533" t="s">
        <v>507</v>
      </c>
      <c r="E1011" s="533" t="s">
        <v>380</v>
      </c>
      <c r="F1011" s="348" t="s">
        <v>237</v>
      </c>
      <c r="G1011" s="348" t="s">
        <v>253</v>
      </c>
      <c r="H1011" s="349"/>
      <c r="I1011" s="349"/>
      <c r="J1011" s="349"/>
      <c r="K1011" s="349">
        <v>32</v>
      </c>
      <c r="L1011" s="350">
        <v>16</v>
      </c>
      <c r="M1011" s="350">
        <v>32</v>
      </c>
      <c r="N1011" s="350">
        <v>16</v>
      </c>
      <c r="O1011" s="350">
        <v>16</v>
      </c>
      <c r="P1011" s="352">
        <v>16</v>
      </c>
      <c r="Q1011" s="352">
        <v>16</v>
      </c>
      <c r="R1011" s="352"/>
      <c r="S1011" s="352"/>
      <c r="T1011" s="352"/>
      <c r="U1011" s="352"/>
      <c r="V1011" s="497"/>
      <c r="W1011" s="352"/>
      <c r="X1011" s="352"/>
      <c r="Y1011" s="352">
        <f>IF(NFI_Expiration=1,IF($A1011&lt;VLOOKUP(H$5,NFI,5,0),1,0)*Table_NFI[[#This Row],[Hygiene Kit]],Table_NFI[Hygiene Kit])</f>
        <v>0</v>
      </c>
      <c r="Z1011" s="352">
        <f>IF(NFI_Expiration=1,IF($A1011&lt;VLOOKUP(I$5,NFI,5,0),1,0)*Table_NFI[[#This Row],[NFI Core Kit]],Table_NFI[NFI Core Kit])</f>
        <v>0</v>
      </c>
      <c r="AA1011" s="352">
        <f>IF(NFI_Expiration=1,IF($A1011&lt;VLOOKUP(J$5,NFI,5,0),1,0)*Table_NFI[[#This Row],[Sanitary Kit]],Table_NFI[Sanitary Kit])</f>
        <v>0</v>
      </c>
      <c r="AB1011" s="352">
        <f>IF(NFI_Expiration=1,IF($A1011&lt;VLOOKUP(K$5,NFI,5,0),1,0)*Table_NFI[[#This Row],[Mosquito net]],Table_NFI[Mosquito net])</f>
        <v>0</v>
      </c>
      <c r="AC1011" s="352">
        <f>IF(NFI_Expiration=1,IF($A1011&lt;VLOOKUP(L$5,NFI,5,0),1,0)*Table_NFI[[#This Row],[Tarpaulin]],Table_NFI[[#This Row],[Tarpaulin]])</f>
        <v>0</v>
      </c>
      <c r="AD1011" s="352">
        <f>IF(NFI_Expiration=1,IF($A1011&lt;VLOOKUP(M$5,NFI,5,0),1,0)*Table_NFI[[#This Row],[Blanket]],Table_NFI[[#This Row],[Blanket]])</f>
        <v>0</v>
      </c>
      <c r="AE1011" s="352">
        <f>IF(NFI_Expiration=1,IF($A1011&lt;VLOOKUP(N$5,NFI,5,0),1,0)*Table_NFI[[#This Row],[Kitchen Set]],Table_NFI[Kitchen Set])</f>
        <v>0</v>
      </c>
      <c r="AF1011" s="352">
        <f>IF(NFI_Expiration=1,IF($A1011&lt;VLOOKUP(O$5,NFI,5,0),1,0)*Table_NFI[[#This Row],[Clothes Kit]],Table_NFI[Clothes Kit])</f>
        <v>0</v>
      </c>
      <c r="AG1011" s="352">
        <f>IF(NFI_Expiration=1,IF($A1011&lt;VLOOKUP(P$5,NFI,5,0),1,0)*Table_NFI[[#This Row],[Plastic Bucket]],Table_NFI[Plastic Bucket])</f>
        <v>0</v>
      </c>
      <c r="AH1011" s="352">
        <f>IF(NFI_Expiration=1,IF($A1011&lt;VLOOKUP(Q$5,NFI,5,0),1,0)*Table_NFI[[#This Row],[Plastic Mat]],Table_NFI[Plastic Mat])*IF(Table_NFI[[#This Row],[Distribution Date]]&gt;"2014-04-01",1,2.5)</f>
        <v>0</v>
      </c>
      <c r="AI1011" s="352">
        <f>IF(NFI_Expiration=1,IF($A1011&lt;VLOOKUP(R$5,NFI,5,0),1,0)*Table_NFI[[#This Row],[Winter Clothes Adult]],Table_NFI[Winter Clothes Adult])</f>
        <v>0</v>
      </c>
      <c r="AJ1011" s="352">
        <f>IF(NFI_Expiration=1,IF($A1011&lt;VLOOKUP(S$5,NFI,5,0),1,0)*Table_NFI[[#This Row],[Winter Clothes Children]],Table_NFI[Winter Clothes Children])</f>
        <v>0</v>
      </c>
      <c r="AK1011" s="352">
        <f>IF(NFI_Expiration=1,IF($A1011&lt;VLOOKUP(T$5,NFI,5,0),1,0)*Table_NFI[[#This Row],[Winter Items Other]],Table_NFI[Winter Items Other])</f>
        <v>0</v>
      </c>
      <c r="AL1011" s="352">
        <f>IF(NFI_Expiration=1,IF($A1011&lt;VLOOKUP(M$5,NFI,5,0),1,0)*Table_NFI[[#This Row],[Winter Blanket]],Table_NFI[[#This Row],[Winter Blanket]])</f>
        <v>0</v>
      </c>
      <c r="AM1011" s="352">
        <f>IF(Table_NFI[[#This Row],[Winter Clothes Adult]]+Table_NFI[[#This Row],[Winter Clothes Children]]+Table_NFI[[#This Row],[Winter Items Other]]+Table_NFI[[#This Row],[Winter Blanket]]&gt;0,1,0)</f>
        <v>0</v>
      </c>
      <c r="AN1011" s="392">
        <f>IF(NFI_Expiration=1,IF($A1011&lt;VLOOKUP(V$5,NFI,5,0),1,0)*Table_NFI[[#This Row],[Jerry Can]],Table_NFI[Jerry Can])</f>
        <v>0</v>
      </c>
      <c r="AO1011" s="540" t="str">
        <f>IFERROR(VLOOKUP(Table_NFI[[#This Row],[Camp Name]],CL,2,0),"")</f>
        <v>MMR001CMP018</v>
      </c>
      <c r="AP1011" s="535">
        <f ca="1">IF(Table_NFI[[#This Row],[Pcode]]="","",IF(OFFSET(CampList[Opening Date],MATCH(Table_NFI[[#This Row],[Pcode]],CampList[CP_Pcode],0)-1,0,1,1)&gt;=NFI_Monitor_Date,1,0))</f>
        <v>0</v>
      </c>
      <c r="AQ1011" s="540" t="str">
        <f>IFERROR(VLOOKUP(Table_NFI[[#This Row],[Camp Name]],CL,3,0),"")</f>
        <v>Open</v>
      </c>
      <c r="AR1011" s="352" t="str">
        <f ca="1">IF(Table_NFI[[#This Row],[Pcode]]="","",OFFSET(CampList[Priority],MATCH(Table_NFI[[#This Row],[Pcode]],CampList[CP_Pcode],0)-1,0,1,1))</f>
        <v>P4</v>
      </c>
      <c r="AS1011" s="351">
        <f>IFERROR(Table_NFI[[#This Row],[Kitchen Set]]/VLOOKUP(Table_NFI[[#This Row],[Camp Name]],CL,4,0),"")</f>
        <v>8.0808080808080815E-2</v>
      </c>
      <c r="AT1011" s="533" t="s">
        <v>1094</v>
      </c>
      <c r="AU1011" s="536"/>
    </row>
    <row r="1012" spans="1:47" s="537" customFormat="1" ht="14.45" hidden="1" customHeight="1" x14ac:dyDescent="0.25">
      <c r="A1012" s="355">
        <f t="shared" si="15"/>
        <v>42.2</v>
      </c>
      <c r="B1012" s="532">
        <v>41305</v>
      </c>
      <c r="C1012" s="533" t="s">
        <v>570</v>
      </c>
      <c r="D1012" s="534" t="s">
        <v>570</v>
      </c>
      <c r="E1012" s="533" t="s">
        <v>380</v>
      </c>
      <c r="F1012" s="348" t="s">
        <v>310</v>
      </c>
      <c r="G1012" s="348" t="s">
        <v>316</v>
      </c>
      <c r="H1012" s="349"/>
      <c r="I1012" s="349"/>
      <c r="J1012" s="349"/>
      <c r="K1012" s="349"/>
      <c r="L1012" s="350"/>
      <c r="M1012" s="350">
        <v>104</v>
      </c>
      <c r="N1012" s="350"/>
      <c r="O1012" s="350"/>
      <c r="P1012" s="352">
        <v>0</v>
      </c>
      <c r="Q1012" s="352">
        <v>0</v>
      </c>
      <c r="R1012" s="352"/>
      <c r="S1012" s="352"/>
      <c r="T1012" s="352"/>
      <c r="U1012" s="352"/>
      <c r="V1012" s="497"/>
      <c r="W1012" s="352"/>
      <c r="X1012" s="352"/>
      <c r="Y1012" s="352">
        <f>IF(NFI_Expiration=1,IF($A1012&lt;VLOOKUP(H$5,NFI,5,0),1,0)*Table_NFI[[#This Row],[Hygiene Kit]],Table_NFI[Hygiene Kit])</f>
        <v>0</v>
      </c>
      <c r="Z1012" s="352">
        <f>IF(NFI_Expiration=1,IF($A1012&lt;VLOOKUP(I$5,NFI,5,0),1,0)*Table_NFI[[#This Row],[NFI Core Kit]],Table_NFI[NFI Core Kit])</f>
        <v>0</v>
      </c>
      <c r="AA1012" s="352">
        <f>IF(NFI_Expiration=1,IF($A1012&lt;VLOOKUP(J$5,NFI,5,0),1,0)*Table_NFI[[#This Row],[Sanitary Kit]],Table_NFI[Sanitary Kit])</f>
        <v>0</v>
      </c>
      <c r="AB1012" s="352">
        <f>IF(NFI_Expiration=1,IF($A1012&lt;VLOOKUP(K$5,NFI,5,0),1,0)*Table_NFI[[#This Row],[Mosquito net]],Table_NFI[Mosquito net])</f>
        <v>0</v>
      </c>
      <c r="AC1012" s="352">
        <f>IF(NFI_Expiration=1,IF($A1012&lt;VLOOKUP(L$5,NFI,5,0),1,0)*Table_NFI[[#This Row],[Tarpaulin]],Table_NFI[[#This Row],[Tarpaulin]])</f>
        <v>0</v>
      </c>
      <c r="AD1012" s="352">
        <f>IF(NFI_Expiration=1,IF($A1012&lt;VLOOKUP(M$5,NFI,5,0),1,0)*Table_NFI[[#This Row],[Blanket]],Table_NFI[[#This Row],[Blanket]])</f>
        <v>0</v>
      </c>
      <c r="AE1012" s="352">
        <f>IF(NFI_Expiration=1,IF($A1012&lt;VLOOKUP(N$5,NFI,5,0),1,0)*Table_NFI[[#This Row],[Kitchen Set]],Table_NFI[Kitchen Set])</f>
        <v>0</v>
      </c>
      <c r="AF1012" s="352">
        <f>IF(NFI_Expiration=1,IF($A1012&lt;VLOOKUP(O$5,NFI,5,0),1,0)*Table_NFI[[#This Row],[Clothes Kit]],Table_NFI[Clothes Kit])</f>
        <v>0</v>
      </c>
      <c r="AG1012" s="352">
        <f>IF(NFI_Expiration=1,IF($A1012&lt;VLOOKUP(P$5,NFI,5,0),1,0)*Table_NFI[[#This Row],[Plastic Bucket]],Table_NFI[Plastic Bucket])</f>
        <v>0</v>
      </c>
      <c r="AH1012" s="352">
        <f>IF(NFI_Expiration=1,IF($A1012&lt;VLOOKUP(Q$5,NFI,5,0),1,0)*Table_NFI[[#This Row],[Plastic Mat]],Table_NFI[Plastic Mat])*IF(Table_NFI[[#This Row],[Distribution Date]]&gt;"2014-04-01",1,2.5)</f>
        <v>0</v>
      </c>
      <c r="AI1012" s="352">
        <f>IF(NFI_Expiration=1,IF($A1012&lt;VLOOKUP(R$5,NFI,5,0),1,0)*Table_NFI[[#This Row],[Winter Clothes Adult]],Table_NFI[Winter Clothes Adult])</f>
        <v>0</v>
      </c>
      <c r="AJ1012" s="352">
        <f>IF(NFI_Expiration=1,IF($A1012&lt;VLOOKUP(S$5,NFI,5,0),1,0)*Table_NFI[[#This Row],[Winter Clothes Children]],Table_NFI[Winter Clothes Children])</f>
        <v>0</v>
      </c>
      <c r="AK1012" s="352">
        <f>IF(NFI_Expiration=1,IF($A1012&lt;VLOOKUP(T$5,NFI,5,0),1,0)*Table_NFI[[#This Row],[Winter Items Other]],Table_NFI[Winter Items Other])</f>
        <v>0</v>
      </c>
      <c r="AL1012" s="352">
        <f>IF(NFI_Expiration=1,IF($A1012&lt;VLOOKUP(M$5,NFI,5,0),1,0)*Table_NFI[[#This Row],[Winter Blanket]],Table_NFI[[#This Row],[Winter Blanket]])</f>
        <v>0</v>
      </c>
      <c r="AM1012" s="352">
        <f>IF(Table_NFI[[#This Row],[Winter Clothes Adult]]+Table_NFI[[#This Row],[Winter Clothes Children]]+Table_NFI[[#This Row],[Winter Items Other]]+Table_NFI[[#This Row],[Winter Blanket]]&gt;0,1,0)</f>
        <v>0</v>
      </c>
      <c r="AN1012" s="392">
        <f>IF(NFI_Expiration=1,IF($A1012&lt;VLOOKUP(V$5,NFI,5,0),1,0)*Table_NFI[[#This Row],[Jerry Can]],Table_NFI[Jerry Can])</f>
        <v>0</v>
      </c>
      <c r="AO1012" s="540" t="str">
        <f>IFERROR(VLOOKUP(Table_NFI[[#This Row],[Camp Name]],CL,2,0),"")</f>
        <v>MMR001CMP038</v>
      </c>
      <c r="AP1012" s="535">
        <f ca="1">IF(Table_NFI[[#This Row],[Pcode]]="","",IF(OFFSET(CampList[Opening Date],MATCH(Table_NFI[[#This Row],[Pcode]],CampList[CP_Pcode],0)-1,0,1,1)&gt;=NFI_Monitor_Date,1,0))</f>
        <v>0</v>
      </c>
      <c r="AQ1012" s="540" t="str">
        <f>IFERROR(VLOOKUP(Table_NFI[[#This Row],[Camp Name]],CL,3,0),"")</f>
        <v>Open</v>
      </c>
      <c r="AR1012" s="352" t="str">
        <f ca="1">IF(Table_NFI[[#This Row],[Pcode]]="","",OFFSET(CampList[Priority],MATCH(Table_NFI[[#This Row],[Pcode]],CampList[CP_Pcode],0)-1,0,1,1))</f>
        <v>P4</v>
      </c>
      <c r="AS1012" s="351">
        <f>IFERROR(Table_NFI[[#This Row],[Kitchen Set]]/VLOOKUP(Table_NFI[[#This Row],[Camp Name]],CL,4,0),"")</f>
        <v>0</v>
      </c>
      <c r="AT1012" s="533" t="s">
        <v>1094</v>
      </c>
      <c r="AU1012" s="536"/>
    </row>
    <row r="1013" spans="1:47" s="537" customFormat="1" ht="14.45" hidden="1" customHeight="1" x14ac:dyDescent="0.25">
      <c r="A1013" s="355">
        <f t="shared" si="15"/>
        <v>43.233333333333334</v>
      </c>
      <c r="B1013" s="532">
        <v>41274</v>
      </c>
      <c r="C1013" s="533" t="s">
        <v>454</v>
      </c>
      <c r="D1013" s="533" t="s">
        <v>454</v>
      </c>
      <c r="E1013" s="533" t="s">
        <v>380</v>
      </c>
      <c r="F1013" s="348" t="s">
        <v>310</v>
      </c>
      <c r="G1013" s="348" t="s">
        <v>316</v>
      </c>
      <c r="H1013" s="349">
        <v>56</v>
      </c>
      <c r="I1013" s="349"/>
      <c r="J1013" s="349"/>
      <c r="K1013" s="349"/>
      <c r="L1013" s="350"/>
      <c r="M1013" s="350"/>
      <c r="N1013" s="350"/>
      <c r="O1013" s="350"/>
      <c r="P1013" s="352">
        <v>0</v>
      </c>
      <c r="Q1013" s="352">
        <v>0</v>
      </c>
      <c r="R1013" s="352"/>
      <c r="S1013" s="352"/>
      <c r="T1013" s="352"/>
      <c r="U1013" s="352"/>
      <c r="V1013" s="497"/>
      <c r="W1013" s="352"/>
      <c r="X1013" s="352"/>
      <c r="Y1013" s="352">
        <f>IF(NFI_Expiration=1,IF($A1013&lt;VLOOKUP(H$5,NFI,5,0),1,0)*Table_NFI[[#This Row],[Hygiene Kit]],Table_NFI[Hygiene Kit])</f>
        <v>0</v>
      </c>
      <c r="Z1013" s="352">
        <f>IF(NFI_Expiration=1,IF($A1013&lt;VLOOKUP(I$5,NFI,5,0),1,0)*Table_NFI[[#This Row],[NFI Core Kit]],Table_NFI[NFI Core Kit])</f>
        <v>0</v>
      </c>
      <c r="AA1013" s="352">
        <f>IF(NFI_Expiration=1,IF($A1013&lt;VLOOKUP(J$5,NFI,5,0),1,0)*Table_NFI[[#This Row],[Sanitary Kit]],Table_NFI[Sanitary Kit])</f>
        <v>0</v>
      </c>
      <c r="AB1013" s="352">
        <f>IF(NFI_Expiration=1,IF($A1013&lt;VLOOKUP(K$5,NFI,5,0),1,0)*Table_NFI[[#This Row],[Mosquito net]],Table_NFI[Mosquito net])</f>
        <v>0</v>
      </c>
      <c r="AC1013" s="352">
        <f>IF(NFI_Expiration=1,IF($A1013&lt;VLOOKUP(L$5,NFI,5,0),1,0)*Table_NFI[[#This Row],[Tarpaulin]],Table_NFI[[#This Row],[Tarpaulin]])</f>
        <v>0</v>
      </c>
      <c r="AD1013" s="352">
        <f>IF(NFI_Expiration=1,IF($A1013&lt;VLOOKUP(M$5,NFI,5,0),1,0)*Table_NFI[[#This Row],[Blanket]],Table_NFI[[#This Row],[Blanket]])</f>
        <v>0</v>
      </c>
      <c r="AE1013" s="352">
        <f>IF(NFI_Expiration=1,IF($A1013&lt;VLOOKUP(N$5,NFI,5,0),1,0)*Table_NFI[[#This Row],[Kitchen Set]],Table_NFI[Kitchen Set])</f>
        <v>0</v>
      </c>
      <c r="AF1013" s="352">
        <f>IF(NFI_Expiration=1,IF($A1013&lt;VLOOKUP(O$5,NFI,5,0),1,0)*Table_NFI[[#This Row],[Clothes Kit]],Table_NFI[Clothes Kit])</f>
        <v>0</v>
      </c>
      <c r="AG1013" s="352">
        <f>IF(NFI_Expiration=1,IF($A1013&lt;VLOOKUP(P$5,NFI,5,0),1,0)*Table_NFI[[#This Row],[Plastic Bucket]],Table_NFI[Plastic Bucket])</f>
        <v>0</v>
      </c>
      <c r="AH1013" s="352">
        <f>IF(NFI_Expiration=1,IF($A1013&lt;VLOOKUP(Q$5,NFI,5,0),1,0)*Table_NFI[[#This Row],[Plastic Mat]],Table_NFI[Plastic Mat])*IF(Table_NFI[[#This Row],[Distribution Date]]&gt;"2014-04-01",1,2.5)</f>
        <v>0</v>
      </c>
      <c r="AI1013" s="352">
        <f>IF(NFI_Expiration=1,IF($A1013&lt;VLOOKUP(R$5,NFI,5,0),1,0)*Table_NFI[[#This Row],[Winter Clothes Adult]],Table_NFI[Winter Clothes Adult])</f>
        <v>0</v>
      </c>
      <c r="AJ1013" s="352">
        <f>IF(NFI_Expiration=1,IF($A1013&lt;VLOOKUP(S$5,NFI,5,0),1,0)*Table_NFI[[#This Row],[Winter Clothes Children]],Table_NFI[Winter Clothes Children])</f>
        <v>0</v>
      </c>
      <c r="AK1013" s="352">
        <f>IF(NFI_Expiration=1,IF($A1013&lt;VLOOKUP(T$5,NFI,5,0),1,0)*Table_NFI[[#This Row],[Winter Items Other]],Table_NFI[Winter Items Other])</f>
        <v>0</v>
      </c>
      <c r="AL1013" s="352">
        <f>IF(NFI_Expiration=1,IF($A1013&lt;VLOOKUP(M$5,NFI,5,0),1,0)*Table_NFI[[#This Row],[Winter Blanket]],Table_NFI[[#This Row],[Winter Blanket]])</f>
        <v>0</v>
      </c>
      <c r="AM1013" s="352">
        <f>IF(Table_NFI[[#This Row],[Winter Clothes Adult]]+Table_NFI[[#This Row],[Winter Clothes Children]]+Table_NFI[[#This Row],[Winter Items Other]]+Table_NFI[[#This Row],[Winter Blanket]]&gt;0,1,0)</f>
        <v>0</v>
      </c>
      <c r="AN1013" s="392">
        <f>IF(NFI_Expiration=1,IF($A1013&lt;VLOOKUP(V$5,NFI,5,0),1,0)*Table_NFI[[#This Row],[Jerry Can]],Table_NFI[Jerry Can])</f>
        <v>0</v>
      </c>
      <c r="AO1013" s="540" t="str">
        <f>IFERROR(VLOOKUP(Table_NFI[[#This Row],[Camp Name]],CL,2,0),"")</f>
        <v>MMR001CMP038</v>
      </c>
      <c r="AP1013" s="535">
        <f ca="1">IF(Table_NFI[[#This Row],[Pcode]]="","",IF(OFFSET(CampList[Opening Date],MATCH(Table_NFI[[#This Row],[Pcode]],CampList[CP_Pcode],0)-1,0,1,1)&gt;=NFI_Monitor_Date,1,0))</f>
        <v>0</v>
      </c>
      <c r="AQ1013" s="540" t="str">
        <f>IFERROR(VLOOKUP(Table_NFI[[#This Row],[Camp Name]],CL,3,0),"")</f>
        <v>Open</v>
      </c>
      <c r="AR1013" s="352" t="str">
        <f ca="1">IF(Table_NFI[[#This Row],[Pcode]]="","",OFFSET(CampList[Priority],MATCH(Table_NFI[[#This Row],[Pcode]],CampList[CP_Pcode],0)-1,0,1,1))</f>
        <v>P4</v>
      </c>
      <c r="AS1013" s="351">
        <f>IFERROR(Table_NFI[[#This Row],[Kitchen Set]]/VLOOKUP(Table_NFI[[#This Row],[Camp Name]],CL,4,0),"")</f>
        <v>0</v>
      </c>
      <c r="AT1013" s="533" t="s">
        <v>1094</v>
      </c>
      <c r="AU1013" s="536"/>
    </row>
    <row r="1014" spans="1:47" s="537" customFormat="1" ht="14.45" customHeight="1" x14ac:dyDescent="0.25">
      <c r="A1014" s="355">
        <f t="shared" si="15"/>
        <v>55.2</v>
      </c>
      <c r="B1014" s="532">
        <v>40915</v>
      </c>
      <c r="C1014" s="533" t="s">
        <v>453</v>
      </c>
      <c r="D1014" s="533" t="s">
        <v>507</v>
      </c>
      <c r="E1014" s="533" t="s">
        <v>380</v>
      </c>
      <c r="F1014" s="533" t="s">
        <v>310</v>
      </c>
      <c r="G1014" s="348" t="s">
        <v>330</v>
      </c>
      <c r="H1014" s="349"/>
      <c r="I1014" s="349"/>
      <c r="J1014" s="349"/>
      <c r="K1014" s="349">
        <v>50</v>
      </c>
      <c r="L1014" s="350">
        <v>25</v>
      </c>
      <c r="M1014" s="350">
        <v>50</v>
      </c>
      <c r="N1014" s="350">
        <v>25</v>
      </c>
      <c r="O1014" s="350">
        <v>27</v>
      </c>
      <c r="P1014" s="352">
        <v>27</v>
      </c>
      <c r="Q1014" s="352">
        <v>27</v>
      </c>
      <c r="R1014" s="352"/>
      <c r="S1014" s="352"/>
      <c r="T1014" s="352"/>
      <c r="U1014" s="352"/>
      <c r="V1014" s="497"/>
      <c r="W1014" s="352"/>
      <c r="X1014" s="352"/>
      <c r="Y1014" s="352">
        <f>IF(NFI_Expiration=1,IF($A1014&lt;VLOOKUP(H$5,NFI,5,0),1,0)*Table_NFI[[#This Row],[Hygiene Kit]],Table_NFI[Hygiene Kit])</f>
        <v>0</v>
      </c>
      <c r="Z1014" s="352">
        <f>IF(NFI_Expiration=1,IF($A1014&lt;VLOOKUP(I$5,NFI,5,0),1,0)*Table_NFI[[#This Row],[NFI Core Kit]],Table_NFI[NFI Core Kit])</f>
        <v>0</v>
      </c>
      <c r="AA1014" s="352">
        <f>IF(NFI_Expiration=1,IF($A1014&lt;VLOOKUP(J$5,NFI,5,0),1,0)*Table_NFI[[#This Row],[Sanitary Kit]],Table_NFI[Sanitary Kit])</f>
        <v>0</v>
      </c>
      <c r="AB1014" s="352">
        <f>IF(NFI_Expiration=1,IF($A1014&lt;VLOOKUP(K$5,NFI,5,0),1,0)*Table_NFI[[#This Row],[Mosquito net]],Table_NFI[Mosquito net])</f>
        <v>0</v>
      </c>
      <c r="AC1014" s="352">
        <f>IF(NFI_Expiration=1,IF($A1014&lt;VLOOKUP(L$5,NFI,5,0),1,0)*Table_NFI[[#This Row],[Tarpaulin]],Table_NFI[[#This Row],[Tarpaulin]])</f>
        <v>0</v>
      </c>
      <c r="AD1014" s="352">
        <f>IF(NFI_Expiration=1,IF($A1014&lt;VLOOKUP(M$5,NFI,5,0),1,0)*Table_NFI[[#This Row],[Blanket]],Table_NFI[[#This Row],[Blanket]])</f>
        <v>0</v>
      </c>
      <c r="AE1014" s="352">
        <f>IF(NFI_Expiration=1,IF($A1014&lt;VLOOKUP(N$5,NFI,5,0),1,0)*Table_NFI[[#This Row],[Kitchen Set]],Table_NFI[Kitchen Set])</f>
        <v>0</v>
      </c>
      <c r="AF1014" s="352">
        <f>IF(NFI_Expiration=1,IF($A1014&lt;VLOOKUP(O$5,NFI,5,0),1,0)*Table_NFI[[#This Row],[Clothes Kit]],Table_NFI[Clothes Kit])</f>
        <v>0</v>
      </c>
      <c r="AG1014" s="352">
        <f>IF(NFI_Expiration=1,IF($A1014&lt;VLOOKUP(P$5,NFI,5,0),1,0)*Table_NFI[[#This Row],[Plastic Bucket]],Table_NFI[Plastic Bucket])</f>
        <v>0</v>
      </c>
      <c r="AH1014" s="352">
        <f>IF(NFI_Expiration=1,IF($A1014&lt;VLOOKUP(Q$5,NFI,5,0),1,0)*Table_NFI[[#This Row],[Plastic Mat]],Table_NFI[Plastic Mat])*IF(Table_NFI[[#This Row],[Distribution Date]]&gt;"2014-04-01",1,2.5)</f>
        <v>0</v>
      </c>
      <c r="AI1014" s="352">
        <f>IF(NFI_Expiration=1,IF($A1014&lt;VLOOKUP(R$5,NFI,5,0),1,0)*Table_NFI[[#This Row],[Winter Clothes Adult]],Table_NFI[Winter Clothes Adult])</f>
        <v>0</v>
      </c>
      <c r="AJ1014" s="352">
        <f>IF(NFI_Expiration=1,IF($A1014&lt;VLOOKUP(S$5,NFI,5,0),1,0)*Table_NFI[[#This Row],[Winter Clothes Children]],Table_NFI[Winter Clothes Children])</f>
        <v>0</v>
      </c>
      <c r="AK1014" s="352">
        <f>IF(NFI_Expiration=1,IF($A1014&lt;VLOOKUP(T$5,NFI,5,0),1,0)*Table_NFI[[#This Row],[Winter Items Other]],Table_NFI[Winter Items Other])</f>
        <v>0</v>
      </c>
      <c r="AL1014" s="352">
        <f>IF(NFI_Expiration=1,IF($A1014&lt;VLOOKUP(M$5,NFI,5,0),1,0)*Table_NFI[[#This Row],[Winter Blanket]],Table_NFI[[#This Row],[Winter Blanket]])</f>
        <v>0</v>
      </c>
      <c r="AM1014" s="352">
        <f>IF(Table_NFI[[#This Row],[Winter Clothes Adult]]+Table_NFI[[#This Row],[Winter Clothes Children]]+Table_NFI[[#This Row],[Winter Items Other]]+Table_NFI[[#This Row],[Winter Blanket]]&gt;0,1,0)</f>
        <v>0</v>
      </c>
      <c r="AN1014" s="392">
        <f>IF(NFI_Expiration=1,IF($A1014&lt;VLOOKUP(V$5,NFI,5,0),1,0)*Table_NFI[[#This Row],[Jerry Can]],Table_NFI[Jerry Can])</f>
        <v>0</v>
      </c>
      <c r="AO1014" s="540" t="str">
        <f>IFERROR(VLOOKUP(Table_NFI[[#This Row],[Camp Name]],CL,2,0),"")</f>
        <v>MMR001CMP029</v>
      </c>
      <c r="AP1014" s="535">
        <f ca="1">IF(Table_NFI[[#This Row],[Pcode]]="","",IF(OFFSET(CampList[Opening Date],MATCH(Table_NFI[[#This Row],[Pcode]],CampList[CP_Pcode],0)-1,0,1,1)&gt;=NFI_Monitor_Date,1,0))</f>
        <v>0</v>
      </c>
      <c r="AQ1014" s="540" t="str">
        <f>IFERROR(VLOOKUP(Table_NFI[[#This Row],[Camp Name]],CL,3,0),"")</f>
        <v>Open</v>
      </c>
      <c r="AR1014" s="352" t="str">
        <f ca="1">IF(Table_NFI[[#This Row],[Pcode]]="","",OFFSET(CampList[Priority],MATCH(Table_NFI[[#This Row],[Pcode]],CampList[CP_Pcode],0)-1,0,1,1))</f>
        <v>P4</v>
      </c>
      <c r="AS1014" s="351">
        <f>IFERROR(Table_NFI[[#This Row],[Kitchen Set]]/VLOOKUP(Table_NFI[[#This Row],[Camp Name]],CL,4,0),"")</f>
        <v>0.11261261261261261</v>
      </c>
      <c r="AT1014" s="533" t="s">
        <v>1094</v>
      </c>
      <c r="AU1014" s="536"/>
    </row>
    <row r="1015" spans="1:47" s="129" customFormat="1" ht="14.45" customHeight="1" x14ac:dyDescent="0.25">
      <c r="A1015" s="355">
        <f t="shared" si="15"/>
        <v>55.233333333333334</v>
      </c>
      <c r="B1015" s="532">
        <v>40914</v>
      </c>
      <c r="C1015" s="533" t="s">
        <v>453</v>
      </c>
      <c r="D1015" s="534" t="s">
        <v>507</v>
      </c>
      <c r="E1015" s="533" t="s">
        <v>380</v>
      </c>
      <c r="F1015" s="348" t="s">
        <v>237</v>
      </c>
      <c r="G1015" s="348" t="s">
        <v>255</v>
      </c>
      <c r="H1015" s="349"/>
      <c r="I1015" s="349"/>
      <c r="J1015" s="349"/>
      <c r="K1015" s="349">
        <v>0</v>
      </c>
      <c r="L1015" s="350">
        <v>0</v>
      </c>
      <c r="M1015" s="350">
        <v>0</v>
      </c>
      <c r="N1015" s="350">
        <v>0</v>
      </c>
      <c r="O1015" s="350">
        <v>9</v>
      </c>
      <c r="P1015" s="352">
        <v>9</v>
      </c>
      <c r="Q1015" s="352">
        <v>9</v>
      </c>
      <c r="R1015" s="352"/>
      <c r="S1015" s="352"/>
      <c r="T1015" s="352"/>
      <c r="U1015" s="352"/>
      <c r="V1015" s="497"/>
      <c r="W1015" s="352"/>
      <c r="X1015" s="352"/>
      <c r="Y1015" s="352">
        <f>IF(NFI_Expiration=1,IF($A1015&lt;VLOOKUP(H$5,NFI,5,0),1,0)*Table_NFI[[#This Row],[Hygiene Kit]],Table_NFI[Hygiene Kit])</f>
        <v>0</v>
      </c>
      <c r="Z1015" s="352">
        <f>IF(NFI_Expiration=1,IF($A1015&lt;VLOOKUP(I$5,NFI,5,0),1,0)*Table_NFI[[#This Row],[NFI Core Kit]],Table_NFI[NFI Core Kit])</f>
        <v>0</v>
      </c>
      <c r="AA1015" s="352">
        <f>IF(NFI_Expiration=1,IF($A1015&lt;VLOOKUP(J$5,NFI,5,0),1,0)*Table_NFI[[#This Row],[Sanitary Kit]],Table_NFI[Sanitary Kit])</f>
        <v>0</v>
      </c>
      <c r="AB1015" s="352">
        <f>IF(NFI_Expiration=1,IF($A1015&lt;VLOOKUP(K$5,NFI,5,0),1,0)*Table_NFI[[#This Row],[Mosquito net]],Table_NFI[Mosquito net])</f>
        <v>0</v>
      </c>
      <c r="AC1015" s="352">
        <f>IF(NFI_Expiration=1,IF($A1015&lt;VLOOKUP(L$5,NFI,5,0),1,0)*Table_NFI[[#This Row],[Tarpaulin]],Table_NFI[[#This Row],[Tarpaulin]])</f>
        <v>0</v>
      </c>
      <c r="AD1015" s="352">
        <f>IF(NFI_Expiration=1,IF($A1015&lt;VLOOKUP(M$5,NFI,5,0),1,0)*Table_NFI[[#This Row],[Blanket]],Table_NFI[[#This Row],[Blanket]])</f>
        <v>0</v>
      </c>
      <c r="AE1015" s="352">
        <f>IF(NFI_Expiration=1,IF($A1015&lt;VLOOKUP(N$5,NFI,5,0),1,0)*Table_NFI[[#This Row],[Kitchen Set]],Table_NFI[Kitchen Set])</f>
        <v>0</v>
      </c>
      <c r="AF1015" s="352">
        <f>IF(NFI_Expiration=1,IF($A1015&lt;VLOOKUP(O$5,NFI,5,0),1,0)*Table_NFI[[#This Row],[Clothes Kit]],Table_NFI[Clothes Kit])</f>
        <v>0</v>
      </c>
      <c r="AG1015" s="352">
        <f>IF(NFI_Expiration=1,IF($A1015&lt;VLOOKUP(P$5,NFI,5,0),1,0)*Table_NFI[[#This Row],[Plastic Bucket]],Table_NFI[Plastic Bucket])</f>
        <v>0</v>
      </c>
      <c r="AH1015" s="352">
        <f>IF(NFI_Expiration=1,IF($A1015&lt;VLOOKUP(Q$5,NFI,5,0),1,0)*Table_NFI[[#This Row],[Plastic Mat]],Table_NFI[Plastic Mat])*IF(Table_NFI[[#This Row],[Distribution Date]]&gt;"2014-04-01",1,2.5)</f>
        <v>0</v>
      </c>
      <c r="AI1015" s="352">
        <f>IF(NFI_Expiration=1,IF($A1015&lt;VLOOKUP(R$5,NFI,5,0),1,0)*Table_NFI[[#This Row],[Winter Clothes Adult]],Table_NFI[Winter Clothes Adult])</f>
        <v>0</v>
      </c>
      <c r="AJ1015" s="352">
        <f>IF(NFI_Expiration=1,IF($A1015&lt;VLOOKUP(S$5,NFI,5,0),1,0)*Table_NFI[[#This Row],[Winter Clothes Children]],Table_NFI[Winter Clothes Children])</f>
        <v>0</v>
      </c>
      <c r="AK1015" s="352">
        <f>IF(NFI_Expiration=1,IF($A1015&lt;VLOOKUP(T$5,NFI,5,0),1,0)*Table_NFI[[#This Row],[Winter Items Other]],Table_NFI[Winter Items Other])</f>
        <v>0</v>
      </c>
      <c r="AL1015" s="352">
        <f>IF(NFI_Expiration=1,IF($A1015&lt;VLOOKUP(M$5,NFI,5,0),1,0)*Table_NFI[[#This Row],[Winter Blanket]],Table_NFI[[#This Row],[Winter Blanket]])</f>
        <v>0</v>
      </c>
      <c r="AM1015" s="352">
        <f>IF(Table_NFI[[#This Row],[Winter Clothes Adult]]+Table_NFI[[#This Row],[Winter Clothes Children]]+Table_NFI[[#This Row],[Winter Items Other]]+Table_NFI[[#This Row],[Winter Blanket]]&gt;0,1,0)</f>
        <v>0</v>
      </c>
      <c r="AN1015" s="392">
        <f>IF(NFI_Expiration=1,IF($A1015&lt;VLOOKUP(V$5,NFI,5,0),1,0)*Table_NFI[[#This Row],[Jerry Can]],Table_NFI[Jerry Can])</f>
        <v>0</v>
      </c>
      <c r="AO1015" s="540" t="str">
        <f>IFERROR(VLOOKUP(Table_NFI[[#This Row],[Camp Name]],CL,2,0),"")</f>
        <v>MMR001CMP019</v>
      </c>
      <c r="AP1015" s="535">
        <f ca="1">IF(Table_NFI[[#This Row],[Pcode]]="","",IF(OFFSET(CampList[Opening Date],MATCH(Table_NFI[[#This Row],[Pcode]],CampList[CP_Pcode],0)-1,0,1,1)&gt;=NFI_Monitor_Date,1,0))</f>
        <v>0</v>
      </c>
      <c r="AQ1015" s="540" t="str">
        <f>IFERROR(VLOOKUP(Table_NFI[[#This Row],[Camp Name]],CL,3,0),"")</f>
        <v>Open</v>
      </c>
      <c r="AR1015" s="352" t="str">
        <f ca="1">IF(Table_NFI[[#This Row],[Pcode]]="","",OFFSET(CampList[Priority],MATCH(Table_NFI[[#This Row],[Pcode]],CampList[CP_Pcode],0)-1,0,1,1))</f>
        <v>P4</v>
      </c>
      <c r="AS1015" s="351">
        <f>IFERROR(Table_NFI[[#This Row],[Kitchen Set]]/VLOOKUP(Table_NFI[[#This Row],[Camp Name]],CL,4,0),"")</f>
        <v>0</v>
      </c>
      <c r="AT1015" s="533" t="s">
        <v>1094</v>
      </c>
      <c r="AU1015" s="536"/>
    </row>
    <row r="1016" spans="1:47" s="129" customFormat="1" ht="14.45" customHeight="1" x14ac:dyDescent="0.25">
      <c r="A1016" s="355">
        <f t="shared" si="15"/>
        <v>55.233333333333334</v>
      </c>
      <c r="B1016" s="532">
        <v>40914</v>
      </c>
      <c r="C1016" s="533" t="s">
        <v>453</v>
      </c>
      <c r="D1016" s="534" t="s">
        <v>453</v>
      </c>
      <c r="E1016" s="533" t="s">
        <v>380</v>
      </c>
      <c r="F1016" s="348" t="s">
        <v>310</v>
      </c>
      <c r="G1016" s="348" t="s">
        <v>349</v>
      </c>
      <c r="H1016" s="349"/>
      <c r="I1016" s="349"/>
      <c r="J1016" s="349"/>
      <c r="K1016" s="349">
        <v>29</v>
      </c>
      <c r="L1016" s="350">
        <v>0</v>
      </c>
      <c r="M1016" s="350">
        <v>29</v>
      </c>
      <c r="N1016" s="350">
        <v>15</v>
      </c>
      <c r="O1016" s="350">
        <v>15</v>
      </c>
      <c r="P1016" s="352">
        <v>15</v>
      </c>
      <c r="Q1016" s="352">
        <v>15</v>
      </c>
      <c r="R1016" s="352"/>
      <c r="S1016" s="352"/>
      <c r="T1016" s="352"/>
      <c r="U1016" s="352"/>
      <c r="V1016" s="497"/>
      <c r="W1016" s="352"/>
      <c r="X1016" s="352"/>
      <c r="Y1016" s="352">
        <f>IF(NFI_Expiration=1,IF($A1016&lt;VLOOKUP(H$5,NFI,5,0),1,0)*Table_NFI[[#This Row],[Hygiene Kit]],Table_NFI[Hygiene Kit])</f>
        <v>0</v>
      </c>
      <c r="Z1016" s="352">
        <f>IF(NFI_Expiration=1,IF($A1016&lt;VLOOKUP(I$5,NFI,5,0),1,0)*Table_NFI[[#This Row],[NFI Core Kit]],Table_NFI[NFI Core Kit])</f>
        <v>0</v>
      </c>
      <c r="AA1016" s="352">
        <f>IF(NFI_Expiration=1,IF($A1016&lt;VLOOKUP(J$5,NFI,5,0),1,0)*Table_NFI[[#This Row],[Sanitary Kit]],Table_NFI[Sanitary Kit])</f>
        <v>0</v>
      </c>
      <c r="AB1016" s="352">
        <f>IF(NFI_Expiration=1,IF($A1016&lt;VLOOKUP(K$5,NFI,5,0),1,0)*Table_NFI[[#This Row],[Mosquito net]],Table_NFI[Mosquito net])</f>
        <v>0</v>
      </c>
      <c r="AC1016" s="352">
        <f>IF(NFI_Expiration=1,IF($A1016&lt;VLOOKUP(L$5,NFI,5,0),1,0)*Table_NFI[[#This Row],[Tarpaulin]],Table_NFI[[#This Row],[Tarpaulin]])</f>
        <v>0</v>
      </c>
      <c r="AD1016" s="352">
        <f>IF(NFI_Expiration=1,IF($A1016&lt;VLOOKUP(M$5,NFI,5,0),1,0)*Table_NFI[[#This Row],[Blanket]],Table_NFI[[#This Row],[Blanket]])</f>
        <v>0</v>
      </c>
      <c r="AE1016" s="352">
        <f>IF(NFI_Expiration=1,IF($A1016&lt;VLOOKUP(N$5,NFI,5,0),1,0)*Table_NFI[[#This Row],[Kitchen Set]],Table_NFI[Kitchen Set])</f>
        <v>0</v>
      </c>
      <c r="AF1016" s="352">
        <f>IF(NFI_Expiration=1,IF($A1016&lt;VLOOKUP(O$5,NFI,5,0),1,0)*Table_NFI[[#This Row],[Clothes Kit]],Table_NFI[Clothes Kit])</f>
        <v>0</v>
      </c>
      <c r="AG1016" s="352">
        <f>IF(NFI_Expiration=1,IF($A1016&lt;VLOOKUP(P$5,NFI,5,0),1,0)*Table_NFI[[#This Row],[Plastic Bucket]],Table_NFI[Plastic Bucket])</f>
        <v>0</v>
      </c>
      <c r="AH1016" s="352">
        <f>IF(NFI_Expiration=1,IF($A1016&lt;VLOOKUP(Q$5,NFI,5,0),1,0)*Table_NFI[[#This Row],[Plastic Mat]],Table_NFI[Plastic Mat])*IF(Table_NFI[[#This Row],[Distribution Date]]&gt;"2014-04-01",1,2.5)</f>
        <v>0</v>
      </c>
      <c r="AI1016" s="352">
        <f>IF(NFI_Expiration=1,IF($A1016&lt;VLOOKUP(R$5,NFI,5,0),1,0)*Table_NFI[[#This Row],[Winter Clothes Adult]],Table_NFI[Winter Clothes Adult])</f>
        <v>0</v>
      </c>
      <c r="AJ1016" s="352">
        <f>IF(NFI_Expiration=1,IF($A1016&lt;VLOOKUP(S$5,NFI,5,0),1,0)*Table_NFI[[#This Row],[Winter Clothes Children]],Table_NFI[Winter Clothes Children])</f>
        <v>0</v>
      </c>
      <c r="AK1016" s="352">
        <f>IF(NFI_Expiration=1,IF($A1016&lt;VLOOKUP(T$5,NFI,5,0),1,0)*Table_NFI[[#This Row],[Winter Items Other]],Table_NFI[Winter Items Other])</f>
        <v>0</v>
      </c>
      <c r="AL1016" s="352">
        <f>IF(NFI_Expiration=1,IF($A1016&lt;VLOOKUP(M$5,NFI,5,0),1,0)*Table_NFI[[#This Row],[Winter Blanket]],Table_NFI[[#This Row],[Winter Blanket]])</f>
        <v>0</v>
      </c>
      <c r="AM1016" s="352">
        <f>IF(Table_NFI[[#This Row],[Winter Clothes Adult]]+Table_NFI[[#This Row],[Winter Clothes Children]]+Table_NFI[[#This Row],[Winter Items Other]]+Table_NFI[[#This Row],[Winter Blanket]]&gt;0,1,0)</f>
        <v>0</v>
      </c>
      <c r="AN1016" s="392">
        <f>IF(NFI_Expiration=1,IF($A1016&lt;VLOOKUP(V$5,NFI,5,0),1,0)*Table_NFI[[#This Row],[Jerry Can]],Table_NFI[Jerry Can])</f>
        <v>0</v>
      </c>
      <c r="AO1016" s="540" t="str">
        <f>IFERROR(VLOOKUP(Table_NFI[[#This Row],[Camp Name]],CL,2,0),"")</f>
        <v>MMR001CMP037</v>
      </c>
      <c r="AP1016" s="535">
        <f ca="1">IF(Table_NFI[[#This Row],[Pcode]]="","",IF(OFFSET(CampList[Opening Date],MATCH(Table_NFI[[#This Row],[Pcode]],CampList[CP_Pcode],0)-1,0,1,1)&gt;=NFI_Monitor_Date,1,0))</f>
        <v>0</v>
      </c>
      <c r="AQ1016" s="540" t="str">
        <f>IFERROR(VLOOKUP(Table_NFI[[#This Row],[Camp Name]],CL,3,0),"")</f>
        <v>Open</v>
      </c>
      <c r="AR1016" s="352" t="str">
        <f ca="1">IF(Table_NFI[[#This Row],[Pcode]]="","",OFFSET(CampList[Priority],MATCH(Table_NFI[[#This Row],[Pcode]],CampList[CP_Pcode],0)-1,0,1,1))</f>
        <v>P4</v>
      </c>
      <c r="AS1016" s="351">
        <f>IFERROR(Table_NFI[[#This Row],[Kitchen Set]]/VLOOKUP(Table_NFI[[#This Row],[Camp Name]],CL,4,0),"")</f>
        <v>0.34090909090909088</v>
      </c>
      <c r="AT1016" s="533" t="s">
        <v>1094</v>
      </c>
      <c r="AU1016" s="536"/>
    </row>
    <row r="1017" spans="1:47" s="537" customFormat="1" ht="14.45" customHeight="1" x14ac:dyDescent="0.25">
      <c r="A1017" s="355">
        <f t="shared" si="15"/>
        <v>55.233333333333334</v>
      </c>
      <c r="B1017" s="532">
        <v>40914</v>
      </c>
      <c r="C1017" s="533" t="s">
        <v>453</v>
      </c>
      <c r="D1017" s="534" t="s">
        <v>453</v>
      </c>
      <c r="E1017" s="533" t="s">
        <v>380</v>
      </c>
      <c r="F1017" s="348" t="s">
        <v>310</v>
      </c>
      <c r="G1017" s="348" t="s">
        <v>349</v>
      </c>
      <c r="H1017" s="349"/>
      <c r="I1017" s="349"/>
      <c r="J1017" s="349"/>
      <c r="K1017" s="349">
        <v>59</v>
      </c>
      <c r="L1017" s="350">
        <v>30</v>
      </c>
      <c r="M1017" s="350">
        <v>59</v>
      </c>
      <c r="N1017" s="350">
        <v>30</v>
      </c>
      <c r="O1017" s="350">
        <v>30</v>
      </c>
      <c r="P1017" s="352">
        <v>30</v>
      </c>
      <c r="Q1017" s="352">
        <v>30</v>
      </c>
      <c r="R1017" s="352"/>
      <c r="S1017" s="352"/>
      <c r="T1017" s="352"/>
      <c r="U1017" s="352"/>
      <c r="V1017" s="497"/>
      <c r="W1017" s="352"/>
      <c r="X1017" s="352"/>
      <c r="Y1017" s="352">
        <f>IF(NFI_Expiration=1,IF($A1017&lt;VLOOKUP(H$5,NFI,5,0),1,0)*Table_NFI[[#This Row],[Hygiene Kit]],Table_NFI[Hygiene Kit])</f>
        <v>0</v>
      </c>
      <c r="Z1017" s="352">
        <f>IF(NFI_Expiration=1,IF($A1017&lt;VLOOKUP(I$5,NFI,5,0),1,0)*Table_NFI[[#This Row],[NFI Core Kit]],Table_NFI[NFI Core Kit])</f>
        <v>0</v>
      </c>
      <c r="AA1017" s="352">
        <f>IF(NFI_Expiration=1,IF($A1017&lt;VLOOKUP(J$5,NFI,5,0),1,0)*Table_NFI[[#This Row],[Sanitary Kit]],Table_NFI[Sanitary Kit])</f>
        <v>0</v>
      </c>
      <c r="AB1017" s="352">
        <f>IF(NFI_Expiration=1,IF($A1017&lt;VLOOKUP(K$5,NFI,5,0),1,0)*Table_NFI[[#This Row],[Mosquito net]],Table_NFI[Mosquito net])</f>
        <v>0</v>
      </c>
      <c r="AC1017" s="352">
        <f>IF(NFI_Expiration=1,IF($A1017&lt;VLOOKUP(L$5,NFI,5,0),1,0)*Table_NFI[[#This Row],[Tarpaulin]],Table_NFI[[#This Row],[Tarpaulin]])</f>
        <v>0</v>
      </c>
      <c r="AD1017" s="352">
        <f>IF(NFI_Expiration=1,IF($A1017&lt;VLOOKUP(M$5,NFI,5,0),1,0)*Table_NFI[[#This Row],[Blanket]],Table_NFI[[#This Row],[Blanket]])</f>
        <v>0</v>
      </c>
      <c r="AE1017" s="352">
        <f>IF(NFI_Expiration=1,IF($A1017&lt;VLOOKUP(N$5,NFI,5,0),1,0)*Table_NFI[[#This Row],[Kitchen Set]],Table_NFI[Kitchen Set])</f>
        <v>0</v>
      </c>
      <c r="AF1017" s="352">
        <f>IF(NFI_Expiration=1,IF($A1017&lt;VLOOKUP(O$5,NFI,5,0),1,0)*Table_NFI[[#This Row],[Clothes Kit]],Table_NFI[Clothes Kit])</f>
        <v>0</v>
      </c>
      <c r="AG1017" s="352">
        <f>IF(NFI_Expiration=1,IF($A1017&lt;VLOOKUP(P$5,NFI,5,0),1,0)*Table_NFI[[#This Row],[Plastic Bucket]],Table_NFI[Plastic Bucket])</f>
        <v>0</v>
      </c>
      <c r="AH1017" s="352">
        <f>IF(NFI_Expiration=1,IF($A1017&lt;VLOOKUP(Q$5,NFI,5,0),1,0)*Table_NFI[[#This Row],[Plastic Mat]],Table_NFI[Plastic Mat])*IF(Table_NFI[[#This Row],[Distribution Date]]&gt;"2014-04-01",1,2.5)</f>
        <v>0</v>
      </c>
      <c r="AI1017" s="352">
        <f>IF(NFI_Expiration=1,IF($A1017&lt;VLOOKUP(R$5,NFI,5,0),1,0)*Table_NFI[[#This Row],[Winter Clothes Adult]],Table_NFI[Winter Clothes Adult])</f>
        <v>0</v>
      </c>
      <c r="AJ1017" s="352">
        <f>IF(NFI_Expiration=1,IF($A1017&lt;VLOOKUP(S$5,NFI,5,0),1,0)*Table_NFI[[#This Row],[Winter Clothes Children]],Table_NFI[Winter Clothes Children])</f>
        <v>0</v>
      </c>
      <c r="AK1017" s="352">
        <f>IF(NFI_Expiration=1,IF($A1017&lt;VLOOKUP(T$5,NFI,5,0),1,0)*Table_NFI[[#This Row],[Winter Items Other]],Table_NFI[Winter Items Other])</f>
        <v>0</v>
      </c>
      <c r="AL1017" s="352">
        <f>IF(NFI_Expiration=1,IF($A1017&lt;VLOOKUP(M$5,NFI,5,0),1,0)*Table_NFI[[#This Row],[Winter Blanket]],Table_NFI[[#This Row],[Winter Blanket]])</f>
        <v>0</v>
      </c>
      <c r="AM1017" s="352">
        <f>IF(Table_NFI[[#This Row],[Winter Clothes Adult]]+Table_NFI[[#This Row],[Winter Clothes Children]]+Table_NFI[[#This Row],[Winter Items Other]]+Table_NFI[[#This Row],[Winter Blanket]]&gt;0,1,0)</f>
        <v>0</v>
      </c>
      <c r="AN1017" s="392">
        <f>IF(NFI_Expiration=1,IF($A1017&lt;VLOOKUP(V$5,NFI,5,0),1,0)*Table_NFI[[#This Row],[Jerry Can]],Table_NFI[Jerry Can])</f>
        <v>0</v>
      </c>
      <c r="AO1017" s="540" t="str">
        <f>IFERROR(VLOOKUP(Table_NFI[[#This Row],[Camp Name]],CL,2,0),"")</f>
        <v>MMR001CMP037</v>
      </c>
      <c r="AP1017" s="535">
        <f ca="1">IF(Table_NFI[[#This Row],[Pcode]]="","",IF(OFFSET(CampList[Opening Date],MATCH(Table_NFI[[#This Row],[Pcode]],CampList[CP_Pcode],0)-1,0,1,1)&gt;=NFI_Monitor_Date,1,0))</f>
        <v>0</v>
      </c>
      <c r="AQ1017" s="540" t="str">
        <f>IFERROR(VLOOKUP(Table_NFI[[#This Row],[Camp Name]],CL,3,0),"")</f>
        <v>Open</v>
      </c>
      <c r="AR1017" s="352" t="str">
        <f ca="1">IF(Table_NFI[[#This Row],[Pcode]]="","",OFFSET(CampList[Priority],MATCH(Table_NFI[[#This Row],[Pcode]],CampList[CP_Pcode],0)-1,0,1,1))</f>
        <v>P4</v>
      </c>
      <c r="AS1017" s="351">
        <f>IFERROR(Table_NFI[[#This Row],[Kitchen Set]]/VLOOKUP(Table_NFI[[#This Row],[Camp Name]],CL,4,0),"")</f>
        <v>0.68181818181818177</v>
      </c>
      <c r="AT1017" s="533" t="s">
        <v>1094</v>
      </c>
      <c r="AU1017" s="536"/>
    </row>
    <row r="1018" spans="1:47" s="537" customFormat="1" ht="14.45" hidden="1" customHeight="1" x14ac:dyDescent="0.25">
      <c r="A1018" s="355">
        <f t="shared" si="15"/>
        <v>42.2</v>
      </c>
      <c r="B1018" s="532">
        <v>41305</v>
      </c>
      <c r="C1018" s="533" t="s">
        <v>570</v>
      </c>
      <c r="D1018" s="534" t="s">
        <v>570</v>
      </c>
      <c r="E1018" s="533" t="s">
        <v>380</v>
      </c>
      <c r="F1018" s="533" t="s">
        <v>310</v>
      </c>
      <c r="G1018" s="348" t="s">
        <v>311</v>
      </c>
      <c r="H1018" s="349"/>
      <c r="I1018" s="349"/>
      <c r="J1018" s="349"/>
      <c r="K1018" s="349"/>
      <c r="L1018" s="350"/>
      <c r="M1018" s="350">
        <v>224</v>
      </c>
      <c r="N1018" s="350"/>
      <c r="O1018" s="350"/>
      <c r="P1018" s="352">
        <v>0</v>
      </c>
      <c r="Q1018" s="352">
        <v>0</v>
      </c>
      <c r="R1018" s="352"/>
      <c r="S1018" s="352"/>
      <c r="T1018" s="352"/>
      <c r="U1018" s="352"/>
      <c r="V1018" s="497"/>
      <c r="W1018" s="352"/>
      <c r="X1018" s="352"/>
      <c r="Y1018" s="352">
        <f>IF(NFI_Expiration=1,IF($A1018&lt;VLOOKUP(H$5,NFI,5,0),1,0)*Table_NFI[[#This Row],[Hygiene Kit]],Table_NFI[Hygiene Kit])</f>
        <v>0</v>
      </c>
      <c r="Z1018" s="352">
        <f>IF(NFI_Expiration=1,IF($A1018&lt;VLOOKUP(I$5,NFI,5,0),1,0)*Table_NFI[[#This Row],[NFI Core Kit]],Table_NFI[NFI Core Kit])</f>
        <v>0</v>
      </c>
      <c r="AA1018" s="352">
        <f>IF(NFI_Expiration=1,IF($A1018&lt;VLOOKUP(J$5,NFI,5,0),1,0)*Table_NFI[[#This Row],[Sanitary Kit]],Table_NFI[Sanitary Kit])</f>
        <v>0</v>
      </c>
      <c r="AB1018" s="352">
        <f>IF(NFI_Expiration=1,IF($A1018&lt;VLOOKUP(K$5,NFI,5,0),1,0)*Table_NFI[[#This Row],[Mosquito net]],Table_NFI[Mosquito net])</f>
        <v>0</v>
      </c>
      <c r="AC1018" s="352">
        <f>IF(NFI_Expiration=1,IF($A1018&lt;VLOOKUP(L$5,NFI,5,0),1,0)*Table_NFI[[#This Row],[Tarpaulin]],Table_NFI[[#This Row],[Tarpaulin]])</f>
        <v>0</v>
      </c>
      <c r="AD1018" s="352">
        <f>IF(NFI_Expiration=1,IF($A1018&lt;VLOOKUP(M$5,NFI,5,0),1,0)*Table_NFI[[#This Row],[Blanket]],Table_NFI[[#This Row],[Blanket]])</f>
        <v>0</v>
      </c>
      <c r="AE1018" s="352">
        <f>IF(NFI_Expiration=1,IF($A1018&lt;VLOOKUP(N$5,NFI,5,0),1,0)*Table_NFI[[#This Row],[Kitchen Set]],Table_NFI[Kitchen Set])</f>
        <v>0</v>
      </c>
      <c r="AF1018" s="352">
        <f>IF(NFI_Expiration=1,IF($A1018&lt;VLOOKUP(O$5,NFI,5,0),1,0)*Table_NFI[[#This Row],[Clothes Kit]],Table_NFI[Clothes Kit])</f>
        <v>0</v>
      </c>
      <c r="AG1018" s="352">
        <f>IF(NFI_Expiration=1,IF($A1018&lt;VLOOKUP(P$5,NFI,5,0),1,0)*Table_NFI[[#This Row],[Plastic Bucket]],Table_NFI[Plastic Bucket])</f>
        <v>0</v>
      </c>
      <c r="AH1018" s="352">
        <f>IF(NFI_Expiration=1,IF($A1018&lt;VLOOKUP(Q$5,NFI,5,0),1,0)*Table_NFI[[#This Row],[Plastic Mat]],Table_NFI[Plastic Mat])*IF(Table_NFI[[#This Row],[Distribution Date]]&gt;"2014-04-01",1,2.5)</f>
        <v>0</v>
      </c>
      <c r="AI1018" s="352">
        <f>IF(NFI_Expiration=1,IF($A1018&lt;VLOOKUP(R$5,NFI,5,0),1,0)*Table_NFI[[#This Row],[Winter Clothes Adult]],Table_NFI[Winter Clothes Adult])</f>
        <v>0</v>
      </c>
      <c r="AJ1018" s="352">
        <f>IF(NFI_Expiration=1,IF($A1018&lt;VLOOKUP(S$5,NFI,5,0),1,0)*Table_NFI[[#This Row],[Winter Clothes Children]],Table_NFI[Winter Clothes Children])</f>
        <v>0</v>
      </c>
      <c r="AK1018" s="352">
        <f>IF(NFI_Expiration=1,IF($A1018&lt;VLOOKUP(T$5,NFI,5,0),1,0)*Table_NFI[[#This Row],[Winter Items Other]],Table_NFI[Winter Items Other])</f>
        <v>0</v>
      </c>
      <c r="AL1018" s="352">
        <f>IF(NFI_Expiration=1,IF($A1018&lt;VLOOKUP(M$5,NFI,5,0),1,0)*Table_NFI[[#This Row],[Winter Blanket]],Table_NFI[[#This Row],[Winter Blanket]])</f>
        <v>0</v>
      </c>
      <c r="AM1018" s="352">
        <f>IF(Table_NFI[[#This Row],[Winter Clothes Adult]]+Table_NFI[[#This Row],[Winter Clothes Children]]+Table_NFI[[#This Row],[Winter Items Other]]+Table_NFI[[#This Row],[Winter Blanket]]&gt;0,1,0)</f>
        <v>0</v>
      </c>
      <c r="AN1018" s="392">
        <f>IF(NFI_Expiration=1,IF($A1018&lt;VLOOKUP(V$5,NFI,5,0),1,0)*Table_NFI[[#This Row],[Jerry Can]],Table_NFI[Jerry Can])</f>
        <v>0</v>
      </c>
      <c r="AO1018" s="540" t="str">
        <f>IFERROR(VLOOKUP(Table_NFI[[#This Row],[Camp Name]],CL,2,0),"")</f>
        <v>MMR001CMP036</v>
      </c>
      <c r="AP1018" s="535">
        <f ca="1">IF(Table_NFI[[#This Row],[Pcode]]="","",IF(OFFSET(CampList[Opening Date],MATCH(Table_NFI[[#This Row],[Pcode]],CampList[CP_Pcode],0)-1,0,1,1)&gt;=NFI_Monitor_Date,1,0))</f>
        <v>0</v>
      </c>
      <c r="AQ1018" s="540" t="str">
        <f>IFERROR(VLOOKUP(Table_NFI[[#This Row],[Camp Name]],CL,3,0),"")</f>
        <v>Closed</v>
      </c>
      <c r="AR1018" s="352" t="str">
        <f ca="1">IF(Table_NFI[[#This Row],[Pcode]]="","",OFFSET(CampList[Priority],MATCH(Table_NFI[[#This Row],[Pcode]],CampList[CP_Pcode],0)-1,0,1,1))</f>
        <v>P4</v>
      </c>
      <c r="AS1018" s="351" t="str">
        <f>IFERROR(Table_NFI[[#This Row],[Kitchen Set]]/VLOOKUP(Table_NFI[[#This Row],[Camp Name]],CL,4,0),"")</f>
        <v/>
      </c>
      <c r="AT1018" s="533" t="s">
        <v>1094</v>
      </c>
      <c r="AU1018" s="536"/>
    </row>
    <row r="1019" spans="1:47" s="537" customFormat="1" ht="14.45" customHeight="1" x14ac:dyDescent="0.25">
      <c r="A1019" s="355">
        <f t="shared" si="15"/>
        <v>55.233333333333334</v>
      </c>
      <c r="B1019" s="532">
        <v>40914</v>
      </c>
      <c r="C1019" s="533" t="s">
        <v>453</v>
      </c>
      <c r="D1019" s="534" t="s">
        <v>453</v>
      </c>
      <c r="E1019" s="533" t="s">
        <v>380</v>
      </c>
      <c r="F1019" s="348" t="s">
        <v>310</v>
      </c>
      <c r="G1019" s="348" t="s">
        <v>316</v>
      </c>
      <c r="H1019" s="349"/>
      <c r="I1019" s="349"/>
      <c r="J1019" s="349"/>
      <c r="K1019" s="349">
        <v>29</v>
      </c>
      <c r="L1019" s="350">
        <v>14</v>
      </c>
      <c r="M1019" s="350">
        <v>29</v>
      </c>
      <c r="N1019" s="350">
        <v>14</v>
      </c>
      <c r="O1019" s="350">
        <v>14</v>
      </c>
      <c r="P1019" s="352">
        <v>14</v>
      </c>
      <c r="Q1019" s="352">
        <v>14</v>
      </c>
      <c r="R1019" s="352"/>
      <c r="S1019" s="352"/>
      <c r="T1019" s="352"/>
      <c r="U1019" s="352"/>
      <c r="V1019" s="497"/>
      <c r="W1019" s="352"/>
      <c r="X1019" s="352"/>
      <c r="Y1019" s="352">
        <f>IF(NFI_Expiration=1,IF($A1019&lt;VLOOKUP(H$5,NFI,5,0),1,0)*Table_NFI[[#This Row],[Hygiene Kit]],Table_NFI[Hygiene Kit])</f>
        <v>0</v>
      </c>
      <c r="Z1019" s="352">
        <f>IF(NFI_Expiration=1,IF($A1019&lt;VLOOKUP(I$5,NFI,5,0),1,0)*Table_NFI[[#This Row],[NFI Core Kit]],Table_NFI[NFI Core Kit])</f>
        <v>0</v>
      </c>
      <c r="AA1019" s="352">
        <f>IF(NFI_Expiration=1,IF($A1019&lt;VLOOKUP(J$5,NFI,5,0),1,0)*Table_NFI[[#This Row],[Sanitary Kit]],Table_NFI[Sanitary Kit])</f>
        <v>0</v>
      </c>
      <c r="AB1019" s="352">
        <f>IF(NFI_Expiration=1,IF($A1019&lt;VLOOKUP(K$5,NFI,5,0),1,0)*Table_NFI[[#This Row],[Mosquito net]],Table_NFI[Mosquito net])</f>
        <v>0</v>
      </c>
      <c r="AC1019" s="352">
        <f>IF(NFI_Expiration=1,IF($A1019&lt;VLOOKUP(L$5,NFI,5,0),1,0)*Table_NFI[[#This Row],[Tarpaulin]],Table_NFI[[#This Row],[Tarpaulin]])</f>
        <v>0</v>
      </c>
      <c r="AD1019" s="352">
        <f>IF(NFI_Expiration=1,IF($A1019&lt;VLOOKUP(M$5,NFI,5,0),1,0)*Table_NFI[[#This Row],[Blanket]],Table_NFI[[#This Row],[Blanket]])</f>
        <v>0</v>
      </c>
      <c r="AE1019" s="352">
        <f>IF(NFI_Expiration=1,IF($A1019&lt;VLOOKUP(N$5,NFI,5,0),1,0)*Table_NFI[[#This Row],[Kitchen Set]],Table_NFI[Kitchen Set])</f>
        <v>0</v>
      </c>
      <c r="AF1019" s="352">
        <f>IF(NFI_Expiration=1,IF($A1019&lt;VLOOKUP(O$5,NFI,5,0),1,0)*Table_NFI[[#This Row],[Clothes Kit]],Table_NFI[Clothes Kit])</f>
        <v>0</v>
      </c>
      <c r="AG1019" s="352">
        <f>IF(NFI_Expiration=1,IF($A1019&lt;VLOOKUP(P$5,NFI,5,0),1,0)*Table_NFI[[#This Row],[Plastic Bucket]],Table_NFI[Plastic Bucket])</f>
        <v>0</v>
      </c>
      <c r="AH1019" s="352">
        <f>IF(NFI_Expiration=1,IF($A1019&lt;VLOOKUP(Q$5,NFI,5,0),1,0)*Table_NFI[[#This Row],[Plastic Mat]],Table_NFI[Plastic Mat])*IF(Table_NFI[[#This Row],[Distribution Date]]&gt;"2014-04-01",1,2.5)</f>
        <v>0</v>
      </c>
      <c r="AI1019" s="352">
        <f>IF(NFI_Expiration=1,IF($A1019&lt;VLOOKUP(R$5,NFI,5,0),1,0)*Table_NFI[[#This Row],[Winter Clothes Adult]],Table_NFI[Winter Clothes Adult])</f>
        <v>0</v>
      </c>
      <c r="AJ1019" s="352">
        <f>IF(NFI_Expiration=1,IF($A1019&lt;VLOOKUP(S$5,NFI,5,0),1,0)*Table_NFI[[#This Row],[Winter Clothes Children]],Table_NFI[Winter Clothes Children])</f>
        <v>0</v>
      </c>
      <c r="AK1019" s="352">
        <f>IF(NFI_Expiration=1,IF($A1019&lt;VLOOKUP(T$5,NFI,5,0),1,0)*Table_NFI[[#This Row],[Winter Items Other]],Table_NFI[Winter Items Other])</f>
        <v>0</v>
      </c>
      <c r="AL1019" s="352">
        <f>IF(NFI_Expiration=1,IF($A1019&lt;VLOOKUP(M$5,NFI,5,0),1,0)*Table_NFI[[#This Row],[Winter Blanket]],Table_NFI[[#This Row],[Winter Blanket]])</f>
        <v>0</v>
      </c>
      <c r="AM1019" s="352">
        <f>IF(Table_NFI[[#This Row],[Winter Clothes Adult]]+Table_NFI[[#This Row],[Winter Clothes Children]]+Table_NFI[[#This Row],[Winter Items Other]]+Table_NFI[[#This Row],[Winter Blanket]]&gt;0,1,0)</f>
        <v>0</v>
      </c>
      <c r="AN1019" s="392">
        <f>IF(NFI_Expiration=1,IF($A1019&lt;VLOOKUP(V$5,NFI,5,0),1,0)*Table_NFI[[#This Row],[Jerry Can]],Table_NFI[Jerry Can])</f>
        <v>0</v>
      </c>
      <c r="AO1019" s="540" t="str">
        <f>IFERROR(VLOOKUP(Table_NFI[[#This Row],[Camp Name]],CL,2,0),"")</f>
        <v>MMR001CMP038</v>
      </c>
      <c r="AP1019" s="535">
        <f ca="1">IF(Table_NFI[[#This Row],[Pcode]]="","",IF(OFFSET(CampList[Opening Date],MATCH(Table_NFI[[#This Row],[Pcode]],CampList[CP_Pcode],0)-1,0,1,1)&gt;=NFI_Monitor_Date,1,0))</f>
        <v>0</v>
      </c>
      <c r="AQ1019" s="540" t="str">
        <f>IFERROR(VLOOKUP(Table_NFI[[#This Row],[Camp Name]],CL,3,0),"")</f>
        <v>Open</v>
      </c>
      <c r="AR1019" s="352" t="str">
        <f ca="1">IF(Table_NFI[[#This Row],[Pcode]]="","",OFFSET(CampList[Priority],MATCH(Table_NFI[[#This Row],[Pcode]],CampList[CP_Pcode],0)-1,0,1,1))</f>
        <v>P4</v>
      </c>
      <c r="AS1019" s="351">
        <f>IFERROR(Table_NFI[[#This Row],[Kitchen Set]]/VLOOKUP(Table_NFI[[#This Row],[Camp Name]],CL,4,0),"")</f>
        <v>0.2</v>
      </c>
      <c r="AT1019" s="533" t="s">
        <v>1094</v>
      </c>
      <c r="AU1019" s="536"/>
    </row>
    <row r="1020" spans="1:47" s="537" customFormat="1" ht="14.45" customHeight="1" x14ac:dyDescent="0.25">
      <c r="A1020" s="355">
        <f t="shared" si="15"/>
        <v>55.266666666666666</v>
      </c>
      <c r="B1020" s="532">
        <v>40913</v>
      </c>
      <c r="C1020" s="533" t="s">
        <v>453</v>
      </c>
      <c r="D1020" s="534" t="s">
        <v>461</v>
      </c>
      <c r="E1020" s="533" t="s">
        <v>380</v>
      </c>
      <c r="F1020" s="348" t="s">
        <v>310</v>
      </c>
      <c r="G1020" s="348" t="s">
        <v>326</v>
      </c>
      <c r="H1020" s="349"/>
      <c r="I1020" s="349"/>
      <c r="J1020" s="349"/>
      <c r="K1020" s="349">
        <v>52</v>
      </c>
      <c r="L1020" s="350">
        <v>29</v>
      </c>
      <c r="M1020" s="350">
        <v>52</v>
      </c>
      <c r="N1020" s="350">
        <v>29</v>
      </c>
      <c r="O1020" s="350">
        <v>29</v>
      </c>
      <c r="P1020" s="352">
        <v>29</v>
      </c>
      <c r="Q1020" s="352">
        <v>29</v>
      </c>
      <c r="R1020" s="352"/>
      <c r="S1020" s="352"/>
      <c r="T1020" s="352"/>
      <c r="U1020" s="352"/>
      <c r="V1020" s="497"/>
      <c r="W1020" s="352"/>
      <c r="X1020" s="352"/>
      <c r="Y1020" s="352">
        <f>IF(NFI_Expiration=1,IF($A1020&lt;VLOOKUP(H$5,NFI,5,0),1,0)*Table_NFI[[#This Row],[Hygiene Kit]],Table_NFI[Hygiene Kit])</f>
        <v>0</v>
      </c>
      <c r="Z1020" s="352">
        <f>IF(NFI_Expiration=1,IF($A1020&lt;VLOOKUP(I$5,NFI,5,0),1,0)*Table_NFI[[#This Row],[NFI Core Kit]],Table_NFI[NFI Core Kit])</f>
        <v>0</v>
      </c>
      <c r="AA1020" s="352">
        <f>IF(NFI_Expiration=1,IF($A1020&lt;VLOOKUP(J$5,NFI,5,0),1,0)*Table_NFI[[#This Row],[Sanitary Kit]],Table_NFI[Sanitary Kit])</f>
        <v>0</v>
      </c>
      <c r="AB1020" s="352">
        <f>IF(NFI_Expiration=1,IF($A1020&lt;VLOOKUP(K$5,NFI,5,0),1,0)*Table_NFI[[#This Row],[Mosquito net]],Table_NFI[Mosquito net])</f>
        <v>0</v>
      </c>
      <c r="AC1020" s="352">
        <f>IF(NFI_Expiration=1,IF($A1020&lt;VLOOKUP(L$5,NFI,5,0),1,0)*Table_NFI[[#This Row],[Tarpaulin]],Table_NFI[[#This Row],[Tarpaulin]])</f>
        <v>0</v>
      </c>
      <c r="AD1020" s="352">
        <f>IF(NFI_Expiration=1,IF($A1020&lt;VLOOKUP(M$5,NFI,5,0),1,0)*Table_NFI[[#This Row],[Blanket]],Table_NFI[[#This Row],[Blanket]])</f>
        <v>0</v>
      </c>
      <c r="AE1020" s="352">
        <f>IF(NFI_Expiration=1,IF($A1020&lt;VLOOKUP(N$5,NFI,5,0),1,0)*Table_NFI[[#This Row],[Kitchen Set]],Table_NFI[Kitchen Set])</f>
        <v>0</v>
      </c>
      <c r="AF1020" s="352">
        <f>IF(NFI_Expiration=1,IF($A1020&lt;VLOOKUP(O$5,NFI,5,0),1,0)*Table_NFI[[#This Row],[Clothes Kit]],Table_NFI[Clothes Kit])</f>
        <v>0</v>
      </c>
      <c r="AG1020" s="352">
        <f>IF(NFI_Expiration=1,IF($A1020&lt;VLOOKUP(P$5,NFI,5,0),1,0)*Table_NFI[[#This Row],[Plastic Bucket]],Table_NFI[Plastic Bucket])</f>
        <v>0</v>
      </c>
      <c r="AH1020" s="352">
        <f>IF(NFI_Expiration=1,IF($A1020&lt;VLOOKUP(Q$5,NFI,5,0),1,0)*Table_NFI[[#This Row],[Plastic Mat]],Table_NFI[Plastic Mat])*IF(Table_NFI[[#This Row],[Distribution Date]]&gt;"2014-04-01",1,2.5)</f>
        <v>0</v>
      </c>
      <c r="AI1020" s="352">
        <f>IF(NFI_Expiration=1,IF($A1020&lt;VLOOKUP(R$5,NFI,5,0),1,0)*Table_NFI[[#This Row],[Winter Clothes Adult]],Table_NFI[Winter Clothes Adult])</f>
        <v>0</v>
      </c>
      <c r="AJ1020" s="352">
        <f>IF(NFI_Expiration=1,IF($A1020&lt;VLOOKUP(S$5,NFI,5,0),1,0)*Table_NFI[[#This Row],[Winter Clothes Children]],Table_NFI[Winter Clothes Children])</f>
        <v>0</v>
      </c>
      <c r="AK1020" s="352">
        <f>IF(NFI_Expiration=1,IF($A1020&lt;VLOOKUP(T$5,NFI,5,0),1,0)*Table_NFI[[#This Row],[Winter Items Other]],Table_NFI[Winter Items Other])</f>
        <v>0</v>
      </c>
      <c r="AL1020" s="352">
        <f>IF(NFI_Expiration=1,IF($A1020&lt;VLOOKUP(M$5,NFI,5,0),1,0)*Table_NFI[[#This Row],[Winter Blanket]],Table_NFI[[#This Row],[Winter Blanket]])</f>
        <v>0</v>
      </c>
      <c r="AM1020" s="352">
        <f>IF(Table_NFI[[#This Row],[Winter Clothes Adult]]+Table_NFI[[#This Row],[Winter Clothes Children]]+Table_NFI[[#This Row],[Winter Items Other]]+Table_NFI[[#This Row],[Winter Blanket]]&gt;0,1,0)</f>
        <v>0</v>
      </c>
      <c r="AN1020" s="392">
        <f>IF(NFI_Expiration=1,IF($A1020&lt;VLOOKUP(V$5,NFI,5,0),1,0)*Table_NFI[[#This Row],[Jerry Can]],Table_NFI[Jerry Can])</f>
        <v>0</v>
      </c>
      <c r="AO1020" s="540" t="str">
        <f>IFERROR(VLOOKUP(Table_NFI[[#This Row],[Camp Name]],CL,2,0),"")</f>
        <v>MMR001CMP039</v>
      </c>
      <c r="AP1020" s="535">
        <f ca="1">IF(Table_NFI[[#This Row],[Pcode]]="","",IF(OFFSET(CampList[Opening Date],MATCH(Table_NFI[[#This Row],[Pcode]],CampList[CP_Pcode],0)-1,0,1,1)&gt;=NFI_Monitor_Date,1,0))</f>
        <v>0</v>
      </c>
      <c r="AQ1020" s="540" t="str">
        <f>IFERROR(VLOOKUP(Table_NFI[[#This Row],[Camp Name]],CL,3,0),"")</f>
        <v>Open</v>
      </c>
      <c r="AR1020" s="352" t="str">
        <f ca="1">IF(Table_NFI[[#This Row],[Pcode]]="","",OFFSET(CampList[Priority],MATCH(Table_NFI[[#This Row],[Pcode]],CampList[CP_Pcode],0)-1,0,1,1))</f>
        <v>P4</v>
      </c>
      <c r="AS1020" s="351">
        <f>IFERROR(Table_NFI[[#This Row],[Kitchen Set]]/VLOOKUP(Table_NFI[[#This Row],[Camp Name]],CL,4,0),"")</f>
        <v>0.63043478260869568</v>
      </c>
      <c r="AT1020" s="533" t="s">
        <v>1094</v>
      </c>
      <c r="AU1020" s="536"/>
    </row>
    <row r="1021" spans="1:47" s="537" customFormat="1" ht="15" customHeight="1" x14ac:dyDescent="0.25">
      <c r="A1021" s="355">
        <f t="shared" si="15"/>
        <v>55.333333333333336</v>
      </c>
      <c r="B1021" s="532">
        <v>40911</v>
      </c>
      <c r="C1021" s="533" t="s">
        <v>453</v>
      </c>
      <c r="D1021" s="534" t="s">
        <v>507</v>
      </c>
      <c r="E1021" s="533" t="s">
        <v>380</v>
      </c>
      <c r="F1021" s="348" t="s">
        <v>237</v>
      </c>
      <c r="G1021" s="348" t="s">
        <v>249</v>
      </c>
      <c r="H1021" s="349"/>
      <c r="I1021" s="349"/>
      <c r="J1021" s="349"/>
      <c r="K1021" s="349">
        <v>0</v>
      </c>
      <c r="L1021" s="350">
        <v>0</v>
      </c>
      <c r="M1021" s="350">
        <v>0</v>
      </c>
      <c r="N1021" s="350">
        <v>0</v>
      </c>
      <c r="O1021" s="350">
        <v>8</v>
      </c>
      <c r="P1021" s="352">
        <v>8</v>
      </c>
      <c r="Q1021" s="352">
        <v>8</v>
      </c>
      <c r="R1021" s="352"/>
      <c r="S1021" s="352"/>
      <c r="T1021" s="352"/>
      <c r="U1021" s="352"/>
      <c r="V1021" s="497"/>
      <c r="W1021" s="352"/>
      <c r="X1021" s="352"/>
      <c r="Y1021" s="352">
        <f>IF(NFI_Expiration=1,IF($A1021&lt;VLOOKUP(H$5,NFI,5,0),1,0)*Table_NFI[[#This Row],[Hygiene Kit]],Table_NFI[Hygiene Kit])</f>
        <v>0</v>
      </c>
      <c r="Z1021" s="352">
        <f>IF(NFI_Expiration=1,IF($A1021&lt;VLOOKUP(I$5,NFI,5,0),1,0)*Table_NFI[[#This Row],[NFI Core Kit]],Table_NFI[NFI Core Kit])</f>
        <v>0</v>
      </c>
      <c r="AA1021" s="352">
        <f>IF(NFI_Expiration=1,IF($A1021&lt;VLOOKUP(J$5,NFI,5,0),1,0)*Table_NFI[[#This Row],[Sanitary Kit]],Table_NFI[Sanitary Kit])</f>
        <v>0</v>
      </c>
      <c r="AB1021" s="352">
        <f>IF(NFI_Expiration=1,IF($A1021&lt;VLOOKUP(K$5,NFI,5,0),1,0)*Table_NFI[[#This Row],[Mosquito net]],Table_NFI[Mosquito net])</f>
        <v>0</v>
      </c>
      <c r="AC1021" s="352">
        <f>IF(NFI_Expiration=1,IF($A1021&lt;VLOOKUP(L$5,NFI,5,0),1,0)*Table_NFI[[#This Row],[Tarpaulin]],Table_NFI[[#This Row],[Tarpaulin]])</f>
        <v>0</v>
      </c>
      <c r="AD1021" s="352">
        <f>IF(NFI_Expiration=1,IF($A1021&lt;VLOOKUP(M$5,NFI,5,0),1,0)*Table_NFI[[#This Row],[Blanket]],Table_NFI[[#This Row],[Blanket]])</f>
        <v>0</v>
      </c>
      <c r="AE1021" s="352">
        <f>IF(NFI_Expiration=1,IF($A1021&lt;VLOOKUP(N$5,NFI,5,0),1,0)*Table_NFI[[#This Row],[Kitchen Set]],Table_NFI[Kitchen Set])</f>
        <v>0</v>
      </c>
      <c r="AF1021" s="352">
        <f>IF(NFI_Expiration=1,IF($A1021&lt;VLOOKUP(O$5,NFI,5,0),1,0)*Table_NFI[[#This Row],[Clothes Kit]],Table_NFI[Clothes Kit])</f>
        <v>0</v>
      </c>
      <c r="AG1021" s="352">
        <f>IF(NFI_Expiration=1,IF($A1021&lt;VLOOKUP(P$5,NFI,5,0),1,0)*Table_NFI[[#This Row],[Plastic Bucket]],Table_NFI[Plastic Bucket])</f>
        <v>0</v>
      </c>
      <c r="AH1021" s="352">
        <f>IF(NFI_Expiration=1,IF($A1021&lt;VLOOKUP(Q$5,NFI,5,0),1,0)*Table_NFI[[#This Row],[Plastic Mat]],Table_NFI[Plastic Mat])*IF(Table_NFI[[#This Row],[Distribution Date]]&gt;"2014-04-01",1,2.5)</f>
        <v>0</v>
      </c>
      <c r="AI1021" s="352">
        <f>IF(NFI_Expiration=1,IF($A1021&lt;VLOOKUP(R$5,NFI,5,0),1,0)*Table_NFI[[#This Row],[Winter Clothes Adult]],Table_NFI[Winter Clothes Adult])</f>
        <v>0</v>
      </c>
      <c r="AJ1021" s="352">
        <f>IF(NFI_Expiration=1,IF($A1021&lt;VLOOKUP(S$5,NFI,5,0),1,0)*Table_NFI[[#This Row],[Winter Clothes Children]],Table_NFI[Winter Clothes Children])</f>
        <v>0</v>
      </c>
      <c r="AK1021" s="352">
        <f>IF(NFI_Expiration=1,IF($A1021&lt;VLOOKUP(T$5,NFI,5,0),1,0)*Table_NFI[[#This Row],[Winter Items Other]],Table_NFI[Winter Items Other])</f>
        <v>0</v>
      </c>
      <c r="AL1021" s="352">
        <f>IF(NFI_Expiration=1,IF($A1021&lt;VLOOKUP(M$5,NFI,5,0),1,0)*Table_NFI[[#This Row],[Winter Blanket]],Table_NFI[[#This Row],[Winter Blanket]])</f>
        <v>0</v>
      </c>
      <c r="AM1021" s="352">
        <f>IF(Table_NFI[[#This Row],[Winter Clothes Adult]]+Table_NFI[[#This Row],[Winter Clothes Children]]+Table_NFI[[#This Row],[Winter Items Other]]+Table_NFI[[#This Row],[Winter Blanket]]&gt;0,1,0)</f>
        <v>0</v>
      </c>
      <c r="AN1021" s="392">
        <f>IF(NFI_Expiration=1,IF($A1021&lt;VLOOKUP(V$5,NFI,5,0),1,0)*Table_NFI[[#This Row],[Jerry Can]],Table_NFI[Jerry Can])</f>
        <v>0</v>
      </c>
      <c r="AO1021" s="540" t="str">
        <f>IFERROR(VLOOKUP(Table_NFI[[#This Row],[Camp Name]],CL,2,0),"")</f>
        <v>MMR001CMP004</v>
      </c>
      <c r="AP1021" s="535">
        <f ca="1">IF(Table_NFI[[#This Row],[Pcode]]="","",IF(OFFSET(CampList[Opening Date],MATCH(Table_NFI[[#This Row],[Pcode]],CampList[CP_Pcode],0)-1,0,1,1)&gt;=NFI_Monitor_Date,1,0))</f>
        <v>0</v>
      </c>
      <c r="AQ1021" s="540" t="str">
        <f>IFERROR(VLOOKUP(Table_NFI[[#This Row],[Camp Name]],CL,3,0),"")</f>
        <v>Open</v>
      </c>
      <c r="AR1021" s="352" t="str">
        <f ca="1">IF(Table_NFI[[#This Row],[Pcode]]="","",OFFSET(CampList[Priority],MATCH(Table_NFI[[#This Row],[Pcode]],CampList[CP_Pcode],0)-1,0,1,1))</f>
        <v>P4</v>
      </c>
      <c r="AS1021" s="351">
        <f>IFERROR(Table_NFI[[#This Row],[Kitchen Set]]/VLOOKUP(Table_NFI[[#This Row],[Camp Name]],CL,4,0),"")</f>
        <v>0</v>
      </c>
      <c r="AT1021" s="533" t="s">
        <v>1094</v>
      </c>
      <c r="AU1021" s="536"/>
    </row>
    <row r="1022" spans="1:47" s="537" customFormat="1" ht="14.45" hidden="1" customHeight="1" x14ac:dyDescent="0.25">
      <c r="A1022" s="355">
        <f t="shared" si="15"/>
        <v>38.700000000000003</v>
      </c>
      <c r="B1022" s="532">
        <v>41410</v>
      </c>
      <c r="C1022" s="533" t="s">
        <v>903</v>
      </c>
      <c r="D1022" s="534" t="s">
        <v>507</v>
      </c>
      <c r="E1022" s="533" t="s">
        <v>380</v>
      </c>
      <c r="F1022" s="348" t="s">
        <v>528</v>
      </c>
      <c r="G1022" s="348" t="s">
        <v>64</v>
      </c>
      <c r="H1022" s="349">
        <v>103</v>
      </c>
      <c r="I1022" s="349"/>
      <c r="J1022" s="349"/>
      <c r="K1022" s="349"/>
      <c r="L1022" s="350"/>
      <c r="M1022" s="350"/>
      <c r="N1022" s="350"/>
      <c r="O1022" s="350"/>
      <c r="P1022" s="352"/>
      <c r="Q1022" s="352"/>
      <c r="R1022" s="352"/>
      <c r="S1022" s="352"/>
      <c r="T1022" s="352"/>
      <c r="U1022" s="352"/>
      <c r="V1022" s="497"/>
      <c r="W1022" s="352"/>
      <c r="X1022" s="352"/>
      <c r="Y1022" s="352">
        <f>IF(NFI_Expiration=1,IF($A1022&lt;VLOOKUP(H$5,NFI,5,0),1,0)*Table_NFI[[#This Row],[Hygiene Kit]],Table_NFI[Hygiene Kit])</f>
        <v>0</v>
      </c>
      <c r="Z1022" s="352">
        <f>IF(NFI_Expiration=1,IF($A1022&lt;VLOOKUP(I$5,NFI,5,0),1,0)*Table_NFI[[#This Row],[NFI Core Kit]],Table_NFI[NFI Core Kit])</f>
        <v>0</v>
      </c>
      <c r="AA1022" s="352">
        <f>IF(NFI_Expiration=1,IF($A1022&lt;VLOOKUP(J$5,NFI,5,0),1,0)*Table_NFI[[#This Row],[Sanitary Kit]],Table_NFI[Sanitary Kit])</f>
        <v>0</v>
      </c>
      <c r="AB1022" s="352">
        <f>IF(NFI_Expiration=1,IF($A1022&lt;VLOOKUP(K$5,NFI,5,0),1,0)*Table_NFI[[#This Row],[Mosquito net]],Table_NFI[Mosquito net])</f>
        <v>0</v>
      </c>
      <c r="AC1022" s="352">
        <f>IF(NFI_Expiration=1,IF($A1022&lt;VLOOKUP(L$5,NFI,5,0),1,0)*Table_NFI[[#This Row],[Tarpaulin]],Table_NFI[[#This Row],[Tarpaulin]])</f>
        <v>0</v>
      </c>
      <c r="AD1022" s="352">
        <f>IF(NFI_Expiration=1,IF($A1022&lt;VLOOKUP(M$5,NFI,5,0),1,0)*Table_NFI[[#This Row],[Blanket]],Table_NFI[[#This Row],[Blanket]])</f>
        <v>0</v>
      </c>
      <c r="AE1022" s="352">
        <f>IF(NFI_Expiration=1,IF($A1022&lt;VLOOKUP(N$5,NFI,5,0),1,0)*Table_NFI[[#This Row],[Kitchen Set]],Table_NFI[Kitchen Set])</f>
        <v>0</v>
      </c>
      <c r="AF1022" s="352">
        <f>IF(NFI_Expiration=1,IF($A1022&lt;VLOOKUP(O$5,NFI,5,0),1,0)*Table_NFI[[#This Row],[Clothes Kit]],Table_NFI[Clothes Kit])</f>
        <v>0</v>
      </c>
      <c r="AG1022" s="352">
        <f>IF(NFI_Expiration=1,IF($A1022&lt;VLOOKUP(P$5,NFI,5,0),1,0)*Table_NFI[[#This Row],[Plastic Bucket]],Table_NFI[Plastic Bucket])</f>
        <v>0</v>
      </c>
      <c r="AH1022" s="352">
        <f>IF(NFI_Expiration=1,IF($A1022&lt;VLOOKUP(Q$5,NFI,5,0),1,0)*Table_NFI[[#This Row],[Plastic Mat]],Table_NFI[Plastic Mat])*IF(Table_NFI[[#This Row],[Distribution Date]]&gt;"2014-04-01",1,2.5)</f>
        <v>0</v>
      </c>
      <c r="AI1022" s="352">
        <f>IF(NFI_Expiration=1,IF($A1022&lt;VLOOKUP(R$5,NFI,5,0),1,0)*Table_NFI[[#This Row],[Winter Clothes Adult]],Table_NFI[Winter Clothes Adult])</f>
        <v>0</v>
      </c>
      <c r="AJ1022" s="352">
        <f>IF(NFI_Expiration=1,IF($A1022&lt;VLOOKUP(S$5,NFI,5,0),1,0)*Table_NFI[[#This Row],[Winter Clothes Children]],Table_NFI[Winter Clothes Children])</f>
        <v>0</v>
      </c>
      <c r="AK1022" s="352">
        <f>IF(NFI_Expiration=1,IF($A1022&lt;VLOOKUP(T$5,NFI,5,0),1,0)*Table_NFI[[#This Row],[Winter Items Other]],Table_NFI[Winter Items Other])</f>
        <v>0</v>
      </c>
      <c r="AL1022" s="352">
        <f>IF(NFI_Expiration=1,IF($A1022&lt;VLOOKUP(M$5,NFI,5,0),1,0)*Table_NFI[[#This Row],[Winter Blanket]],Table_NFI[[#This Row],[Winter Blanket]])</f>
        <v>0</v>
      </c>
      <c r="AM1022" s="352">
        <f>IF(Table_NFI[[#This Row],[Winter Clothes Adult]]+Table_NFI[[#This Row],[Winter Clothes Children]]+Table_NFI[[#This Row],[Winter Items Other]]+Table_NFI[[#This Row],[Winter Blanket]]&gt;0,1,0)</f>
        <v>0</v>
      </c>
      <c r="AN1022" s="392">
        <f>IF(NFI_Expiration=1,IF($A1022&lt;VLOOKUP(V$5,NFI,5,0),1,0)*Table_NFI[[#This Row],[Jerry Can]],Table_NFI[Jerry Can])</f>
        <v>0</v>
      </c>
      <c r="AO1022" s="540" t="str">
        <f>IFERROR(VLOOKUP(Table_NFI[[#This Row],[Camp Name]],CL,2,0),"")</f>
        <v>MMR001CMP185</v>
      </c>
      <c r="AP1022" s="535">
        <f ca="1">IF(Table_NFI[[#This Row],[Pcode]]="","",IF(OFFSET(CampList[Opening Date],MATCH(Table_NFI[[#This Row],[Pcode]],CampList[CP_Pcode],0)-1,0,1,1)&gt;=NFI_Monitor_Date,1,0))</f>
        <v>0</v>
      </c>
      <c r="AQ1022" s="540" t="str">
        <f>IFERROR(VLOOKUP(Table_NFI[[#This Row],[Camp Name]],CL,3,0),"")</f>
        <v>Closed</v>
      </c>
      <c r="AR1022" s="352" t="str">
        <f ca="1">IF(Table_NFI[[#This Row],[Pcode]]="","",OFFSET(CampList[Priority],MATCH(Table_NFI[[#This Row],[Pcode]],CampList[CP_Pcode],0)-1,0,1,1))</f>
        <v/>
      </c>
      <c r="AS1022" s="351" t="str">
        <f>IFERROR(Table_NFI[[#This Row],[Kitchen Set]]/VLOOKUP(Table_NFI[[#This Row],[Camp Name]],CL,4,0),"")</f>
        <v/>
      </c>
      <c r="AT1022" s="533" t="s">
        <v>1094</v>
      </c>
      <c r="AU1022" s="536"/>
    </row>
    <row r="1023" spans="1:47" s="537" customFormat="1" ht="14.45" hidden="1" customHeight="1" x14ac:dyDescent="0.25">
      <c r="A1023" s="355">
        <f t="shared" si="15"/>
        <v>18.466666666666665</v>
      </c>
      <c r="B1023" s="532">
        <v>42017</v>
      </c>
      <c r="C1023" s="533" t="s">
        <v>1096</v>
      </c>
      <c r="D1023" s="533" t="s">
        <v>902</v>
      </c>
      <c r="E1023" s="533" t="s">
        <v>380</v>
      </c>
      <c r="F1023" s="533" t="s">
        <v>528</v>
      </c>
      <c r="G1023" s="533" t="s">
        <v>126</v>
      </c>
      <c r="H1023" s="349"/>
      <c r="I1023" s="352"/>
      <c r="J1023" s="352"/>
      <c r="K1023" s="352"/>
      <c r="L1023" s="350"/>
      <c r="M1023" s="350"/>
      <c r="N1023" s="350"/>
      <c r="O1023" s="350"/>
      <c r="P1023" s="352"/>
      <c r="Q1023" s="352"/>
      <c r="R1023" s="352">
        <v>94</v>
      </c>
      <c r="S1023" s="352">
        <v>58</v>
      </c>
      <c r="T1023" s="352"/>
      <c r="U1023" s="352"/>
      <c r="V1023" s="497"/>
      <c r="W1023" s="352"/>
      <c r="X1023" s="352"/>
      <c r="Y1023" s="352">
        <f>IF(NFI_Expiration=1,IF($A1023&lt;VLOOKUP(H$5,NFI,5,0),1,0)*Table_NFI[[#This Row],[Hygiene Kit]],Table_NFI[Hygiene Kit])</f>
        <v>0</v>
      </c>
      <c r="Z1023" s="352">
        <f>IF(NFI_Expiration=1,IF($A1023&lt;VLOOKUP(I$5,NFI,5,0),1,0)*Table_NFI[[#This Row],[NFI Core Kit]],Table_NFI[NFI Core Kit])</f>
        <v>0</v>
      </c>
      <c r="AA1023" s="352">
        <f>IF(NFI_Expiration=1,IF($A1023&lt;VLOOKUP(J$5,NFI,5,0),1,0)*Table_NFI[[#This Row],[Sanitary Kit]],Table_NFI[Sanitary Kit])</f>
        <v>0</v>
      </c>
      <c r="AB1023" s="352">
        <f>IF(NFI_Expiration=1,IF($A1023&lt;VLOOKUP(K$5,NFI,5,0),1,0)*Table_NFI[[#This Row],[Mosquito net]],Table_NFI[Mosquito net])</f>
        <v>0</v>
      </c>
      <c r="AC1023" s="352">
        <f>IF(NFI_Expiration=1,IF($A1023&lt;VLOOKUP(L$5,NFI,5,0),1,0)*Table_NFI[[#This Row],[Tarpaulin]],Table_NFI[[#This Row],[Tarpaulin]])</f>
        <v>0</v>
      </c>
      <c r="AD1023" s="352">
        <f>IF(NFI_Expiration=1,IF($A1023&lt;VLOOKUP(M$5,NFI,5,0),1,0)*Table_NFI[[#This Row],[Blanket]],Table_NFI[[#This Row],[Blanket]])</f>
        <v>0</v>
      </c>
      <c r="AE1023" s="352">
        <f>IF(NFI_Expiration=1,IF($A1023&lt;VLOOKUP(N$5,NFI,5,0),1,0)*Table_NFI[[#This Row],[Kitchen Set]],Table_NFI[Kitchen Set])</f>
        <v>0</v>
      </c>
      <c r="AF1023" s="352">
        <f>IF(NFI_Expiration=1,IF($A1023&lt;VLOOKUP(O$5,NFI,5,0),1,0)*Table_NFI[[#This Row],[Clothes Kit]],Table_NFI[Clothes Kit])</f>
        <v>0</v>
      </c>
      <c r="AG1023" s="352">
        <f>IF(NFI_Expiration=1,IF($A1023&lt;VLOOKUP(P$5,NFI,5,0),1,0)*Table_NFI[[#This Row],[Plastic Bucket]],Table_NFI[Plastic Bucket])</f>
        <v>0</v>
      </c>
      <c r="AH1023" s="352">
        <f>IF(NFI_Expiration=1,IF($A1023&lt;VLOOKUP(Q$5,NFI,5,0),1,0)*Table_NFI[[#This Row],[Plastic Mat]],Table_NFI[Plastic Mat])*IF(Table_NFI[[#This Row],[Distribution Date]]&gt;"2014-04-01",1,2.5)</f>
        <v>0</v>
      </c>
      <c r="AI1023" s="352">
        <f>IF(NFI_Expiration=1,IF($A1023&lt;VLOOKUP(R$5,NFI,5,0),1,0)*Table_NFI[[#This Row],[Winter Clothes Adult]],Table_NFI[Winter Clothes Adult])</f>
        <v>0</v>
      </c>
      <c r="AJ1023" s="352">
        <f>IF(NFI_Expiration=1,IF($A1023&lt;VLOOKUP(S$5,NFI,5,0),1,0)*Table_NFI[[#This Row],[Winter Clothes Children]],Table_NFI[Winter Clothes Children])</f>
        <v>0</v>
      </c>
      <c r="AK1023" s="352">
        <f>IF(NFI_Expiration=1,IF($A1023&lt;VLOOKUP(T$5,NFI,5,0),1,0)*Table_NFI[[#This Row],[Winter Items Other]],Table_NFI[Winter Items Other])</f>
        <v>0</v>
      </c>
      <c r="AL1023" s="352">
        <f>IF(NFI_Expiration=1,IF($A1023&lt;VLOOKUP(M$5,NFI,5,0),1,0)*Table_NFI[[#This Row],[Winter Blanket]],Table_NFI[[#This Row],[Winter Blanket]])</f>
        <v>0</v>
      </c>
      <c r="AM1023" s="352">
        <f>IF(Table_NFI[[#This Row],[Winter Clothes Adult]]+Table_NFI[[#This Row],[Winter Clothes Children]]+Table_NFI[[#This Row],[Winter Items Other]]+Table_NFI[[#This Row],[Winter Blanket]]&gt;0,1,0)</f>
        <v>1</v>
      </c>
      <c r="AN1023" s="392">
        <f>IF(NFI_Expiration=1,IF($A1023&lt;VLOOKUP(V$5,NFI,5,0),1,0)*Table_NFI[[#This Row],[Jerry Can]],Table_NFI[Jerry Can])</f>
        <v>0</v>
      </c>
      <c r="AO1023" s="540" t="str">
        <f>IFERROR(VLOOKUP(Table_NFI[[#This Row],[Camp Name]],CL,2,0),"")</f>
        <v>MMR001CMP184</v>
      </c>
      <c r="AP1023" s="535">
        <f ca="1">IF(Table_NFI[[#This Row],[Pcode]]="","",IF(OFFSET(CampList[Opening Date],MATCH(Table_NFI[[#This Row],[Pcode]],CampList[CP_Pcode],0)-1,0,1,1)&gt;=NFI_Monitor_Date,1,0))</f>
        <v>0</v>
      </c>
      <c r="AQ1023" s="540" t="str">
        <f>IFERROR(VLOOKUP(Table_NFI[[#This Row],[Camp Name]],CL,3,0),"")</f>
        <v>Open</v>
      </c>
      <c r="AR1023" s="352" t="str">
        <f ca="1">IF(Table_NFI[[#This Row],[Pcode]]="","",OFFSET(CampList[Priority],MATCH(Table_NFI[[#This Row],[Pcode]],CampList[CP_Pcode],0)-1,0,1,1))</f>
        <v>P4</v>
      </c>
      <c r="AS1023" s="351">
        <f>IFERROR(Table_NFI[[#This Row],[Kitchen Set]]/VLOOKUP(Table_NFI[[#This Row],[Camp Name]],CL,4,0),"")</f>
        <v>0</v>
      </c>
      <c r="AT1023" s="533"/>
      <c r="AU1023" s="557"/>
    </row>
    <row r="1024" spans="1:47" s="537" customFormat="1" ht="14.45" customHeight="1" x14ac:dyDescent="0.25">
      <c r="A1024" s="355">
        <f t="shared" si="15"/>
        <v>55.43333333333333</v>
      </c>
      <c r="B1024" s="532">
        <v>40908</v>
      </c>
      <c r="C1024" s="533" t="s">
        <v>453</v>
      </c>
      <c r="D1024" s="534" t="s">
        <v>507</v>
      </c>
      <c r="E1024" s="533" t="s">
        <v>380</v>
      </c>
      <c r="F1024" s="348" t="s">
        <v>310</v>
      </c>
      <c r="G1024" s="348" t="s">
        <v>330</v>
      </c>
      <c r="H1024" s="349"/>
      <c r="I1024" s="349"/>
      <c r="J1024" s="349"/>
      <c r="K1024" s="349">
        <v>46</v>
      </c>
      <c r="L1024" s="350">
        <v>27</v>
      </c>
      <c r="M1024" s="350">
        <v>47</v>
      </c>
      <c r="N1024" s="350">
        <v>27</v>
      </c>
      <c r="O1024" s="350">
        <v>27</v>
      </c>
      <c r="P1024" s="352">
        <v>27</v>
      </c>
      <c r="Q1024" s="352">
        <v>27</v>
      </c>
      <c r="R1024" s="352"/>
      <c r="S1024" s="352"/>
      <c r="T1024" s="352"/>
      <c r="U1024" s="352"/>
      <c r="V1024" s="497"/>
      <c r="W1024" s="352"/>
      <c r="X1024" s="352"/>
      <c r="Y1024" s="352">
        <f>IF(NFI_Expiration=1,IF($A1024&lt;VLOOKUP(H$5,NFI,5,0),1,0)*Table_NFI[[#This Row],[Hygiene Kit]],Table_NFI[Hygiene Kit])</f>
        <v>0</v>
      </c>
      <c r="Z1024" s="352">
        <f>IF(NFI_Expiration=1,IF($A1024&lt;VLOOKUP(I$5,NFI,5,0),1,0)*Table_NFI[[#This Row],[NFI Core Kit]],Table_NFI[NFI Core Kit])</f>
        <v>0</v>
      </c>
      <c r="AA1024" s="352">
        <f>IF(NFI_Expiration=1,IF($A1024&lt;VLOOKUP(J$5,NFI,5,0),1,0)*Table_NFI[[#This Row],[Sanitary Kit]],Table_NFI[Sanitary Kit])</f>
        <v>0</v>
      </c>
      <c r="AB1024" s="352">
        <f>IF(NFI_Expiration=1,IF($A1024&lt;VLOOKUP(K$5,NFI,5,0),1,0)*Table_NFI[[#This Row],[Mosquito net]],Table_NFI[Mosquito net])</f>
        <v>0</v>
      </c>
      <c r="AC1024" s="352">
        <f>IF(NFI_Expiration=1,IF($A1024&lt;VLOOKUP(L$5,NFI,5,0),1,0)*Table_NFI[[#This Row],[Tarpaulin]],Table_NFI[[#This Row],[Tarpaulin]])</f>
        <v>0</v>
      </c>
      <c r="AD1024" s="352">
        <f>IF(NFI_Expiration=1,IF($A1024&lt;VLOOKUP(M$5,NFI,5,0),1,0)*Table_NFI[[#This Row],[Blanket]],Table_NFI[[#This Row],[Blanket]])</f>
        <v>0</v>
      </c>
      <c r="AE1024" s="352">
        <f>IF(NFI_Expiration=1,IF($A1024&lt;VLOOKUP(N$5,NFI,5,0),1,0)*Table_NFI[[#This Row],[Kitchen Set]],Table_NFI[Kitchen Set])</f>
        <v>0</v>
      </c>
      <c r="AF1024" s="352">
        <f>IF(NFI_Expiration=1,IF($A1024&lt;VLOOKUP(O$5,NFI,5,0),1,0)*Table_NFI[[#This Row],[Clothes Kit]],Table_NFI[Clothes Kit])</f>
        <v>0</v>
      </c>
      <c r="AG1024" s="352">
        <f>IF(NFI_Expiration=1,IF($A1024&lt;VLOOKUP(P$5,NFI,5,0),1,0)*Table_NFI[[#This Row],[Plastic Bucket]],Table_NFI[Plastic Bucket])</f>
        <v>0</v>
      </c>
      <c r="AH1024" s="352">
        <f>IF(NFI_Expiration=1,IF($A1024&lt;VLOOKUP(Q$5,NFI,5,0),1,0)*Table_NFI[[#This Row],[Plastic Mat]],Table_NFI[Plastic Mat])*IF(Table_NFI[[#This Row],[Distribution Date]]&gt;"2014-04-01",1,2.5)</f>
        <v>0</v>
      </c>
      <c r="AI1024" s="352">
        <f>IF(NFI_Expiration=1,IF($A1024&lt;VLOOKUP(R$5,NFI,5,0),1,0)*Table_NFI[[#This Row],[Winter Clothes Adult]],Table_NFI[Winter Clothes Adult])</f>
        <v>0</v>
      </c>
      <c r="AJ1024" s="352">
        <f>IF(NFI_Expiration=1,IF($A1024&lt;VLOOKUP(S$5,NFI,5,0),1,0)*Table_NFI[[#This Row],[Winter Clothes Children]],Table_NFI[Winter Clothes Children])</f>
        <v>0</v>
      </c>
      <c r="AK1024" s="352">
        <f>IF(NFI_Expiration=1,IF($A1024&lt;VLOOKUP(T$5,NFI,5,0),1,0)*Table_NFI[[#This Row],[Winter Items Other]],Table_NFI[Winter Items Other])</f>
        <v>0</v>
      </c>
      <c r="AL1024" s="352">
        <f>IF(NFI_Expiration=1,IF($A1024&lt;VLOOKUP(M$5,NFI,5,0),1,0)*Table_NFI[[#This Row],[Winter Blanket]],Table_NFI[[#This Row],[Winter Blanket]])</f>
        <v>0</v>
      </c>
      <c r="AM1024" s="352">
        <f>IF(Table_NFI[[#This Row],[Winter Clothes Adult]]+Table_NFI[[#This Row],[Winter Clothes Children]]+Table_NFI[[#This Row],[Winter Items Other]]+Table_NFI[[#This Row],[Winter Blanket]]&gt;0,1,0)</f>
        <v>0</v>
      </c>
      <c r="AN1024" s="392">
        <f>IF(NFI_Expiration=1,IF($A1024&lt;VLOOKUP(V$5,NFI,5,0),1,0)*Table_NFI[[#This Row],[Jerry Can]],Table_NFI[Jerry Can])</f>
        <v>0</v>
      </c>
      <c r="AO1024" s="540" t="str">
        <f>IFERROR(VLOOKUP(Table_NFI[[#This Row],[Camp Name]],CL,2,0),"")</f>
        <v>MMR001CMP029</v>
      </c>
      <c r="AP1024" s="535">
        <f ca="1">IF(Table_NFI[[#This Row],[Pcode]]="","",IF(OFFSET(CampList[Opening Date],MATCH(Table_NFI[[#This Row],[Pcode]],CampList[CP_Pcode],0)-1,0,1,1)&gt;=NFI_Monitor_Date,1,0))</f>
        <v>0</v>
      </c>
      <c r="AQ1024" s="540" t="str">
        <f>IFERROR(VLOOKUP(Table_NFI[[#This Row],[Camp Name]],CL,3,0),"")</f>
        <v>Open</v>
      </c>
      <c r="AR1024" s="352" t="str">
        <f ca="1">IF(Table_NFI[[#This Row],[Pcode]]="","",OFFSET(CampList[Priority],MATCH(Table_NFI[[#This Row],[Pcode]],CampList[CP_Pcode],0)-1,0,1,1))</f>
        <v>P4</v>
      </c>
      <c r="AS1024" s="351">
        <f>IFERROR(Table_NFI[[#This Row],[Kitchen Set]]/VLOOKUP(Table_NFI[[#This Row],[Camp Name]],CL,4,0),"")</f>
        <v>0.12162162162162163</v>
      </c>
      <c r="AT1024" s="533" t="s">
        <v>1094</v>
      </c>
      <c r="AU1024" s="536"/>
    </row>
    <row r="1025" spans="1:47" s="537" customFormat="1" ht="14.45" customHeight="1" x14ac:dyDescent="0.25">
      <c r="A1025" s="355">
        <f t="shared" si="15"/>
        <v>55.466666666666669</v>
      </c>
      <c r="B1025" s="532">
        <v>40907</v>
      </c>
      <c r="C1025" s="533" t="s">
        <v>453</v>
      </c>
      <c r="D1025" s="534" t="s">
        <v>461</v>
      </c>
      <c r="E1025" s="533" t="s">
        <v>380</v>
      </c>
      <c r="F1025" s="348" t="s">
        <v>237</v>
      </c>
      <c r="G1025" s="348" t="s">
        <v>253</v>
      </c>
      <c r="H1025" s="349"/>
      <c r="I1025" s="349"/>
      <c r="J1025" s="349"/>
      <c r="K1025" s="349">
        <v>56</v>
      </c>
      <c r="L1025" s="350">
        <v>29</v>
      </c>
      <c r="M1025" s="350">
        <v>56</v>
      </c>
      <c r="N1025" s="350">
        <v>29</v>
      </c>
      <c r="O1025" s="350">
        <v>29</v>
      </c>
      <c r="P1025" s="352">
        <v>29</v>
      </c>
      <c r="Q1025" s="352">
        <v>29</v>
      </c>
      <c r="R1025" s="352"/>
      <c r="S1025" s="352"/>
      <c r="T1025" s="352"/>
      <c r="U1025" s="352"/>
      <c r="V1025" s="497"/>
      <c r="W1025" s="352"/>
      <c r="X1025" s="352"/>
      <c r="Y1025" s="352">
        <f>IF(NFI_Expiration=1,IF($A1025&lt;VLOOKUP(H$5,NFI,5,0),1,0)*Table_NFI[[#This Row],[Hygiene Kit]],Table_NFI[Hygiene Kit])</f>
        <v>0</v>
      </c>
      <c r="Z1025" s="352">
        <f>IF(NFI_Expiration=1,IF($A1025&lt;VLOOKUP(I$5,NFI,5,0),1,0)*Table_NFI[[#This Row],[NFI Core Kit]],Table_NFI[NFI Core Kit])</f>
        <v>0</v>
      </c>
      <c r="AA1025" s="352">
        <f>IF(NFI_Expiration=1,IF($A1025&lt;VLOOKUP(J$5,NFI,5,0),1,0)*Table_NFI[[#This Row],[Sanitary Kit]],Table_NFI[Sanitary Kit])</f>
        <v>0</v>
      </c>
      <c r="AB1025" s="352">
        <f>IF(NFI_Expiration=1,IF($A1025&lt;VLOOKUP(K$5,NFI,5,0),1,0)*Table_NFI[[#This Row],[Mosquito net]],Table_NFI[Mosquito net])</f>
        <v>0</v>
      </c>
      <c r="AC1025" s="352">
        <f>IF(NFI_Expiration=1,IF($A1025&lt;VLOOKUP(L$5,NFI,5,0),1,0)*Table_NFI[[#This Row],[Tarpaulin]],Table_NFI[[#This Row],[Tarpaulin]])</f>
        <v>0</v>
      </c>
      <c r="AD1025" s="352">
        <f>IF(NFI_Expiration=1,IF($A1025&lt;VLOOKUP(M$5,NFI,5,0),1,0)*Table_NFI[[#This Row],[Blanket]],Table_NFI[[#This Row],[Blanket]])</f>
        <v>0</v>
      </c>
      <c r="AE1025" s="352">
        <f>IF(NFI_Expiration=1,IF($A1025&lt;VLOOKUP(N$5,NFI,5,0),1,0)*Table_NFI[[#This Row],[Kitchen Set]],Table_NFI[Kitchen Set])</f>
        <v>0</v>
      </c>
      <c r="AF1025" s="352">
        <f>IF(NFI_Expiration=1,IF($A1025&lt;VLOOKUP(O$5,NFI,5,0),1,0)*Table_NFI[[#This Row],[Clothes Kit]],Table_NFI[Clothes Kit])</f>
        <v>0</v>
      </c>
      <c r="AG1025" s="352">
        <f>IF(NFI_Expiration=1,IF($A1025&lt;VLOOKUP(P$5,NFI,5,0),1,0)*Table_NFI[[#This Row],[Plastic Bucket]],Table_NFI[Plastic Bucket])</f>
        <v>0</v>
      </c>
      <c r="AH1025" s="352">
        <f>IF(NFI_Expiration=1,IF($A1025&lt;VLOOKUP(Q$5,NFI,5,0),1,0)*Table_NFI[[#This Row],[Plastic Mat]],Table_NFI[Plastic Mat])*IF(Table_NFI[[#This Row],[Distribution Date]]&gt;"2014-04-01",1,2.5)</f>
        <v>0</v>
      </c>
      <c r="AI1025" s="352">
        <f>IF(NFI_Expiration=1,IF($A1025&lt;VLOOKUP(R$5,NFI,5,0),1,0)*Table_NFI[[#This Row],[Winter Clothes Adult]],Table_NFI[Winter Clothes Adult])</f>
        <v>0</v>
      </c>
      <c r="AJ1025" s="352">
        <f>IF(NFI_Expiration=1,IF($A1025&lt;VLOOKUP(S$5,NFI,5,0),1,0)*Table_NFI[[#This Row],[Winter Clothes Children]],Table_NFI[Winter Clothes Children])</f>
        <v>0</v>
      </c>
      <c r="AK1025" s="352">
        <f>IF(NFI_Expiration=1,IF($A1025&lt;VLOOKUP(T$5,NFI,5,0),1,0)*Table_NFI[[#This Row],[Winter Items Other]],Table_NFI[Winter Items Other])</f>
        <v>0</v>
      </c>
      <c r="AL1025" s="352">
        <f>IF(NFI_Expiration=1,IF($A1025&lt;VLOOKUP(M$5,NFI,5,0),1,0)*Table_NFI[[#This Row],[Winter Blanket]],Table_NFI[[#This Row],[Winter Blanket]])</f>
        <v>0</v>
      </c>
      <c r="AM1025" s="352">
        <f>IF(Table_NFI[[#This Row],[Winter Clothes Adult]]+Table_NFI[[#This Row],[Winter Clothes Children]]+Table_NFI[[#This Row],[Winter Items Other]]+Table_NFI[[#This Row],[Winter Blanket]]&gt;0,1,0)</f>
        <v>0</v>
      </c>
      <c r="AN1025" s="392">
        <f>IF(NFI_Expiration=1,IF($A1025&lt;VLOOKUP(V$5,NFI,5,0),1,0)*Table_NFI[[#This Row],[Jerry Can]],Table_NFI[Jerry Can])</f>
        <v>0</v>
      </c>
      <c r="AO1025" s="540" t="str">
        <f>IFERROR(VLOOKUP(Table_NFI[[#This Row],[Camp Name]],CL,2,0),"")</f>
        <v>MMR001CMP018</v>
      </c>
      <c r="AP1025" s="535">
        <f ca="1">IF(Table_NFI[[#This Row],[Pcode]]="","",IF(OFFSET(CampList[Opening Date],MATCH(Table_NFI[[#This Row],[Pcode]],CampList[CP_Pcode],0)-1,0,1,1)&gt;=NFI_Monitor_Date,1,0))</f>
        <v>0</v>
      </c>
      <c r="AQ1025" s="540" t="str">
        <f>IFERROR(VLOOKUP(Table_NFI[[#This Row],[Camp Name]],CL,3,0),"")</f>
        <v>Open</v>
      </c>
      <c r="AR1025" s="352" t="str">
        <f ca="1">IF(Table_NFI[[#This Row],[Pcode]]="","",OFFSET(CampList[Priority],MATCH(Table_NFI[[#This Row],[Pcode]],CampList[CP_Pcode],0)-1,0,1,1))</f>
        <v>P4</v>
      </c>
      <c r="AS1025" s="351">
        <f>IFERROR(Table_NFI[[#This Row],[Kitchen Set]]/VLOOKUP(Table_NFI[[#This Row],[Camp Name]],CL,4,0),"")</f>
        <v>0.14646464646464646</v>
      </c>
      <c r="AT1025" s="533" t="s">
        <v>1094</v>
      </c>
      <c r="AU1025" s="536"/>
    </row>
    <row r="1026" spans="1:47" s="537" customFormat="1" ht="14.45" customHeight="1" x14ac:dyDescent="0.25">
      <c r="A1026" s="355">
        <f t="shared" si="15"/>
        <v>55.533333333333331</v>
      </c>
      <c r="B1026" s="532">
        <v>40905</v>
      </c>
      <c r="C1026" s="533" t="s">
        <v>453</v>
      </c>
      <c r="D1026" s="533" t="s">
        <v>905</v>
      </c>
      <c r="E1026" s="533" t="s">
        <v>380</v>
      </c>
      <c r="F1026" s="533" t="s">
        <v>310</v>
      </c>
      <c r="G1026" s="348" t="s">
        <v>313</v>
      </c>
      <c r="H1026" s="349"/>
      <c r="I1026" s="349"/>
      <c r="J1026" s="349"/>
      <c r="K1026" s="349">
        <v>31</v>
      </c>
      <c r="L1026" s="350">
        <v>19</v>
      </c>
      <c r="M1026" s="350">
        <v>31</v>
      </c>
      <c r="N1026" s="350">
        <v>19</v>
      </c>
      <c r="O1026" s="350">
        <v>19</v>
      </c>
      <c r="P1026" s="352">
        <v>19</v>
      </c>
      <c r="Q1026" s="352">
        <v>19</v>
      </c>
      <c r="R1026" s="352"/>
      <c r="S1026" s="352"/>
      <c r="T1026" s="352"/>
      <c r="U1026" s="352"/>
      <c r="V1026" s="497"/>
      <c r="W1026" s="352"/>
      <c r="X1026" s="352"/>
      <c r="Y1026" s="352">
        <f>IF(NFI_Expiration=1,IF($A1026&lt;VLOOKUP(H$5,NFI,5,0),1,0)*Table_NFI[[#This Row],[Hygiene Kit]],Table_NFI[Hygiene Kit])</f>
        <v>0</v>
      </c>
      <c r="Z1026" s="352">
        <f>IF(NFI_Expiration=1,IF($A1026&lt;VLOOKUP(I$5,NFI,5,0),1,0)*Table_NFI[[#This Row],[NFI Core Kit]],Table_NFI[NFI Core Kit])</f>
        <v>0</v>
      </c>
      <c r="AA1026" s="352">
        <f>IF(NFI_Expiration=1,IF($A1026&lt;VLOOKUP(J$5,NFI,5,0),1,0)*Table_NFI[[#This Row],[Sanitary Kit]],Table_NFI[Sanitary Kit])</f>
        <v>0</v>
      </c>
      <c r="AB1026" s="352">
        <f>IF(NFI_Expiration=1,IF($A1026&lt;VLOOKUP(K$5,NFI,5,0),1,0)*Table_NFI[[#This Row],[Mosquito net]],Table_NFI[Mosquito net])</f>
        <v>0</v>
      </c>
      <c r="AC1026" s="352">
        <f>IF(NFI_Expiration=1,IF($A1026&lt;VLOOKUP(L$5,NFI,5,0),1,0)*Table_NFI[[#This Row],[Tarpaulin]],Table_NFI[[#This Row],[Tarpaulin]])</f>
        <v>0</v>
      </c>
      <c r="AD1026" s="352">
        <f>IF(NFI_Expiration=1,IF($A1026&lt;VLOOKUP(M$5,NFI,5,0),1,0)*Table_NFI[[#This Row],[Blanket]],Table_NFI[[#This Row],[Blanket]])</f>
        <v>0</v>
      </c>
      <c r="AE1026" s="352">
        <f>IF(NFI_Expiration=1,IF($A1026&lt;VLOOKUP(N$5,NFI,5,0),1,0)*Table_NFI[[#This Row],[Kitchen Set]],Table_NFI[Kitchen Set])</f>
        <v>0</v>
      </c>
      <c r="AF1026" s="352">
        <f>IF(NFI_Expiration=1,IF($A1026&lt;VLOOKUP(O$5,NFI,5,0),1,0)*Table_NFI[[#This Row],[Clothes Kit]],Table_NFI[Clothes Kit])</f>
        <v>0</v>
      </c>
      <c r="AG1026" s="352">
        <f>IF(NFI_Expiration=1,IF($A1026&lt;VLOOKUP(P$5,NFI,5,0),1,0)*Table_NFI[[#This Row],[Plastic Bucket]],Table_NFI[Plastic Bucket])</f>
        <v>0</v>
      </c>
      <c r="AH1026" s="352">
        <f>IF(NFI_Expiration=1,IF($A1026&lt;VLOOKUP(Q$5,NFI,5,0),1,0)*Table_NFI[[#This Row],[Plastic Mat]],Table_NFI[Plastic Mat])*IF(Table_NFI[[#This Row],[Distribution Date]]&gt;"2014-04-01",1,2.5)</f>
        <v>0</v>
      </c>
      <c r="AI1026" s="352">
        <f>IF(NFI_Expiration=1,IF($A1026&lt;VLOOKUP(R$5,NFI,5,0),1,0)*Table_NFI[[#This Row],[Winter Clothes Adult]],Table_NFI[Winter Clothes Adult])</f>
        <v>0</v>
      </c>
      <c r="AJ1026" s="352">
        <f>IF(NFI_Expiration=1,IF($A1026&lt;VLOOKUP(S$5,NFI,5,0),1,0)*Table_NFI[[#This Row],[Winter Clothes Children]],Table_NFI[Winter Clothes Children])</f>
        <v>0</v>
      </c>
      <c r="AK1026" s="352">
        <f>IF(NFI_Expiration=1,IF($A1026&lt;VLOOKUP(T$5,NFI,5,0),1,0)*Table_NFI[[#This Row],[Winter Items Other]],Table_NFI[Winter Items Other])</f>
        <v>0</v>
      </c>
      <c r="AL1026" s="352">
        <f>IF(NFI_Expiration=1,IF($A1026&lt;VLOOKUP(M$5,NFI,5,0),1,0)*Table_NFI[[#This Row],[Winter Blanket]],Table_NFI[[#This Row],[Winter Blanket]])</f>
        <v>0</v>
      </c>
      <c r="AM1026" s="352">
        <f>IF(Table_NFI[[#This Row],[Winter Clothes Adult]]+Table_NFI[[#This Row],[Winter Clothes Children]]+Table_NFI[[#This Row],[Winter Items Other]]+Table_NFI[[#This Row],[Winter Blanket]]&gt;0,1,0)</f>
        <v>0</v>
      </c>
      <c r="AN1026" s="392">
        <f>IF(NFI_Expiration=1,IF($A1026&lt;VLOOKUP(V$5,NFI,5,0),1,0)*Table_NFI[[#This Row],[Jerry Can]],Table_NFI[Jerry Can])</f>
        <v>0</v>
      </c>
      <c r="AO1026" s="540" t="str">
        <f>IFERROR(VLOOKUP(Table_NFI[[#This Row],[Camp Name]],CL,2,0),"")</f>
        <v>MMR001CMP028</v>
      </c>
      <c r="AP1026" s="535">
        <f ca="1">IF(Table_NFI[[#This Row],[Pcode]]="","",IF(OFFSET(CampList[Opening Date],MATCH(Table_NFI[[#This Row],[Pcode]],CampList[CP_Pcode],0)-1,0,1,1)&gt;=NFI_Monitor_Date,1,0))</f>
        <v>0</v>
      </c>
      <c r="AQ1026" s="540" t="str">
        <f>IFERROR(VLOOKUP(Table_NFI[[#This Row],[Camp Name]],CL,3,0),"")</f>
        <v>Open</v>
      </c>
      <c r="AR1026" s="352" t="str">
        <f ca="1">IF(Table_NFI[[#This Row],[Pcode]]="","",OFFSET(CampList[Priority],MATCH(Table_NFI[[#This Row],[Pcode]],CampList[CP_Pcode],0)-1,0,1,1))</f>
        <v>P4</v>
      </c>
      <c r="AS1026" s="351">
        <f>IFERROR(Table_NFI[[#This Row],[Kitchen Set]]/VLOOKUP(Table_NFI[[#This Row],[Camp Name]],CL,4,0),"")</f>
        <v>0.19191919191919191</v>
      </c>
      <c r="AT1026" s="533" t="s">
        <v>1094</v>
      </c>
      <c r="AU1026" s="536"/>
    </row>
    <row r="1027" spans="1:47" s="129" customFormat="1" ht="14.45" customHeight="1" x14ac:dyDescent="0.25">
      <c r="A1027" s="355">
        <f t="shared" si="15"/>
        <v>55.6</v>
      </c>
      <c r="B1027" s="532">
        <v>40903</v>
      </c>
      <c r="C1027" s="533" t="s">
        <v>453</v>
      </c>
      <c r="D1027" s="533" t="s">
        <v>461</v>
      </c>
      <c r="E1027" s="533" t="s">
        <v>380</v>
      </c>
      <c r="F1027" s="348" t="s">
        <v>310</v>
      </c>
      <c r="G1027" s="348" t="s">
        <v>342</v>
      </c>
      <c r="H1027" s="349"/>
      <c r="I1027" s="349"/>
      <c r="J1027" s="349"/>
      <c r="K1027" s="349">
        <v>54</v>
      </c>
      <c r="L1027" s="350">
        <v>33</v>
      </c>
      <c r="M1027" s="350">
        <v>54</v>
      </c>
      <c r="N1027" s="350">
        <v>33</v>
      </c>
      <c r="O1027" s="350">
        <v>33</v>
      </c>
      <c r="P1027" s="352">
        <v>33</v>
      </c>
      <c r="Q1027" s="352">
        <v>33</v>
      </c>
      <c r="R1027" s="352"/>
      <c r="S1027" s="352"/>
      <c r="T1027" s="352"/>
      <c r="U1027" s="352"/>
      <c r="V1027" s="497"/>
      <c r="W1027" s="352"/>
      <c r="X1027" s="352"/>
      <c r="Y1027" s="352">
        <f>IF(NFI_Expiration=1,IF($A1027&lt;VLOOKUP(H$5,NFI,5,0),1,0)*Table_NFI[[#This Row],[Hygiene Kit]],Table_NFI[Hygiene Kit])</f>
        <v>0</v>
      </c>
      <c r="Z1027" s="352">
        <f>IF(NFI_Expiration=1,IF($A1027&lt;VLOOKUP(I$5,NFI,5,0),1,0)*Table_NFI[[#This Row],[NFI Core Kit]],Table_NFI[NFI Core Kit])</f>
        <v>0</v>
      </c>
      <c r="AA1027" s="352">
        <f>IF(NFI_Expiration=1,IF($A1027&lt;VLOOKUP(J$5,NFI,5,0),1,0)*Table_NFI[[#This Row],[Sanitary Kit]],Table_NFI[Sanitary Kit])</f>
        <v>0</v>
      </c>
      <c r="AB1027" s="352">
        <f>IF(NFI_Expiration=1,IF($A1027&lt;VLOOKUP(K$5,NFI,5,0),1,0)*Table_NFI[[#This Row],[Mosquito net]],Table_NFI[Mosquito net])</f>
        <v>0</v>
      </c>
      <c r="AC1027" s="352">
        <f>IF(NFI_Expiration=1,IF($A1027&lt;VLOOKUP(L$5,NFI,5,0),1,0)*Table_NFI[[#This Row],[Tarpaulin]],Table_NFI[[#This Row],[Tarpaulin]])</f>
        <v>0</v>
      </c>
      <c r="AD1027" s="352">
        <f>IF(NFI_Expiration=1,IF($A1027&lt;VLOOKUP(M$5,NFI,5,0),1,0)*Table_NFI[[#This Row],[Blanket]],Table_NFI[[#This Row],[Blanket]])</f>
        <v>0</v>
      </c>
      <c r="AE1027" s="352">
        <f>IF(NFI_Expiration=1,IF($A1027&lt;VLOOKUP(N$5,NFI,5,0),1,0)*Table_NFI[[#This Row],[Kitchen Set]],Table_NFI[Kitchen Set])</f>
        <v>0</v>
      </c>
      <c r="AF1027" s="352">
        <f>IF(NFI_Expiration=1,IF($A1027&lt;VLOOKUP(O$5,NFI,5,0),1,0)*Table_NFI[[#This Row],[Clothes Kit]],Table_NFI[Clothes Kit])</f>
        <v>0</v>
      </c>
      <c r="AG1027" s="352">
        <f>IF(NFI_Expiration=1,IF($A1027&lt;VLOOKUP(P$5,NFI,5,0),1,0)*Table_NFI[[#This Row],[Plastic Bucket]],Table_NFI[Plastic Bucket])</f>
        <v>0</v>
      </c>
      <c r="AH1027" s="352">
        <f>IF(NFI_Expiration=1,IF($A1027&lt;VLOOKUP(Q$5,NFI,5,0),1,0)*Table_NFI[[#This Row],[Plastic Mat]],Table_NFI[Plastic Mat])*IF(Table_NFI[[#This Row],[Distribution Date]]&gt;"2014-04-01",1,2.5)</f>
        <v>0</v>
      </c>
      <c r="AI1027" s="352">
        <f>IF(NFI_Expiration=1,IF($A1027&lt;VLOOKUP(R$5,NFI,5,0),1,0)*Table_NFI[[#This Row],[Winter Clothes Adult]],Table_NFI[Winter Clothes Adult])</f>
        <v>0</v>
      </c>
      <c r="AJ1027" s="352">
        <f>IF(NFI_Expiration=1,IF($A1027&lt;VLOOKUP(S$5,NFI,5,0),1,0)*Table_NFI[[#This Row],[Winter Clothes Children]],Table_NFI[Winter Clothes Children])</f>
        <v>0</v>
      </c>
      <c r="AK1027" s="352">
        <f>IF(NFI_Expiration=1,IF($A1027&lt;VLOOKUP(T$5,NFI,5,0),1,0)*Table_NFI[[#This Row],[Winter Items Other]],Table_NFI[Winter Items Other])</f>
        <v>0</v>
      </c>
      <c r="AL1027" s="352">
        <f>IF(NFI_Expiration=1,IF($A1027&lt;VLOOKUP(M$5,NFI,5,0),1,0)*Table_NFI[[#This Row],[Winter Blanket]],Table_NFI[[#This Row],[Winter Blanket]])</f>
        <v>0</v>
      </c>
      <c r="AM1027" s="352">
        <f>IF(Table_NFI[[#This Row],[Winter Clothes Adult]]+Table_NFI[[#This Row],[Winter Clothes Children]]+Table_NFI[[#This Row],[Winter Items Other]]+Table_NFI[[#This Row],[Winter Blanket]]&gt;0,1,0)</f>
        <v>0</v>
      </c>
      <c r="AN1027" s="392">
        <f>IF(NFI_Expiration=1,IF($A1027&lt;VLOOKUP(V$5,NFI,5,0),1,0)*Table_NFI[[#This Row],[Jerry Can]],Table_NFI[Jerry Can])</f>
        <v>0</v>
      </c>
      <c r="AO1027" s="540" t="str">
        <f>IFERROR(VLOOKUP(Table_NFI[[#This Row],[Camp Name]],CL,2,0),"")</f>
        <v>MMR001CMP025</v>
      </c>
      <c r="AP1027" s="535">
        <f ca="1">IF(Table_NFI[[#This Row],[Pcode]]="","",IF(OFFSET(CampList[Opening Date],MATCH(Table_NFI[[#This Row],[Pcode]],CampList[CP_Pcode],0)-1,0,1,1)&gt;=NFI_Monitor_Date,1,0))</f>
        <v>0</v>
      </c>
      <c r="AQ1027" s="540" t="str">
        <f>IFERROR(VLOOKUP(Table_NFI[[#This Row],[Camp Name]],CL,3,0),"")</f>
        <v>Open</v>
      </c>
      <c r="AR1027" s="352" t="str">
        <f ca="1">IF(Table_NFI[[#This Row],[Pcode]]="","",OFFSET(CampList[Priority],MATCH(Table_NFI[[#This Row],[Pcode]],CampList[CP_Pcode],0)-1,0,1,1))</f>
        <v>P4</v>
      </c>
      <c r="AS1027" s="351">
        <f>IFERROR(Table_NFI[[#This Row],[Kitchen Set]]/VLOOKUP(Table_NFI[[#This Row],[Camp Name]],CL,4,0),"")</f>
        <v>0.50769230769230766</v>
      </c>
      <c r="AT1027" s="533" t="s">
        <v>1094</v>
      </c>
      <c r="AU1027" s="536"/>
    </row>
    <row r="1028" spans="1:47" s="537" customFormat="1" ht="14.45" hidden="1" customHeight="1" x14ac:dyDescent="0.25">
      <c r="A1028" s="355">
        <f t="shared" si="15"/>
        <v>32.1</v>
      </c>
      <c r="B1028" s="532">
        <v>41608</v>
      </c>
      <c r="C1028" s="533" t="s">
        <v>907</v>
      </c>
      <c r="D1028" s="533" t="s">
        <v>461</v>
      </c>
      <c r="E1028" s="533" t="s">
        <v>380</v>
      </c>
      <c r="F1028" s="348" t="s">
        <v>310</v>
      </c>
      <c r="G1028" s="348" t="s">
        <v>353</v>
      </c>
      <c r="H1028" s="349"/>
      <c r="I1028" s="349"/>
      <c r="J1028" s="349"/>
      <c r="K1028" s="349"/>
      <c r="L1028" s="350"/>
      <c r="M1028" s="350"/>
      <c r="N1028" s="350"/>
      <c r="O1028" s="350"/>
      <c r="P1028" s="352"/>
      <c r="Q1028" s="352">
        <v>1851</v>
      </c>
      <c r="R1028" s="352"/>
      <c r="S1028" s="352"/>
      <c r="T1028" s="352"/>
      <c r="U1028" s="352"/>
      <c r="V1028" s="497"/>
      <c r="W1028" s="352"/>
      <c r="X1028" s="352"/>
      <c r="Y1028" s="352">
        <f>IF(NFI_Expiration=1,IF($A1028&lt;VLOOKUP(H$5,NFI,5,0),1,0)*Table_NFI[[#This Row],[Hygiene Kit]],Table_NFI[Hygiene Kit])</f>
        <v>0</v>
      </c>
      <c r="Z1028" s="352">
        <f>IF(NFI_Expiration=1,IF($A1028&lt;VLOOKUP(I$5,NFI,5,0),1,0)*Table_NFI[[#This Row],[NFI Core Kit]],Table_NFI[NFI Core Kit])</f>
        <v>0</v>
      </c>
      <c r="AA1028" s="352">
        <f>IF(NFI_Expiration=1,IF($A1028&lt;VLOOKUP(J$5,NFI,5,0),1,0)*Table_NFI[[#This Row],[Sanitary Kit]],Table_NFI[Sanitary Kit])</f>
        <v>0</v>
      </c>
      <c r="AB1028" s="352">
        <f>IF(NFI_Expiration=1,IF($A1028&lt;VLOOKUP(K$5,NFI,5,0),1,0)*Table_NFI[[#This Row],[Mosquito net]],Table_NFI[Mosquito net])</f>
        <v>0</v>
      </c>
      <c r="AC1028" s="352">
        <f>IF(NFI_Expiration=1,IF($A1028&lt;VLOOKUP(L$5,NFI,5,0),1,0)*Table_NFI[[#This Row],[Tarpaulin]],Table_NFI[[#This Row],[Tarpaulin]])</f>
        <v>0</v>
      </c>
      <c r="AD1028" s="352">
        <f>IF(NFI_Expiration=1,IF($A1028&lt;VLOOKUP(M$5,NFI,5,0),1,0)*Table_NFI[[#This Row],[Blanket]],Table_NFI[[#This Row],[Blanket]])</f>
        <v>0</v>
      </c>
      <c r="AE1028" s="352">
        <f>IF(NFI_Expiration=1,IF($A1028&lt;VLOOKUP(N$5,NFI,5,0),1,0)*Table_NFI[[#This Row],[Kitchen Set]],Table_NFI[Kitchen Set])</f>
        <v>0</v>
      </c>
      <c r="AF1028" s="352">
        <f>IF(NFI_Expiration=1,IF($A1028&lt;VLOOKUP(O$5,NFI,5,0),1,0)*Table_NFI[[#This Row],[Clothes Kit]],Table_NFI[Clothes Kit])</f>
        <v>0</v>
      </c>
      <c r="AG1028" s="352">
        <f>IF(NFI_Expiration=1,IF($A1028&lt;VLOOKUP(P$5,NFI,5,0),1,0)*Table_NFI[[#This Row],[Plastic Bucket]],Table_NFI[Plastic Bucket])</f>
        <v>0</v>
      </c>
      <c r="AH1028" s="352">
        <f>IF(NFI_Expiration=1,IF($A1028&lt;VLOOKUP(Q$5,NFI,5,0),1,0)*Table_NFI[[#This Row],[Plastic Mat]],Table_NFI[Plastic Mat])*IF(Table_NFI[[#This Row],[Distribution Date]]&gt;"2014-04-01",1,2.5)</f>
        <v>0</v>
      </c>
      <c r="AI1028" s="352">
        <f>IF(NFI_Expiration=1,IF($A1028&lt;VLOOKUP(R$5,NFI,5,0),1,0)*Table_NFI[[#This Row],[Winter Clothes Adult]],Table_NFI[Winter Clothes Adult])</f>
        <v>0</v>
      </c>
      <c r="AJ1028" s="352">
        <f>IF(NFI_Expiration=1,IF($A1028&lt;VLOOKUP(S$5,NFI,5,0),1,0)*Table_NFI[[#This Row],[Winter Clothes Children]],Table_NFI[Winter Clothes Children])</f>
        <v>0</v>
      </c>
      <c r="AK1028" s="352">
        <f>IF(NFI_Expiration=1,IF($A1028&lt;VLOOKUP(T$5,NFI,5,0),1,0)*Table_NFI[[#This Row],[Winter Items Other]],Table_NFI[Winter Items Other])</f>
        <v>0</v>
      </c>
      <c r="AL1028" s="352">
        <f>IF(NFI_Expiration=1,IF($A1028&lt;VLOOKUP(M$5,NFI,5,0),1,0)*Table_NFI[[#This Row],[Winter Blanket]],Table_NFI[[#This Row],[Winter Blanket]])</f>
        <v>0</v>
      </c>
      <c r="AM1028" s="352">
        <f>IF(Table_NFI[[#This Row],[Winter Clothes Adult]]+Table_NFI[[#This Row],[Winter Clothes Children]]+Table_NFI[[#This Row],[Winter Items Other]]+Table_NFI[[#This Row],[Winter Blanket]]&gt;0,1,0)</f>
        <v>0</v>
      </c>
      <c r="AN1028" s="392">
        <f>IF(NFI_Expiration=1,IF($A1028&lt;VLOOKUP(V$5,NFI,5,0),1,0)*Table_NFI[[#This Row],[Jerry Can]],Table_NFI[Jerry Can])</f>
        <v>0</v>
      </c>
      <c r="AO1028" s="540" t="str">
        <f>IFERROR(VLOOKUP(Table_NFI[[#This Row],[Camp Name]],CL,2,0),"")</f>
        <v>MMR001CMP116</v>
      </c>
      <c r="AP1028" s="535">
        <f ca="1">IF(Table_NFI[[#This Row],[Pcode]]="","",IF(OFFSET(CampList[Opening Date],MATCH(Table_NFI[[#This Row],[Pcode]],CampList[CP_Pcode],0)-1,0,1,1)&gt;=NFI_Monitor_Date,1,0))</f>
        <v>0</v>
      </c>
      <c r="AQ1028" s="540" t="str">
        <f>IFERROR(VLOOKUP(Table_NFI[[#This Row],[Camp Name]],CL,3,0),"")</f>
        <v>Open</v>
      </c>
      <c r="AR1028" s="352" t="str">
        <f ca="1">IF(Table_NFI[[#This Row],[Pcode]]="","",OFFSET(CampList[Priority],MATCH(Table_NFI[[#This Row],[Pcode]],CampList[CP_Pcode],0)-1,0,1,1))</f>
        <v>P4</v>
      </c>
      <c r="AS1028" s="351">
        <f>IFERROR(Table_NFI[[#This Row],[Kitchen Set]]/VLOOKUP(Table_NFI[[#This Row],[Camp Name]],CL,4,0),"")</f>
        <v>0</v>
      </c>
      <c r="AT1028" s="533" t="s">
        <v>1094</v>
      </c>
      <c r="AU1028" s="536"/>
    </row>
    <row r="1029" spans="1:47" s="537" customFormat="1" ht="14.45" customHeight="1" x14ac:dyDescent="0.25">
      <c r="A1029" s="355">
        <f t="shared" si="15"/>
        <v>55.733333333333334</v>
      </c>
      <c r="B1029" s="532">
        <v>40899</v>
      </c>
      <c r="C1029" s="533" t="s">
        <v>453</v>
      </c>
      <c r="D1029" s="533" t="s">
        <v>453</v>
      </c>
      <c r="E1029" s="533" t="s">
        <v>380</v>
      </c>
      <c r="F1029" s="348" t="s">
        <v>310</v>
      </c>
      <c r="G1029" s="348" t="s">
        <v>318</v>
      </c>
      <c r="H1029" s="349"/>
      <c r="I1029" s="349"/>
      <c r="J1029" s="349"/>
      <c r="K1029" s="349">
        <v>0</v>
      </c>
      <c r="L1029" s="350">
        <v>0</v>
      </c>
      <c r="M1029" s="350">
        <v>0</v>
      </c>
      <c r="N1029" s="350">
        <v>0</v>
      </c>
      <c r="O1029" s="350">
        <v>4</v>
      </c>
      <c r="P1029" s="352">
        <v>4</v>
      </c>
      <c r="Q1029" s="352">
        <v>4</v>
      </c>
      <c r="R1029" s="352"/>
      <c r="S1029" s="352"/>
      <c r="T1029" s="352"/>
      <c r="U1029" s="352"/>
      <c r="V1029" s="497"/>
      <c r="W1029" s="352"/>
      <c r="X1029" s="352"/>
      <c r="Y1029" s="352">
        <f>IF(NFI_Expiration=1,IF($A1029&lt;VLOOKUP(H$5,NFI,5,0),1,0)*Table_NFI[[#This Row],[Hygiene Kit]],Table_NFI[Hygiene Kit])</f>
        <v>0</v>
      </c>
      <c r="Z1029" s="352">
        <f>IF(NFI_Expiration=1,IF($A1029&lt;VLOOKUP(I$5,NFI,5,0),1,0)*Table_NFI[[#This Row],[NFI Core Kit]],Table_NFI[NFI Core Kit])</f>
        <v>0</v>
      </c>
      <c r="AA1029" s="352">
        <f>IF(NFI_Expiration=1,IF($A1029&lt;VLOOKUP(J$5,NFI,5,0),1,0)*Table_NFI[[#This Row],[Sanitary Kit]],Table_NFI[Sanitary Kit])</f>
        <v>0</v>
      </c>
      <c r="AB1029" s="352">
        <f>IF(NFI_Expiration=1,IF($A1029&lt;VLOOKUP(K$5,NFI,5,0),1,0)*Table_NFI[[#This Row],[Mosquito net]],Table_NFI[Mosquito net])</f>
        <v>0</v>
      </c>
      <c r="AC1029" s="352">
        <f>IF(NFI_Expiration=1,IF($A1029&lt;VLOOKUP(L$5,NFI,5,0),1,0)*Table_NFI[[#This Row],[Tarpaulin]],Table_NFI[[#This Row],[Tarpaulin]])</f>
        <v>0</v>
      </c>
      <c r="AD1029" s="352">
        <f>IF(NFI_Expiration=1,IF($A1029&lt;VLOOKUP(M$5,NFI,5,0),1,0)*Table_NFI[[#This Row],[Blanket]],Table_NFI[[#This Row],[Blanket]])</f>
        <v>0</v>
      </c>
      <c r="AE1029" s="352">
        <f>IF(NFI_Expiration=1,IF($A1029&lt;VLOOKUP(N$5,NFI,5,0),1,0)*Table_NFI[[#This Row],[Kitchen Set]],Table_NFI[Kitchen Set])</f>
        <v>0</v>
      </c>
      <c r="AF1029" s="352">
        <f>IF(NFI_Expiration=1,IF($A1029&lt;VLOOKUP(O$5,NFI,5,0),1,0)*Table_NFI[[#This Row],[Clothes Kit]],Table_NFI[Clothes Kit])</f>
        <v>0</v>
      </c>
      <c r="AG1029" s="352">
        <f>IF(NFI_Expiration=1,IF($A1029&lt;VLOOKUP(P$5,NFI,5,0),1,0)*Table_NFI[[#This Row],[Plastic Bucket]],Table_NFI[Plastic Bucket])</f>
        <v>0</v>
      </c>
      <c r="AH1029" s="352">
        <f>IF(NFI_Expiration=1,IF($A1029&lt;VLOOKUP(Q$5,NFI,5,0),1,0)*Table_NFI[[#This Row],[Plastic Mat]],Table_NFI[Plastic Mat])*IF(Table_NFI[[#This Row],[Distribution Date]]&gt;"2014-04-01",1,2.5)</f>
        <v>0</v>
      </c>
      <c r="AI1029" s="352">
        <f>IF(NFI_Expiration=1,IF($A1029&lt;VLOOKUP(R$5,NFI,5,0),1,0)*Table_NFI[[#This Row],[Winter Clothes Adult]],Table_NFI[Winter Clothes Adult])</f>
        <v>0</v>
      </c>
      <c r="AJ1029" s="352">
        <f>IF(NFI_Expiration=1,IF($A1029&lt;VLOOKUP(S$5,NFI,5,0),1,0)*Table_NFI[[#This Row],[Winter Clothes Children]],Table_NFI[Winter Clothes Children])</f>
        <v>0</v>
      </c>
      <c r="AK1029" s="352">
        <f>IF(NFI_Expiration=1,IF($A1029&lt;VLOOKUP(T$5,NFI,5,0),1,0)*Table_NFI[[#This Row],[Winter Items Other]],Table_NFI[Winter Items Other])</f>
        <v>0</v>
      </c>
      <c r="AL1029" s="352">
        <f>IF(NFI_Expiration=1,IF($A1029&lt;VLOOKUP(M$5,NFI,5,0),1,0)*Table_NFI[[#This Row],[Winter Blanket]],Table_NFI[[#This Row],[Winter Blanket]])</f>
        <v>0</v>
      </c>
      <c r="AM1029" s="352">
        <f>IF(Table_NFI[[#This Row],[Winter Clothes Adult]]+Table_NFI[[#This Row],[Winter Clothes Children]]+Table_NFI[[#This Row],[Winter Items Other]]+Table_NFI[[#This Row],[Winter Blanket]]&gt;0,1,0)</f>
        <v>0</v>
      </c>
      <c r="AN1029" s="392">
        <f>IF(NFI_Expiration=1,IF($A1029&lt;VLOOKUP(V$5,NFI,5,0),1,0)*Table_NFI[[#This Row],[Jerry Can]],Table_NFI[Jerry Can])</f>
        <v>0</v>
      </c>
      <c r="AO1029" s="540" t="str">
        <f>IFERROR(VLOOKUP(Table_NFI[[#This Row],[Camp Name]],CL,2,0),"")</f>
        <v>MMR001CMP032</v>
      </c>
      <c r="AP1029" s="535">
        <f ca="1">IF(Table_NFI[[#This Row],[Pcode]]="","",IF(OFFSET(CampList[Opening Date],MATCH(Table_NFI[[#This Row],[Pcode]],CampList[CP_Pcode],0)-1,0,1,1)&gt;=NFI_Monitor_Date,1,0))</f>
        <v>0</v>
      </c>
      <c r="AQ1029" s="540" t="str">
        <f>IFERROR(VLOOKUP(Table_NFI[[#This Row],[Camp Name]],CL,3,0),"")</f>
        <v>Open</v>
      </c>
      <c r="AR1029" s="352" t="str">
        <f ca="1">IF(Table_NFI[[#This Row],[Pcode]]="","",OFFSET(CampList[Priority],MATCH(Table_NFI[[#This Row],[Pcode]],CampList[CP_Pcode],0)-1,0,1,1))</f>
        <v>P4</v>
      </c>
      <c r="AS1029" s="351">
        <f>IFERROR(Table_NFI[[#This Row],[Kitchen Set]]/VLOOKUP(Table_NFI[[#This Row],[Camp Name]],CL,4,0),"")</f>
        <v>0</v>
      </c>
      <c r="AT1029" s="533" t="s">
        <v>1094</v>
      </c>
      <c r="AU1029" s="536"/>
    </row>
    <row r="1030" spans="1:47" s="537" customFormat="1" ht="14.45" hidden="1" customHeight="1" x14ac:dyDescent="0.25">
      <c r="A1030" s="355">
        <f t="shared" ref="A1030:A1077" si="16">IF(ISBLANK(B1030),"",(Report_Date-B1030)/30)</f>
        <v>43.93333333333333</v>
      </c>
      <c r="B1030" s="532">
        <v>41253</v>
      </c>
      <c r="C1030" s="533" t="s">
        <v>907</v>
      </c>
      <c r="D1030" s="534" t="s">
        <v>461</v>
      </c>
      <c r="E1030" s="533" t="s">
        <v>380</v>
      </c>
      <c r="F1030" s="348" t="s">
        <v>310</v>
      </c>
      <c r="G1030" s="348" t="s">
        <v>353</v>
      </c>
      <c r="H1030" s="349">
        <v>4285</v>
      </c>
      <c r="I1030" s="354"/>
      <c r="J1030" s="347"/>
      <c r="K1030" s="347"/>
      <c r="L1030" s="347"/>
      <c r="M1030" s="347"/>
      <c r="N1030" s="347"/>
      <c r="O1030" s="347"/>
      <c r="P1030" s="352">
        <v>0</v>
      </c>
      <c r="Q1030" s="352">
        <v>0</v>
      </c>
      <c r="R1030" s="352"/>
      <c r="S1030" s="352"/>
      <c r="T1030" s="352"/>
      <c r="U1030" s="352"/>
      <c r="V1030" s="497"/>
      <c r="W1030" s="352"/>
      <c r="X1030" s="352"/>
      <c r="Y1030" s="352">
        <f>IF(NFI_Expiration=1,IF($A1030&lt;VLOOKUP(H$5,NFI,5,0),1,0)*Table_NFI[[#This Row],[Hygiene Kit]],Table_NFI[Hygiene Kit])</f>
        <v>0</v>
      </c>
      <c r="Z1030" s="352">
        <f>IF(NFI_Expiration=1,IF($A1030&lt;VLOOKUP(I$5,NFI,5,0),1,0)*Table_NFI[[#This Row],[NFI Core Kit]],Table_NFI[NFI Core Kit])</f>
        <v>0</v>
      </c>
      <c r="AA1030" s="352">
        <f>IF(NFI_Expiration=1,IF($A1030&lt;VLOOKUP(J$5,NFI,5,0),1,0)*Table_NFI[[#This Row],[Sanitary Kit]],Table_NFI[Sanitary Kit])</f>
        <v>0</v>
      </c>
      <c r="AB1030" s="352">
        <f>IF(NFI_Expiration=1,IF($A1030&lt;VLOOKUP(K$5,NFI,5,0),1,0)*Table_NFI[[#This Row],[Mosquito net]],Table_NFI[Mosquito net])</f>
        <v>0</v>
      </c>
      <c r="AC1030" s="352">
        <f>IF(NFI_Expiration=1,IF($A1030&lt;VLOOKUP(L$5,NFI,5,0),1,0)*Table_NFI[[#This Row],[Tarpaulin]],Table_NFI[[#This Row],[Tarpaulin]])</f>
        <v>0</v>
      </c>
      <c r="AD1030" s="352">
        <f>IF(NFI_Expiration=1,IF($A1030&lt;VLOOKUP(M$5,NFI,5,0),1,0)*Table_NFI[[#This Row],[Blanket]],Table_NFI[[#This Row],[Blanket]])</f>
        <v>0</v>
      </c>
      <c r="AE1030" s="352">
        <f>IF(NFI_Expiration=1,IF($A1030&lt;VLOOKUP(N$5,NFI,5,0),1,0)*Table_NFI[[#This Row],[Kitchen Set]],Table_NFI[Kitchen Set])</f>
        <v>0</v>
      </c>
      <c r="AF1030" s="352">
        <f>IF(NFI_Expiration=1,IF($A1030&lt;VLOOKUP(O$5,NFI,5,0),1,0)*Table_NFI[[#This Row],[Clothes Kit]],Table_NFI[Clothes Kit])</f>
        <v>0</v>
      </c>
      <c r="AG1030" s="352">
        <f>IF(NFI_Expiration=1,IF($A1030&lt;VLOOKUP(P$5,NFI,5,0),1,0)*Table_NFI[[#This Row],[Plastic Bucket]],Table_NFI[Plastic Bucket])</f>
        <v>0</v>
      </c>
      <c r="AH1030" s="352">
        <f>IF(NFI_Expiration=1,IF($A1030&lt;VLOOKUP(Q$5,NFI,5,0),1,0)*Table_NFI[[#This Row],[Plastic Mat]],Table_NFI[Plastic Mat])*IF(Table_NFI[[#This Row],[Distribution Date]]&gt;"2014-04-01",1,2.5)</f>
        <v>0</v>
      </c>
      <c r="AI1030" s="352">
        <f>IF(NFI_Expiration=1,IF($A1030&lt;VLOOKUP(R$5,NFI,5,0),1,0)*Table_NFI[[#This Row],[Winter Clothes Adult]],Table_NFI[Winter Clothes Adult])</f>
        <v>0</v>
      </c>
      <c r="AJ1030" s="352">
        <f>IF(NFI_Expiration=1,IF($A1030&lt;VLOOKUP(S$5,NFI,5,0),1,0)*Table_NFI[[#This Row],[Winter Clothes Children]],Table_NFI[Winter Clothes Children])</f>
        <v>0</v>
      </c>
      <c r="AK1030" s="352">
        <f>IF(NFI_Expiration=1,IF($A1030&lt;VLOOKUP(T$5,NFI,5,0),1,0)*Table_NFI[[#This Row],[Winter Items Other]],Table_NFI[Winter Items Other])</f>
        <v>0</v>
      </c>
      <c r="AL1030" s="352">
        <f>IF(NFI_Expiration=1,IF($A1030&lt;VLOOKUP(M$5,NFI,5,0),1,0)*Table_NFI[[#This Row],[Winter Blanket]],Table_NFI[[#This Row],[Winter Blanket]])</f>
        <v>0</v>
      </c>
      <c r="AM1030" s="352">
        <f>IF(Table_NFI[[#This Row],[Winter Clothes Adult]]+Table_NFI[[#This Row],[Winter Clothes Children]]+Table_NFI[[#This Row],[Winter Items Other]]+Table_NFI[[#This Row],[Winter Blanket]]&gt;0,1,0)</f>
        <v>0</v>
      </c>
      <c r="AN1030" s="392">
        <f>IF(NFI_Expiration=1,IF($A1030&lt;VLOOKUP(V$5,NFI,5,0),1,0)*Table_NFI[[#This Row],[Jerry Can]],Table_NFI[Jerry Can])</f>
        <v>0</v>
      </c>
      <c r="AO1030" s="540" t="str">
        <f>IFERROR(VLOOKUP(Table_NFI[[#This Row],[Camp Name]],CL,2,0),"")</f>
        <v>MMR001CMP116</v>
      </c>
      <c r="AP1030" s="535">
        <f ca="1">IF(Table_NFI[[#This Row],[Pcode]]="","",IF(OFFSET(CampList[Opening Date],MATCH(Table_NFI[[#This Row],[Pcode]],CampList[CP_Pcode],0)-1,0,1,1)&gt;=NFI_Monitor_Date,1,0))</f>
        <v>0</v>
      </c>
      <c r="AQ1030" s="540" t="str">
        <f>IFERROR(VLOOKUP(Table_NFI[[#This Row],[Camp Name]],CL,3,0),"")</f>
        <v>Open</v>
      </c>
      <c r="AR1030" s="352" t="str">
        <f ca="1">IF(Table_NFI[[#This Row],[Pcode]]="","",OFFSET(CampList[Priority],MATCH(Table_NFI[[#This Row],[Pcode]],CampList[CP_Pcode],0)-1,0,1,1))</f>
        <v>P4</v>
      </c>
      <c r="AS1030" s="351">
        <f>IFERROR(Table_NFI[[#This Row],[Kitchen Set]]/VLOOKUP(Table_NFI[[#This Row],[Camp Name]],CL,4,0),"")</f>
        <v>0</v>
      </c>
      <c r="AT1030" s="533" t="s">
        <v>1094</v>
      </c>
      <c r="AU1030" s="536"/>
    </row>
    <row r="1031" spans="1:47" s="537" customFormat="1" ht="14.45" customHeight="1" x14ac:dyDescent="0.25">
      <c r="A1031" s="355">
        <f t="shared" si="16"/>
        <v>56.033333333333331</v>
      </c>
      <c r="B1031" s="532">
        <v>40890</v>
      </c>
      <c r="C1031" s="533" t="s">
        <v>453</v>
      </c>
      <c r="D1031" s="534" t="s">
        <v>573</v>
      </c>
      <c r="E1031" s="533" t="s">
        <v>380</v>
      </c>
      <c r="F1031" s="348" t="s">
        <v>185</v>
      </c>
      <c r="G1031" s="348" t="s">
        <v>194</v>
      </c>
      <c r="H1031" s="349"/>
      <c r="I1031" s="349"/>
      <c r="J1031" s="349"/>
      <c r="K1031" s="349">
        <v>250</v>
      </c>
      <c r="L1031" s="350">
        <v>125</v>
      </c>
      <c r="M1031" s="350">
        <v>250</v>
      </c>
      <c r="N1031" s="350">
        <v>125</v>
      </c>
      <c r="O1031" s="350">
        <v>125</v>
      </c>
      <c r="P1031" s="352">
        <v>125</v>
      </c>
      <c r="Q1031" s="352">
        <v>125</v>
      </c>
      <c r="R1031" s="352"/>
      <c r="S1031" s="352"/>
      <c r="T1031" s="352"/>
      <c r="U1031" s="352"/>
      <c r="V1031" s="497"/>
      <c r="W1031" s="352"/>
      <c r="X1031" s="352"/>
      <c r="Y1031" s="352">
        <f>IF(NFI_Expiration=1,IF($A1031&lt;VLOOKUP(H$5,NFI,5,0),1,0)*Table_NFI[[#This Row],[Hygiene Kit]],Table_NFI[Hygiene Kit])</f>
        <v>0</v>
      </c>
      <c r="Z1031" s="352">
        <f>IF(NFI_Expiration=1,IF($A1031&lt;VLOOKUP(I$5,NFI,5,0),1,0)*Table_NFI[[#This Row],[NFI Core Kit]],Table_NFI[NFI Core Kit])</f>
        <v>0</v>
      </c>
      <c r="AA1031" s="352">
        <f>IF(NFI_Expiration=1,IF($A1031&lt;VLOOKUP(J$5,NFI,5,0),1,0)*Table_NFI[[#This Row],[Sanitary Kit]],Table_NFI[Sanitary Kit])</f>
        <v>0</v>
      </c>
      <c r="AB1031" s="352">
        <f>IF(NFI_Expiration=1,IF($A1031&lt;VLOOKUP(K$5,NFI,5,0),1,0)*Table_NFI[[#This Row],[Mosquito net]],Table_NFI[Mosquito net])</f>
        <v>0</v>
      </c>
      <c r="AC1031" s="352">
        <f>IF(NFI_Expiration=1,IF($A1031&lt;VLOOKUP(L$5,NFI,5,0),1,0)*Table_NFI[[#This Row],[Tarpaulin]],Table_NFI[[#This Row],[Tarpaulin]])</f>
        <v>0</v>
      </c>
      <c r="AD1031" s="352">
        <f>IF(NFI_Expiration=1,IF($A1031&lt;VLOOKUP(M$5,NFI,5,0),1,0)*Table_NFI[[#This Row],[Blanket]],Table_NFI[[#This Row],[Blanket]])</f>
        <v>0</v>
      </c>
      <c r="AE1031" s="352">
        <f>IF(NFI_Expiration=1,IF($A1031&lt;VLOOKUP(N$5,NFI,5,0),1,0)*Table_NFI[[#This Row],[Kitchen Set]],Table_NFI[Kitchen Set])</f>
        <v>0</v>
      </c>
      <c r="AF1031" s="352">
        <f>IF(NFI_Expiration=1,IF($A1031&lt;VLOOKUP(O$5,NFI,5,0),1,0)*Table_NFI[[#This Row],[Clothes Kit]],Table_NFI[Clothes Kit])</f>
        <v>0</v>
      </c>
      <c r="AG1031" s="352">
        <f>IF(NFI_Expiration=1,IF($A1031&lt;VLOOKUP(P$5,NFI,5,0),1,0)*Table_NFI[[#This Row],[Plastic Bucket]],Table_NFI[Plastic Bucket])</f>
        <v>0</v>
      </c>
      <c r="AH1031" s="352">
        <f>IF(NFI_Expiration=1,IF($A1031&lt;VLOOKUP(Q$5,NFI,5,0),1,0)*Table_NFI[[#This Row],[Plastic Mat]],Table_NFI[Plastic Mat])*IF(Table_NFI[[#This Row],[Distribution Date]]&gt;"2014-04-01",1,2.5)</f>
        <v>0</v>
      </c>
      <c r="AI1031" s="352">
        <f>IF(NFI_Expiration=1,IF($A1031&lt;VLOOKUP(R$5,NFI,5,0),1,0)*Table_NFI[[#This Row],[Winter Clothes Adult]],Table_NFI[Winter Clothes Adult])</f>
        <v>0</v>
      </c>
      <c r="AJ1031" s="352">
        <f>IF(NFI_Expiration=1,IF($A1031&lt;VLOOKUP(S$5,NFI,5,0),1,0)*Table_NFI[[#This Row],[Winter Clothes Children]],Table_NFI[Winter Clothes Children])</f>
        <v>0</v>
      </c>
      <c r="AK1031" s="352">
        <f>IF(NFI_Expiration=1,IF($A1031&lt;VLOOKUP(T$5,NFI,5,0),1,0)*Table_NFI[[#This Row],[Winter Items Other]],Table_NFI[Winter Items Other])</f>
        <v>0</v>
      </c>
      <c r="AL1031" s="352">
        <f>IF(NFI_Expiration=1,IF($A1031&lt;VLOOKUP(M$5,NFI,5,0),1,0)*Table_NFI[[#This Row],[Winter Blanket]],Table_NFI[[#This Row],[Winter Blanket]])</f>
        <v>0</v>
      </c>
      <c r="AM1031" s="352">
        <f>IF(Table_NFI[[#This Row],[Winter Clothes Adult]]+Table_NFI[[#This Row],[Winter Clothes Children]]+Table_NFI[[#This Row],[Winter Items Other]]+Table_NFI[[#This Row],[Winter Blanket]]&gt;0,1,0)</f>
        <v>0</v>
      </c>
      <c r="AN1031" s="392">
        <f>IF(NFI_Expiration=1,IF($A1031&lt;VLOOKUP(V$5,NFI,5,0),1,0)*Table_NFI[[#This Row],[Jerry Can]],Table_NFI[Jerry Can])</f>
        <v>0</v>
      </c>
      <c r="AO1031" s="540" t="str">
        <f>IFERROR(VLOOKUP(Table_NFI[[#This Row],[Camp Name]],CL,2,0),"")</f>
        <v>MMR001CMP122</v>
      </c>
      <c r="AP1031" s="535">
        <f ca="1">IF(Table_NFI[[#This Row],[Pcode]]="","",IF(OFFSET(CampList[Opening Date],MATCH(Table_NFI[[#This Row],[Pcode]],CampList[CP_Pcode],0)-1,0,1,1)&gt;=NFI_Monitor_Date,1,0))</f>
        <v>0</v>
      </c>
      <c r="AQ1031" s="540" t="str">
        <f>IFERROR(VLOOKUP(Table_NFI[[#This Row],[Camp Name]],CL,3,0),"")</f>
        <v>Open</v>
      </c>
      <c r="AR1031" s="352" t="str">
        <f ca="1">IF(Table_NFI[[#This Row],[Pcode]]="","",OFFSET(CampList[Priority],MATCH(Table_NFI[[#This Row],[Pcode]],CampList[CP_Pcode],0)-1,0,1,1))</f>
        <v>P2</v>
      </c>
      <c r="AS1031" s="351">
        <f>IFERROR(Table_NFI[[#This Row],[Kitchen Set]]/VLOOKUP(Table_NFI[[#This Row],[Camp Name]],CL,4,0),"")</f>
        <v>0.20695364238410596</v>
      </c>
      <c r="AT1031" s="533" t="s">
        <v>1094</v>
      </c>
      <c r="AU1031" s="536"/>
    </row>
    <row r="1032" spans="1:47" s="537" customFormat="1" ht="13.9" customHeight="1" x14ac:dyDescent="0.25">
      <c r="A1032" s="355">
        <f t="shared" si="16"/>
        <v>56.033333333333331</v>
      </c>
      <c r="B1032" s="532">
        <v>40890</v>
      </c>
      <c r="C1032" s="533" t="s">
        <v>453</v>
      </c>
      <c r="D1032" s="534" t="s">
        <v>573</v>
      </c>
      <c r="E1032" s="533" t="s">
        <v>380</v>
      </c>
      <c r="F1032" s="348" t="s">
        <v>185</v>
      </c>
      <c r="G1032" s="348" t="s">
        <v>196</v>
      </c>
      <c r="H1032" s="349"/>
      <c r="I1032" s="349"/>
      <c r="J1032" s="349"/>
      <c r="K1032" s="349">
        <v>250</v>
      </c>
      <c r="L1032" s="350">
        <v>125</v>
      </c>
      <c r="M1032" s="350">
        <v>250</v>
      </c>
      <c r="N1032" s="350">
        <v>125</v>
      </c>
      <c r="O1032" s="350">
        <v>125</v>
      </c>
      <c r="P1032" s="352">
        <v>125</v>
      </c>
      <c r="Q1032" s="352">
        <v>125</v>
      </c>
      <c r="R1032" s="352"/>
      <c r="S1032" s="352"/>
      <c r="T1032" s="352"/>
      <c r="U1032" s="352"/>
      <c r="V1032" s="497"/>
      <c r="W1032" s="352"/>
      <c r="X1032" s="352"/>
      <c r="Y1032" s="352">
        <f>IF(NFI_Expiration=1,IF($A1032&lt;VLOOKUP(H$5,NFI,5,0),1,0)*Table_NFI[[#This Row],[Hygiene Kit]],Table_NFI[Hygiene Kit])</f>
        <v>0</v>
      </c>
      <c r="Z1032" s="352">
        <f>IF(NFI_Expiration=1,IF($A1032&lt;VLOOKUP(I$5,NFI,5,0),1,0)*Table_NFI[[#This Row],[NFI Core Kit]],Table_NFI[NFI Core Kit])</f>
        <v>0</v>
      </c>
      <c r="AA1032" s="352">
        <f>IF(NFI_Expiration=1,IF($A1032&lt;VLOOKUP(J$5,NFI,5,0),1,0)*Table_NFI[[#This Row],[Sanitary Kit]],Table_NFI[Sanitary Kit])</f>
        <v>0</v>
      </c>
      <c r="AB1032" s="352">
        <f>IF(NFI_Expiration=1,IF($A1032&lt;VLOOKUP(K$5,NFI,5,0),1,0)*Table_NFI[[#This Row],[Mosquito net]],Table_NFI[Mosquito net])</f>
        <v>0</v>
      </c>
      <c r="AC1032" s="352">
        <f>IF(NFI_Expiration=1,IF($A1032&lt;VLOOKUP(L$5,NFI,5,0),1,0)*Table_NFI[[#This Row],[Tarpaulin]],Table_NFI[[#This Row],[Tarpaulin]])</f>
        <v>0</v>
      </c>
      <c r="AD1032" s="352">
        <f>IF(NFI_Expiration=1,IF($A1032&lt;VLOOKUP(M$5,NFI,5,0),1,0)*Table_NFI[[#This Row],[Blanket]],Table_NFI[[#This Row],[Blanket]])</f>
        <v>0</v>
      </c>
      <c r="AE1032" s="352">
        <f>IF(NFI_Expiration=1,IF($A1032&lt;VLOOKUP(N$5,NFI,5,0),1,0)*Table_NFI[[#This Row],[Kitchen Set]],Table_NFI[Kitchen Set])</f>
        <v>0</v>
      </c>
      <c r="AF1032" s="352">
        <f>IF(NFI_Expiration=1,IF($A1032&lt;VLOOKUP(O$5,NFI,5,0),1,0)*Table_NFI[[#This Row],[Clothes Kit]],Table_NFI[Clothes Kit])</f>
        <v>0</v>
      </c>
      <c r="AG1032" s="352">
        <f>IF(NFI_Expiration=1,IF($A1032&lt;VLOOKUP(P$5,NFI,5,0),1,0)*Table_NFI[[#This Row],[Plastic Bucket]],Table_NFI[Plastic Bucket])</f>
        <v>0</v>
      </c>
      <c r="AH1032" s="352">
        <f>IF(NFI_Expiration=1,IF($A1032&lt;VLOOKUP(Q$5,NFI,5,0),1,0)*Table_NFI[[#This Row],[Plastic Mat]],Table_NFI[Plastic Mat])*IF(Table_NFI[[#This Row],[Distribution Date]]&gt;"2014-04-01",1,2.5)</f>
        <v>0</v>
      </c>
      <c r="AI1032" s="352">
        <f>IF(NFI_Expiration=1,IF($A1032&lt;VLOOKUP(R$5,NFI,5,0),1,0)*Table_NFI[[#This Row],[Winter Clothes Adult]],Table_NFI[Winter Clothes Adult])</f>
        <v>0</v>
      </c>
      <c r="AJ1032" s="352">
        <f>IF(NFI_Expiration=1,IF($A1032&lt;VLOOKUP(S$5,NFI,5,0),1,0)*Table_NFI[[#This Row],[Winter Clothes Children]],Table_NFI[Winter Clothes Children])</f>
        <v>0</v>
      </c>
      <c r="AK1032" s="352">
        <f>IF(NFI_Expiration=1,IF($A1032&lt;VLOOKUP(T$5,NFI,5,0),1,0)*Table_NFI[[#This Row],[Winter Items Other]],Table_NFI[Winter Items Other])</f>
        <v>0</v>
      </c>
      <c r="AL1032" s="352">
        <f>IF(NFI_Expiration=1,IF($A1032&lt;VLOOKUP(M$5,NFI,5,0),1,0)*Table_NFI[[#This Row],[Winter Blanket]],Table_NFI[[#This Row],[Winter Blanket]])</f>
        <v>0</v>
      </c>
      <c r="AM1032" s="352">
        <f>IF(Table_NFI[[#This Row],[Winter Clothes Adult]]+Table_NFI[[#This Row],[Winter Clothes Children]]+Table_NFI[[#This Row],[Winter Items Other]]+Table_NFI[[#This Row],[Winter Blanket]]&gt;0,1,0)</f>
        <v>0</v>
      </c>
      <c r="AN1032" s="392">
        <f>IF(NFI_Expiration=1,IF($A1032&lt;VLOOKUP(V$5,NFI,5,0),1,0)*Table_NFI[[#This Row],[Jerry Can]],Table_NFI[Jerry Can])</f>
        <v>0</v>
      </c>
      <c r="AO1032" s="540" t="str">
        <f>IFERROR(VLOOKUP(Table_NFI[[#This Row],[Camp Name]],CL,2,0),"")</f>
        <v>MMR001CMP121</v>
      </c>
      <c r="AP1032" s="535">
        <f ca="1">IF(Table_NFI[[#This Row],[Pcode]]="","",IF(OFFSET(CampList[Opening Date],MATCH(Table_NFI[[#This Row],[Pcode]],CampList[CP_Pcode],0)-1,0,1,1)&gt;=NFI_Monitor_Date,1,0))</f>
        <v>0</v>
      </c>
      <c r="AQ1032" s="540" t="str">
        <f>IFERROR(VLOOKUP(Table_NFI[[#This Row],[Camp Name]],CL,3,0),"")</f>
        <v>Open</v>
      </c>
      <c r="AR1032" s="352" t="str">
        <f ca="1">IF(Table_NFI[[#This Row],[Pcode]]="","",OFFSET(CampList[Priority],MATCH(Table_NFI[[#This Row],[Pcode]],CampList[CP_Pcode],0)-1,0,1,1))</f>
        <v>P2</v>
      </c>
      <c r="AS1032" s="351">
        <f>IFERROR(Table_NFI[[#This Row],[Kitchen Set]]/VLOOKUP(Table_NFI[[#This Row],[Camp Name]],CL,4,0),"")</f>
        <v>7.5392038600723757E-2</v>
      </c>
      <c r="AT1032" s="533" t="s">
        <v>1094</v>
      </c>
      <c r="AU1032" s="536"/>
    </row>
    <row r="1033" spans="1:47" s="537" customFormat="1" ht="14.45" customHeight="1" x14ac:dyDescent="0.25">
      <c r="A1033" s="355">
        <f t="shared" si="16"/>
        <v>56.033333333333331</v>
      </c>
      <c r="B1033" s="532">
        <v>40890</v>
      </c>
      <c r="C1033" s="533" t="s">
        <v>453</v>
      </c>
      <c r="D1033" s="534" t="s">
        <v>573</v>
      </c>
      <c r="E1033" s="533" t="s">
        <v>380</v>
      </c>
      <c r="F1033" s="348" t="s">
        <v>310</v>
      </c>
      <c r="G1033" s="348" t="s">
        <v>322</v>
      </c>
      <c r="H1033" s="349"/>
      <c r="I1033" s="349"/>
      <c r="J1033" s="349"/>
      <c r="K1033" s="349">
        <v>250</v>
      </c>
      <c r="L1033" s="350">
        <v>125</v>
      </c>
      <c r="M1033" s="350">
        <v>250</v>
      </c>
      <c r="N1033" s="350">
        <v>125</v>
      </c>
      <c r="O1033" s="350">
        <v>125</v>
      </c>
      <c r="P1033" s="352">
        <v>125</v>
      </c>
      <c r="Q1033" s="352">
        <v>125</v>
      </c>
      <c r="R1033" s="352"/>
      <c r="S1033" s="352"/>
      <c r="T1033" s="352"/>
      <c r="U1033" s="352"/>
      <c r="V1033" s="497"/>
      <c r="W1033" s="352"/>
      <c r="X1033" s="352"/>
      <c r="Y1033" s="352">
        <f>IF(NFI_Expiration=1,IF($A1033&lt;VLOOKUP(H$5,NFI,5,0),1,0)*Table_NFI[[#This Row],[Hygiene Kit]],Table_NFI[Hygiene Kit])</f>
        <v>0</v>
      </c>
      <c r="Z1033" s="352">
        <f>IF(NFI_Expiration=1,IF($A1033&lt;VLOOKUP(I$5,NFI,5,0),1,0)*Table_NFI[[#This Row],[NFI Core Kit]],Table_NFI[NFI Core Kit])</f>
        <v>0</v>
      </c>
      <c r="AA1033" s="352">
        <f>IF(NFI_Expiration=1,IF($A1033&lt;VLOOKUP(J$5,NFI,5,0),1,0)*Table_NFI[[#This Row],[Sanitary Kit]],Table_NFI[Sanitary Kit])</f>
        <v>0</v>
      </c>
      <c r="AB1033" s="352">
        <f>IF(NFI_Expiration=1,IF($A1033&lt;VLOOKUP(K$5,NFI,5,0),1,0)*Table_NFI[[#This Row],[Mosquito net]],Table_NFI[Mosquito net])</f>
        <v>0</v>
      </c>
      <c r="AC1033" s="352">
        <f>IF(NFI_Expiration=1,IF($A1033&lt;VLOOKUP(L$5,NFI,5,0),1,0)*Table_NFI[[#This Row],[Tarpaulin]],Table_NFI[[#This Row],[Tarpaulin]])</f>
        <v>0</v>
      </c>
      <c r="AD1033" s="352">
        <f>IF(NFI_Expiration=1,IF($A1033&lt;VLOOKUP(M$5,NFI,5,0),1,0)*Table_NFI[[#This Row],[Blanket]],Table_NFI[[#This Row],[Blanket]])</f>
        <v>0</v>
      </c>
      <c r="AE1033" s="352">
        <f>IF(NFI_Expiration=1,IF($A1033&lt;VLOOKUP(N$5,NFI,5,0),1,0)*Table_NFI[[#This Row],[Kitchen Set]],Table_NFI[Kitchen Set])</f>
        <v>0</v>
      </c>
      <c r="AF1033" s="352">
        <f>IF(NFI_Expiration=1,IF($A1033&lt;VLOOKUP(O$5,NFI,5,0),1,0)*Table_NFI[[#This Row],[Clothes Kit]],Table_NFI[Clothes Kit])</f>
        <v>0</v>
      </c>
      <c r="AG1033" s="352">
        <f>IF(NFI_Expiration=1,IF($A1033&lt;VLOOKUP(P$5,NFI,5,0),1,0)*Table_NFI[[#This Row],[Plastic Bucket]],Table_NFI[Plastic Bucket])</f>
        <v>0</v>
      </c>
      <c r="AH1033" s="352">
        <f>IF(NFI_Expiration=1,IF($A1033&lt;VLOOKUP(Q$5,NFI,5,0),1,0)*Table_NFI[[#This Row],[Plastic Mat]],Table_NFI[Plastic Mat])*IF(Table_NFI[[#This Row],[Distribution Date]]&gt;"2014-04-01",1,2.5)</f>
        <v>0</v>
      </c>
      <c r="AI1033" s="352">
        <f>IF(NFI_Expiration=1,IF($A1033&lt;VLOOKUP(R$5,NFI,5,0),1,0)*Table_NFI[[#This Row],[Winter Clothes Adult]],Table_NFI[Winter Clothes Adult])</f>
        <v>0</v>
      </c>
      <c r="AJ1033" s="352">
        <f>IF(NFI_Expiration=1,IF($A1033&lt;VLOOKUP(S$5,NFI,5,0),1,0)*Table_NFI[[#This Row],[Winter Clothes Children]],Table_NFI[Winter Clothes Children])</f>
        <v>0</v>
      </c>
      <c r="AK1033" s="352">
        <f>IF(NFI_Expiration=1,IF($A1033&lt;VLOOKUP(T$5,NFI,5,0),1,0)*Table_NFI[[#This Row],[Winter Items Other]],Table_NFI[Winter Items Other])</f>
        <v>0</v>
      </c>
      <c r="AL1033" s="352">
        <f>IF(NFI_Expiration=1,IF($A1033&lt;VLOOKUP(M$5,NFI,5,0),1,0)*Table_NFI[[#This Row],[Winter Blanket]],Table_NFI[[#This Row],[Winter Blanket]])</f>
        <v>0</v>
      </c>
      <c r="AM1033" s="352">
        <f>IF(Table_NFI[[#This Row],[Winter Clothes Adult]]+Table_NFI[[#This Row],[Winter Clothes Children]]+Table_NFI[[#This Row],[Winter Items Other]]+Table_NFI[[#This Row],[Winter Blanket]]&gt;0,1,0)</f>
        <v>0</v>
      </c>
      <c r="AN1033" s="392">
        <f>IF(NFI_Expiration=1,IF($A1033&lt;VLOOKUP(V$5,NFI,5,0),1,0)*Table_NFI[[#This Row],[Jerry Can]],Table_NFI[Jerry Can])</f>
        <v>0</v>
      </c>
      <c r="AO1033" s="540" t="str">
        <f>IFERROR(VLOOKUP(Table_NFI[[#This Row],[Camp Name]],CL,2,0),"")</f>
        <v>MMR001CMP119</v>
      </c>
      <c r="AP1033" s="535">
        <f ca="1">IF(Table_NFI[[#This Row],[Pcode]]="","",IF(OFFSET(CampList[Opening Date],MATCH(Table_NFI[[#This Row],[Pcode]],CampList[CP_Pcode],0)-1,0,1,1)&gt;=NFI_Monitor_Date,1,0))</f>
        <v>0</v>
      </c>
      <c r="AQ1033" s="540" t="str">
        <f>IFERROR(VLOOKUP(Table_NFI[[#This Row],[Camp Name]],CL,3,0),"")</f>
        <v>Open</v>
      </c>
      <c r="AR1033" s="352" t="str">
        <f ca="1">IF(Table_NFI[[#This Row],[Pcode]]="","",OFFSET(CampList[Priority],MATCH(Table_NFI[[#This Row],[Pcode]],CampList[CP_Pcode],0)-1,0,1,1))</f>
        <v>P2</v>
      </c>
      <c r="AS1033" s="351">
        <f>IFERROR(Table_NFI[[#This Row],[Kitchen Set]]/VLOOKUP(Table_NFI[[#This Row],[Camp Name]],CL,4,0),"")</f>
        <v>0.21331058020477817</v>
      </c>
      <c r="AT1033" s="533" t="s">
        <v>1094</v>
      </c>
      <c r="AU1033" s="536"/>
    </row>
    <row r="1034" spans="1:47" s="537" customFormat="1" ht="15" customHeight="1" x14ac:dyDescent="0.25">
      <c r="A1034" s="355">
        <f t="shared" si="16"/>
        <v>56.033333333333331</v>
      </c>
      <c r="B1034" s="532">
        <v>40890</v>
      </c>
      <c r="C1034" s="533" t="s">
        <v>453</v>
      </c>
      <c r="D1034" s="534" t="s">
        <v>573</v>
      </c>
      <c r="E1034" s="533" t="s">
        <v>380</v>
      </c>
      <c r="F1034" s="348" t="s">
        <v>310</v>
      </c>
      <c r="G1034" s="348" t="s">
        <v>1248</v>
      </c>
      <c r="H1034" s="349"/>
      <c r="I1034" s="349"/>
      <c r="J1034" s="349"/>
      <c r="K1034" s="349">
        <v>250</v>
      </c>
      <c r="L1034" s="350">
        <v>125</v>
      </c>
      <c r="M1034" s="350">
        <v>250</v>
      </c>
      <c r="N1034" s="350">
        <v>125</v>
      </c>
      <c r="O1034" s="350">
        <v>125</v>
      </c>
      <c r="P1034" s="352">
        <v>125</v>
      </c>
      <c r="Q1034" s="352">
        <v>125</v>
      </c>
      <c r="R1034" s="352"/>
      <c r="S1034" s="352"/>
      <c r="T1034" s="352"/>
      <c r="U1034" s="352"/>
      <c r="V1034" s="497"/>
      <c r="W1034" s="352"/>
      <c r="X1034" s="352"/>
      <c r="Y1034" s="352">
        <f>IF(NFI_Expiration=1,IF($A1034&lt;VLOOKUP(H$5,NFI,5,0),1,0)*Table_NFI[[#This Row],[Hygiene Kit]],Table_NFI[Hygiene Kit])</f>
        <v>0</v>
      </c>
      <c r="Z1034" s="352">
        <f>IF(NFI_Expiration=1,IF($A1034&lt;VLOOKUP(I$5,NFI,5,0),1,0)*Table_NFI[[#This Row],[NFI Core Kit]],Table_NFI[NFI Core Kit])</f>
        <v>0</v>
      </c>
      <c r="AA1034" s="352">
        <f>IF(NFI_Expiration=1,IF($A1034&lt;VLOOKUP(J$5,NFI,5,0),1,0)*Table_NFI[[#This Row],[Sanitary Kit]],Table_NFI[Sanitary Kit])</f>
        <v>0</v>
      </c>
      <c r="AB1034" s="352">
        <f>IF(NFI_Expiration=1,IF($A1034&lt;VLOOKUP(K$5,NFI,5,0),1,0)*Table_NFI[[#This Row],[Mosquito net]],Table_NFI[Mosquito net])</f>
        <v>0</v>
      </c>
      <c r="AC1034" s="352">
        <f>IF(NFI_Expiration=1,IF($A1034&lt;VLOOKUP(L$5,NFI,5,0),1,0)*Table_NFI[[#This Row],[Tarpaulin]],Table_NFI[[#This Row],[Tarpaulin]])</f>
        <v>0</v>
      </c>
      <c r="AD1034" s="352">
        <f>IF(NFI_Expiration=1,IF($A1034&lt;VLOOKUP(M$5,NFI,5,0),1,0)*Table_NFI[[#This Row],[Blanket]],Table_NFI[[#This Row],[Blanket]])</f>
        <v>0</v>
      </c>
      <c r="AE1034" s="352">
        <f>IF(NFI_Expiration=1,IF($A1034&lt;VLOOKUP(N$5,NFI,5,0),1,0)*Table_NFI[[#This Row],[Kitchen Set]],Table_NFI[Kitchen Set])</f>
        <v>0</v>
      </c>
      <c r="AF1034" s="352">
        <f>IF(NFI_Expiration=1,IF($A1034&lt;VLOOKUP(O$5,NFI,5,0),1,0)*Table_NFI[[#This Row],[Clothes Kit]],Table_NFI[Clothes Kit])</f>
        <v>0</v>
      </c>
      <c r="AG1034" s="352">
        <f>IF(NFI_Expiration=1,IF($A1034&lt;VLOOKUP(P$5,NFI,5,0),1,0)*Table_NFI[[#This Row],[Plastic Bucket]],Table_NFI[Plastic Bucket])</f>
        <v>0</v>
      </c>
      <c r="AH1034" s="352">
        <f>IF(NFI_Expiration=1,IF($A1034&lt;VLOOKUP(Q$5,NFI,5,0),1,0)*Table_NFI[[#This Row],[Plastic Mat]],Table_NFI[Plastic Mat])*IF(Table_NFI[[#This Row],[Distribution Date]]&gt;"2014-04-01",1,2.5)</f>
        <v>0</v>
      </c>
      <c r="AI1034" s="352">
        <f>IF(NFI_Expiration=1,IF($A1034&lt;VLOOKUP(R$5,NFI,5,0),1,0)*Table_NFI[[#This Row],[Winter Clothes Adult]],Table_NFI[Winter Clothes Adult])</f>
        <v>0</v>
      </c>
      <c r="AJ1034" s="352">
        <f>IF(NFI_Expiration=1,IF($A1034&lt;VLOOKUP(S$5,NFI,5,0),1,0)*Table_NFI[[#This Row],[Winter Clothes Children]],Table_NFI[Winter Clothes Children])</f>
        <v>0</v>
      </c>
      <c r="AK1034" s="352">
        <f>IF(NFI_Expiration=1,IF($A1034&lt;VLOOKUP(T$5,NFI,5,0),1,0)*Table_NFI[[#This Row],[Winter Items Other]],Table_NFI[Winter Items Other])</f>
        <v>0</v>
      </c>
      <c r="AL1034" s="352">
        <f>IF(NFI_Expiration=1,IF($A1034&lt;VLOOKUP(M$5,NFI,5,0),1,0)*Table_NFI[[#This Row],[Winter Blanket]],Table_NFI[[#This Row],[Winter Blanket]])</f>
        <v>0</v>
      </c>
      <c r="AM1034" s="352">
        <f>IF(Table_NFI[[#This Row],[Winter Clothes Adult]]+Table_NFI[[#This Row],[Winter Clothes Children]]+Table_NFI[[#This Row],[Winter Items Other]]+Table_NFI[[#This Row],[Winter Blanket]]&gt;0,1,0)</f>
        <v>0</v>
      </c>
      <c r="AN1034" s="392">
        <f>IF(NFI_Expiration=1,IF($A1034&lt;VLOOKUP(V$5,NFI,5,0),1,0)*Table_NFI[[#This Row],[Jerry Can]],Table_NFI[Jerry Can])</f>
        <v>0</v>
      </c>
      <c r="AO1034" s="540" t="str">
        <f>IFERROR(VLOOKUP(Table_NFI[[#This Row],[Camp Name]],CL,2,0),"")</f>
        <v>MMR001CMP111</v>
      </c>
      <c r="AP1034" s="535">
        <f ca="1">IF(Table_NFI[[#This Row],[Pcode]]="","",IF(OFFSET(CampList[Opening Date],MATCH(Table_NFI[[#This Row],[Pcode]],CampList[CP_Pcode],0)-1,0,1,1)&gt;=NFI_Monitor_Date,1,0))</f>
        <v>0</v>
      </c>
      <c r="AQ1034" s="540" t="str">
        <f>IFERROR(VLOOKUP(Table_NFI[[#This Row],[Camp Name]],CL,3,0),"")</f>
        <v>Open</v>
      </c>
      <c r="AR1034" s="352" t="str">
        <f ca="1">IF(Table_NFI[[#This Row],[Pcode]]="","",OFFSET(CampList[Priority],MATCH(Table_NFI[[#This Row],[Pcode]],CampList[CP_Pcode],0)-1,0,1,1))</f>
        <v>P2</v>
      </c>
      <c r="AS1034" s="351">
        <f>IFERROR(Table_NFI[[#This Row],[Kitchen Set]]/VLOOKUP(Table_NFI[[#This Row],[Camp Name]],CL,4,0),"")</f>
        <v>0.20695364238410596</v>
      </c>
      <c r="AT1034" s="533" t="s">
        <v>1094</v>
      </c>
      <c r="AU1034" s="536"/>
    </row>
    <row r="1035" spans="1:47" s="537" customFormat="1" ht="14.45" hidden="1" customHeight="1" x14ac:dyDescent="0.25">
      <c r="A1035" s="355">
        <f t="shared" si="16"/>
        <v>43.233333333333334</v>
      </c>
      <c r="B1035" s="532">
        <v>41274</v>
      </c>
      <c r="C1035" s="533" t="s">
        <v>454</v>
      </c>
      <c r="D1035" s="533" t="s">
        <v>454</v>
      </c>
      <c r="E1035" s="533" t="s">
        <v>380</v>
      </c>
      <c r="F1035" s="348" t="s">
        <v>528</v>
      </c>
      <c r="G1035" s="348" t="s">
        <v>74</v>
      </c>
      <c r="H1035" s="349">
        <v>3</v>
      </c>
      <c r="I1035" s="349"/>
      <c r="J1035" s="349"/>
      <c r="K1035" s="349"/>
      <c r="L1035" s="350"/>
      <c r="M1035" s="350"/>
      <c r="N1035" s="350"/>
      <c r="O1035" s="350"/>
      <c r="P1035" s="352">
        <v>0</v>
      </c>
      <c r="Q1035" s="352">
        <v>0</v>
      </c>
      <c r="R1035" s="352"/>
      <c r="S1035" s="352"/>
      <c r="T1035" s="352"/>
      <c r="U1035" s="352"/>
      <c r="V1035" s="497"/>
      <c r="W1035" s="352"/>
      <c r="X1035" s="352"/>
      <c r="Y1035" s="352">
        <f>IF(NFI_Expiration=1,IF($A1035&lt;VLOOKUP(H$5,NFI,5,0),1,0)*Table_NFI[[#This Row],[Hygiene Kit]],Table_NFI[Hygiene Kit])</f>
        <v>0</v>
      </c>
      <c r="Z1035" s="352">
        <f>IF(NFI_Expiration=1,IF($A1035&lt;VLOOKUP(I$5,NFI,5,0),1,0)*Table_NFI[[#This Row],[NFI Core Kit]],Table_NFI[NFI Core Kit])</f>
        <v>0</v>
      </c>
      <c r="AA1035" s="352">
        <f>IF(NFI_Expiration=1,IF($A1035&lt;VLOOKUP(J$5,NFI,5,0),1,0)*Table_NFI[[#This Row],[Sanitary Kit]],Table_NFI[Sanitary Kit])</f>
        <v>0</v>
      </c>
      <c r="AB1035" s="352">
        <f>IF(NFI_Expiration=1,IF($A1035&lt;VLOOKUP(K$5,NFI,5,0),1,0)*Table_NFI[[#This Row],[Mosquito net]],Table_NFI[Mosquito net])</f>
        <v>0</v>
      </c>
      <c r="AC1035" s="352">
        <f>IF(NFI_Expiration=1,IF($A1035&lt;VLOOKUP(L$5,NFI,5,0),1,0)*Table_NFI[[#This Row],[Tarpaulin]],Table_NFI[[#This Row],[Tarpaulin]])</f>
        <v>0</v>
      </c>
      <c r="AD1035" s="352">
        <f>IF(NFI_Expiration=1,IF($A1035&lt;VLOOKUP(M$5,NFI,5,0),1,0)*Table_NFI[[#This Row],[Blanket]],Table_NFI[[#This Row],[Blanket]])</f>
        <v>0</v>
      </c>
      <c r="AE1035" s="352">
        <f>IF(NFI_Expiration=1,IF($A1035&lt;VLOOKUP(N$5,NFI,5,0),1,0)*Table_NFI[[#This Row],[Kitchen Set]],Table_NFI[Kitchen Set])</f>
        <v>0</v>
      </c>
      <c r="AF1035" s="352">
        <f>IF(NFI_Expiration=1,IF($A1035&lt;VLOOKUP(O$5,NFI,5,0),1,0)*Table_NFI[[#This Row],[Clothes Kit]],Table_NFI[Clothes Kit])</f>
        <v>0</v>
      </c>
      <c r="AG1035" s="352">
        <f>IF(NFI_Expiration=1,IF($A1035&lt;VLOOKUP(P$5,NFI,5,0),1,0)*Table_NFI[[#This Row],[Plastic Bucket]],Table_NFI[Plastic Bucket])</f>
        <v>0</v>
      </c>
      <c r="AH1035" s="352">
        <f>IF(NFI_Expiration=1,IF($A1035&lt;VLOOKUP(Q$5,NFI,5,0),1,0)*Table_NFI[[#This Row],[Plastic Mat]],Table_NFI[Plastic Mat])*IF(Table_NFI[[#This Row],[Distribution Date]]&gt;"2014-04-01",1,2.5)</f>
        <v>0</v>
      </c>
      <c r="AI1035" s="352">
        <f>IF(NFI_Expiration=1,IF($A1035&lt;VLOOKUP(R$5,NFI,5,0),1,0)*Table_NFI[[#This Row],[Winter Clothes Adult]],Table_NFI[Winter Clothes Adult])</f>
        <v>0</v>
      </c>
      <c r="AJ1035" s="352">
        <f>IF(NFI_Expiration=1,IF($A1035&lt;VLOOKUP(S$5,NFI,5,0),1,0)*Table_NFI[[#This Row],[Winter Clothes Children]],Table_NFI[Winter Clothes Children])</f>
        <v>0</v>
      </c>
      <c r="AK1035" s="352">
        <f>IF(NFI_Expiration=1,IF($A1035&lt;VLOOKUP(T$5,NFI,5,0),1,0)*Table_NFI[[#This Row],[Winter Items Other]],Table_NFI[Winter Items Other])</f>
        <v>0</v>
      </c>
      <c r="AL1035" s="352">
        <f>IF(NFI_Expiration=1,IF($A1035&lt;VLOOKUP(M$5,NFI,5,0),1,0)*Table_NFI[[#This Row],[Winter Blanket]],Table_NFI[[#This Row],[Winter Blanket]])</f>
        <v>0</v>
      </c>
      <c r="AM1035" s="352">
        <f>IF(Table_NFI[[#This Row],[Winter Clothes Adult]]+Table_NFI[[#This Row],[Winter Clothes Children]]+Table_NFI[[#This Row],[Winter Items Other]]+Table_NFI[[#This Row],[Winter Blanket]]&gt;0,1,0)</f>
        <v>0</v>
      </c>
      <c r="AN1035" s="392">
        <f>IF(NFI_Expiration=1,IF($A1035&lt;VLOOKUP(V$5,NFI,5,0),1,0)*Table_NFI[[#This Row],[Jerry Can]],Table_NFI[Jerry Can])</f>
        <v>0</v>
      </c>
      <c r="AO1035" s="540" t="str">
        <f>IFERROR(VLOOKUP(Table_NFI[[#This Row],[Camp Name]],CL,2,0),"")</f>
        <v>MMR001CMP175</v>
      </c>
      <c r="AP1035" s="535">
        <f ca="1">IF(Table_NFI[[#This Row],[Pcode]]="","",IF(OFFSET(CampList[Opening Date],MATCH(Table_NFI[[#This Row],[Pcode]],CampList[CP_Pcode],0)-1,0,1,1)&gt;=NFI_Monitor_Date,1,0))</f>
        <v>0</v>
      </c>
      <c r="AQ1035" s="540" t="str">
        <f>IFERROR(VLOOKUP(Table_NFI[[#This Row],[Camp Name]],CL,3,0),"")</f>
        <v>Closed</v>
      </c>
      <c r="AR1035" s="352" t="str">
        <f ca="1">IF(Table_NFI[[#This Row],[Pcode]]="","",OFFSET(CampList[Priority],MATCH(Table_NFI[[#This Row],[Pcode]],CampList[CP_Pcode],0)-1,0,1,1))</f>
        <v/>
      </c>
      <c r="AS1035" s="351" t="str">
        <f>IFERROR(Table_NFI[[#This Row],[Kitchen Set]]/VLOOKUP(Table_NFI[[#This Row],[Camp Name]],CL,4,0),"")</f>
        <v/>
      </c>
      <c r="AT1035" s="533" t="s">
        <v>1094</v>
      </c>
      <c r="AU1035" s="536"/>
    </row>
    <row r="1036" spans="1:47" s="537" customFormat="1" ht="14.45" customHeight="1" x14ac:dyDescent="0.25">
      <c r="A1036" s="355">
        <f t="shared" si="16"/>
        <v>56.1</v>
      </c>
      <c r="B1036" s="532">
        <v>40888</v>
      </c>
      <c r="C1036" s="533" t="s">
        <v>453</v>
      </c>
      <c r="D1036" s="533" t="s">
        <v>461</v>
      </c>
      <c r="E1036" s="533" t="s">
        <v>380</v>
      </c>
      <c r="F1036" s="348" t="s">
        <v>237</v>
      </c>
      <c r="G1036" s="348" t="s">
        <v>261</v>
      </c>
      <c r="H1036" s="349"/>
      <c r="I1036" s="349"/>
      <c r="J1036" s="349"/>
      <c r="K1036" s="349">
        <v>6</v>
      </c>
      <c r="L1036" s="350">
        <v>4</v>
      </c>
      <c r="M1036" s="350">
        <v>6</v>
      </c>
      <c r="N1036" s="350">
        <v>4</v>
      </c>
      <c r="O1036" s="350">
        <v>4</v>
      </c>
      <c r="P1036" s="352">
        <v>4</v>
      </c>
      <c r="Q1036" s="352">
        <v>4</v>
      </c>
      <c r="R1036" s="352"/>
      <c r="S1036" s="352"/>
      <c r="T1036" s="352"/>
      <c r="U1036" s="352"/>
      <c r="V1036" s="497"/>
      <c r="W1036" s="352"/>
      <c r="X1036" s="352"/>
      <c r="Y1036" s="352">
        <f>IF(NFI_Expiration=1,IF($A1036&lt;VLOOKUP(H$5,NFI,5,0),1,0)*Table_NFI[[#This Row],[Hygiene Kit]],Table_NFI[Hygiene Kit])</f>
        <v>0</v>
      </c>
      <c r="Z1036" s="352">
        <f>IF(NFI_Expiration=1,IF($A1036&lt;VLOOKUP(I$5,NFI,5,0),1,0)*Table_NFI[[#This Row],[NFI Core Kit]],Table_NFI[NFI Core Kit])</f>
        <v>0</v>
      </c>
      <c r="AA1036" s="352">
        <f>IF(NFI_Expiration=1,IF($A1036&lt;VLOOKUP(J$5,NFI,5,0),1,0)*Table_NFI[[#This Row],[Sanitary Kit]],Table_NFI[Sanitary Kit])</f>
        <v>0</v>
      </c>
      <c r="AB1036" s="352">
        <f>IF(NFI_Expiration=1,IF($A1036&lt;VLOOKUP(K$5,NFI,5,0),1,0)*Table_NFI[[#This Row],[Mosquito net]],Table_NFI[Mosquito net])</f>
        <v>0</v>
      </c>
      <c r="AC1036" s="352">
        <f>IF(NFI_Expiration=1,IF($A1036&lt;VLOOKUP(L$5,NFI,5,0),1,0)*Table_NFI[[#This Row],[Tarpaulin]],Table_NFI[[#This Row],[Tarpaulin]])</f>
        <v>0</v>
      </c>
      <c r="AD1036" s="352">
        <f>IF(NFI_Expiration=1,IF($A1036&lt;VLOOKUP(M$5,NFI,5,0),1,0)*Table_NFI[[#This Row],[Blanket]],Table_NFI[[#This Row],[Blanket]])</f>
        <v>0</v>
      </c>
      <c r="AE1036" s="352">
        <f>IF(NFI_Expiration=1,IF($A1036&lt;VLOOKUP(N$5,NFI,5,0),1,0)*Table_NFI[[#This Row],[Kitchen Set]],Table_NFI[Kitchen Set])</f>
        <v>0</v>
      </c>
      <c r="AF1036" s="352">
        <f>IF(NFI_Expiration=1,IF($A1036&lt;VLOOKUP(O$5,NFI,5,0),1,0)*Table_NFI[[#This Row],[Clothes Kit]],Table_NFI[Clothes Kit])</f>
        <v>0</v>
      </c>
      <c r="AG1036" s="352">
        <f>IF(NFI_Expiration=1,IF($A1036&lt;VLOOKUP(P$5,NFI,5,0),1,0)*Table_NFI[[#This Row],[Plastic Bucket]],Table_NFI[Plastic Bucket])</f>
        <v>0</v>
      </c>
      <c r="AH1036" s="352">
        <f>IF(NFI_Expiration=1,IF($A1036&lt;VLOOKUP(Q$5,NFI,5,0),1,0)*Table_NFI[[#This Row],[Plastic Mat]],Table_NFI[Plastic Mat])*IF(Table_NFI[[#This Row],[Distribution Date]]&gt;"2014-04-01",1,2.5)</f>
        <v>0</v>
      </c>
      <c r="AI1036" s="352">
        <f>IF(NFI_Expiration=1,IF($A1036&lt;VLOOKUP(R$5,NFI,5,0),1,0)*Table_NFI[[#This Row],[Winter Clothes Adult]],Table_NFI[Winter Clothes Adult])</f>
        <v>0</v>
      </c>
      <c r="AJ1036" s="352">
        <f>IF(NFI_Expiration=1,IF($A1036&lt;VLOOKUP(S$5,NFI,5,0),1,0)*Table_NFI[[#This Row],[Winter Clothes Children]],Table_NFI[Winter Clothes Children])</f>
        <v>0</v>
      </c>
      <c r="AK1036" s="352">
        <f>IF(NFI_Expiration=1,IF($A1036&lt;VLOOKUP(T$5,NFI,5,0),1,0)*Table_NFI[[#This Row],[Winter Items Other]],Table_NFI[Winter Items Other])</f>
        <v>0</v>
      </c>
      <c r="AL1036" s="352">
        <f>IF(NFI_Expiration=1,IF($A1036&lt;VLOOKUP(M$5,NFI,5,0),1,0)*Table_NFI[[#This Row],[Winter Blanket]],Table_NFI[[#This Row],[Winter Blanket]])</f>
        <v>0</v>
      </c>
      <c r="AM1036" s="352">
        <f>IF(Table_NFI[[#This Row],[Winter Clothes Adult]]+Table_NFI[[#This Row],[Winter Clothes Children]]+Table_NFI[[#This Row],[Winter Items Other]]+Table_NFI[[#This Row],[Winter Blanket]]&gt;0,1,0)</f>
        <v>0</v>
      </c>
      <c r="AN1036" s="392">
        <f>IF(NFI_Expiration=1,IF($A1036&lt;VLOOKUP(V$5,NFI,5,0),1,0)*Table_NFI[[#This Row],[Jerry Can]],Table_NFI[Jerry Can])</f>
        <v>0</v>
      </c>
      <c r="AO1036" s="540" t="str">
        <f>IFERROR(VLOOKUP(Table_NFI[[#This Row],[Camp Name]],CL,2,0),"")</f>
        <v>MMR001CMP008</v>
      </c>
      <c r="AP1036" s="535">
        <f ca="1">IF(Table_NFI[[#This Row],[Pcode]]="","",IF(OFFSET(CampList[Opening Date],MATCH(Table_NFI[[#This Row],[Pcode]],CampList[CP_Pcode],0)-1,0,1,1)&gt;=NFI_Monitor_Date,1,0))</f>
        <v>0</v>
      </c>
      <c r="AQ1036" s="540" t="str">
        <f>IFERROR(VLOOKUP(Table_NFI[[#This Row],[Camp Name]],CL,3,0),"")</f>
        <v>Open</v>
      </c>
      <c r="AR1036" s="352" t="str">
        <f ca="1">IF(Table_NFI[[#This Row],[Pcode]]="","",OFFSET(CampList[Priority],MATCH(Table_NFI[[#This Row],[Pcode]],CampList[CP_Pcode],0)-1,0,1,1))</f>
        <v>P4</v>
      </c>
      <c r="AS1036" s="351">
        <f>IFERROR(Table_NFI[[#This Row],[Kitchen Set]]/VLOOKUP(Table_NFI[[#This Row],[Camp Name]],CL,4,0),"")</f>
        <v>4.0404040404040407E-2</v>
      </c>
      <c r="AT1036" s="533" t="s">
        <v>1094</v>
      </c>
      <c r="AU1036" s="536"/>
    </row>
    <row r="1037" spans="1:47" s="537" customFormat="1" ht="15" hidden="1" customHeight="1" x14ac:dyDescent="0.25">
      <c r="A1037" s="355">
        <f t="shared" si="16"/>
        <v>26.066666666666666</v>
      </c>
      <c r="B1037" s="532">
        <v>41789</v>
      </c>
      <c r="C1037" s="533" t="s">
        <v>1106</v>
      </c>
      <c r="D1037" s="533" t="s">
        <v>902</v>
      </c>
      <c r="E1037" s="533" t="s">
        <v>380</v>
      </c>
      <c r="F1037" s="533" t="s">
        <v>237</v>
      </c>
      <c r="G1037" s="533" t="s">
        <v>283</v>
      </c>
      <c r="H1037" s="349"/>
      <c r="I1037" s="349"/>
      <c r="J1037" s="349"/>
      <c r="K1037" s="349"/>
      <c r="L1037" s="350"/>
      <c r="M1037" s="350"/>
      <c r="N1037" s="350"/>
      <c r="O1037" s="350"/>
      <c r="P1037" s="352"/>
      <c r="Q1037" s="352"/>
      <c r="R1037" s="352"/>
      <c r="S1037" s="352"/>
      <c r="T1037" s="352"/>
      <c r="U1037" s="352">
        <v>12</v>
      </c>
      <c r="V1037" s="497"/>
      <c r="W1037" s="352"/>
      <c r="X1037" s="352"/>
      <c r="Y1037" s="352">
        <f>IF(NFI_Expiration=1,IF($A1037&lt;VLOOKUP(H$5,NFI,5,0),1,0)*Table_NFI[[#This Row],[Hygiene Kit]],Table_NFI[Hygiene Kit])</f>
        <v>0</v>
      </c>
      <c r="Z1037" s="352">
        <f>IF(NFI_Expiration=1,IF($A1037&lt;VLOOKUP(I$5,NFI,5,0),1,0)*Table_NFI[[#This Row],[NFI Core Kit]],Table_NFI[NFI Core Kit])</f>
        <v>0</v>
      </c>
      <c r="AA1037" s="352">
        <f>IF(NFI_Expiration=1,IF($A1037&lt;VLOOKUP(J$5,NFI,5,0),1,0)*Table_NFI[[#This Row],[Sanitary Kit]],Table_NFI[Sanitary Kit])</f>
        <v>0</v>
      </c>
      <c r="AB1037" s="352">
        <f>IF(NFI_Expiration=1,IF($A1037&lt;VLOOKUP(K$5,NFI,5,0),1,0)*Table_NFI[[#This Row],[Mosquito net]],Table_NFI[Mosquito net])</f>
        <v>0</v>
      </c>
      <c r="AC1037" s="352">
        <f>IF(NFI_Expiration=1,IF($A1037&lt;VLOOKUP(L$5,NFI,5,0),1,0)*Table_NFI[[#This Row],[Tarpaulin]],Table_NFI[[#This Row],[Tarpaulin]])</f>
        <v>0</v>
      </c>
      <c r="AD1037" s="352">
        <f>IF(NFI_Expiration=1,IF($A1037&lt;VLOOKUP(M$5,NFI,5,0),1,0)*Table_NFI[[#This Row],[Blanket]],Table_NFI[[#This Row],[Blanket]])</f>
        <v>0</v>
      </c>
      <c r="AE1037" s="352">
        <f>IF(NFI_Expiration=1,IF($A1037&lt;VLOOKUP(N$5,NFI,5,0),1,0)*Table_NFI[[#This Row],[Kitchen Set]],Table_NFI[Kitchen Set])</f>
        <v>0</v>
      </c>
      <c r="AF1037" s="352">
        <f>IF(NFI_Expiration=1,IF($A1037&lt;VLOOKUP(O$5,NFI,5,0),1,0)*Table_NFI[[#This Row],[Clothes Kit]],Table_NFI[Clothes Kit])</f>
        <v>0</v>
      </c>
      <c r="AG1037" s="352">
        <f>IF(NFI_Expiration=1,IF($A1037&lt;VLOOKUP(P$5,NFI,5,0),1,0)*Table_NFI[[#This Row],[Plastic Bucket]],Table_NFI[Plastic Bucket])</f>
        <v>0</v>
      </c>
      <c r="AH1037" s="352">
        <f>IF(NFI_Expiration=1,IF($A1037&lt;VLOOKUP(Q$5,NFI,5,0),1,0)*Table_NFI[[#This Row],[Plastic Mat]],Table_NFI[Plastic Mat])*IF(Table_NFI[[#This Row],[Distribution Date]]&gt;"2014-04-01",1,2.5)</f>
        <v>0</v>
      </c>
      <c r="AI1037" s="352">
        <f>IF(NFI_Expiration=1,IF($A1037&lt;VLOOKUP(R$5,NFI,5,0),1,0)*Table_NFI[[#This Row],[Winter Clothes Adult]],Table_NFI[Winter Clothes Adult])</f>
        <v>0</v>
      </c>
      <c r="AJ1037" s="352">
        <f>IF(NFI_Expiration=1,IF($A1037&lt;VLOOKUP(S$5,NFI,5,0),1,0)*Table_NFI[[#This Row],[Winter Clothes Children]],Table_NFI[Winter Clothes Children])</f>
        <v>0</v>
      </c>
      <c r="AK1037" s="352">
        <f>IF(NFI_Expiration=1,IF($A1037&lt;VLOOKUP(T$5,NFI,5,0),1,0)*Table_NFI[[#This Row],[Winter Items Other]],Table_NFI[Winter Items Other])</f>
        <v>0</v>
      </c>
      <c r="AL1037" s="352">
        <f>IF(NFI_Expiration=1,IF($A1037&lt;VLOOKUP(M$5,NFI,5,0),1,0)*Table_NFI[[#This Row],[Winter Blanket]],Table_NFI[[#This Row],[Winter Blanket]])</f>
        <v>0</v>
      </c>
      <c r="AM1037" s="352">
        <f>IF(Table_NFI[[#This Row],[Winter Clothes Adult]]+Table_NFI[[#This Row],[Winter Clothes Children]]+Table_NFI[[#This Row],[Winter Items Other]]+Table_NFI[[#This Row],[Winter Blanket]]&gt;0,1,0)</f>
        <v>1</v>
      </c>
      <c r="AN1037" s="392">
        <f>IF(NFI_Expiration=1,IF($A1037&lt;VLOOKUP(V$5,NFI,5,0),1,0)*Table_NFI[[#This Row],[Jerry Can]],Table_NFI[Jerry Can])</f>
        <v>0</v>
      </c>
      <c r="AO1037" s="540" t="str">
        <f>IFERROR(VLOOKUP(Table_NFI[[#This Row],[Camp Name]],CL,2,0),"")</f>
        <v>MMR001CMP022</v>
      </c>
      <c r="AP1037" s="535">
        <f ca="1">IF(Table_NFI[[#This Row],[Pcode]]="","",IF(OFFSET(CampList[Opening Date],MATCH(Table_NFI[[#This Row],[Pcode]],CampList[CP_Pcode],0)-1,0,1,1)&gt;=NFI_Monitor_Date,1,0))</f>
        <v>0</v>
      </c>
      <c r="AQ1037" s="540" t="str">
        <f>IFERROR(VLOOKUP(Table_NFI[[#This Row],[Camp Name]],CL,3,0),"")</f>
        <v>Open</v>
      </c>
      <c r="AR1037" s="352" t="str">
        <f ca="1">IF(Table_NFI[[#This Row],[Pcode]]="","",OFFSET(CampList[Priority],MATCH(Table_NFI[[#This Row],[Pcode]],CampList[CP_Pcode],0)-1,0,1,1))</f>
        <v>P4</v>
      </c>
      <c r="AS1037" s="351">
        <f>IFERROR(Table_NFI[[#This Row],[Kitchen Set]]/VLOOKUP(Table_NFI[[#This Row],[Camp Name]],CL,4,0),"")</f>
        <v>0</v>
      </c>
      <c r="AT1037" s="533"/>
      <c r="AU1037" s="536"/>
    </row>
    <row r="1038" spans="1:47" s="537" customFormat="1" ht="14.45" hidden="1" customHeight="1" x14ac:dyDescent="0.25">
      <c r="A1038" s="355">
        <f t="shared" si="16"/>
        <v>43.233333333333334</v>
      </c>
      <c r="B1038" s="532">
        <v>41274</v>
      </c>
      <c r="C1038" s="533" t="s">
        <v>454</v>
      </c>
      <c r="D1038" s="533" t="s">
        <v>454</v>
      </c>
      <c r="E1038" s="533" t="s">
        <v>380</v>
      </c>
      <c r="F1038" s="533" t="s">
        <v>237</v>
      </c>
      <c r="G1038" s="348" t="s">
        <v>283</v>
      </c>
      <c r="H1038" s="349">
        <v>24</v>
      </c>
      <c r="I1038" s="349"/>
      <c r="J1038" s="349"/>
      <c r="K1038" s="349"/>
      <c r="L1038" s="350"/>
      <c r="M1038" s="350"/>
      <c r="N1038" s="350"/>
      <c r="O1038" s="350"/>
      <c r="P1038" s="352">
        <v>0</v>
      </c>
      <c r="Q1038" s="392">
        <v>0</v>
      </c>
      <c r="R1038" s="392"/>
      <c r="S1038" s="392"/>
      <c r="T1038" s="392"/>
      <c r="U1038" s="392"/>
      <c r="V1038" s="497"/>
      <c r="W1038" s="392"/>
      <c r="X1038" s="392"/>
      <c r="Y1038" s="352">
        <f>IF(NFI_Expiration=1,IF($A1038&lt;VLOOKUP(H$5,NFI,5,0),1,0)*Table_NFI[[#This Row],[Hygiene Kit]],Table_NFI[Hygiene Kit])</f>
        <v>0</v>
      </c>
      <c r="Z1038" s="352">
        <f>IF(NFI_Expiration=1,IF($A1038&lt;VLOOKUP(I$5,NFI,5,0),1,0)*Table_NFI[[#This Row],[NFI Core Kit]],Table_NFI[NFI Core Kit])</f>
        <v>0</v>
      </c>
      <c r="AA1038" s="352">
        <f>IF(NFI_Expiration=1,IF($A1038&lt;VLOOKUP(J$5,NFI,5,0),1,0)*Table_NFI[[#This Row],[Sanitary Kit]],Table_NFI[Sanitary Kit])</f>
        <v>0</v>
      </c>
      <c r="AB1038" s="352">
        <f>IF(NFI_Expiration=1,IF($A1038&lt;VLOOKUP(K$5,NFI,5,0),1,0)*Table_NFI[[#This Row],[Mosquito net]],Table_NFI[Mosquito net])</f>
        <v>0</v>
      </c>
      <c r="AC1038" s="352">
        <f>IF(NFI_Expiration=1,IF($A1038&lt;VLOOKUP(L$5,NFI,5,0),1,0)*Table_NFI[[#This Row],[Tarpaulin]],Table_NFI[[#This Row],[Tarpaulin]])</f>
        <v>0</v>
      </c>
      <c r="AD1038" s="352">
        <f>IF(NFI_Expiration=1,IF($A1038&lt;VLOOKUP(M$5,NFI,5,0),1,0)*Table_NFI[[#This Row],[Blanket]],Table_NFI[[#This Row],[Blanket]])</f>
        <v>0</v>
      </c>
      <c r="AE1038" s="352">
        <f>IF(NFI_Expiration=1,IF($A1038&lt;VLOOKUP(N$5,NFI,5,0),1,0)*Table_NFI[[#This Row],[Kitchen Set]],Table_NFI[Kitchen Set])</f>
        <v>0</v>
      </c>
      <c r="AF1038" s="352">
        <f>IF(NFI_Expiration=1,IF($A1038&lt;VLOOKUP(O$5,NFI,5,0),1,0)*Table_NFI[[#This Row],[Clothes Kit]],Table_NFI[Clothes Kit])</f>
        <v>0</v>
      </c>
      <c r="AG1038" s="352">
        <f>IF(NFI_Expiration=1,IF($A1038&lt;VLOOKUP(P$5,NFI,5,0),1,0)*Table_NFI[[#This Row],[Plastic Bucket]],Table_NFI[Plastic Bucket])</f>
        <v>0</v>
      </c>
      <c r="AH1038" s="352">
        <f>IF(NFI_Expiration=1,IF($A1038&lt;VLOOKUP(Q$5,NFI,5,0),1,0)*Table_NFI[[#This Row],[Plastic Mat]],Table_NFI[Plastic Mat])*IF(Table_NFI[[#This Row],[Distribution Date]]&gt;"2014-04-01",1,2.5)</f>
        <v>0</v>
      </c>
      <c r="AI1038" s="352">
        <f>IF(NFI_Expiration=1,IF($A1038&lt;VLOOKUP(R$5,NFI,5,0),1,0)*Table_NFI[[#This Row],[Winter Clothes Adult]],Table_NFI[Winter Clothes Adult])</f>
        <v>0</v>
      </c>
      <c r="AJ1038" s="352">
        <f>IF(NFI_Expiration=1,IF($A1038&lt;VLOOKUP(S$5,NFI,5,0),1,0)*Table_NFI[[#This Row],[Winter Clothes Children]],Table_NFI[Winter Clothes Children])</f>
        <v>0</v>
      </c>
      <c r="AK1038" s="352">
        <f>IF(NFI_Expiration=1,IF($A1038&lt;VLOOKUP(T$5,NFI,5,0),1,0)*Table_NFI[[#This Row],[Winter Items Other]],Table_NFI[Winter Items Other])</f>
        <v>0</v>
      </c>
      <c r="AL1038" s="352">
        <f>IF(NFI_Expiration=1,IF($A1038&lt;VLOOKUP(M$5,NFI,5,0),1,0)*Table_NFI[[#This Row],[Winter Blanket]],Table_NFI[[#This Row],[Winter Blanket]])</f>
        <v>0</v>
      </c>
      <c r="AM1038" s="352">
        <f>IF(Table_NFI[[#This Row],[Winter Clothes Adult]]+Table_NFI[[#This Row],[Winter Clothes Children]]+Table_NFI[[#This Row],[Winter Items Other]]+Table_NFI[[#This Row],[Winter Blanket]]&gt;0,1,0)</f>
        <v>0</v>
      </c>
      <c r="AN1038" s="392">
        <f>IF(NFI_Expiration=1,IF($A1038&lt;VLOOKUP(V$5,NFI,5,0),1,0)*Table_NFI[[#This Row],[Jerry Can]],Table_NFI[Jerry Can])</f>
        <v>0</v>
      </c>
      <c r="AO1038" s="540" t="str">
        <f>IFERROR(VLOOKUP(Table_NFI[[#This Row],[Camp Name]],CL,2,0),"")</f>
        <v>MMR001CMP022</v>
      </c>
      <c r="AP1038" s="535">
        <f ca="1">IF(Table_NFI[[#This Row],[Pcode]]="","",IF(OFFSET(CampList[Opening Date],MATCH(Table_NFI[[#This Row],[Pcode]],CampList[CP_Pcode],0)-1,0,1,1)&gt;=NFI_Monitor_Date,1,0))</f>
        <v>0</v>
      </c>
      <c r="AQ1038" s="540" t="str">
        <f>IFERROR(VLOOKUP(Table_NFI[[#This Row],[Camp Name]],CL,3,0),"")</f>
        <v>Open</v>
      </c>
      <c r="AR1038" s="352" t="str">
        <f ca="1">IF(Table_NFI[[#This Row],[Pcode]]="","",OFFSET(CampList[Priority],MATCH(Table_NFI[[#This Row],[Pcode]],CampList[CP_Pcode],0)-1,0,1,1))</f>
        <v>P4</v>
      </c>
      <c r="AS1038" s="351">
        <f>IFERROR(Table_NFI[[#This Row],[Kitchen Set]]/VLOOKUP(Table_NFI[[#This Row],[Camp Name]],CL,4,0),"")</f>
        <v>0</v>
      </c>
      <c r="AT1038" s="533" t="s">
        <v>1094</v>
      </c>
      <c r="AU1038" s="536"/>
    </row>
    <row r="1039" spans="1:47" s="537" customFormat="1" ht="13.15" customHeight="1" x14ac:dyDescent="0.25">
      <c r="A1039" s="355">
        <f t="shared" si="16"/>
        <v>56.1</v>
      </c>
      <c r="B1039" s="532">
        <v>40888</v>
      </c>
      <c r="C1039" s="533" t="s">
        <v>453</v>
      </c>
      <c r="D1039" s="533" t="s">
        <v>905</v>
      </c>
      <c r="E1039" s="533" t="s">
        <v>380</v>
      </c>
      <c r="F1039" s="533" t="s">
        <v>237</v>
      </c>
      <c r="G1039" s="348" t="s">
        <v>920</v>
      </c>
      <c r="H1039" s="349"/>
      <c r="I1039" s="349"/>
      <c r="J1039" s="349"/>
      <c r="K1039" s="349">
        <v>88</v>
      </c>
      <c r="L1039" s="350">
        <v>49</v>
      </c>
      <c r="M1039" s="350">
        <v>88</v>
      </c>
      <c r="N1039" s="350">
        <v>49</v>
      </c>
      <c r="O1039" s="350">
        <v>49</v>
      </c>
      <c r="P1039" s="352">
        <v>49</v>
      </c>
      <c r="Q1039" s="392">
        <v>49</v>
      </c>
      <c r="R1039" s="392"/>
      <c r="S1039" s="392"/>
      <c r="T1039" s="392"/>
      <c r="U1039" s="392"/>
      <c r="V1039" s="497"/>
      <c r="W1039" s="392"/>
      <c r="X1039" s="392"/>
      <c r="Y1039" s="352">
        <f>IF(NFI_Expiration=1,IF($A1039&lt;VLOOKUP(H$5,NFI,5,0),1,0)*Table_NFI[[#This Row],[Hygiene Kit]],Table_NFI[Hygiene Kit])</f>
        <v>0</v>
      </c>
      <c r="Z1039" s="352">
        <f>IF(NFI_Expiration=1,IF($A1039&lt;VLOOKUP(I$5,NFI,5,0),1,0)*Table_NFI[[#This Row],[NFI Core Kit]],Table_NFI[NFI Core Kit])</f>
        <v>0</v>
      </c>
      <c r="AA1039" s="352">
        <f>IF(NFI_Expiration=1,IF($A1039&lt;VLOOKUP(J$5,NFI,5,0),1,0)*Table_NFI[[#This Row],[Sanitary Kit]],Table_NFI[Sanitary Kit])</f>
        <v>0</v>
      </c>
      <c r="AB1039" s="352">
        <f>IF(NFI_Expiration=1,IF($A1039&lt;VLOOKUP(K$5,NFI,5,0),1,0)*Table_NFI[[#This Row],[Mosquito net]],Table_NFI[Mosquito net])</f>
        <v>0</v>
      </c>
      <c r="AC1039" s="352">
        <f>IF(NFI_Expiration=1,IF($A1039&lt;VLOOKUP(L$5,NFI,5,0),1,0)*Table_NFI[[#This Row],[Tarpaulin]],Table_NFI[[#This Row],[Tarpaulin]])</f>
        <v>0</v>
      </c>
      <c r="AD1039" s="352">
        <f>IF(NFI_Expiration=1,IF($A1039&lt;VLOOKUP(M$5,NFI,5,0),1,0)*Table_NFI[[#This Row],[Blanket]],Table_NFI[[#This Row],[Blanket]])</f>
        <v>0</v>
      </c>
      <c r="AE1039" s="352">
        <f>IF(NFI_Expiration=1,IF($A1039&lt;VLOOKUP(N$5,NFI,5,0),1,0)*Table_NFI[[#This Row],[Kitchen Set]],Table_NFI[Kitchen Set])</f>
        <v>0</v>
      </c>
      <c r="AF1039" s="352">
        <f>IF(NFI_Expiration=1,IF($A1039&lt;VLOOKUP(O$5,NFI,5,0),1,0)*Table_NFI[[#This Row],[Clothes Kit]],Table_NFI[Clothes Kit])</f>
        <v>0</v>
      </c>
      <c r="AG1039" s="352">
        <f>IF(NFI_Expiration=1,IF($A1039&lt;VLOOKUP(P$5,NFI,5,0),1,0)*Table_NFI[[#This Row],[Plastic Bucket]],Table_NFI[Plastic Bucket])</f>
        <v>0</v>
      </c>
      <c r="AH1039" s="352">
        <f>IF(NFI_Expiration=1,IF($A1039&lt;VLOOKUP(Q$5,NFI,5,0),1,0)*Table_NFI[[#This Row],[Plastic Mat]],Table_NFI[Plastic Mat])*IF(Table_NFI[[#This Row],[Distribution Date]]&gt;"2014-04-01",1,2.5)</f>
        <v>0</v>
      </c>
      <c r="AI1039" s="352">
        <f>IF(NFI_Expiration=1,IF($A1039&lt;VLOOKUP(R$5,NFI,5,0),1,0)*Table_NFI[[#This Row],[Winter Clothes Adult]],Table_NFI[Winter Clothes Adult])</f>
        <v>0</v>
      </c>
      <c r="AJ1039" s="352">
        <f>IF(NFI_Expiration=1,IF($A1039&lt;VLOOKUP(S$5,NFI,5,0),1,0)*Table_NFI[[#This Row],[Winter Clothes Children]],Table_NFI[Winter Clothes Children])</f>
        <v>0</v>
      </c>
      <c r="AK1039" s="352">
        <f>IF(NFI_Expiration=1,IF($A1039&lt;VLOOKUP(T$5,NFI,5,0),1,0)*Table_NFI[[#This Row],[Winter Items Other]],Table_NFI[Winter Items Other])</f>
        <v>0</v>
      </c>
      <c r="AL1039" s="352">
        <f>IF(NFI_Expiration=1,IF($A1039&lt;VLOOKUP(M$5,NFI,5,0),1,0)*Table_NFI[[#This Row],[Winter Blanket]],Table_NFI[[#This Row],[Winter Blanket]])</f>
        <v>0</v>
      </c>
      <c r="AM1039" s="352">
        <f>IF(Table_NFI[[#This Row],[Winter Clothes Adult]]+Table_NFI[[#This Row],[Winter Clothes Children]]+Table_NFI[[#This Row],[Winter Items Other]]+Table_NFI[[#This Row],[Winter Blanket]]&gt;0,1,0)</f>
        <v>0</v>
      </c>
      <c r="AN1039" s="392">
        <f>IF(NFI_Expiration=1,IF($A1039&lt;VLOOKUP(V$5,NFI,5,0),1,0)*Table_NFI[[#This Row],[Jerry Can]],Table_NFI[Jerry Can])</f>
        <v>0</v>
      </c>
      <c r="AO1039" s="540" t="str">
        <f>IFERROR(VLOOKUP(Table_NFI[[#This Row],[Camp Name]],CL,2,0),"")</f>
        <v/>
      </c>
      <c r="AP1039" s="535" t="str">
        <f ca="1">IF(Table_NFI[[#This Row],[Pcode]]="","",IF(OFFSET(CampList[Opening Date],MATCH(Table_NFI[[#This Row],[Pcode]],CampList[CP_Pcode],0)-1,0,1,1)&gt;=NFI_Monitor_Date,1,0))</f>
        <v/>
      </c>
      <c r="AQ1039" s="540" t="str">
        <f>IFERROR(VLOOKUP(Table_NFI[[#This Row],[Camp Name]],CL,3,0),"")</f>
        <v/>
      </c>
      <c r="AR1039" s="352" t="str">
        <f ca="1">IF(Table_NFI[[#This Row],[Pcode]]="","",OFFSET(CampList[Priority],MATCH(Table_NFI[[#This Row],[Pcode]],CampList[CP_Pcode],0)-1,0,1,1))</f>
        <v/>
      </c>
      <c r="AS1039" s="351" t="str">
        <f>IFERROR(Table_NFI[[#This Row],[Kitchen Set]]/VLOOKUP(Table_NFI[[#This Row],[Camp Name]],CL,4,0),"")</f>
        <v/>
      </c>
      <c r="AT1039" s="533" t="s">
        <v>1094</v>
      </c>
      <c r="AU1039" s="536"/>
    </row>
    <row r="1040" spans="1:47" s="537" customFormat="1" ht="14.45" customHeight="1" x14ac:dyDescent="0.25">
      <c r="A1040" s="355">
        <f t="shared" si="16"/>
        <v>56.1</v>
      </c>
      <c r="B1040" s="532">
        <v>40888</v>
      </c>
      <c r="C1040" s="533" t="s">
        <v>453</v>
      </c>
      <c r="D1040" s="534" t="s">
        <v>461</v>
      </c>
      <c r="E1040" s="533" t="s">
        <v>380</v>
      </c>
      <c r="F1040" s="348" t="s">
        <v>237</v>
      </c>
      <c r="G1040" s="348" t="s">
        <v>277</v>
      </c>
      <c r="H1040" s="349"/>
      <c r="I1040" s="349"/>
      <c r="J1040" s="349"/>
      <c r="K1040" s="349">
        <v>2</v>
      </c>
      <c r="L1040" s="350">
        <v>2</v>
      </c>
      <c r="M1040" s="350">
        <v>2</v>
      </c>
      <c r="N1040" s="350">
        <v>2</v>
      </c>
      <c r="O1040" s="350">
        <v>2</v>
      </c>
      <c r="P1040" s="352">
        <v>2</v>
      </c>
      <c r="Q1040" s="392">
        <v>2</v>
      </c>
      <c r="R1040" s="392"/>
      <c r="S1040" s="392"/>
      <c r="T1040" s="392"/>
      <c r="U1040" s="392"/>
      <c r="V1040" s="497"/>
      <c r="W1040" s="392"/>
      <c r="X1040" s="392"/>
      <c r="Y1040" s="352">
        <f>IF(NFI_Expiration=1,IF($A1040&lt;VLOOKUP(H$5,NFI,5,0),1,0)*Table_NFI[[#This Row],[Hygiene Kit]],Table_NFI[Hygiene Kit])</f>
        <v>0</v>
      </c>
      <c r="Z1040" s="352">
        <f>IF(NFI_Expiration=1,IF($A1040&lt;VLOOKUP(I$5,NFI,5,0),1,0)*Table_NFI[[#This Row],[NFI Core Kit]],Table_NFI[NFI Core Kit])</f>
        <v>0</v>
      </c>
      <c r="AA1040" s="352">
        <f>IF(NFI_Expiration=1,IF($A1040&lt;VLOOKUP(J$5,NFI,5,0),1,0)*Table_NFI[[#This Row],[Sanitary Kit]],Table_NFI[Sanitary Kit])</f>
        <v>0</v>
      </c>
      <c r="AB1040" s="352">
        <f>IF(NFI_Expiration=1,IF($A1040&lt;VLOOKUP(K$5,NFI,5,0),1,0)*Table_NFI[[#This Row],[Mosquito net]],Table_NFI[Mosquito net])</f>
        <v>0</v>
      </c>
      <c r="AC1040" s="352">
        <f>IF(NFI_Expiration=1,IF($A1040&lt;VLOOKUP(L$5,NFI,5,0),1,0)*Table_NFI[[#This Row],[Tarpaulin]],Table_NFI[[#This Row],[Tarpaulin]])</f>
        <v>0</v>
      </c>
      <c r="AD1040" s="352">
        <f>IF(NFI_Expiration=1,IF($A1040&lt;VLOOKUP(M$5,NFI,5,0),1,0)*Table_NFI[[#This Row],[Blanket]],Table_NFI[[#This Row],[Blanket]])</f>
        <v>0</v>
      </c>
      <c r="AE1040" s="352">
        <f>IF(NFI_Expiration=1,IF($A1040&lt;VLOOKUP(N$5,NFI,5,0),1,0)*Table_NFI[[#This Row],[Kitchen Set]],Table_NFI[Kitchen Set])</f>
        <v>0</v>
      </c>
      <c r="AF1040" s="352">
        <f>IF(NFI_Expiration=1,IF($A1040&lt;VLOOKUP(O$5,NFI,5,0),1,0)*Table_NFI[[#This Row],[Clothes Kit]],Table_NFI[Clothes Kit])</f>
        <v>0</v>
      </c>
      <c r="AG1040" s="352">
        <f>IF(NFI_Expiration=1,IF($A1040&lt;VLOOKUP(P$5,NFI,5,0),1,0)*Table_NFI[[#This Row],[Plastic Bucket]],Table_NFI[Plastic Bucket])</f>
        <v>0</v>
      </c>
      <c r="AH1040" s="352">
        <f>IF(NFI_Expiration=1,IF($A1040&lt;VLOOKUP(Q$5,NFI,5,0),1,0)*Table_NFI[[#This Row],[Plastic Mat]],Table_NFI[Plastic Mat])*IF(Table_NFI[[#This Row],[Distribution Date]]&gt;"2014-04-01",1,2.5)</f>
        <v>0</v>
      </c>
      <c r="AI1040" s="352">
        <f>IF(NFI_Expiration=1,IF($A1040&lt;VLOOKUP(R$5,NFI,5,0),1,0)*Table_NFI[[#This Row],[Winter Clothes Adult]],Table_NFI[Winter Clothes Adult])</f>
        <v>0</v>
      </c>
      <c r="AJ1040" s="352">
        <f>IF(NFI_Expiration=1,IF($A1040&lt;VLOOKUP(S$5,NFI,5,0),1,0)*Table_NFI[[#This Row],[Winter Clothes Children]],Table_NFI[Winter Clothes Children])</f>
        <v>0</v>
      </c>
      <c r="AK1040" s="352">
        <f>IF(NFI_Expiration=1,IF($A1040&lt;VLOOKUP(T$5,NFI,5,0),1,0)*Table_NFI[[#This Row],[Winter Items Other]],Table_NFI[Winter Items Other])</f>
        <v>0</v>
      </c>
      <c r="AL1040" s="352">
        <f>IF(NFI_Expiration=1,IF($A1040&lt;VLOOKUP(M$5,NFI,5,0),1,0)*Table_NFI[[#This Row],[Winter Blanket]],Table_NFI[[#This Row],[Winter Blanket]])</f>
        <v>0</v>
      </c>
      <c r="AM1040" s="352">
        <f>IF(Table_NFI[[#This Row],[Winter Clothes Adult]]+Table_NFI[[#This Row],[Winter Clothes Children]]+Table_NFI[[#This Row],[Winter Items Other]]+Table_NFI[[#This Row],[Winter Blanket]]&gt;0,1,0)</f>
        <v>0</v>
      </c>
      <c r="AN1040" s="392">
        <f>IF(NFI_Expiration=1,IF($A1040&lt;VLOOKUP(V$5,NFI,5,0),1,0)*Table_NFI[[#This Row],[Jerry Can]],Table_NFI[Jerry Can])</f>
        <v>0</v>
      </c>
      <c r="AO1040" s="540" t="str">
        <f>IFERROR(VLOOKUP(Table_NFI[[#This Row],[Camp Name]],CL,2,0),"")</f>
        <v>MMR001CMP006</v>
      </c>
      <c r="AP1040" s="535">
        <f ca="1">IF(Table_NFI[[#This Row],[Pcode]]="","",IF(OFFSET(CampList[Opening Date],MATCH(Table_NFI[[#This Row],[Pcode]],CampList[CP_Pcode],0)-1,0,1,1)&gt;=NFI_Monitor_Date,1,0))</f>
        <v>0</v>
      </c>
      <c r="AQ1040" s="540" t="str">
        <f>IFERROR(VLOOKUP(Table_NFI[[#This Row],[Camp Name]],CL,3,0),"")</f>
        <v>Open</v>
      </c>
      <c r="AR1040" s="352" t="str">
        <f ca="1">IF(Table_NFI[[#This Row],[Pcode]]="","",OFFSET(CampList[Priority],MATCH(Table_NFI[[#This Row],[Pcode]],CampList[CP_Pcode],0)-1,0,1,1))</f>
        <v>P4</v>
      </c>
      <c r="AS1040" s="351">
        <f>IFERROR(Table_NFI[[#This Row],[Kitchen Set]]/VLOOKUP(Table_NFI[[#This Row],[Camp Name]],CL,4,0),"")</f>
        <v>2.2222222222222223E-2</v>
      </c>
      <c r="AT1040" s="533" t="s">
        <v>1094</v>
      </c>
      <c r="AU1040" s="536"/>
    </row>
    <row r="1041" spans="1:47" s="546" customFormat="1" ht="17.45" customHeight="1" x14ac:dyDescent="0.25">
      <c r="A1041" s="355">
        <f t="shared" si="16"/>
        <v>56.1</v>
      </c>
      <c r="B1041" s="532">
        <v>40888</v>
      </c>
      <c r="C1041" s="533" t="s">
        <v>453</v>
      </c>
      <c r="D1041" s="534" t="s">
        <v>461</v>
      </c>
      <c r="E1041" s="533" t="s">
        <v>380</v>
      </c>
      <c r="F1041" s="348" t="s">
        <v>237</v>
      </c>
      <c r="G1041" s="348" t="s">
        <v>275</v>
      </c>
      <c r="H1041" s="349"/>
      <c r="I1041" s="349"/>
      <c r="J1041" s="349"/>
      <c r="K1041" s="349">
        <v>3</v>
      </c>
      <c r="L1041" s="350">
        <v>2</v>
      </c>
      <c r="M1041" s="350">
        <v>3</v>
      </c>
      <c r="N1041" s="350">
        <v>2</v>
      </c>
      <c r="O1041" s="350">
        <v>2</v>
      </c>
      <c r="P1041" s="352">
        <v>2</v>
      </c>
      <c r="Q1041" s="392">
        <v>2</v>
      </c>
      <c r="R1041" s="392"/>
      <c r="S1041" s="392"/>
      <c r="T1041" s="392"/>
      <c r="U1041" s="392"/>
      <c r="V1041" s="497"/>
      <c r="W1041" s="392"/>
      <c r="X1041" s="392"/>
      <c r="Y1041" s="352">
        <f>IF(NFI_Expiration=1,IF($A1041&lt;VLOOKUP(H$5,NFI,5,0),1,0)*Table_NFI[[#This Row],[Hygiene Kit]],Table_NFI[Hygiene Kit])</f>
        <v>0</v>
      </c>
      <c r="Z1041" s="352">
        <f>IF(NFI_Expiration=1,IF($A1041&lt;VLOOKUP(I$5,NFI,5,0),1,0)*Table_NFI[[#This Row],[NFI Core Kit]],Table_NFI[NFI Core Kit])</f>
        <v>0</v>
      </c>
      <c r="AA1041" s="352">
        <f>IF(NFI_Expiration=1,IF($A1041&lt;VLOOKUP(J$5,NFI,5,0),1,0)*Table_NFI[[#This Row],[Sanitary Kit]],Table_NFI[Sanitary Kit])</f>
        <v>0</v>
      </c>
      <c r="AB1041" s="352">
        <f>IF(NFI_Expiration=1,IF($A1041&lt;VLOOKUP(K$5,NFI,5,0),1,0)*Table_NFI[[#This Row],[Mosquito net]],Table_NFI[Mosquito net])</f>
        <v>0</v>
      </c>
      <c r="AC1041" s="352">
        <f>IF(NFI_Expiration=1,IF($A1041&lt;VLOOKUP(L$5,NFI,5,0),1,0)*Table_NFI[[#This Row],[Tarpaulin]],Table_NFI[[#This Row],[Tarpaulin]])</f>
        <v>0</v>
      </c>
      <c r="AD1041" s="352">
        <f>IF(NFI_Expiration=1,IF($A1041&lt;VLOOKUP(M$5,NFI,5,0),1,0)*Table_NFI[[#This Row],[Blanket]],Table_NFI[[#This Row],[Blanket]])</f>
        <v>0</v>
      </c>
      <c r="AE1041" s="352">
        <f>IF(NFI_Expiration=1,IF($A1041&lt;VLOOKUP(N$5,NFI,5,0),1,0)*Table_NFI[[#This Row],[Kitchen Set]],Table_NFI[Kitchen Set])</f>
        <v>0</v>
      </c>
      <c r="AF1041" s="352">
        <f>IF(NFI_Expiration=1,IF($A1041&lt;VLOOKUP(O$5,NFI,5,0),1,0)*Table_NFI[[#This Row],[Clothes Kit]],Table_NFI[Clothes Kit])</f>
        <v>0</v>
      </c>
      <c r="AG1041" s="352">
        <f>IF(NFI_Expiration=1,IF($A1041&lt;VLOOKUP(P$5,NFI,5,0),1,0)*Table_NFI[[#This Row],[Plastic Bucket]],Table_NFI[Plastic Bucket])</f>
        <v>0</v>
      </c>
      <c r="AH1041" s="352">
        <f>IF(NFI_Expiration=1,IF($A1041&lt;VLOOKUP(Q$5,NFI,5,0),1,0)*Table_NFI[[#This Row],[Plastic Mat]],Table_NFI[Plastic Mat])*IF(Table_NFI[[#This Row],[Distribution Date]]&gt;"2014-04-01",1,2.5)</f>
        <v>0</v>
      </c>
      <c r="AI1041" s="352">
        <f>IF(NFI_Expiration=1,IF($A1041&lt;VLOOKUP(R$5,NFI,5,0),1,0)*Table_NFI[[#This Row],[Winter Clothes Adult]],Table_NFI[Winter Clothes Adult])</f>
        <v>0</v>
      </c>
      <c r="AJ1041" s="352">
        <f>IF(NFI_Expiration=1,IF($A1041&lt;VLOOKUP(S$5,NFI,5,0),1,0)*Table_NFI[[#This Row],[Winter Clothes Children]],Table_NFI[Winter Clothes Children])</f>
        <v>0</v>
      </c>
      <c r="AK1041" s="352">
        <f>IF(NFI_Expiration=1,IF($A1041&lt;VLOOKUP(T$5,NFI,5,0),1,0)*Table_NFI[[#This Row],[Winter Items Other]],Table_NFI[Winter Items Other])</f>
        <v>0</v>
      </c>
      <c r="AL1041" s="352">
        <f>IF(NFI_Expiration=1,IF($A1041&lt;VLOOKUP(M$5,NFI,5,0),1,0)*Table_NFI[[#This Row],[Winter Blanket]],Table_NFI[[#This Row],[Winter Blanket]])</f>
        <v>0</v>
      </c>
      <c r="AM1041" s="352">
        <f>IF(Table_NFI[[#This Row],[Winter Clothes Adult]]+Table_NFI[[#This Row],[Winter Clothes Children]]+Table_NFI[[#This Row],[Winter Items Other]]+Table_NFI[[#This Row],[Winter Blanket]]&gt;0,1,0)</f>
        <v>0</v>
      </c>
      <c r="AN1041" s="392">
        <f>IF(NFI_Expiration=1,IF($A1041&lt;VLOOKUP(V$5,NFI,5,0),1,0)*Table_NFI[[#This Row],[Jerry Can]],Table_NFI[Jerry Can])</f>
        <v>0</v>
      </c>
      <c r="AO1041" s="540" t="str">
        <f>IFERROR(VLOOKUP(Table_NFI[[#This Row],[Camp Name]],CL,2,0),"")</f>
        <v>MMR001CMP005</v>
      </c>
      <c r="AP1041" s="535">
        <f ca="1">IF(Table_NFI[[#This Row],[Pcode]]="","",IF(OFFSET(CampList[Opening Date],MATCH(Table_NFI[[#This Row],[Pcode]],CampList[CP_Pcode],0)-1,0,1,1)&gt;=NFI_Monitor_Date,1,0))</f>
        <v>0</v>
      </c>
      <c r="AQ1041" s="540" t="str">
        <f>IFERROR(VLOOKUP(Table_NFI[[#This Row],[Camp Name]],CL,3,0),"")</f>
        <v>Open</v>
      </c>
      <c r="AR1041" s="352" t="str">
        <f ca="1">IF(Table_NFI[[#This Row],[Pcode]]="","",OFFSET(CampList[Priority],MATCH(Table_NFI[[#This Row],[Pcode]],CampList[CP_Pcode],0)-1,0,1,1))</f>
        <v>P4</v>
      </c>
      <c r="AS1041" s="351">
        <f>IFERROR(Table_NFI[[#This Row],[Kitchen Set]]/VLOOKUP(Table_NFI[[#This Row],[Camp Name]],CL,4,0),"")</f>
        <v>4.6511627906976744E-2</v>
      </c>
      <c r="AT1041" s="533" t="s">
        <v>1094</v>
      </c>
      <c r="AU1041" s="536"/>
    </row>
    <row r="1042" spans="1:47" s="537" customFormat="1" ht="19.149999999999999" customHeight="1" x14ac:dyDescent="0.25">
      <c r="A1042" s="355">
        <f t="shared" si="16"/>
        <v>56.166666666666664</v>
      </c>
      <c r="B1042" s="532">
        <v>40886</v>
      </c>
      <c r="C1042" s="533" t="s">
        <v>453</v>
      </c>
      <c r="D1042" s="534" t="s">
        <v>461</v>
      </c>
      <c r="E1042" s="533" t="s">
        <v>380</v>
      </c>
      <c r="F1042" s="348" t="s">
        <v>237</v>
      </c>
      <c r="G1042" s="348" t="s">
        <v>240</v>
      </c>
      <c r="H1042" s="349"/>
      <c r="I1042" s="349"/>
      <c r="J1042" s="349"/>
      <c r="K1042" s="349">
        <v>13</v>
      </c>
      <c r="L1042" s="350">
        <v>6</v>
      </c>
      <c r="M1042" s="350">
        <v>13</v>
      </c>
      <c r="N1042" s="350">
        <v>6</v>
      </c>
      <c r="O1042" s="350">
        <v>6</v>
      </c>
      <c r="P1042" s="352">
        <v>6</v>
      </c>
      <c r="Q1042" s="392">
        <v>6</v>
      </c>
      <c r="R1042" s="392"/>
      <c r="S1042" s="392"/>
      <c r="T1042" s="392"/>
      <c r="U1042" s="392"/>
      <c r="V1042" s="497"/>
      <c r="W1042" s="392"/>
      <c r="X1042" s="392"/>
      <c r="Y1042" s="352">
        <f>IF(NFI_Expiration=1,IF($A1042&lt;VLOOKUP(H$5,NFI,5,0),1,0)*Table_NFI[[#This Row],[Hygiene Kit]],Table_NFI[Hygiene Kit])</f>
        <v>0</v>
      </c>
      <c r="Z1042" s="352">
        <f>IF(NFI_Expiration=1,IF($A1042&lt;VLOOKUP(I$5,NFI,5,0),1,0)*Table_NFI[[#This Row],[NFI Core Kit]],Table_NFI[NFI Core Kit])</f>
        <v>0</v>
      </c>
      <c r="AA1042" s="352">
        <f>IF(NFI_Expiration=1,IF($A1042&lt;VLOOKUP(J$5,NFI,5,0),1,0)*Table_NFI[[#This Row],[Sanitary Kit]],Table_NFI[Sanitary Kit])</f>
        <v>0</v>
      </c>
      <c r="AB1042" s="352">
        <f>IF(NFI_Expiration=1,IF($A1042&lt;VLOOKUP(K$5,NFI,5,0),1,0)*Table_NFI[[#This Row],[Mosquito net]],Table_NFI[Mosquito net])</f>
        <v>0</v>
      </c>
      <c r="AC1042" s="352">
        <f>IF(NFI_Expiration=1,IF($A1042&lt;VLOOKUP(L$5,NFI,5,0),1,0)*Table_NFI[[#This Row],[Tarpaulin]],Table_NFI[[#This Row],[Tarpaulin]])</f>
        <v>0</v>
      </c>
      <c r="AD1042" s="352">
        <f>IF(NFI_Expiration=1,IF($A1042&lt;VLOOKUP(M$5,NFI,5,0),1,0)*Table_NFI[[#This Row],[Blanket]],Table_NFI[[#This Row],[Blanket]])</f>
        <v>0</v>
      </c>
      <c r="AE1042" s="352">
        <f>IF(NFI_Expiration=1,IF($A1042&lt;VLOOKUP(N$5,NFI,5,0),1,0)*Table_NFI[[#This Row],[Kitchen Set]],Table_NFI[Kitchen Set])</f>
        <v>0</v>
      </c>
      <c r="AF1042" s="352">
        <f>IF(NFI_Expiration=1,IF($A1042&lt;VLOOKUP(O$5,NFI,5,0),1,0)*Table_NFI[[#This Row],[Clothes Kit]],Table_NFI[Clothes Kit])</f>
        <v>0</v>
      </c>
      <c r="AG1042" s="352">
        <f>IF(NFI_Expiration=1,IF($A1042&lt;VLOOKUP(P$5,NFI,5,0),1,0)*Table_NFI[[#This Row],[Plastic Bucket]],Table_NFI[Plastic Bucket])</f>
        <v>0</v>
      </c>
      <c r="AH1042" s="352">
        <f>IF(NFI_Expiration=1,IF($A1042&lt;VLOOKUP(Q$5,NFI,5,0),1,0)*Table_NFI[[#This Row],[Plastic Mat]],Table_NFI[Plastic Mat])*IF(Table_NFI[[#This Row],[Distribution Date]]&gt;"2014-04-01",1,2.5)</f>
        <v>0</v>
      </c>
      <c r="AI1042" s="352">
        <f>IF(NFI_Expiration=1,IF($A1042&lt;VLOOKUP(R$5,NFI,5,0),1,0)*Table_NFI[[#This Row],[Winter Clothes Adult]],Table_NFI[Winter Clothes Adult])</f>
        <v>0</v>
      </c>
      <c r="AJ1042" s="352">
        <f>IF(NFI_Expiration=1,IF($A1042&lt;VLOOKUP(S$5,NFI,5,0),1,0)*Table_NFI[[#This Row],[Winter Clothes Children]],Table_NFI[Winter Clothes Children])</f>
        <v>0</v>
      </c>
      <c r="AK1042" s="352">
        <f>IF(NFI_Expiration=1,IF($A1042&lt;VLOOKUP(T$5,NFI,5,0),1,0)*Table_NFI[[#This Row],[Winter Items Other]],Table_NFI[Winter Items Other])</f>
        <v>0</v>
      </c>
      <c r="AL1042" s="352">
        <f>IF(NFI_Expiration=1,IF($A1042&lt;VLOOKUP(M$5,NFI,5,0),1,0)*Table_NFI[[#This Row],[Winter Blanket]],Table_NFI[[#This Row],[Winter Blanket]])</f>
        <v>0</v>
      </c>
      <c r="AM1042" s="352">
        <f>IF(Table_NFI[[#This Row],[Winter Clothes Adult]]+Table_NFI[[#This Row],[Winter Clothes Children]]+Table_NFI[[#This Row],[Winter Items Other]]+Table_NFI[[#This Row],[Winter Blanket]]&gt;0,1,0)</f>
        <v>0</v>
      </c>
      <c r="AN1042" s="392">
        <f>IF(NFI_Expiration=1,IF($A1042&lt;VLOOKUP(V$5,NFI,5,0),1,0)*Table_NFI[[#This Row],[Jerry Can]],Table_NFI[Jerry Can])</f>
        <v>0</v>
      </c>
      <c r="AO1042" s="540" t="str">
        <f>IFERROR(VLOOKUP(Table_NFI[[#This Row],[Camp Name]],CL,2,0),"")</f>
        <v>MMR001CMP015</v>
      </c>
      <c r="AP1042" s="535">
        <f ca="1">IF(Table_NFI[[#This Row],[Pcode]]="","",IF(OFFSET(CampList[Opening Date],MATCH(Table_NFI[[#This Row],[Pcode]],CampList[CP_Pcode],0)-1,0,1,1)&gt;=NFI_Monitor_Date,1,0))</f>
        <v>0</v>
      </c>
      <c r="AQ1042" s="540" t="str">
        <f>IFERROR(VLOOKUP(Table_NFI[[#This Row],[Camp Name]],CL,3,0),"")</f>
        <v>Open</v>
      </c>
      <c r="AR1042" s="352" t="str">
        <f ca="1">IF(Table_NFI[[#This Row],[Pcode]]="","",OFFSET(CampList[Priority],MATCH(Table_NFI[[#This Row],[Pcode]],CampList[CP_Pcode],0)-1,0,1,1))</f>
        <v>P4</v>
      </c>
      <c r="AS1042" s="351">
        <f>IFERROR(Table_NFI[[#This Row],[Kitchen Set]]/VLOOKUP(Table_NFI[[#This Row],[Camp Name]],CL,4,0),"")</f>
        <v>6.25E-2</v>
      </c>
      <c r="AT1042" s="533" t="s">
        <v>1094</v>
      </c>
      <c r="AU1042" s="536"/>
    </row>
    <row r="1043" spans="1:47" s="537" customFormat="1" ht="13.15" customHeight="1" x14ac:dyDescent="0.25">
      <c r="A1043" s="355">
        <f t="shared" si="16"/>
        <v>56.3</v>
      </c>
      <c r="B1043" s="532">
        <v>40882</v>
      </c>
      <c r="C1043" s="533" t="s">
        <v>453</v>
      </c>
      <c r="D1043" s="534" t="s">
        <v>507</v>
      </c>
      <c r="E1043" s="533" t="s">
        <v>380</v>
      </c>
      <c r="F1043" s="348" t="s">
        <v>237</v>
      </c>
      <c r="G1043" s="348" t="s">
        <v>253</v>
      </c>
      <c r="H1043" s="349"/>
      <c r="I1043" s="349"/>
      <c r="J1043" s="349"/>
      <c r="K1043" s="349">
        <v>80</v>
      </c>
      <c r="L1043" s="350">
        <v>45</v>
      </c>
      <c r="M1043" s="350">
        <v>80</v>
      </c>
      <c r="N1043" s="350">
        <v>45</v>
      </c>
      <c r="O1043" s="350">
        <v>45</v>
      </c>
      <c r="P1043" s="352">
        <v>45</v>
      </c>
      <c r="Q1043" s="392">
        <v>45</v>
      </c>
      <c r="R1043" s="392"/>
      <c r="S1043" s="392"/>
      <c r="T1043" s="392"/>
      <c r="U1043" s="392"/>
      <c r="V1043" s="497"/>
      <c r="W1043" s="392"/>
      <c r="X1043" s="392"/>
      <c r="Y1043" s="352">
        <f>IF(NFI_Expiration=1,IF($A1043&lt;VLOOKUP(H$5,NFI,5,0),1,0)*Table_NFI[[#This Row],[Hygiene Kit]],Table_NFI[Hygiene Kit])</f>
        <v>0</v>
      </c>
      <c r="Z1043" s="352">
        <f>IF(NFI_Expiration=1,IF($A1043&lt;VLOOKUP(I$5,NFI,5,0),1,0)*Table_NFI[[#This Row],[NFI Core Kit]],Table_NFI[NFI Core Kit])</f>
        <v>0</v>
      </c>
      <c r="AA1043" s="352">
        <f>IF(NFI_Expiration=1,IF($A1043&lt;VLOOKUP(J$5,NFI,5,0),1,0)*Table_NFI[[#This Row],[Sanitary Kit]],Table_NFI[Sanitary Kit])</f>
        <v>0</v>
      </c>
      <c r="AB1043" s="352">
        <f>IF(NFI_Expiration=1,IF($A1043&lt;VLOOKUP(K$5,NFI,5,0),1,0)*Table_NFI[[#This Row],[Mosquito net]],Table_NFI[Mosquito net])</f>
        <v>0</v>
      </c>
      <c r="AC1043" s="352">
        <f>IF(NFI_Expiration=1,IF($A1043&lt;VLOOKUP(L$5,NFI,5,0),1,0)*Table_NFI[[#This Row],[Tarpaulin]],Table_NFI[[#This Row],[Tarpaulin]])</f>
        <v>0</v>
      </c>
      <c r="AD1043" s="352">
        <f>IF(NFI_Expiration=1,IF($A1043&lt;VLOOKUP(M$5,NFI,5,0),1,0)*Table_NFI[[#This Row],[Blanket]],Table_NFI[[#This Row],[Blanket]])</f>
        <v>0</v>
      </c>
      <c r="AE1043" s="352">
        <f>IF(NFI_Expiration=1,IF($A1043&lt;VLOOKUP(N$5,NFI,5,0),1,0)*Table_NFI[[#This Row],[Kitchen Set]],Table_NFI[Kitchen Set])</f>
        <v>0</v>
      </c>
      <c r="AF1043" s="352">
        <f>IF(NFI_Expiration=1,IF($A1043&lt;VLOOKUP(O$5,NFI,5,0),1,0)*Table_NFI[[#This Row],[Clothes Kit]],Table_NFI[Clothes Kit])</f>
        <v>0</v>
      </c>
      <c r="AG1043" s="352">
        <f>IF(NFI_Expiration=1,IF($A1043&lt;VLOOKUP(P$5,NFI,5,0),1,0)*Table_NFI[[#This Row],[Plastic Bucket]],Table_NFI[Plastic Bucket])</f>
        <v>0</v>
      </c>
      <c r="AH1043" s="352">
        <f>IF(NFI_Expiration=1,IF($A1043&lt;VLOOKUP(Q$5,NFI,5,0),1,0)*Table_NFI[[#This Row],[Plastic Mat]],Table_NFI[Plastic Mat])*IF(Table_NFI[[#This Row],[Distribution Date]]&gt;"2014-04-01",1,2.5)</f>
        <v>0</v>
      </c>
      <c r="AI1043" s="352">
        <f>IF(NFI_Expiration=1,IF($A1043&lt;VLOOKUP(R$5,NFI,5,0),1,0)*Table_NFI[[#This Row],[Winter Clothes Adult]],Table_NFI[Winter Clothes Adult])</f>
        <v>0</v>
      </c>
      <c r="AJ1043" s="352">
        <f>IF(NFI_Expiration=1,IF($A1043&lt;VLOOKUP(S$5,NFI,5,0),1,0)*Table_NFI[[#This Row],[Winter Clothes Children]],Table_NFI[Winter Clothes Children])</f>
        <v>0</v>
      </c>
      <c r="AK1043" s="352">
        <f>IF(NFI_Expiration=1,IF($A1043&lt;VLOOKUP(T$5,NFI,5,0),1,0)*Table_NFI[[#This Row],[Winter Items Other]],Table_NFI[Winter Items Other])</f>
        <v>0</v>
      </c>
      <c r="AL1043" s="352">
        <f>IF(NFI_Expiration=1,IF($A1043&lt;VLOOKUP(M$5,NFI,5,0),1,0)*Table_NFI[[#This Row],[Winter Blanket]],Table_NFI[[#This Row],[Winter Blanket]])</f>
        <v>0</v>
      </c>
      <c r="AM1043" s="352">
        <f>IF(Table_NFI[[#This Row],[Winter Clothes Adult]]+Table_NFI[[#This Row],[Winter Clothes Children]]+Table_NFI[[#This Row],[Winter Items Other]]+Table_NFI[[#This Row],[Winter Blanket]]&gt;0,1,0)</f>
        <v>0</v>
      </c>
      <c r="AN1043" s="392">
        <f>IF(NFI_Expiration=1,IF($A1043&lt;VLOOKUP(V$5,NFI,5,0),1,0)*Table_NFI[[#This Row],[Jerry Can]],Table_NFI[Jerry Can])</f>
        <v>0</v>
      </c>
      <c r="AO1043" s="540" t="str">
        <f>IFERROR(VLOOKUP(Table_NFI[[#This Row],[Camp Name]],CL,2,0),"")</f>
        <v>MMR001CMP018</v>
      </c>
      <c r="AP1043" s="535">
        <f ca="1">IF(Table_NFI[[#This Row],[Pcode]]="","",IF(OFFSET(CampList[Opening Date],MATCH(Table_NFI[[#This Row],[Pcode]],CampList[CP_Pcode],0)-1,0,1,1)&gt;=NFI_Monitor_Date,1,0))</f>
        <v>0</v>
      </c>
      <c r="AQ1043" s="540" t="str">
        <f>IFERROR(VLOOKUP(Table_NFI[[#This Row],[Camp Name]],CL,3,0),"")</f>
        <v>Open</v>
      </c>
      <c r="AR1043" s="352" t="str">
        <f ca="1">IF(Table_NFI[[#This Row],[Pcode]]="","",OFFSET(CampList[Priority],MATCH(Table_NFI[[#This Row],[Pcode]],CampList[CP_Pcode],0)-1,0,1,1))</f>
        <v>P4</v>
      </c>
      <c r="AS1043" s="351">
        <f>IFERROR(Table_NFI[[#This Row],[Kitchen Set]]/VLOOKUP(Table_NFI[[#This Row],[Camp Name]],CL,4,0),"")</f>
        <v>0.22727272727272727</v>
      </c>
      <c r="AT1043" s="533" t="s">
        <v>1094</v>
      </c>
      <c r="AU1043" s="536"/>
    </row>
    <row r="1044" spans="1:47" s="537" customFormat="1" ht="13.15" customHeight="1" x14ac:dyDescent="0.25">
      <c r="A1044" s="355">
        <f t="shared" si="16"/>
        <v>56.333333333333336</v>
      </c>
      <c r="B1044" s="532">
        <v>40881</v>
      </c>
      <c r="C1044" s="533" t="s">
        <v>453</v>
      </c>
      <c r="D1044" s="534" t="s">
        <v>461</v>
      </c>
      <c r="E1044" s="533" t="s">
        <v>380</v>
      </c>
      <c r="F1044" s="348" t="s">
        <v>237</v>
      </c>
      <c r="G1044" s="348" t="s">
        <v>281</v>
      </c>
      <c r="H1044" s="349"/>
      <c r="I1044" s="349"/>
      <c r="J1044" s="349"/>
      <c r="K1044" s="349">
        <v>52</v>
      </c>
      <c r="L1044" s="350">
        <v>27</v>
      </c>
      <c r="M1044" s="350">
        <v>52</v>
      </c>
      <c r="N1044" s="350">
        <v>27</v>
      </c>
      <c r="O1044" s="350">
        <v>27</v>
      </c>
      <c r="P1044" s="352">
        <v>27</v>
      </c>
      <c r="Q1044" s="392">
        <v>27</v>
      </c>
      <c r="R1044" s="392"/>
      <c r="S1044" s="392"/>
      <c r="T1044" s="392"/>
      <c r="U1044" s="392"/>
      <c r="V1044" s="497"/>
      <c r="W1044" s="392"/>
      <c r="X1044" s="392"/>
      <c r="Y1044" s="352">
        <f>IF(NFI_Expiration=1,IF($A1044&lt;VLOOKUP(H$5,NFI,5,0),1,0)*Table_NFI[[#This Row],[Hygiene Kit]],Table_NFI[Hygiene Kit])</f>
        <v>0</v>
      </c>
      <c r="Z1044" s="352">
        <f>IF(NFI_Expiration=1,IF($A1044&lt;VLOOKUP(I$5,NFI,5,0),1,0)*Table_NFI[[#This Row],[NFI Core Kit]],Table_NFI[NFI Core Kit])</f>
        <v>0</v>
      </c>
      <c r="AA1044" s="352">
        <f>IF(NFI_Expiration=1,IF($A1044&lt;VLOOKUP(J$5,NFI,5,0),1,0)*Table_NFI[[#This Row],[Sanitary Kit]],Table_NFI[Sanitary Kit])</f>
        <v>0</v>
      </c>
      <c r="AB1044" s="352">
        <f>IF(NFI_Expiration=1,IF($A1044&lt;VLOOKUP(K$5,NFI,5,0),1,0)*Table_NFI[[#This Row],[Mosquito net]],Table_NFI[Mosquito net])</f>
        <v>0</v>
      </c>
      <c r="AC1044" s="352">
        <f>IF(NFI_Expiration=1,IF($A1044&lt;VLOOKUP(L$5,NFI,5,0),1,0)*Table_NFI[[#This Row],[Tarpaulin]],Table_NFI[[#This Row],[Tarpaulin]])</f>
        <v>0</v>
      </c>
      <c r="AD1044" s="352">
        <f>IF(NFI_Expiration=1,IF($A1044&lt;VLOOKUP(M$5,NFI,5,0),1,0)*Table_NFI[[#This Row],[Blanket]],Table_NFI[[#This Row],[Blanket]])</f>
        <v>0</v>
      </c>
      <c r="AE1044" s="352">
        <f>IF(NFI_Expiration=1,IF($A1044&lt;VLOOKUP(N$5,NFI,5,0),1,0)*Table_NFI[[#This Row],[Kitchen Set]],Table_NFI[Kitchen Set])</f>
        <v>0</v>
      </c>
      <c r="AF1044" s="352">
        <f>IF(NFI_Expiration=1,IF($A1044&lt;VLOOKUP(O$5,NFI,5,0),1,0)*Table_NFI[[#This Row],[Clothes Kit]],Table_NFI[Clothes Kit])</f>
        <v>0</v>
      </c>
      <c r="AG1044" s="352">
        <f>IF(NFI_Expiration=1,IF($A1044&lt;VLOOKUP(P$5,NFI,5,0),1,0)*Table_NFI[[#This Row],[Plastic Bucket]],Table_NFI[Plastic Bucket])</f>
        <v>0</v>
      </c>
      <c r="AH1044" s="352">
        <f>IF(NFI_Expiration=1,IF($A1044&lt;VLOOKUP(Q$5,NFI,5,0),1,0)*Table_NFI[[#This Row],[Plastic Mat]],Table_NFI[Plastic Mat])*IF(Table_NFI[[#This Row],[Distribution Date]]&gt;"2014-04-01",1,2.5)</f>
        <v>0</v>
      </c>
      <c r="AI1044" s="352">
        <f>IF(NFI_Expiration=1,IF($A1044&lt;VLOOKUP(R$5,NFI,5,0),1,0)*Table_NFI[[#This Row],[Winter Clothes Adult]],Table_NFI[Winter Clothes Adult])</f>
        <v>0</v>
      </c>
      <c r="AJ1044" s="352">
        <f>IF(NFI_Expiration=1,IF($A1044&lt;VLOOKUP(S$5,NFI,5,0),1,0)*Table_NFI[[#This Row],[Winter Clothes Children]],Table_NFI[Winter Clothes Children])</f>
        <v>0</v>
      </c>
      <c r="AK1044" s="352">
        <f>IF(NFI_Expiration=1,IF($A1044&lt;VLOOKUP(T$5,NFI,5,0),1,0)*Table_NFI[[#This Row],[Winter Items Other]],Table_NFI[Winter Items Other])</f>
        <v>0</v>
      </c>
      <c r="AL1044" s="352">
        <f>IF(NFI_Expiration=1,IF($A1044&lt;VLOOKUP(M$5,NFI,5,0),1,0)*Table_NFI[[#This Row],[Winter Blanket]],Table_NFI[[#This Row],[Winter Blanket]])</f>
        <v>0</v>
      </c>
      <c r="AM1044" s="352">
        <f>IF(Table_NFI[[#This Row],[Winter Clothes Adult]]+Table_NFI[[#This Row],[Winter Clothes Children]]+Table_NFI[[#This Row],[Winter Items Other]]+Table_NFI[[#This Row],[Winter Blanket]]&gt;0,1,0)</f>
        <v>0</v>
      </c>
      <c r="AN1044" s="392">
        <f>IF(NFI_Expiration=1,IF($A1044&lt;VLOOKUP(V$5,NFI,5,0),1,0)*Table_NFI[[#This Row],[Jerry Can]],Table_NFI[Jerry Can])</f>
        <v>0</v>
      </c>
      <c r="AO1044" s="540" t="str">
        <f>IFERROR(VLOOKUP(Table_NFI[[#This Row],[Camp Name]],CL,2,0),"")</f>
        <v>MMR001CMP009</v>
      </c>
      <c r="AP1044" s="535">
        <f ca="1">IF(Table_NFI[[#This Row],[Pcode]]="","",IF(OFFSET(CampList[Opening Date],MATCH(Table_NFI[[#This Row],[Pcode]],CampList[CP_Pcode],0)-1,0,1,1)&gt;=NFI_Monitor_Date,1,0))</f>
        <v>0</v>
      </c>
      <c r="AQ1044" s="540" t="str">
        <f>IFERROR(VLOOKUP(Table_NFI[[#This Row],[Camp Name]],CL,3,0),"")</f>
        <v>Open</v>
      </c>
      <c r="AR1044" s="352" t="str">
        <f ca="1">IF(Table_NFI[[#This Row],[Pcode]]="","",OFFSET(CampList[Priority],MATCH(Table_NFI[[#This Row],[Pcode]],CampList[CP_Pcode],0)-1,0,1,1))</f>
        <v>P4</v>
      </c>
      <c r="AS1044" s="351">
        <f>IFERROR(Table_NFI[[#This Row],[Kitchen Set]]/VLOOKUP(Table_NFI[[#This Row],[Camp Name]],CL,4,0),"")</f>
        <v>0.30337078651685395</v>
      </c>
      <c r="AT1044" s="533" t="s">
        <v>1094</v>
      </c>
      <c r="AU1044" s="536"/>
    </row>
    <row r="1045" spans="1:47" s="537" customFormat="1" ht="13.15" hidden="1" customHeight="1" x14ac:dyDescent="0.25">
      <c r="A1045" s="355">
        <f t="shared" si="16"/>
        <v>27.766666666666666</v>
      </c>
      <c r="B1045" s="532">
        <v>41738</v>
      </c>
      <c r="C1045" s="533" t="s">
        <v>1106</v>
      </c>
      <c r="D1045" s="533" t="s">
        <v>902</v>
      </c>
      <c r="E1045" s="533" t="s">
        <v>380</v>
      </c>
      <c r="F1045" s="533" t="s">
        <v>5</v>
      </c>
      <c r="G1045" s="533" t="s">
        <v>26</v>
      </c>
      <c r="H1045" s="349"/>
      <c r="I1045" s="349"/>
      <c r="J1045" s="349"/>
      <c r="K1045" s="349"/>
      <c r="L1045" s="350"/>
      <c r="M1045" s="350"/>
      <c r="N1045" s="350"/>
      <c r="O1045" s="350"/>
      <c r="P1045" s="352"/>
      <c r="Q1045" s="392"/>
      <c r="R1045" s="392"/>
      <c r="S1045" s="392"/>
      <c r="T1045" s="392"/>
      <c r="U1045" s="392">
        <v>42</v>
      </c>
      <c r="V1045" s="497"/>
      <c r="W1045" s="392"/>
      <c r="X1045" s="392"/>
      <c r="Y1045" s="352">
        <f>IF(NFI_Expiration=1,IF($A1045&lt;VLOOKUP(H$5,NFI,5,0),1,0)*Table_NFI[[#This Row],[Hygiene Kit]],Table_NFI[Hygiene Kit])</f>
        <v>0</v>
      </c>
      <c r="Z1045" s="352">
        <f>IF(NFI_Expiration=1,IF($A1045&lt;VLOOKUP(I$5,NFI,5,0),1,0)*Table_NFI[[#This Row],[NFI Core Kit]],Table_NFI[NFI Core Kit])</f>
        <v>0</v>
      </c>
      <c r="AA1045" s="352">
        <f>IF(NFI_Expiration=1,IF($A1045&lt;VLOOKUP(J$5,NFI,5,0),1,0)*Table_NFI[[#This Row],[Sanitary Kit]],Table_NFI[Sanitary Kit])</f>
        <v>0</v>
      </c>
      <c r="AB1045" s="352">
        <f>IF(NFI_Expiration=1,IF($A1045&lt;VLOOKUP(K$5,NFI,5,0),1,0)*Table_NFI[[#This Row],[Mosquito net]],Table_NFI[Mosquito net])</f>
        <v>0</v>
      </c>
      <c r="AC1045" s="352">
        <f>IF(NFI_Expiration=1,IF($A1045&lt;VLOOKUP(L$5,NFI,5,0),1,0)*Table_NFI[[#This Row],[Tarpaulin]],Table_NFI[[#This Row],[Tarpaulin]])</f>
        <v>0</v>
      </c>
      <c r="AD1045" s="352">
        <f>IF(NFI_Expiration=1,IF($A1045&lt;VLOOKUP(M$5,NFI,5,0),1,0)*Table_NFI[[#This Row],[Blanket]],Table_NFI[[#This Row],[Blanket]])</f>
        <v>0</v>
      </c>
      <c r="AE1045" s="352">
        <f>IF(NFI_Expiration=1,IF($A1045&lt;VLOOKUP(N$5,NFI,5,0),1,0)*Table_NFI[[#This Row],[Kitchen Set]],Table_NFI[Kitchen Set])</f>
        <v>0</v>
      </c>
      <c r="AF1045" s="352">
        <f>IF(NFI_Expiration=1,IF($A1045&lt;VLOOKUP(O$5,NFI,5,0),1,0)*Table_NFI[[#This Row],[Clothes Kit]],Table_NFI[Clothes Kit])</f>
        <v>0</v>
      </c>
      <c r="AG1045" s="352">
        <f>IF(NFI_Expiration=1,IF($A1045&lt;VLOOKUP(P$5,NFI,5,0),1,0)*Table_NFI[[#This Row],[Plastic Bucket]],Table_NFI[Plastic Bucket])</f>
        <v>0</v>
      </c>
      <c r="AH1045" s="352">
        <f>IF(NFI_Expiration=1,IF($A1045&lt;VLOOKUP(Q$5,NFI,5,0),1,0)*Table_NFI[[#This Row],[Plastic Mat]],Table_NFI[Plastic Mat])*IF(Table_NFI[[#This Row],[Distribution Date]]&gt;"2014-04-01",1,2.5)</f>
        <v>0</v>
      </c>
      <c r="AI1045" s="352">
        <f>IF(NFI_Expiration=1,IF($A1045&lt;VLOOKUP(R$5,NFI,5,0),1,0)*Table_NFI[[#This Row],[Winter Clothes Adult]],Table_NFI[Winter Clothes Adult])</f>
        <v>0</v>
      </c>
      <c r="AJ1045" s="352">
        <f>IF(NFI_Expiration=1,IF($A1045&lt;VLOOKUP(S$5,NFI,5,0),1,0)*Table_NFI[[#This Row],[Winter Clothes Children]],Table_NFI[Winter Clothes Children])</f>
        <v>0</v>
      </c>
      <c r="AK1045" s="352">
        <f>IF(NFI_Expiration=1,IF($A1045&lt;VLOOKUP(T$5,NFI,5,0),1,0)*Table_NFI[[#This Row],[Winter Items Other]],Table_NFI[Winter Items Other])</f>
        <v>0</v>
      </c>
      <c r="AL1045" s="352">
        <f>IF(NFI_Expiration=1,IF($A1045&lt;VLOOKUP(M$5,NFI,5,0),1,0)*Table_NFI[[#This Row],[Winter Blanket]],Table_NFI[[#This Row],[Winter Blanket]])</f>
        <v>0</v>
      </c>
      <c r="AM1045" s="352">
        <f>IF(Table_NFI[[#This Row],[Winter Clothes Adult]]+Table_NFI[[#This Row],[Winter Clothes Children]]+Table_NFI[[#This Row],[Winter Items Other]]+Table_NFI[[#This Row],[Winter Blanket]]&gt;0,1,0)</f>
        <v>1</v>
      </c>
      <c r="AN1045" s="392">
        <f>IF(NFI_Expiration=1,IF($A1045&lt;VLOOKUP(V$5,NFI,5,0),1,0)*Table_NFI[[#This Row],[Jerry Can]],Table_NFI[Jerry Can])</f>
        <v>0</v>
      </c>
      <c r="AO1045" s="540" t="str">
        <f>IFERROR(VLOOKUP(Table_NFI[[#This Row],[Camp Name]],CL,2,0),"")</f>
        <v>MMR001CMP053</v>
      </c>
      <c r="AP1045" s="535">
        <f ca="1">IF(Table_NFI[[#This Row],[Pcode]]="","",IF(OFFSET(CampList[Opening Date],MATCH(Table_NFI[[#This Row],[Pcode]],CampList[CP_Pcode],0)-1,0,1,1)&gt;=NFI_Monitor_Date,1,0))</f>
        <v>0</v>
      </c>
      <c r="AQ1045" s="540" t="str">
        <f>IFERROR(VLOOKUP(Table_NFI[[#This Row],[Camp Name]],CL,3,0),"")</f>
        <v>Open</v>
      </c>
      <c r="AR1045" s="352" t="str">
        <f ca="1">IF(Table_NFI[[#This Row],[Pcode]]="","",OFFSET(CampList[Priority],MATCH(Table_NFI[[#This Row],[Pcode]],CampList[CP_Pcode],0)-1,0,1,1))</f>
        <v>P4</v>
      </c>
      <c r="AS1045" s="351">
        <f>IFERROR(Table_NFI[[#This Row],[Kitchen Set]]/VLOOKUP(Table_NFI[[#This Row],[Camp Name]],CL,4,0),"")</f>
        <v>0</v>
      </c>
      <c r="AT1045" s="533"/>
      <c r="AU1045" s="536"/>
    </row>
    <row r="1046" spans="1:47" s="537" customFormat="1" ht="13.15" hidden="1" customHeight="1" x14ac:dyDescent="0.25">
      <c r="A1046" s="355">
        <f t="shared" si="16"/>
        <v>32.1</v>
      </c>
      <c r="B1046" s="532">
        <v>41608</v>
      </c>
      <c r="C1046" s="533" t="s">
        <v>1099</v>
      </c>
      <c r="D1046" s="534" t="s">
        <v>946</v>
      </c>
      <c r="E1046" s="533" t="s">
        <v>380</v>
      </c>
      <c r="F1046" s="348" t="s">
        <v>5</v>
      </c>
      <c r="G1046" s="348" t="s">
        <v>26</v>
      </c>
      <c r="H1046" s="349"/>
      <c r="I1046" s="349"/>
      <c r="J1046" s="349"/>
      <c r="K1046" s="349"/>
      <c r="L1046" s="350"/>
      <c r="M1046" s="350">
        <v>64</v>
      </c>
      <c r="N1046" s="350"/>
      <c r="O1046" s="350"/>
      <c r="P1046" s="352"/>
      <c r="Q1046" s="392"/>
      <c r="R1046" s="392">
        <v>58</v>
      </c>
      <c r="S1046" s="392">
        <v>52</v>
      </c>
      <c r="T1046" s="392">
        <v>0</v>
      </c>
      <c r="U1046" s="392"/>
      <c r="V1046" s="497"/>
      <c r="W1046" s="392"/>
      <c r="X1046" s="392"/>
      <c r="Y1046" s="352">
        <f>IF(NFI_Expiration=1,IF($A1046&lt;VLOOKUP(H$5,NFI,5,0),1,0)*Table_NFI[[#This Row],[Hygiene Kit]],Table_NFI[Hygiene Kit])</f>
        <v>0</v>
      </c>
      <c r="Z1046" s="352">
        <f>IF(NFI_Expiration=1,IF($A1046&lt;VLOOKUP(I$5,NFI,5,0),1,0)*Table_NFI[[#This Row],[NFI Core Kit]],Table_NFI[NFI Core Kit])</f>
        <v>0</v>
      </c>
      <c r="AA1046" s="352">
        <f>IF(NFI_Expiration=1,IF($A1046&lt;VLOOKUP(J$5,NFI,5,0),1,0)*Table_NFI[[#This Row],[Sanitary Kit]],Table_NFI[Sanitary Kit])</f>
        <v>0</v>
      </c>
      <c r="AB1046" s="352">
        <f>IF(NFI_Expiration=1,IF($A1046&lt;VLOOKUP(K$5,NFI,5,0),1,0)*Table_NFI[[#This Row],[Mosquito net]],Table_NFI[Mosquito net])</f>
        <v>0</v>
      </c>
      <c r="AC1046" s="352">
        <f>IF(NFI_Expiration=1,IF($A1046&lt;VLOOKUP(L$5,NFI,5,0),1,0)*Table_NFI[[#This Row],[Tarpaulin]],Table_NFI[[#This Row],[Tarpaulin]])</f>
        <v>0</v>
      </c>
      <c r="AD1046" s="352">
        <f>IF(NFI_Expiration=1,IF($A1046&lt;VLOOKUP(M$5,NFI,5,0),1,0)*Table_NFI[[#This Row],[Blanket]],Table_NFI[[#This Row],[Blanket]])</f>
        <v>0</v>
      </c>
      <c r="AE1046" s="352">
        <f>IF(NFI_Expiration=1,IF($A1046&lt;VLOOKUP(N$5,NFI,5,0),1,0)*Table_NFI[[#This Row],[Kitchen Set]],Table_NFI[Kitchen Set])</f>
        <v>0</v>
      </c>
      <c r="AF1046" s="352">
        <f>IF(NFI_Expiration=1,IF($A1046&lt;VLOOKUP(O$5,NFI,5,0),1,0)*Table_NFI[[#This Row],[Clothes Kit]],Table_NFI[Clothes Kit])</f>
        <v>0</v>
      </c>
      <c r="AG1046" s="352">
        <f>IF(NFI_Expiration=1,IF($A1046&lt;VLOOKUP(P$5,NFI,5,0),1,0)*Table_NFI[[#This Row],[Plastic Bucket]],Table_NFI[Plastic Bucket])</f>
        <v>0</v>
      </c>
      <c r="AH1046" s="352">
        <f>IF(NFI_Expiration=1,IF($A1046&lt;VLOOKUP(Q$5,NFI,5,0),1,0)*Table_NFI[[#This Row],[Plastic Mat]],Table_NFI[Plastic Mat])*IF(Table_NFI[[#This Row],[Distribution Date]]&gt;"2014-04-01",1,2.5)</f>
        <v>0</v>
      </c>
      <c r="AI1046" s="352">
        <f>IF(NFI_Expiration=1,IF($A1046&lt;VLOOKUP(R$5,NFI,5,0),1,0)*Table_NFI[[#This Row],[Winter Clothes Adult]],Table_NFI[Winter Clothes Adult])</f>
        <v>0</v>
      </c>
      <c r="AJ1046" s="352">
        <f>IF(NFI_Expiration=1,IF($A1046&lt;VLOOKUP(S$5,NFI,5,0),1,0)*Table_NFI[[#This Row],[Winter Clothes Children]],Table_NFI[Winter Clothes Children])</f>
        <v>0</v>
      </c>
      <c r="AK1046" s="352">
        <f>IF(NFI_Expiration=1,IF($A1046&lt;VLOOKUP(T$5,NFI,5,0),1,0)*Table_NFI[[#This Row],[Winter Items Other]],Table_NFI[Winter Items Other])</f>
        <v>0</v>
      </c>
      <c r="AL1046" s="352">
        <f>IF(NFI_Expiration=1,IF($A1046&lt;VLOOKUP(M$5,NFI,5,0),1,0)*Table_NFI[[#This Row],[Winter Blanket]],Table_NFI[[#This Row],[Winter Blanket]])</f>
        <v>0</v>
      </c>
      <c r="AM1046" s="352">
        <f>IF(Table_NFI[[#This Row],[Winter Clothes Adult]]+Table_NFI[[#This Row],[Winter Clothes Children]]+Table_NFI[[#This Row],[Winter Items Other]]+Table_NFI[[#This Row],[Winter Blanket]]&gt;0,1,0)</f>
        <v>1</v>
      </c>
      <c r="AN1046" s="392">
        <f>IF(NFI_Expiration=1,IF($A1046&lt;VLOOKUP(V$5,NFI,5,0),1,0)*Table_NFI[[#This Row],[Jerry Can]],Table_NFI[Jerry Can])</f>
        <v>0</v>
      </c>
      <c r="AO1046" s="540" t="str">
        <f>IFERROR(VLOOKUP(Table_NFI[[#This Row],[Camp Name]],CL,2,0),"")</f>
        <v>MMR001CMP053</v>
      </c>
      <c r="AP1046" s="535">
        <f ca="1">IF(Table_NFI[[#This Row],[Pcode]]="","",IF(OFFSET(CampList[Opening Date],MATCH(Table_NFI[[#This Row],[Pcode]],CampList[CP_Pcode],0)-1,0,1,1)&gt;=NFI_Monitor_Date,1,0))</f>
        <v>0</v>
      </c>
      <c r="AQ1046" s="540" t="str">
        <f>IFERROR(VLOOKUP(Table_NFI[[#This Row],[Camp Name]],CL,3,0),"")</f>
        <v>Open</v>
      </c>
      <c r="AR1046" s="352" t="str">
        <f ca="1">IF(Table_NFI[[#This Row],[Pcode]]="","",OFFSET(CampList[Priority],MATCH(Table_NFI[[#This Row],[Pcode]],CampList[CP_Pcode],0)-1,0,1,1))</f>
        <v>P4</v>
      </c>
      <c r="AS1046" s="351">
        <f>IFERROR(Table_NFI[[#This Row],[Kitchen Set]]/VLOOKUP(Table_NFI[[#This Row],[Camp Name]],CL,4,0),"")</f>
        <v>0</v>
      </c>
      <c r="AT1046" s="533" t="s">
        <v>1094</v>
      </c>
      <c r="AU1046" s="536"/>
    </row>
    <row r="1047" spans="1:47" s="537" customFormat="1" ht="13.15" hidden="1" customHeight="1" x14ac:dyDescent="0.25">
      <c r="A1047" s="355">
        <f t="shared" si="16"/>
        <v>32.1</v>
      </c>
      <c r="B1047" s="532">
        <v>41608</v>
      </c>
      <c r="C1047" s="533" t="s">
        <v>907</v>
      </c>
      <c r="D1047" s="533"/>
      <c r="E1047" s="533" t="s">
        <v>380</v>
      </c>
      <c r="F1047" s="348" t="s">
        <v>5</v>
      </c>
      <c r="G1047" s="348" t="s">
        <v>26</v>
      </c>
      <c r="H1047" s="349"/>
      <c r="I1047" s="349"/>
      <c r="J1047" s="349"/>
      <c r="K1047" s="349"/>
      <c r="L1047" s="350"/>
      <c r="M1047" s="350"/>
      <c r="N1047" s="350"/>
      <c r="O1047" s="350"/>
      <c r="P1047" s="352"/>
      <c r="Q1047" s="392">
        <v>99</v>
      </c>
      <c r="R1047" s="392"/>
      <c r="S1047" s="392"/>
      <c r="T1047" s="392"/>
      <c r="U1047" s="392"/>
      <c r="V1047" s="497"/>
      <c r="W1047" s="392"/>
      <c r="X1047" s="392"/>
      <c r="Y1047" s="352">
        <f>IF(NFI_Expiration=1,IF($A1047&lt;VLOOKUP(H$5,NFI,5,0),1,0)*Table_NFI[[#This Row],[Hygiene Kit]],Table_NFI[Hygiene Kit])</f>
        <v>0</v>
      </c>
      <c r="Z1047" s="352">
        <f>IF(NFI_Expiration=1,IF($A1047&lt;VLOOKUP(I$5,NFI,5,0),1,0)*Table_NFI[[#This Row],[NFI Core Kit]],Table_NFI[NFI Core Kit])</f>
        <v>0</v>
      </c>
      <c r="AA1047" s="352">
        <f>IF(NFI_Expiration=1,IF($A1047&lt;VLOOKUP(J$5,NFI,5,0),1,0)*Table_NFI[[#This Row],[Sanitary Kit]],Table_NFI[Sanitary Kit])</f>
        <v>0</v>
      </c>
      <c r="AB1047" s="352">
        <f>IF(NFI_Expiration=1,IF($A1047&lt;VLOOKUP(K$5,NFI,5,0),1,0)*Table_NFI[[#This Row],[Mosquito net]],Table_NFI[Mosquito net])</f>
        <v>0</v>
      </c>
      <c r="AC1047" s="352">
        <f>IF(NFI_Expiration=1,IF($A1047&lt;VLOOKUP(L$5,NFI,5,0),1,0)*Table_NFI[[#This Row],[Tarpaulin]],Table_NFI[[#This Row],[Tarpaulin]])</f>
        <v>0</v>
      </c>
      <c r="AD1047" s="352">
        <f>IF(NFI_Expiration=1,IF($A1047&lt;VLOOKUP(M$5,NFI,5,0),1,0)*Table_NFI[[#This Row],[Blanket]],Table_NFI[[#This Row],[Blanket]])</f>
        <v>0</v>
      </c>
      <c r="AE1047" s="352">
        <f>IF(NFI_Expiration=1,IF($A1047&lt;VLOOKUP(N$5,NFI,5,0),1,0)*Table_NFI[[#This Row],[Kitchen Set]],Table_NFI[Kitchen Set])</f>
        <v>0</v>
      </c>
      <c r="AF1047" s="352">
        <f>IF(NFI_Expiration=1,IF($A1047&lt;VLOOKUP(O$5,NFI,5,0),1,0)*Table_NFI[[#This Row],[Clothes Kit]],Table_NFI[Clothes Kit])</f>
        <v>0</v>
      </c>
      <c r="AG1047" s="352">
        <f>IF(NFI_Expiration=1,IF($A1047&lt;VLOOKUP(P$5,NFI,5,0),1,0)*Table_NFI[[#This Row],[Plastic Bucket]],Table_NFI[Plastic Bucket])</f>
        <v>0</v>
      </c>
      <c r="AH1047" s="352">
        <f>IF(NFI_Expiration=1,IF($A1047&lt;VLOOKUP(Q$5,NFI,5,0),1,0)*Table_NFI[[#This Row],[Plastic Mat]],Table_NFI[Plastic Mat])*IF(Table_NFI[[#This Row],[Distribution Date]]&gt;"2014-04-01",1,2.5)</f>
        <v>0</v>
      </c>
      <c r="AI1047" s="352">
        <f>IF(NFI_Expiration=1,IF($A1047&lt;VLOOKUP(R$5,NFI,5,0),1,0)*Table_NFI[[#This Row],[Winter Clothes Adult]],Table_NFI[Winter Clothes Adult])</f>
        <v>0</v>
      </c>
      <c r="AJ1047" s="352">
        <f>IF(NFI_Expiration=1,IF($A1047&lt;VLOOKUP(S$5,NFI,5,0),1,0)*Table_NFI[[#This Row],[Winter Clothes Children]],Table_NFI[Winter Clothes Children])</f>
        <v>0</v>
      </c>
      <c r="AK1047" s="352">
        <f>IF(NFI_Expiration=1,IF($A1047&lt;VLOOKUP(T$5,NFI,5,0),1,0)*Table_NFI[[#This Row],[Winter Items Other]],Table_NFI[Winter Items Other])</f>
        <v>0</v>
      </c>
      <c r="AL1047" s="352">
        <f>IF(NFI_Expiration=1,IF($A1047&lt;VLOOKUP(M$5,NFI,5,0),1,0)*Table_NFI[[#This Row],[Winter Blanket]],Table_NFI[[#This Row],[Winter Blanket]])</f>
        <v>0</v>
      </c>
      <c r="AM1047" s="352">
        <f>IF(Table_NFI[[#This Row],[Winter Clothes Adult]]+Table_NFI[[#This Row],[Winter Clothes Children]]+Table_NFI[[#This Row],[Winter Items Other]]+Table_NFI[[#This Row],[Winter Blanket]]&gt;0,1,0)</f>
        <v>0</v>
      </c>
      <c r="AN1047" s="392">
        <f>IF(NFI_Expiration=1,IF($A1047&lt;VLOOKUP(V$5,NFI,5,0),1,0)*Table_NFI[[#This Row],[Jerry Can]],Table_NFI[Jerry Can])</f>
        <v>0</v>
      </c>
      <c r="AO1047" s="540" t="str">
        <f>IFERROR(VLOOKUP(Table_NFI[[#This Row],[Camp Name]],CL,2,0),"")</f>
        <v>MMR001CMP053</v>
      </c>
      <c r="AP1047" s="535">
        <f ca="1">IF(Table_NFI[[#This Row],[Pcode]]="","",IF(OFFSET(CampList[Opening Date],MATCH(Table_NFI[[#This Row],[Pcode]],CampList[CP_Pcode],0)-1,0,1,1)&gt;=NFI_Monitor_Date,1,0))</f>
        <v>0</v>
      </c>
      <c r="AQ1047" s="540" t="str">
        <f>IFERROR(VLOOKUP(Table_NFI[[#This Row],[Camp Name]],CL,3,0),"")</f>
        <v>Open</v>
      </c>
      <c r="AR1047" s="352" t="str">
        <f ca="1">IF(Table_NFI[[#This Row],[Pcode]]="","",OFFSET(CampList[Priority],MATCH(Table_NFI[[#This Row],[Pcode]],CampList[CP_Pcode],0)-1,0,1,1))</f>
        <v>P4</v>
      </c>
      <c r="AS1047" s="351">
        <f>IFERROR(Table_NFI[[#This Row],[Kitchen Set]]/VLOOKUP(Table_NFI[[#This Row],[Camp Name]],CL,4,0),"")</f>
        <v>0</v>
      </c>
      <c r="AT1047" s="533" t="s">
        <v>1094</v>
      </c>
      <c r="AU1047" s="536"/>
    </row>
    <row r="1048" spans="1:47" s="546" customFormat="1" ht="16.899999999999999" hidden="1" customHeight="1" x14ac:dyDescent="0.25">
      <c r="A1048" s="355">
        <f t="shared" si="16"/>
        <v>42.966666666666669</v>
      </c>
      <c r="B1048" s="532">
        <v>41282</v>
      </c>
      <c r="C1048" s="533" t="s">
        <v>907</v>
      </c>
      <c r="D1048" s="533" t="s">
        <v>907</v>
      </c>
      <c r="E1048" s="533" t="s">
        <v>380</v>
      </c>
      <c r="F1048" s="533" t="s">
        <v>5</v>
      </c>
      <c r="G1048" s="348" t="s">
        <v>26</v>
      </c>
      <c r="H1048" s="349">
        <v>132</v>
      </c>
      <c r="I1048" s="349"/>
      <c r="J1048" s="349"/>
      <c r="K1048" s="349"/>
      <c r="L1048" s="350"/>
      <c r="M1048" s="350"/>
      <c r="N1048" s="350"/>
      <c r="O1048" s="350"/>
      <c r="P1048" s="352">
        <v>0</v>
      </c>
      <c r="Q1048" s="352">
        <v>0</v>
      </c>
      <c r="R1048" s="352"/>
      <c r="S1048" s="352"/>
      <c r="T1048" s="352"/>
      <c r="U1048" s="352"/>
      <c r="V1048" s="497"/>
      <c r="W1048" s="352"/>
      <c r="X1048" s="352"/>
      <c r="Y1048" s="352">
        <f>IF(NFI_Expiration=1,IF($A1048&lt;VLOOKUP(H$5,NFI,5,0),1,0)*Table_NFI[[#This Row],[Hygiene Kit]],Table_NFI[Hygiene Kit])</f>
        <v>0</v>
      </c>
      <c r="Z1048" s="352">
        <f>IF(NFI_Expiration=1,IF($A1048&lt;VLOOKUP(I$5,NFI,5,0),1,0)*Table_NFI[[#This Row],[NFI Core Kit]],Table_NFI[NFI Core Kit])</f>
        <v>0</v>
      </c>
      <c r="AA1048" s="352">
        <f>IF(NFI_Expiration=1,IF($A1048&lt;VLOOKUP(J$5,NFI,5,0),1,0)*Table_NFI[[#This Row],[Sanitary Kit]],Table_NFI[Sanitary Kit])</f>
        <v>0</v>
      </c>
      <c r="AB1048" s="352">
        <f>IF(NFI_Expiration=1,IF($A1048&lt;VLOOKUP(K$5,NFI,5,0),1,0)*Table_NFI[[#This Row],[Mosquito net]],Table_NFI[Mosquito net])</f>
        <v>0</v>
      </c>
      <c r="AC1048" s="352">
        <f>IF(NFI_Expiration=1,IF($A1048&lt;VLOOKUP(L$5,NFI,5,0),1,0)*Table_NFI[[#This Row],[Tarpaulin]],Table_NFI[[#This Row],[Tarpaulin]])</f>
        <v>0</v>
      </c>
      <c r="AD1048" s="352">
        <f>IF(NFI_Expiration=1,IF($A1048&lt;VLOOKUP(M$5,NFI,5,0),1,0)*Table_NFI[[#This Row],[Blanket]],Table_NFI[[#This Row],[Blanket]])</f>
        <v>0</v>
      </c>
      <c r="AE1048" s="352">
        <f>IF(NFI_Expiration=1,IF($A1048&lt;VLOOKUP(N$5,NFI,5,0),1,0)*Table_NFI[[#This Row],[Kitchen Set]],Table_NFI[Kitchen Set])</f>
        <v>0</v>
      </c>
      <c r="AF1048" s="352">
        <f>IF(NFI_Expiration=1,IF($A1048&lt;VLOOKUP(O$5,NFI,5,0),1,0)*Table_NFI[[#This Row],[Clothes Kit]],Table_NFI[Clothes Kit])</f>
        <v>0</v>
      </c>
      <c r="AG1048" s="352">
        <f>IF(NFI_Expiration=1,IF($A1048&lt;VLOOKUP(P$5,NFI,5,0),1,0)*Table_NFI[[#This Row],[Plastic Bucket]],Table_NFI[Plastic Bucket])</f>
        <v>0</v>
      </c>
      <c r="AH1048" s="352">
        <f>IF(NFI_Expiration=1,IF($A1048&lt;VLOOKUP(Q$5,NFI,5,0),1,0)*Table_NFI[[#This Row],[Plastic Mat]],Table_NFI[Plastic Mat])*IF(Table_NFI[[#This Row],[Distribution Date]]&gt;"2014-04-01",1,2.5)</f>
        <v>0</v>
      </c>
      <c r="AI1048" s="352">
        <f>IF(NFI_Expiration=1,IF($A1048&lt;VLOOKUP(R$5,NFI,5,0),1,0)*Table_NFI[[#This Row],[Winter Clothes Adult]],Table_NFI[Winter Clothes Adult])</f>
        <v>0</v>
      </c>
      <c r="AJ1048" s="352">
        <f>IF(NFI_Expiration=1,IF($A1048&lt;VLOOKUP(S$5,NFI,5,0),1,0)*Table_NFI[[#This Row],[Winter Clothes Children]],Table_NFI[Winter Clothes Children])</f>
        <v>0</v>
      </c>
      <c r="AK1048" s="352">
        <f>IF(NFI_Expiration=1,IF($A1048&lt;VLOOKUP(T$5,NFI,5,0),1,0)*Table_NFI[[#This Row],[Winter Items Other]],Table_NFI[Winter Items Other])</f>
        <v>0</v>
      </c>
      <c r="AL1048" s="352">
        <f>IF(NFI_Expiration=1,IF($A1048&lt;VLOOKUP(M$5,NFI,5,0),1,0)*Table_NFI[[#This Row],[Winter Blanket]],Table_NFI[[#This Row],[Winter Blanket]])</f>
        <v>0</v>
      </c>
      <c r="AM1048" s="352">
        <f>IF(Table_NFI[[#This Row],[Winter Clothes Adult]]+Table_NFI[[#This Row],[Winter Clothes Children]]+Table_NFI[[#This Row],[Winter Items Other]]+Table_NFI[[#This Row],[Winter Blanket]]&gt;0,1,0)</f>
        <v>0</v>
      </c>
      <c r="AN1048" s="392">
        <f>IF(NFI_Expiration=1,IF($A1048&lt;VLOOKUP(V$5,NFI,5,0),1,0)*Table_NFI[[#This Row],[Jerry Can]],Table_NFI[Jerry Can])</f>
        <v>0</v>
      </c>
      <c r="AO1048" s="540" t="str">
        <f>IFERROR(VLOOKUP(Table_NFI[[#This Row],[Camp Name]],CL,2,0),"")</f>
        <v>MMR001CMP053</v>
      </c>
      <c r="AP1048" s="535">
        <f ca="1">IF(Table_NFI[[#This Row],[Pcode]]="","",IF(OFFSET(CampList[Opening Date],MATCH(Table_NFI[[#This Row],[Pcode]],CampList[CP_Pcode],0)-1,0,1,1)&gt;=NFI_Monitor_Date,1,0))</f>
        <v>0</v>
      </c>
      <c r="AQ1048" s="540" t="str">
        <f>IFERROR(VLOOKUP(Table_NFI[[#This Row],[Camp Name]],CL,3,0),"")</f>
        <v>Open</v>
      </c>
      <c r="AR1048" s="352" t="str">
        <f ca="1">IF(Table_NFI[[#This Row],[Pcode]]="","",OFFSET(CampList[Priority],MATCH(Table_NFI[[#This Row],[Pcode]],CampList[CP_Pcode],0)-1,0,1,1))</f>
        <v>P4</v>
      </c>
      <c r="AS1048" s="351">
        <f>IFERROR(Table_NFI[[#This Row],[Kitchen Set]]/VLOOKUP(Table_NFI[[#This Row],[Camp Name]],CL,4,0),"")</f>
        <v>0</v>
      </c>
      <c r="AT1048" s="533" t="s">
        <v>1094</v>
      </c>
      <c r="AU1048" s="536"/>
    </row>
    <row r="1049" spans="1:47" s="546" customFormat="1" ht="16.899999999999999" hidden="1" customHeight="1" x14ac:dyDescent="0.25">
      <c r="A1049" s="355">
        <f t="shared" si="16"/>
        <v>43.56666666666667</v>
      </c>
      <c r="B1049" s="532">
        <v>41264</v>
      </c>
      <c r="C1049" s="533" t="s">
        <v>907</v>
      </c>
      <c r="D1049" s="533" t="s">
        <v>907</v>
      </c>
      <c r="E1049" s="533" t="s">
        <v>380</v>
      </c>
      <c r="F1049" s="533" t="s">
        <v>5</v>
      </c>
      <c r="G1049" s="348" t="s">
        <v>26</v>
      </c>
      <c r="H1049" s="352">
        <v>178</v>
      </c>
      <c r="I1049" s="349"/>
      <c r="J1049" s="349"/>
      <c r="K1049" s="349"/>
      <c r="L1049" s="350"/>
      <c r="M1049" s="350"/>
      <c r="N1049" s="350"/>
      <c r="O1049" s="350"/>
      <c r="P1049" s="352"/>
      <c r="Q1049" s="392"/>
      <c r="R1049" s="392"/>
      <c r="S1049" s="392"/>
      <c r="T1049" s="392"/>
      <c r="U1049" s="392"/>
      <c r="V1049" s="497"/>
      <c r="W1049" s="392"/>
      <c r="X1049" s="392"/>
      <c r="Y1049" s="352">
        <f>IF(NFI_Expiration=1,IF($A1049&lt;VLOOKUP(H$5,NFI,5,0),1,0)*Table_NFI[[#This Row],[Hygiene Kit]],Table_NFI[Hygiene Kit])</f>
        <v>0</v>
      </c>
      <c r="Z1049" s="352">
        <f>IF(NFI_Expiration=1,IF($A1049&lt;VLOOKUP(I$5,NFI,5,0),1,0)*Table_NFI[[#This Row],[NFI Core Kit]],Table_NFI[NFI Core Kit])</f>
        <v>0</v>
      </c>
      <c r="AA1049" s="352">
        <f>IF(NFI_Expiration=1,IF($A1049&lt;VLOOKUP(J$5,NFI,5,0),1,0)*Table_NFI[[#This Row],[Sanitary Kit]],Table_NFI[Sanitary Kit])</f>
        <v>0</v>
      </c>
      <c r="AB1049" s="352">
        <f>IF(NFI_Expiration=1,IF($A1049&lt;VLOOKUP(K$5,NFI,5,0),1,0)*Table_NFI[[#This Row],[Mosquito net]],Table_NFI[Mosquito net])</f>
        <v>0</v>
      </c>
      <c r="AC1049" s="352">
        <f>IF(NFI_Expiration=1,IF($A1049&lt;VLOOKUP(L$5,NFI,5,0),1,0)*Table_NFI[[#This Row],[Tarpaulin]],Table_NFI[[#This Row],[Tarpaulin]])</f>
        <v>0</v>
      </c>
      <c r="AD1049" s="352">
        <f>IF(NFI_Expiration=1,IF($A1049&lt;VLOOKUP(M$5,NFI,5,0),1,0)*Table_NFI[[#This Row],[Blanket]],Table_NFI[[#This Row],[Blanket]])</f>
        <v>0</v>
      </c>
      <c r="AE1049" s="352">
        <f>IF(NFI_Expiration=1,IF($A1049&lt;VLOOKUP(N$5,NFI,5,0),1,0)*Table_NFI[[#This Row],[Kitchen Set]],Table_NFI[Kitchen Set])</f>
        <v>0</v>
      </c>
      <c r="AF1049" s="352">
        <f>IF(NFI_Expiration=1,IF($A1049&lt;VLOOKUP(O$5,NFI,5,0),1,0)*Table_NFI[[#This Row],[Clothes Kit]],Table_NFI[Clothes Kit])</f>
        <v>0</v>
      </c>
      <c r="AG1049" s="352">
        <f>IF(NFI_Expiration=1,IF($A1049&lt;VLOOKUP(P$5,NFI,5,0),1,0)*Table_NFI[[#This Row],[Plastic Bucket]],Table_NFI[Plastic Bucket])</f>
        <v>0</v>
      </c>
      <c r="AH1049" s="352">
        <f>IF(NFI_Expiration=1,IF($A1049&lt;VLOOKUP(Q$5,NFI,5,0),1,0)*Table_NFI[[#This Row],[Plastic Mat]],Table_NFI[Plastic Mat])*IF(Table_NFI[[#This Row],[Distribution Date]]&gt;"2014-04-01",1,2.5)</f>
        <v>0</v>
      </c>
      <c r="AI1049" s="352">
        <f>IF(NFI_Expiration=1,IF($A1049&lt;VLOOKUP(R$5,NFI,5,0),1,0)*Table_NFI[[#This Row],[Winter Clothes Adult]],Table_NFI[Winter Clothes Adult])</f>
        <v>0</v>
      </c>
      <c r="AJ1049" s="352">
        <f>IF(NFI_Expiration=1,IF($A1049&lt;VLOOKUP(S$5,NFI,5,0),1,0)*Table_NFI[[#This Row],[Winter Clothes Children]],Table_NFI[Winter Clothes Children])</f>
        <v>0</v>
      </c>
      <c r="AK1049" s="352">
        <f>IF(NFI_Expiration=1,IF($A1049&lt;VLOOKUP(T$5,NFI,5,0),1,0)*Table_NFI[[#This Row],[Winter Items Other]],Table_NFI[Winter Items Other])</f>
        <v>0</v>
      </c>
      <c r="AL1049" s="352">
        <f>IF(NFI_Expiration=1,IF($A1049&lt;VLOOKUP(M$5,NFI,5,0),1,0)*Table_NFI[[#This Row],[Winter Blanket]],Table_NFI[[#This Row],[Winter Blanket]])</f>
        <v>0</v>
      </c>
      <c r="AM1049" s="352">
        <f>IF(Table_NFI[[#This Row],[Winter Clothes Adult]]+Table_NFI[[#This Row],[Winter Clothes Children]]+Table_NFI[[#This Row],[Winter Items Other]]+Table_NFI[[#This Row],[Winter Blanket]]&gt;0,1,0)</f>
        <v>0</v>
      </c>
      <c r="AN1049" s="392">
        <f>IF(NFI_Expiration=1,IF($A1049&lt;VLOOKUP(V$5,NFI,5,0),1,0)*Table_NFI[[#This Row],[Jerry Can]],Table_NFI[Jerry Can])</f>
        <v>0</v>
      </c>
      <c r="AO1049" s="540" t="str">
        <f>IFERROR(VLOOKUP(Table_NFI[[#This Row],[Camp Name]],CL,2,0),"")</f>
        <v>MMR001CMP053</v>
      </c>
      <c r="AP1049" s="535">
        <f ca="1">IF(Table_NFI[[#This Row],[Pcode]]="","",IF(OFFSET(CampList[Opening Date],MATCH(Table_NFI[[#This Row],[Pcode]],CampList[CP_Pcode],0)-1,0,1,1)&gt;=NFI_Monitor_Date,1,0))</f>
        <v>0</v>
      </c>
      <c r="AQ1049" s="540" t="str">
        <f>IFERROR(VLOOKUP(Table_NFI[[#This Row],[Camp Name]],CL,3,0),"")</f>
        <v>Open</v>
      </c>
      <c r="AR1049" s="352" t="str">
        <f ca="1">IF(Table_NFI[[#This Row],[Pcode]]="","",OFFSET(CampList[Priority],MATCH(Table_NFI[[#This Row],[Pcode]],CampList[CP_Pcode],0)-1,0,1,1))</f>
        <v>P4</v>
      </c>
      <c r="AS1049" s="351">
        <f>IFERROR(Table_NFI[[#This Row],[Kitchen Set]]/VLOOKUP(Table_NFI[[#This Row],[Camp Name]],CL,4,0),"")</f>
        <v>0</v>
      </c>
      <c r="AT1049" s="533"/>
      <c r="AU1049" s="536"/>
    </row>
    <row r="1050" spans="1:47" s="546" customFormat="1" ht="14.45" customHeight="1" x14ac:dyDescent="0.25">
      <c r="A1050" s="355">
        <f t="shared" si="16"/>
        <v>56.866666666666667</v>
      </c>
      <c r="B1050" s="532">
        <v>40865</v>
      </c>
      <c r="C1050" s="533" t="s">
        <v>453</v>
      </c>
      <c r="D1050" s="534" t="s">
        <v>453</v>
      </c>
      <c r="E1050" s="533" t="s">
        <v>380</v>
      </c>
      <c r="F1050" s="348" t="s">
        <v>237</v>
      </c>
      <c r="G1050" s="348" t="s">
        <v>908</v>
      </c>
      <c r="H1050" s="349"/>
      <c r="I1050" s="349"/>
      <c r="J1050" s="349"/>
      <c r="K1050" s="349">
        <v>24</v>
      </c>
      <c r="L1050" s="350">
        <v>3</v>
      </c>
      <c r="M1050" s="350">
        <v>24</v>
      </c>
      <c r="N1050" s="350">
        <v>3</v>
      </c>
      <c r="O1050" s="350">
        <v>3</v>
      </c>
      <c r="P1050" s="352">
        <v>3</v>
      </c>
      <c r="Q1050" s="352">
        <v>3</v>
      </c>
      <c r="R1050" s="352"/>
      <c r="S1050" s="352"/>
      <c r="T1050" s="352"/>
      <c r="U1050" s="352"/>
      <c r="V1050" s="497"/>
      <c r="W1050" s="352"/>
      <c r="X1050" s="352"/>
      <c r="Y1050" s="352">
        <f>IF(NFI_Expiration=1,IF($A1050&lt;VLOOKUP(H$5,NFI,5,0),1,0)*Table_NFI[[#This Row],[Hygiene Kit]],Table_NFI[Hygiene Kit])</f>
        <v>0</v>
      </c>
      <c r="Z1050" s="352">
        <f>IF(NFI_Expiration=1,IF($A1050&lt;VLOOKUP(I$5,NFI,5,0),1,0)*Table_NFI[[#This Row],[NFI Core Kit]],Table_NFI[NFI Core Kit])</f>
        <v>0</v>
      </c>
      <c r="AA1050" s="352">
        <f>IF(NFI_Expiration=1,IF($A1050&lt;VLOOKUP(J$5,NFI,5,0),1,0)*Table_NFI[[#This Row],[Sanitary Kit]],Table_NFI[Sanitary Kit])</f>
        <v>0</v>
      </c>
      <c r="AB1050" s="352">
        <f>IF(NFI_Expiration=1,IF($A1050&lt;VLOOKUP(K$5,NFI,5,0),1,0)*Table_NFI[[#This Row],[Mosquito net]],Table_NFI[Mosquito net])</f>
        <v>0</v>
      </c>
      <c r="AC1050" s="352">
        <f>IF(NFI_Expiration=1,IF($A1050&lt;VLOOKUP(L$5,NFI,5,0),1,0)*Table_NFI[[#This Row],[Tarpaulin]],Table_NFI[[#This Row],[Tarpaulin]])</f>
        <v>0</v>
      </c>
      <c r="AD1050" s="352">
        <f>IF(NFI_Expiration=1,IF($A1050&lt;VLOOKUP(M$5,NFI,5,0),1,0)*Table_NFI[[#This Row],[Blanket]],Table_NFI[[#This Row],[Blanket]])</f>
        <v>0</v>
      </c>
      <c r="AE1050" s="352">
        <f>IF(NFI_Expiration=1,IF($A1050&lt;VLOOKUP(N$5,NFI,5,0),1,0)*Table_NFI[[#This Row],[Kitchen Set]],Table_NFI[Kitchen Set])</f>
        <v>0</v>
      </c>
      <c r="AF1050" s="352">
        <f>IF(NFI_Expiration=1,IF($A1050&lt;VLOOKUP(O$5,NFI,5,0),1,0)*Table_NFI[[#This Row],[Clothes Kit]],Table_NFI[Clothes Kit])</f>
        <v>0</v>
      </c>
      <c r="AG1050" s="352">
        <f>IF(NFI_Expiration=1,IF($A1050&lt;VLOOKUP(P$5,NFI,5,0),1,0)*Table_NFI[[#This Row],[Plastic Bucket]],Table_NFI[Plastic Bucket])</f>
        <v>0</v>
      </c>
      <c r="AH1050" s="352">
        <f>IF(NFI_Expiration=1,IF($A1050&lt;VLOOKUP(Q$5,NFI,5,0),1,0)*Table_NFI[[#This Row],[Plastic Mat]],Table_NFI[Plastic Mat])*IF(Table_NFI[[#This Row],[Distribution Date]]&gt;"2014-04-01",1,2.5)</f>
        <v>0</v>
      </c>
      <c r="AI1050" s="352">
        <f>IF(NFI_Expiration=1,IF($A1050&lt;VLOOKUP(R$5,NFI,5,0),1,0)*Table_NFI[[#This Row],[Winter Clothes Adult]],Table_NFI[Winter Clothes Adult])</f>
        <v>0</v>
      </c>
      <c r="AJ1050" s="352">
        <f>IF(NFI_Expiration=1,IF($A1050&lt;VLOOKUP(S$5,NFI,5,0),1,0)*Table_NFI[[#This Row],[Winter Clothes Children]],Table_NFI[Winter Clothes Children])</f>
        <v>0</v>
      </c>
      <c r="AK1050" s="352">
        <f>IF(NFI_Expiration=1,IF($A1050&lt;VLOOKUP(T$5,NFI,5,0),1,0)*Table_NFI[[#This Row],[Winter Items Other]],Table_NFI[Winter Items Other])</f>
        <v>0</v>
      </c>
      <c r="AL1050" s="352">
        <f>IF(NFI_Expiration=1,IF($A1050&lt;VLOOKUP(M$5,NFI,5,0),1,0)*Table_NFI[[#This Row],[Winter Blanket]],Table_NFI[[#This Row],[Winter Blanket]])</f>
        <v>0</v>
      </c>
      <c r="AM1050" s="352">
        <f>IF(Table_NFI[[#This Row],[Winter Clothes Adult]]+Table_NFI[[#This Row],[Winter Clothes Children]]+Table_NFI[[#This Row],[Winter Items Other]]+Table_NFI[[#This Row],[Winter Blanket]]&gt;0,1,0)</f>
        <v>0</v>
      </c>
      <c r="AN1050" s="392">
        <f>IF(NFI_Expiration=1,IF($A1050&lt;VLOOKUP(V$5,NFI,5,0),1,0)*Table_NFI[[#This Row],[Jerry Can]],Table_NFI[Jerry Can])</f>
        <v>0</v>
      </c>
      <c r="AO1050" s="540" t="str">
        <f>IFERROR(VLOOKUP(Table_NFI[[#This Row],[Camp Name]],CL,2,0),"")</f>
        <v/>
      </c>
      <c r="AP1050" s="535" t="str">
        <f ca="1">IF(Table_NFI[[#This Row],[Pcode]]="","",IF(OFFSET(CampList[Opening Date],MATCH(Table_NFI[[#This Row],[Pcode]],CampList[CP_Pcode],0)-1,0,1,1)&gt;=NFI_Monitor_Date,1,0))</f>
        <v/>
      </c>
      <c r="AQ1050" s="540" t="str">
        <f>IFERROR(VLOOKUP(Table_NFI[[#This Row],[Camp Name]],CL,3,0),"")</f>
        <v/>
      </c>
      <c r="AR1050" s="352" t="str">
        <f ca="1">IF(Table_NFI[[#This Row],[Pcode]]="","",OFFSET(CampList[Priority],MATCH(Table_NFI[[#This Row],[Pcode]],CampList[CP_Pcode],0)-1,0,1,1))</f>
        <v/>
      </c>
      <c r="AS1050" s="351" t="str">
        <f>IFERROR(Table_NFI[[#This Row],[Kitchen Set]]/VLOOKUP(Table_NFI[[#This Row],[Camp Name]],CL,4,0),"")</f>
        <v/>
      </c>
      <c r="AT1050" s="533" t="s">
        <v>1094</v>
      </c>
      <c r="AU1050" s="536"/>
    </row>
    <row r="1051" spans="1:47" s="546" customFormat="1" ht="16.899999999999999" hidden="1" customHeight="1" x14ac:dyDescent="0.25">
      <c r="A1051" s="355">
        <f t="shared" si="16"/>
        <v>18.466666666666665</v>
      </c>
      <c r="B1051" s="532">
        <v>42017</v>
      </c>
      <c r="C1051" s="533" t="s">
        <v>1096</v>
      </c>
      <c r="D1051" s="533" t="s">
        <v>902</v>
      </c>
      <c r="E1051" s="533" t="s">
        <v>380</v>
      </c>
      <c r="F1051" s="533" t="s">
        <v>528</v>
      </c>
      <c r="G1051" s="533" t="s">
        <v>140</v>
      </c>
      <c r="H1051" s="349"/>
      <c r="I1051" s="352"/>
      <c r="J1051" s="352"/>
      <c r="K1051" s="352"/>
      <c r="L1051" s="350"/>
      <c r="M1051" s="350"/>
      <c r="N1051" s="350"/>
      <c r="O1051" s="350"/>
      <c r="P1051" s="352"/>
      <c r="Q1051" s="392"/>
      <c r="R1051" s="392">
        <v>33</v>
      </c>
      <c r="S1051" s="392">
        <v>8</v>
      </c>
      <c r="T1051" s="392"/>
      <c r="U1051" s="392"/>
      <c r="V1051" s="497"/>
      <c r="W1051" s="392"/>
      <c r="X1051" s="392"/>
      <c r="Y1051" s="352">
        <f>IF(NFI_Expiration=1,IF($A1051&lt;VLOOKUP(H$5,NFI,5,0),1,0)*Table_NFI[[#This Row],[Hygiene Kit]],Table_NFI[Hygiene Kit])</f>
        <v>0</v>
      </c>
      <c r="Z1051" s="352">
        <f>IF(NFI_Expiration=1,IF($A1051&lt;VLOOKUP(I$5,NFI,5,0),1,0)*Table_NFI[[#This Row],[NFI Core Kit]],Table_NFI[NFI Core Kit])</f>
        <v>0</v>
      </c>
      <c r="AA1051" s="352">
        <f>IF(NFI_Expiration=1,IF($A1051&lt;VLOOKUP(J$5,NFI,5,0),1,0)*Table_NFI[[#This Row],[Sanitary Kit]],Table_NFI[Sanitary Kit])</f>
        <v>0</v>
      </c>
      <c r="AB1051" s="352">
        <f>IF(NFI_Expiration=1,IF($A1051&lt;VLOOKUP(K$5,NFI,5,0),1,0)*Table_NFI[[#This Row],[Mosquito net]],Table_NFI[Mosquito net])</f>
        <v>0</v>
      </c>
      <c r="AC1051" s="352">
        <f>IF(NFI_Expiration=1,IF($A1051&lt;VLOOKUP(L$5,NFI,5,0),1,0)*Table_NFI[[#This Row],[Tarpaulin]],Table_NFI[[#This Row],[Tarpaulin]])</f>
        <v>0</v>
      </c>
      <c r="AD1051" s="352">
        <f>IF(NFI_Expiration=1,IF($A1051&lt;VLOOKUP(M$5,NFI,5,0),1,0)*Table_NFI[[#This Row],[Blanket]],Table_NFI[[#This Row],[Blanket]])</f>
        <v>0</v>
      </c>
      <c r="AE1051" s="352">
        <f>IF(NFI_Expiration=1,IF($A1051&lt;VLOOKUP(N$5,NFI,5,0),1,0)*Table_NFI[[#This Row],[Kitchen Set]],Table_NFI[Kitchen Set])</f>
        <v>0</v>
      </c>
      <c r="AF1051" s="352">
        <f>IF(NFI_Expiration=1,IF($A1051&lt;VLOOKUP(O$5,NFI,5,0),1,0)*Table_NFI[[#This Row],[Clothes Kit]],Table_NFI[Clothes Kit])</f>
        <v>0</v>
      </c>
      <c r="AG1051" s="352">
        <f>IF(NFI_Expiration=1,IF($A1051&lt;VLOOKUP(P$5,NFI,5,0),1,0)*Table_NFI[[#This Row],[Plastic Bucket]],Table_NFI[Plastic Bucket])</f>
        <v>0</v>
      </c>
      <c r="AH1051" s="352">
        <f>IF(NFI_Expiration=1,IF($A1051&lt;VLOOKUP(Q$5,NFI,5,0),1,0)*Table_NFI[[#This Row],[Plastic Mat]],Table_NFI[Plastic Mat])*IF(Table_NFI[[#This Row],[Distribution Date]]&gt;"2014-04-01",1,2.5)</f>
        <v>0</v>
      </c>
      <c r="AI1051" s="352">
        <f>IF(NFI_Expiration=1,IF($A1051&lt;VLOOKUP(R$5,NFI,5,0),1,0)*Table_NFI[[#This Row],[Winter Clothes Adult]],Table_NFI[Winter Clothes Adult])</f>
        <v>0</v>
      </c>
      <c r="AJ1051" s="352">
        <f>IF(NFI_Expiration=1,IF($A1051&lt;VLOOKUP(S$5,NFI,5,0),1,0)*Table_NFI[[#This Row],[Winter Clothes Children]],Table_NFI[Winter Clothes Children])</f>
        <v>0</v>
      </c>
      <c r="AK1051" s="352">
        <f>IF(NFI_Expiration=1,IF($A1051&lt;VLOOKUP(T$5,NFI,5,0),1,0)*Table_NFI[[#This Row],[Winter Items Other]],Table_NFI[Winter Items Other])</f>
        <v>0</v>
      </c>
      <c r="AL1051" s="352">
        <f>IF(NFI_Expiration=1,IF($A1051&lt;VLOOKUP(M$5,NFI,5,0),1,0)*Table_NFI[[#This Row],[Winter Blanket]],Table_NFI[[#This Row],[Winter Blanket]])</f>
        <v>0</v>
      </c>
      <c r="AM1051" s="352">
        <f>IF(Table_NFI[[#This Row],[Winter Clothes Adult]]+Table_NFI[[#This Row],[Winter Clothes Children]]+Table_NFI[[#This Row],[Winter Items Other]]+Table_NFI[[#This Row],[Winter Blanket]]&gt;0,1,0)</f>
        <v>1</v>
      </c>
      <c r="AN1051" s="392">
        <f>IF(NFI_Expiration=1,IF($A1051&lt;VLOOKUP(V$5,NFI,5,0),1,0)*Table_NFI[[#This Row],[Jerry Can]],Table_NFI[Jerry Can])</f>
        <v>0</v>
      </c>
      <c r="AO1051" s="540" t="str">
        <f>IFERROR(VLOOKUP(Table_NFI[[#This Row],[Camp Name]],CL,2,0),"")</f>
        <v>MMR001CMP105</v>
      </c>
      <c r="AP1051" s="535">
        <f ca="1">IF(Table_NFI[[#This Row],[Pcode]]="","",IF(OFFSET(CampList[Opening Date],MATCH(Table_NFI[[#This Row],[Pcode]],CampList[CP_Pcode],0)-1,0,1,1)&gt;=NFI_Monitor_Date,1,0))</f>
        <v>0</v>
      </c>
      <c r="AQ1051" s="540" t="str">
        <f>IFERROR(VLOOKUP(Table_NFI[[#This Row],[Camp Name]],CL,3,0),"")</f>
        <v>Open</v>
      </c>
      <c r="AR1051" s="352" t="str">
        <f ca="1">IF(Table_NFI[[#This Row],[Pcode]]="","",OFFSET(CampList[Priority],MATCH(Table_NFI[[#This Row],[Pcode]],CampList[CP_Pcode],0)-1,0,1,1))</f>
        <v>P4</v>
      </c>
      <c r="AS1051" s="351">
        <f>IFERROR(Table_NFI[[#This Row],[Kitchen Set]]/VLOOKUP(Table_NFI[[#This Row],[Camp Name]],CL,4,0),"")</f>
        <v>0</v>
      </c>
      <c r="AT1051" s="533"/>
      <c r="AU1051" s="557"/>
    </row>
    <row r="1052" spans="1:47" s="546" customFormat="1" ht="22.9" customHeight="1" x14ac:dyDescent="0.25">
      <c r="A1052" s="355">
        <f t="shared" si="16"/>
        <v>56.866666666666667</v>
      </c>
      <c r="B1052" s="532">
        <v>40865</v>
      </c>
      <c r="C1052" s="533" t="s">
        <v>453</v>
      </c>
      <c r="D1052" s="534" t="s">
        <v>453</v>
      </c>
      <c r="E1052" s="533" t="s">
        <v>380</v>
      </c>
      <c r="F1052" s="348" t="s">
        <v>237</v>
      </c>
      <c r="G1052" s="348" t="s">
        <v>283</v>
      </c>
      <c r="H1052" s="349"/>
      <c r="I1052" s="349"/>
      <c r="J1052" s="349"/>
      <c r="K1052" s="349">
        <v>175</v>
      </c>
      <c r="L1052" s="350">
        <v>0</v>
      </c>
      <c r="M1052" s="350">
        <v>175</v>
      </c>
      <c r="N1052" s="350">
        <v>0</v>
      </c>
      <c r="O1052" s="350">
        <v>0</v>
      </c>
      <c r="P1052" s="352"/>
      <c r="Q1052" s="392"/>
      <c r="R1052" s="392"/>
      <c r="S1052" s="392"/>
      <c r="T1052" s="392"/>
      <c r="U1052" s="392"/>
      <c r="V1052" s="497"/>
      <c r="W1052" s="392"/>
      <c r="X1052" s="392"/>
      <c r="Y1052" s="352">
        <f>IF(NFI_Expiration=1,IF($A1052&lt;VLOOKUP(H$5,NFI,5,0),1,0)*Table_NFI[[#This Row],[Hygiene Kit]],Table_NFI[Hygiene Kit])</f>
        <v>0</v>
      </c>
      <c r="Z1052" s="352">
        <f>IF(NFI_Expiration=1,IF($A1052&lt;VLOOKUP(I$5,NFI,5,0),1,0)*Table_NFI[[#This Row],[NFI Core Kit]],Table_NFI[NFI Core Kit])</f>
        <v>0</v>
      </c>
      <c r="AA1052" s="352">
        <f>IF(NFI_Expiration=1,IF($A1052&lt;VLOOKUP(J$5,NFI,5,0),1,0)*Table_NFI[[#This Row],[Sanitary Kit]],Table_NFI[Sanitary Kit])</f>
        <v>0</v>
      </c>
      <c r="AB1052" s="352">
        <f>IF(NFI_Expiration=1,IF($A1052&lt;VLOOKUP(K$5,NFI,5,0),1,0)*Table_NFI[[#This Row],[Mosquito net]],Table_NFI[Mosquito net])</f>
        <v>0</v>
      </c>
      <c r="AC1052" s="352">
        <f>IF(NFI_Expiration=1,IF($A1052&lt;VLOOKUP(L$5,NFI,5,0),1,0)*Table_NFI[[#This Row],[Tarpaulin]],Table_NFI[[#This Row],[Tarpaulin]])</f>
        <v>0</v>
      </c>
      <c r="AD1052" s="352">
        <f>IF(NFI_Expiration=1,IF($A1052&lt;VLOOKUP(M$5,NFI,5,0),1,0)*Table_NFI[[#This Row],[Blanket]],Table_NFI[[#This Row],[Blanket]])</f>
        <v>0</v>
      </c>
      <c r="AE1052" s="352">
        <f>IF(NFI_Expiration=1,IF($A1052&lt;VLOOKUP(N$5,NFI,5,0),1,0)*Table_NFI[[#This Row],[Kitchen Set]],Table_NFI[Kitchen Set])</f>
        <v>0</v>
      </c>
      <c r="AF1052" s="352">
        <f>IF(NFI_Expiration=1,IF($A1052&lt;VLOOKUP(O$5,NFI,5,0),1,0)*Table_NFI[[#This Row],[Clothes Kit]],Table_NFI[Clothes Kit])</f>
        <v>0</v>
      </c>
      <c r="AG1052" s="352">
        <f>IF(NFI_Expiration=1,IF($A1052&lt;VLOOKUP(P$5,NFI,5,0),1,0)*Table_NFI[[#This Row],[Plastic Bucket]],Table_NFI[Plastic Bucket])</f>
        <v>0</v>
      </c>
      <c r="AH1052" s="352">
        <f>IF(NFI_Expiration=1,IF($A1052&lt;VLOOKUP(Q$5,NFI,5,0),1,0)*Table_NFI[[#This Row],[Plastic Mat]],Table_NFI[Plastic Mat])*IF(Table_NFI[[#This Row],[Distribution Date]]&gt;"2014-04-01",1,2.5)</f>
        <v>0</v>
      </c>
      <c r="AI1052" s="352">
        <f>IF(NFI_Expiration=1,IF($A1052&lt;VLOOKUP(R$5,NFI,5,0),1,0)*Table_NFI[[#This Row],[Winter Clothes Adult]],Table_NFI[Winter Clothes Adult])</f>
        <v>0</v>
      </c>
      <c r="AJ1052" s="352">
        <f>IF(NFI_Expiration=1,IF($A1052&lt;VLOOKUP(S$5,NFI,5,0),1,0)*Table_NFI[[#This Row],[Winter Clothes Children]],Table_NFI[Winter Clothes Children])</f>
        <v>0</v>
      </c>
      <c r="AK1052" s="352">
        <f>IF(NFI_Expiration=1,IF($A1052&lt;VLOOKUP(T$5,NFI,5,0),1,0)*Table_NFI[[#This Row],[Winter Items Other]],Table_NFI[Winter Items Other])</f>
        <v>0</v>
      </c>
      <c r="AL1052" s="352">
        <f>IF(NFI_Expiration=1,IF($A1052&lt;VLOOKUP(M$5,NFI,5,0),1,0)*Table_NFI[[#This Row],[Winter Blanket]],Table_NFI[[#This Row],[Winter Blanket]])</f>
        <v>0</v>
      </c>
      <c r="AM1052" s="352">
        <f>IF(Table_NFI[[#This Row],[Winter Clothes Adult]]+Table_NFI[[#This Row],[Winter Clothes Children]]+Table_NFI[[#This Row],[Winter Items Other]]+Table_NFI[[#This Row],[Winter Blanket]]&gt;0,1,0)</f>
        <v>0</v>
      </c>
      <c r="AN1052" s="392">
        <f>IF(NFI_Expiration=1,IF($A1052&lt;VLOOKUP(V$5,NFI,5,0),1,0)*Table_NFI[[#This Row],[Jerry Can]],Table_NFI[Jerry Can])</f>
        <v>0</v>
      </c>
      <c r="AO1052" s="540" t="str">
        <f>IFERROR(VLOOKUP(Table_NFI[[#This Row],[Camp Name]],CL,2,0),"")</f>
        <v>MMR001CMP022</v>
      </c>
      <c r="AP1052" s="535">
        <f ca="1">IF(Table_NFI[[#This Row],[Pcode]]="","",IF(OFFSET(CampList[Opening Date],MATCH(Table_NFI[[#This Row],[Pcode]],CampList[CP_Pcode],0)-1,0,1,1)&gt;=NFI_Monitor_Date,1,0))</f>
        <v>0</v>
      </c>
      <c r="AQ1052" s="540" t="str">
        <f>IFERROR(VLOOKUP(Table_NFI[[#This Row],[Camp Name]],CL,3,0),"")</f>
        <v>Open</v>
      </c>
      <c r="AR1052" s="352" t="str">
        <f ca="1">IF(Table_NFI[[#This Row],[Pcode]]="","",OFFSET(CampList[Priority],MATCH(Table_NFI[[#This Row],[Pcode]],CampList[CP_Pcode],0)-1,0,1,1))</f>
        <v>P4</v>
      </c>
      <c r="AS1052" s="351">
        <f>IFERROR(Table_NFI[[#This Row],[Kitchen Set]]/VLOOKUP(Table_NFI[[#This Row],[Camp Name]],CL,4,0),"")</f>
        <v>0</v>
      </c>
      <c r="AT1052" s="533" t="s">
        <v>1094</v>
      </c>
      <c r="AU1052" s="536"/>
    </row>
    <row r="1053" spans="1:47" s="546" customFormat="1" ht="19.149999999999999" customHeight="1" x14ac:dyDescent="0.25">
      <c r="A1053" s="355">
        <f t="shared" si="16"/>
        <v>56.93333333333333</v>
      </c>
      <c r="B1053" s="532">
        <v>40863</v>
      </c>
      <c r="C1053" s="533" t="s">
        <v>453</v>
      </c>
      <c r="D1053" s="534" t="s">
        <v>461</v>
      </c>
      <c r="E1053" s="533" t="s">
        <v>380</v>
      </c>
      <c r="F1053" s="348" t="s">
        <v>237</v>
      </c>
      <c r="G1053" s="348" t="s">
        <v>269</v>
      </c>
      <c r="H1053" s="349"/>
      <c r="I1053" s="349"/>
      <c r="J1053" s="349"/>
      <c r="K1053" s="349">
        <v>92</v>
      </c>
      <c r="L1053" s="350">
        <v>53</v>
      </c>
      <c r="M1053" s="350">
        <v>92</v>
      </c>
      <c r="N1053" s="350">
        <v>53</v>
      </c>
      <c r="O1053" s="350">
        <v>53</v>
      </c>
      <c r="P1053" s="352">
        <v>53</v>
      </c>
      <c r="Q1053" s="392">
        <v>53</v>
      </c>
      <c r="R1053" s="392"/>
      <c r="S1053" s="392"/>
      <c r="T1053" s="392"/>
      <c r="U1053" s="392"/>
      <c r="V1053" s="497"/>
      <c r="W1053" s="392"/>
      <c r="X1053" s="392"/>
      <c r="Y1053" s="352">
        <f>IF(NFI_Expiration=1,IF($A1053&lt;VLOOKUP(H$5,NFI,5,0),1,0)*Table_NFI[[#This Row],[Hygiene Kit]],Table_NFI[Hygiene Kit])</f>
        <v>0</v>
      </c>
      <c r="Z1053" s="352">
        <f>IF(NFI_Expiration=1,IF($A1053&lt;VLOOKUP(I$5,NFI,5,0),1,0)*Table_NFI[[#This Row],[NFI Core Kit]],Table_NFI[NFI Core Kit])</f>
        <v>0</v>
      </c>
      <c r="AA1053" s="352">
        <f>IF(NFI_Expiration=1,IF($A1053&lt;VLOOKUP(J$5,NFI,5,0),1,0)*Table_NFI[[#This Row],[Sanitary Kit]],Table_NFI[Sanitary Kit])</f>
        <v>0</v>
      </c>
      <c r="AB1053" s="352">
        <f>IF(NFI_Expiration=1,IF($A1053&lt;VLOOKUP(K$5,NFI,5,0),1,0)*Table_NFI[[#This Row],[Mosquito net]],Table_NFI[Mosquito net])</f>
        <v>0</v>
      </c>
      <c r="AC1053" s="352">
        <f>IF(NFI_Expiration=1,IF($A1053&lt;VLOOKUP(L$5,NFI,5,0),1,0)*Table_NFI[[#This Row],[Tarpaulin]],Table_NFI[[#This Row],[Tarpaulin]])</f>
        <v>0</v>
      </c>
      <c r="AD1053" s="352">
        <f>IF(NFI_Expiration=1,IF($A1053&lt;VLOOKUP(M$5,NFI,5,0),1,0)*Table_NFI[[#This Row],[Blanket]],Table_NFI[[#This Row],[Blanket]])</f>
        <v>0</v>
      </c>
      <c r="AE1053" s="352">
        <f>IF(NFI_Expiration=1,IF($A1053&lt;VLOOKUP(N$5,NFI,5,0),1,0)*Table_NFI[[#This Row],[Kitchen Set]],Table_NFI[Kitchen Set])</f>
        <v>0</v>
      </c>
      <c r="AF1053" s="352">
        <f>IF(NFI_Expiration=1,IF($A1053&lt;VLOOKUP(O$5,NFI,5,0),1,0)*Table_NFI[[#This Row],[Clothes Kit]],Table_NFI[Clothes Kit])</f>
        <v>0</v>
      </c>
      <c r="AG1053" s="352">
        <f>IF(NFI_Expiration=1,IF($A1053&lt;VLOOKUP(P$5,NFI,5,0),1,0)*Table_NFI[[#This Row],[Plastic Bucket]],Table_NFI[Plastic Bucket])</f>
        <v>0</v>
      </c>
      <c r="AH1053" s="352">
        <f>IF(NFI_Expiration=1,IF($A1053&lt;VLOOKUP(Q$5,NFI,5,0),1,0)*Table_NFI[[#This Row],[Plastic Mat]],Table_NFI[Plastic Mat])*IF(Table_NFI[[#This Row],[Distribution Date]]&gt;"2014-04-01",1,2.5)</f>
        <v>0</v>
      </c>
      <c r="AI1053" s="352">
        <f>IF(NFI_Expiration=1,IF($A1053&lt;VLOOKUP(R$5,NFI,5,0),1,0)*Table_NFI[[#This Row],[Winter Clothes Adult]],Table_NFI[Winter Clothes Adult])</f>
        <v>0</v>
      </c>
      <c r="AJ1053" s="352">
        <f>IF(NFI_Expiration=1,IF($A1053&lt;VLOOKUP(S$5,NFI,5,0),1,0)*Table_NFI[[#This Row],[Winter Clothes Children]],Table_NFI[Winter Clothes Children])</f>
        <v>0</v>
      </c>
      <c r="AK1053" s="352">
        <f>IF(NFI_Expiration=1,IF($A1053&lt;VLOOKUP(T$5,NFI,5,0),1,0)*Table_NFI[[#This Row],[Winter Items Other]],Table_NFI[Winter Items Other])</f>
        <v>0</v>
      </c>
      <c r="AL1053" s="352">
        <f>IF(NFI_Expiration=1,IF($A1053&lt;VLOOKUP(M$5,NFI,5,0),1,0)*Table_NFI[[#This Row],[Winter Blanket]],Table_NFI[[#This Row],[Winter Blanket]])</f>
        <v>0</v>
      </c>
      <c r="AM1053" s="352">
        <f>IF(Table_NFI[[#This Row],[Winter Clothes Adult]]+Table_NFI[[#This Row],[Winter Clothes Children]]+Table_NFI[[#This Row],[Winter Items Other]]+Table_NFI[[#This Row],[Winter Blanket]]&gt;0,1,0)</f>
        <v>0</v>
      </c>
      <c r="AN1053" s="392">
        <f>IF(NFI_Expiration=1,IF($A1053&lt;VLOOKUP(V$5,NFI,5,0),1,0)*Table_NFI[[#This Row],[Jerry Can]],Table_NFI[Jerry Can])</f>
        <v>0</v>
      </c>
      <c r="AO1053" s="540" t="str">
        <f>IFERROR(VLOOKUP(Table_NFI[[#This Row],[Camp Name]],CL,2,0),"")</f>
        <v>MMR001CMP002</v>
      </c>
      <c r="AP1053" s="535">
        <f ca="1">IF(Table_NFI[[#This Row],[Pcode]]="","",IF(OFFSET(CampList[Opening Date],MATCH(Table_NFI[[#This Row],[Pcode]],CampList[CP_Pcode],0)-1,0,1,1)&gt;=NFI_Monitor_Date,1,0))</f>
        <v>0</v>
      </c>
      <c r="AQ1053" s="540" t="str">
        <f>IFERROR(VLOOKUP(Table_NFI[[#This Row],[Camp Name]],CL,3,0),"")</f>
        <v>Open</v>
      </c>
      <c r="AR1053" s="352" t="str">
        <f ca="1">IF(Table_NFI[[#This Row],[Pcode]]="","",OFFSET(CampList[Priority],MATCH(Table_NFI[[#This Row],[Pcode]],CampList[CP_Pcode],0)-1,0,1,1))</f>
        <v>P4</v>
      </c>
      <c r="AS1053" s="351">
        <f>IFERROR(Table_NFI[[#This Row],[Kitchen Set]]/VLOOKUP(Table_NFI[[#This Row],[Camp Name]],CL,4,0),"")</f>
        <v>0.8833333333333333</v>
      </c>
      <c r="AT1053" s="533" t="s">
        <v>1094</v>
      </c>
      <c r="AU1053" s="536"/>
    </row>
    <row r="1054" spans="1:47" s="546" customFormat="1" ht="19.899999999999999" customHeight="1" x14ac:dyDescent="0.25">
      <c r="A1054" s="355">
        <f t="shared" si="16"/>
        <v>56.93333333333333</v>
      </c>
      <c r="B1054" s="532">
        <v>40863</v>
      </c>
      <c r="C1054" s="533" t="s">
        <v>453</v>
      </c>
      <c r="D1054" s="534" t="s">
        <v>461</v>
      </c>
      <c r="E1054" s="533" t="s">
        <v>380</v>
      </c>
      <c r="F1054" s="348" t="s">
        <v>237</v>
      </c>
      <c r="G1054" s="348" t="s">
        <v>281</v>
      </c>
      <c r="H1054" s="349"/>
      <c r="I1054" s="349"/>
      <c r="J1054" s="349"/>
      <c r="K1054" s="349">
        <v>63</v>
      </c>
      <c r="L1054" s="350">
        <v>30</v>
      </c>
      <c r="M1054" s="350">
        <v>63</v>
      </c>
      <c r="N1054" s="350">
        <v>30</v>
      </c>
      <c r="O1054" s="350">
        <v>30</v>
      </c>
      <c r="P1054" s="352">
        <v>30</v>
      </c>
      <c r="Q1054" s="392">
        <v>30</v>
      </c>
      <c r="R1054" s="392"/>
      <c r="S1054" s="392"/>
      <c r="T1054" s="392"/>
      <c r="U1054" s="392"/>
      <c r="V1054" s="497"/>
      <c r="W1054" s="392"/>
      <c r="X1054" s="392"/>
      <c r="Y1054" s="352">
        <f>IF(NFI_Expiration=1,IF($A1054&lt;VLOOKUP(H$5,NFI,5,0),1,0)*Table_NFI[[#This Row],[Hygiene Kit]],Table_NFI[Hygiene Kit])</f>
        <v>0</v>
      </c>
      <c r="Z1054" s="352">
        <f>IF(NFI_Expiration=1,IF($A1054&lt;VLOOKUP(I$5,NFI,5,0),1,0)*Table_NFI[[#This Row],[NFI Core Kit]],Table_NFI[NFI Core Kit])</f>
        <v>0</v>
      </c>
      <c r="AA1054" s="352">
        <f>IF(NFI_Expiration=1,IF($A1054&lt;VLOOKUP(J$5,NFI,5,0),1,0)*Table_NFI[[#This Row],[Sanitary Kit]],Table_NFI[Sanitary Kit])</f>
        <v>0</v>
      </c>
      <c r="AB1054" s="352">
        <f>IF(NFI_Expiration=1,IF($A1054&lt;VLOOKUP(K$5,NFI,5,0),1,0)*Table_NFI[[#This Row],[Mosquito net]],Table_NFI[Mosquito net])</f>
        <v>0</v>
      </c>
      <c r="AC1054" s="352">
        <f>IF(NFI_Expiration=1,IF($A1054&lt;VLOOKUP(L$5,NFI,5,0),1,0)*Table_NFI[[#This Row],[Tarpaulin]],Table_NFI[[#This Row],[Tarpaulin]])</f>
        <v>0</v>
      </c>
      <c r="AD1054" s="352">
        <f>IF(NFI_Expiration=1,IF($A1054&lt;VLOOKUP(M$5,NFI,5,0),1,0)*Table_NFI[[#This Row],[Blanket]],Table_NFI[[#This Row],[Blanket]])</f>
        <v>0</v>
      </c>
      <c r="AE1054" s="352">
        <f>IF(NFI_Expiration=1,IF($A1054&lt;VLOOKUP(N$5,NFI,5,0),1,0)*Table_NFI[[#This Row],[Kitchen Set]],Table_NFI[Kitchen Set])</f>
        <v>0</v>
      </c>
      <c r="AF1054" s="352">
        <f>IF(NFI_Expiration=1,IF($A1054&lt;VLOOKUP(O$5,NFI,5,0),1,0)*Table_NFI[[#This Row],[Clothes Kit]],Table_NFI[Clothes Kit])</f>
        <v>0</v>
      </c>
      <c r="AG1054" s="352">
        <f>IF(NFI_Expiration=1,IF($A1054&lt;VLOOKUP(P$5,NFI,5,0),1,0)*Table_NFI[[#This Row],[Plastic Bucket]],Table_NFI[Plastic Bucket])</f>
        <v>0</v>
      </c>
      <c r="AH1054" s="352">
        <f>IF(NFI_Expiration=1,IF($A1054&lt;VLOOKUP(Q$5,NFI,5,0),1,0)*Table_NFI[[#This Row],[Plastic Mat]],Table_NFI[Plastic Mat])*IF(Table_NFI[[#This Row],[Distribution Date]]&gt;"2014-04-01",1,2.5)</f>
        <v>0</v>
      </c>
      <c r="AI1054" s="352">
        <f>IF(NFI_Expiration=1,IF($A1054&lt;VLOOKUP(R$5,NFI,5,0),1,0)*Table_NFI[[#This Row],[Winter Clothes Adult]],Table_NFI[Winter Clothes Adult])</f>
        <v>0</v>
      </c>
      <c r="AJ1054" s="352">
        <f>IF(NFI_Expiration=1,IF($A1054&lt;VLOOKUP(S$5,NFI,5,0),1,0)*Table_NFI[[#This Row],[Winter Clothes Children]],Table_NFI[Winter Clothes Children])</f>
        <v>0</v>
      </c>
      <c r="AK1054" s="352">
        <f>IF(NFI_Expiration=1,IF($A1054&lt;VLOOKUP(T$5,NFI,5,0),1,0)*Table_NFI[[#This Row],[Winter Items Other]],Table_NFI[Winter Items Other])</f>
        <v>0</v>
      </c>
      <c r="AL1054" s="352">
        <f>IF(NFI_Expiration=1,IF($A1054&lt;VLOOKUP(M$5,NFI,5,0),1,0)*Table_NFI[[#This Row],[Winter Blanket]],Table_NFI[[#This Row],[Winter Blanket]])</f>
        <v>0</v>
      </c>
      <c r="AM1054" s="352">
        <f>IF(Table_NFI[[#This Row],[Winter Clothes Adult]]+Table_NFI[[#This Row],[Winter Clothes Children]]+Table_NFI[[#This Row],[Winter Items Other]]+Table_NFI[[#This Row],[Winter Blanket]]&gt;0,1,0)</f>
        <v>0</v>
      </c>
      <c r="AN1054" s="392">
        <f>IF(NFI_Expiration=1,IF($A1054&lt;VLOOKUP(V$5,NFI,5,0),1,0)*Table_NFI[[#This Row],[Jerry Can]],Table_NFI[Jerry Can])</f>
        <v>0</v>
      </c>
      <c r="AO1054" s="540" t="str">
        <f>IFERROR(VLOOKUP(Table_NFI[[#This Row],[Camp Name]],CL,2,0),"")</f>
        <v>MMR001CMP009</v>
      </c>
      <c r="AP1054" s="535">
        <f ca="1">IF(Table_NFI[[#This Row],[Pcode]]="","",IF(OFFSET(CampList[Opening Date],MATCH(Table_NFI[[#This Row],[Pcode]],CampList[CP_Pcode],0)-1,0,1,1)&gt;=NFI_Monitor_Date,1,0))</f>
        <v>0</v>
      </c>
      <c r="AQ1054" s="540" t="str">
        <f>IFERROR(VLOOKUP(Table_NFI[[#This Row],[Camp Name]],CL,3,0),"")</f>
        <v>Open</v>
      </c>
      <c r="AR1054" s="352" t="str">
        <f ca="1">IF(Table_NFI[[#This Row],[Pcode]]="","",OFFSET(CampList[Priority],MATCH(Table_NFI[[#This Row],[Pcode]],CampList[CP_Pcode],0)-1,0,1,1))</f>
        <v>P4</v>
      </c>
      <c r="AS1054" s="351">
        <f>IFERROR(Table_NFI[[#This Row],[Kitchen Set]]/VLOOKUP(Table_NFI[[#This Row],[Camp Name]],CL,4,0),"")</f>
        <v>0.33707865168539325</v>
      </c>
      <c r="AT1054" s="533" t="s">
        <v>1094</v>
      </c>
      <c r="AU1054" s="536"/>
    </row>
    <row r="1055" spans="1:47" s="546" customFormat="1" ht="14.45" hidden="1" customHeight="1" x14ac:dyDescent="0.25">
      <c r="A1055" s="355">
        <f t="shared" si="16"/>
        <v>43.233333333333334</v>
      </c>
      <c r="B1055" s="532">
        <v>41274</v>
      </c>
      <c r="C1055" s="533" t="s">
        <v>454</v>
      </c>
      <c r="D1055" s="534" t="s">
        <v>454</v>
      </c>
      <c r="E1055" s="533" t="s">
        <v>380</v>
      </c>
      <c r="F1055" s="348" t="s">
        <v>528</v>
      </c>
      <c r="G1055" s="348" t="s">
        <v>140</v>
      </c>
      <c r="H1055" s="349">
        <v>42</v>
      </c>
      <c r="I1055" s="354"/>
      <c r="J1055" s="347"/>
      <c r="K1055" s="347"/>
      <c r="L1055" s="347"/>
      <c r="M1055" s="347"/>
      <c r="N1055" s="347"/>
      <c r="O1055" s="347"/>
      <c r="P1055" s="352">
        <v>0</v>
      </c>
      <c r="Q1055" s="392">
        <v>0</v>
      </c>
      <c r="R1055" s="392"/>
      <c r="S1055" s="392"/>
      <c r="T1055" s="392"/>
      <c r="U1055" s="392"/>
      <c r="V1055" s="497"/>
      <c r="W1055" s="392"/>
      <c r="X1055" s="392"/>
      <c r="Y1055" s="352">
        <f>IF(NFI_Expiration=1,IF($A1055&lt;VLOOKUP(H$5,NFI,5,0),1,0)*Table_NFI[[#This Row],[Hygiene Kit]],Table_NFI[Hygiene Kit])</f>
        <v>0</v>
      </c>
      <c r="Z1055" s="352">
        <f>IF(NFI_Expiration=1,IF($A1055&lt;VLOOKUP(I$5,NFI,5,0),1,0)*Table_NFI[[#This Row],[NFI Core Kit]],Table_NFI[NFI Core Kit])</f>
        <v>0</v>
      </c>
      <c r="AA1055" s="352">
        <f>IF(NFI_Expiration=1,IF($A1055&lt;VLOOKUP(J$5,NFI,5,0),1,0)*Table_NFI[[#This Row],[Sanitary Kit]],Table_NFI[Sanitary Kit])</f>
        <v>0</v>
      </c>
      <c r="AB1055" s="352">
        <f>IF(NFI_Expiration=1,IF($A1055&lt;VLOOKUP(K$5,NFI,5,0),1,0)*Table_NFI[[#This Row],[Mosquito net]],Table_NFI[Mosquito net])</f>
        <v>0</v>
      </c>
      <c r="AC1055" s="352">
        <f>IF(NFI_Expiration=1,IF($A1055&lt;VLOOKUP(L$5,NFI,5,0),1,0)*Table_NFI[[#This Row],[Tarpaulin]],Table_NFI[[#This Row],[Tarpaulin]])</f>
        <v>0</v>
      </c>
      <c r="AD1055" s="352">
        <f>IF(NFI_Expiration=1,IF($A1055&lt;VLOOKUP(M$5,NFI,5,0),1,0)*Table_NFI[[#This Row],[Blanket]],Table_NFI[[#This Row],[Blanket]])</f>
        <v>0</v>
      </c>
      <c r="AE1055" s="352">
        <f>IF(NFI_Expiration=1,IF($A1055&lt;VLOOKUP(N$5,NFI,5,0),1,0)*Table_NFI[[#This Row],[Kitchen Set]],Table_NFI[Kitchen Set])</f>
        <v>0</v>
      </c>
      <c r="AF1055" s="352">
        <f>IF(NFI_Expiration=1,IF($A1055&lt;VLOOKUP(O$5,NFI,5,0),1,0)*Table_NFI[[#This Row],[Clothes Kit]],Table_NFI[Clothes Kit])</f>
        <v>0</v>
      </c>
      <c r="AG1055" s="352">
        <f>IF(NFI_Expiration=1,IF($A1055&lt;VLOOKUP(P$5,NFI,5,0),1,0)*Table_NFI[[#This Row],[Plastic Bucket]],Table_NFI[Plastic Bucket])</f>
        <v>0</v>
      </c>
      <c r="AH1055" s="352">
        <f>IF(NFI_Expiration=1,IF($A1055&lt;VLOOKUP(Q$5,NFI,5,0),1,0)*Table_NFI[[#This Row],[Plastic Mat]],Table_NFI[Plastic Mat])*IF(Table_NFI[[#This Row],[Distribution Date]]&gt;"2014-04-01",1,2.5)</f>
        <v>0</v>
      </c>
      <c r="AI1055" s="352">
        <f>IF(NFI_Expiration=1,IF($A1055&lt;VLOOKUP(R$5,NFI,5,0),1,0)*Table_NFI[[#This Row],[Winter Clothes Adult]],Table_NFI[Winter Clothes Adult])</f>
        <v>0</v>
      </c>
      <c r="AJ1055" s="352">
        <f>IF(NFI_Expiration=1,IF($A1055&lt;VLOOKUP(S$5,NFI,5,0),1,0)*Table_NFI[[#This Row],[Winter Clothes Children]],Table_NFI[Winter Clothes Children])</f>
        <v>0</v>
      </c>
      <c r="AK1055" s="352">
        <f>IF(NFI_Expiration=1,IF($A1055&lt;VLOOKUP(T$5,NFI,5,0),1,0)*Table_NFI[[#This Row],[Winter Items Other]],Table_NFI[Winter Items Other])</f>
        <v>0</v>
      </c>
      <c r="AL1055" s="352">
        <f>IF(NFI_Expiration=1,IF($A1055&lt;VLOOKUP(M$5,NFI,5,0),1,0)*Table_NFI[[#This Row],[Winter Blanket]],Table_NFI[[#This Row],[Winter Blanket]])</f>
        <v>0</v>
      </c>
      <c r="AM1055" s="352">
        <f>IF(Table_NFI[[#This Row],[Winter Clothes Adult]]+Table_NFI[[#This Row],[Winter Clothes Children]]+Table_NFI[[#This Row],[Winter Items Other]]+Table_NFI[[#This Row],[Winter Blanket]]&gt;0,1,0)</f>
        <v>0</v>
      </c>
      <c r="AN1055" s="392">
        <f>IF(NFI_Expiration=1,IF($A1055&lt;VLOOKUP(V$5,NFI,5,0),1,0)*Table_NFI[[#This Row],[Jerry Can]],Table_NFI[Jerry Can])</f>
        <v>0</v>
      </c>
      <c r="AO1055" s="540" t="str">
        <f>IFERROR(VLOOKUP(Table_NFI[[#This Row],[Camp Name]],CL,2,0),"")</f>
        <v>MMR001CMP105</v>
      </c>
      <c r="AP1055" s="535">
        <f ca="1">IF(Table_NFI[[#This Row],[Pcode]]="","",IF(OFFSET(CampList[Opening Date],MATCH(Table_NFI[[#This Row],[Pcode]],CampList[CP_Pcode],0)-1,0,1,1)&gt;=NFI_Monitor_Date,1,0))</f>
        <v>0</v>
      </c>
      <c r="AQ1055" s="540" t="str">
        <f>IFERROR(VLOOKUP(Table_NFI[[#This Row],[Camp Name]],CL,3,0),"")</f>
        <v>Open</v>
      </c>
      <c r="AR1055" s="352" t="str">
        <f ca="1">IF(Table_NFI[[#This Row],[Pcode]]="","",OFFSET(CampList[Priority],MATCH(Table_NFI[[#This Row],[Pcode]],CampList[CP_Pcode],0)-1,0,1,1))</f>
        <v>P4</v>
      </c>
      <c r="AS1055" s="351">
        <f>IFERROR(Table_NFI[[#This Row],[Kitchen Set]]/VLOOKUP(Table_NFI[[#This Row],[Camp Name]],CL,4,0),"")</f>
        <v>0</v>
      </c>
      <c r="AT1055" s="533" t="s">
        <v>1094</v>
      </c>
      <c r="AU1055" s="536"/>
    </row>
    <row r="1056" spans="1:47" s="546" customFormat="1" ht="15" customHeight="1" x14ac:dyDescent="0.25">
      <c r="A1056" s="355">
        <f t="shared" si="16"/>
        <v>56.93333333333333</v>
      </c>
      <c r="B1056" s="532">
        <v>40863</v>
      </c>
      <c r="C1056" s="533" t="s">
        <v>453</v>
      </c>
      <c r="D1056" s="533" t="s">
        <v>461</v>
      </c>
      <c r="E1056" s="533" t="s">
        <v>380</v>
      </c>
      <c r="F1056" s="348" t="s">
        <v>237</v>
      </c>
      <c r="G1056" s="348" t="s">
        <v>251</v>
      </c>
      <c r="H1056" s="349"/>
      <c r="I1056" s="349"/>
      <c r="J1056" s="349"/>
      <c r="K1056" s="349">
        <v>53</v>
      </c>
      <c r="L1056" s="350">
        <v>31</v>
      </c>
      <c r="M1056" s="350">
        <v>53</v>
      </c>
      <c r="N1056" s="350">
        <v>31</v>
      </c>
      <c r="O1056" s="350">
        <v>31</v>
      </c>
      <c r="P1056" s="352">
        <v>31</v>
      </c>
      <c r="Q1056" s="392">
        <v>31</v>
      </c>
      <c r="R1056" s="392"/>
      <c r="S1056" s="392"/>
      <c r="T1056" s="392"/>
      <c r="U1056" s="392"/>
      <c r="V1056" s="497"/>
      <c r="W1056" s="392"/>
      <c r="X1056" s="392"/>
      <c r="Y1056" s="352">
        <f>IF(NFI_Expiration=1,IF($A1056&lt;VLOOKUP(H$5,NFI,5,0),1,0)*Table_NFI[[#This Row],[Hygiene Kit]],Table_NFI[Hygiene Kit])</f>
        <v>0</v>
      </c>
      <c r="Z1056" s="352">
        <f>IF(NFI_Expiration=1,IF($A1056&lt;VLOOKUP(I$5,NFI,5,0),1,0)*Table_NFI[[#This Row],[NFI Core Kit]],Table_NFI[NFI Core Kit])</f>
        <v>0</v>
      </c>
      <c r="AA1056" s="352">
        <f>IF(NFI_Expiration=1,IF($A1056&lt;VLOOKUP(J$5,NFI,5,0),1,0)*Table_NFI[[#This Row],[Sanitary Kit]],Table_NFI[Sanitary Kit])</f>
        <v>0</v>
      </c>
      <c r="AB1056" s="352">
        <f>IF(NFI_Expiration=1,IF($A1056&lt;VLOOKUP(K$5,NFI,5,0),1,0)*Table_NFI[[#This Row],[Mosquito net]],Table_NFI[Mosquito net])</f>
        <v>0</v>
      </c>
      <c r="AC1056" s="352">
        <f>IF(NFI_Expiration=1,IF($A1056&lt;VLOOKUP(L$5,NFI,5,0),1,0)*Table_NFI[[#This Row],[Tarpaulin]],Table_NFI[[#This Row],[Tarpaulin]])</f>
        <v>0</v>
      </c>
      <c r="AD1056" s="352">
        <f>IF(NFI_Expiration=1,IF($A1056&lt;VLOOKUP(M$5,NFI,5,0),1,0)*Table_NFI[[#This Row],[Blanket]],Table_NFI[[#This Row],[Blanket]])</f>
        <v>0</v>
      </c>
      <c r="AE1056" s="352">
        <f>IF(NFI_Expiration=1,IF($A1056&lt;VLOOKUP(N$5,NFI,5,0),1,0)*Table_NFI[[#This Row],[Kitchen Set]],Table_NFI[Kitchen Set])</f>
        <v>0</v>
      </c>
      <c r="AF1056" s="352">
        <f>IF(NFI_Expiration=1,IF($A1056&lt;VLOOKUP(O$5,NFI,5,0),1,0)*Table_NFI[[#This Row],[Clothes Kit]],Table_NFI[Clothes Kit])</f>
        <v>0</v>
      </c>
      <c r="AG1056" s="352">
        <f>IF(NFI_Expiration=1,IF($A1056&lt;VLOOKUP(P$5,NFI,5,0),1,0)*Table_NFI[[#This Row],[Plastic Bucket]],Table_NFI[Plastic Bucket])</f>
        <v>0</v>
      </c>
      <c r="AH1056" s="352">
        <f>IF(NFI_Expiration=1,IF($A1056&lt;VLOOKUP(Q$5,NFI,5,0),1,0)*Table_NFI[[#This Row],[Plastic Mat]],Table_NFI[Plastic Mat])*IF(Table_NFI[[#This Row],[Distribution Date]]&gt;"2014-04-01",1,2.5)</f>
        <v>0</v>
      </c>
      <c r="AI1056" s="352">
        <f>IF(NFI_Expiration=1,IF($A1056&lt;VLOOKUP(R$5,NFI,5,0),1,0)*Table_NFI[[#This Row],[Winter Clothes Adult]],Table_NFI[Winter Clothes Adult])</f>
        <v>0</v>
      </c>
      <c r="AJ1056" s="352">
        <f>IF(NFI_Expiration=1,IF($A1056&lt;VLOOKUP(S$5,NFI,5,0),1,0)*Table_NFI[[#This Row],[Winter Clothes Children]],Table_NFI[Winter Clothes Children])</f>
        <v>0</v>
      </c>
      <c r="AK1056" s="352">
        <f>IF(NFI_Expiration=1,IF($A1056&lt;VLOOKUP(T$5,NFI,5,0),1,0)*Table_NFI[[#This Row],[Winter Items Other]],Table_NFI[Winter Items Other])</f>
        <v>0</v>
      </c>
      <c r="AL1056" s="352">
        <f>IF(NFI_Expiration=1,IF($A1056&lt;VLOOKUP(M$5,NFI,5,0),1,0)*Table_NFI[[#This Row],[Winter Blanket]],Table_NFI[[#This Row],[Winter Blanket]])</f>
        <v>0</v>
      </c>
      <c r="AM1056" s="352">
        <f>IF(Table_NFI[[#This Row],[Winter Clothes Adult]]+Table_NFI[[#This Row],[Winter Clothes Children]]+Table_NFI[[#This Row],[Winter Items Other]]+Table_NFI[[#This Row],[Winter Blanket]]&gt;0,1,0)</f>
        <v>0</v>
      </c>
      <c r="AN1056" s="392">
        <f>IF(NFI_Expiration=1,IF($A1056&lt;VLOOKUP(V$5,NFI,5,0),1,0)*Table_NFI[[#This Row],[Jerry Can]],Table_NFI[Jerry Can])</f>
        <v>0</v>
      </c>
      <c r="AO1056" s="540" t="str">
        <f>IFERROR(VLOOKUP(Table_NFI[[#This Row],[Camp Name]],CL,2,0),"")</f>
        <v>MMR001CMP003</v>
      </c>
      <c r="AP1056" s="535">
        <f ca="1">IF(Table_NFI[[#This Row],[Pcode]]="","",IF(OFFSET(CampList[Opening Date],MATCH(Table_NFI[[#This Row],[Pcode]],CampList[CP_Pcode],0)-1,0,1,1)&gt;=NFI_Monitor_Date,1,0))</f>
        <v>0</v>
      </c>
      <c r="AQ1056" s="540" t="str">
        <f>IFERROR(VLOOKUP(Table_NFI[[#This Row],[Camp Name]],CL,3,0),"")</f>
        <v>Open</v>
      </c>
      <c r="AR1056" s="352" t="str">
        <f ca="1">IF(Table_NFI[[#This Row],[Pcode]]="","",OFFSET(CampList[Priority],MATCH(Table_NFI[[#This Row],[Pcode]],CampList[CP_Pcode],0)-1,0,1,1))</f>
        <v>P4</v>
      </c>
      <c r="AS1056" s="351">
        <f>IFERROR(Table_NFI[[#This Row],[Kitchen Set]]/VLOOKUP(Table_NFI[[#This Row],[Camp Name]],CL,4,0),"")</f>
        <v>0.96875</v>
      </c>
      <c r="AT1056" s="533" t="s">
        <v>1094</v>
      </c>
      <c r="AU1056" s="536"/>
    </row>
    <row r="1057" spans="1:47" s="546" customFormat="1" ht="15.75" hidden="1" customHeight="1" x14ac:dyDescent="0.25">
      <c r="A1057" s="355">
        <f t="shared" si="16"/>
        <v>22.933333333333334</v>
      </c>
      <c r="B1057" s="532">
        <v>41883</v>
      </c>
      <c r="C1057" s="538" t="s">
        <v>1038</v>
      </c>
      <c r="D1057" s="538"/>
      <c r="E1057" s="538" t="s">
        <v>380</v>
      </c>
      <c r="F1057" s="538" t="s">
        <v>310</v>
      </c>
      <c r="G1057" s="538" t="s">
        <v>1248</v>
      </c>
      <c r="H1057" s="350"/>
      <c r="I1057" s="350"/>
      <c r="J1057" s="350"/>
      <c r="K1057" s="350"/>
      <c r="L1057" s="350"/>
      <c r="M1057" s="350"/>
      <c r="N1057" s="350"/>
      <c r="O1057" s="350"/>
      <c r="P1057" s="352"/>
      <c r="Q1057" s="392"/>
      <c r="R1057" s="392"/>
      <c r="S1057" s="392">
        <v>905</v>
      </c>
      <c r="T1057" s="392"/>
      <c r="U1057" s="392"/>
      <c r="V1057" s="497"/>
      <c r="W1057" s="392"/>
      <c r="X1057" s="392"/>
      <c r="Y1057" s="352">
        <f>IF(NFI_Expiration=1,IF($A1057&lt;VLOOKUP(H$5,NFI,5,0),1,0)*Table_NFI[[#This Row],[Hygiene Kit]],Table_NFI[Hygiene Kit])</f>
        <v>0</v>
      </c>
      <c r="Z1057" s="352">
        <f>IF(NFI_Expiration=1,IF($A1057&lt;VLOOKUP(I$5,NFI,5,0),1,0)*Table_NFI[[#This Row],[NFI Core Kit]],Table_NFI[NFI Core Kit])</f>
        <v>0</v>
      </c>
      <c r="AA1057" s="352">
        <f>IF(NFI_Expiration=1,IF($A1057&lt;VLOOKUP(J$5,NFI,5,0),1,0)*Table_NFI[[#This Row],[Sanitary Kit]],Table_NFI[Sanitary Kit])</f>
        <v>0</v>
      </c>
      <c r="AB1057" s="352">
        <f>IF(NFI_Expiration=1,IF($A1057&lt;VLOOKUP(K$5,NFI,5,0),1,0)*Table_NFI[[#This Row],[Mosquito net]],Table_NFI[Mosquito net])</f>
        <v>0</v>
      </c>
      <c r="AC1057" s="352">
        <f>IF(NFI_Expiration=1,IF($A1057&lt;VLOOKUP(L$5,NFI,5,0),1,0)*Table_NFI[[#This Row],[Tarpaulin]],Table_NFI[[#This Row],[Tarpaulin]])</f>
        <v>0</v>
      </c>
      <c r="AD1057" s="352">
        <f>IF(NFI_Expiration=1,IF($A1057&lt;VLOOKUP(M$5,NFI,5,0),1,0)*Table_NFI[[#This Row],[Blanket]],Table_NFI[[#This Row],[Blanket]])</f>
        <v>0</v>
      </c>
      <c r="AE1057" s="352">
        <f>IF(NFI_Expiration=1,IF($A1057&lt;VLOOKUP(N$5,NFI,5,0),1,0)*Table_NFI[[#This Row],[Kitchen Set]],Table_NFI[Kitchen Set])</f>
        <v>0</v>
      </c>
      <c r="AF1057" s="352">
        <f>IF(NFI_Expiration=1,IF($A1057&lt;VLOOKUP(O$5,NFI,5,0),1,0)*Table_NFI[[#This Row],[Clothes Kit]],Table_NFI[Clothes Kit])</f>
        <v>0</v>
      </c>
      <c r="AG1057" s="352">
        <f>IF(NFI_Expiration=1,IF($A1057&lt;VLOOKUP(P$5,NFI,5,0),1,0)*Table_NFI[[#This Row],[Plastic Bucket]],Table_NFI[Plastic Bucket])</f>
        <v>0</v>
      </c>
      <c r="AH1057" s="352">
        <f>IF(NFI_Expiration=1,IF($A1057&lt;VLOOKUP(Q$5,NFI,5,0),1,0)*Table_NFI[[#This Row],[Plastic Mat]],Table_NFI[Plastic Mat])*IF(Table_NFI[[#This Row],[Distribution Date]]&gt;"2014-04-01",1,2.5)</f>
        <v>0</v>
      </c>
      <c r="AI1057" s="352">
        <f>IF(NFI_Expiration=1,IF($A1057&lt;VLOOKUP(R$5,NFI,5,0),1,0)*Table_NFI[[#This Row],[Winter Clothes Adult]],Table_NFI[Winter Clothes Adult])</f>
        <v>0</v>
      </c>
      <c r="AJ1057" s="352">
        <f>IF(NFI_Expiration=1,IF($A1057&lt;VLOOKUP(S$5,NFI,5,0),1,0)*Table_NFI[[#This Row],[Winter Clothes Children]],Table_NFI[Winter Clothes Children])</f>
        <v>0</v>
      </c>
      <c r="AK1057" s="352">
        <f>IF(NFI_Expiration=1,IF($A1057&lt;VLOOKUP(T$5,NFI,5,0),1,0)*Table_NFI[[#This Row],[Winter Items Other]],Table_NFI[Winter Items Other])</f>
        <v>0</v>
      </c>
      <c r="AL1057" s="352">
        <f>IF(NFI_Expiration=1,IF($A1057&lt;VLOOKUP(M$5,NFI,5,0),1,0)*Table_NFI[[#This Row],[Winter Blanket]],Table_NFI[[#This Row],[Winter Blanket]])</f>
        <v>0</v>
      </c>
      <c r="AM1057" s="352">
        <f>IF(Table_NFI[[#This Row],[Winter Clothes Adult]]+Table_NFI[[#This Row],[Winter Clothes Children]]+Table_NFI[[#This Row],[Winter Items Other]]+Table_NFI[[#This Row],[Winter Blanket]]&gt;0,1,0)</f>
        <v>1</v>
      </c>
      <c r="AN1057" s="392">
        <f>IF(NFI_Expiration=1,IF($A1057&lt;VLOOKUP(V$5,NFI,5,0),1,0)*Table_NFI[[#This Row],[Jerry Can]],Table_NFI[Jerry Can])</f>
        <v>0</v>
      </c>
      <c r="AO1057" s="540" t="str">
        <f>IFERROR(VLOOKUP(Table_NFI[[#This Row],[Camp Name]],CL,2,0),"")</f>
        <v>MMR001CMP111</v>
      </c>
      <c r="AP1057" s="535">
        <f ca="1">IF(Table_NFI[[#This Row],[Pcode]]="","",IF(OFFSET(CampList[Opening Date],MATCH(Table_NFI[[#This Row],[Pcode]],CampList[CP_Pcode],0)-1,0,1,1)&gt;=NFI_Monitor_Date,1,0))</f>
        <v>0</v>
      </c>
      <c r="AQ1057" s="540" t="str">
        <f>IFERROR(VLOOKUP(Table_NFI[[#This Row],[Camp Name]],CL,3,0),"")</f>
        <v>Open</v>
      </c>
      <c r="AR1057" s="352" t="str">
        <f ca="1">IF(Table_NFI[[#This Row],[Pcode]]="","",OFFSET(CampList[Priority],MATCH(Table_NFI[[#This Row],[Pcode]],CampList[CP_Pcode],0)-1,0,1,1))</f>
        <v>P2</v>
      </c>
      <c r="AS1057" s="351">
        <f>IFERROR(Table_NFI[[#This Row],[Kitchen Set]]/VLOOKUP(Table_NFI[[#This Row],[Camp Name]],CL,4,0),"")</f>
        <v>0</v>
      </c>
      <c r="AT1057" s="538"/>
      <c r="AU1057" s="541"/>
    </row>
    <row r="1058" spans="1:47" s="546" customFormat="1" ht="15.75" hidden="1" customHeight="1" x14ac:dyDescent="0.25">
      <c r="A1058" s="355">
        <f t="shared" si="16"/>
        <v>30.233333333333334</v>
      </c>
      <c r="B1058" s="532">
        <v>41664</v>
      </c>
      <c r="C1058" s="533" t="s">
        <v>1038</v>
      </c>
      <c r="D1058" s="533" t="s">
        <v>461</v>
      </c>
      <c r="E1058" s="533" t="s">
        <v>380</v>
      </c>
      <c r="F1058" s="533" t="s">
        <v>310</v>
      </c>
      <c r="G1058" s="533" t="s">
        <v>1248</v>
      </c>
      <c r="H1058" s="349"/>
      <c r="I1058" s="349"/>
      <c r="J1058" s="349"/>
      <c r="K1058" s="349"/>
      <c r="L1058" s="350"/>
      <c r="M1058" s="350">
        <v>646</v>
      </c>
      <c r="N1058" s="350">
        <v>646</v>
      </c>
      <c r="O1058" s="350">
        <v>646</v>
      </c>
      <c r="P1058" s="352"/>
      <c r="Q1058" s="392">
        <v>646</v>
      </c>
      <c r="R1058" s="392"/>
      <c r="S1058" s="392"/>
      <c r="T1058" s="392"/>
      <c r="U1058" s="392"/>
      <c r="V1058" s="497"/>
      <c r="W1058" s="392"/>
      <c r="X1058" s="392"/>
      <c r="Y1058" s="352">
        <f>IF(NFI_Expiration=1,IF($A1058&lt;VLOOKUP(H$5,NFI,5,0),1,0)*Table_NFI[[#This Row],[Hygiene Kit]],Table_NFI[Hygiene Kit])</f>
        <v>0</v>
      </c>
      <c r="Z1058" s="352">
        <f>IF(NFI_Expiration=1,IF($A1058&lt;VLOOKUP(I$5,NFI,5,0),1,0)*Table_NFI[[#This Row],[NFI Core Kit]],Table_NFI[NFI Core Kit])</f>
        <v>0</v>
      </c>
      <c r="AA1058" s="352">
        <f>IF(NFI_Expiration=1,IF($A1058&lt;VLOOKUP(J$5,NFI,5,0),1,0)*Table_NFI[[#This Row],[Sanitary Kit]],Table_NFI[Sanitary Kit])</f>
        <v>0</v>
      </c>
      <c r="AB1058" s="352">
        <f>IF(NFI_Expiration=1,IF($A1058&lt;VLOOKUP(K$5,NFI,5,0),1,0)*Table_NFI[[#This Row],[Mosquito net]],Table_NFI[Mosquito net])</f>
        <v>0</v>
      </c>
      <c r="AC1058" s="352">
        <f>IF(NFI_Expiration=1,IF($A1058&lt;VLOOKUP(L$5,NFI,5,0),1,0)*Table_NFI[[#This Row],[Tarpaulin]],Table_NFI[[#This Row],[Tarpaulin]])</f>
        <v>0</v>
      </c>
      <c r="AD1058" s="352">
        <f>IF(NFI_Expiration=1,IF($A1058&lt;VLOOKUP(M$5,NFI,5,0),1,0)*Table_NFI[[#This Row],[Blanket]],Table_NFI[[#This Row],[Blanket]])</f>
        <v>0</v>
      </c>
      <c r="AE1058" s="352">
        <f>IF(NFI_Expiration=1,IF($A1058&lt;VLOOKUP(N$5,NFI,5,0),1,0)*Table_NFI[[#This Row],[Kitchen Set]],Table_NFI[Kitchen Set])</f>
        <v>0</v>
      </c>
      <c r="AF1058" s="352">
        <f>IF(NFI_Expiration=1,IF($A1058&lt;VLOOKUP(O$5,NFI,5,0),1,0)*Table_NFI[[#This Row],[Clothes Kit]],Table_NFI[Clothes Kit])</f>
        <v>0</v>
      </c>
      <c r="AG1058" s="352">
        <f>IF(NFI_Expiration=1,IF($A1058&lt;VLOOKUP(P$5,NFI,5,0),1,0)*Table_NFI[[#This Row],[Plastic Bucket]],Table_NFI[Plastic Bucket])</f>
        <v>0</v>
      </c>
      <c r="AH1058" s="352">
        <f>IF(NFI_Expiration=1,IF($A1058&lt;VLOOKUP(Q$5,NFI,5,0),1,0)*Table_NFI[[#This Row],[Plastic Mat]],Table_NFI[Plastic Mat])*IF(Table_NFI[[#This Row],[Distribution Date]]&gt;"2014-04-01",1,2.5)</f>
        <v>0</v>
      </c>
      <c r="AI1058" s="352">
        <f>IF(NFI_Expiration=1,IF($A1058&lt;VLOOKUP(R$5,NFI,5,0),1,0)*Table_NFI[[#This Row],[Winter Clothes Adult]],Table_NFI[Winter Clothes Adult])</f>
        <v>0</v>
      </c>
      <c r="AJ1058" s="352">
        <f>IF(NFI_Expiration=1,IF($A1058&lt;VLOOKUP(S$5,NFI,5,0),1,0)*Table_NFI[[#This Row],[Winter Clothes Children]],Table_NFI[Winter Clothes Children])</f>
        <v>0</v>
      </c>
      <c r="AK1058" s="352">
        <f>IF(NFI_Expiration=1,IF($A1058&lt;VLOOKUP(T$5,NFI,5,0),1,0)*Table_NFI[[#This Row],[Winter Items Other]],Table_NFI[Winter Items Other])</f>
        <v>0</v>
      </c>
      <c r="AL1058" s="352">
        <f>IF(NFI_Expiration=1,IF($A1058&lt;VLOOKUP(M$5,NFI,5,0),1,0)*Table_NFI[[#This Row],[Winter Blanket]],Table_NFI[[#This Row],[Winter Blanket]])</f>
        <v>0</v>
      </c>
      <c r="AM1058" s="352">
        <f>IF(Table_NFI[[#This Row],[Winter Clothes Adult]]+Table_NFI[[#This Row],[Winter Clothes Children]]+Table_NFI[[#This Row],[Winter Items Other]]+Table_NFI[[#This Row],[Winter Blanket]]&gt;0,1,0)</f>
        <v>0</v>
      </c>
      <c r="AN1058" s="392">
        <f>IF(NFI_Expiration=1,IF($A1058&lt;VLOOKUP(V$5,NFI,5,0),1,0)*Table_NFI[[#This Row],[Jerry Can]],Table_NFI[Jerry Can])</f>
        <v>0</v>
      </c>
      <c r="AO1058" s="540" t="str">
        <f>IFERROR(VLOOKUP(Table_NFI[[#This Row],[Camp Name]],CL,2,0),"")</f>
        <v>MMR001CMP111</v>
      </c>
      <c r="AP1058" s="535">
        <f ca="1">IF(Table_NFI[[#This Row],[Pcode]]="","",IF(OFFSET(CampList[Opening Date],MATCH(Table_NFI[[#This Row],[Pcode]],CampList[CP_Pcode],0)-1,0,1,1)&gt;=NFI_Monitor_Date,1,0))</f>
        <v>0</v>
      </c>
      <c r="AQ1058" s="540" t="str">
        <f>IFERROR(VLOOKUP(Table_NFI[[#This Row],[Camp Name]],CL,3,0),"")</f>
        <v>Open</v>
      </c>
      <c r="AR1058" s="352" t="str">
        <f ca="1">IF(Table_NFI[[#This Row],[Pcode]]="","",OFFSET(CampList[Priority],MATCH(Table_NFI[[#This Row],[Pcode]],CampList[CP_Pcode],0)-1,0,1,1))</f>
        <v>P2</v>
      </c>
      <c r="AS1058" s="351">
        <f>IFERROR(Table_NFI[[#This Row],[Kitchen Set]]/VLOOKUP(Table_NFI[[#This Row],[Camp Name]],CL,4,0),"")</f>
        <v>1.0695364238410596</v>
      </c>
      <c r="AT1058" s="533" t="s">
        <v>1094</v>
      </c>
      <c r="AU1058" s="536"/>
    </row>
    <row r="1059" spans="1:47" s="546" customFormat="1" ht="15.75" hidden="1" customHeight="1" x14ac:dyDescent="0.25">
      <c r="A1059" s="355">
        <f t="shared" si="16"/>
        <v>32.1</v>
      </c>
      <c r="B1059" s="532">
        <v>41608</v>
      </c>
      <c r="C1059" s="533" t="s">
        <v>907</v>
      </c>
      <c r="D1059" s="533" t="s">
        <v>461</v>
      </c>
      <c r="E1059" s="533" t="s">
        <v>380</v>
      </c>
      <c r="F1059" s="348" t="s">
        <v>310</v>
      </c>
      <c r="G1059" s="348" t="s">
        <v>1248</v>
      </c>
      <c r="H1059" s="349"/>
      <c r="I1059" s="349"/>
      <c r="J1059" s="349"/>
      <c r="K1059" s="349"/>
      <c r="L1059" s="350"/>
      <c r="M1059" s="350"/>
      <c r="N1059" s="350"/>
      <c r="O1059" s="350"/>
      <c r="P1059" s="352"/>
      <c r="Q1059" s="392"/>
      <c r="R1059" s="392"/>
      <c r="S1059" s="392"/>
      <c r="T1059" s="392"/>
      <c r="U1059" s="392"/>
      <c r="V1059" s="497"/>
      <c r="W1059" s="392"/>
      <c r="X1059" s="392"/>
      <c r="Y1059" s="352">
        <f>IF(NFI_Expiration=1,IF($A1059&lt;VLOOKUP(H$5,NFI,5,0),1,0)*Table_NFI[[#This Row],[Hygiene Kit]],Table_NFI[Hygiene Kit])</f>
        <v>0</v>
      </c>
      <c r="Z1059" s="352">
        <f>IF(NFI_Expiration=1,IF($A1059&lt;VLOOKUP(I$5,NFI,5,0),1,0)*Table_NFI[[#This Row],[NFI Core Kit]],Table_NFI[NFI Core Kit])</f>
        <v>0</v>
      </c>
      <c r="AA1059" s="352">
        <f>IF(NFI_Expiration=1,IF($A1059&lt;VLOOKUP(J$5,NFI,5,0),1,0)*Table_NFI[[#This Row],[Sanitary Kit]],Table_NFI[Sanitary Kit])</f>
        <v>0</v>
      </c>
      <c r="AB1059" s="352">
        <f>IF(NFI_Expiration=1,IF($A1059&lt;VLOOKUP(K$5,NFI,5,0),1,0)*Table_NFI[[#This Row],[Mosquito net]],Table_NFI[Mosquito net])</f>
        <v>0</v>
      </c>
      <c r="AC1059" s="352">
        <f>IF(NFI_Expiration=1,IF($A1059&lt;VLOOKUP(L$5,NFI,5,0),1,0)*Table_NFI[[#This Row],[Tarpaulin]],Table_NFI[[#This Row],[Tarpaulin]])</f>
        <v>0</v>
      </c>
      <c r="AD1059" s="352">
        <f>IF(NFI_Expiration=1,IF($A1059&lt;VLOOKUP(M$5,NFI,5,0),1,0)*Table_NFI[[#This Row],[Blanket]],Table_NFI[[#This Row],[Blanket]])</f>
        <v>0</v>
      </c>
      <c r="AE1059" s="352">
        <f>IF(NFI_Expiration=1,IF($A1059&lt;VLOOKUP(N$5,NFI,5,0),1,0)*Table_NFI[[#This Row],[Kitchen Set]],Table_NFI[Kitchen Set])</f>
        <v>0</v>
      </c>
      <c r="AF1059" s="352">
        <f>IF(NFI_Expiration=1,IF($A1059&lt;VLOOKUP(O$5,NFI,5,0),1,0)*Table_NFI[[#This Row],[Clothes Kit]],Table_NFI[Clothes Kit])</f>
        <v>0</v>
      </c>
      <c r="AG1059" s="352">
        <f>IF(NFI_Expiration=1,IF($A1059&lt;VLOOKUP(P$5,NFI,5,0),1,0)*Table_NFI[[#This Row],[Plastic Bucket]],Table_NFI[Plastic Bucket])</f>
        <v>0</v>
      </c>
      <c r="AH1059" s="352">
        <f>IF(NFI_Expiration=1,IF($A1059&lt;VLOOKUP(Q$5,NFI,5,0),1,0)*Table_NFI[[#This Row],[Plastic Mat]],Table_NFI[Plastic Mat])*IF(Table_NFI[[#This Row],[Distribution Date]]&gt;"2014-04-01",1,2.5)</f>
        <v>0</v>
      </c>
      <c r="AI1059" s="352">
        <f>IF(NFI_Expiration=1,IF($A1059&lt;VLOOKUP(R$5,NFI,5,0),1,0)*Table_NFI[[#This Row],[Winter Clothes Adult]],Table_NFI[Winter Clothes Adult])</f>
        <v>0</v>
      </c>
      <c r="AJ1059" s="352">
        <f>IF(NFI_Expiration=1,IF($A1059&lt;VLOOKUP(S$5,NFI,5,0),1,0)*Table_NFI[[#This Row],[Winter Clothes Children]],Table_NFI[Winter Clothes Children])</f>
        <v>0</v>
      </c>
      <c r="AK1059" s="352">
        <f>IF(NFI_Expiration=1,IF($A1059&lt;VLOOKUP(T$5,NFI,5,0),1,0)*Table_NFI[[#This Row],[Winter Items Other]],Table_NFI[Winter Items Other])</f>
        <v>0</v>
      </c>
      <c r="AL1059" s="352">
        <f>IF(NFI_Expiration=1,IF($A1059&lt;VLOOKUP(M$5,NFI,5,0),1,0)*Table_NFI[[#This Row],[Winter Blanket]],Table_NFI[[#This Row],[Winter Blanket]])</f>
        <v>0</v>
      </c>
      <c r="AM1059" s="352">
        <f>IF(Table_NFI[[#This Row],[Winter Clothes Adult]]+Table_NFI[[#This Row],[Winter Clothes Children]]+Table_NFI[[#This Row],[Winter Items Other]]+Table_NFI[[#This Row],[Winter Blanket]]&gt;0,1,0)</f>
        <v>0</v>
      </c>
      <c r="AN1059" s="392">
        <f>IF(NFI_Expiration=1,IF($A1059&lt;VLOOKUP(V$5,NFI,5,0),1,0)*Table_NFI[[#This Row],[Jerry Can]],Table_NFI[Jerry Can])</f>
        <v>0</v>
      </c>
      <c r="AO1059" s="540" t="str">
        <f>IFERROR(VLOOKUP(Table_NFI[[#This Row],[Camp Name]],CL,2,0),"")</f>
        <v>MMR001CMP111</v>
      </c>
      <c r="AP1059" s="535">
        <f ca="1">IF(Table_NFI[[#This Row],[Pcode]]="","",IF(OFFSET(CampList[Opening Date],MATCH(Table_NFI[[#This Row],[Pcode]],CampList[CP_Pcode],0)-1,0,1,1)&gt;=NFI_Monitor_Date,1,0))</f>
        <v>0</v>
      </c>
      <c r="AQ1059" s="540" t="str">
        <f>IFERROR(VLOOKUP(Table_NFI[[#This Row],[Camp Name]],CL,3,0),"")</f>
        <v>Open</v>
      </c>
      <c r="AR1059" s="352" t="str">
        <f ca="1">IF(Table_NFI[[#This Row],[Pcode]]="","",OFFSET(CampList[Priority],MATCH(Table_NFI[[#This Row],[Pcode]],CampList[CP_Pcode],0)-1,0,1,1))</f>
        <v>P2</v>
      </c>
      <c r="AS1059" s="351">
        <f>IFERROR(Table_NFI[[#This Row],[Kitchen Set]]/VLOOKUP(Table_NFI[[#This Row],[Camp Name]],CL,4,0),"")</f>
        <v>0</v>
      </c>
      <c r="AT1059" s="533" t="s">
        <v>1094</v>
      </c>
      <c r="AU1059" s="536"/>
    </row>
    <row r="1060" spans="1:47" s="546" customFormat="1" ht="15.75" hidden="1" customHeight="1" x14ac:dyDescent="0.25">
      <c r="A1060" s="355">
        <f t="shared" si="16"/>
        <v>32.166666666666664</v>
      </c>
      <c r="B1060" s="532">
        <v>41606</v>
      </c>
      <c r="C1060" s="533" t="s">
        <v>907</v>
      </c>
      <c r="D1060" s="533" t="s">
        <v>461</v>
      </c>
      <c r="E1060" s="533" t="s">
        <v>380</v>
      </c>
      <c r="F1060" s="533" t="s">
        <v>310</v>
      </c>
      <c r="G1060" s="533" t="s">
        <v>1248</v>
      </c>
      <c r="H1060" s="349"/>
      <c r="I1060" s="349"/>
      <c r="J1060" s="349"/>
      <c r="K1060" s="349"/>
      <c r="L1060" s="350"/>
      <c r="M1060" s="350"/>
      <c r="N1060" s="350"/>
      <c r="O1060" s="350"/>
      <c r="P1060" s="352"/>
      <c r="Q1060" s="392"/>
      <c r="R1060" s="392">
        <v>636</v>
      </c>
      <c r="S1060" s="392">
        <v>1272</v>
      </c>
      <c r="T1060" s="392">
        <v>3816</v>
      </c>
      <c r="U1060" s="392">
        <v>1908</v>
      </c>
      <c r="V1060" s="497"/>
      <c r="W1060" s="392"/>
      <c r="X1060" s="392"/>
      <c r="Y1060" s="352">
        <f>IF(NFI_Expiration=1,IF($A1060&lt;VLOOKUP(H$5,NFI,5,0),1,0)*Table_NFI[[#This Row],[Hygiene Kit]],Table_NFI[Hygiene Kit])</f>
        <v>0</v>
      </c>
      <c r="Z1060" s="352">
        <f>IF(NFI_Expiration=1,IF($A1060&lt;VLOOKUP(I$5,NFI,5,0),1,0)*Table_NFI[[#This Row],[NFI Core Kit]],Table_NFI[NFI Core Kit])</f>
        <v>0</v>
      </c>
      <c r="AA1060" s="352">
        <f>IF(NFI_Expiration=1,IF($A1060&lt;VLOOKUP(J$5,NFI,5,0),1,0)*Table_NFI[[#This Row],[Sanitary Kit]],Table_NFI[Sanitary Kit])</f>
        <v>0</v>
      </c>
      <c r="AB1060" s="352">
        <f>IF(NFI_Expiration=1,IF($A1060&lt;VLOOKUP(K$5,NFI,5,0),1,0)*Table_NFI[[#This Row],[Mosquito net]],Table_NFI[Mosquito net])</f>
        <v>0</v>
      </c>
      <c r="AC1060" s="352">
        <f>IF(NFI_Expiration=1,IF($A1060&lt;VLOOKUP(L$5,NFI,5,0),1,0)*Table_NFI[[#This Row],[Tarpaulin]],Table_NFI[[#This Row],[Tarpaulin]])</f>
        <v>0</v>
      </c>
      <c r="AD1060" s="352">
        <f>IF(NFI_Expiration=1,IF($A1060&lt;VLOOKUP(M$5,NFI,5,0),1,0)*Table_NFI[[#This Row],[Blanket]],Table_NFI[[#This Row],[Blanket]])</f>
        <v>0</v>
      </c>
      <c r="AE1060" s="352">
        <f>IF(NFI_Expiration=1,IF($A1060&lt;VLOOKUP(N$5,NFI,5,0),1,0)*Table_NFI[[#This Row],[Kitchen Set]],Table_NFI[Kitchen Set])</f>
        <v>0</v>
      </c>
      <c r="AF1060" s="352">
        <f>IF(NFI_Expiration=1,IF($A1060&lt;VLOOKUP(O$5,NFI,5,0),1,0)*Table_NFI[[#This Row],[Clothes Kit]],Table_NFI[Clothes Kit])</f>
        <v>0</v>
      </c>
      <c r="AG1060" s="352">
        <f>IF(NFI_Expiration=1,IF($A1060&lt;VLOOKUP(P$5,NFI,5,0),1,0)*Table_NFI[[#This Row],[Plastic Bucket]],Table_NFI[Plastic Bucket])</f>
        <v>0</v>
      </c>
      <c r="AH1060" s="352">
        <f>IF(NFI_Expiration=1,IF($A1060&lt;VLOOKUP(Q$5,NFI,5,0),1,0)*Table_NFI[[#This Row],[Plastic Mat]],Table_NFI[Plastic Mat])*IF(Table_NFI[[#This Row],[Distribution Date]]&gt;"2014-04-01",1,2.5)</f>
        <v>0</v>
      </c>
      <c r="AI1060" s="352">
        <f>IF(NFI_Expiration=1,IF($A1060&lt;VLOOKUP(R$5,NFI,5,0),1,0)*Table_NFI[[#This Row],[Winter Clothes Adult]],Table_NFI[Winter Clothes Adult])</f>
        <v>0</v>
      </c>
      <c r="AJ1060" s="352">
        <f>IF(NFI_Expiration=1,IF($A1060&lt;VLOOKUP(S$5,NFI,5,0),1,0)*Table_NFI[[#This Row],[Winter Clothes Children]],Table_NFI[Winter Clothes Children])</f>
        <v>0</v>
      </c>
      <c r="AK1060" s="352">
        <f>IF(NFI_Expiration=1,IF($A1060&lt;VLOOKUP(T$5,NFI,5,0),1,0)*Table_NFI[[#This Row],[Winter Items Other]],Table_NFI[Winter Items Other])</f>
        <v>0</v>
      </c>
      <c r="AL1060" s="352">
        <f>IF(NFI_Expiration=1,IF($A1060&lt;VLOOKUP(M$5,NFI,5,0),1,0)*Table_NFI[[#This Row],[Winter Blanket]],Table_NFI[[#This Row],[Winter Blanket]])</f>
        <v>0</v>
      </c>
      <c r="AM1060" s="352">
        <f>IF(Table_NFI[[#This Row],[Winter Clothes Adult]]+Table_NFI[[#This Row],[Winter Clothes Children]]+Table_NFI[[#This Row],[Winter Items Other]]+Table_NFI[[#This Row],[Winter Blanket]]&gt;0,1,0)</f>
        <v>1</v>
      </c>
      <c r="AN1060" s="392">
        <f>IF(NFI_Expiration=1,IF($A1060&lt;VLOOKUP(V$5,NFI,5,0),1,0)*Table_NFI[[#This Row],[Jerry Can]],Table_NFI[Jerry Can])</f>
        <v>0</v>
      </c>
      <c r="AO1060" s="540" t="str">
        <f>IFERROR(VLOOKUP(Table_NFI[[#This Row],[Camp Name]],CL,2,0),"")</f>
        <v>MMR001CMP111</v>
      </c>
      <c r="AP1060" s="535">
        <f ca="1">IF(Table_NFI[[#This Row],[Pcode]]="","",IF(OFFSET(CampList[Opening Date],MATCH(Table_NFI[[#This Row],[Pcode]],CampList[CP_Pcode],0)-1,0,1,1)&gt;=NFI_Monitor_Date,1,0))</f>
        <v>0</v>
      </c>
      <c r="AQ1060" s="540" t="str">
        <f>IFERROR(VLOOKUP(Table_NFI[[#This Row],[Camp Name]],CL,3,0),"")</f>
        <v>Open</v>
      </c>
      <c r="AR1060" s="352" t="str">
        <f ca="1">IF(Table_NFI[[#This Row],[Pcode]]="","",OFFSET(CampList[Priority],MATCH(Table_NFI[[#This Row],[Pcode]],CampList[CP_Pcode],0)-1,0,1,1))</f>
        <v>P2</v>
      </c>
      <c r="AS1060" s="351">
        <f>IFERROR(Table_NFI[[#This Row],[Kitchen Set]]/VLOOKUP(Table_NFI[[#This Row],[Camp Name]],CL,4,0),"")</f>
        <v>0</v>
      </c>
      <c r="AT1060" s="533"/>
      <c r="AU1060" s="536"/>
    </row>
    <row r="1061" spans="1:47" s="546" customFormat="1" ht="15.75" customHeight="1" x14ac:dyDescent="0.25">
      <c r="A1061" s="355">
        <f t="shared" si="16"/>
        <v>56.966666666666669</v>
      </c>
      <c r="B1061" s="532">
        <v>40862</v>
      </c>
      <c r="C1061" s="533" t="s">
        <v>453</v>
      </c>
      <c r="D1061" s="534" t="s">
        <v>461</v>
      </c>
      <c r="E1061" s="533" t="s">
        <v>380</v>
      </c>
      <c r="F1061" s="348" t="s">
        <v>237</v>
      </c>
      <c r="G1061" s="348" t="s">
        <v>275</v>
      </c>
      <c r="H1061" s="349"/>
      <c r="I1061" s="349"/>
      <c r="J1061" s="349"/>
      <c r="K1061" s="349">
        <v>30</v>
      </c>
      <c r="L1061" s="350">
        <v>17</v>
      </c>
      <c r="M1061" s="350">
        <v>30</v>
      </c>
      <c r="N1061" s="350">
        <v>17</v>
      </c>
      <c r="O1061" s="350">
        <v>17</v>
      </c>
      <c r="P1061" s="352">
        <v>17</v>
      </c>
      <c r="Q1061" s="392">
        <v>17</v>
      </c>
      <c r="R1061" s="392"/>
      <c r="S1061" s="392"/>
      <c r="T1061" s="392"/>
      <c r="U1061" s="392"/>
      <c r="V1061" s="497"/>
      <c r="W1061" s="392"/>
      <c r="X1061" s="392"/>
      <c r="Y1061" s="352">
        <f>IF(NFI_Expiration=1,IF($A1061&lt;VLOOKUP(H$5,NFI,5,0),1,0)*Table_NFI[[#This Row],[Hygiene Kit]],Table_NFI[Hygiene Kit])</f>
        <v>0</v>
      </c>
      <c r="Z1061" s="352">
        <f>IF(NFI_Expiration=1,IF($A1061&lt;VLOOKUP(I$5,NFI,5,0),1,0)*Table_NFI[[#This Row],[NFI Core Kit]],Table_NFI[NFI Core Kit])</f>
        <v>0</v>
      </c>
      <c r="AA1061" s="352">
        <f>IF(NFI_Expiration=1,IF($A1061&lt;VLOOKUP(J$5,NFI,5,0),1,0)*Table_NFI[[#This Row],[Sanitary Kit]],Table_NFI[Sanitary Kit])</f>
        <v>0</v>
      </c>
      <c r="AB1061" s="352">
        <f>IF(NFI_Expiration=1,IF($A1061&lt;VLOOKUP(K$5,NFI,5,0),1,0)*Table_NFI[[#This Row],[Mosquito net]],Table_NFI[Mosquito net])</f>
        <v>0</v>
      </c>
      <c r="AC1061" s="352">
        <f>IF(NFI_Expiration=1,IF($A1061&lt;VLOOKUP(L$5,NFI,5,0),1,0)*Table_NFI[[#This Row],[Tarpaulin]],Table_NFI[[#This Row],[Tarpaulin]])</f>
        <v>0</v>
      </c>
      <c r="AD1061" s="352">
        <f>IF(NFI_Expiration=1,IF($A1061&lt;VLOOKUP(M$5,NFI,5,0),1,0)*Table_NFI[[#This Row],[Blanket]],Table_NFI[[#This Row],[Blanket]])</f>
        <v>0</v>
      </c>
      <c r="AE1061" s="352">
        <f>IF(NFI_Expiration=1,IF($A1061&lt;VLOOKUP(N$5,NFI,5,0),1,0)*Table_NFI[[#This Row],[Kitchen Set]],Table_NFI[Kitchen Set])</f>
        <v>0</v>
      </c>
      <c r="AF1061" s="352">
        <f>IF(NFI_Expiration=1,IF($A1061&lt;VLOOKUP(O$5,NFI,5,0),1,0)*Table_NFI[[#This Row],[Clothes Kit]],Table_NFI[Clothes Kit])</f>
        <v>0</v>
      </c>
      <c r="AG1061" s="352">
        <f>IF(NFI_Expiration=1,IF($A1061&lt;VLOOKUP(P$5,NFI,5,0),1,0)*Table_NFI[[#This Row],[Plastic Bucket]],Table_NFI[Plastic Bucket])</f>
        <v>0</v>
      </c>
      <c r="AH1061" s="352">
        <f>IF(NFI_Expiration=1,IF($A1061&lt;VLOOKUP(Q$5,NFI,5,0),1,0)*Table_NFI[[#This Row],[Plastic Mat]],Table_NFI[Plastic Mat])*IF(Table_NFI[[#This Row],[Distribution Date]]&gt;"2014-04-01",1,2.5)</f>
        <v>0</v>
      </c>
      <c r="AI1061" s="352">
        <f>IF(NFI_Expiration=1,IF($A1061&lt;VLOOKUP(R$5,NFI,5,0),1,0)*Table_NFI[[#This Row],[Winter Clothes Adult]],Table_NFI[Winter Clothes Adult])</f>
        <v>0</v>
      </c>
      <c r="AJ1061" s="352">
        <f>IF(NFI_Expiration=1,IF($A1061&lt;VLOOKUP(S$5,NFI,5,0),1,0)*Table_NFI[[#This Row],[Winter Clothes Children]],Table_NFI[Winter Clothes Children])</f>
        <v>0</v>
      </c>
      <c r="AK1061" s="352">
        <f>IF(NFI_Expiration=1,IF($A1061&lt;VLOOKUP(T$5,NFI,5,0),1,0)*Table_NFI[[#This Row],[Winter Items Other]],Table_NFI[Winter Items Other])</f>
        <v>0</v>
      </c>
      <c r="AL1061" s="352">
        <f>IF(NFI_Expiration=1,IF($A1061&lt;VLOOKUP(M$5,NFI,5,0),1,0)*Table_NFI[[#This Row],[Winter Blanket]],Table_NFI[[#This Row],[Winter Blanket]])</f>
        <v>0</v>
      </c>
      <c r="AM1061" s="352">
        <f>IF(Table_NFI[[#This Row],[Winter Clothes Adult]]+Table_NFI[[#This Row],[Winter Clothes Children]]+Table_NFI[[#This Row],[Winter Items Other]]+Table_NFI[[#This Row],[Winter Blanket]]&gt;0,1,0)</f>
        <v>0</v>
      </c>
      <c r="AN1061" s="392">
        <f>IF(NFI_Expiration=1,IF($A1061&lt;VLOOKUP(V$5,NFI,5,0),1,0)*Table_NFI[[#This Row],[Jerry Can]],Table_NFI[Jerry Can])</f>
        <v>0</v>
      </c>
      <c r="AO1061" s="540" t="str">
        <f>IFERROR(VLOOKUP(Table_NFI[[#This Row],[Camp Name]],CL,2,0),"")</f>
        <v>MMR001CMP005</v>
      </c>
      <c r="AP1061" s="535">
        <f ca="1">IF(Table_NFI[[#This Row],[Pcode]]="","",IF(OFFSET(CampList[Opening Date],MATCH(Table_NFI[[#This Row],[Pcode]],CampList[CP_Pcode],0)-1,0,1,1)&gt;=NFI_Monitor_Date,1,0))</f>
        <v>0</v>
      </c>
      <c r="AQ1061" s="540" t="str">
        <f>IFERROR(VLOOKUP(Table_NFI[[#This Row],[Camp Name]],CL,3,0),"")</f>
        <v>Open</v>
      </c>
      <c r="AR1061" s="352" t="str">
        <f ca="1">IF(Table_NFI[[#This Row],[Pcode]]="","",OFFSET(CampList[Priority],MATCH(Table_NFI[[#This Row],[Pcode]],CampList[CP_Pcode],0)-1,0,1,1))</f>
        <v>P4</v>
      </c>
      <c r="AS1061" s="351">
        <f>IFERROR(Table_NFI[[#This Row],[Kitchen Set]]/VLOOKUP(Table_NFI[[#This Row],[Camp Name]],CL,4,0),"")</f>
        <v>0.39534883720930231</v>
      </c>
      <c r="AT1061" s="533" t="s">
        <v>1094</v>
      </c>
      <c r="AU1061" s="536"/>
    </row>
    <row r="1062" spans="1:47" s="546" customFormat="1" ht="15.75" customHeight="1" x14ac:dyDescent="0.25">
      <c r="A1062" s="355">
        <f t="shared" si="16"/>
        <v>57</v>
      </c>
      <c r="B1062" s="532">
        <v>40861</v>
      </c>
      <c r="C1062" s="533" t="s">
        <v>453</v>
      </c>
      <c r="D1062" s="534" t="s">
        <v>461</v>
      </c>
      <c r="E1062" s="533" t="s">
        <v>380</v>
      </c>
      <c r="F1062" s="348" t="s">
        <v>237</v>
      </c>
      <c r="G1062" s="348" t="s">
        <v>257</v>
      </c>
      <c r="H1062" s="349"/>
      <c r="I1062" s="349"/>
      <c r="J1062" s="349"/>
      <c r="K1062" s="349">
        <v>47</v>
      </c>
      <c r="L1062" s="350">
        <v>28</v>
      </c>
      <c r="M1062" s="350">
        <v>47</v>
      </c>
      <c r="N1062" s="350">
        <v>28</v>
      </c>
      <c r="O1062" s="350">
        <v>28</v>
      </c>
      <c r="P1062" s="352">
        <v>28</v>
      </c>
      <c r="Q1062" s="392">
        <v>28</v>
      </c>
      <c r="R1062" s="392"/>
      <c r="S1062" s="392"/>
      <c r="T1062" s="392"/>
      <c r="U1062" s="392"/>
      <c r="V1062" s="497"/>
      <c r="W1062" s="392"/>
      <c r="X1062" s="392"/>
      <c r="Y1062" s="352">
        <f>IF(NFI_Expiration=1,IF($A1062&lt;VLOOKUP(H$5,NFI,5,0),1,0)*Table_NFI[[#This Row],[Hygiene Kit]],Table_NFI[Hygiene Kit])</f>
        <v>0</v>
      </c>
      <c r="Z1062" s="352">
        <f>IF(NFI_Expiration=1,IF($A1062&lt;VLOOKUP(I$5,NFI,5,0),1,0)*Table_NFI[[#This Row],[NFI Core Kit]],Table_NFI[NFI Core Kit])</f>
        <v>0</v>
      </c>
      <c r="AA1062" s="352">
        <f>IF(NFI_Expiration=1,IF($A1062&lt;VLOOKUP(J$5,NFI,5,0),1,0)*Table_NFI[[#This Row],[Sanitary Kit]],Table_NFI[Sanitary Kit])</f>
        <v>0</v>
      </c>
      <c r="AB1062" s="352">
        <f>IF(NFI_Expiration=1,IF($A1062&lt;VLOOKUP(K$5,NFI,5,0),1,0)*Table_NFI[[#This Row],[Mosquito net]],Table_NFI[Mosquito net])</f>
        <v>0</v>
      </c>
      <c r="AC1062" s="352">
        <f>IF(NFI_Expiration=1,IF($A1062&lt;VLOOKUP(L$5,NFI,5,0),1,0)*Table_NFI[[#This Row],[Tarpaulin]],Table_NFI[[#This Row],[Tarpaulin]])</f>
        <v>0</v>
      </c>
      <c r="AD1062" s="352">
        <f>IF(NFI_Expiration=1,IF($A1062&lt;VLOOKUP(M$5,NFI,5,0),1,0)*Table_NFI[[#This Row],[Blanket]],Table_NFI[[#This Row],[Blanket]])</f>
        <v>0</v>
      </c>
      <c r="AE1062" s="352">
        <f>IF(NFI_Expiration=1,IF($A1062&lt;VLOOKUP(N$5,NFI,5,0),1,0)*Table_NFI[[#This Row],[Kitchen Set]],Table_NFI[Kitchen Set])</f>
        <v>0</v>
      </c>
      <c r="AF1062" s="352">
        <f>IF(NFI_Expiration=1,IF($A1062&lt;VLOOKUP(O$5,NFI,5,0),1,0)*Table_NFI[[#This Row],[Clothes Kit]],Table_NFI[Clothes Kit])</f>
        <v>0</v>
      </c>
      <c r="AG1062" s="352">
        <f>IF(NFI_Expiration=1,IF($A1062&lt;VLOOKUP(P$5,NFI,5,0),1,0)*Table_NFI[[#This Row],[Plastic Bucket]],Table_NFI[Plastic Bucket])</f>
        <v>0</v>
      </c>
      <c r="AH1062" s="352">
        <f>IF(NFI_Expiration=1,IF($A1062&lt;VLOOKUP(Q$5,NFI,5,0),1,0)*Table_NFI[[#This Row],[Plastic Mat]],Table_NFI[Plastic Mat])*IF(Table_NFI[[#This Row],[Distribution Date]]&gt;"2014-04-01",1,2.5)</f>
        <v>0</v>
      </c>
      <c r="AI1062" s="352">
        <f>IF(NFI_Expiration=1,IF($A1062&lt;VLOOKUP(R$5,NFI,5,0),1,0)*Table_NFI[[#This Row],[Winter Clothes Adult]],Table_NFI[Winter Clothes Adult])</f>
        <v>0</v>
      </c>
      <c r="AJ1062" s="352">
        <f>IF(NFI_Expiration=1,IF($A1062&lt;VLOOKUP(S$5,NFI,5,0),1,0)*Table_NFI[[#This Row],[Winter Clothes Children]],Table_NFI[Winter Clothes Children])</f>
        <v>0</v>
      </c>
      <c r="AK1062" s="352">
        <f>IF(NFI_Expiration=1,IF($A1062&lt;VLOOKUP(T$5,NFI,5,0),1,0)*Table_NFI[[#This Row],[Winter Items Other]],Table_NFI[Winter Items Other])</f>
        <v>0</v>
      </c>
      <c r="AL1062" s="352">
        <f>IF(NFI_Expiration=1,IF($A1062&lt;VLOOKUP(M$5,NFI,5,0),1,0)*Table_NFI[[#This Row],[Winter Blanket]],Table_NFI[[#This Row],[Winter Blanket]])</f>
        <v>0</v>
      </c>
      <c r="AM1062" s="352">
        <f>IF(Table_NFI[[#This Row],[Winter Clothes Adult]]+Table_NFI[[#This Row],[Winter Clothes Children]]+Table_NFI[[#This Row],[Winter Items Other]]+Table_NFI[[#This Row],[Winter Blanket]]&gt;0,1,0)</f>
        <v>0</v>
      </c>
      <c r="AN1062" s="392">
        <f>IF(NFI_Expiration=1,IF($A1062&lt;VLOOKUP(V$5,NFI,5,0),1,0)*Table_NFI[[#This Row],[Jerry Can]],Table_NFI[Jerry Can])</f>
        <v>0</v>
      </c>
      <c r="AO1062" s="540" t="str">
        <f>IFERROR(VLOOKUP(Table_NFI[[#This Row],[Camp Name]],CL,2,0),"")</f>
        <v>MMR001CMP013</v>
      </c>
      <c r="AP1062" s="535">
        <f ca="1">IF(Table_NFI[[#This Row],[Pcode]]="","",IF(OFFSET(CampList[Opening Date],MATCH(Table_NFI[[#This Row],[Pcode]],CampList[CP_Pcode],0)-1,0,1,1)&gt;=NFI_Monitor_Date,1,0))</f>
        <v>0</v>
      </c>
      <c r="AQ1062" s="540" t="str">
        <f>IFERROR(VLOOKUP(Table_NFI[[#This Row],[Camp Name]],CL,3,0),"")</f>
        <v>Open</v>
      </c>
      <c r="AR1062" s="352" t="str">
        <f ca="1">IF(Table_NFI[[#This Row],[Pcode]]="","",OFFSET(CampList[Priority],MATCH(Table_NFI[[#This Row],[Pcode]],CampList[CP_Pcode],0)-1,0,1,1))</f>
        <v>P4</v>
      </c>
      <c r="AS1062" s="351">
        <f>IFERROR(Table_NFI[[#This Row],[Kitchen Set]]/VLOOKUP(Table_NFI[[#This Row],[Camp Name]],CL,4,0),"")</f>
        <v>0.63636363636363635</v>
      </c>
      <c r="AT1062" s="533" t="s">
        <v>1094</v>
      </c>
      <c r="AU1062" s="536"/>
    </row>
    <row r="1063" spans="1:47" s="546" customFormat="1" ht="15.75" customHeight="1" x14ac:dyDescent="0.25">
      <c r="A1063" s="355">
        <f t="shared" si="16"/>
        <v>57</v>
      </c>
      <c r="B1063" s="532">
        <v>40861</v>
      </c>
      <c r="C1063" s="533" t="s">
        <v>453</v>
      </c>
      <c r="D1063" s="534" t="s">
        <v>461</v>
      </c>
      <c r="E1063" s="533" t="s">
        <v>380</v>
      </c>
      <c r="F1063" s="348" t="s">
        <v>237</v>
      </c>
      <c r="G1063" s="348" t="s">
        <v>240</v>
      </c>
      <c r="H1063" s="349"/>
      <c r="I1063" s="349"/>
      <c r="J1063" s="349"/>
      <c r="K1063" s="349">
        <v>52</v>
      </c>
      <c r="L1063" s="350">
        <v>25</v>
      </c>
      <c r="M1063" s="350">
        <v>52</v>
      </c>
      <c r="N1063" s="350">
        <v>25</v>
      </c>
      <c r="O1063" s="350">
        <v>25</v>
      </c>
      <c r="P1063" s="352">
        <v>25</v>
      </c>
      <c r="Q1063" s="392">
        <v>25</v>
      </c>
      <c r="R1063" s="392"/>
      <c r="S1063" s="392"/>
      <c r="T1063" s="392"/>
      <c r="U1063" s="392"/>
      <c r="V1063" s="497"/>
      <c r="W1063" s="392"/>
      <c r="X1063" s="392"/>
      <c r="Y1063" s="352">
        <f>IF(NFI_Expiration=1,IF($A1063&lt;VLOOKUP(H$5,NFI,5,0),1,0)*Table_NFI[[#This Row],[Hygiene Kit]],Table_NFI[Hygiene Kit])</f>
        <v>0</v>
      </c>
      <c r="Z1063" s="352">
        <f>IF(NFI_Expiration=1,IF($A1063&lt;VLOOKUP(I$5,NFI,5,0),1,0)*Table_NFI[[#This Row],[NFI Core Kit]],Table_NFI[NFI Core Kit])</f>
        <v>0</v>
      </c>
      <c r="AA1063" s="352">
        <f>IF(NFI_Expiration=1,IF($A1063&lt;VLOOKUP(J$5,NFI,5,0),1,0)*Table_NFI[[#This Row],[Sanitary Kit]],Table_NFI[Sanitary Kit])</f>
        <v>0</v>
      </c>
      <c r="AB1063" s="352">
        <f>IF(NFI_Expiration=1,IF($A1063&lt;VLOOKUP(K$5,NFI,5,0),1,0)*Table_NFI[[#This Row],[Mosquito net]],Table_NFI[Mosquito net])</f>
        <v>0</v>
      </c>
      <c r="AC1063" s="352">
        <f>IF(NFI_Expiration=1,IF($A1063&lt;VLOOKUP(L$5,NFI,5,0),1,0)*Table_NFI[[#This Row],[Tarpaulin]],Table_NFI[[#This Row],[Tarpaulin]])</f>
        <v>0</v>
      </c>
      <c r="AD1063" s="352">
        <f>IF(NFI_Expiration=1,IF($A1063&lt;VLOOKUP(M$5,NFI,5,0),1,0)*Table_NFI[[#This Row],[Blanket]],Table_NFI[[#This Row],[Blanket]])</f>
        <v>0</v>
      </c>
      <c r="AE1063" s="352">
        <f>IF(NFI_Expiration=1,IF($A1063&lt;VLOOKUP(N$5,NFI,5,0),1,0)*Table_NFI[[#This Row],[Kitchen Set]],Table_NFI[Kitchen Set])</f>
        <v>0</v>
      </c>
      <c r="AF1063" s="352">
        <f>IF(NFI_Expiration=1,IF($A1063&lt;VLOOKUP(O$5,NFI,5,0),1,0)*Table_NFI[[#This Row],[Clothes Kit]],Table_NFI[Clothes Kit])</f>
        <v>0</v>
      </c>
      <c r="AG1063" s="352">
        <f>IF(NFI_Expiration=1,IF($A1063&lt;VLOOKUP(P$5,NFI,5,0),1,0)*Table_NFI[[#This Row],[Plastic Bucket]],Table_NFI[Plastic Bucket])</f>
        <v>0</v>
      </c>
      <c r="AH1063" s="352">
        <f>IF(NFI_Expiration=1,IF($A1063&lt;VLOOKUP(Q$5,NFI,5,0),1,0)*Table_NFI[[#This Row],[Plastic Mat]],Table_NFI[Plastic Mat])*IF(Table_NFI[[#This Row],[Distribution Date]]&gt;"2014-04-01",1,2.5)</f>
        <v>0</v>
      </c>
      <c r="AI1063" s="352">
        <f>IF(NFI_Expiration=1,IF($A1063&lt;VLOOKUP(R$5,NFI,5,0),1,0)*Table_NFI[[#This Row],[Winter Clothes Adult]],Table_NFI[Winter Clothes Adult])</f>
        <v>0</v>
      </c>
      <c r="AJ1063" s="352">
        <f>IF(NFI_Expiration=1,IF($A1063&lt;VLOOKUP(S$5,NFI,5,0),1,0)*Table_NFI[[#This Row],[Winter Clothes Children]],Table_NFI[Winter Clothes Children])</f>
        <v>0</v>
      </c>
      <c r="AK1063" s="352">
        <f>IF(NFI_Expiration=1,IF($A1063&lt;VLOOKUP(T$5,NFI,5,0),1,0)*Table_NFI[[#This Row],[Winter Items Other]],Table_NFI[Winter Items Other])</f>
        <v>0</v>
      </c>
      <c r="AL1063" s="352">
        <f>IF(NFI_Expiration=1,IF($A1063&lt;VLOOKUP(M$5,NFI,5,0),1,0)*Table_NFI[[#This Row],[Winter Blanket]],Table_NFI[[#This Row],[Winter Blanket]])</f>
        <v>0</v>
      </c>
      <c r="AM1063" s="352">
        <f>IF(Table_NFI[[#This Row],[Winter Clothes Adult]]+Table_NFI[[#This Row],[Winter Clothes Children]]+Table_NFI[[#This Row],[Winter Items Other]]+Table_NFI[[#This Row],[Winter Blanket]]&gt;0,1,0)</f>
        <v>0</v>
      </c>
      <c r="AN1063" s="392">
        <f>IF(NFI_Expiration=1,IF($A1063&lt;VLOOKUP(V$5,NFI,5,0),1,0)*Table_NFI[[#This Row],[Jerry Can]],Table_NFI[Jerry Can])</f>
        <v>0</v>
      </c>
      <c r="AO1063" s="540" t="str">
        <f>IFERROR(VLOOKUP(Table_NFI[[#This Row],[Camp Name]],CL,2,0),"")</f>
        <v>MMR001CMP015</v>
      </c>
      <c r="AP1063" s="535">
        <f ca="1">IF(Table_NFI[[#This Row],[Pcode]]="","",IF(OFFSET(CampList[Opening Date],MATCH(Table_NFI[[#This Row],[Pcode]],CampList[CP_Pcode],0)-1,0,1,1)&gt;=NFI_Monitor_Date,1,0))</f>
        <v>0</v>
      </c>
      <c r="AQ1063" s="540" t="str">
        <f>IFERROR(VLOOKUP(Table_NFI[[#This Row],[Camp Name]],CL,3,0),"")</f>
        <v>Open</v>
      </c>
      <c r="AR1063" s="352" t="str">
        <f ca="1">IF(Table_NFI[[#This Row],[Pcode]]="","",OFFSET(CampList[Priority],MATCH(Table_NFI[[#This Row],[Pcode]],CampList[CP_Pcode],0)-1,0,1,1))</f>
        <v>P4</v>
      </c>
      <c r="AS1063" s="351">
        <f>IFERROR(Table_NFI[[#This Row],[Kitchen Set]]/VLOOKUP(Table_NFI[[#This Row],[Camp Name]],CL,4,0),"")</f>
        <v>0.26041666666666669</v>
      </c>
      <c r="AT1063" s="533" t="s">
        <v>1094</v>
      </c>
      <c r="AU1063" s="536"/>
    </row>
    <row r="1064" spans="1:47" s="546" customFormat="1" ht="15.75" customHeight="1" x14ac:dyDescent="0.25">
      <c r="A1064" s="355">
        <f t="shared" si="16"/>
        <v>57</v>
      </c>
      <c r="B1064" s="532">
        <v>40861</v>
      </c>
      <c r="C1064" s="533" t="s">
        <v>453</v>
      </c>
      <c r="D1064" s="534" t="s">
        <v>461</v>
      </c>
      <c r="E1064" s="533" t="s">
        <v>380</v>
      </c>
      <c r="F1064" s="348" t="s">
        <v>237</v>
      </c>
      <c r="G1064" s="348" t="s">
        <v>259</v>
      </c>
      <c r="H1064" s="349"/>
      <c r="I1064" s="349"/>
      <c r="J1064" s="349"/>
      <c r="K1064" s="349">
        <v>57</v>
      </c>
      <c r="L1064" s="350">
        <v>30</v>
      </c>
      <c r="M1064" s="350">
        <v>57</v>
      </c>
      <c r="N1064" s="350">
        <v>30</v>
      </c>
      <c r="O1064" s="350">
        <v>30</v>
      </c>
      <c r="P1064" s="352">
        <v>30</v>
      </c>
      <c r="Q1064" s="392">
        <v>30</v>
      </c>
      <c r="R1064" s="392"/>
      <c r="S1064" s="392"/>
      <c r="T1064" s="392"/>
      <c r="U1064" s="392"/>
      <c r="V1064" s="497"/>
      <c r="W1064" s="392"/>
      <c r="X1064" s="392"/>
      <c r="Y1064" s="352">
        <f>IF(NFI_Expiration=1,IF($A1064&lt;VLOOKUP(H$5,NFI,5,0),1,0)*Table_NFI[[#This Row],[Hygiene Kit]],Table_NFI[Hygiene Kit])</f>
        <v>0</v>
      </c>
      <c r="Z1064" s="352">
        <f>IF(NFI_Expiration=1,IF($A1064&lt;VLOOKUP(I$5,NFI,5,0),1,0)*Table_NFI[[#This Row],[NFI Core Kit]],Table_NFI[NFI Core Kit])</f>
        <v>0</v>
      </c>
      <c r="AA1064" s="352">
        <f>IF(NFI_Expiration=1,IF($A1064&lt;VLOOKUP(J$5,NFI,5,0),1,0)*Table_NFI[[#This Row],[Sanitary Kit]],Table_NFI[Sanitary Kit])</f>
        <v>0</v>
      </c>
      <c r="AB1064" s="352">
        <f>IF(NFI_Expiration=1,IF($A1064&lt;VLOOKUP(K$5,NFI,5,0),1,0)*Table_NFI[[#This Row],[Mosquito net]],Table_NFI[Mosquito net])</f>
        <v>0</v>
      </c>
      <c r="AC1064" s="352">
        <f>IF(NFI_Expiration=1,IF($A1064&lt;VLOOKUP(L$5,NFI,5,0),1,0)*Table_NFI[[#This Row],[Tarpaulin]],Table_NFI[[#This Row],[Tarpaulin]])</f>
        <v>0</v>
      </c>
      <c r="AD1064" s="352">
        <f>IF(NFI_Expiration=1,IF($A1064&lt;VLOOKUP(M$5,NFI,5,0),1,0)*Table_NFI[[#This Row],[Blanket]],Table_NFI[[#This Row],[Blanket]])</f>
        <v>0</v>
      </c>
      <c r="AE1064" s="352">
        <f>IF(NFI_Expiration=1,IF($A1064&lt;VLOOKUP(N$5,NFI,5,0),1,0)*Table_NFI[[#This Row],[Kitchen Set]],Table_NFI[Kitchen Set])</f>
        <v>0</v>
      </c>
      <c r="AF1064" s="352">
        <f>IF(NFI_Expiration=1,IF($A1064&lt;VLOOKUP(O$5,NFI,5,0),1,0)*Table_NFI[[#This Row],[Clothes Kit]],Table_NFI[Clothes Kit])</f>
        <v>0</v>
      </c>
      <c r="AG1064" s="352">
        <f>IF(NFI_Expiration=1,IF($A1064&lt;VLOOKUP(P$5,NFI,5,0),1,0)*Table_NFI[[#This Row],[Plastic Bucket]],Table_NFI[Plastic Bucket])</f>
        <v>0</v>
      </c>
      <c r="AH1064" s="352">
        <f>IF(NFI_Expiration=1,IF($A1064&lt;VLOOKUP(Q$5,NFI,5,0),1,0)*Table_NFI[[#This Row],[Plastic Mat]],Table_NFI[Plastic Mat])*IF(Table_NFI[[#This Row],[Distribution Date]]&gt;"2014-04-01",1,2.5)</f>
        <v>0</v>
      </c>
      <c r="AI1064" s="352">
        <f>IF(NFI_Expiration=1,IF($A1064&lt;VLOOKUP(R$5,NFI,5,0),1,0)*Table_NFI[[#This Row],[Winter Clothes Adult]],Table_NFI[Winter Clothes Adult])</f>
        <v>0</v>
      </c>
      <c r="AJ1064" s="352">
        <f>IF(NFI_Expiration=1,IF($A1064&lt;VLOOKUP(S$5,NFI,5,0),1,0)*Table_NFI[[#This Row],[Winter Clothes Children]],Table_NFI[Winter Clothes Children])</f>
        <v>0</v>
      </c>
      <c r="AK1064" s="352">
        <f>IF(NFI_Expiration=1,IF($A1064&lt;VLOOKUP(T$5,NFI,5,0),1,0)*Table_NFI[[#This Row],[Winter Items Other]],Table_NFI[Winter Items Other])</f>
        <v>0</v>
      </c>
      <c r="AL1064" s="352">
        <f>IF(NFI_Expiration=1,IF($A1064&lt;VLOOKUP(M$5,NFI,5,0),1,0)*Table_NFI[[#This Row],[Winter Blanket]],Table_NFI[[#This Row],[Winter Blanket]])</f>
        <v>0</v>
      </c>
      <c r="AM1064" s="352">
        <f>IF(Table_NFI[[#This Row],[Winter Clothes Adult]]+Table_NFI[[#This Row],[Winter Clothes Children]]+Table_NFI[[#This Row],[Winter Items Other]]+Table_NFI[[#This Row],[Winter Blanket]]&gt;0,1,0)</f>
        <v>0</v>
      </c>
      <c r="AN1064" s="392">
        <f>IF(NFI_Expiration=1,IF($A1064&lt;VLOOKUP(V$5,NFI,5,0),1,0)*Table_NFI[[#This Row],[Jerry Can]],Table_NFI[Jerry Can])</f>
        <v>0</v>
      </c>
      <c r="AO1064" s="540" t="str">
        <f>IFERROR(VLOOKUP(Table_NFI[[#This Row],[Camp Name]],CL,2,0),"")</f>
        <v>MMR001CMP016</v>
      </c>
      <c r="AP1064" s="535">
        <f ca="1">IF(Table_NFI[[#This Row],[Pcode]]="","",IF(OFFSET(CampList[Opening Date],MATCH(Table_NFI[[#This Row],[Pcode]],CampList[CP_Pcode],0)-1,0,1,1)&gt;=NFI_Monitor_Date,1,0))</f>
        <v>0</v>
      </c>
      <c r="AQ1064" s="540" t="str">
        <f>IFERROR(VLOOKUP(Table_NFI[[#This Row],[Camp Name]],CL,3,0),"")</f>
        <v>Open</v>
      </c>
      <c r="AR1064" s="352" t="str">
        <f ca="1">IF(Table_NFI[[#This Row],[Pcode]]="","",OFFSET(CampList[Priority],MATCH(Table_NFI[[#This Row],[Pcode]],CampList[CP_Pcode],0)-1,0,1,1))</f>
        <v>P4</v>
      </c>
      <c r="AS1064" s="351">
        <f>IFERROR(Table_NFI[[#This Row],[Kitchen Set]]/VLOOKUP(Table_NFI[[#This Row],[Camp Name]],CL,4,0),"")</f>
        <v>0.5</v>
      </c>
      <c r="AT1064" s="533" t="s">
        <v>1094</v>
      </c>
      <c r="AU1064" s="536"/>
    </row>
    <row r="1065" spans="1:47" s="546" customFormat="1" ht="21.75" customHeight="1" x14ac:dyDescent="0.25">
      <c r="A1065" s="355">
        <f t="shared" si="16"/>
        <v>57.333333333333336</v>
      </c>
      <c r="B1065" s="532">
        <v>40851</v>
      </c>
      <c r="C1065" s="533" t="s">
        <v>453</v>
      </c>
      <c r="D1065" s="534" t="s">
        <v>461</v>
      </c>
      <c r="E1065" s="533" t="s">
        <v>380</v>
      </c>
      <c r="F1065" s="348" t="s">
        <v>237</v>
      </c>
      <c r="G1065" s="348" t="s">
        <v>253</v>
      </c>
      <c r="H1065" s="349"/>
      <c r="I1065" s="349"/>
      <c r="J1065" s="349"/>
      <c r="K1065" s="349">
        <v>208</v>
      </c>
      <c r="L1065" s="350">
        <v>102</v>
      </c>
      <c r="M1065" s="350">
        <v>208</v>
      </c>
      <c r="N1065" s="350">
        <v>102</v>
      </c>
      <c r="O1065" s="350">
        <v>102</v>
      </c>
      <c r="P1065" s="352">
        <v>102</v>
      </c>
      <c r="Q1065" s="392">
        <v>102</v>
      </c>
      <c r="R1065" s="392"/>
      <c r="S1065" s="392"/>
      <c r="T1065" s="392"/>
      <c r="U1065" s="392"/>
      <c r="V1065" s="497"/>
      <c r="W1065" s="392"/>
      <c r="X1065" s="392"/>
      <c r="Y1065" s="352">
        <f>IF(NFI_Expiration=1,IF($A1065&lt;VLOOKUP(H$5,NFI,5,0),1,0)*Table_NFI[[#This Row],[Hygiene Kit]],Table_NFI[Hygiene Kit])</f>
        <v>0</v>
      </c>
      <c r="Z1065" s="352">
        <f>IF(NFI_Expiration=1,IF($A1065&lt;VLOOKUP(I$5,NFI,5,0),1,0)*Table_NFI[[#This Row],[NFI Core Kit]],Table_NFI[NFI Core Kit])</f>
        <v>0</v>
      </c>
      <c r="AA1065" s="352">
        <f>IF(NFI_Expiration=1,IF($A1065&lt;VLOOKUP(J$5,NFI,5,0),1,0)*Table_NFI[[#This Row],[Sanitary Kit]],Table_NFI[Sanitary Kit])</f>
        <v>0</v>
      </c>
      <c r="AB1065" s="352">
        <f>IF(NFI_Expiration=1,IF($A1065&lt;VLOOKUP(K$5,NFI,5,0),1,0)*Table_NFI[[#This Row],[Mosquito net]],Table_NFI[Mosquito net])</f>
        <v>0</v>
      </c>
      <c r="AC1065" s="352">
        <f>IF(NFI_Expiration=1,IF($A1065&lt;VLOOKUP(L$5,NFI,5,0),1,0)*Table_NFI[[#This Row],[Tarpaulin]],Table_NFI[[#This Row],[Tarpaulin]])</f>
        <v>0</v>
      </c>
      <c r="AD1065" s="352">
        <f>IF(NFI_Expiration=1,IF($A1065&lt;VLOOKUP(M$5,NFI,5,0),1,0)*Table_NFI[[#This Row],[Blanket]],Table_NFI[[#This Row],[Blanket]])</f>
        <v>0</v>
      </c>
      <c r="AE1065" s="352">
        <f>IF(NFI_Expiration=1,IF($A1065&lt;VLOOKUP(N$5,NFI,5,0),1,0)*Table_NFI[[#This Row],[Kitchen Set]],Table_NFI[Kitchen Set])</f>
        <v>0</v>
      </c>
      <c r="AF1065" s="352">
        <f>IF(NFI_Expiration=1,IF($A1065&lt;VLOOKUP(O$5,NFI,5,0),1,0)*Table_NFI[[#This Row],[Clothes Kit]],Table_NFI[Clothes Kit])</f>
        <v>0</v>
      </c>
      <c r="AG1065" s="352">
        <f>IF(NFI_Expiration=1,IF($A1065&lt;VLOOKUP(P$5,NFI,5,0),1,0)*Table_NFI[[#This Row],[Plastic Bucket]],Table_NFI[Plastic Bucket])</f>
        <v>0</v>
      </c>
      <c r="AH1065" s="352">
        <f>IF(NFI_Expiration=1,IF($A1065&lt;VLOOKUP(Q$5,NFI,5,0),1,0)*Table_NFI[[#This Row],[Plastic Mat]],Table_NFI[Plastic Mat])*IF(Table_NFI[[#This Row],[Distribution Date]]&gt;"2014-04-01",1,2.5)</f>
        <v>0</v>
      </c>
      <c r="AI1065" s="352">
        <f>IF(NFI_Expiration=1,IF($A1065&lt;VLOOKUP(R$5,NFI,5,0),1,0)*Table_NFI[[#This Row],[Winter Clothes Adult]],Table_NFI[Winter Clothes Adult])</f>
        <v>0</v>
      </c>
      <c r="AJ1065" s="352">
        <f>IF(NFI_Expiration=1,IF($A1065&lt;VLOOKUP(S$5,NFI,5,0),1,0)*Table_NFI[[#This Row],[Winter Clothes Children]],Table_NFI[Winter Clothes Children])</f>
        <v>0</v>
      </c>
      <c r="AK1065" s="352">
        <f>IF(NFI_Expiration=1,IF($A1065&lt;VLOOKUP(T$5,NFI,5,0),1,0)*Table_NFI[[#This Row],[Winter Items Other]],Table_NFI[Winter Items Other])</f>
        <v>0</v>
      </c>
      <c r="AL1065" s="352">
        <f>IF(NFI_Expiration=1,IF($A1065&lt;VLOOKUP(M$5,NFI,5,0),1,0)*Table_NFI[[#This Row],[Winter Blanket]],Table_NFI[[#This Row],[Winter Blanket]])</f>
        <v>0</v>
      </c>
      <c r="AM1065" s="352">
        <f>IF(Table_NFI[[#This Row],[Winter Clothes Adult]]+Table_NFI[[#This Row],[Winter Clothes Children]]+Table_NFI[[#This Row],[Winter Items Other]]+Table_NFI[[#This Row],[Winter Blanket]]&gt;0,1,0)</f>
        <v>0</v>
      </c>
      <c r="AN1065" s="392">
        <f>IF(NFI_Expiration=1,IF($A1065&lt;VLOOKUP(V$5,NFI,5,0),1,0)*Table_NFI[[#This Row],[Jerry Can]],Table_NFI[Jerry Can])</f>
        <v>0</v>
      </c>
      <c r="AO1065" s="540" t="str">
        <f>IFERROR(VLOOKUP(Table_NFI[[#This Row],[Camp Name]],CL,2,0),"")</f>
        <v>MMR001CMP018</v>
      </c>
      <c r="AP1065" s="535">
        <f ca="1">IF(Table_NFI[[#This Row],[Pcode]]="","",IF(OFFSET(CampList[Opening Date],MATCH(Table_NFI[[#This Row],[Pcode]],CampList[CP_Pcode],0)-1,0,1,1)&gt;=NFI_Monitor_Date,1,0))</f>
        <v>0</v>
      </c>
      <c r="AQ1065" s="540" t="str">
        <f>IFERROR(VLOOKUP(Table_NFI[[#This Row],[Camp Name]],CL,3,0),"")</f>
        <v>Open</v>
      </c>
      <c r="AR1065" s="352" t="str">
        <f ca="1">IF(Table_NFI[[#This Row],[Pcode]]="","",OFFSET(CampList[Priority],MATCH(Table_NFI[[#This Row],[Pcode]],CampList[CP_Pcode],0)-1,0,1,1))</f>
        <v>P4</v>
      </c>
      <c r="AS1065" s="351">
        <f>IFERROR(Table_NFI[[#This Row],[Kitchen Set]]/VLOOKUP(Table_NFI[[#This Row],[Camp Name]],CL,4,0),"")</f>
        <v>0.51515151515151514</v>
      </c>
      <c r="AT1065" s="533" t="s">
        <v>1094</v>
      </c>
      <c r="AU1065" s="536"/>
    </row>
    <row r="1066" spans="1:47" s="546" customFormat="1" ht="23.25" customHeight="1" x14ac:dyDescent="0.25">
      <c r="A1066" s="355">
        <f t="shared" si="16"/>
        <v>57.333333333333336</v>
      </c>
      <c r="B1066" s="532">
        <v>40851</v>
      </c>
      <c r="C1066" s="533" t="s">
        <v>453</v>
      </c>
      <c r="D1066" s="534" t="s">
        <v>461</v>
      </c>
      <c r="E1066" s="533" t="s">
        <v>380</v>
      </c>
      <c r="F1066" s="348" t="s">
        <v>237</v>
      </c>
      <c r="G1066" s="348" t="s">
        <v>267</v>
      </c>
      <c r="H1066" s="349"/>
      <c r="I1066" s="349"/>
      <c r="J1066" s="349"/>
      <c r="K1066" s="349">
        <v>10</v>
      </c>
      <c r="L1066" s="350">
        <v>6</v>
      </c>
      <c r="M1066" s="350">
        <v>10</v>
      </c>
      <c r="N1066" s="350">
        <v>6</v>
      </c>
      <c r="O1066" s="350">
        <v>6</v>
      </c>
      <c r="P1066" s="352">
        <v>6</v>
      </c>
      <c r="Q1066" s="392">
        <v>6</v>
      </c>
      <c r="R1066" s="392"/>
      <c r="S1066" s="392"/>
      <c r="T1066" s="392"/>
      <c r="U1066" s="392"/>
      <c r="V1066" s="497"/>
      <c r="W1066" s="392"/>
      <c r="X1066" s="392"/>
      <c r="Y1066" s="352">
        <f>IF(NFI_Expiration=1,IF($A1066&lt;VLOOKUP(H$5,NFI,5,0),1,0)*Table_NFI[[#This Row],[Hygiene Kit]],Table_NFI[Hygiene Kit])</f>
        <v>0</v>
      </c>
      <c r="Z1066" s="352">
        <f>IF(NFI_Expiration=1,IF($A1066&lt;VLOOKUP(I$5,NFI,5,0),1,0)*Table_NFI[[#This Row],[NFI Core Kit]],Table_NFI[NFI Core Kit])</f>
        <v>0</v>
      </c>
      <c r="AA1066" s="352">
        <f>IF(NFI_Expiration=1,IF($A1066&lt;VLOOKUP(J$5,NFI,5,0),1,0)*Table_NFI[[#This Row],[Sanitary Kit]],Table_NFI[Sanitary Kit])</f>
        <v>0</v>
      </c>
      <c r="AB1066" s="352">
        <f>IF(NFI_Expiration=1,IF($A1066&lt;VLOOKUP(K$5,NFI,5,0),1,0)*Table_NFI[[#This Row],[Mosquito net]],Table_NFI[Mosquito net])</f>
        <v>0</v>
      </c>
      <c r="AC1066" s="352">
        <f>IF(NFI_Expiration=1,IF($A1066&lt;VLOOKUP(L$5,NFI,5,0),1,0)*Table_NFI[[#This Row],[Tarpaulin]],Table_NFI[[#This Row],[Tarpaulin]])</f>
        <v>0</v>
      </c>
      <c r="AD1066" s="352">
        <f>IF(NFI_Expiration=1,IF($A1066&lt;VLOOKUP(M$5,NFI,5,0),1,0)*Table_NFI[[#This Row],[Blanket]],Table_NFI[[#This Row],[Blanket]])</f>
        <v>0</v>
      </c>
      <c r="AE1066" s="352">
        <f>IF(NFI_Expiration=1,IF($A1066&lt;VLOOKUP(N$5,NFI,5,0),1,0)*Table_NFI[[#This Row],[Kitchen Set]],Table_NFI[Kitchen Set])</f>
        <v>0</v>
      </c>
      <c r="AF1066" s="352">
        <f>IF(NFI_Expiration=1,IF($A1066&lt;VLOOKUP(O$5,NFI,5,0),1,0)*Table_NFI[[#This Row],[Clothes Kit]],Table_NFI[Clothes Kit])</f>
        <v>0</v>
      </c>
      <c r="AG1066" s="352">
        <f>IF(NFI_Expiration=1,IF($A1066&lt;VLOOKUP(P$5,NFI,5,0),1,0)*Table_NFI[[#This Row],[Plastic Bucket]],Table_NFI[Plastic Bucket])</f>
        <v>0</v>
      </c>
      <c r="AH1066" s="352">
        <f>IF(NFI_Expiration=1,IF($A1066&lt;VLOOKUP(Q$5,NFI,5,0),1,0)*Table_NFI[[#This Row],[Plastic Mat]],Table_NFI[Plastic Mat])*IF(Table_NFI[[#This Row],[Distribution Date]]&gt;"2014-04-01",1,2.5)</f>
        <v>0</v>
      </c>
      <c r="AI1066" s="352">
        <f>IF(NFI_Expiration=1,IF($A1066&lt;VLOOKUP(R$5,NFI,5,0),1,0)*Table_NFI[[#This Row],[Winter Clothes Adult]],Table_NFI[Winter Clothes Adult])</f>
        <v>0</v>
      </c>
      <c r="AJ1066" s="352">
        <f>IF(NFI_Expiration=1,IF($A1066&lt;VLOOKUP(S$5,NFI,5,0),1,0)*Table_NFI[[#This Row],[Winter Clothes Children]],Table_NFI[Winter Clothes Children])</f>
        <v>0</v>
      </c>
      <c r="AK1066" s="352">
        <f>IF(NFI_Expiration=1,IF($A1066&lt;VLOOKUP(T$5,NFI,5,0),1,0)*Table_NFI[[#This Row],[Winter Items Other]],Table_NFI[Winter Items Other])</f>
        <v>0</v>
      </c>
      <c r="AL1066" s="352">
        <f>IF(NFI_Expiration=1,IF($A1066&lt;VLOOKUP(M$5,NFI,5,0),1,0)*Table_NFI[[#This Row],[Winter Blanket]],Table_NFI[[#This Row],[Winter Blanket]])</f>
        <v>0</v>
      </c>
      <c r="AM1066" s="352">
        <f>IF(Table_NFI[[#This Row],[Winter Clothes Adult]]+Table_NFI[[#This Row],[Winter Clothes Children]]+Table_NFI[[#This Row],[Winter Items Other]]+Table_NFI[[#This Row],[Winter Blanket]]&gt;0,1,0)</f>
        <v>0</v>
      </c>
      <c r="AN1066" s="392">
        <f>IF(NFI_Expiration=1,IF($A1066&lt;VLOOKUP(V$5,NFI,5,0),1,0)*Table_NFI[[#This Row],[Jerry Can]],Table_NFI[Jerry Can])</f>
        <v>0</v>
      </c>
      <c r="AO1066" s="540" t="str">
        <f>IFERROR(VLOOKUP(Table_NFI[[#This Row],[Camp Name]],CL,2,0),"")</f>
        <v>MMR001CMP017</v>
      </c>
      <c r="AP1066" s="535">
        <f ca="1">IF(Table_NFI[[#This Row],[Pcode]]="","",IF(OFFSET(CampList[Opening Date],MATCH(Table_NFI[[#This Row],[Pcode]],CampList[CP_Pcode],0)-1,0,1,1)&gt;=NFI_Monitor_Date,1,0))</f>
        <v>0</v>
      </c>
      <c r="AQ1066" s="540" t="str">
        <f>IFERROR(VLOOKUP(Table_NFI[[#This Row],[Camp Name]],CL,3,0),"")</f>
        <v>Closed</v>
      </c>
      <c r="AR1066" s="352" t="str">
        <f ca="1">IF(Table_NFI[[#This Row],[Pcode]]="","",OFFSET(CampList[Priority],MATCH(Table_NFI[[#This Row],[Pcode]],CampList[CP_Pcode],0)-1,0,1,1))</f>
        <v>P4</v>
      </c>
      <c r="AS1066" s="351" t="str">
        <f>IFERROR(Table_NFI[[#This Row],[Kitchen Set]]/VLOOKUP(Table_NFI[[#This Row],[Camp Name]],CL,4,0),"")</f>
        <v/>
      </c>
      <c r="AT1066" s="533" t="s">
        <v>1094</v>
      </c>
      <c r="AU1066" s="536"/>
    </row>
    <row r="1067" spans="1:47" s="546" customFormat="1" ht="15.75" customHeight="1" x14ac:dyDescent="0.25">
      <c r="A1067" s="355">
        <f t="shared" si="16"/>
        <v>57.366666666666667</v>
      </c>
      <c r="B1067" s="532">
        <v>40850</v>
      </c>
      <c r="C1067" s="533" t="s">
        <v>453</v>
      </c>
      <c r="D1067" s="534" t="s">
        <v>507</v>
      </c>
      <c r="E1067" s="533" t="s">
        <v>380</v>
      </c>
      <c r="F1067" s="348" t="s">
        <v>237</v>
      </c>
      <c r="G1067" s="348" t="s">
        <v>253</v>
      </c>
      <c r="H1067" s="349"/>
      <c r="I1067" s="349"/>
      <c r="J1067" s="349"/>
      <c r="K1067" s="349">
        <v>106</v>
      </c>
      <c r="L1067" s="350">
        <v>52</v>
      </c>
      <c r="M1067" s="350">
        <v>106</v>
      </c>
      <c r="N1067" s="350">
        <v>52</v>
      </c>
      <c r="O1067" s="350">
        <v>52</v>
      </c>
      <c r="P1067" s="352">
        <v>52</v>
      </c>
      <c r="Q1067" s="392">
        <v>52</v>
      </c>
      <c r="R1067" s="392"/>
      <c r="S1067" s="392"/>
      <c r="T1067" s="392"/>
      <c r="U1067" s="392"/>
      <c r="V1067" s="497"/>
      <c r="W1067" s="392"/>
      <c r="X1067" s="392"/>
      <c r="Y1067" s="352">
        <f>IF(NFI_Expiration=1,IF($A1067&lt;VLOOKUP(H$5,NFI,5,0),1,0)*Table_NFI[[#This Row],[Hygiene Kit]],Table_NFI[Hygiene Kit])</f>
        <v>0</v>
      </c>
      <c r="Z1067" s="352">
        <f>IF(NFI_Expiration=1,IF($A1067&lt;VLOOKUP(I$5,NFI,5,0),1,0)*Table_NFI[[#This Row],[NFI Core Kit]],Table_NFI[NFI Core Kit])</f>
        <v>0</v>
      </c>
      <c r="AA1067" s="352">
        <f>IF(NFI_Expiration=1,IF($A1067&lt;VLOOKUP(J$5,NFI,5,0),1,0)*Table_NFI[[#This Row],[Sanitary Kit]],Table_NFI[Sanitary Kit])</f>
        <v>0</v>
      </c>
      <c r="AB1067" s="352">
        <f>IF(NFI_Expiration=1,IF($A1067&lt;VLOOKUP(K$5,NFI,5,0),1,0)*Table_NFI[[#This Row],[Mosquito net]],Table_NFI[Mosquito net])</f>
        <v>0</v>
      </c>
      <c r="AC1067" s="352">
        <f>IF(NFI_Expiration=1,IF($A1067&lt;VLOOKUP(L$5,NFI,5,0),1,0)*Table_NFI[[#This Row],[Tarpaulin]],Table_NFI[[#This Row],[Tarpaulin]])</f>
        <v>0</v>
      </c>
      <c r="AD1067" s="352">
        <f>IF(NFI_Expiration=1,IF($A1067&lt;VLOOKUP(M$5,NFI,5,0),1,0)*Table_NFI[[#This Row],[Blanket]],Table_NFI[[#This Row],[Blanket]])</f>
        <v>0</v>
      </c>
      <c r="AE1067" s="352">
        <f>IF(NFI_Expiration=1,IF($A1067&lt;VLOOKUP(N$5,NFI,5,0),1,0)*Table_NFI[[#This Row],[Kitchen Set]],Table_NFI[Kitchen Set])</f>
        <v>0</v>
      </c>
      <c r="AF1067" s="352">
        <f>IF(NFI_Expiration=1,IF($A1067&lt;VLOOKUP(O$5,NFI,5,0),1,0)*Table_NFI[[#This Row],[Clothes Kit]],Table_NFI[Clothes Kit])</f>
        <v>0</v>
      </c>
      <c r="AG1067" s="352">
        <f>IF(NFI_Expiration=1,IF($A1067&lt;VLOOKUP(P$5,NFI,5,0),1,0)*Table_NFI[[#This Row],[Plastic Bucket]],Table_NFI[Plastic Bucket])</f>
        <v>0</v>
      </c>
      <c r="AH1067" s="352">
        <f>IF(NFI_Expiration=1,IF($A1067&lt;VLOOKUP(Q$5,NFI,5,0),1,0)*Table_NFI[[#This Row],[Plastic Mat]],Table_NFI[Plastic Mat])*IF(Table_NFI[[#This Row],[Distribution Date]]&gt;"2014-04-01",1,2.5)</f>
        <v>0</v>
      </c>
      <c r="AI1067" s="352">
        <f>IF(NFI_Expiration=1,IF($A1067&lt;VLOOKUP(R$5,NFI,5,0),1,0)*Table_NFI[[#This Row],[Winter Clothes Adult]],Table_NFI[Winter Clothes Adult])</f>
        <v>0</v>
      </c>
      <c r="AJ1067" s="352">
        <f>IF(NFI_Expiration=1,IF($A1067&lt;VLOOKUP(S$5,NFI,5,0),1,0)*Table_NFI[[#This Row],[Winter Clothes Children]],Table_NFI[Winter Clothes Children])</f>
        <v>0</v>
      </c>
      <c r="AK1067" s="352">
        <f>IF(NFI_Expiration=1,IF($A1067&lt;VLOOKUP(T$5,NFI,5,0),1,0)*Table_NFI[[#This Row],[Winter Items Other]],Table_NFI[Winter Items Other])</f>
        <v>0</v>
      </c>
      <c r="AL1067" s="352">
        <f>IF(NFI_Expiration=1,IF($A1067&lt;VLOOKUP(M$5,NFI,5,0),1,0)*Table_NFI[[#This Row],[Winter Blanket]],Table_NFI[[#This Row],[Winter Blanket]])</f>
        <v>0</v>
      </c>
      <c r="AM1067" s="352">
        <f>IF(Table_NFI[[#This Row],[Winter Clothes Adult]]+Table_NFI[[#This Row],[Winter Clothes Children]]+Table_NFI[[#This Row],[Winter Items Other]]+Table_NFI[[#This Row],[Winter Blanket]]&gt;0,1,0)</f>
        <v>0</v>
      </c>
      <c r="AN1067" s="392">
        <f>IF(NFI_Expiration=1,IF($A1067&lt;VLOOKUP(V$5,NFI,5,0),1,0)*Table_NFI[[#This Row],[Jerry Can]],Table_NFI[Jerry Can])</f>
        <v>0</v>
      </c>
      <c r="AO1067" s="540" t="str">
        <f>IFERROR(VLOOKUP(Table_NFI[[#This Row],[Camp Name]],CL,2,0),"")</f>
        <v>MMR001CMP018</v>
      </c>
      <c r="AP1067" s="535">
        <f ca="1">IF(Table_NFI[[#This Row],[Pcode]]="","",IF(OFFSET(CampList[Opening Date],MATCH(Table_NFI[[#This Row],[Pcode]],CampList[CP_Pcode],0)-1,0,1,1)&gt;=NFI_Monitor_Date,1,0))</f>
        <v>0</v>
      </c>
      <c r="AQ1067" s="540" t="str">
        <f>IFERROR(VLOOKUP(Table_NFI[[#This Row],[Camp Name]],CL,3,0),"")</f>
        <v>Open</v>
      </c>
      <c r="AR1067" s="352" t="str">
        <f ca="1">IF(Table_NFI[[#This Row],[Pcode]]="","",OFFSET(CampList[Priority],MATCH(Table_NFI[[#This Row],[Pcode]],CampList[CP_Pcode],0)-1,0,1,1))</f>
        <v>P4</v>
      </c>
      <c r="AS1067" s="351">
        <f>IFERROR(Table_NFI[[#This Row],[Kitchen Set]]/VLOOKUP(Table_NFI[[#This Row],[Camp Name]],CL,4,0),"")</f>
        <v>0.26262626262626265</v>
      </c>
      <c r="AT1067" s="533" t="s">
        <v>1094</v>
      </c>
      <c r="AU1067" s="536"/>
    </row>
    <row r="1068" spans="1:47" s="546" customFormat="1" ht="15.75" customHeight="1" x14ac:dyDescent="0.25">
      <c r="A1068" s="355">
        <f t="shared" si="16"/>
        <v>57.366666666666667</v>
      </c>
      <c r="B1068" s="532">
        <v>40850</v>
      </c>
      <c r="C1068" s="533" t="s">
        <v>453</v>
      </c>
      <c r="D1068" s="534" t="s">
        <v>461</v>
      </c>
      <c r="E1068" s="533" t="s">
        <v>380</v>
      </c>
      <c r="F1068" s="348" t="s">
        <v>237</v>
      </c>
      <c r="G1068" s="348" t="s">
        <v>285</v>
      </c>
      <c r="H1068" s="349"/>
      <c r="I1068" s="349"/>
      <c r="J1068" s="349"/>
      <c r="K1068" s="349">
        <v>116</v>
      </c>
      <c r="L1068" s="350">
        <v>49</v>
      </c>
      <c r="M1068" s="350">
        <v>116</v>
      </c>
      <c r="N1068" s="350">
        <v>49</v>
      </c>
      <c r="O1068" s="350">
        <v>49</v>
      </c>
      <c r="P1068" s="352">
        <v>49</v>
      </c>
      <c r="Q1068" s="392">
        <v>49</v>
      </c>
      <c r="R1068" s="392"/>
      <c r="S1068" s="392"/>
      <c r="T1068" s="392"/>
      <c r="U1068" s="392"/>
      <c r="V1068" s="497"/>
      <c r="W1068" s="392"/>
      <c r="X1068" s="392"/>
      <c r="Y1068" s="352">
        <f>IF(NFI_Expiration=1,IF($A1068&lt;VLOOKUP(H$5,NFI,5,0),1,0)*Table_NFI[[#This Row],[Hygiene Kit]],Table_NFI[Hygiene Kit])</f>
        <v>0</v>
      </c>
      <c r="Z1068" s="352">
        <f>IF(NFI_Expiration=1,IF($A1068&lt;VLOOKUP(I$5,NFI,5,0),1,0)*Table_NFI[[#This Row],[NFI Core Kit]],Table_NFI[NFI Core Kit])</f>
        <v>0</v>
      </c>
      <c r="AA1068" s="352">
        <f>IF(NFI_Expiration=1,IF($A1068&lt;VLOOKUP(J$5,NFI,5,0),1,0)*Table_NFI[[#This Row],[Sanitary Kit]],Table_NFI[Sanitary Kit])</f>
        <v>0</v>
      </c>
      <c r="AB1068" s="352">
        <f>IF(NFI_Expiration=1,IF($A1068&lt;VLOOKUP(K$5,NFI,5,0),1,0)*Table_NFI[[#This Row],[Mosquito net]],Table_NFI[Mosquito net])</f>
        <v>0</v>
      </c>
      <c r="AC1068" s="352">
        <f>IF(NFI_Expiration=1,IF($A1068&lt;VLOOKUP(L$5,NFI,5,0),1,0)*Table_NFI[[#This Row],[Tarpaulin]],Table_NFI[[#This Row],[Tarpaulin]])</f>
        <v>0</v>
      </c>
      <c r="AD1068" s="352">
        <f>IF(NFI_Expiration=1,IF($A1068&lt;VLOOKUP(M$5,NFI,5,0),1,0)*Table_NFI[[#This Row],[Blanket]],Table_NFI[[#This Row],[Blanket]])</f>
        <v>0</v>
      </c>
      <c r="AE1068" s="352">
        <f>IF(NFI_Expiration=1,IF($A1068&lt;VLOOKUP(N$5,NFI,5,0),1,0)*Table_NFI[[#This Row],[Kitchen Set]],Table_NFI[Kitchen Set])</f>
        <v>0</v>
      </c>
      <c r="AF1068" s="352">
        <f>IF(NFI_Expiration=1,IF($A1068&lt;VLOOKUP(O$5,NFI,5,0),1,0)*Table_NFI[[#This Row],[Clothes Kit]],Table_NFI[Clothes Kit])</f>
        <v>0</v>
      </c>
      <c r="AG1068" s="352">
        <f>IF(NFI_Expiration=1,IF($A1068&lt;VLOOKUP(P$5,NFI,5,0),1,0)*Table_NFI[[#This Row],[Plastic Bucket]],Table_NFI[Plastic Bucket])</f>
        <v>0</v>
      </c>
      <c r="AH1068" s="352">
        <f>IF(NFI_Expiration=1,IF($A1068&lt;VLOOKUP(Q$5,NFI,5,0),1,0)*Table_NFI[[#This Row],[Plastic Mat]],Table_NFI[Plastic Mat])*IF(Table_NFI[[#This Row],[Distribution Date]]&gt;"2014-04-01",1,2.5)</f>
        <v>0</v>
      </c>
      <c r="AI1068" s="352">
        <f>IF(NFI_Expiration=1,IF($A1068&lt;VLOOKUP(R$5,NFI,5,0),1,0)*Table_NFI[[#This Row],[Winter Clothes Adult]],Table_NFI[Winter Clothes Adult])</f>
        <v>0</v>
      </c>
      <c r="AJ1068" s="352">
        <f>IF(NFI_Expiration=1,IF($A1068&lt;VLOOKUP(S$5,NFI,5,0),1,0)*Table_NFI[[#This Row],[Winter Clothes Children]],Table_NFI[Winter Clothes Children])</f>
        <v>0</v>
      </c>
      <c r="AK1068" s="352">
        <f>IF(NFI_Expiration=1,IF($A1068&lt;VLOOKUP(T$5,NFI,5,0),1,0)*Table_NFI[[#This Row],[Winter Items Other]],Table_NFI[Winter Items Other])</f>
        <v>0</v>
      </c>
      <c r="AL1068" s="352">
        <f>IF(NFI_Expiration=1,IF($A1068&lt;VLOOKUP(M$5,NFI,5,0),1,0)*Table_NFI[[#This Row],[Winter Blanket]],Table_NFI[[#This Row],[Winter Blanket]])</f>
        <v>0</v>
      </c>
      <c r="AM1068" s="352">
        <f>IF(Table_NFI[[#This Row],[Winter Clothes Adult]]+Table_NFI[[#This Row],[Winter Clothes Children]]+Table_NFI[[#This Row],[Winter Items Other]]+Table_NFI[[#This Row],[Winter Blanket]]&gt;0,1,0)</f>
        <v>0</v>
      </c>
      <c r="AN1068" s="392">
        <f>IF(NFI_Expiration=1,IF($A1068&lt;VLOOKUP(V$5,NFI,5,0),1,0)*Table_NFI[[#This Row],[Jerry Can]],Table_NFI[Jerry Can])</f>
        <v>0</v>
      </c>
      <c r="AO1068" s="540" t="str">
        <f>IFERROR(VLOOKUP(Table_NFI[[#This Row],[Camp Name]],CL,2,0),"")</f>
        <v>MMR001CMP014</v>
      </c>
      <c r="AP1068" s="535">
        <f ca="1">IF(Table_NFI[[#This Row],[Pcode]]="","",IF(OFFSET(CampList[Opening Date],MATCH(Table_NFI[[#This Row],[Pcode]],CampList[CP_Pcode],0)-1,0,1,1)&gt;=NFI_Monitor_Date,1,0))</f>
        <v>0</v>
      </c>
      <c r="AQ1068" s="540" t="str">
        <f>IFERROR(VLOOKUP(Table_NFI[[#This Row],[Camp Name]],CL,3,0),"")</f>
        <v>Open</v>
      </c>
      <c r="AR1068" s="352" t="str">
        <f ca="1">IF(Table_NFI[[#This Row],[Pcode]]="","",OFFSET(CampList[Priority],MATCH(Table_NFI[[#This Row],[Pcode]],CampList[CP_Pcode],0)-1,0,1,1))</f>
        <v>P4</v>
      </c>
      <c r="AS1068" s="351">
        <f>IFERROR(Table_NFI[[#This Row],[Kitchen Set]]/VLOOKUP(Table_NFI[[#This Row],[Camp Name]],CL,4,0),"")</f>
        <v>0.35507246376811596</v>
      </c>
      <c r="AT1068" s="533" t="s">
        <v>1094</v>
      </c>
      <c r="AU1068" s="536"/>
    </row>
    <row r="1069" spans="1:47" s="546" customFormat="1" ht="15.75" customHeight="1" x14ac:dyDescent="0.25">
      <c r="A1069" s="355">
        <f t="shared" si="16"/>
        <v>57.366666666666667</v>
      </c>
      <c r="B1069" s="532">
        <v>40850</v>
      </c>
      <c r="C1069" s="533" t="s">
        <v>453</v>
      </c>
      <c r="D1069" s="534" t="s">
        <v>507</v>
      </c>
      <c r="E1069" s="533" t="s">
        <v>380</v>
      </c>
      <c r="F1069" s="348" t="s">
        <v>237</v>
      </c>
      <c r="G1069" s="348" t="s">
        <v>281</v>
      </c>
      <c r="H1069" s="349"/>
      <c r="I1069" s="349"/>
      <c r="J1069" s="349"/>
      <c r="K1069" s="349">
        <v>18</v>
      </c>
      <c r="L1069" s="350">
        <v>8</v>
      </c>
      <c r="M1069" s="350">
        <v>18</v>
      </c>
      <c r="N1069" s="350">
        <v>8</v>
      </c>
      <c r="O1069" s="350">
        <v>8</v>
      </c>
      <c r="P1069" s="352">
        <v>8</v>
      </c>
      <c r="Q1069" s="392">
        <v>8</v>
      </c>
      <c r="R1069" s="392"/>
      <c r="S1069" s="392"/>
      <c r="T1069" s="392"/>
      <c r="U1069" s="392"/>
      <c r="V1069" s="497"/>
      <c r="W1069" s="392"/>
      <c r="X1069" s="392"/>
      <c r="Y1069" s="352">
        <f>IF(NFI_Expiration=1,IF($A1069&lt;VLOOKUP(H$5,NFI,5,0),1,0)*Table_NFI[[#This Row],[Hygiene Kit]],Table_NFI[Hygiene Kit])</f>
        <v>0</v>
      </c>
      <c r="Z1069" s="352">
        <f>IF(NFI_Expiration=1,IF($A1069&lt;VLOOKUP(I$5,NFI,5,0),1,0)*Table_NFI[[#This Row],[NFI Core Kit]],Table_NFI[NFI Core Kit])</f>
        <v>0</v>
      </c>
      <c r="AA1069" s="352">
        <f>IF(NFI_Expiration=1,IF($A1069&lt;VLOOKUP(J$5,NFI,5,0),1,0)*Table_NFI[[#This Row],[Sanitary Kit]],Table_NFI[Sanitary Kit])</f>
        <v>0</v>
      </c>
      <c r="AB1069" s="352">
        <f>IF(NFI_Expiration=1,IF($A1069&lt;VLOOKUP(K$5,NFI,5,0),1,0)*Table_NFI[[#This Row],[Mosquito net]],Table_NFI[Mosquito net])</f>
        <v>0</v>
      </c>
      <c r="AC1069" s="352">
        <f>IF(NFI_Expiration=1,IF($A1069&lt;VLOOKUP(L$5,NFI,5,0),1,0)*Table_NFI[[#This Row],[Tarpaulin]],Table_NFI[[#This Row],[Tarpaulin]])</f>
        <v>0</v>
      </c>
      <c r="AD1069" s="352">
        <f>IF(NFI_Expiration=1,IF($A1069&lt;VLOOKUP(M$5,NFI,5,0),1,0)*Table_NFI[[#This Row],[Blanket]],Table_NFI[[#This Row],[Blanket]])</f>
        <v>0</v>
      </c>
      <c r="AE1069" s="352">
        <f>IF(NFI_Expiration=1,IF($A1069&lt;VLOOKUP(N$5,NFI,5,0),1,0)*Table_NFI[[#This Row],[Kitchen Set]],Table_NFI[Kitchen Set])</f>
        <v>0</v>
      </c>
      <c r="AF1069" s="352">
        <f>IF(NFI_Expiration=1,IF($A1069&lt;VLOOKUP(O$5,NFI,5,0),1,0)*Table_NFI[[#This Row],[Clothes Kit]],Table_NFI[Clothes Kit])</f>
        <v>0</v>
      </c>
      <c r="AG1069" s="352">
        <f>IF(NFI_Expiration=1,IF($A1069&lt;VLOOKUP(P$5,NFI,5,0),1,0)*Table_NFI[[#This Row],[Plastic Bucket]],Table_NFI[Plastic Bucket])</f>
        <v>0</v>
      </c>
      <c r="AH1069" s="352">
        <f>IF(NFI_Expiration=1,IF($A1069&lt;VLOOKUP(Q$5,NFI,5,0),1,0)*Table_NFI[[#This Row],[Plastic Mat]],Table_NFI[Plastic Mat])*IF(Table_NFI[[#This Row],[Distribution Date]]&gt;"2014-04-01",1,2.5)</f>
        <v>0</v>
      </c>
      <c r="AI1069" s="352">
        <f>IF(NFI_Expiration=1,IF($A1069&lt;VLOOKUP(R$5,NFI,5,0),1,0)*Table_NFI[[#This Row],[Winter Clothes Adult]],Table_NFI[Winter Clothes Adult])</f>
        <v>0</v>
      </c>
      <c r="AJ1069" s="352">
        <f>IF(NFI_Expiration=1,IF($A1069&lt;VLOOKUP(S$5,NFI,5,0),1,0)*Table_NFI[[#This Row],[Winter Clothes Children]],Table_NFI[Winter Clothes Children])</f>
        <v>0</v>
      </c>
      <c r="AK1069" s="352">
        <f>IF(NFI_Expiration=1,IF($A1069&lt;VLOOKUP(T$5,NFI,5,0),1,0)*Table_NFI[[#This Row],[Winter Items Other]],Table_NFI[Winter Items Other])</f>
        <v>0</v>
      </c>
      <c r="AL1069" s="352">
        <f>IF(NFI_Expiration=1,IF($A1069&lt;VLOOKUP(M$5,NFI,5,0),1,0)*Table_NFI[[#This Row],[Winter Blanket]],Table_NFI[[#This Row],[Winter Blanket]])</f>
        <v>0</v>
      </c>
      <c r="AM1069" s="352">
        <f>IF(Table_NFI[[#This Row],[Winter Clothes Adult]]+Table_NFI[[#This Row],[Winter Clothes Children]]+Table_NFI[[#This Row],[Winter Items Other]]+Table_NFI[[#This Row],[Winter Blanket]]&gt;0,1,0)</f>
        <v>0</v>
      </c>
      <c r="AN1069" s="392">
        <f>IF(NFI_Expiration=1,IF($A1069&lt;VLOOKUP(V$5,NFI,5,0),1,0)*Table_NFI[[#This Row],[Jerry Can]],Table_NFI[Jerry Can])</f>
        <v>0</v>
      </c>
      <c r="AO1069" s="540" t="str">
        <f>IFERROR(VLOOKUP(Table_NFI[[#This Row],[Camp Name]],CL,2,0),"")</f>
        <v>MMR001CMP009</v>
      </c>
      <c r="AP1069" s="535">
        <f ca="1">IF(Table_NFI[[#This Row],[Pcode]]="","",IF(OFFSET(CampList[Opening Date],MATCH(Table_NFI[[#This Row],[Pcode]],CampList[CP_Pcode],0)-1,0,1,1)&gt;=NFI_Monitor_Date,1,0))</f>
        <v>0</v>
      </c>
      <c r="AQ1069" s="540" t="str">
        <f>IFERROR(VLOOKUP(Table_NFI[[#This Row],[Camp Name]],CL,3,0),"")</f>
        <v>Open</v>
      </c>
      <c r="AR1069" s="352" t="str">
        <f ca="1">IF(Table_NFI[[#This Row],[Pcode]]="","",OFFSET(CampList[Priority],MATCH(Table_NFI[[#This Row],[Pcode]],CampList[CP_Pcode],0)-1,0,1,1))</f>
        <v>P4</v>
      </c>
      <c r="AS1069" s="351">
        <f>IFERROR(Table_NFI[[#This Row],[Kitchen Set]]/VLOOKUP(Table_NFI[[#This Row],[Camp Name]],CL,4,0),"")</f>
        <v>8.98876404494382E-2</v>
      </c>
      <c r="AT1069" s="533" t="s">
        <v>1094</v>
      </c>
      <c r="AU1069" s="536"/>
    </row>
    <row r="1070" spans="1:47" s="546" customFormat="1" ht="15.75" customHeight="1" x14ac:dyDescent="0.25">
      <c r="A1070" s="355">
        <f t="shared" si="16"/>
        <v>57.366666666666667</v>
      </c>
      <c r="B1070" s="532">
        <v>40850</v>
      </c>
      <c r="C1070" s="533" t="s">
        <v>453</v>
      </c>
      <c r="D1070" s="534" t="s">
        <v>461</v>
      </c>
      <c r="E1070" s="533" t="s">
        <v>380</v>
      </c>
      <c r="F1070" s="348" t="s">
        <v>237</v>
      </c>
      <c r="G1070" s="348" t="s">
        <v>238</v>
      </c>
      <c r="H1070" s="349"/>
      <c r="I1070" s="349"/>
      <c r="J1070" s="349"/>
      <c r="K1070" s="349">
        <v>73</v>
      </c>
      <c r="L1070" s="350">
        <v>34</v>
      </c>
      <c r="M1070" s="350">
        <v>73</v>
      </c>
      <c r="N1070" s="350">
        <v>34</v>
      </c>
      <c r="O1070" s="350">
        <v>34</v>
      </c>
      <c r="P1070" s="352">
        <v>34</v>
      </c>
      <c r="Q1070" s="392">
        <v>34</v>
      </c>
      <c r="R1070" s="392"/>
      <c r="S1070" s="392"/>
      <c r="T1070" s="392"/>
      <c r="U1070" s="392"/>
      <c r="V1070" s="497"/>
      <c r="W1070" s="392"/>
      <c r="X1070" s="392"/>
      <c r="Y1070" s="352">
        <f>IF(NFI_Expiration=1,IF($A1070&lt;VLOOKUP(H$5,NFI,5,0),1,0)*Table_NFI[[#This Row],[Hygiene Kit]],Table_NFI[Hygiene Kit])</f>
        <v>0</v>
      </c>
      <c r="Z1070" s="352">
        <f>IF(NFI_Expiration=1,IF($A1070&lt;VLOOKUP(I$5,NFI,5,0),1,0)*Table_NFI[[#This Row],[NFI Core Kit]],Table_NFI[NFI Core Kit])</f>
        <v>0</v>
      </c>
      <c r="AA1070" s="352">
        <f>IF(NFI_Expiration=1,IF($A1070&lt;VLOOKUP(J$5,NFI,5,0),1,0)*Table_NFI[[#This Row],[Sanitary Kit]],Table_NFI[Sanitary Kit])</f>
        <v>0</v>
      </c>
      <c r="AB1070" s="352">
        <f>IF(NFI_Expiration=1,IF($A1070&lt;VLOOKUP(K$5,NFI,5,0),1,0)*Table_NFI[[#This Row],[Mosquito net]],Table_NFI[Mosquito net])</f>
        <v>0</v>
      </c>
      <c r="AC1070" s="352">
        <f>IF(NFI_Expiration=1,IF($A1070&lt;VLOOKUP(L$5,NFI,5,0),1,0)*Table_NFI[[#This Row],[Tarpaulin]],Table_NFI[[#This Row],[Tarpaulin]])</f>
        <v>0</v>
      </c>
      <c r="AD1070" s="352">
        <f>IF(NFI_Expiration=1,IF($A1070&lt;VLOOKUP(M$5,NFI,5,0),1,0)*Table_NFI[[#This Row],[Blanket]],Table_NFI[[#This Row],[Blanket]])</f>
        <v>0</v>
      </c>
      <c r="AE1070" s="352">
        <f>IF(NFI_Expiration=1,IF($A1070&lt;VLOOKUP(N$5,NFI,5,0),1,0)*Table_NFI[[#This Row],[Kitchen Set]],Table_NFI[Kitchen Set])</f>
        <v>0</v>
      </c>
      <c r="AF1070" s="352">
        <f>IF(NFI_Expiration=1,IF($A1070&lt;VLOOKUP(O$5,NFI,5,0),1,0)*Table_NFI[[#This Row],[Clothes Kit]],Table_NFI[Clothes Kit])</f>
        <v>0</v>
      </c>
      <c r="AG1070" s="352">
        <f>IF(NFI_Expiration=1,IF($A1070&lt;VLOOKUP(P$5,NFI,5,0),1,0)*Table_NFI[[#This Row],[Plastic Bucket]],Table_NFI[Plastic Bucket])</f>
        <v>0</v>
      </c>
      <c r="AH1070" s="352">
        <f>IF(NFI_Expiration=1,IF($A1070&lt;VLOOKUP(Q$5,NFI,5,0),1,0)*Table_NFI[[#This Row],[Plastic Mat]],Table_NFI[Plastic Mat])*IF(Table_NFI[[#This Row],[Distribution Date]]&gt;"2014-04-01",1,2.5)</f>
        <v>0</v>
      </c>
      <c r="AI1070" s="352">
        <f>IF(NFI_Expiration=1,IF($A1070&lt;VLOOKUP(R$5,NFI,5,0),1,0)*Table_NFI[[#This Row],[Winter Clothes Adult]],Table_NFI[Winter Clothes Adult])</f>
        <v>0</v>
      </c>
      <c r="AJ1070" s="352">
        <f>IF(NFI_Expiration=1,IF($A1070&lt;VLOOKUP(S$5,NFI,5,0),1,0)*Table_NFI[[#This Row],[Winter Clothes Children]],Table_NFI[Winter Clothes Children])</f>
        <v>0</v>
      </c>
      <c r="AK1070" s="352">
        <f>IF(NFI_Expiration=1,IF($A1070&lt;VLOOKUP(T$5,NFI,5,0),1,0)*Table_NFI[[#This Row],[Winter Items Other]],Table_NFI[Winter Items Other])</f>
        <v>0</v>
      </c>
      <c r="AL1070" s="352">
        <f>IF(NFI_Expiration=1,IF($A1070&lt;VLOOKUP(M$5,NFI,5,0),1,0)*Table_NFI[[#This Row],[Winter Blanket]],Table_NFI[[#This Row],[Winter Blanket]])</f>
        <v>0</v>
      </c>
      <c r="AM1070" s="352">
        <f>IF(Table_NFI[[#This Row],[Winter Clothes Adult]]+Table_NFI[[#This Row],[Winter Clothes Children]]+Table_NFI[[#This Row],[Winter Items Other]]+Table_NFI[[#This Row],[Winter Blanket]]&gt;0,1,0)</f>
        <v>0</v>
      </c>
      <c r="AN1070" s="392">
        <f>IF(NFI_Expiration=1,IF($A1070&lt;VLOOKUP(V$5,NFI,5,0),1,0)*Table_NFI[[#This Row],[Jerry Can]],Table_NFI[Jerry Can])</f>
        <v>0</v>
      </c>
      <c r="AO1070" s="540" t="str">
        <f>IFERROR(VLOOKUP(Table_NFI[[#This Row],[Camp Name]],CL,2,0),"")</f>
        <v>MMR001CMP001</v>
      </c>
      <c r="AP1070" s="535">
        <f ca="1">IF(Table_NFI[[#This Row],[Pcode]]="","",IF(OFFSET(CampList[Opening Date],MATCH(Table_NFI[[#This Row],[Pcode]],CampList[CP_Pcode],0)-1,0,1,1)&gt;=NFI_Monitor_Date,1,0))</f>
        <v>0</v>
      </c>
      <c r="AQ1070" s="540" t="str">
        <f>IFERROR(VLOOKUP(Table_NFI[[#This Row],[Camp Name]],CL,3,0),"")</f>
        <v>Open</v>
      </c>
      <c r="AR1070" s="352" t="str">
        <f ca="1">IF(Table_NFI[[#This Row],[Pcode]]="","",OFFSET(CampList[Priority],MATCH(Table_NFI[[#This Row],[Pcode]],CampList[CP_Pcode],0)-1,0,1,1))</f>
        <v>P4</v>
      </c>
      <c r="AS1070" s="351">
        <f>IFERROR(Table_NFI[[#This Row],[Kitchen Set]]/VLOOKUP(Table_NFI[[#This Row],[Camp Name]],CL,4,0),"")</f>
        <v>0.5074626865671642</v>
      </c>
      <c r="AT1070" s="533" t="s">
        <v>1094</v>
      </c>
      <c r="AU1070" s="536"/>
    </row>
    <row r="1071" spans="1:47" s="546" customFormat="1" ht="15.75" customHeight="1" x14ac:dyDescent="0.25">
      <c r="A1071" s="355">
        <f t="shared" si="16"/>
        <v>57.366666666666667</v>
      </c>
      <c r="B1071" s="532">
        <v>40850</v>
      </c>
      <c r="C1071" s="533" t="s">
        <v>453</v>
      </c>
      <c r="D1071" s="534" t="s">
        <v>507</v>
      </c>
      <c r="E1071" s="533" t="s">
        <v>380</v>
      </c>
      <c r="F1071" s="348" t="s">
        <v>237</v>
      </c>
      <c r="G1071" s="348" t="s">
        <v>249</v>
      </c>
      <c r="H1071" s="349"/>
      <c r="I1071" s="349"/>
      <c r="J1071" s="349"/>
      <c r="K1071" s="349">
        <v>18</v>
      </c>
      <c r="L1071" s="350">
        <v>8</v>
      </c>
      <c r="M1071" s="350">
        <v>18</v>
      </c>
      <c r="N1071" s="350">
        <v>8</v>
      </c>
      <c r="O1071" s="350">
        <v>8</v>
      </c>
      <c r="P1071" s="352">
        <v>8</v>
      </c>
      <c r="Q1071" s="392">
        <v>8</v>
      </c>
      <c r="R1071" s="392"/>
      <c r="S1071" s="392"/>
      <c r="T1071" s="392"/>
      <c r="U1071" s="392"/>
      <c r="V1071" s="497"/>
      <c r="W1071" s="392"/>
      <c r="X1071" s="392"/>
      <c r="Y1071" s="352">
        <f>IF(NFI_Expiration=1,IF($A1071&lt;VLOOKUP(H$5,NFI,5,0),1,0)*Table_NFI[[#This Row],[Hygiene Kit]],Table_NFI[Hygiene Kit])</f>
        <v>0</v>
      </c>
      <c r="Z1071" s="352">
        <f>IF(NFI_Expiration=1,IF($A1071&lt;VLOOKUP(I$5,NFI,5,0),1,0)*Table_NFI[[#This Row],[NFI Core Kit]],Table_NFI[NFI Core Kit])</f>
        <v>0</v>
      </c>
      <c r="AA1071" s="352">
        <f>IF(NFI_Expiration=1,IF($A1071&lt;VLOOKUP(J$5,NFI,5,0),1,0)*Table_NFI[[#This Row],[Sanitary Kit]],Table_NFI[Sanitary Kit])</f>
        <v>0</v>
      </c>
      <c r="AB1071" s="352">
        <f>IF(NFI_Expiration=1,IF($A1071&lt;VLOOKUP(K$5,NFI,5,0),1,0)*Table_NFI[[#This Row],[Mosquito net]],Table_NFI[Mosquito net])</f>
        <v>0</v>
      </c>
      <c r="AC1071" s="352">
        <f>IF(NFI_Expiration=1,IF($A1071&lt;VLOOKUP(L$5,NFI,5,0),1,0)*Table_NFI[[#This Row],[Tarpaulin]],Table_NFI[[#This Row],[Tarpaulin]])</f>
        <v>0</v>
      </c>
      <c r="AD1071" s="352">
        <f>IF(NFI_Expiration=1,IF($A1071&lt;VLOOKUP(M$5,NFI,5,0),1,0)*Table_NFI[[#This Row],[Blanket]],Table_NFI[[#This Row],[Blanket]])</f>
        <v>0</v>
      </c>
      <c r="AE1071" s="352">
        <f>IF(NFI_Expiration=1,IF($A1071&lt;VLOOKUP(N$5,NFI,5,0),1,0)*Table_NFI[[#This Row],[Kitchen Set]],Table_NFI[Kitchen Set])</f>
        <v>0</v>
      </c>
      <c r="AF1071" s="352">
        <f>IF(NFI_Expiration=1,IF($A1071&lt;VLOOKUP(O$5,NFI,5,0),1,0)*Table_NFI[[#This Row],[Clothes Kit]],Table_NFI[Clothes Kit])</f>
        <v>0</v>
      </c>
      <c r="AG1071" s="352">
        <f>IF(NFI_Expiration=1,IF($A1071&lt;VLOOKUP(P$5,NFI,5,0),1,0)*Table_NFI[[#This Row],[Plastic Bucket]],Table_NFI[Plastic Bucket])</f>
        <v>0</v>
      </c>
      <c r="AH1071" s="352">
        <f>IF(NFI_Expiration=1,IF($A1071&lt;VLOOKUP(Q$5,NFI,5,0),1,0)*Table_NFI[[#This Row],[Plastic Mat]],Table_NFI[Plastic Mat])*IF(Table_NFI[[#This Row],[Distribution Date]]&gt;"2014-04-01",1,2.5)</f>
        <v>0</v>
      </c>
      <c r="AI1071" s="352">
        <f>IF(NFI_Expiration=1,IF($A1071&lt;VLOOKUP(R$5,NFI,5,0),1,0)*Table_NFI[[#This Row],[Winter Clothes Adult]],Table_NFI[Winter Clothes Adult])</f>
        <v>0</v>
      </c>
      <c r="AJ1071" s="352">
        <f>IF(NFI_Expiration=1,IF($A1071&lt;VLOOKUP(S$5,NFI,5,0),1,0)*Table_NFI[[#This Row],[Winter Clothes Children]],Table_NFI[Winter Clothes Children])</f>
        <v>0</v>
      </c>
      <c r="AK1071" s="352">
        <f>IF(NFI_Expiration=1,IF($A1071&lt;VLOOKUP(T$5,NFI,5,0),1,0)*Table_NFI[[#This Row],[Winter Items Other]],Table_NFI[Winter Items Other])</f>
        <v>0</v>
      </c>
      <c r="AL1071" s="352">
        <f>IF(NFI_Expiration=1,IF($A1071&lt;VLOOKUP(M$5,NFI,5,0),1,0)*Table_NFI[[#This Row],[Winter Blanket]],Table_NFI[[#This Row],[Winter Blanket]])</f>
        <v>0</v>
      </c>
      <c r="AM1071" s="352">
        <f>IF(Table_NFI[[#This Row],[Winter Clothes Adult]]+Table_NFI[[#This Row],[Winter Clothes Children]]+Table_NFI[[#This Row],[Winter Items Other]]+Table_NFI[[#This Row],[Winter Blanket]]&gt;0,1,0)</f>
        <v>0</v>
      </c>
      <c r="AN1071" s="392">
        <f>IF(NFI_Expiration=1,IF($A1071&lt;VLOOKUP(V$5,NFI,5,0),1,0)*Table_NFI[[#This Row],[Jerry Can]],Table_NFI[Jerry Can])</f>
        <v>0</v>
      </c>
      <c r="AO1071" s="540" t="str">
        <f>IFERROR(VLOOKUP(Table_NFI[[#This Row],[Camp Name]],CL,2,0),"")</f>
        <v>MMR001CMP004</v>
      </c>
      <c r="AP1071" s="535">
        <f ca="1">IF(Table_NFI[[#This Row],[Pcode]]="","",IF(OFFSET(CampList[Opening Date],MATCH(Table_NFI[[#This Row],[Pcode]],CampList[CP_Pcode],0)-1,0,1,1)&gt;=NFI_Monitor_Date,1,0))</f>
        <v>0</v>
      </c>
      <c r="AQ1071" s="540" t="str">
        <f>IFERROR(VLOOKUP(Table_NFI[[#This Row],[Camp Name]],CL,3,0),"")</f>
        <v>Open</v>
      </c>
      <c r="AR1071" s="352" t="str">
        <f ca="1">IF(Table_NFI[[#This Row],[Pcode]]="","",OFFSET(CampList[Priority],MATCH(Table_NFI[[#This Row],[Pcode]],CampList[CP_Pcode],0)-1,0,1,1))</f>
        <v>P4</v>
      </c>
      <c r="AS1071" s="351">
        <f>IFERROR(Table_NFI[[#This Row],[Kitchen Set]]/VLOOKUP(Table_NFI[[#This Row],[Camp Name]],CL,4,0),"")</f>
        <v>1.3333333333333333</v>
      </c>
      <c r="AT1071" s="533" t="s">
        <v>1094</v>
      </c>
      <c r="AU1071" s="536"/>
    </row>
    <row r="1072" spans="1:47" s="546" customFormat="1" ht="15" customHeight="1" x14ac:dyDescent="0.25">
      <c r="A1072" s="355">
        <f t="shared" si="16"/>
        <v>57.4</v>
      </c>
      <c r="B1072" s="532">
        <v>40849</v>
      </c>
      <c r="C1072" s="533" t="s">
        <v>453</v>
      </c>
      <c r="D1072" s="534" t="s">
        <v>461</v>
      </c>
      <c r="E1072" s="533" t="s">
        <v>380</v>
      </c>
      <c r="F1072" s="348" t="s">
        <v>237</v>
      </c>
      <c r="G1072" s="348" t="s">
        <v>243</v>
      </c>
      <c r="H1072" s="349"/>
      <c r="I1072" s="349"/>
      <c r="J1072" s="349"/>
      <c r="K1072" s="349">
        <v>0</v>
      </c>
      <c r="L1072" s="350">
        <v>5</v>
      </c>
      <c r="M1072" s="350">
        <v>0</v>
      </c>
      <c r="N1072" s="350">
        <v>5</v>
      </c>
      <c r="O1072" s="350">
        <v>5</v>
      </c>
      <c r="P1072" s="352">
        <v>5</v>
      </c>
      <c r="Q1072" s="392">
        <v>5</v>
      </c>
      <c r="R1072" s="392"/>
      <c r="S1072" s="392"/>
      <c r="T1072" s="392"/>
      <c r="U1072" s="392"/>
      <c r="V1072" s="497"/>
      <c r="W1072" s="392"/>
      <c r="X1072" s="392"/>
      <c r="Y1072" s="352">
        <f>IF(NFI_Expiration=1,IF($A1072&lt;VLOOKUP(H$5,NFI,5,0),1,0)*Table_NFI[[#This Row],[Hygiene Kit]],Table_NFI[Hygiene Kit])</f>
        <v>0</v>
      </c>
      <c r="Z1072" s="352">
        <f>IF(NFI_Expiration=1,IF($A1072&lt;VLOOKUP(I$5,NFI,5,0),1,0)*Table_NFI[[#This Row],[NFI Core Kit]],Table_NFI[NFI Core Kit])</f>
        <v>0</v>
      </c>
      <c r="AA1072" s="352">
        <f>IF(NFI_Expiration=1,IF($A1072&lt;VLOOKUP(J$5,NFI,5,0),1,0)*Table_NFI[[#This Row],[Sanitary Kit]],Table_NFI[Sanitary Kit])</f>
        <v>0</v>
      </c>
      <c r="AB1072" s="352">
        <f>IF(NFI_Expiration=1,IF($A1072&lt;VLOOKUP(K$5,NFI,5,0),1,0)*Table_NFI[[#This Row],[Mosquito net]],Table_NFI[Mosquito net])</f>
        <v>0</v>
      </c>
      <c r="AC1072" s="352">
        <f>IF(NFI_Expiration=1,IF($A1072&lt;VLOOKUP(L$5,NFI,5,0),1,0)*Table_NFI[[#This Row],[Tarpaulin]],Table_NFI[[#This Row],[Tarpaulin]])</f>
        <v>0</v>
      </c>
      <c r="AD1072" s="352">
        <f>IF(NFI_Expiration=1,IF($A1072&lt;VLOOKUP(M$5,NFI,5,0),1,0)*Table_NFI[[#This Row],[Blanket]],Table_NFI[[#This Row],[Blanket]])</f>
        <v>0</v>
      </c>
      <c r="AE1072" s="352">
        <f>IF(NFI_Expiration=1,IF($A1072&lt;VLOOKUP(N$5,NFI,5,0),1,0)*Table_NFI[[#This Row],[Kitchen Set]],Table_NFI[Kitchen Set])</f>
        <v>0</v>
      </c>
      <c r="AF1072" s="352">
        <f>IF(NFI_Expiration=1,IF($A1072&lt;VLOOKUP(O$5,NFI,5,0),1,0)*Table_NFI[[#This Row],[Clothes Kit]],Table_NFI[Clothes Kit])</f>
        <v>0</v>
      </c>
      <c r="AG1072" s="352">
        <f>IF(NFI_Expiration=1,IF($A1072&lt;VLOOKUP(P$5,NFI,5,0),1,0)*Table_NFI[[#This Row],[Plastic Bucket]],Table_NFI[Plastic Bucket])</f>
        <v>0</v>
      </c>
      <c r="AH1072" s="352">
        <f>IF(NFI_Expiration=1,IF($A1072&lt;VLOOKUP(Q$5,NFI,5,0),1,0)*Table_NFI[[#This Row],[Plastic Mat]],Table_NFI[Plastic Mat])*IF(Table_NFI[[#This Row],[Distribution Date]]&gt;"2014-04-01",1,2.5)</f>
        <v>0</v>
      </c>
      <c r="AI1072" s="352">
        <f>IF(NFI_Expiration=1,IF($A1072&lt;VLOOKUP(R$5,NFI,5,0),1,0)*Table_NFI[[#This Row],[Winter Clothes Adult]],Table_NFI[Winter Clothes Adult])</f>
        <v>0</v>
      </c>
      <c r="AJ1072" s="352">
        <f>IF(NFI_Expiration=1,IF($A1072&lt;VLOOKUP(S$5,NFI,5,0),1,0)*Table_NFI[[#This Row],[Winter Clothes Children]],Table_NFI[Winter Clothes Children])</f>
        <v>0</v>
      </c>
      <c r="AK1072" s="352">
        <f>IF(NFI_Expiration=1,IF($A1072&lt;VLOOKUP(T$5,NFI,5,0),1,0)*Table_NFI[[#This Row],[Winter Items Other]],Table_NFI[Winter Items Other])</f>
        <v>0</v>
      </c>
      <c r="AL1072" s="352">
        <f>IF(NFI_Expiration=1,IF($A1072&lt;VLOOKUP(M$5,NFI,5,0),1,0)*Table_NFI[[#This Row],[Winter Blanket]],Table_NFI[[#This Row],[Winter Blanket]])</f>
        <v>0</v>
      </c>
      <c r="AM1072" s="352">
        <f>IF(Table_NFI[[#This Row],[Winter Clothes Adult]]+Table_NFI[[#This Row],[Winter Clothes Children]]+Table_NFI[[#This Row],[Winter Items Other]]+Table_NFI[[#This Row],[Winter Blanket]]&gt;0,1,0)</f>
        <v>0</v>
      </c>
      <c r="AN1072" s="392">
        <f>IF(NFI_Expiration=1,IF($A1072&lt;VLOOKUP(V$5,NFI,5,0),1,0)*Table_NFI[[#This Row],[Jerry Can]],Table_NFI[Jerry Can])</f>
        <v>0</v>
      </c>
      <c r="AO1072" s="540" t="str">
        <f>IFERROR(VLOOKUP(Table_NFI[[#This Row],[Camp Name]],CL,2,0),"")</f>
        <v>MMR001CMP012</v>
      </c>
      <c r="AP1072" s="535">
        <f ca="1">IF(Table_NFI[[#This Row],[Pcode]]="","",IF(OFFSET(CampList[Opening Date],MATCH(Table_NFI[[#This Row],[Pcode]],CampList[CP_Pcode],0)-1,0,1,1)&gt;=NFI_Monitor_Date,1,0))</f>
        <v>0</v>
      </c>
      <c r="AQ1072" s="540" t="str">
        <f>IFERROR(VLOOKUP(Table_NFI[[#This Row],[Camp Name]],CL,3,0),"")</f>
        <v>Open</v>
      </c>
      <c r="AR1072" s="352" t="str">
        <f ca="1">IF(Table_NFI[[#This Row],[Pcode]]="","",OFFSET(CampList[Priority],MATCH(Table_NFI[[#This Row],[Pcode]],CampList[CP_Pcode],0)-1,0,1,1))</f>
        <v>P4</v>
      </c>
      <c r="AS1072" s="351">
        <f>IFERROR(Table_NFI[[#This Row],[Kitchen Set]]/VLOOKUP(Table_NFI[[#This Row],[Camp Name]],CL,4,0),"")</f>
        <v>0.83333333333333337</v>
      </c>
      <c r="AT1072" s="533" t="s">
        <v>1094</v>
      </c>
      <c r="AU1072" s="536"/>
    </row>
    <row r="1073" spans="1:47" s="546" customFormat="1" ht="15.75" customHeight="1" x14ac:dyDescent="0.25">
      <c r="A1073" s="355">
        <f t="shared" si="16"/>
        <v>57.4</v>
      </c>
      <c r="B1073" s="532">
        <v>40849</v>
      </c>
      <c r="C1073" s="533" t="s">
        <v>453</v>
      </c>
      <c r="D1073" s="534" t="s">
        <v>461</v>
      </c>
      <c r="E1073" s="533" t="s">
        <v>380</v>
      </c>
      <c r="F1073" s="348" t="s">
        <v>237</v>
      </c>
      <c r="G1073" s="348" t="s">
        <v>245</v>
      </c>
      <c r="H1073" s="349"/>
      <c r="I1073" s="349"/>
      <c r="J1073" s="349"/>
      <c r="K1073" s="349">
        <v>0</v>
      </c>
      <c r="L1073" s="350">
        <v>6</v>
      </c>
      <c r="M1073" s="350">
        <v>0</v>
      </c>
      <c r="N1073" s="350">
        <v>6</v>
      </c>
      <c r="O1073" s="350">
        <v>6</v>
      </c>
      <c r="P1073" s="352">
        <v>6</v>
      </c>
      <c r="Q1073" s="392">
        <v>6</v>
      </c>
      <c r="R1073" s="392"/>
      <c r="S1073" s="392"/>
      <c r="T1073" s="392"/>
      <c r="U1073" s="392"/>
      <c r="V1073" s="497"/>
      <c r="W1073" s="392"/>
      <c r="X1073" s="392"/>
      <c r="Y1073" s="352">
        <f>IF(NFI_Expiration=1,IF($A1073&lt;VLOOKUP(H$5,NFI,5,0),1,0)*Table_NFI[[#This Row],[Hygiene Kit]],Table_NFI[Hygiene Kit])</f>
        <v>0</v>
      </c>
      <c r="Z1073" s="352">
        <f>IF(NFI_Expiration=1,IF($A1073&lt;VLOOKUP(I$5,NFI,5,0),1,0)*Table_NFI[[#This Row],[NFI Core Kit]],Table_NFI[NFI Core Kit])</f>
        <v>0</v>
      </c>
      <c r="AA1073" s="352">
        <f>IF(NFI_Expiration=1,IF($A1073&lt;VLOOKUP(J$5,NFI,5,0),1,0)*Table_NFI[[#This Row],[Sanitary Kit]],Table_NFI[Sanitary Kit])</f>
        <v>0</v>
      </c>
      <c r="AB1073" s="352">
        <f>IF(NFI_Expiration=1,IF($A1073&lt;VLOOKUP(K$5,NFI,5,0),1,0)*Table_NFI[[#This Row],[Mosquito net]],Table_NFI[Mosquito net])</f>
        <v>0</v>
      </c>
      <c r="AC1073" s="352">
        <f>IF(NFI_Expiration=1,IF($A1073&lt;VLOOKUP(L$5,NFI,5,0),1,0)*Table_NFI[[#This Row],[Tarpaulin]],Table_NFI[[#This Row],[Tarpaulin]])</f>
        <v>0</v>
      </c>
      <c r="AD1073" s="352">
        <f>IF(NFI_Expiration=1,IF($A1073&lt;VLOOKUP(M$5,NFI,5,0),1,0)*Table_NFI[[#This Row],[Blanket]],Table_NFI[[#This Row],[Blanket]])</f>
        <v>0</v>
      </c>
      <c r="AE1073" s="352">
        <f>IF(NFI_Expiration=1,IF($A1073&lt;VLOOKUP(N$5,NFI,5,0),1,0)*Table_NFI[[#This Row],[Kitchen Set]],Table_NFI[Kitchen Set])</f>
        <v>0</v>
      </c>
      <c r="AF1073" s="352">
        <f>IF(NFI_Expiration=1,IF($A1073&lt;VLOOKUP(O$5,NFI,5,0),1,0)*Table_NFI[[#This Row],[Clothes Kit]],Table_NFI[Clothes Kit])</f>
        <v>0</v>
      </c>
      <c r="AG1073" s="352">
        <f>IF(NFI_Expiration=1,IF($A1073&lt;VLOOKUP(P$5,NFI,5,0),1,0)*Table_NFI[[#This Row],[Plastic Bucket]],Table_NFI[Plastic Bucket])</f>
        <v>0</v>
      </c>
      <c r="AH1073" s="352">
        <f>IF(NFI_Expiration=1,IF($A1073&lt;VLOOKUP(Q$5,NFI,5,0),1,0)*Table_NFI[[#This Row],[Plastic Mat]],Table_NFI[Plastic Mat])*IF(Table_NFI[[#This Row],[Distribution Date]]&gt;"2014-04-01",1,2.5)</f>
        <v>0</v>
      </c>
      <c r="AI1073" s="352">
        <f>IF(NFI_Expiration=1,IF($A1073&lt;VLOOKUP(R$5,NFI,5,0),1,0)*Table_NFI[[#This Row],[Winter Clothes Adult]],Table_NFI[Winter Clothes Adult])</f>
        <v>0</v>
      </c>
      <c r="AJ1073" s="352">
        <f>IF(NFI_Expiration=1,IF($A1073&lt;VLOOKUP(S$5,NFI,5,0),1,0)*Table_NFI[[#This Row],[Winter Clothes Children]],Table_NFI[Winter Clothes Children])</f>
        <v>0</v>
      </c>
      <c r="AK1073" s="352">
        <f>IF(NFI_Expiration=1,IF($A1073&lt;VLOOKUP(T$5,NFI,5,0),1,0)*Table_NFI[[#This Row],[Winter Items Other]],Table_NFI[Winter Items Other])</f>
        <v>0</v>
      </c>
      <c r="AL1073" s="352">
        <f>IF(NFI_Expiration=1,IF($A1073&lt;VLOOKUP(M$5,NFI,5,0),1,0)*Table_NFI[[#This Row],[Winter Blanket]],Table_NFI[[#This Row],[Winter Blanket]])</f>
        <v>0</v>
      </c>
      <c r="AM1073" s="352">
        <f>IF(Table_NFI[[#This Row],[Winter Clothes Adult]]+Table_NFI[[#This Row],[Winter Clothes Children]]+Table_NFI[[#This Row],[Winter Items Other]]+Table_NFI[[#This Row],[Winter Blanket]]&gt;0,1,0)</f>
        <v>0</v>
      </c>
      <c r="AN1073" s="392">
        <f>IF(NFI_Expiration=1,IF($A1073&lt;VLOOKUP(V$5,NFI,5,0),1,0)*Table_NFI[[#This Row],[Jerry Can]],Table_NFI[Jerry Can])</f>
        <v>0</v>
      </c>
      <c r="AO1073" s="540" t="str">
        <f>IFERROR(VLOOKUP(Table_NFI[[#This Row],[Camp Name]],CL,2,0),"")</f>
        <v>MMR001CMP010</v>
      </c>
      <c r="AP1073" s="535">
        <f ca="1">IF(Table_NFI[[#This Row],[Pcode]]="","",IF(OFFSET(CampList[Opening Date],MATCH(Table_NFI[[#This Row],[Pcode]],CampList[CP_Pcode],0)-1,0,1,1)&gt;=NFI_Monitor_Date,1,0))</f>
        <v>0</v>
      </c>
      <c r="AQ1073" s="540" t="str">
        <f>IFERROR(VLOOKUP(Table_NFI[[#This Row],[Camp Name]],CL,3,0),"")</f>
        <v>Open</v>
      </c>
      <c r="AR1073" s="352" t="str">
        <f ca="1">IF(Table_NFI[[#This Row],[Pcode]]="","",OFFSET(CampList[Priority],MATCH(Table_NFI[[#This Row],[Pcode]],CampList[CP_Pcode],0)-1,0,1,1))</f>
        <v>P4</v>
      </c>
      <c r="AS1073" s="351">
        <f>IFERROR(Table_NFI[[#This Row],[Kitchen Set]]/VLOOKUP(Table_NFI[[#This Row],[Camp Name]],CL,4,0),"")</f>
        <v>1</v>
      </c>
      <c r="AT1073" s="533" t="s">
        <v>1094</v>
      </c>
      <c r="AU1073" s="536"/>
    </row>
    <row r="1074" spans="1:47" s="546" customFormat="1" ht="15.75" customHeight="1" x14ac:dyDescent="0.25">
      <c r="A1074" s="355">
        <f t="shared" si="16"/>
        <v>57.4</v>
      </c>
      <c r="B1074" s="532">
        <v>40849</v>
      </c>
      <c r="C1074" s="533" t="s">
        <v>453</v>
      </c>
      <c r="D1074" s="534" t="s">
        <v>461</v>
      </c>
      <c r="E1074" s="533" t="s">
        <v>380</v>
      </c>
      <c r="F1074" s="348" t="s">
        <v>237</v>
      </c>
      <c r="G1074" s="348" t="s">
        <v>247</v>
      </c>
      <c r="H1074" s="349"/>
      <c r="I1074" s="349"/>
      <c r="J1074" s="349"/>
      <c r="K1074" s="349">
        <v>39</v>
      </c>
      <c r="L1074" s="350">
        <v>8</v>
      </c>
      <c r="M1074" s="350">
        <v>39</v>
      </c>
      <c r="N1074" s="350">
        <v>8</v>
      </c>
      <c r="O1074" s="350">
        <v>8</v>
      </c>
      <c r="P1074" s="352">
        <v>8</v>
      </c>
      <c r="Q1074" s="392">
        <v>8</v>
      </c>
      <c r="R1074" s="392"/>
      <c r="S1074" s="392"/>
      <c r="T1074" s="392"/>
      <c r="U1074" s="392"/>
      <c r="V1074" s="497"/>
      <c r="W1074" s="392"/>
      <c r="X1074" s="392"/>
      <c r="Y1074" s="352">
        <f>IF(NFI_Expiration=1,IF($A1074&lt;VLOOKUP(H$5,NFI,5,0),1,0)*Table_NFI[[#This Row],[Hygiene Kit]],Table_NFI[Hygiene Kit])</f>
        <v>0</v>
      </c>
      <c r="Z1074" s="352">
        <f>IF(NFI_Expiration=1,IF($A1074&lt;VLOOKUP(I$5,NFI,5,0),1,0)*Table_NFI[[#This Row],[NFI Core Kit]],Table_NFI[NFI Core Kit])</f>
        <v>0</v>
      </c>
      <c r="AA1074" s="352">
        <f>IF(NFI_Expiration=1,IF($A1074&lt;VLOOKUP(J$5,NFI,5,0),1,0)*Table_NFI[[#This Row],[Sanitary Kit]],Table_NFI[Sanitary Kit])</f>
        <v>0</v>
      </c>
      <c r="AB1074" s="352">
        <f>IF(NFI_Expiration=1,IF($A1074&lt;VLOOKUP(K$5,NFI,5,0),1,0)*Table_NFI[[#This Row],[Mosquito net]],Table_NFI[Mosquito net])</f>
        <v>0</v>
      </c>
      <c r="AC1074" s="352">
        <f>IF(NFI_Expiration=1,IF($A1074&lt;VLOOKUP(L$5,NFI,5,0),1,0)*Table_NFI[[#This Row],[Tarpaulin]],Table_NFI[[#This Row],[Tarpaulin]])</f>
        <v>0</v>
      </c>
      <c r="AD1074" s="352">
        <f>IF(NFI_Expiration=1,IF($A1074&lt;VLOOKUP(M$5,NFI,5,0),1,0)*Table_NFI[[#This Row],[Blanket]],Table_NFI[[#This Row],[Blanket]])</f>
        <v>0</v>
      </c>
      <c r="AE1074" s="352">
        <f>IF(NFI_Expiration=1,IF($A1074&lt;VLOOKUP(N$5,NFI,5,0),1,0)*Table_NFI[[#This Row],[Kitchen Set]],Table_NFI[Kitchen Set])</f>
        <v>0</v>
      </c>
      <c r="AF1074" s="352">
        <f>IF(NFI_Expiration=1,IF($A1074&lt;VLOOKUP(O$5,NFI,5,0),1,0)*Table_NFI[[#This Row],[Clothes Kit]],Table_NFI[Clothes Kit])</f>
        <v>0</v>
      </c>
      <c r="AG1074" s="352">
        <f>IF(NFI_Expiration=1,IF($A1074&lt;VLOOKUP(P$5,NFI,5,0),1,0)*Table_NFI[[#This Row],[Plastic Bucket]],Table_NFI[Plastic Bucket])</f>
        <v>0</v>
      </c>
      <c r="AH1074" s="352">
        <f>IF(NFI_Expiration=1,IF($A1074&lt;VLOOKUP(Q$5,NFI,5,0),1,0)*Table_NFI[[#This Row],[Plastic Mat]],Table_NFI[Plastic Mat])*IF(Table_NFI[[#This Row],[Distribution Date]]&gt;"2014-04-01",1,2.5)</f>
        <v>0</v>
      </c>
      <c r="AI1074" s="352">
        <f>IF(NFI_Expiration=1,IF($A1074&lt;VLOOKUP(R$5,NFI,5,0),1,0)*Table_NFI[[#This Row],[Winter Clothes Adult]],Table_NFI[Winter Clothes Adult])</f>
        <v>0</v>
      </c>
      <c r="AJ1074" s="352">
        <f>IF(NFI_Expiration=1,IF($A1074&lt;VLOOKUP(S$5,NFI,5,0),1,0)*Table_NFI[[#This Row],[Winter Clothes Children]],Table_NFI[Winter Clothes Children])</f>
        <v>0</v>
      </c>
      <c r="AK1074" s="352">
        <f>IF(NFI_Expiration=1,IF($A1074&lt;VLOOKUP(T$5,NFI,5,0),1,0)*Table_NFI[[#This Row],[Winter Items Other]],Table_NFI[Winter Items Other])</f>
        <v>0</v>
      </c>
      <c r="AL1074" s="352">
        <f>IF(NFI_Expiration=1,IF($A1074&lt;VLOOKUP(M$5,NFI,5,0),1,0)*Table_NFI[[#This Row],[Winter Blanket]],Table_NFI[[#This Row],[Winter Blanket]])</f>
        <v>0</v>
      </c>
      <c r="AM1074" s="352">
        <f>IF(Table_NFI[[#This Row],[Winter Clothes Adult]]+Table_NFI[[#This Row],[Winter Clothes Children]]+Table_NFI[[#This Row],[Winter Items Other]]+Table_NFI[[#This Row],[Winter Blanket]]&gt;0,1,0)</f>
        <v>0</v>
      </c>
      <c r="AN1074" s="392">
        <f>IF(NFI_Expiration=1,IF($A1074&lt;VLOOKUP(V$5,NFI,5,0),1,0)*Table_NFI[[#This Row],[Jerry Can]],Table_NFI[Jerry Can])</f>
        <v>0</v>
      </c>
      <c r="AO1074" s="540" t="str">
        <f>IFERROR(VLOOKUP(Table_NFI[[#This Row],[Camp Name]],CL,2,0),"")</f>
        <v>MMR001CMP011</v>
      </c>
      <c r="AP1074" s="535">
        <f ca="1">IF(Table_NFI[[#This Row],[Pcode]]="","",IF(OFFSET(CampList[Opening Date],MATCH(Table_NFI[[#This Row],[Pcode]],CampList[CP_Pcode],0)-1,0,1,1)&gt;=NFI_Monitor_Date,1,0))</f>
        <v>0</v>
      </c>
      <c r="AQ1074" s="540" t="str">
        <f>IFERROR(VLOOKUP(Table_NFI[[#This Row],[Camp Name]],CL,3,0),"")</f>
        <v>Open</v>
      </c>
      <c r="AR1074" s="352" t="str">
        <f ca="1">IF(Table_NFI[[#This Row],[Pcode]]="","",OFFSET(CampList[Priority],MATCH(Table_NFI[[#This Row],[Pcode]],CampList[CP_Pcode],0)-1,0,1,1))</f>
        <v>P4</v>
      </c>
      <c r="AS1074" s="351">
        <f>IFERROR(Table_NFI[[#This Row],[Kitchen Set]]/VLOOKUP(Table_NFI[[#This Row],[Camp Name]],CL,4,0),"")</f>
        <v>0.18181818181818182</v>
      </c>
      <c r="AT1074" s="533" t="s">
        <v>1094</v>
      </c>
      <c r="AU1074" s="536"/>
    </row>
    <row r="1075" spans="1:47" s="546" customFormat="1" ht="15.75" customHeight="1" x14ac:dyDescent="0.25">
      <c r="A1075" s="355">
        <f t="shared" si="16"/>
        <v>57.4</v>
      </c>
      <c r="B1075" s="532">
        <v>40849</v>
      </c>
      <c r="C1075" s="533" t="s">
        <v>453</v>
      </c>
      <c r="D1075" s="534" t="s">
        <v>461</v>
      </c>
      <c r="E1075" s="533" t="s">
        <v>380</v>
      </c>
      <c r="F1075" s="348" t="s">
        <v>237</v>
      </c>
      <c r="G1075" s="348" t="s">
        <v>261</v>
      </c>
      <c r="H1075" s="349"/>
      <c r="I1075" s="349"/>
      <c r="J1075" s="349"/>
      <c r="K1075" s="349">
        <v>112</v>
      </c>
      <c r="L1075" s="350">
        <v>68</v>
      </c>
      <c r="M1075" s="350">
        <v>112</v>
      </c>
      <c r="N1075" s="350">
        <v>68</v>
      </c>
      <c r="O1075" s="350">
        <v>68</v>
      </c>
      <c r="P1075" s="352">
        <v>68</v>
      </c>
      <c r="Q1075" s="392">
        <v>68</v>
      </c>
      <c r="R1075" s="392"/>
      <c r="S1075" s="392"/>
      <c r="T1075" s="392"/>
      <c r="U1075" s="392"/>
      <c r="V1075" s="497"/>
      <c r="W1075" s="392"/>
      <c r="X1075" s="392"/>
      <c r="Y1075" s="352">
        <f>IF(NFI_Expiration=1,IF($A1075&lt;VLOOKUP(H$5,NFI,5,0),1,0)*Table_NFI[[#This Row],[Hygiene Kit]],Table_NFI[Hygiene Kit])</f>
        <v>0</v>
      </c>
      <c r="Z1075" s="352">
        <f>IF(NFI_Expiration=1,IF($A1075&lt;VLOOKUP(I$5,NFI,5,0),1,0)*Table_NFI[[#This Row],[NFI Core Kit]],Table_NFI[NFI Core Kit])</f>
        <v>0</v>
      </c>
      <c r="AA1075" s="352">
        <f>IF(NFI_Expiration=1,IF($A1075&lt;VLOOKUP(J$5,NFI,5,0),1,0)*Table_NFI[[#This Row],[Sanitary Kit]],Table_NFI[Sanitary Kit])</f>
        <v>0</v>
      </c>
      <c r="AB1075" s="352">
        <f>IF(NFI_Expiration=1,IF($A1075&lt;VLOOKUP(K$5,NFI,5,0),1,0)*Table_NFI[[#This Row],[Mosquito net]],Table_NFI[Mosquito net])</f>
        <v>0</v>
      </c>
      <c r="AC1075" s="352">
        <f>IF(NFI_Expiration=1,IF($A1075&lt;VLOOKUP(L$5,NFI,5,0),1,0)*Table_NFI[[#This Row],[Tarpaulin]],Table_NFI[[#This Row],[Tarpaulin]])</f>
        <v>0</v>
      </c>
      <c r="AD1075" s="352">
        <f>IF(NFI_Expiration=1,IF($A1075&lt;VLOOKUP(M$5,NFI,5,0),1,0)*Table_NFI[[#This Row],[Blanket]],Table_NFI[[#This Row],[Blanket]])</f>
        <v>0</v>
      </c>
      <c r="AE1075" s="352">
        <f>IF(NFI_Expiration=1,IF($A1075&lt;VLOOKUP(N$5,NFI,5,0),1,0)*Table_NFI[[#This Row],[Kitchen Set]],Table_NFI[Kitchen Set])</f>
        <v>0</v>
      </c>
      <c r="AF1075" s="352">
        <f>IF(NFI_Expiration=1,IF($A1075&lt;VLOOKUP(O$5,NFI,5,0),1,0)*Table_NFI[[#This Row],[Clothes Kit]],Table_NFI[Clothes Kit])</f>
        <v>0</v>
      </c>
      <c r="AG1075" s="352">
        <f>IF(NFI_Expiration=1,IF($A1075&lt;VLOOKUP(P$5,NFI,5,0),1,0)*Table_NFI[[#This Row],[Plastic Bucket]],Table_NFI[Plastic Bucket])</f>
        <v>0</v>
      </c>
      <c r="AH1075" s="352">
        <f>IF(NFI_Expiration=1,IF($A1075&lt;VLOOKUP(Q$5,NFI,5,0),1,0)*Table_NFI[[#This Row],[Plastic Mat]],Table_NFI[Plastic Mat])*IF(Table_NFI[[#This Row],[Distribution Date]]&gt;"2014-04-01",1,2.5)</f>
        <v>0</v>
      </c>
      <c r="AI1075" s="352">
        <f>IF(NFI_Expiration=1,IF($A1075&lt;VLOOKUP(R$5,NFI,5,0),1,0)*Table_NFI[[#This Row],[Winter Clothes Adult]],Table_NFI[Winter Clothes Adult])</f>
        <v>0</v>
      </c>
      <c r="AJ1075" s="352">
        <f>IF(NFI_Expiration=1,IF($A1075&lt;VLOOKUP(S$5,NFI,5,0),1,0)*Table_NFI[[#This Row],[Winter Clothes Children]],Table_NFI[Winter Clothes Children])</f>
        <v>0</v>
      </c>
      <c r="AK1075" s="352">
        <f>IF(NFI_Expiration=1,IF($A1075&lt;VLOOKUP(T$5,NFI,5,0),1,0)*Table_NFI[[#This Row],[Winter Items Other]],Table_NFI[Winter Items Other])</f>
        <v>0</v>
      </c>
      <c r="AL1075" s="352">
        <f>IF(NFI_Expiration=1,IF($A1075&lt;VLOOKUP(M$5,NFI,5,0),1,0)*Table_NFI[[#This Row],[Winter Blanket]],Table_NFI[[#This Row],[Winter Blanket]])</f>
        <v>0</v>
      </c>
      <c r="AM1075" s="352">
        <f>IF(Table_NFI[[#This Row],[Winter Clothes Adult]]+Table_NFI[[#This Row],[Winter Clothes Children]]+Table_NFI[[#This Row],[Winter Items Other]]+Table_NFI[[#This Row],[Winter Blanket]]&gt;0,1,0)</f>
        <v>0</v>
      </c>
      <c r="AN1075" s="392">
        <f>IF(NFI_Expiration=1,IF($A1075&lt;VLOOKUP(V$5,NFI,5,0),1,0)*Table_NFI[[#This Row],[Jerry Can]],Table_NFI[Jerry Can])</f>
        <v>0</v>
      </c>
      <c r="AO1075" s="540" t="str">
        <f>IFERROR(VLOOKUP(Table_NFI[[#This Row],[Camp Name]],CL,2,0),"")</f>
        <v>MMR001CMP008</v>
      </c>
      <c r="AP1075" s="535">
        <f ca="1">IF(Table_NFI[[#This Row],[Pcode]]="","",IF(OFFSET(CampList[Opening Date],MATCH(Table_NFI[[#This Row],[Pcode]],CampList[CP_Pcode],0)-1,0,1,1)&gt;=NFI_Monitor_Date,1,0))</f>
        <v>0</v>
      </c>
      <c r="AQ1075" s="540" t="str">
        <f>IFERROR(VLOOKUP(Table_NFI[[#This Row],[Camp Name]],CL,3,0),"")</f>
        <v>Open</v>
      </c>
      <c r="AR1075" s="352" t="str">
        <f ca="1">IF(Table_NFI[[#This Row],[Pcode]]="","",OFFSET(CampList[Priority],MATCH(Table_NFI[[#This Row],[Pcode]],CampList[CP_Pcode],0)-1,0,1,1))</f>
        <v>P4</v>
      </c>
      <c r="AS1075" s="351">
        <f>IFERROR(Table_NFI[[#This Row],[Kitchen Set]]/VLOOKUP(Table_NFI[[#This Row],[Camp Name]],CL,4,0),"")</f>
        <v>0.68686868686868685</v>
      </c>
      <c r="AT1075" s="533" t="s">
        <v>1094</v>
      </c>
      <c r="AU1075" s="536"/>
    </row>
    <row r="1076" spans="1:47" s="546" customFormat="1" ht="15.75" customHeight="1" x14ac:dyDescent="0.25">
      <c r="A1076" s="355">
        <f t="shared" si="16"/>
        <v>57.4</v>
      </c>
      <c r="B1076" s="532">
        <v>40849</v>
      </c>
      <c r="C1076" s="533" t="s">
        <v>453</v>
      </c>
      <c r="D1076" s="533" t="s">
        <v>461</v>
      </c>
      <c r="E1076" s="533" t="s">
        <v>380</v>
      </c>
      <c r="F1076" s="348" t="s">
        <v>237</v>
      </c>
      <c r="G1076" s="348" t="s">
        <v>277</v>
      </c>
      <c r="H1076" s="349"/>
      <c r="I1076" s="349"/>
      <c r="J1076" s="349"/>
      <c r="K1076" s="349">
        <v>219</v>
      </c>
      <c r="L1076" s="350">
        <v>117</v>
      </c>
      <c r="M1076" s="350">
        <v>219</v>
      </c>
      <c r="N1076" s="350">
        <v>117</v>
      </c>
      <c r="O1076" s="350">
        <v>117</v>
      </c>
      <c r="P1076" s="352">
        <v>117</v>
      </c>
      <c r="Q1076" s="392">
        <v>117</v>
      </c>
      <c r="R1076" s="392"/>
      <c r="S1076" s="392"/>
      <c r="T1076" s="392"/>
      <c r="U1076" s="392"/>
      <c r="V1076" s="497"/>
      <c r="W1076" s="392"/>
      <c r="X1076" s="392"/>
      <c r="Y1076" s="352">
        <f>IF(NFI_Expiration=1,IF($A1076&lt;VLOOKUP(H$5,NFI,5,0),1,0)*Table_NFI[[#This Row],[Hygiene Kit]],Table_NFI[Hygiene Kit])</f>
        <v>0</v>
      </c>
      <c r="Z1076" s="352">
        <f>IF(NFI_Expiration=1,IF($A1076&lt;VLOOKUP(I$5,NFI,5,0),1,0)*Table_NFI[[#This Row],[NFI Core Kit]],Table_NFI[NFI Core Kit])</f>
        <v>0</v>
      </c>
      <c r="AA1076" s="352">
        <f>IF(NFI_Expiration=1,IF($A1076&lt;VLOOKUP(J$5,NFI,5,0),1,0)*Table_NFI[[#This Row],[Sanitary Kit]],Table_NFI[Sanitary Kit])</f>
        <v>0</v>
      </c>
      <c r="AB1076" s="352">
        <f>IF(NFI_Expiration=1,IF($A1076&lt;VLOOKUP(K$5,NFI,5,0),1,0)*Table_NFI[[#This Row],[Mosquito net]],Table_NFI[Mosquito net])</f>
        <v>0</v>
      </c>
      <c r="AC1076" s="352">
        <f>IF(NFI_Expiration=1,IF($A1076&lt;VLOOKUP(L$5,NFI,5,0),1,0)*Table_NFI[[#This Row],[Tarpaulin]],Table_NFI[[#This Row],[Tarpaulin]])</f>
        <v>0</v>
      </c>
      <c r="AD1076" s="352">
        <f>IF(NFI_Expiration=1,IF($A1076&lt;VLOOKUP(M$5,NFI,5,0),1,0)*Table_NFI[[#This Row],[Blanket]],Table_NFI[[#This Row],[Blanket]])</f>
        <v>0</v>
      </c>
      <c r="AE1076" s="352">
        <f>IF(NFI_Expiration=1,IF($A1076&lt;VLOOKUP(N$5,NFI,5,0),1,0)*Table_NFI[[#This Row],[Kitchen Set]],Table_NFI[Kitchen Set])</f>
        <v>0</v>
      </c>
      <c r="AF1076" s="352">
        <f>IF(NFI_Expiration=1,IF($A1076&lt;VLOOKUP(O$5,NFI,5,0),1,0)*Table_NFI[[#This Row],[Clothes Kit]],Table_NFI[Clothes Kit])</f>
        <v>0</v>
      </c>
      <c r="AG1076" s="352">
        <f>IF(NFI_Expiration=1,IF($A1076&lt;VLOOKUP(P$5,NFI,5,0),1,0)*Table_NFI[[#This Row],[Plastic Bucket]],Table_NFI[Plastic Bucket])</f>
        <v>0</v>
      </c>
      <c r="AH1076" s="352">
        <f>IF(NFI_Expiration=1,IF($A1076&lt;VLOOKUP(Q$5,NFI,5,0),1,0)*Table_NFI[[#This Row],[Plastic Mat]],Table_NFI[Plastic Mat])*IF(Table_NFI[[#This Row],[Distribution Date]]&gt;"2014-04-01",1,2.5)</f>
        <v>0</v>
      </c>
      <c r="AI1076" s="352">
        <f>IF(NFI_Expiration=1,IF($A1076&lt;VLOOKUP(R$5,NFI,5,0),1,0)*Table_NFI[[#This Row],[Winter Clothes Adult]],Table_NFI[Winter Clothes Adult])</f>
        <v>0</v>
      </c>
      <c r="AJ1076" s="352">
        <f>IF(NFI_Expiration=1,IF($A1076&lt;VLOOKUP(S$5,NFI,5,0),1,0)*Table_NFI[[#This Row],[Winter Clothes Children]],Table_NFI[Winter Clothes Children])</f>
        <v>0</v>
      </c>
      <c r="AK1076" s="352">
        <f>IF(NFI_Expiration=1,IF($A1076&lt;VLOOKUP(T$5,NFI,5,0),1,0)*Table_NFI[[#This Row],[Winter Items Other]],Table_NFI[Winter Items Other])</f>
        <v>0</v>
      </c>
      <c r="AL1076" s="352">
        <f>IF(NFI_Expiration=1,IF($A1076&lt;VLOOKUP(M$5,NFI,5,0),1,0)*Table_NFI[[#This Row],[Winter Blanket]],Table_NFI[[#This Row],[Winter Blanket]])</f>
        <v>0</v>
      </c>
      <c r="AM1076" s="352">
        <f>IF(Table_NFI[[#This Row],[Winter Clothes Adult]]+Table_NFI[[#This Row],[Winter Clothes Children]]+Table_NFI[[#This Row],[Winter Items Other]]+Table_NFI[[#This Row],[Winter Blanket]]&gt;0,1,0)</f>
        <v>0</v>
      </c>
      <c r="AN1076" s="392">
        <f>IF(NFI_Expiration=1,IF($A1076&lt;VLOOKUP(V$5,NFI,5,0),1,0)*Table_NFI[[#This Row],[Jerry Can]],Table_NFI[Jerry Can])</f>
        <v>0</v>
      </c>
      <c r="AO1076" s="540" t="str">
        <f>IFERROR(VLOOKUP(Table_NFI[[#This Row],[Camp Name]],CL,2,0),"")</f>
        <v>MMR001CMP006</v>
      </c>
      <c r="AP1076" s="535">
        <f ca="1">IF(Table_NFI[[#This Row],[Pcode]]="","",IF(OFFSET(CampList[Opening Date],MATCH(Table_NFI[[#This Row],[Pcode]],CampList[CP_Pcode],0)-1,0,1,1)&gt;=NFI_Monitor_Date,1,0))</f>
        <v>0</v>
      </c>
      <c r="AQ1076" s="540" t="str">
        <f>IFERROR(VLOOKUP(Table_NFI[[#This Row],[Camp Name]],CL,3,0),"")</f>
        <v>Open</v>
      </c>
      <c r="AR1076" s="352" t="str">
        <f ca="1">IF(Table_NFI[[#This Row],[Pcode]]="","",OFFSET(CampList[Priority],MATCH(Table_NFI[[#This Row],[Pcode]],CampList[CP_Pcode],0)-1,0,1,1))</f>
        <v>P4</v>
      </c>
      <c r="AS1076" s="351">
        <f>IFERROR(Table_NFI[[#This Row],[Kitchen Set]]/VLOOKUP(Table_NFI[[#This Row],[Camp Name]],CL,4,0),"")</f>
        <v>1.3</v>
      </c>
      <c r="AT1076" s="533" t="s">
        <v>1094</v>
      </c>
      <c r="AU1076" s="536"/>
    </row>
    <row r="1077" spans="1:47" s="546" customFormat="1" ht="15.75" customHeight="1" x14ac:dyDescent="0.25">
      <c r="A1077" s="355">
        <f t="shared" si="16"/>
        <v>57.4</v>
      </c>
      <c r="B1077" s="532">
        <v>40849</v>
      </c>
      <c r="C1077" s="533" t="s">
        <v>453</v>
      </c>
      <c r="D1077" s="534" t="s">
        <v>461</v>
      </c>
      <c r="E1077" s="533" t="s">
        <v>380</v>
      </c>
      <c r="F1077" s="348" t="s">
        <v>237</v>
      </c>
      <c r="G1077" s="348" t="s">
        <v>279</v>
      </c>
      <c r="H1077" s="349"/>
      <c r="I1077" s="349"/>
      <c r="J1077" s="349"/>
      <c r="K1077" s="349">
        <v>2</v>
      </c>
      <c r="L1077" s="350">
        <v>1</v>
      </c>
      <c r="M1077" s="350">
        <v>2</v>
      </c>
      <c r="N1077" s="350">
        <v>1</v>
      </c>
      <c r="O1077" s="350">
        <v>1</v>
      </c>
      <c r="P1077" s="352">
        <v>1</v>
      </c>
      <c r="Q1077" s="392">
        <v>1</v>
      </c>
      <c r="R1077" s="392"/>
      <c r="S1077" s="392"/>
      <c r="T1077" s="392"/>
      <c r="U1077" s="392"/>
      <c r="V1077" s="497"/>
      <c r="W1077" s="392"/>
      <c r="X1077" s="392"/>
      <c r="Y1077" s="352">
        <f>IF(NFI_Expiration=1,IF($A1077&lt;VLOOKUP(H$5,NFI,5,0),1,0)*Table_NFI[[#This Row],[Hygiene Kit]],Table_NFI[Hygiene Kit])</f>
        <v>0</v>
      </c>
      <c r="Z1077" s="352">
        <f>IF(NFI_Expiration=1,IF($A1077&lt;VLOOKUP(I$5,NFI,5,0),1,0)*Table_NFI[[#This Row],[NFI Core Kit]],Table_NFI[NFI Core Kit])</f>
        <v>0</v>
      </c>
      <c r="AA1077" s="352">
        <f>IF(NFI_Expiration=1,IF($A1077&lt;VLOOKUP(J$5,NFI,5,0),1,0)*Table_NFI[[#This Row],[Sanitary Kit]],Table_NFI[Sanitary Kit])</f>
        <v>0</v>
      </c>
      <c r="AB1077" s="352">
        <f>IF(NFI_Expiration=1,IF($A1077&lt;VLOOKUP(K$5,NFI,5,0),1,0)*Table_NFI[[#This Row],[Mosquito net]],Table_NFI[Mosquito net])</f>
        <v>0</v>
      </c>
      <c r="AC1077" s="352">
        <f>IF(NFI_Expiration=1,IF($A1077&lt;VLOOKUP(L$5,NFI,5,0),1,0)*Table_NFI[[#This Row],[Tarpaulin]],Table_NFI[[#This Row],[Tarpaulin]])</f>
        <v>0</v>
      </c>
      <c r="AD1077" s="352">
        <f>IF(NFI_Expiration=1,IF($A1077&lt;VLOOKUP(M$5,NFI,5,0),1,0)*Table_NFI[[#This Row],[Blanket]],Table_NFI[[#This Row],[Blanket]])</f>
        <v>0</v>
      </c>
      <c r="AE1077" s="352">
        <f>IF(NFI_Expiration=1,IF($A1077&lt;VLOOKUP(N$5,NFI,5,0),1,0)*Table_NFI[[#This Row],[Kitchen Set]],Table_NFI[Kitchen Set])</f>
        <v>0</v>
      </c>
      <c r="AF1077" s="352">
        <f>IF(NFI_Expiration=1,IF($A1077&lt;VLOOKUP(O$5,NFI,5,0),1,0)*Table_NFI[[#This Row],[Clothes Kit]],Table_NFI[Clothes Kit])</f>
        <v>0</v>
      </c>
      <c r="AG1077" s="352">
        <f>IF(NFI_Expiration=1,IF($A1077&lt;VLOOKUP(P$5,NFI,5,0),1,0)*Table_NFI[[#This Row],[Plastic Bucket]],Table_NFI[Plastic Bucket])</f>
        <v>0</v>
      </c>
      <c r="AH1077" s="352">
        <f>IF(NFI_Expiration=1,IF($A1077&lt;VLOOKUP(Q$5,NFI,5,0),1,0)*Table_NFI[[#This Row],[Plastic Mat]],Table_NFI[Plastic Mat])*IF(Table_NFI[[#This Row],[Distribution Date]]&gt;"2014-04-01",1,2.5)</f>
        <v>0</v>
      </c>
      <c r="AI1077" s="352">
        <f>IF(NFI_Expiration=1,IF($A1077&lt;VLOOKUP(R$5,NFI,5,0),1,0)*Table_NFI[[#This Row],[Winter Clothes Adult]],Table_NFI[Winter Clothes Adult])</f>
        <v>0</v>
      </c>
      <c r="AJ1077" s="352">
        <f>IF(NFI_Expiration=1,IF($A1077&lt;VLOOKUP(S$5,NFI,5,0),1,0)*Table_NFI[[#This Row],[Winter Clothes Children]],Table_NFI[Winter Clothes Children])</f>
        <v>0</v>
      </c>
      <c r="AK1077" s="352">
        <f>IF(NFI_Expiration=1,IF($A1077&lt;VLOOKUP(T$5,NFI,5,0),1,0)*Table_NFI[[#This Row],[Winter Items Other]],Table_NFI[Winter Items Other])</f>
        <v>0</v>
      </c>
      <c r="AL1077" s="352">
        <f>IF(NFI_Expiration=1,IF($A1077&lt;VLOOKUP(M$5,NFI,5,0),1,0)*Table_NFI[[#This Row],[Winter Blanket]],Table_NFI[[#This Row],[Winter Blanket]])</f>
        <v>0</v>
      </c>
      <c r="AM1077" s="352">
        <f>IF(Table_NFI[[#This Row],[Winter Clothes Adult]]+Table_NFI[[#This Row],[Winter Clothes Children]]+Table_NFI[[#This Row],[Winter Items Other]]+Table_NFI[[#This Row],[Winter Blanket]]&gt;0,1,0)</f>
        <v>0</v>
      </c>
      <c r="AN1077" s="392">
        <f>IF(NFI_Expiration=1,IF($A1077&lt;VLOOKUP(V$5,NFI,5,0),1,0)*Table_NFI[[#This Row],[Jerry Can]],Table_NFI[Jerry Can])</f>
        <v>0</v>
      </c>
      <c r="AO1077" s="540" t="str">
        <f>IFERROR(VLOOKUP(Table_NFI[[#This Row],[Camp Name]],CL,2,0),"")</f>
        <v>MMR001CMP007</v>
      </c>
      <c r="AP1077" s="535">
        <f ca="1">IF(Table_NFI[[#This Row],[Pcode]]="","",IF(OFFSET(CampList[Opening Date],MATCH(Table_NFI[[#This Row],[Pcode]],CampList[CP_Pcode],0)-1,0,1,1)&gt;=NFI_Monitor_Date,1,0))</f>
        <v>0</v>
      </c>
      <c r="AQ1077" s="540" t="str">
        <f>IFERROR(VLOOKUP(Table_NFI[[#This Row],[Camp Name]],CL,3,0),"")</f>
        <v>Open</v>
      </c>
      <c r="AR1077" s="352" t="str">
        <f ca="1">IF(Table_NFI[[#This Row],[Pcode]]="","",OFFSET(CampList[Priority],MATCH(Table_NFI[[#This Row],[Pcode]],CampList[CP_Pcode],0)-1,0,1,1))</f>
        <v>P4</v>
      </c>
      <c r="AS1077" s="351">
        <f>IFERROR(Table_NFI[[#This Row],[Kitchen Set]]/VLOOKUP(Table_NFI[[#This Row],[Camp Name]],CL,4,0),"")</f>
        <v>4.5454545454545456E-2</v>
      </c>
      <c r="AT1077" s="533" t="s">
        <v>1094</v>
      </c>
      <c r="AU1077" s="536"/>
    </row>
    <row r="1078" spans="1:47" s="546" customFormat="1" ht="15.75" hidden="1" customHeight="1" x14ac:dyDescent="0.25">
      <c r="A1078" s="355" t="str">
        <f t="shared" ref="A1078:A1111" si="17">IF(ISBLANK(B1078),"",(Report_Date-B1078)/30)</f>
        <v/>
      </c>
      <c r="B1078" s="532"/>
      <c r="C1078" s="538"/>
      <c r="D1078" s="538"/>
      <c r="E1078" s="538"/>
      <c r="F1078" s="538"/>
      <c r="G1078" s="538"/>
      <c r="H1078" s="350"/>
      <c r="I1078" s="350"/>
      <c r="J1078" s="350"/>
      <c r="K1078" s="350"/>
      <c r="L1078" s="350"/>
      <c r="M1078" s="350"/>
      <c r="N1078" s="350"/>
      <c r="O1078" s="350"/>
      <c r="P1078" s="352"/>
      <c r="Q1078" s="392"/>
      <c r="R1078" s="392"/>
      <c r="S1078" s="392"/>
      <c r="T1078" s="392"/>
      <c r="U1078" s="392"/>
      <c r="V1078" s="497"/>
      <c r="W1078" s="392"/>
      <c r="X1078" s="392"/>
      <c r="Y1078" s="352">
        <f>IF(NFI_Expiration=1,IF($A1078&lt;VLOOKUP(H$5,NFI,5,0),1,0)*Table_NFI[[#This Row],[Hygiene Kit]],Table_NFI[Hygiene Kit])</f>
        <v>0</v>
      </c>
      <c r="Z1078" s="352">
        <f>IF(NFI_Expiration=1,IF($A1078&lt;VLOOKUP(I$5,NFI,5,0),1,0)*Table_NFI[[#This Row],[NFI Core Kit]],Table_NFI[NFI Core Kit])</f>
        <v>0</v>
      </c>
      <c r="AA1078" s="352">
        <f>IF(NFI_Expiration=1,IF($A1078&lt;VLOOKUP(J$5,NFI,5,0),1,0)*Table_NFI[[#This Row],[Sanitary Kit]],Table_NFI[Sanitary Kit])</f>
        <v>0</v>
      </c>
      <c r="AB1078" s="352">
        <f>IF(NFI_Expiration=1,IF($A1078&lt;VLOOKUP(K$5,NFI,5,0),1,0)*Table_NFI[[#This Row],[Mosquito net]],Table_NFI[Mosquito net])</f>
        <v>0</v>
      </c>
      <c r="AC1078" s="352">
        <f>IF(NFI_Expiration=1,IF($A1078&lt;VLOOKUP(L$5,NFI,5,0),1,0)*Table_NFI[[#This Row],[Tarpaulin]],Table_NFI[[#This Row],[Tarpaulin]])</f>
        <v>0</v>
      </c>
      <c r="AD1078" s="352">
        <f>IF(NFI_Expiration=1,IF($A1078&lt;VLOOKUP(M$5,NFI,5,0),1,0)*Table_NFI[[#This Row],[Blanket]],Table_NFI[[#This Row],[Blanket]])</f>
        <v>0</v>
      </c>
      <c r="AE1078" s="352">
        <f>IF(NFI_Expiration=1,IF($A1078&lt;VLOOKUP(N$5,NFI,5,0),1,0)*Table_NFI[[#This Row],[Kitchen Set]],Table_NFI[Kitchen Set])</f>
        <v>0</v>
      </c>
      <c r="AF1078" s="352">
        <f>IF(NFI_Expiration=1,IF($A1078&lt;VLOOKUP(O$5,NFI,5,0),1,0)*Table_NFI[[#This Row],[Clothes Kit]],Table_NFI[Clothes Kit])</f>
        <v>0</v>
      </c>
      <c r="AG1078" s="352">
        <f>IF(NFI_Expiration=1,IF($A1078&lt;VLOOKUP(P$5,NFI,5,0),1,0)*Table_NFI[[#This Row],[Plastic Bucket]],Table_NFI[Plastic Bucket])</f>
        <v>0</v>
      </c>
      <c r="AH1078" s="352">
        <f>IF(NFI_Expiration=1,IF($A1078&lt;VLOOKUP(Q$5,NFI,5,0),1,0)*Table_NFI[[#This Row],[Plastic Mat]],Table_NFI[Plastic Mat])*IF(Table_NFI[[#This Row],[Distribution Date]]&gt;"2014-04-01",1,2.5)</f>
        <v>0</v>
      </c>
      <c r="AI1078" s="352">
        <f>IF(NFI_Expiration=1,IF($A1078&lt;VLOOKUP(R$5,NFI,5,0),1,0)*Table_NFI[[#This Row],[Winter Clothes Adult]],Table_NFI[Winter Clothes Adult])</f>
        <v>0</v>
      </c>
      <c r="AJ1078" s="352">
        <f>IF(NFI_Expiration=1,IF($A1078&lt;VLOOKUP(S$5,NFI,5,0),1,0)*Table_NFI[[#This Row],[Winter Clothes Children]],Table_NFI[Winter Clothes Children])</f>
        <v>0</v>
      </c>
      <c r="AK1078" s="352">
        <f>IF(NFI_Expiration=1,IF($A1078&lt;VLOOKUP(T$5,NFI,5,0),1,0)*Table_NFI[[#This Row],[Winter Items Other]],Table_NFI[Winter Items Other])</f>
        <v>0</v>
      </c>
      <c r="AL1078" s="352">
        <f>IF(NFI_Expiration=1,IF($A1078&lt;VLOOKUP(M$5,NFI,5,0),1,0)*Table_NFI[[#This Row],[Winter Blanket]],Table_NFI[[#This Row],[Winter Blanket]])</f>
        <v>0</v>
      </c>
      <c r="AM1078" s="352">
        <f>IF(Table_NFI[[#This Row],[Winter Clothes Adult]]+Table_NFI[[#This Row],[Winter Clothes Children]]+Table_NFI[[#This Row],[Winter Items Other]]+Table_NFI[[#This Row],[Winter Blanket]]&gt;0,1,0)</f>
        <v>0</v>
      </c>
      <c r="AN1078" s="392">
        <f>IF(NFI_Expiration=1,IF($A1078&lt;VLOOKUP(V$5,NFI,5,0),1,0)*Table_NFI[[#This Row],[Jerry Can]],Table_NFI[Jerry Can])</f>
        <v>0</v>
      </c>
      <c r="AO1078" s="540" t="str">
        <f>IFERROR(VLOOKUP(Table_NFI[[#This Row],[Camp Name]],CL,2,0),"")</f>
        <v/>
      </c>
      <c r="AP1078" s="535" t="str">
        <f ca="1">IF(Table_NFI[[#This Row],[Pcode]]="","",IF(OFFSET(CampList[Opening Date],MATCH(Table_NFI[[#This Row],[Pcode]],CampList[CP_Pcode],0)-1,0,1,1)&gt;=NFI_Monitor_Date,1,0))</f>
        <v/>
      </c>
      <c r="AQ1078" s="540" t="str">
        <f>IFERROR(VLOOKUP(Table_NFI[[#This Row],[Camp Name]],CL,3,0),"")</f>
        <v/>
      </c>
      <c r="AR1078" s="352" t="str">
        <f ca="1">IF(Table_NFI[[#This Row],[Pcode]]="","",OFFSET(CampList[Priority],MATCH(Table_NFI[[#This Row],[Pcode]],CampList[CP_Pcode],0)-1,0,1,1))</f>
        <v/>
      </c>
      <c r="AS1078" s="351" t="str">
        <f>IFERROR(Table_NFI[[#This Row],[Kitchen Set]]/VLOOKUP(Table_NFI[[#This Row],[Camp Name]],CL,4,0),"")</f>
        <v/>
      </c>
      <c r="AT1078" s="533" t="s">
        <v>1094</v>
      </c>
      <c r="AU1078" s="541"/>
    </row>
    <row r="1079" spans="1:47" s="546" customFormat="1" ht="15.75" hidden="1" customHeight="1" x14ac:dyDescent="0.25">
      <c r="A1079" s="355" t="str">
        <f t="shared" si="17"/>
        <v/>
      </c>
      <c r="B1079" s="532"/>
      <c r="C1079" s="538"/>
      <c r="D1079" s="538"/>
      <c r="E1079" s="538"/>
      <c r="F1079" s="538"/>
      <c r="G1079" s="538"/>
      <c r="H1079" s="350"/>
      <c r="I1079" s="350"/>
      <c r="J1079" s="350"/>
      <c r="K1079" s="350"/>
      <c r="L1079" s="350"/>
      <c r="M1079" s="350"/>
      <c r="N1079" s="350"/>
      <c r="O1079" s="350"/>
      <c r="P1079" s="352"/>
      <c r="Q1079" s="392"/>
      <c r="R1079" s="392"/>
      <c r="S1079" s="392"/>
      <c r="T1079" s="392"/>
      <c r="U1079" s="392"/>
      <c r="V1079" s="497"/>
      <c r="W1079" s="392"/>
      <c r="X1079" s="392"/>
      <c r="Y1079" s="352">
        <f>IF(NFI_Expiration=1,IF($A1079&lt;VLOOKUP(H$5,NFI,5,0),1,0)*Table_NFI[[#This Row],[Hygiene Kit]],Table_NFI[Hygiene Kit])</f>
        <v>0</v>
      </c>
      <c r="Z1079" s="352">
        <f>IF(NFI_Expiration=1,IF($A1079&lt;VLOOKUP(I$5,NFI,5,0),1,0)*Table_NFI[[#This Row],[NFI Core Kit]],Table_NFI[NFI Core Kit])</f>
        <v>0</v>
      </c>
      <c r="AA1079" s="352">
        <f>IF(NFI_Expiration=1,IF($A1079&lt;VLOOKUP(J$5,NFI,5,0),1,0)*Table_NFI[[#This Row],[Sanitary Kit]],Table_NFI[Sanitary Kit])</f>
        <v>0</v>
      </c>
      <c r="AB1079" s="352">
        <f>IF(NFI_Expiration=1,IF($A1079&lt;VLOOKUP(K$5,NFI,5,0),1,0)*Table_NFI[[#This Row],[Mosquito net]],Table_NFI[Mosquito net])</f>
        <v>0</v>
      </c>
      <c r="AC1079" s="352">
        <f>IF(NFI_Expiration=1,IF($A1079&lt;VLOOKUP(L$5,NFI,5,0),1,0)*Table_NFI[[#This Row],[Tarpaulin]],Table_NFI[[#This Row],[Tarpaulin]])</f>
        <v>0</v>
      </c>
      <c r="AD1079" s="352">
        <f>IF(NFI_Expiration=1,IF($A1079&lt;VLOOKUP(M$5,NFI,5,0),1,0)*Table_NFI[[#This Row],[Blanket]],Table_NFI[[#This Row],[Blanket]])</f>
        <v>0</v>
      </c>
      <c r="AE1079" s="352">
        <f>IF(NFI_Expiration=1,IF($A1079&lt;VLOOKUP(N$5,NFI,5,0),1,0)*Table_NFI[[#This Row],[Kitchen Set]],Table_NFI[Kitchen Set])</f>
        <v>0</v>
      </c>
      <c r="AF1079" s="352">
        <f>IF(NFI_Expiration=1,IF($A1079&lt;VLOOKUP(O$5,NFI,5,0),1,0)*Table_NFI[[#This Row],[Clothes Kit]],Table_NFI[Clothes Kit])</f>
        <v>0</v>
      </c>
      <c r="AG1079" s="352">
        <f>IF(NFI_Expiration=1,IF($A1079&lt;VLOOKUP(P$5,NFI,5,0),1,0)*Table_NFI[[#This Row],[Plastic Bucket]],Table_NFI[Plastic Bucket])</f>
        <v>0</v>
      </c>
      <c r="AH1079" s="352">
        <f>IF(NFI_Expiration=1,IF($A1079&lt;VLOOKUP(Q$5,NFI,5,0),1,0)*Table_NFI[[#This Row],[Plastic Mat]],Table_NFI[Plastic Mat])*IF(Table_NFI[[#This Row],[Distribution Date]]&gt;"2014-04-01",1,2.5)</f>
        <v>0</v>
      </c>
      <c r="AI1079" s="352">
        <f>IF(NFI_Expiration=1,IF($A1079&lt;VLOOKUP(R$5,NFI,5,0),1,0)*Table_NFI[[#This Row],[Winter Clothes Adult]],Table_NFI[Winter Clothes Adult])</f>
        <v>0</v>
      </c>
      <c r="AJ1079" s="352">
        <f>IF(NFI_Expiration=1,IF($A1079&lt;VLOOKUP(S$5,NFI,5,0),1,0)*Table_NFI[[#This Row],[Winter Clothes Children]],Table_NFI[Winter Clothes Children])</f>
        <v>0</v>
      </c>
      <c r="AK1079" s="352">
        <f>IF(NFI_Expiration=1,IF($A1079&lt;VLOOKUP(T$5,NFI,5,0),1,0)*Table_NFI[[#This Row],[Winter Items Other]],Table_NFI[Winter Items Other])</f>
        <v>0</v>
      </c>
      <c r="AL1079" s="352">
        <f>IF(NFI_Expiration=1,IF($A1079&lt;VLOOKUP(M$5,NFI,5,0),1,0)*Table_NFI[[#This Row],[Winter Blanket]],Table_NFI[[#This Row],[Winter Blanket]])</f>
        <v>0</v>
      </c>
      <c r="AM1079" s="352">
        <f>IF(Table_NFI[[#This Row],[Winter Clothes Adult]]+Table_NFI[[#This Row],[Winter Clothes Children]]+Table_NFI[[#This Row],[Winter Items Other]]+Table_NFI[[#This Row],[Winter Blanket]]&gt;0,1,0)</f>
        <v>0</v>
      </c>
      <c r="AN1079" s="392">
        <f>IF(NFI_Expiration=1,IF($A1079&lt;VLOOKUP(V$5,NFI,5,0),1,0)*Table_NFI[[#This Row],[Jerry Can]],Table_NFI[Jerry Can])</f>
        <v>0</v>
      </c>
      <c r="AO1079" s="540" t="str">
        <f>IFERROR(VLOOKUP(Table_NFI[[#This Row],[Camp Name]],CL,2,0),"")</f>
        <v/>
      </c>
      <c r="AP1079" s="535" t="str">
        <f ca="1">IF(Table_NFI[[#This Row],[Pcode]]="","",IF(OFFSET(CampList[Opening Date],MATCH(Table_NFI[[#This Row],[Pcode]],CampList[CP_Pcode],0)-1,0,1,1)&gt;=NFI_Monitor_Date,1,0))</f>
        <v/>
      </c>
      <c r="AQ1079" s="540" t="str">
        <f>IFERROR(VLOOKUP(Table_NFI[[#This Row],[Camp Name]],CL,3,0),"")</f>
        <v/>
      </c>
      <c r="AR1079" s="352" t="str">
        <f ca="1">IF(Table_NFI[[#This Row],[Pcode]]="","",OFFSET(CampList[Priority],MATCH(Table_NFI[[#This Row],[Pcode]],CampList[CP_Pcode],0)-1,0,1,1))</f>
        <v/>
      </c>
      <c r="AS1079" s="351" t="str">
        <f>IFERROR(Table_NFI[[#This Row],[Kitchen Set]]/VLOOKUP(Table_NFI[[#This Row],[Camp Name]],CL,4,0),"")</f>
        <v/>
      </c>
      <c r="AT1079" s="533" t="s">
        <v>1094</v>
      </c>
      <c r="AU1079" s="541"/>
    </row>
    <row r="1080" spans="1:47" s="546" customFormat="1" ht="15.75" hidden="1" customHeight="1" x14ac:dyDescent="0.25">
      <c r="A1080" s="355" t="str">
        <f t="shared" si="17"/>
        <v/>
      </c>
      <c r="B1080" s="532"/>
      <c r="C1080" s="538"/>
      <c r="D1080" s="538"/>
      <c r="E1080" s="538"/>
      <c r="F1080" s="538"/>
      <c r="G1080" s="538"/>
      <c r="H1080" s="350"/>
      <c r="I1080" s="350"/>
      <c r="J1080" s="350"/>
      <c r="K1080" s="350"/>
      <c r="L1080" s="350"/>
      <c r="M1080" s="350"/>
      <c r="N1080" s="350"/>
      <c r="O1080" s="350"/>
      <c r="P1080" s="352"/>
      <c r="Q1080" s="392"/>
      <c r="R1080" s="392"/>
      <c r="S1080" s="392"/>
      <c r="T1080" s="392"/>
      <c r="U1080" s="392"/>
      <c r="V1080" s="497"/>
      <c r="W1080" s="392"/>
      <c r="X1080" s="392"/>
      <c r="Y1080" s="352">
        <f>IF(NFI_Expiration=1,IF($A1080&lt;VLOOKUP(H$5,NFI,5,0),1,0)*Table_NFI[[#This Row],[Hygiene Kit]],Table_NFI[Hygiene Kit])</f>
        <v>0</v>
      </c>
      <c r="Z1080" s="352">
        <f>IF(NFI_Expiration=1,IF($A1080&lt;VLOOKUP(I$5,NFI,5,0),1,0)*Table_NFI[[#This Row],[NFI Core Kit]],Table_NFI[NFI Core Kit])</f>
        <v>0</v>
      </c>
      <c r="AA1080" s="352">
        <f>IF(NFI_Expiration=1,IF($A1080&lt;VLOOKUP(J$5,NFI,5,0),1,0)*Table_NFI[[#This Row],[Sanitary Kit]],Table_NFI[Sanitary Kit])</f>
        <v>0</v>
      </c>
      <c r="AB1080" s="352">
        <f>IF(NFI_Expiration=1,IF($A1080&lt;VLOOKUP(K$5,NFI,5,0),1,0)*Table_NFI[[#This Row],[Mosquito net]],Table_NFI[Mosquito net])</f>
        <v>0</v>
      </c>
      <c r="AC1080" s="352">
        <f>IF(NFI_Expiration=1,IF($A1080&lt;VLOOKUP(L$5,NFI,5,0),1,0)*Table_NFI[[#This Row],[Tarpaulin]],Table_NFI[[#This Row],[Tarpaulin]])</f>
        <v>0</v>
      </c>
      <c r="AD1080" s="352">
        <f>IF(NFI_Expiration=1,IF($A1080&lt;VLOOKUP(M$5,NFI,5,0),1,0)*Table_NFI[[#This Row],[Blanket]],Table_NFI[[#This Row],[Blanket]])</f>
        <v>0</v>
      </c>
      <c r="AE1080" s="352">
        <f>IF(NFI_Expiration=1,IF($A1080&lt;VLOOKUP(N$5,NFI,5,0),1,0)*Table_NFI[[#This Row],[Kitchen Set]],Table_NFI[Kitchen Set])</f>
        <v>0</v>
      </c>
      <c r="AF1080" s="352">
        <f>IF(NFI_Expiration=1,IF($A1080&lt;VLOOKUP(O$5,NFI,5,0),1,0)*Table_NFI[[#This Row],[Clothes Kit]],Table_NFI[Clothes Kit])</f>
        <v>0</v>
      </c>
      <c r="AG1080" s="352">
        <f>IF(NFI_Expiration=1,IF($A1080&lt;VLOOKUP(P$5,NFI,5,0),1,0)*Table_NFI[[#This Row],[Plastic Bucket]],Table_NFI[Plastic Bucket])</f>
        <v>0</v>
      </c>
      <c r="AH1080" s="352">
        <f>IF(NFI_Expiration=1,IF($A1080&lt;VLOOKUP(Q$5,NFI,5,0),1,0)*Table_NFI[[#This Row],[Plastic Mat]],Table_NFI[Plastic Mat])*IF(Table_NFI[[#This Row],[Distribution Date]]&gt;"2014-04-01",1,2.5)</f>
        <v>0</v>
      </c>
      <c r="AI1080" s="352">
        <f>IF(NFI_Expiration=1,IF($A1080&lt;VLOOKUP(R$5,NFI,5,0),1,0)*Table_NFI[[#This Row],[Winter Clothes Adult]],Table_NFI[Winter Clothes Adult])</f>
        <v>0</v>
      </c>
      <c r="AJ1080" s="352">
        <f>IF(NFI_Expiration=1,IF($A1080&lt;VLOOKUP(S$5,NFI,5,0),1,0)*Table_NFI[[#This Row],[Winter Clothes Children]],Table_NFI[Winter Clothes Children])</f>
        <v>0</v>
      </c>
      <c r="AK1080" s="352">
        <f>IF(NFI_Expiration=1,IF($A1080&lt;VLOOKUP(T$5,NFI,5,0),1,0)*Table_NFI[[#This Row],[Winter Items Other]],Table_NFI[Winter Items Other])</f>
        <v>0</v>
      </c>
      <c r="AL1080" s="352">
        <f>IF(NFI_Expiration=1,IF($A1080&lt;VLOOKUP(M$5,NFI,5,0),1,0)*Table_NFI[[#This Row],[Winter Blanket]],Table_NFI[[#This Row],[Winter Blanket]])</f>
        <v>0</v>
      </c>
      <c r="AM1080" s="352">
        <f>IF(Table_NFI[[#This Row],[Winter Clothes Adult]]+Table_NFI[[#This Row],[Winter Clothes Children]]+Table_NFI[[#This Row],[Winter Items Other]]+Table_NFI[[#This Row],[Winter Blanket]]&gt;0,1,0)</f>
        <v>0</v>
      </c>
      <c r="AN1080" s="392">
        <f>IF(NFI_Expiration=1,IF($A1080&lt;VLOOKUP(V$5,NFI,5,0),1,0)*Table_NFI[[#This Row],[Jerry Can]],Table_NFI[Jerry Can])</f>
        <v>0</v>
      </c>
      <c r="AO1080" s="540" t="str">
        <f>IFERROR(VLOOKUP(Table_NFI[[#This Row],[Camp Name]],CL,2,0),"")</f>
        <v/>
      </c>
      <c r="AP1080" s="535" t="str">
        <f ca="1">IF(Table_NFI[[#This Row],[Pcode]]="","",IF(OFFSET(CampList[Opening Date],MATCH(Table_NFI[[#This Row],[Pcode]],CampList[CP_Pcode],0)-1,0,1,1)&gt;=NFI_Monitor_Date,1,0))</f>
        <v/>
      </c>
      <c r="AQ1080" s="540" t="str">
        <f>IFERROR(VLOOKUP(Table_NFI[[#This Row],[Camp Name]],CL,3,0),"")</f>
        <v/>
      </c>
      <c r="AR1080" s="352" t="str">
        <f ca="1">IF(Table_NFI[[#This Row],[Pcode]]="","",OFFSET(CampList[Priority],MATCH(Table_NFI[[#This Row],[Pcode]],CampList[CP_Pcode],0)-1,0,1,1))</f>
        <v/>
      </c>
      <c r="AS1080" s="351" t="str">
        <f>IFERROR(Table_NFI[[#This Row],[Kitchen Set]]/VLOOKUP(Table_NFI[[#This Row],[Camp Name]],CL,4,0),"")</f>
        <v/>
      </c>
      <c r="AT1080" s="533" t="s">
        <v>1094</v>
      </c>
      <c r="AU1080" s="541"/>
    </row>
    <row r="1081" spans="1:47" s="546" customFormat="1" ht="15.75" hidden="1" customHeight="1" x14ac:dyDescent="0.25">
      <c r="A1081" s="355" t="str">
        <f t="shared" si="17"/>
        <v/>
      </c>
      <c r="B1081" s="532"/>
      <c r="C1081" s="538"/>
      <c r="D1081" s="538"/>
      <c r="E1081" s="538"/>
      <c r="F1081" s="538"/>
      <c r="G1081" s="538"/>
      <c r="H1081" s="350"/>
      <c r="I1081" s="350"/>
      <c r="J1081" s="350"/>
      <c r="K1081" s="350"/>
      <c r="L1081" s="350"/>
      <c r="M1081" s="350"/>
      <c r="N1081" s="350"/>
      <c r="O1081" s="350"/>
      <c r="P1081" s="352"/>
      <c r="Q1081" s="392"/>
      <c r="R1081" s="392"/>
      <c r="S1081" s="392"/>
      <c r="T1081" s="392"/>
      <c r="U1081" s="392"/>
      <c r="V1081" s="497"/>
      <c r="W1081" s="392"/>
      <c r="X1081" s="392"/>
      <c r="Y1081" s="352">
        <f>IF(NFI_Expiration=1,IF($A1081&lt;VLOOKUP(H$5,NFI,5,0),1,0)*Table_NFI[[#This Row],[Hygiene Kit]],Table_NFI[Hygiene Kit])</f>
        <v>0</v>
      </c>
      <c r="Z1081" s="352">
        <f>IF(NFI_Expiration=1,IF($A1081&lt;VLOOKUP(I$5,NFI,5,0),1,0)*Table_NFI[[#This Row],[NFI Core Kit]],Table_NFI[NFI Core Kit])</f>
        <v>0</v>
      </c>
      <c r="AA1081" s="352">
        <f>IF(NFI_Expiration=1,IF($A1081&lt;VLOOKUP(J$5,NFI,5,0),1,0)*Table_NFI[[#This Row],[Sanitary Kit]],Table_NFI[Sanitary Kit])</f>
        <v>0</v>
      </c>
      <c r="AB1081" s="352">
        <f>IF(NFI_Expiration=1,IF($A1081&lt;VLOOKUP(K$5,NFI,5,0),1,0)*Table_NFI[[#This Row],[Mosquito net]],Table_NFI[Mosquito net])</f>
        <v>0</v>
      </c>
      <c r="AC1081" s="352">
        <f>IF(NFI_Expiration=1,IF($A1081&lt;VLOOKUP(L$5,NFI,5,0),1,0)*Table_NFI[[#This Row],[Tarpaulin]],Table_NFI[[#This Row],[Tarpaulin]])</f>
        <v>0</v>
      </c>
      <c r="AD1081" s="352">
        <f>IF(NFI_Expiration=1,IF($A1081&lt;VLOOKUP(M$5,NFI,5,0),1,0)*Table_NFI[[#This Row],[Blanket]],Table_NFI[[#This Row],[Blanket]])</f>
        <v>0</v>
      </c>
      <c r="AE1081" s="352">
        <f>IF(NFI_Expiration=1,IF($A1081&lt;VLOOKUP(N$5,NFI,5,0),1,0)*Table_NFI[[#This Row],[Kitchen Set]],Table_NFI[Kitchen Set])</f>
        <v>0</v>
      </c>
      <c r="AF1081" s="352">
        <f>IF(NFI_Expiration=1,IF($A1081&lt;VLOOKUP(O$5,NFI,5,0),1,0)*Table_NFI[[#This Row],[Clothes Kit]],Table_NFI[Clothes Kit])</f>
        <v>0</v>
      </c>
      <c r="AG1081" s="352">
        <f>IF(NFI_Expiration=1,IF($A1081&lt;VLOOKUP(P$5,NFI,5,0),1,0)*Table_NFI[[#This Row],[Plastic Bucket]],Table_NFI[Plastic Bucket])</f>
        <v>0</v>
      </c>
      <c r="AH1081" s="352">
        <f>IF(NFI_Expiration=1,IF($A1081&lt;VLOOKUP(Q$5,NFI,5,0),1,0)*Table_NFI[[#This Row],[Plastic Mat]],Table_NFI[Plastic Mat])*IF(Table_NFI[[#This Row],[Distribution Date]]&gt;"2014-04-01",1,2.5)</f>
        <v>0</v>
      </c>
      <c r="AI1081" s="352">
        <f>IF(NFI_Expiration=1,IF($A1081&lt;VLOOKUP(R$5,NFI,5,0),1,0)*Table_NFI[[#This Row],[Winter Clothes Adult]],Table_NFI[Winter Clothes Adult])</f>
        <v>0</v>
      </c>
      <c r="AJ1081" s="352">
        <f>IF(NFI_Expiration=1,IF($A1081&lt;VLOOKUP(S$5,NFI,5,0),1,0)*Table_NFI[[#This Row],[Winter Clothes Children]],Table_NFI[Winter Clothes Children])</f>
        <v>0</v>
      </c>
      <c r="AK1081" s="352">
        <f>IF(NFI_Expiration=1,IF($A1081&lt;VLOOKUP(T$5,NFI,5,0),1,0)*Table_NFI[[#This Row],[Winter Items Other]],Table_NFI[Winter Items Other])</f>
        <v>0</v>
      </c>
      <c r="AL1081" s="352">
        <f>IF(NFI_Expiration=1,IF($A1081&lt;VLOOKUP(M$5,NFI,5,0),1,0)*Table_NFI[[#This Row],[Winter Blanket]],Table_NFI[[#This Row],[Winter Blanket]])</f>
        <v>0</v>
      </c>
      <c r="AM1081" s="352">
        <f>IF(Table_NFI[[#This Row],[Winter Clothes Adult]]+Table_NFI[[#This Row],[Winter Clothes Children]]+Table_NFI[[#This Row],[Winter Items Other]]+Table_NFI[[#This Row],[Winter Blanket]]&gt;0,1,0)</f>
        <v>0</v>
      </c>
      <c r="AN1081" s="392">
        <f>IF(NFI_Expiration=1,IF($A1081&lt;VLOOKUP(V$5,NFI,5,0),1,0)*Table_NFI[[#This Row],[Jerry Can]],Table_NFI[Jerry Can])</f>
        <v>0</v>
      </c>
      <c r="AO1081" s="540" t="str">
        <f>IFERROR(VLOOKUP(Table_NFI[[#This Row],[Camp Name]],CL,2,0),"")</f>
        <v/>
      </c>
      <c r="AP1081" s="535" t="str">
        <f ca="1">IF(Table_NFI[[#This Row],[Pcode]]="","",IF(OFFSET(CampList[Opening Date],MATCH(Table_NFI[[#This Row],[Pcode]],CampList[CP_Pcode],0)-1,0,1,1)&gt;=NFI_Monitor_Date,1,0))</f>
        <v/>
      </c>
      <c r="AQ1081" s="540" t="str">
        <f>IFERROR(VLOOKUP(Table_NFI[[#This Row],[Camp Name]],CL,3,0),"")</f>
        <v/>
      </c>
      <c r="AR1081" s="352" t="str">
        <f ca="1">IF(Table_NFI[[#This Row],[Pcode]]="","",OFFSET(CampList[Priority],MATCH(Table_NFI[[#This Row],[Pcode]],CampList[CP_Pcode],0)-1,0,1,1))</f>
        <v/>
      </c>
      <c r="AS1081" s="351" t="str">
        <f>IFERROR(Table_NFI[[#This Row],[Kitchen Set]]/VLOOKUP(Table_NFI[[#This Row],[Camp Name]],CL,4,0),"")</f>
        <v/>
      </c>
      <c r="AT1081" s="533" t="s">
        <v>1094</v>
      </c>
      <c r="AU1081" s="541"/>
    </row>
    <row r="1082" spans="1:47" s="546" customFormat="1" ht="15.75" hidden="1" customHeight="1" x14ac:dyDescent="0.25">
      <c r="A1082" s="355" t="str">
        <f t="shared" si="17"/>
        <v/>
      </c>
      <c r="B1082" s="532"/>
      <c r="C1082" s="538"/>
      <c r="D1082" s="538"/>
      <c r="E1082" s="538"/>
      <c r="F1082" s="538"/>
      <c r="G1082" s="538"/>
      <c r="H1082" s="350"/>
      <c r="I1082" s="350"/>
      <c r="J1082" s="350"/>
      <c r="K1082" s="350"/>
      <c r="L1082" s="350"/>
      <c r="M1082" s="350"/>
      <c r="N1082" s="350"/>
      <c r="O1082" s="350"/>
      <c r="P1082" s="352"/>
      <c r="Q1082" s="392"/>
      <c r="R1082" s="392"/>
      <c r="S1082" s="392"/>
      <c r="T1082" s="392"/>
      <c r="U1082" s="392"/>
      <c r="V1082" s="497"/>
      <c r="W1082" s="392"/>
      <c r="X1082" s="392"/>
      <c r="Y1082" s="352">
        <f>IF(NFI_Expiration=1,IF($A1082&lt;VLOOKUP(H$5,NFI,5,0),1,0)*Table_NFI[[#This Row],[Hygiene Kit]],Table_NFI[Hygiene Kit])</f>
        <v>0</v>
      </c>
      <c r="Z1082" s="352">
        <f>IF(NFI_Expiration=1,IF($A1082&lt;VLOOKUP(I$5,NFI,5,0),1,0)*Table_NFI[[#This Row],[NFI Core Kit]],Table_NFI[NFI Core Kit])</f>
        <v>0</v>
      </c>
      <c r="AA1082" s="352">
        <f>IF(NFI_Expiration=1,IF($A1082&lt;VLOOKUP(J$5,NFI,5,0),1,0)*Table_NFI[[#This Row],[Sanitary Kit]],Table_NFI[Sanitary Kit])</f>
        <v>0</v>
      </c>
      <c r="AB1082" s="352">
        <f>IF(NFI_Expiration=1,IF($A1082&lt;VLOOKUP(K$5,NFI,5,0),1,0)*Table_NFI[[#This Row],[Mosquito net]],Table_NFI[Mosquito net])</f>
        <v>0</v>
      </c>
      <c r="AC1082" s="352">
        <f>IF(NFI_Expiration=1,IF($A1082&lt;VLOOKUP(L$5,NFI,5,0),1,0)*Table_NFI[[#This Row],[Tarpaulin]],Table_NFI[[#This Row],[Tarpaulin]])</f>
        <v>0</v>
      </c>
      <c r="AD1082" s="352">
        <f>IF(NFI_Expiration=1,IF($A1082&lt;VLOOKUP(M$5,NFI,5,0),1,0)*Table_NFI[[#This Row],[Blanket]],Table_NFI[[#This Row],[Blanket]])</f>
        <v>0</v>
      </c>
      <c r="AE1082" s="352">
        <f>IF(NFI_Expiration=1,IF($A1082&lt;VLOOKUP(N$5,NFI,5,0),1,0)*Table_NFI[[#This Row],[Kitchen Set]],Table_NFI[Kitchen Set])</f>
        <v>0</v>
      </c>
      <c r="AF1082" s="352">
        <f>IF(NFI_Expiration=1,IF($A1082&lt;VLOOKUP(O$5,NFI,5,0),1,0)*Table_NFI[[#This Row],[Clothes Kit]],Table_NFI[Clothes Kit])</f>
        <v>0</v>
      </c>
      <c r="AG1082" s="352">
        <f>IF(NFI_Expiration=1,IF($A1082&lt;VLOOKUP(P$5,NFI,5,0),1,0)*Table_NFI[[#This Row],[Plastic Bucket]],Table_NFI[Plastic Bucket])</f>
        <v>0</v>
      </c>
      <c r="AH1082" s="352">
        <f>IF(NFI_Expiration=1,IF($A1082&lt;VLOOKUP(Q$5,NFI,5,0),1,0)*Table_NFI[[#This Row],[Plastic Mat]],Table_NFI[Plastic Mat])*IF(Table_NFI[[#This Row],[Distribution Date]]&gt;"2014-04-01",1,2.5)</f>
        <v>0</v>
      </c>
      <c r="AI1082" s="352">
        <f>IF(NFI_Expiration=1,IF($A1082&lt;VLOOKUP(R$5,NFI,5,0),1,0)*Table_NFI[[#This Row],[Winter Clothes Adult]],Table_NFI[Winter Clothes Adult])</f>
        <v>0</v>
      </c>
      <c r="AJ1082" s="352">
        <f>IF(NFI_Expiration=1,IF($A1082&lt;VLOOKUP(S$5,NFI,5,0),1,0)*Table_NFI[[#This Row],[Winter Clothes Children]],Table_NFI[Winter Clothes Children])</f>
        <v>0</v>
      </c>
      <c r="AK1082" s="352">
        <f>IF(NFI_Expiration=1,IF($A1082&lt;VLOOKUP(T$5,NFI,5,0),1,0)*Table_NFI[[#This Row],[Winter Items Other]],Table_NFI[Winter Items Other])</f>
        <v>0</v>
      </c>
      <c r="AL1082" s="352">
        <f>IF(NFI_Expiration=1,IF($A1082&lt;VLOOKUP(M$5,NFI,5,0),1,0)*Table_NFI[[#This Row],[Winter Blanket]],Table_NFI[[#This Row],[Winter Blanket]])</f>
        <v>0</v>
      </c>
      <c r="AM1082" s="352">
        <f>IF(Table_NFI[[#This Row],[Winter Clothes Adult]]+Table_NFI[[#This Row],[Winter Clothes Children]]+Table_NFI[[#This Row],[Winter Items Other]]+Table_NFI[[#This Row],[Winter Blanket]]&gt;0,1,0)</f>
        <v>0</v>
      </c>
      <c r="AN1082" s="392">
        <f>IF(NFI_Expiration=1,IF($A1082&lt;VLOOKUP(V$5,NFI,5,0),1,0)*Table_NFI[[#This Row],[Jerry Can]],Table_NFI[Jerry Can])</f>
        <v>0</v>
      </c>
      <c r="AO1082" s="540" t="str">
        <f>IFERROR(VLOOKUP(Table_NFI[[#This Row],[Camp Name]],CL,2,0),"")</f>
        <v/>
      </c>
      <c r="AP1082" s="535" t="str">
        <f ca="1">IF(Table_NFI[[#This Row],[Pcode]]="","",IF(OFFSET(CampList[Opening Date],MATCH(Table_NFI[[#This Row],[Pcode]],CampList[CP_Pcode],0)-1,0,1,1)&gt;=NFI_Monitor_Date,1,0))</f>
        <v/>
      </c>
      <c r="AQ1082" s="540" t="str">
        <f>IFERROR(VLOOKUP(Table_NFI[[#This Row],[Camp Name]],CL,3,0),"")</f>
        <v/>
      </c>
      <c r="AR1082" s="352" t="str">
        <f ca="1">IF(Table_NFI[[#This Row],[Pcode]]="","",OFFSET(CampList[Priority],MATCH(Table_NFI[[#This Row],[Pcode]],CampList[CP_Pcode],0)-1,0,1,1))</f>
        <v/>
      </c>
      <c r="AS1082" s="351" t="str">
        <f>IFERROR(Table_NFI[[#This Row],[Kitchen Set]]/VLOOKUP(Table_NFI[[#This Row],[Camp Name]],CL,4,0),"")</f>
        <v/>
      </c>
      <c r="AT1082" s="533" t="s">
        <v>1094</v>
      </c>
      <c r="AU1082" s="541"/>
    </row>
    <row r="1083" spans="1:47" s="546" customFormat="1" ht="15.75" hidden="1" customHeight="1" x14ac:dyDescent="0.25">
      <c r="A1083" s="355" t="str">
        <f t="shared" si="17"/>
        <v/>
      </c>
      <c r="B1083" s="532"/>
      <c r="C1083" s="538"/>
      <c r="D1083" s="538"/>
      <c r="E1083" s="538"/>
      <c r="F1083" s="538"/>
      <c r="G1083" s="538"/>
      <c r="H1083" s="350"/>
      <c r="I1083" s="350"/>
      <c r="J1083" s="350"/>
      <c r="K1083" s="350"/>
      <c r="L1083" s="350"/>
      <c r="M1083" s="350"/>
      <c r="N1083" s="350"/>
      <c r="O1083" s="350"/>
      <c r="P1083" s="352"/>
      <c r="Q1083" s="392"/>
      <c r="R1083" s="392"/>
      <c r="S1083" s="392"/>
      <c r="T1083" s="392"/>
      <c r="U1083" s="392"/>
      <c r="V1083" s="497"/>
      <c r="W1083" s="392"/>
      <c r="X1083" s="392"/>
      <c r="Y1083" s="352">
        <f>IF(NFI_Expiration=1,IF($A1083&lt;VLOOKUP(H$5,NFI,5,0),1,0)*Table_NFI[[#This Row],[Hygiene Kit]],Table_NFI[Hygiene Kit])</f>
        <v>0</v>
      </c>
      <c r="Z1083" s="352">
        <f>IF(NFI_Expiration=1,IF($A1083&lt;VLOOKUP(I$5,NFI,5,0),1,0)*Table_NFI[[#This Row],[NFI Core Kit]],Table_NFI[NFI Core Kit])</f>
        <v>0</v>
      </c>
      <c r="AA1083" s="352">
        <f>IF(NFI_Expiration=1,IF($A1083&lt;VLOOKUP(J$5,NFI,5,0),1,0)*Table_NFI[[#This Row],[Sanitary Kit]],Table_NFI[Sanitary Kit])</f>
        <v>0</v>
      </c>
      <c r="AB1083" s="352">
        <f>IF(NFI_Expiration=1,IF($A1083&lt;VLOOKUP(K$5,NFI,5,0),1,0)*Table_NFI[[#This Row],[Mosquito net]],Table_NFI[Mosquito net])</f>
        <v>0</v>
      </c>
      <c r="AC1083" s="352">
        <f>IF(NFI_Expiration=1,IF($A1083&lt;VLOOKUP(L$5,NFI,5,0),1,0)*Table_NFI[[#This Row],[Tarpaulin]],Table_NFI[[#This Row],[Tarpaulin]])</f>
        <v>0</v>
      </c>
      <c r="AD1083" s="352">
        <f>IF(NFI_Expiration=1,IF($A1083&lt;VLOOKUP(M$5,NFI,5,0),1,0)*Table_NFI[[#This Row],[Blanket]],Table_NFI[[#This Row],[Blanket]])</f>
        <v>0</v>
      </c>
      <c r="AE1083" s="352">
        <f>IF(NFI_Expiration=1,IF($A1083&lt;VLOOKUP(N$5,NFI,5,0),1,0)*Table_NFI[[#This Row],[Kitchen Set]],Table_NFI[Kitchen Set])</f>
        <v>0</v>
      </c>
      <c r="AF1083" s="352">
        <f>IF(NFI_Expiration=1,IF($A1083&lt;VLOOKUP(O$5,NFI,5,0),1,0)*Table_NFI[[#This Row],[Clothes Kit]],Table_NFI[Clothes Kit])</f>
        <v>0</v>
      </c>
      <c r="AG1083" s="352">
        <f>IF(NFI_Expiration=1,IF($A1083&lt;VLOOKUP(P$5,NFI,5,0),1,0)*Table_NFI[[#This Row],[Plastic Bucket]],Table_NFI[Plastic Bucket])</f>
        <v>0</v>
      </c>
      <c r="AH1083" s="352">
        <f>IF(NFI_Expiration=1,IF($A1083&lt;VLOOKUP(Q$5,NFI,5,0),1,0)*Table_NFI[[#This Row],[Plastic Mat]],Table_NFI[Plastic Mat])*IF(Table_NFI[[#This Row],[Distribution Date]]&gt;"2014-04-01",1,2.5)</f>
        <v>0</v>
      </c>
      <c r="AI1083" s="352">
        <f>IF(NFI_Expiration=1,IF($A1083&lt;VLOOKUP(R$5,NFI,5,0),1,0)*Table_NFI[[#This Row],[Winter Clothes Adult]],Table_NFI[Winter Clothes Adult])</f>
        <v>0</v>
      </c>
      <c r="AJ1083" s="352">
        <f>IF(NFI_Expiration=1,IF($A1083&lt;VLOOKUP(S$5,NFI,5,0),1,0)*Table_NFI[[#This Row],[Winter Clothes Children]],Table_NFI[Winter Clothes Children])</f>
        <v>0</v>
      </c>
      <c r="AK1083" s="352">
        <f>IF(NFI_Expiration=1,IF($A1083&lt;VLOOKUP(T$5,NFI,5,0),1,0)*Table_NFI[[#This Row],[Winter Items Other]],Table_NFI[Winter Items Other])</f>
        <v>0</v>
      </c>
      <c r="AL1083" s="352">
        <f>IF(NFI_Expiration=1,IF($A1083&lt;VLOOKUP(M$5,NFI,5,0),1,0)*Table_NFI[[#This Row],[Winter Blanket]],Table_NFI[[#This Row],[Winter Blanket]])</f>
        <v>0</v>
      </c>
      <c r="AM1083" s="352">
        <f>IF(Table_NFI[[#This Row],[Winter Clothes Adult]]+Table_NFI[[#This Row],[Winter Clothes Children]]+Table_NFI[[#This Row],[Winter Items Other]]+Table_NFI[[#This Row],[Winter Blanket]]&gt;0,1,0)</f>
        <v>0</v>
      </c>
      <c r="AN1083" s="392">
        <f>IF(NFI_Expiration=1,IF($A1083&lt;VLOOKUP(V$5,NFI,5,0),1,0)*Table_NFI[[#This Row],[Jerry Can]],Table_NFI[Jerry Can])</f>
        <v>0</v>
      </c>
      <c r="AO1083" s="540" t="str">
        <f>IFERROR(VLOOKUP(Table_NFI[[#This Row],[Camp Name]],CL,2,0),"")</f>
        <v/>
      </c>
      <c r="AP1083" s="535" t="str">
        <f ca="1">IF(Table_NFI[[#This Row],[Pcode]]="","",IF(OFFSET(CampList[Opening Date],MATCH(Table_NFI[[#This Row],[Pcode]],CampList[CP_Pcode],0)-1,0,1,1)&gt;=NFI_Monitor_Date,1,0))</f>
        <v/>
      </c>
      <c r="AQ1083" s="540" t="str">
        <f>IFERROR(VLOOKUP(Table_NFI[[#This Row],[Camp Name]],CL,3,0),"")</f>
        <v/>
      </c>
      <c r="AR1083" s="352" t="str">
        <f ca="1">IF(Table_NFI[[#This Row],[Pcode]]="","",OFFSET(CampList[Priority],MATCH(Table_NFI[[#This Row],[Pcode]],CampList[CP_Pcode],0)-1,0,1,1))</f>
        <v/>
      </c>
      <c r="AS1083" s="351" t="str">
        <f>IFERROR(Table_NFI[[#This Row],[Kitchen Set]]/VLOOKUP(Table_NFI[[#This Row],[Camp Name]],CL,4,0),"")</f>
        <v/>
      </c>
      <c r="AT1083" s="533" t="s">
        <v>1094</v>
      </c>
      <c r="AU1083" s="541"/>
    </row>
    <row r="1084" spans="1:47" s="546" customFormat="1" ht="14.45" hidden="1" customHeight="1" x14ac:dyDescent="0.25">
      <c r="A1084" s="355" t="str">
        <f t="shared" si="17"/>
        <v/>
      </c>
      <c r="B1084" s="532"/>
      <c r="C1084" s="538"/>
      <c r="D1084" s="538"/>
      <c r="E1084" s="538"/>
      <c r="F1084" s="538"/>
      <c r="G1084" s="538"/>
      <c r="H1084" s="350"/>
      <c r="I1084" s="350"/>
      <c r="J1084" s="350"/>
      <c r="K1084" s="350"/>
      <c r="L1084" s="350"/>
      <c r="M1084" s="350"/>
      <c r="N1084" s="350"/>
      <c r="O1084" s="350"/>
      <c r="P1084" s="352"/>
      <c r="Q1084" s="392"/>
      <c r="R1084" s="392"/>
      <c r="S1084" s="392"/>
      <c r="T1084" s="392"/>
      <c r="U1084" s="392"/>
      <c r="V1084" s="497"/>
      <c r="W1084" s="392"/>
      <c r="X1084" s="392"/>
      <c r="Y1084" s="352">
        <f>IF(NFI_Expiration=1,IF($A1084&lt;VLOOKUP(H$5,NFI,5,0),1,0)*Table_NFI[[#This Row],[Hygiene Kit]],Table_NFI[Hygiene Kit])</f>
        <v>0</v>
      </c>
      <c r="Z1084" s="352">
        <f>IF(NFI_Expiration=1,IF($A1084&lt;VLOOKUP(I$5,NFI,5,0),1,0)*Table_NFI[[#This Row],[NFI Core Kit]],Table_NFI[NFI Core Kit])</f>
        <v>0</v>
      </c>
      <c r="AA1084" s="352">
        <f>IF(NFI_Expiration=1,IF($A1084&lt;VLOOKUP(J$5,NFI,5,0),1,0)*Table_NFI[[#This Row],[Sanitary Kit]],Table_NFI[Sanitary Kit])</f>
        <v>0</v>
      </c>
      <c r="AB1084" s="352">
        <f>IF(NFI_Expiration=1,IF($A1084&lt;VLOOKUP(K$5,NFI,5,0),1,0)*Table_NFI[[#This Row],[Mosquito net]],Table_NFI[Mosquito net])</f>
        <v>0</v>
      </c>
      <c r="AC1084" s="352">
        <f>IF(NFI_Expiration=1,IF($A1084&lt;VLOOKUP(L$5,NFI,5,0),1,0)*Table_NFI[[#This Row],[Tarpaulin]],Table_NFI[[#This Row],[Tarpaulin]])</f>
        <v>0</v>
      </c>
      <c r="AD1084" s="352">
        <f>IF(NFI_Expiration=1,IF($A1084&lt;VLOOKUP(M$5,NFI,5,0),1,0)*Table_NFI[[#This Row],[Blanket]],Table_NFI[[#This Row],[Blanket]])</f>
        <v>0</v>
      </c>
      <c r="AE1084" s="352">
        <f>IF(NFI_Expiration=1,IF($A1084&lt;VLOOKUP(N$5,NFI,5,0),1,0)*Table_NFI[[#This Row],[Kitchen Set]],Table_NFI[Kitchen Set])</f>
        <v>0</v>
      </c>
      <c r="AF1084" s="352">
        <f>IF(NFI_Expiration=1,IF($A1084&lt;VLOOKUP(O$5,NFI,5,0),1,0)*Table_NFI[[#This Row],[Clothes Kit]],Table_NFI[Clothes Kit])</f>
        <v>0</v>
      </c>
      <c r="AG1084" s="352">
        <f>IF(NFI_Expiration=1,IF($A1084&lt;VLOOKUP(P$5,NFI,5,0),1,0)*Table_NFI[[#This Row],[Plastic Bucket]],Table_NFI[Plastic Bucket])</f>
        <v>0</v>
      </c>
      <c r="AH1084" s="352">
        <f>IF(NFI_Expiration=1,IF($A1084&lt;VLOOKUP(Q$5,NFI,5,0),1,0)*Table_NFI[[#This Row],[Plastic Mat]],Table_NFI[Plastic Mat])*IF(Table_NFI[[#This Row],[Distribution Date]]&gt;"2014-04-01",1,2.5)</f>
        <v>0</v>
      </c>
      <c r="AI1084" s="352">
        <f>IF(NFI_Expiration=1,IF($A1084&lt;VLOOKUP(R$5,NFI,5,0),1,0)*Table_NFI[[#This Row],[Winter Clothes Adult]],Table_NFI[Winter Clothes Adult])</f>
        <v>0</v>
      </c>
      <c r="AJ1084" s="352">
        <f>IF(NFI_Expiration=1,IF($A1084&lt;VLOOKUP(S$5,NFI,5,0),1,0)*Table_NFI[[#This Row],[Winter Clothes Children]],Table_NFI[Winter Clothes Children])</f>
        <v>0</v>
      </c>
      <c r="AK1084" s="352">
        <f>IF(NFI_Expiration=1,IF($A1084&lt;VLOOKUP(T$5,NFI,5,0),1,0)*Table_NFI[[#This Row],[Winter Items Other]],Table_NFI[Winter Items Other])</f>
        <v>0</v>
      </c>
      <c r="AL1084" s="352">
        <f>IF(NFI_Expiration=1,IF($A1084&lt;VLOOKUP(M$5,NFI,5,0),1,0)*Table_NFI[[#This Row],[Winter Blanket]],Table_NFI[[#This Row],[Winter Blanket]])</f>
        <v>0</v>
      </c>
      <c r="AM1084" s="352">
        <f>IF(Table_NFI[[#This Row],[Winter Clothes Adult]]+Table_NFI[[#This Row],[Winter Clothes Children]]+Table_NFI[[#This Row],[Winter Items Other]]+Table_NFI[[#This Row],[Winter Blanket]]&gt;0,1,0)</f>
        <v>0</v>
      </c>
      <c r="AN1084" s="392">
        <f>IF(NFI_Expiration=1,IF($A1084&lt;VLOOKUP(V$5,NFI,5,0),1,0)*Table_NFI[[#This Row],[Jerry Can]],Table_NFI[Jerry Can])</f>
        <v>0</v>
      </c>
      <c r="AO1084" s="540" t="str">
        <f>IFERROR(VLOOKUP(Table_NFI[[#This Row],[Camp Name]],CL,2,0),"")</f>
        <v/>
      </c>
      <c r="AP1084" s="535" t="str">
        <f ca="1">IF(Table_NFI[[#This Row],[Pcode]]="","",IF(OFFSET(CampList[Opening Date],MATCH(Table_NFI[[#This Row],[Pcode]],CampList[CP_Pcode],0)-1,0,1,1)&gt;=NFI_Monitor_Date,1,0))</f>
        <v/>
      </c>
      <c r="AQ1084" s="540" t="str">
        <f>IFERROR(VLOOKUP(Table_NFI[[#This Row],[Camp Name]],CL,3,0),"")</f>
        <v/>
      </c>
      <c r="AR1084" s="352" t="str">
        <f ca="1">IF(Table_NFI[[#This Row],[Pcode]]="","",OFFSET(CampList[Priority],MATCH(Table_NFI[[#This Row],[Pcode]],CampList[CP_Pcode],0)-1,0,1,1))</f>
        <v/>
      </c>
      <c r="AS1084" s="351" t="str">
        <f>IFERROR(Table_NFI[[#This Row],[Kitchen Set]]/VLOOKUP(Table_NFI[[#This Row],[Camp Name]],CL,4,0),"")</f>
        <v/>
      </c>
      <c r="AT1084" s="533" t="s">
        <v>1094</v>
      </c>
      <c r="AU1084" s="541"/>
    </row>
    <row r="1085" spans="1:47" s="546" customFormat="1" ht="15.75" hidden="1" customHeight="1" x14ac:dyDescent="0.25">
      <c r="A1085" s="355" t="str">
        <f t="shared" si="17"/>
        <v/>
      </c>
      <c r="B1085" s="532"/>
      <c r="C1085" s="538"/>
      <c r="D1085" s="538"/>
      <c r="E1085" s="538"/>
      <c r="F1085" s="538"/>
      <c r="G1085" s="538"/>
      <c r="H1085" s="350"/>
      <c r="I1085" s="350"/>
      <c r="J1085" s="350"/>
      <c r="K1085" s="350"/>
      <c r="L1085" s="350"/>
      <c r="M1085" s="350"/>
      <c r="N1085" s="350"/>
      <c r="O1085" s="350"/>
      <c r="P1085" s="352"/>
      <c r="Q1085" s="392"/>
      <c r="R1085" s="392"/>
      <c r="S1085" s="392"/>
      <c r="T1085" s="392"/>
      <c r="U1085" s="392"/>
      <c r="V1085" s="497"/>
      <c r="W1085" s="392"/>
      <c r="X1085" s="392"/>
      <c r="Y1085" s="352">
        <f>IF(NFI_Expiration=1,IF($A1085&lt;VLOOKUP(H$5,NFI,5,0),1,0)*Table_NFI[[#This Row],[Hygiene Kit]],Table_NFI[Hygiene Kit])</f>
        <v>0</v>
      </c>
      <c r="Z1085" s="352">
        <f>IF(NFI_Expiration=1,IF($A1085&lt;VLOOKUP(I$5,NFI,5,0),1,0)*Table_NFI[[#This Row],[NFI Core Kit]],Table_NFI[NFI Core Kit])</f>
        <v>0</v>
      </c>
      <c r="AA1085" s="352">
        <f>IF(NFI_Expiration=1,IF($A1085&lt;VLOOKUP(J$5,NFI,5,0),1,0)*Table_NFI[[#This Row],[Sanitary Kit]],Table_NFI[Sanitary Kit])</f>
        <v>0</v>
      </c>
      <c r="AB1085" s="352">
        <f>IF(NFI_Expiration=1,IF($A1085&lt;VLOOKUP(K$5,NFI,5,0),1,0)*Table_NFI[[#This Row],[Mosquito net]],Table_NFI[Mosquito net])</f>
        <v>0</v>
      </c>
      <c r="AC1085" s="352">
        <f>IF(NFI_Expiration=1,IF($A1085&lt;VLOOKUP(L$5,NFI,5,0),1,0)*Table_NFI[[#This Row],[Tarpaulin]],Table_NFI[[#This Row],[Tarpaulin]])</f>
        <v>0</v>
      </c>
      <c r="AD1085" s="352">
        <f>IF(NFI_Expiration=1,IF($A1085&lt;VLOOKUP(M$5,NFI,5,0),1,0)*Table_NFI[[#This Row],[Blanket]],Table_NFI[[#This Row],[Blanket]])</f>
        <v>0</v>
      </c>
      <c r="AE1085" s="352">
        <f>IF(NFI_Expiration=1,IF($A1085&lt;VLOOKUP(N$5,NFI,5,0),1,0)*Table_NFI[[#This Row],[Kitchen Set]],Table_NFI[Kitchen Set])</f>
        <v>0</v>
      </c>
      <c r="AF1085" s="352">
        <f>IF(NFI_Expiration=1,IF($A1085&lt;VLOOKUP(O$5,NFI,5,0),1,0)*Table_NFI[[#This Row],[Clothes Kit]],Table_NFI[Clothes Kit])</f>
        <v>0</v>
      </c>
      <c r="AG1085" s="352">
        <f>IF(NFI_Expiration=1,IF($A1085&lt;VLOOKUP(P$5,NFI,5,0),1,0)*Table_NFI[[#This Row],[Plastic Bucket]],Table_NFI[Plastic Bucket])</f>
        <v>0</v>
      </c>
      <c r="AH1085" s="352">
        <f>IF(NFI_Expiration=1,IF($A1085&lt;VLOOKUP(Q$5,NFI,5,0),1,0)*Table_NFI[[#This Row],[Plastic Mat]],Table_NFI[Plastic Mat])*IF(Table_NFI[[#This Row],[Distribution Date]]&gt;"2014-04-01",1,2.5)</f>
        <v>0</v>
      </c>
      <c r="AI1085" s="352">
        <f>IF(NFI_Expiration=1,IF($A1085&lt;VLOOKUP(R$5,NFI,5,0),1,0)*Table_NFI[[#This Row],[Winter Clothes Adult]],Table_NFI[Winter Clothes Adult])</f>
        <v>0</v>
      </c>
      <c r="AJ1085" s="352">
        <f>IF(NFI_Expiration=1,IF($A1085&lt;VLOOKUP(S$5,NFI,5,0),1,0)*Table_NFI[[#This Row],[Winter Clothes Children]],Table_NFI[Winter Clothes Children])</f>
        <v>0</v>
      </c>
      <c r="AK1085" s="352">
        <f>IF(NFI_Expiration=1,IF($A1085&lt;VLOOKUP(T$5,NFI,5,0),1,0)*Table_NFI[[#This Row],[Winter Items Other]],Table_NFI[Winter Items Other])</f>
        <v>0</v>
      </c>
      <c r="AL1085" s="352">
        <f>IF(NFI_Expiration=1,IF($A1085&lt;VLOOKUP(M$5,NFI,5,0),1,0)*Table_NFI[[#This Row],[Winter Blanket]],Table_NFI[[#This Row],[Winter Blanket]])</f>
        <v>0</v>
      </c>
      <c r="AM1085" s="352">
        <f>IF(Table_NFI[[#This Row],[Winter Clothes Adult]]+Table_NFI[[#This Row],[Winter Clothes Children]]+Table_NFI[[#This Row],[Winter Items Other]]+Table_NFI[[#This Row],[Winter Blanket]]&gt;0,1,0)</f>
        <v>0</v>
      </c>
      <c r="AN1085" s="392">
        <f>IF(NFI_Expiration=1,IF($A1085&lt;VLOOKUP(V$5,NFI,5,0),1,0)*Table_NFI[[#This Row],[Jerry Can]],Table_NFI[Jerry Can])</f>
        <v>0</v>
      </c>
      <c r="AO1085" s="540" t="str">
        <f>IFERROR(VLOOKUP(Table_NFI[[#This Row],[Camp Name]],CL,2,0),"")</f>
        <v/>
      </c>
      <c r="AP1085" s="535" t="str">
        <f ca="1">IF(Table_NFI[[#This Row],[Pcode]]="","",IF(OFFSET(CampList[Opening Date],MATCH(Table_NFI[[#This Row],[Pcode]],CampList[CP_Pcode],0)-1,0,1,1)&gt;=NFI_Monitor_Date,1,0))</f>
        <v/>
      </c>
      <c r="AQ1085" s="540" t="str">
        <f>IFERROR(VLOOKUP(Table_NFI[[#This Row],[Camp Name]],CL,3,0),"")</f>
        <v/>
      </c>
      <c r="AR1085" s="352" t="str">
        <f ca="1">IF(Table_NFI[[#This Row],[Pcode]]="","",OFFSET(CampList[Priority],MATCH(Table_NFI[[#This Row],[Pcode]],CampList[CP_Pcode],0)-1,0,1,1))</f>
        <v/>
      </c>
      <c r="AS1085" s="351" t="str">
        <f>IFERROR(Table_NFI[[#This Row],[Kitchen Set]]/VLOOKUP(Table_NFI[[#This Row],[Camp Name]],CL,4,0),"")</f>
        <v/>
      </c>
      <c r="AT1085" s="533" t="s">
        <v>1094</v>
      </c>
      <c r="AU1085" s="541"/>
    </row>
    <row r="1086" spans="1:47" s="546" customFormat="1" ht="15.75" hidden="1" customHeight="1" x14ac:dyDescent="0.25">
      <c r="A1086" s="355" t="str">
        <f t="shared" si="17"/>
        <v/>
      </c>
      <c r="B1086" s="532"/>
      <c r="C1086" s="538"/>
      <c r="D1086" s="538"/>
      <c r="E1086" s="538"/>
      <c r="F1086" s="538"/>
      <c r="G1086" s="538"/>
      <c r="H1086" s="350"/>
      <c r="I1086" s="350"/>
      <c r="J1086" s="350"/>
      <c r="K1086" s="350"/>
      <c r="L1086" s="350"/>
      <c r="M1086" s="350"/>
      <c r="N1086" s="350"/>
      <c r="O1086" s="350"/>
      <c r="P1086" s="352"/>
      <c r="Q1086" s="392"/>
      <c r="R1086" s="392"/>
      <c r="S1086" s="392"/>
      <c r="T1086" s="392"/>
      <c r="U1086" s="392"/>
      <c r="V1086" s="497"/>
      <c r="W1086" s="392"/>
      <c r="X1086" s="392"/>
      <c r="Y1086" s="352">
        <f>IF(NFI_Expiration=1,IF($A1086&lt;VLOOKUP(H$5,NFI,5,0),1,0)*Table_NFI[[#This Row],[Hygiene Kit]],Table_NFI[Hygiene Kit])</f>
        <v>0</v>
      </c>
      <c r="Z1086" s="352">
        <f>IF(NFI_Expiration=1,IF($A1086&lt;VLOOKUP(I$5,NFI,5,0),1,0)*Table_NFI[[#This Row],[NFI Core Kit]],Table_NFI[NFI Core Kit])</f>
        <v>0</v>
      </c>
      <c r="AA1086" s="352">
        <f>IF(NFI_Expiration=1,IF($A1086&lt;VLOOKUP(J$5,NFI,5,0),1,0)*Table_NFI[[#This Row],[Sanitary Kit]],Table_NFI[Sanitary Kit])</f>
        <v>0</v>
      </c>
      <c r="AB1086" s="352">
        <f>IF(NFI_Expiration=1,IF($A1086&lt;VLOOKUP(K$5,NFI,5,0),1,0)*Table_NFI[[#This Row],[Mosquito net]],Table_NFI[Mosquito net])</f>
        <v>0</v>
      </c>
      <c r="AC1086" s="352">
        <f>IF(NFI_Expiration=1,IF($A1086&lt;VLOOKUP(L$5,NFI,5,0),1,0)*Table_NFI[[#This Row],[Tarpaulin]],Table_NFI[[#This Row],[Tarpaulin]])</f>
        <v>0</v>
      </c>
      <c r="AD1086" s="352">
        <f>IF(NFI_Expiration=1,IF($A1086&lt;VLOOKUP(M$5,NFI,5,0),1,0)*Table_NFI[[#This Row],[Blanket]],Table_NFI[[#This Row],[Blanket]])</f>
        <v>0</v>
      </c>
      <c r="AE1086" s="352">
        <f>IF(NFI_Expiration=1,IF($A1086&lt;VLOOKUP(N$5,NFI,5,0),1,0)*Table_NFI[[#This Row],[Kitchen Set]],Table_NFI[Kitchen Set])</f>
        <v>0</v>
      </c>
      <c r="AF1086" s="352">
        <f>IF(NFI_Expiration=1,IF($A1086&lt;VLOOKUP(O$5,NFI,5,0),1,0)*Table_NFI[[#This Row],[Clothes Kit]],Table_NFI[Clothes Kit])</f>
        <v>0</v>
      </c>
      <c r="AG1086" s="352">
        <f>IF(NFI_Expiration=1,IF($A1086&lt;VLOOKUP(P$5,NFI,5,0),1,0)*Table_NFI[[#This Row],[Plastic Bucket]],Table_NFI[Plastic Bucket])</f>
        <v>0</v>
      </c>
      <c r="AH1086" s="352">
        <f>IF(NFI_Expiration=1,IF($A1086&lt;VLOOKUP(Q$5,NFI,5,0),1,0)*Table_NFI[[#This Row],[Plastic Mat]],Table_NFI[Plastic Mat])*IF(Table_NFI[[#This Row],[Distribution Date]]&gt;"2014-04-01",1,2.5)</f>
        <v>0</v>
      </c>
      <c r="AI1086" s="352">
        <f>IF(NFI_Expiration=1,IF($A1086&lt;VLOOKUP(R$5,NFI,5,0),1,0)*Table_NFI[[#This Row],[Winter Clothes Adult]],Table_NFI[Winter Clothes Adult])</f>
        <v>0</v>
      </c>
      <c r="AJ1086" s="352">
        <f>IF(NFI_Expiration=1,IF($A1086&lt;VLOOKUP(S$5,NFI,5,0),1,0)*Table_NFI[[#This Row],[Winter Clothes Children]],Table_NFI[Winter Clothes Children])</f>
        <v>0</v>
      </c>
      <c r="AK1086" s="352">
        <f>IF(NFI_Expiration=1,IF($A1086&lt;VLOOKUP(T$5,NFI,5,0),1,0)*Table_NFI[[#This Row],[Winter Items Other]],Table_NFI[Winter Items Other])</f>
        <v>0</v>
      </c>
      <c r="AL1086" s="352">
        <f>IF(NFI_Expiration=1,IF($A1086&lt;VLOOKUP(M$5,NFI,5,0),1,0)*Table_NFI[[#This Row],[Winter Blanket]],Table_NFI[[#This Row],[Winter Blanket]])</f>
        <v>0</v>
      </c>
      <c r="AM1086" s="352">
        <f>IF(Table_NFI[[#This Row],[Winter Clothes Adult]]+Table_NFI[[#This Row],[Winter Clothes Children]]+Table_NFI[[#This Row],[Winter Items Other]]+Table_NFI[[#This Row],[Winter Blanket]]&gt;0,1,0)</f>
        <v>0</v>
      </c>
      <c r="AN1086" s="392">
        <f>IF(NFI_Expiration=1,IF($A1086&lt;VLOOKUP(V$5,NFI,5,0),1,0)*Table_NFI[[#This Row],[Jerry Can]],Table_NFI[Jerry Can])</f>
        <v>0</v>
      </c>
      <c r="AO1086" s="540" t="str">
        <f>IFERROR(VLOOKUP(Table_NFI[[#This Row],[Camp Name]],CL,2,0),"")</f>
        <v/>
      </c>
      <c r="AP1086" s="535" t="str">
        <f ca="1">IF(Table_NFI[[#This Row],[Pcode]]="","",IF(OFFSET(CampList[Opening Date],MATCH(Table_NFI[[#This Row],[Pcode]],CampList[CP_Pcode],0)-1,0,1,1)&gt;=NFI_Monitor_Date,1,0))</f>
        <v/>
      </c>
      <c r="AQ1086" s="540" t="str">
        <f>IFERROR(VLOOKUP(Table_NFI[[#This Row],[Camp Name]],CL,3,0),"")</f>
        <v/>
      </c>
      <c r="AR1086" s="352" t="str">
        <f ca="1">IF(Table_NFI[[#This Row],[Pcode]]="","",OFFSET(CampList[Priority],MATCH(Table_NFI[[#This Row],[Pcode]],CampList[CP_Pcode],0)-1,0,1,1))</f>
        <v/>
      </c>
      <c r="AS1086" s="351" t="str">
        <f>IFERROR(Table_NFI[[#This Row],[Kitchen Set]]/VLOOKUP(Table_NFI[[#This Row],[Camp Name]],CL,4,0),"")</f>
        <v/>
      </c>
      <c r="AT1086" s="533" t="s">
        <v>1094</v>
      </c>
      <c r="AU1086" s="541"/>
    </row>
    <row r="1087" spans="1:47" s="546" customFormat="1" ht="15.75" hidden="1" customHeight="1" x14ac:dyDescent="0.25">
      <c r="A1087" s="355" t="str">
        <f t="shared" si="17"/>
        <v/>
      </c>
      <c r="B1087" s="532"/>
      <c r="C1087" s="538"/>
      <c r="D1087" s="538"/>
      <c r="E1087" s="538"/>
      <c r="F1087" s="538"/>
      <c r="G1087" s="538"/>
      <c r="H1087" s="350"/>
      <c r="I1087" s="350"/>
      <c r="J1087" s="350"/>
      <c r="K1087" s="350"/>
      <c r="L1087" s="350"/>
      <c r="M1087" s="350"/>
      <c r="N1087" s="350"/>
      <c r="O1087" s="350"/>
      <c r="P1087" s="352"/>
      <c r="Q1087" s="392"/>
      <c r="R1087" s="392"/>
      <c r="S1087" s="392"/>
      <c r="T1087" s="392"/>
      <c r="U1087" s="392"/>
      <c r="V1087" s="497"/>
      <c r="W1087" s="392"/>
      <c r="X1087" s="392"/>
      <c r="Y1087" s="352">
        <f>IF(NFI_Expiration=1,IF($A1087&lt;VLOOKUP(H$5,NFI,5,0),1,0)*Table_NFI[[#This Row],[Hygiene Kit]],Table_NFI[Hygiene Kit])</f>
        <v>0</v>
      </c>
      <c r="Z1087" s="352">
        <f>IF(NFI_Expiration=1,IF($A1087&lt;VLOOKUP(I$5,NFI,5,0),1,0)*Table_NFI[[#This Row],[NFI Core Kit]],Table_NFI[NFI Core Kit])</f>
        <v>0</v>
      </c>
      <c r="AA1087" s="352">
        <f>IF(NFI_Expiration=1,IF($A1087&lt;VLOOKUP(J$5,NFI,5,0),1,0)*Table_NFI[[#This Row],[Sanitary Kit]],Table_NFI[Sanitary Kit])</f>
        <v>0</v>
      </c>
      <c r="AB1087" s="352">
        <f>IF(NFI_Expiration=1,IF($A1087&lt;VLOOKUP(K$5,NFI,5,0),1,0)*Table_NFI[[#This Row],[Mosquito net]],Table_NFI[Mosquito net])</f>
        <v>0</v>
      </c>
      <c r="AC1087" s="352">
        <f>IF(NFI_Expiration=1,IF($A1087&lt;VLOOKUP(L$5,NFI,5,0),1,0)*Table_NFI[[#This Row],[Tarpaulin]],Table_NFI[[#This Row],[Tarpaulin]])</f>
        <v>0</v>
      </c>
      <c r="AD1087" s="352">
        <f>IF(NFI_Expiration=1,IF($A1087&lt;VLOOKUP(M$5,NFI,5,0),1,0)*Table_NFI[[#This Row],[Blanket]],Table_NFI[[#This Row],[Blanket]])</f>
        <v>0</v>
      </c>
      <c r="AE1087" s="352">
        <f>IF(NFI_Expiration=1,IF($A1087&lt;VLOOKUP(N$5,NFI,5,0),1,0)*Table_NFI[[#This Row],[Kitchen Set]],Table_NFI[Kitchen Set])</f>
        <v>0</v>
      </c>
      <c r="AF1087" s="352">
        <f>IF(NFI_Expiration=1,IF($A1087&lt;VLOOKUP(O$5,NFI,5,0),1,0)*Table_NFI[[#This Row],[Clothes Kit]],Table_NFI[Clothes Kit])</f>
        <v>0</v>
      </c>
      <c r="AG1087" s="352">
        <f>IF(NFI_Expiration=1,IF($A1087&lt;VLOOKUP(P$5,NFI,5,0),1,0)*Table_NFI[[#This Row],[Plastic Bucket]],Table_NFI[Plastic Bucket])</f>
        <v>0</v>
      </c>
      <c r="AH1087" s="352">
        <f>IF(NFI_Expiration=1,IF($A1087&lt;VLOOKUP(Q$5,NFI,5,0),1,0)*Table_NFI[[#This Row],[Plastic Mat]],Table_NFI[Plastic Mat])*IF(Table_NFI[[#This Row],[Distribution Date]]&gt;"2014-04-01",1,2.5)</f>
        <v>0</v>
      </c>
      <c r="AI1087" s="352">
        <f>IF(NFI_Expiration=1,IF($A1087&lt;VLOOKUP(R$5,NFI,5,0),1,0)*Table_NFI[[#This Row],[Winter Clothes Adult]],Table_NFI[Winter Clothes Adult])</f>
        <v>0</v>
      </c>
      <c r="AJ1087" s="352">
        <f>IF(NFI_Expiration=1,IF($A1087&lt;VLOOKUP(S$5,NFI,5,0),1,0)*Table_NFI[[#This Row],[Winter Clothes Children]],Table_NFI[Winter Clothes Children])</f>
        <v>0</v>
      </c>
      <c r="AK1087" s="352">
        <f>IF(NFI_Expiration=1,IF($A1087&lt;VLOOKUP(T$5,NFI,5,0),1,0)*Table_NFI[[#This Row],[Winter Items Other]],Table_NFI[Winter Items Other])</f>
        <v>0</v>
      </c>
      <c r="AL1087" s="352">
        <f>IF(NFI_Expiration=1,IF($A1087&lt;VLOOKUP(M$5,NFI,5,0),1,0)*Table_NFI[[#This Row],[Winter Blanket]],Table_NFI[[#This Row],[Winter Blanket]])</f>
        <v>0</v>
      </c>
      <c r="AM1087" s="352">
        <f>IF(Table_NFI[[#This Row],[Winter Clothes Adult]]+Table_NFI[[#This Row],[Winter Clothes Children]]+Table_NFI[[#This Row],[Winter Items Other]]+Table_NFI[[#This Row],[Winter Blanket]]&gt;0,1,0)</f>
        <v>0</v>
      </c>
      <c r="AN1087" s="392">
        <f>IF(NFI_Expiration=1,IF($A1087&lt;VLOOKUP(V$5,NFI,5,0),1,0)*Table_NFI[[#This Row],[Jerry Can]],Table_NFI[Jerry Can])</f>
        <v>0</v>
      </c>
      <c r="AO1087" s="540" t="str">
        <f>IFERROR(VLOOKUP(Table_NFI[[#This Row],[Camp Name]],CL,2,0),"")</f>
        <v/>
      </c>
      <c r="AP1087" s="535" t="str">
        <f ca="1">IF(Table_NFI[[#This Row],[Pcode]]="","",IF(OFFSET(CampList[Opening Date],MATCH(Table_NFI[[#This Row],[Pcode]],CampList[CP_Pcode],0)-1,0,1,1)&gt;=NFI_Monitor_Date,1,0))</f>
        <v/>
      </c>
      <c r="AQ1087" s="540" t="str">
        <f>IFERROR(VLOOKUP(Table_NFI[[#This Row],[Camp Name]],CL,3,0),"")</f>
        <v/>
      </c>
      <c r="AR1087" s="352" t="str">
        <f ca="1">IF(Table_NFI[[#This Row],[Pcode]]="","",OFFSET(CampList[Priority],MATCH(Table_NFI[[#This Row],[Pcode]],CampList[CP_Pcode],0)-1,0,1,1))</f>
        <v/>
      </c>
      <c r="AS1087" s="351" t="str">
        <f>IFERROR(Table_NFI[[#This Row],[Kitchen Set]]/VLOOKUP(Table_NFI[[#This Row],[Camp Name]],CL,4,0),"")</f>
        <v/>
      </c>
      <c r="AT1087" s="533" t="s">
        <v>1094</v>
      </c>
      <c r="AU1087" s="541"/>
    </row>
    <row r="1088" spans="1:47" s="546" customFormat="1" ht="15.75" hidden="1" customHeight="1" x14ac:dyDescent="0.25">
      <c r="A1088" s="355" t="str">
        <f t="shared" si="17"/>
        <v/>
      </c>
      <c r="B1088" s="532"/>
      <c r="C1088" s="538"/>
      <c r="D1088" s="538"/>
      <c r="E1088" s="538"/>
      <c r="F1088" s="538"/>
      <c r="G1088" s="538"/>
      <c r="H1088" s="350"/>
      <c r="I1088" s="350"/>
      <c r="J1088" s="350"/>
      <c r="K1088" s="350"/>
      <c r="L1088" s="350"/>
      <c r="M1088" s="350"/>
      <c r="N1088" s="350"/>
      <c r="O1088" s="350"/>
      <c r="P1088" s="352"/>
      <c r="Q1088" s="392"/>
      <c r="R1088" s="392"/>
      <c r="S1088" s="392"/>
      <c r="T1088" s="392"/>
      <c r="U1088" s="392"/>
      <c r="V1088" s="497"/>
      <c r="W1088" s="392"/>
      <c r="X1088" s="392"/>
      <c r="Y1088" s="352">
        <f>IF(NFI_Expiration=1,IF($A1088&lt;VLOOKUP(H$5,NFI,5,0),1,0)*Table_NFI[[#This Row],[Hygiene Kit]],Table_NFI[Hygiene Kit])</f>
        <v>0</v>
      </c>
      <c r="Z1088" s="352">
        <f>IF(NFI_Expiration=1,IF($A1088&lt;VLOOKUP(I$5,NFI,5,0),1,0)*Table_NFI[[#This Row],[NFI Core Kit]],Table_NFI[NFI Core Kit])</f>
        <v>0</v>
      </c>
      <c r="AA1088" s="352">
        <f>IF(NFI_Expiration=1,IF($A1088&lt;VLOOKUP(J$5,NFI,5,0),1,0)*Table_NFI[[#This Row],[Sanitary Kit]],Table_NFI[Sanitary Kit])</f>
        <v>0</v>
      </c>
      <c r="AB1088" s="352">
        <f>IF(NFI_Expiration=1,IF($A1088&lt;VLOOKUP(K$5,NFI,5,0),1,0)*Table_NFI[[#This Row],[Mosquito net]],Table_NFI[Mosquito net])</f>
        <v>0</v>
      </c>
      <c r="AC1088" s="352">
        <f>IF(NFI_Expiration=1,IF($A1088&lt;VLOOKUP(L$5,NFI,5,0),1,0)*Table_NFI[[#This Row],[Tarpaulin]],Table_NFI[[#This Row],[Tarpaulin]])</f>
        <v>0</v>
      </c>
      <c r="AD1088" s="352">
        <f>IF(NFI_Expiration=1,IF($A1088&lt;VLOOKUP(M$5,NFI,5,0),1,0)*Table_NFI[[#This Row],[Blanket]],Table_NFI[[#This Row],[Blanket]])</f>
        <v>0</v>
      </c>
      <c r="AE1088" s="352">
        <f>IF(NFI_Expiration=1,IF($A1088&lt;VLOOKUP(N$5,NFI,5,0),1,0)*Table_NFI[[#This Row],[Kitchen Set]],Table_NFI[Kitchen Set])</f>
        <v>0</v>
      </c>
      <c r="AF1088" s="352">
        <f>IF(NFI_Expiration=1,IF($A1088&lt;VLOOKUP(O$5,NFI,5,0),1,0)*Table_NFI[[#This Row],[Clothes Kit]],Table_NFI[Clothes Kit])</f>
        <v>0</v>
      </c>
      <c r="AG1088" s="352">
        <f>IF(NFI_Expiration=1,IF($A1088&lt;VLOOKUP(P$5,NFI,5,0),1,0)*Table_NFI[[#This Row],[Plastic Bucket]],Table_NFI[Plastic Bucket])</f>
        <v>0</v>
      </c>
      <c r="AH1088" s="352">
        <f>IF(NFI_Expiration=1,IF($A1088&lt;VLOOKUP(Q$5,NFI,5,0),1,0)*Table_NFI[[#This Row],[Plastic Mat]],Table_NFI[Plastic Mat])*IF(Table_NFI[[#This Row],[Distribution Date]]&gt;"2014-04-01",1,2.5)</f>
        <v>0</v>
      </c>
      <c r="AI1088" s="352">
        <f>IF(NFI_Expiration=1,IF($A1088&lt;VLOOKUP(R$5,NFI,5,0),1,0)*Table_NFI[[#This Row],[Winter Clothes Adult]],Table_NFI[Winter Clothes Adult])</f>
        <v>0</v>
      </c>
      <c r="AJ1088" s="352">
        <f>IF(NFI_Expiration=1,IF($A1088&lt;VLOOKUP(S$5,NFI,5,0),1,0)*Table_NFI[[#This Row],[Winter Clothes Children]],Table_NFI[Winter Clothes Children])</f>
        <v>0</v>
      </c>
      <c r="AK1088" s="352">
        <f>IF(NFI_Expiration=1,IF($A1088&lt;VLOOKUP(T$5,NFI,5,0),1,0)*Table_NFI[[#This Row],[Winter Items Other]],Table_NFI[Winter Items Other])</f>
        <v>0</v>
      </c>
      <c r="AL1088" s="352">
        <f>IF(NFI_Expiration=1,IF($A1088&lt;VLOOKUP(M$5,NFI,5,0),1,0)*Table_NFI[[#This Row],[Winter Blanket]],Table_NFI[[#This Row],[Winter Blanket]])</f>
        <v>0</v>
      </c>
      <c r="AM1088" s="352">
        <f>IF(Table_NFI[[#This Row],[Winter Clothes Adult]]+Table_NFI[[#This Row],[Winter Clothes Children]]+Table_NFI[[#This Row],[Winter Items Other]]+Table_NFI[[#This Row],[Winter Blanket]]&gt;0,1,0)</f>
        <v>0</v>
      </c>
      <c r="AN1088" s="392">
        <f>IF(NFI_Expiration=1,IF($A1088&lt;VLOOKUP(V$5,NFI,5,0),1,0)*Table_NFI[[#This Row],[Jerry Can]],Table_NFI[Jerry Can])</f>
        <v>0</v>
      </c>
      <c r="AO1088" s="540" t="str">
        <f>IFERROR(VLOOKUP(Table_NFI[[#This Row],[Camp Name]],CL,2,0),"")</f>
        <v/>
      </c>
      <c r="AP1088" s="535" t="str">
        <f ca="1">IF(Table_NFI[[#This Row],[Pcode]]="","",IF(OFFSET(CampList[Opening Date],MATCH(Table_NFI[[#This Row],[Pcode]],CampList[CP_Pcode],0)-1,0,1,1)&gt;=NFI_Monitor_Date,1,0))</f>
        <v/>
      </c>
      <c r="AQ1088" s="540" t="str">
        <f>IFERROR(VLOOKUP(Table_NFI[[#This Row],[Camp Name]],CL,3,0),"")</f>
        <v/>
      </c>
      <c r="AR1088" s="352" t="str">
        <f ca="1">IF(Table_NFI[[#This Row],[Pcode]]="","",OFFSET(CampList[Priority],MATCH(Table_NFI[[#This Row],[Pcode]],CampList[CP_Pcode],0)-1,0,1,1))</f>
        <v/>
      </c>
      <c r="AS1088" s="351" t="str">
        <f>IFERROR(Table_NFI[[#This Row],[Kitchen Set]]/VLOOKUP(Table_NFI[[#This Row],[Camp Name]],CL,4,0),"")</f>
        <v/>
      </c>
      <c r="AT1088" s="533" t="s">
        <v>1094</v>
      </c>
      <c r="AU1088" s="541"/>
    </row>
    <row r="1089" spans="1:47" s="546" customFormat="1" ht="15.75" hidden="1" customHeight="1" x14ac:dyDescent="0.25">
      <c r="A1089" s="355" t="str">
        <f t="shared" si="17"/>
        <v/>
      </c>
      <c r="B1089" s="532"/>
      <c r="C1089" s="538"/>
      <c r="D1089" s="538"/>
      <c r="E1089" s="538"/>
      <c r="F1089" s="538"/>
      <c r="G1089" s="538"/>
      <c r="H1089" s="350"/>
      <c r="I1089" s="350"/>
      <c r="J1089" s="350"/>
      <c r="K1089" s="350"/>
      <c r="L1089" s="350"/>
      <c r="M1089" s="350"/>
      <c r="N1089" s="350"/>
      <c r="O1089" s="350"/>
      <c r="P1089" s="352"/>
      <c r="Q1089" s="392"/>
      <c r="R1089" s="392"/>
      <c r="S1089" s="392"/>
      <c r="T1089" s="392"/>
      <c r="U1089" s="392"/>
      <c r="V1089" s="497"/>
      <c r="W1089" s="392"/>
      <c r="X1089" s="392"/>
      <c r="Y1089" s="352">
        <f>IF(NFI_Expiration=1,IF($A1089&lt;VLOOKUP(H$5,NFI,5,0),1,0)*Table_NFI[[#This Row],[Hygiene Kit]],Table_NFI[Hygiene Kit])</f>
        <v>0</v>
      </c>
      <c r="Z1089" s="352">
        <f>IF(NFI_Expiration=1,IF($A1089&lt;VLOOKUP(I$5,NFI,5,0),1,0)*Table_NFI[[#This Row],[NFI Core Kit]],Table_NFI[NFI Core Kit])</f>
        <v>0</v>
      </c>
      <c r="AA1089" s="352">
        <f>IF(NFI_Expiration=1,IF($A1089&lt;VLOOKUP(J$5,NFI,5,0),1,0)*Table_NFI[[#This Row],[Sanitary Kit]],Table_NFI[Sanitary Kit])</f>
        <v>0</v>
      </c>
      <c r="AB1089" s="352">
        <f>IF(NFI_Expiration=1,IF($A1089&lt;VLOOKUP(K$5,NFI,5,0),1,0)*Table_NFI[[#This Row],[Mosquito net]],Table_NFI[Mosquito net])</f>
        <v>0</v>
      </c>
      <c r="AC1089" s="352">
        <f>IF(NFI_Expiration=1,IF($A1089&lt;VLOOKUP(L$5,NFI,5,0),1,0)*Table_NFI[[#This Row],[Tarpaulin]],Table_NFI[[#This Row],[Tarpaulin]])</f>
        <v>0</v>
      </c>
      <c r="AD1089" s="352">
        <f>IF(NFI_Expiration=1,IF($A1089&lt;VLOOKUP(M$5,NFI,5,0),1,0)*Table_NFI[[#This Row],[Blanket]],Table_NFI[[#This Row],[Blanket]])</f>
        <v>0</v>
      </c>
      <c r="AE1089" s="352">
        <f>IF(NFI_Expiration=1,IF($A1089&lt;VLOOKUP(N$5,NFI,5,0),1,0)*Table_NFI[[#This Row],[Kitchen Set]],Table_NFI[Kitchen Set])</f>
        <v>0</v>
      </c>
      <c r="AF1089" s="352">
        <f>IF(NFI_Expiration=1,IF($A1089&lt;VLOOKUP(O$5,NFI,5,0),1,0)*Table_NFI[[#This Row],[Clothes Kit]],Table_NFI[Clothes Kit])</f>
        <v>0</v>
      </c>
      <c r="AG1089" s="352">
        <f>IF(NFI_Expiration=1,IF($A1089&lt;VLOOKUP(P$5,NFI,5,0),1,0)*Table_NFI[[#This Row],[Plastic Bucket]],Table_NFI[Plastic Bucket])</f>
        <v>0</v>
      </c>
      <c r="AH1089" s="352">
        <f>IF(NFI_Expiration=1,IF($A1089&lt;VLOOKUP(Q$5,NFI,5,0),1,0)*Table_NFI[[#This Row],[Plastic Mat]],Table_NFI[Plastic Mat])*IF(Table_NFI[[#This Row],[Distribution Date]]&gt;"2014-04-01",1,2.5)</f>
        <v>0</v>
      </c>
      <c r="AI1089" s="352">
        <f>IF(NFI_Expiration=1,IF($A1089&lt;VLOOKUP(R$5,NFI,5,0),1,0)*Table_NFI[[#This Row],[Winter Clothes Adult]],Table_NFI[Winter Clothes Adult])</f>
        <v>0</v>
      </c>
      <c r="AJ1089" s="352">
        <f>IF(NFI_Expiration=1,IF($A1089&lt;VLOOKUP(S$5,NFI,5,0),1,0)*Table_NFI[[#This Row],[Winter Clothes Children]],Table_NFI[Winter Clothes Children])</f>
        <v>0</v>
      </c>
      <c r="AK1089" s="352">
        <f>IF(NFI_Expiration=1,IF($A1089&lt;VLOOKUP(T$5,NFI,5,0),1,0)*Table_NFI[[#This Row],[Winter Items Other]],Table_NFI[Winter Items Other])</f>
        <v>0</v>
      </c>
      <c r="AL1089" s="352">
        <f>IF(NFI_Expiration=1,IF($A1089&lt;VLOOKUP(M$5,NFI,5,0),1,0)*Table_NFI[[#This Row],[Winter Blanket]],Table_NFI[[#This Row],[Winter Blanket]])</f>
        <v>0</v>
      </c>
      <c r="AM1089" s="352">
        <f>IF(Table_NFI[[#This Row],[Winter Clothes Adult]]+Table_NFI[[#This Row],[Winter Clothes Children]]+Table_NFI[[#This Row],[Winter Items Other]]+Table_NFI[[#This Row],[Winter Blanket]]&gt;0,1,0)</f>
        <v>0</v>
      </c>
      <c r="AN1089" s="392">
        <f>IF(NFI_Expiration=1,IF($A1089&lt;VLOOKUP(V$5,NFI,5,0),1,0)*Table_NFI[[#This Row],[Jerry Can]],Table_NFI[Jerry Can])</f>
        <v>0</v>
      </c>
      <c r="AO1089" s="540" t="str">
        <f>IFERROR(VLOOKUP(Table_NFI[[#This Row],[Camp Name]],CL,2,0),"")</f>
        <v/>
      </c>
      <c r="AP1089" s="535" t="str">
        <f ca="1">IF(Table_NFI[[#This Row],[Pcode]]="","",IF(OFFSET(CampList[Opening Date],MATCH(Table_NFI[[#This Row],[Pcode]],CampList[CP_Pcode],0)-1,0,1,1)&gt;=NFI_Monitor_Date,1,0))</f>
        <v/>
      </c>
      <c r="AQ1089" s="540" t="str">
        <f>IFERROR(VLOOKUP(Table_NFI[[#This Row],[Camp Name]],CL,3,0),"")</f>
        <v/>
      </c>
      <c r="AR1089" s="352" t="str">
        <f ca="1">IF(Table_NFI[[#This Row],[Pcode]]="","",OFFSET(CampList[Priority],MATCH(Table_NFI[[#This Row],[Pcode]],CampList[CP_Pcode],0)-1,0,1,1))</f>
        <v/>
      </c>
      <c r="AS1089" s="351" t="str">
        <f>IFERROR(Table_NFI[[#This Row],[Kitchen Set]]/VLOOKUP(Table_NFI[[#This Row],[Camp Name]],CL,4,0),"")</f>
        <v/>
      </c>
      <c r="AT1089" s="533" t="s">
        <v>1094</v>
      </c>
      <c r="AU1089" s="541"/>
    </row>
    <row r="1090" spans="1:47" s="546" customFormat="1" ht="15.75" hidden="1" customHeight="1" x14ac:dyDescent="0.25">
      <c r="A1090" s="355" t="str">
        <f t="shared" si="17"/>
        <v/>
      </c>
      <c r="B1090" s="532"/>
      <c r="C1090" s="538"/>
      <c r="D1090" s="538"/>
      <c r="E1090" s="538"/>
      <c r="F1090" s="538"/>
      <c r="G1090" s="538"/>
      <c r="H1090" s="350"/>
      <c r="I1090" s="350"/>
      <c r="J1090" s="350"/>
      <c r="K1090" s="350"/>
      <c r="L1090" s="350"/>
      <c r="M1090" s="350"/>
      <c r="N1090" s="350"/>
      <c r="O1090" s="350"/>
      <c r="P1090" s="352"/>
      <c r="Q1090" s="392"/>
      <c r="R1090" s="392"/>
      <c r="S1090" s="392"/>
      <c r="T1090" s="392"/>
      <c r="U1090" s="392"/>
      <c r="V1090" s="497"/>
      <c r="W1090" s="392"/>
      <c r="X1090" s="392"/>
      <c r="Y1090" s="352">
        <f>IF(NFI_Expiration=1,IF($A1090&lt;VLOOKUP(H$5,NFI,5,0),1,0)*Table_NFI[[#This Row],[Hygiene Kit]],Table_NFI[Hygiene Kit])</f>
        <v>0</v>
      </c>
      <c r="Z1090" s="352">
        <f>IF(NFI_Expiration=1,IF($A1090&lt;VLOOKUP(I$5,NFI,5,0),1,0)*Table_NFI[[#This Row],[NFI Core Kit]],Table_NFI[NFI Core Kit])</f>
        <v>0</v>
      </c>
      <c r="AA1090" s="352">
        <f>IF(NFI_Expiration=1,IF($A1090&lt;VLOOKUP(J$5,NFI,5,0),1,0)*Table_NFI[[#This Row],[Sanitary Kit]],Table_NFI[Sanitary Kit])</f>
        <v>0</v>
      </c>
      <c r="AB1090" s="352">
        <f>IF(NFI_Expiration=1,IF($A1090&lt;VLOOKUP(K$5,NFI,5,0),1,0)*Table_NFI[[#This Row],[Mosquito net]],Table_NFI[Mosquito net])</f>
        <v>0</v>
      </c>
      <c r="AC1090" s="352">
        <f>IF(NFI_Expiration=1,IF($A1090&lt;VLOOKUP(L$5,NFI,5,0),1,0)*Table_NFI[[#This Row],[Tarpaulin]],Table_NFI[[#This Row],[Tarpaulin]])</f>
        <v>0</v>
      </c>
      <c r="AD1090" s="352">
        <f>IF(NFI_Expiration=1,IF($A1090&lt;VLOOKUP(M$5,NFI,5,0),1,0)*Table_NFI[[#This Row],[Blanket]],Table_NFI[[#This Row],[Blanket]])</f>
        <v>0</v>
      </c>
      <c r="AE1090" s="352">
        <f>IF(NFI_Expiration=1,IF($A1090&lt;VLOOKUP(N$5,NFI,5,0),1,0)*Table_NFI[[#This Row],[Kitchen Set]],Table_NFI[Kitchen Set])</f>
        <v>0</v>
      </c>
      <c r="AF1090" s="352">
        <f>IF(NFI_Expiration=1,IF($A1090&lt;VLOOKUP(O$5,NFI,5,0),1,0)*Table_NFI[[#This Row],[Clothes Kit]],Table_NFI[Clothes Kit])</f>
        <v>0</v>
      </c>
      <c r="AG1090" s="352">
        <f>IF(NFI_Expiration=1,IF($A1090&lt;VLOOKUP(P$5,NFI,5,0),1,0)*Table_NFI[[#This Row],[Plastic Bucket]],Table_NFI[Plastic Bucket])</f>
        <v>0</v>
      </c>
      <c r="AH1090" s="352">
        <f>IF(NFI_Expiration=1,IF($A1090&lt;VLOOKUP(Q$5,NFI,5,0),1,0)*Table_NFI[[#This Row],[Plastic Mat]],Table_NFI[Plastic Mat])*IF(Table_NFI[[#This Row],[Distribution Date]]&gt;"2014-04-01",1,2.5)</f>
        <v>0</v>
      </c>
      <c r="AI1090" s="352">
        <f>IF(NFI_Expiration=1,IF($A1090&lt;VLOOKUP(R$5,NFI,5,0),1,0)*Table_NFI[[#This Row],[Winter Clothes Adult]],Table_NFI[Winter Clothes Adult])</f>
        <v>0</v>
      </c>
      <c r="AJ1090" s="352">
        <f>IF(NFI_Expiration=1,IF($A1090&lt;VLOOKUP(S$5,NFI,5,0),1,0)*Table_NFI[[#This Row],[Winter Clothes Children]],Table_NFI[Winter Clothes Children])</f>
        <v>0</v>
      </c>
      <c r="AK1090" s="352">
        <f>IF(NFI_Expiration=1,IF($A1090&lt;VLOOKUP(T$5,NFI,5,0),1,0)*Table_NFI[[#This Row],[Winter Items Other]],Table_NFI[Winter Items Other])</f>
        <v>0</v>
      </c>
      <c r="AL1090" s="352">
        <f>IF(NFI_Expiration=1,IF($A1090&lt;VLOOKUP(M$5,NFI,5,0),1,0)*Table_NFI[[#This Row],[Winter Blanket]],Table_NFI[[#This Row],[Winter Blanket]])</f>
        <v>0</v>
      </c>
      <c r="AM1090" s="352">
        <f>IF(Table_NFI[[#This Row],[Winter Clothes Adult]]+Table_NFI[[#This Row],[Winter Clothes Children]]+Table_NFI[[#This Row],[Winter Items Other]]+Table_NFI[[#This Row],[Winter Blanket]]&gt;0,1,0)</f>
        <v>0</v>
      </c>
      <c r="AN1090" s="392">
        <f>IF(NFI_Expiration=1,IF($A1090&lt;VLOOKUP(V$5,NFI,5,0),1,0)*Table_NFI[[#This Row],[Jerry Can]],Table_NFI[Jerry Can])</f>
        <v>0</v>
      </c>
      <c r="AO1090" s="540" t="str">
        <f>IFERROR(VLOOKUP(Table_NFI[[#This Row],[Camp Name]],CL,2,0),"")</f>
        <v/>
      </c>
      <c r="AP1090" s="535" t="str">
        <f ca="1">IF(Table_NFI[[#This Row],[Pcode]]="","",IF(OFFSET(CampList[Opening Date],MATCH(Table_NFI[[#This Row],[Pcode]],CampList[CP_Pcode],0)-1,0,1,1)&gt;=NFI_Monitor_Date,1,0))</f>
        <v/>
      </c>
      <c r="AQ1090" s="540" t="str">
        <f>IFERROR(VLOOKUP(Table_NFI[[#This Row],[Camp Name]],CL,3,0),"")</f>
        <v/>
      </c>
      <c r="AR1090" s="352" t="str">
        <f ca="1">IF(Table_NFI[[#This Row],[Pcode]]="","",OFFSET(CampList[Priority],MATCH(Table_NFI[[#This Row],[Pcode]],CampList[CP_Pcode],0)-1,0,1,1))</f>
        <v/>
      </c>
      <c r="AS1090" s="351" t="str">
        <f>IFERROR(Table_NFI[[#This Row],[Kitchen Set]]/VLOOKUP(Table_NFI[[#This Row],[Camp Name]],CL,4,0),"")</f>
        <v/>
      </c>
      <c r="AT1090" s="533" t="s">
        <v>1094</v>
      </c>
      <c r="AU1090" s="541"/>
    </row>
    <row r="1091" spans="1:47" s="546" customFormat="1" ht="15.75" hidden="1" customHeight="1" x14ac:dyDescent="0.25">
      <c r="A1091" s="355" t="str">
        <f t="shared" si="17"/>
        <v/>
      </c>
      <c r="B1091" s="532"/>
      <c r="C1091" s="538"/>
      <c r="D1091" s="538"/>
      <c r="E1091" s="538"/>
      <c r="F1091" s="538"/>
      <c r="G1091" s="538"/>
      <c r="H1091" s="350"/>
      <c r="I1091" s="350"/>
      <c r="J1091" s="350"/>
      <c r="K1091" s="350"/>
      <c r="L1091" s="350"/>
      <c r="M1091" s="350"/>
      <c r="N1091" s="350"/>
      <c r="O1091" s="350"/>
      <c r="P1091" s="352"/>
      <c r="Q1091" s="392"/>
      <c r="R1091" s="392"/>
      <c r="S1091" s="392"/>
      <c r="T1091" s="392"/>
      <c r="U1091" s="392"/>
      <c r="V1091" s="497"/>
      <c r="W1091" s="392"/>
      <c r="X1091" s="392"/>
      <c r="Y1091" s="352">
        <f>IF(NFI_Expiration=1,IF($A1091&lt;VLOOKUP(H$5,NFI,5,0),1,0)*Table_NFI[[#This Row],[Hygiene Kit]],Table_NFI[Hygiene Kit])</f>
        <v>0</v>
      </c>
      <c r="Z1091" s="352">
        <f>IF(NFI_Expiration=1,IF($A1091&lt;VLOOKUP(I$5,NFI,5,0),1,0)*Table_NFI[[#This Row],[NFI Core Kit]],Table_NFI[NFI Core Kit])</f>
        <v>0</v>
      </c>
      <c r="AA1091" s="352">
        <f>IF(NFI_Expiration=1,IF($A1091&lt;VLOOKUP(J$5,NFI,5,0),1,0)*Table_NFI[[#This Row],[Sanitary Kit]],Table_NFI[Sanitary Kit])</f>
        <v>0</v>
      </c>
      <c r="AB1091" s="352">
        <f>IF(NFI_Expiration=1,IF($A1091&lt;VLOOKUP(K$5,NFI,5,0),1,0)*Table_NFI[[#This Row],[Mosquito net]],Table_NFI[Mosquito net])</f>
        <v>0</v>
      </c>
      <c r="AC1091" s="352">
        <f>IF(NFI_Expiration=1,IF($A1091&lt;VLOOKUP(L$5,NFI,5,0),1,0)*Table_NFI[[#This Row],[Tarpaulin]],Table_NFI[[#This Row],[Tarpaulin]])</f>
        <v>0</v>
      </c>
      <c r="AD1091" s="352">
        <f>IF(NFI_Expiration=1,IF($A1091&lt;VLOOKUP(M$5,NFI,5,0),1,0)*Table_NFI[[#This Row],[Blanket]],Table_NFI[[#This Row],[Blanket]])</f>
        <v>0</v>
      </c>
      <c r="AE1091" s="352">
        <f>IF(NFI_Expiration=1,IF($A1091&lt;VLOOKUP(N$5,NFI,5,0),1,0)*Table_NFI[[#This Row],[Kitchen Set]],Table_NFI[Kitchen Set])</f>
        <v>0</v>
      </c>
      <c r="AF1091" s="352">
        <f>IF(NFI_Expiration=1,IF($A1091&lt;VLOOKUP(O$5,NFI,5,0),1,0)*Table_NFI[[#This Row],[Clothes Kit]],Table_NFI[Clothes Kit])</f>
        <v>0</v>
      </c>
      <c r="AG1091" s="352">
        <f>IF(NFI_Expiration=1,IF($A1091&lt;VLOOKUP(P$5,NFI,5,0),1,0)*Table_NFI[[#This Row],[Plastic Bucket]],Table_NFI[Plastic Bucket])</f>
        <v>0</v>
      </c>
      <c r="AH1091" s="352">
        <f>IF(NFI_Expiration=1,IF($A1091&lt;VLOOKUP(Q$5,NFI,5,0),1,0)*Table_NFI[[#This Row],[Plastic Mat]],Table_NFI[Plastic Mat])*IF(Table_NFI[[#This Row],[Distribution Date]]&gt;"2014-04-01",1,2.5)</f>
        <v>0</v>
      </c>
      <c r="AI1091" s="352">
        <f>IF(NFI_Expiration=1,IF($A1091&lt;VLOOKUP(R$5,NFI,5,0),1,0)*Table_NFI[[#This Row],[Winter Clothes Adult]],Table_NFI[Winter Clothes Adult])</f>
        <v>0</v>
      </c>
      <c r="AJ1091" s="352">
        <f>IF(NFI_Expiration=1,IF($A1091&lt;VLOOKUP(S$5,NFI,5,0),1,0)*Table_NFI[[#This Row],[Winter Clothes Children]],Table_NFI[Winter Clothes Children])</f>
        <v>0</v>
      </c>
      <c r="AK1091" s="352">
        <f>IF(NFI_Expiration=1,IF($A1091&lt;VLOOKUP(T$5,NFI,5,0),1,0)*Table_NFI[[#This Row],[Winter Items Other]],Table_NFI[Winter Items Other])</f>
        <v>0</v>
      </c>
      <c r="AL1091" s="352">
        <f>IF(NFI_Expiration=1,IF($A1091&lt;VLOOKUP(M$5,NFI,5,0),1,0)*Table_NFI[[#This Row],[Winter Blanket]],Table_NFI[[#This Row],[Winter Blanket]])</f>
        <v>0</v>
      </c>
      <c r="AM1091" s="352">
        <f>IF(Table_NFI[[#This Row],[Winter Clothes Adult]]+Table_NFI[[#This Row],[Winter Clothes Children]]+Table_NFI[[#This Row],[Winter Items Other]]+Table_NFI[[#This Row],[Winter Blanket]]&gt;0,1,0)</f>
        <v>0</v>
      </c>
      <c r="AN1091" s="392">
        <f>IF(NFI_Expiration=1,IF($A1091&lt;VLOOKUP(V$5,NFI,5,0),1,0)*Table_NFI[[#This Row],[Jerry Can]],Table_NFI[Jerry Can])</f>
        <v>0</v>
      </c>
      <c r="AO1091" s="540" t="str">
        <f>IFERROR(VLOOKUP(Table_NFI[[#This Row],[Camp Name]],CL,2,0),"")</f>
        <v/>
      </c>
      <c r="AP1091" s="535" t="str">
        <f ca="1">IF(Table_NFI[[#This Row],[Pcode]]="","",IF(OFFSET(CampList[Opening Date],MATCH(Table_NFI[[#This Row],[Pcode]],CampList[CP_Pcode],0)-1,0,1,1)&gt;=NFI_Monitor_Date,1,0))</f>
        <v/>
      </c>
      <c r="AQ1091" s="540" t="str">
        <f>IFERROR(VLOOKUP(Table_NFI[[#This Row],[Camp Name]],CL,3,0),"")</f>
        <v/>
      </c>
      <c r="AR1091" s="352" t="str">
        <f ca="1">IF(Table_NFI[[#This Row],[Pcode]]="","",OFFSET(CampList[Priority],MATCH(Table_NFI[[#This Row],[Pcode]],CampList[CP_Pcode],0)-1,0,1,1))</f>
        <v/>
      </c>
      <c r="AS1091" s="351" t="str">
        <f>IFERROR(Table_NFI[[#This Row],[Kitchen Set]]/VLOOKUP(Table_NFI[[#This Row],[Camp Name]],CL,4,0),"")</f>
        <v/>
      </c>
      <c r="AT1091" s="533" t="s">
        <v>1094</v>
      </c>
      <c r="AU1091" s="541"/>
    </row>
    <row r="1092" spans="1:47" s="546" customFormat="1" ht="15.75" hidden="1" customHeight="1" x14ac:dyDescent="0.25">
      <c r="A1092" s="355" t="str">
        <f t="shared" si="17"/>
        <v/>
      </c>
      <c r="B1092" s="532"/>
      <c r="C1092" s="538"/>
      <c r="D1092" s="538"/>
      <c r="E1092" s="538"/>
      <c r="F1092" s="538"/>
      <c r="G1092" s="538"/>
      <c r="H1092" s="350"/>
      <c r="I1092" s="350"/>
      <c r="J1092" s="350"/>
      <c r="K1092" s="350"/>
      <c r="L1092" s="350"/>
      <c r="M1092" s="350"/>
      <c r="N1092" s="350"/>
      <c r="O1092" s="350"/>
      <c r="P1092" s="352"/>
      <c r="Q1092" s="392"/>
      <c r="R1092" s="392"/>
      <c r="S1092" s="392"/>
      <c r="T1092" s="392"/>
      <c r="U1092" s="392"/>
      <c r="V1092" s="497"/>
      <c r="W1092" s="392"/>
      <c r="X1092" s="392"/>
      <c r="Y1092" s="352">
        <f>IF(NFI_Expiration=1,IF($A1092&lt;VLOOKUP(H$5,NFI,5,0),1,0)*Table_NFI[[#This Row],[Hygiene Kit]],Table_NFI[Hygiene Kit])</f>
        <v>0</v>
      </c>
      <c r="Z1092" s="352">
        <f>IF(NFI_Expiration=1,IF($A1092&lt;VLOOKUP(I$5,NFI,5,0),1,0)*Table_NFI[[#This Row],[NFI Core Kit]],Table_NFI[NFI Core Kit])</f>
        <v>0</v>
      </c>
      <c r="AA1092" s="352">
        <f>IF(NFI_Expiration=1,IF($A1092&lt;VLOOKUP(J$5,NFI,5,0),1,0)*Table_NFI[[#This Row],[Sanitary Kit]],Table_NFI[Sanitary Kit])</f>
        <v>0</v>
      </c>
      <c r="AB1092" s="352">
        <f>IF(NFI_Expiration=1,IF($A1092&lt;VLOOKUP(K$5,NFI,5,0),1,0)*Table_NFI[[#This Row],[Mosquito net]],Table_NFI[Mosquito net])</f>
        <v>0</v>
      </c>
      <c r="AC1092" s="352">
        <f>IF(NFI_Expiration=1,IF($A1092&lt;VLOOKUP(L$5,NFI,5,0),1,0)*Table_NFI[[#This Row],[Tarpaulin]],Table_NFI[[#This Row],[Tarpaulin]])</f>
        <v>0</v>
      </c>
      <c r="AD1092" s="352">
        <f>IF(NFI_Expiration=1,IF($A1092&lt;VLOOKUP(M$5,NFI,5,0),1,0)*Table_NFI[[#This Row],[Blanket]],Table_NFI[[#This Row],[Blanket]])</f>
        <v>0</v>
      </c>
      <c r="AE1092" s="352">
        <f>IF(NFI_Expiration=1,IF($A1092&lt;VLOOKUP(N$5,NFI,5,0),1,0)*Table_NFI[[#This Row],[Kitchen Set]],Table_NFI[Kitchen Set])</f>
        <v>0</v>
      </c>
      <c r="AF1092" s="352">
        <f>IF(NFI_Expiration=1,IF($A1092&lt;VLOOKUP(O$5,NFI,5,0),1,0)*Table_NFI[[#This Row],[Clothes Kit]],Table_NFI[Clothes Kit])</f>
        <v>0</v>
      </c>
      <c r="AG1092" s="352">
        <f>IF(NFI_Expiration=1,IF($A1092&lt;VLOOKUP(P$5,NFI,5,0),1,0)*Table_NFI[[#This Row],[Plastic Bucket]],Table_NFI[Plastic Bucket])</f>
        <v>0</v>
      </c>
      <c r="AH1092" s="352">
        <f>IF(NFI_Expiration=1,IF($A1092&lt;VLOOKUP(Q$5,NFI,5,0),1,0)*Table_NFI[[#This Row],[Plastic Mat]],Table_NFI[Plastic Mat])*IF(Table_NFI[[#This Row],[Distribution Date]]&gt;"2014-04-01",1,2.5)</f>
        <v>0</v>
      </c>
      <c r="AI1092" s="352">
        <f>IF(NFI_Expiration=1,IF($A1092&lt;VLOOKUP(R$5,NFI,5,0),1,0)*Table_NFI[[#This Row],[Winter Clothes Adult]],Table_NFI[Winter Clothes Adult])</f>
        <v>0</v>
      </c>
      <c r="AJ1092" s="352">
        <f>IF(NFI_Expiration=1,IF($A1092&lt;VLOOKUP(S$5,NFI,5,0),1,0)*Table_NFI[[#This Row],[Winter Clothes Children]],Table_NFI[Winter Clothes Children])</f>
        <v>0</v>
      </c>
      <c r="AK1092" s="352">
        <f>IF(NFI_Expiration=1,IF($A1092&lt;VLOOKUP(T$5,NFI,5,0),1,0)*Table_NFI[[#This Row],[Winter Items Other]],Table_NFI[Winter Items Other])</f>
        <v>0</v>
      </c>
      <c r="AL1092" s="352">
        <f>IF(NFI_Expiration=1,IF($A1092&lt;VLOOKUP(M$5,NFI,5,0),1,0)*Table_NFI[[#This Row],[Winter Blanket]],Table_NFI[[#This Row],[Winter Blanket]])</f>
        <v>0</v>
      </c>
      <c r="AM1092" s="352">
        <f>IF(Table_NFI[[#This Row],[Winter Clothes Adult]]+Table_NFI[[#This Row],[Winter Clothes Children]]+Table_NFI[[#This Row],[Winter Items Other]]+Table_NFI[[#This Row],[Winter Blanket]]&gt;0,1,0)</f>
        <v>0</v>
      </c>
      <c r="AN1092" s="392">
        <f>IF(NFI_Expiration=1,IF($A1092&lt;VLOOKUP(V$5,NFI,5,0),1,0)*Table_NFI[[#This Row],[Jerry Can]],Table_NFI[Jerry Can])</f>
        <v>0</v>
      </c>
      <c r="AO1092" s="540" t="str">
        <f>IFERROR(VLOOKUP(Table_NFI[[#This Row],[Camp Name]],CL,2,0),"")</f>
        <v/>
      </c>
      <c r="AP1092" s="535" t="str">
        <f ca="1">IF(Table_NFI[[#This Row],[Pcode]]="","",IF(OFFSET(CampList[Opening Date],MATCH(Table_NFI[[#This Row],[Pcode]],CampList[CP_Pcode],0)-1,0,1,1)&gt;=NFI_Monitor_Date,1,0))</f>
        <v/>
      </c>
      <c r="AQ1092" s="540" t="str">
        <f>IFERROR(VLOOKUP(Table_NFI[[#This Row],[Camp Name]],CL,3,0),"")</f>
        <v/>
      </c>
      <c r="AR1092" s="352" t="str">
        <f ca="1">IF(Table_NFI[[#This Row],[Pcode]]="","",OFFSET(CampList[Priority],MATCH(Table_NFI[[#This Row],[Pcode]],CampList[CP_Pcode],0)-1,0,1,1))</f>
        <v/>
      </c>
      <c r="AS1092" s="351" t="str">
        <f>IFERROR(Table_NFI[[#This Row],[Kitchen Set]]/VLOOKUP(Table_NFI[[#This Row],[Camp Name]],CL,4,0),"")</f>
        <v/>
      </c>
      <c r="AT1092" s="533" t="s">
        <v>1094</v>
      </c>
      <c r="AU1092" s="541"/>
    </row>
    <row r="1093" spans="1:47" s="546" customFormat="1" ht="15.75" hidden="1" customHeight="1" x14ac:dyDescent="0.25">
      <c r="A1093" s="355" t="str">
        <f t="shared" si="17"/>
        <v/>
      </c>
      <c r="B1093" s="532"/>
      <c r="C1093" s="538"/>
      <c r="D1093" s="538"/>
      <c r="E1093" s="538"/>
      <c r="F1093" s="538"/>
      <c r="G1093" s="538"/>
      <c r="H1093" s="350"/>
      <c r="I1093" s="350"/>
      <c r="J1093" s="350"/>
      <c r="K1093" s="350"/>
      <c r="L1093" s="350"/>
      <c r="M1093" s="350"/>
      <c r="N1093" s="350"/>
      <c r="O1093" s="350"/>
      <c r="P1093" s="352"/>
      <c r="Q1093" s="392"/>
      <c r="R1093" s="392"/>
      <c r="S1093" s="392"/>
      <c r="T1093" s="392"/>
      <c r="U1093" s="392"/>
      <c r="V1093" s="497"/>
      <c r="W1093" s="392"/>
      <c r="X1093" s="392"/>
      <c r="Y1093" s="352">
        <f>IF(NFI_Expiration=1,IF($A1093&lt;VLOOKUP(H$5,NFI,5,0),1,0)*Table_NFI[[#This Row],[Hygiene Kit]],Table_NFI[Hygiene Kit])</f>
        <v>0</v>
      </c>
      <c r="Z1093" s="352">
        <f>IF(NFI_Expiration=1,IF($A1093&lt;VLOOKUP(I$5,NFI,5,0),1,0)*Table_NFI[[#This Row],[NFI Core Kit]],Table_NFI[NFI Core Kit])</f>
        <v>0</v>
      </c>
      <c r="AA1093" s="352">
        <f>IF(NFI_Expiration=1,IF($A1093&lt;VLOOKUP(J$5,NFI,5,0),1,0)*Table_NFI[[#This Row],[Sanitary Kit]],Table_NFI[Sanitary Kit])</f>
        <v>0</v>
      </c>
      <c r="AB1093" s="352">
        <f>IF(NFI_Expiration=1,IF($A1093&lt;VLOOKUP(K$5,NFI,5,0),1,0)*Table_NFI[[#This Row],[Mosquito net]],Table_NFI[Mosquito net])</f>
        <v>0</v>
      </c>
      <c r="AC1093" s="352">
        <f>IF(NFI_Expiration=1,IF($A1093&lt;VLOOKUP(L$5,NFI,5,0),1,0)*Table_NFI[[#This Row],[Tarpaulin]],Table_NFI[[#This Row],[Tarpaulin]])</f>
        <v>0</v>
      </c>
      <c r="AD1093" s="352">
        <f>IF(NFI_Expiration=1,IF($A1093&lt;VLOOKUP(M$5,NFI,5,0),1,0)*Table_NFI[[#This Row],[Blanket]],Table_NFI[[#This Row],[Blanket]])</f>
        <v>0</v>
      </c>
      <c r="AE1093" s="352">
        <f>IF(NFI_Expiration=1,IF($A1093&lt;VLOOKUP(N$5,NFI,5,0),1,0)*Table_NFI[[#This Row],[Kitchen Set]],Table_NFI[Kitchen Set])</f>
        <v>0</v>
      </c>
      <c r="AF1093" s="352">
        <f>IF(NFI_Expiration=1,IF($A1093&lt;VLOOKUP(O$5,NFI,5,0),1,0)*Table_NFI[[#This Row],[Clothes Kit]],Table_NFI[Clothes Kit])</f>
        <v>0</v>
      </c>
      <c r="AG1093" s="352">
        <f>IF(NFI_Expiration=1,IF($A1093&lt;VLOOKUP(P$5,NFI,5,0),1,0)*Table_NFI[[#This Row],[Plastic Bucket]],Table_NFI[Plastic Bucket])</f>
        <v>0</v>
      </c>
      <c r="AH1093" s="352">
        <f>IF(NFI_Expiration=1,IF($A1093&lt;VLOOKUP(Q$5,NFI,5,0),1,0)*Table_NFI[[#This Row],[Plastic Mat]],Table_NFI[Plastic Mat])*IF(Table_NFI[[#This Row],[Distribution Date]]&gt;"2014-04-01",1,2.5)</f>
        <v>0</v>
      </c>
      <c r="AI1093" s="352">
        <f>IF(NFI_Expiration=1,IF($A1093&lt;VLOOKUP(R$5,NFI,5,0),1,0)*Table_NFI[[#This Row],[Winter Clothes Adult]],Table_NFI[Winter Clothes Adult])</f>
        <v>0</v>
      </c>
      <c r="AJ1093" s="352">
        <f>IF(NFI_Expiration=1,IF($A1093&lt;VLOOKUP(S$5,NFI,5,0),1,0)*Table_NFI[[#This Row],[Winter Clothes Children]],Table_NFI[Winter Clothes Children])</f>
        <v>0</v>
      </c>
      <c r="AK1093" s="352">
        <f>IF(NFI_Expiration=1,IF($A1093&lt;VLOOKUP(T$5,NFI,5,0),1,0)*Table_NFI[[#This Row],[Winter Items Other]],Table_NFI[Winter Items Other])</f>
        <v>0</v>
      </c>
      <c r="AL1093" s="352">
        <f>IF(NFI_Expiration=1,IF($A1093&lt;VLOOKUP(M$5,NFI,5,0),1,0)*Table_NFI[[#This Row],[Winter Blanket]],Table_NFI[[#This Row],[Winter Blanket]])</f>
        <v>0</v>
      </c>
      <c r="AM1093" s="352">
        <f>IF(Table_NFI[[#This Row],[Winter Clothes Adult]]+Table_NFI[[#This Row],[Winter Clothes Children]]+Table_NFI[[#This Row],[Winter Items Other]]+Table_NFI[[#This Row],[Winter Blanket]]&gt;0,1,0)</f>
        <v>0</v>
      </c>
      <c r="AN1093" s="392">
        <f>IF(NFI_Expiration=1,IF($A1093&lt;VLOOKUP(V$5,NFI,5,0),1,0)*Table_NFI[[#This Row],[Jerry Can]],Table_NFI[Jerry Can])</f>
        <v>0</v>
      </c>
      <c r="AO1093" s="540" t="str">
        <f>IFERROR(VLOOKUP(Table_NFI[[#This Row],[Camp Name]],CL,2,0),"")</f>
        <v/>
      </c>
      <c r="AP1093" s="535" t="str">
        <f ca="1">IF(Table_NFI[[#This Row],[Pcode]]="","",IF(OFFSET(CampList[Opening Date],MATCH(Table_NFI[[#This Row],[Pcode]],CampList[CP_Pcode],0)-1,0,1,1)&gt;=NFI_Monitor_Date,1,0))</f>
        <v/>
      </c>
      <c r="AQ1093" s="540" t="str">
        <f>IFERROR(VLOOKUP(Table_NFI[[#This Row],[Camp Name]],CL,3,0),"")</f>
        <v/>
      </c>
      <c r="AR1093" s="352" t="str">
        <f ca="1">IF(Table_NFI[[#This Row],[Pcode]]="","",OFFSET(CampList[Priority],MATCH(Table_NFI[[#This Row],[Pcode]],CampList[CP_Pcode],0)-1,0,1,1))</f>
        <v/>
      </c>
      <c r="AS1093" s="351" t="str">
        <f>IFERROR(Table_NFI[[#This Row],[Kitchen Set]]/VLOOKUP(Table_NFI[[#This Row],[Camp Name]],CL,4,0),"")</f>
        <v/>
      </c>
      <c r="AT1093" s="533" t="s">
        <v>1094</v>
      </c>
      <c r="AU1093" s="541"/>
    </row>
    <row r="1094" spans="1:47" s="546" customFormat="1" ht="15.75" hidden="1" customHeight="1" x14ac:dyDescent="0.25">
      <c r="A1094" s="355" t="str">
        <f t="shared" si="17"/>
        <v/>
      </c>
      <c r="B1094" s="532"/>
      <c r="C1094" s="538"/>
      <c r="D1094" s="538"/>
      <c r="E1094" s="538"/>
      <c r="F1094" s="538"/>
      <c r="G1094" s="538"/>
      <c r="H1094" s="350"/>
      <c r="I1094" s="350"/>
      <c r="J1094" s="350"/>
      <c r="K1094" s="350"/>
      <c r="L1094" s="350"/>
      <c r="M1094" s="350"/>
      <c r="N1094" s="350"/>
      <c r="O1094" s="350"/>
      <c r="P1094" s="352"/>
      <c r="Q1094" s="392"/>
      <c r="R1094" s="392"/>
      <c r="S1094" s="392"/>
      <c r="T1094" s="392"/>
      <c r="U1094" s="392"/>
      <c r="V1094" s="497"/>
      <c r="W1094" s="392"/>
      <c r="X1094" s="392"/>
      <c r="Y1094" s="352">
        <f>IF(NFI_Expiration=1,IF($A1094&lt;VLOOKUP(H$5,NFI,5,0),1,0)*Table_NFI[[#This Row],[Hygiene Kit]],Table_NFI[Hygiene Kit])</f>
        <v>0</v>
      </c>
      <c r="Z1094" s="352">
        <f>IF(NFI_Expiration=1,IF($A1094&lt;VLOOKUP(I$5,NFI,5,0),1,0)*Table_NFI[[#This Row],[NFI Core Kit]],Table_NFI[NFI Core Kit])</f>
        <v>0</v>
      </c>
      <c r="AA1094" s="352">
        <f>IF(NFI_Expiration=1,IF($A1094&lt;VLOOKUP(J$5,NFI,5,0),1,0)*Table_NFI[[#This Row],[Sanitary Kit]],Table_NFI[Sanitary Kit])</f>
        <v>0</v>
      </c>
      <c r="AB1094" s="352">
        <f>IF(NFI_Expiration=1,IF($A1094&lt;VLOOKUP(K$5,NFI,5,0),1,0)*Table_NFI[[#This Row],[Mosquito net]],Table_NFI[Mosquito net])</f>
        <v>0</v>
      </c>
      <c r="AC1094" s="352">
        <f>IF(NFI_Expiration=1,IF($A1094&lt;VLOOKUP(L$5,NFI,5,0),1,0)*Table_NFI[[#This Row],[Tarpaulin]],Table_NFI[[#This Row],[Tarpaulin]])</f>
        <v>0</v>
      </c>
      <c r="AD1094" s="352">
        <f>IF(NFI_Expiration=1,IF($A1094&lt;VLOOKUP(M$5,NFI,5,0),1,0)*Table_NFI[[#This Row],[Blanket]],Table_NFI[[#This Row],[Blanket]])</f>
        <v>0</v>
      </c>
      <c r="AE1094" s="352">
        <f>IF(NFI_Expiration=1,IF($A1094&lt;VLOOKUP(N$5,NFI,5,0),1,0)*Table_NFI[[#This Row],[Kitchen Set]],Table_NFI[Kitchen Set])</f>
        <v>0</v>
      </c>
      <c r="AF1094" s="352">
        <f>IF(NFI_Expiration=1,IF($A1094&lt;VLOOKUP(O$5,NFI,5,0),1,0)*Table_NFI[[#This Row],[Clothes Kit]],Table_NFI[Clothes Kit])</f>
        <v>0</v>
      </c>
      <c r="AG1094" s="352">
        <f>IF(NFI_Expiration=1,IF($A1094&lt;VLOOKUP(P$5,NFI,5,0),1,0)*Table_NFI[[#This Row],[Plastic Bucket]],Table_NFI[Plastic Bucket])</f>
        <v>0</v>
      </c>
      <c r="AH1094" s="352">
        <f>IF(NFI_Expiration=1,IF($A1094&lt;VLOOKUP(Q$5,NFI,5,0),1,0)*Table_NFI[[#This Row],[Plastic Mat]],Table_NFI[Plastic Mat])*IF(Table_NFI[[#This Row],[Distribution Date]]&gt;"2014-04-01",1,2.5)</f>
        <v>0</v>
      </c>
      <c r="AI1094" s="352">
        <f>IF(NFI_Expiration=1,IF($A1094&lt;VLOOKUP(R$5,NFI,5,0),1,0)*Table_NFI[[#This Row],[Winter Clothes Adult]],Table_NFI[Winter Clothes Adult])</f>
        <v>0</v>
      </c>
      <c r="AJ1094" s="352">
        <f>IF(NFI_Expiration=1,IF($A1094&lt;VLOOKUP(S$5,NFI,5,0),1,0)*Table_NFI[[#This Row],[Winter Clothes Children]],Table_NFI[Winter Clothes Children])</f>
        <v>0</v>
      </c>
      <c r="AK1094" s="352">
        <f>IF(NFI_Expiration=1,IF($A1094&lt;VLOOKUP(T$5,NFI,5,0),1,0)*Table_NFI[[#This Row],[Winter Items Other]],Table_NFI[Winter Items Other])</f>
        <v>0</v>
      </c>
      <c r="AL1094" s="352">
        <f>IF(NFI_Expiration=1,IF($A1094&lt;VLOOKUP(M$5,NFI,5,0),1,0)*Table_NFI[[#This Row],[Winter Blanket]],Table_NFI[[#This Row],[Winter Blanket]])</f>
        <v>0</v>
      </c>
      <c r="AM1094" s="352">
        <f>IF(Table_NFI[[#This Row],[Winter Clothes Adult]]+Table_NFI[[#This Row],[Winter Clothes Children]]+Table_NFI[[#This Row],[Winter Items Other]]+Table_NFI[[#This Row],[Winter Blanket]]&gt;0,1,0)</f>
        <v>0</v>
      </c>
      <c r="AN1094" s="392">
        <f>IF(NFI_Expiration=1,IF($A1094&lt;VLOOKUP(V$5,NFI,5,0),1,0)*Table_NFI[[#This Row],[Jerry Can]],Table_NFI[Jerry Can])</f>
        <v>0</v>
      </c>
      <c r="AO1094" s="540" t="str">
        <f>IFERROR(VLOOKUP(Table_NFI[[#This Row],[Camp Name]],CL,2,0),"")</f>
        <v/>
      </c>
      <c r="AP1094" s="535" t="str">
        <f ca="1">IF(Table_NFI[[#This Row],[Pcode]]="","",IF(OFFSET(CampList[Opening Date],MATCH(Table_NFI[[#This Row],[Pcode]],CampList[CP_Pcode],0)-1,0,1,1)&gt;=NFI_Monitor_Date,1,0))</f>
        <v/>
      </c>
      <c r="AQ1094" s="540" t="str">
        <f>IFERROR(VLOOKUP(Table_NFI[[#This Row],[Camp Name]],CL,3,0),"")</f>
        <v/>
      </c>
      <c r="AR1094" s="352" t="str">
        <f ca="1">IF(Table_NFI[[#This Row],[Pcode]]="","",OFFSET(CampList[Priority],MATCH(Table_NFI[[#This Row],[Pcode]],CampList[CP_Pcode],0)-1,0,1,1))</f>
        <v/>
      </c>
      <c r="AS1094" s="351" t="str">
        <f>IFERROR(Table_NFI[[#This Row],[Kitchen Set]]/VLOOKUP(Table_NFI[[#This Row],[Camp Name]],CL,4,0),"")</f>
        <v/>
      </c>
      <c r="AT1094" s="533" t="s">
        <v>1094</v>
      </c>
      <c r="AU1094" s="541"/>
    </row>
    <row r="1095" spans="1:47" s="546" customFormat="1" ht="15.75" hidden="1" customHeight="1" x14ac:dyDescent="0.25">
      <c r="A1095" s="355" t="str">
        <f t="shared" si="17"/>
        <v/>
      </c>
      <c r="B1095" s="532"/>
      <c r="C1095" s="538"/>
      <c r="D1095" s="538"/>
      <c r="E1095" s="538"/>
      <c r="F1095" s="538"/>
      <c r="G1095" s="538"/>
      <c r="H1095" s="350"/>
      <c r="I1095" s="350"/>
      <c r="J1095" s="350"/>
      <c r="K1095" s="350"/>
      <c r="L1095" s="350"/>
      <c r="M1095" s="350"/>
      <c r="N1095" s="350"/>
      <c r="O1095" s="350"/>
      <c r="P1095" s="352"/>
      <c r="Q1095" s="392"/>
      <c r="R1095" s="392"/>
      <c r="S1095" s="392"/>
      <c r="T1095" s="392"/>
      <c r="U1095" s="392"/>
      <c r="V1095" s="497"/>
      <c r="W1095" s="392"/>
      <c r="X1095" s="392"/>
      <c r="Y1095" s="352">
        <f>IF(NFI_Expiration=1,IF($A1095&lt;VLOOKUP(H$5,NFI,5,0),1,0)*Table_NFI[[#This Row],[Hygiene Kit]],Table_NFI[Hygiene Kit])</f>
        <v>0</v>
      </c>
      <c r="Z1095" s="352">
        <f>IF(NFI_Expiration=1,IF($A1095&lt;VLOOKUP(I$5,NFI,5,0),1,0)*Table_NFI[[#This Row],[NFI Core Kit]],Table_NFI[NFI Core Kit])</f>
        <v>0</v>
      </c>
      <c r="AA1095" s="352">
        <f>IF(NFI_Expiration=1,IF($A1095&lt;VLOOKUP(J$5,NFI,5,0),1,0)*Table_NFI[[#This Row],[Sanitary Kit]],Table_NFI[Sanitary Kit])</f>
        <v>0</v>
      </c>
      <c r="AB1095" s="352">
        <f>IF(NFI_Expiration=1,IF($A1095&lt;VLOOKUP(K$5,NFI,5,0),1,0)*Table_NFI[[#This Row],[Mosquito net]],Table_NFI[Mosquito net])</f>
        <v>0</v>
      </c>
      <c r="AC1095" s="352">
        <f>IF(NFI_Expiration=1,IF($A1095&lt;VLOOKUP(L$5,NFI,5,0),1,0)*Table_NFI[[#This Row],[Tarpaulin]],Table_NFI[[#This Row],[Tarpaulin]])</f>
        <v>0</v>
      </c>
      <c r="AD1095" s="352">
        <f>IF(NFI_Expiration=1,IF($A1095&lt;VLOOKUP(M$5,NFI,5,0),1,0)*Table_NFI[[#This Row],[Blanket]],Table_NFI[[#This Row],[Blanket]])</f>
        <v>0</v>
      </c>
      <c r="AE1095" s="352">
        <f>IF(NFI_Expiration=1,IF($A1095&lt;VLOOKUP(N$5,NFI,5,0),1,0)*Table_NFI[[#This Row],[Kitchen Set]],Table_NFI[Kitchen Set])</f>
        <v>0</v>
      </c>
      <c r="AF1095" s="352">
        <f>IF(NFI_Expiration=1,IF($A1095&lt;VLOOKUP(O$5,NFI,5,0),1,0)*Table_NFI[[#This Row],[Clothes Kit]],Table_NFI[Clothes Kit])</f>
        <v>0</v>
      </c>
      <c r="AG1095" s="352">
        <f>IF(NFI_Expiration=1,IF($A1095&lt;VLOOKUP(P$5,NFI,5,0),1,0)*Table_NFI[[#This Row],[Plastic Bucket]],Table_NFI[Plastic Bucket])</f>
        <v>0</v>
      </c>
      <c r="AH1095" s="352">
        <f>IF(NFI_Expiration=1,IF($A1095&lt;VLOOKUP(Q$5,NFI,5,0),1,0)*Table_NFI[[#This Row],[Plastic Mat]],Table_NFI[Plastic Mat])*IF(Table_NFI[[#This Row],[Distribution Date]]&gt;"2014-04-01",1,2.5)</f>
        <v>0</v>
      </c>
      <c r="AI1095" s="352">
        <f>IF(NFI_Expiration=1,IF($A1095&lt;VLOOKUP(R$5,NFI,5,0),1,0)*Table_NFI[[#This Row],[Winter Clothes Adult]],Table_NFI[Winter Clothes Adult])</f>
        <v>0</v>
      </c>
      <c r="AJ1095" s="352">
        <f>IF(NFI_Expiration=1,IF($A1095&lt;VLOOKUP(S$5,NFI,5,0),1,0)*Table_NFI[[#This Row],[Winter Clothes Children]],Table_NFI[Winter Clothes Children])</f>
        <v>0</v>
      </c>
      <c r="AK1095" s="352">
        <f>IF(NFI_Expiration=1,IF($A1095&lt;VLOOKUP(T$5,NFI,5,0),1,0)*Table_NFI[[#This Row],[Winter Items Other]],Table_NFI[Winter Items Other])</f>
        <v>0</v>
      </c>
      <c r="AL1095" s="352">
        <f>IF(NFI_Expiration=1,IF($A1095&lt;VLOOKUP(M$5,NFI,5,0),1,0)*Table_NFI[[#This Row],[Winter Blanket]],Table_NFI[[#This Row],[Winter Blanket]])</f>
        <v>0</v>
      </c>
      <c r="AM1095" s="352">
        <f>IF(Table_NFI[[#This Row],[Winter Clothes Adult]]+Table_NFI[[#This Row],[Winter Clothes Children]]+Table_NFI[[#This Row],[Winter Items Other]]+Table_NFI[[#This Row],[Winter Blanket]]&gt;0,1,0)</f>
        <v>0</v>
      </c>
      <c r="AN1095" s="392">
        <f>IF(NFI_Expiration=1,IF($A1095&lt;VLOOKUP(V$5,NFI,5,0),1,0)*Table_NFI[[#This Row],[Jerry Can]],Table_NFI[Jerry Can])</f>
        <v>0</v>
      </c>
      <c r="AO1095" s="540" t="str">
        <f>IFERROR(VLOOKUP(Table_NFI[[#This Row],[Camp Name]],CL,2,0),"")</f>
        <v/>
      </c>
      <c r="AP1095" s="535" t="str">
        <f ca="1">IF(Table_NFI[[#This Row],[Pcode]]="","",IF(OFFSET(CampList[Opening Date],MATCH(Table_NFI[[#This Row],[Pcode]],CampList[CP_Pcode],0)-1,0,1,1)&gt;=NFI_Monitor_Date,1,0))</f>
        <v/>
      </c>
      <c r="AQ1095" s="540" t="str">
        <f>IFERROR(VLOOKUP(Table_NFI[[#This Row],[Camp Name]],CL,3,0),"")</f>
        <v/>
      </c>
      <c r="AR1095" s="352" t="str">
        <f ca="1">IF(Table_NFI[[#This Row],[Pcode]]="","",OFFSET(CampList[Priority],MATCH(Table_NFI[[#This Row],[Pcode]],CampList[CP_Pcode],0)-1,0,1,1))</f>
        <v/>
      </c>
      <c r="AS1095" s="351" t="str">
        <f>IFERROR(Table_NFI[[#This Row],[Kitchen Set]]/VLOOKUP(Table_NFI[[#This Row],[Camp Name]],CL,4,0),"")</f>
        <v/>
      </c>
      <c r="AT1095" s="533" t="s">
        <v>1094</v>
      </c>
      <c r="AU1095" s="541"/>
    </row>
    <row r="1096" spans="1:47" s="546" customFormat="1" ht="14.45" hidden="1" customHeight="1" x14ac:dyDescent="0.25">
      <c r="A1096" s="355" t="str">
        <f t="shared" si="17"/>
        <v/>
      </c>
      <c r="B1096" s="532"/>
      <c r="C1096" s="538"/>
      <c r="D1096" s="538"/>
      <c r="E1096" s="538"/>
      <c r="F1096" s="538"/>
      <c r="G1096" s="538"/>
      <c r="H1096" s="350"/>
      <c r="I1096" s="350"/>
      <c r="J1096" s="350"/>
      <c r="K1096" s="350"/>
      <c r="L1096" s="350"/>
      <c r="M1096" s="350"/>
      <c r="N1096" s="350"/>
      <c r="O1096" s="350"/>
      <c r="P1096" s="352"/>
      <c r="Q1096" s="392"/>
      <c r="R1096" s="392"/>
      <c r="S1096" s="392"/>
      <c r="T1096" s="392"/>
      <c r="U1096" s="392"/>
      <c r="V1096" s="497"/>
      <c r="W1096" s="392"/>
      <c r="X1096" s="392"/>
      <c r="Y1096" s="352">
        <f>IF(NFI_Expiration=1,IF($A1096&lt;VLOOKUP(H$5,NFI,5,0),1,0)*Table_NFI[[#This Row],[Hygiene Kit]],Table_NFI[Hygiene Kit])</f>
        <v>0</v>
      </c>
      <c r="Z1096" s="352">
        <f>IF(NFI_Expiration=1,IF($A1096&lt;VLOOKUP(I$5,NFI,5,0),1,0)*Table_NFI[[#This Row],[NFI Core Kit]],Table_NFI[NFI Core Kit])</f>
        <v>0</v>
      </c>
      <c r="AA1096" s="352">
        <f>IF(NFI_Expiration=1,IF($A1096&lt;VLOOKUP(J$5,NFI,5,0),1,0)*Table_NFI[[#This Row],[Sanitary Kit]],Table_NFI[Sanitary Kit])</f>
        <v>0</v>
      </c>
      <c r="AB1096" s="352">
        <f>IF(NFI_Expiration=1,IF($A1096&lt;VLOOKUP(K$5,NFI,5,0),1,0)*Table_NFI[[#This Row],[Mosquito net]],Table_NFI[Mosquito net])</f>
        <v>0</v>
      </c>
      <c r="AC1096" s="352">
        <f>IF(NFI_Expiration=1,IF($A1096&lt;VLOOKUP(L$5,NFI,5,0),1,0)*Table_NFI[[#This Row],[Tarpaulin]],Table_NFI[[#This Row],[Tarpaulin]])</f>
        <v>0</v>
      </c>
      <c r="AD1096" s="352">
        <f>IF(NFI_Expiration=1,IF($A1096&lt;VLOOKUP(M$5,NFI,5,0),1,0)*Table_NFI[[#This Row],[Blanket]],Table_NFI[[#This Row],[Blanket]])</f>
        <v>0</v>
      </c>
      <c r="AE1096" s="352">
        <f>IF(NFI_Expiration=1,IF($A1096&lt;VLOOKUP(N$5,NFI,5,0),1,0)*Table_NFI[[#This Row],[Kitchen Set]],Table_NFI[Kitchen Set])</f>
        <v>0</v>
      </c>
      <c r="AF1096" s="352">
        <f>IF(NFI_Expiration=1,IF($A1096&lt;VLOOKUP(O$5,NFI,5,0),1,0)*Table_NFI[[#This Row],[Clothes Kit]],Table_NFI[Clothes Kit])</f>
        <v>0</v>
      </c>
      <c r="AG1096" s="352">
        <f>IF(NFI_Expiration=1,IF($A1096&lt;VLOOKUP(P$5,NFI,5,0),1,0)*Table_NFI[[#This Row],[Plastic Bucket]],Table_NFI[Plastic Bucket])</f>
        <v>0</v>
      </c>
      <c r="AH1096" s="352">
        <f>IF(NFI_Expiration=1,IF($A1096&lt;VLOOKUP(Q$5,NFI,5,0),1,0)*Table_NFI[[#This Row],[Plastic Mat]],Table_NFI[Plastic Mat])*IF(Table_NFI[[#This Row],[Distribution Date]]&gt;"2014-04-01",1,2.5)</f>
        <v>0</v>
      </c>
      <c r="AI1096" s="352">
        <f>IF(NFI_Expiration=1,IF($A1096&lt;VLOOKUP(R$5,NFI,5,0),1,0)*Table_NFI[[#This Row],[Winter Clothes Adult]],Table_NFI[Winter Clothes Adult])</f>
        <v>0</v>
      </c>
      <c r="AJ1096" s="352">
        <f>IF(NFI_Expiration=1,IF($A1096&lt;VLOOKUP(S$5,NFI,5,0),1,0)*Table_NFI[[#This Row],[Winter Clothes Children]],Table_NFI[Winter Clothes Children])</f>
        <v>0</v>
      </c>
      <c r="AK1096" s="352">
        <f>IF(NFI_Expiration=1,IF($A1096&lt;VLOOKUP(T$5,NFI,5,0),1,0)*Table_NFI[[#This Row],[Winter Items Other]],Table_NFI[Winter Items Other])</f>
        <v>0</v>
      </c>
      <c r="AL1096" s="352">
        <f>IF(NFI_Expiration=1,IF($A1096&lt;VLOOKUP(M$5,NFI,5,0),1,0)*Table_NFI[[#This Row],[Winter Blanket]],Table_NFI[[#This Row],[Winter Blanket]])</f>
        <v>0</v>
      </c>
      <c r="AM1096" s="352">
        <f>IF(Table_NFI[[#This Row],[Winter Clothes Adult]]+Table_NFI[[#This Row],[Winter Clothes Children]]+Table_NFI[[#This Row],[Winter Items Other]]+Table_NFI[[#This Row],[Winter Blanket]]&gt;0,1,0)</f>
        <v>0</v>
      </c>
      <c r="AN1096" s="392">
        <f>IF(NFI_Expiration=1,IF($A1096&lt;VLOOKUP(V$5,NFI,5,0),1,0)*Table_NFI[[#This Row],[Jerry Can]],Table_NFI[Jerry Can])</f>
        <v>0</v>
      </c>
      <c r="AO1096" s="540" t="str">
        <f>IFERROR(VLOOKUP(Table_NFI[[#This Row],[Camp Name]],CL,2,0),"")</f>
        <v/>
      </c>
      <c r="AP1096" s="535" t="str">
        <f ca="1">IF(Table_NFI[[#This Row],[Pcode]]="","",IF(OFFSET(CampList[Opening Date],MATCH(Table_NFI[[#This Row],[Pcode]],CampList[CP_Pcode],0)-1,0,1,1)&gt;=NFI_Monitor_Date,1,0))</f>
        <v/>
      </c>
      <c r="AQ1096" s="540" t="str">
        <f>IFERROR(VLOOKUP(Table_NFI[[#This Row],[Camp Name]],CL,3,0),"")</f>
        <v/>
      </c>
      <c r="AR1096" s="352" t="str">
        <f ca="1">IF(Table_NFI[[#This Row],[Pcode]]="","",OFFSET(CampList[Priority],MATCH(Table_NFI[[#This Row],[Pcode]],CampList[CP_Pcode],0)-1,0,1,1))</f>
        <v/>
      </c>
      <c r="AS1096" s="351" t="str">
        <f>IFERROR(Table_NFI[[#This Row],[Kitchen Set]]/VLOOKUP(Table_NFI[[#This Row],[Camp Name]],CL,4,0),"")</f>
        <v/>
      </c>
      <c r="AT1096" s="533" t="s">
        <v>1094</v>
      </c>
      <c r="AU1096" s="541"/>
    </row>
    <row r="1097" spans="1:47" s="546" customFormat="1" ht="15.75" hidden="1" customHeight="1" x14ac:dyDescent="0.25">
      <c r="A1097" s="355" t="str">
        <f t="shared" si="17"/>
        <v/>
      </c>
      <c r="B1097" s="532"/>
      <c r="C1097" s="538"/>
      <c r="D1097" s="538"/>
      <c r="E1097" s="538"/>
      <c r="F1097" s="538"/>
      <c r="G1097" s="538"/>
      <c r="H1097" s="350"/>
      <c r="I1097" s="350"/>
      <c r="J1097" s="350"/>
      <c r="K1097" s="350"/>
      <c r="L1097" s="350"/>
      <c r="M1097" s="350"/>
      <c r="N1097" s="350"/>
      <c r="O1097" s="350"/>
      <c r="P1097" s="352"/>
      <c r="Q1097" s="392"/>
      <c r="R1097" s="392"/>
      <c r="S1097" s="392"/>
      <c r="T1097" s="392"/>
      <c r="U1097" s="392"/>
      <c r="V1097" s="497"/>
      <c r="W1097" s="392"/>
      <c r="X1097" s="392"/>
      <c r="Y1097" s="352">
        <f>IF(NFI_Expiration=1,IF($A1097&lt;VLOOKUP(H$5,NFI,5,0),1,0)*Table_NFI[[#This Row],[Hygiene Kit]],Table_NFI[Hygiene Kit])</f>
        <v>0</v>
      </c>
      <c r="Z1097" s="352">
        <f>IF(NFI_Expiration=1,IF($A1097&lt;VLOOKUP(I$5,NFI,5,0),1,0)*Table_NFI[[#This Row],[NFI Core Kit]],Table_NFI[NFI Core Kit])</f>
        <v>0</v>
      </c>
      <c r="AA1097" s="352">
        <f>IF(NFI_Expiration=1,IF($A1097&lt;VLOOKUP(J$5,NFI,5,0),1,0)*Table_NFI[[#This Row],[Sanitary Kit]],Table_NFI[Sanitary Kit])</f>
        <v>0</v>
      </c>
      <c r="AB1097" s="352">
        <f>IF(NFI_Expiration=1,IF($A1097&lt;VLOOKUP(K$5,NFI,5,0),1,0)*Table_NFI[[#This Row],[Mosquito net]],Table_NFI[Mosquito net])</f>
        <v>0</v>
      </c>
      <c r="AC1097" s="352">
        <f>IF(NFI_Expiration=1,IF($A1097&lt;VLOOKUP(L$5,NFI,5,0),1,0)*Table_NFI[[#This Row],[Tarpaulin]],Table_NFI[[#This Row],[Tarpaulin]])</f>
        <v>0</v>
      </c>
      <c r="AD1097" s="352">
        <f>IF(NFI_Expiration=1,IF($A1097&lt;VLOOKUP(M$5,NFI,5,0),1,0)*Table_NFI[[#This Row],[Blanket]],Table_NFI[[#This Row],[Blanket]])</f>
        <v>0</v>
      </c>
      <c r="AE1097" s="352">
        <f>IF(NFI_Expiration=1,IF($A1097&lt;VLOOKUP(N$5,NFI,5,0),1,0)*Table_NFI[[#This Row],[Kitchen Set]],Table_NFI[Kitchen Set])</f>
        <v>0</v>
      </c>
      <c r="AF1097" s="352">
        <f>IF(NFI_Expiration=1,IF($A1097&lt;VLOOKUP(O$5,NFI,5,0),1,0)*Table_NFI[[#This Row],[Clothes Kit]],Table_NFI[Clothes Kit])</f>
        <v>0</v>
      </c>
      <c r="AG1097" s="352">
        <f>IF(NFI_Expiration=1,IF($A1097&lt;VLOOKUP(P$5,NFI,5,0),1,0)*Table_NFI[[#This Row],[Plastic Bucket]],Table_NFI[Plastic Bucket])</f>
        <v>0</v>
      </c>
      <c r="AH1097" s="352">
        <f>IF(NFI_Expiration=1,IF($A1097&lt;VLOOKUP(Q$5,NFI,5,0),1,0)*Table_NFI[[#This Row],[Plastic Mat]],Table_NFI[Plastic Mat])*IF(Table_NFI[[#This Row],[Distribution Date]]&gt;"2014-04-01",1,2.5)</f>
        <v>0</v>
      </c>
      <c r="AI1097" s="352">
        <f>IF(NFI_Expiration=1,IF($A1097&lt;VLOOKUP(R$5,NFI,5,0),1,0)*Table_NFI[[#This Row],[Winter Clothes Adult]],Table_NFI[Winter Clothes Adult])</f>
        <v>0</v>
      </c>
      <c r="AJ1097" s="352">
        <f>IF(NFI_Expiration=1,IF($A1097&lt;VLOOKUP(S$5,NFI,5,0),1,0)*Table_NFI[[#This Row],[Winter Clothes Children]],Table_NFI[Winter Clothes Children])</f>
        <v>0</v>
      </c>
      <c r="AK1097" s="352">
        <f>IF(NFI_Expiration=1,IF($A1097&lt;VLOOKUP(T$5,NFI,5,0),1,0)*Table_NFI[[#This Row],[Winter Items Other]],Table_NFI[Winter Items Other])</f>
        <v>0</v>
      </c>
      <c r="AL1097" s="352">
        <f>IF(NFI_Expiration=1,IF($A1097&lt;VLOOKUP(M$5,NFI,5,0),1,0)*Table_NFI[[#This Row],[Winter Blanket]],Table_NFI[[#This Row],[Winter Blanket]])</f>
        <v>0</v>
      </c>
      <c r="AM1097" s="352">
        <f>IF(Table_NFI[[#This Row],[Winter Clothes Adult]]+Table_NFI[[#This Row],[Winter Clothes Children]]+Table_NFI[[#This Row],[Winter Items Other]]+Table_NFI[[#This Row],[Winter Blanket]]&gt;0,1,0)</f>
        <v>0</v>
      </c>
      <c r="AN1097" s="392">
        <f>IF(NFI_Expiration=1,IF($A1097&lt;VLOOKUP(V$5,NFI,5,0),1,0)*Table_NFI[[#This Row],[Jerry Can]],Table_NFI[Jerry Can])</f>
        <v>0</v>
      </c>
      <c r="AO1097" s="540" t="str">
        <f>IFERROR(VLOOKUP(Table_NFI[[#This Row],[Camp Name]],CL,2,0),"")</f>
        <v/>
      </c>
      <c r="AP1097" s="535" t="str">
        <f ca="1">IF(Table_NFI[[#This Row],[Pcode]]="","",IF(OFFSET(CampList[Opening Date],MATCH(Table_NFI[[#This Row],[Pcode]],CampList[CP_Pcode],0)-1,0,1,1)&gt;=NFI_Monitor_Date,1,0))</f>
        <v/>
      </c>
      <c r="AQ1097" s="540" t="str">
        <f>IFERROR(VLOOKUP(Table_NFI[[#This Row],[Camp Name]],CL,3,0),"")</f>
        <v/>
      </c>
      <c r="AR1097" s="352" t="str">
        <f ca="1">IF(Table_NFI[[#This Row],[Pcode]]="","",OFFSET(CampList[Priority],MATCH(Table_NFI[[#This Row],[Pcode]],CampList[CP_Pcode],0)-1,0,1,1))</f>
        <v/>
      </c>
      <c r="AS1097" s="351" t="str">
        <f>IFERROR(Table_NFI[[#This Row],[Kitchen Set]]/VLOOKUP(Table_NFI[[#This Row],[Camp Name]],CL,4,0),"")</f>
        <v/>
      </c>
      <c r="AT1097" s="533" t="s">
        <v>1094</v>
      </c>
      <c r="AU1097" s="541"/>
    </row>
    <row r="1098" spans="1:47" s="546" customFormat="1" ht="15.75" hidden="1" customHeight="1" x14ac:dyDescent="0.25">
      <c r="A1098" s="355" t="str">
        <f t="shared" si="17"/>
        <v/>
      </c>
      <c r="B1098" s="532"/>
      <c r="C1098" s="538"/>
      <c r="D1098" s="538"/>
      <c r="E1098" s="538"/>
      <c r="F1098" s="538"/>
      <c r="G1098" s="538"/>
      <c r="H1098" s="350"/>
      <c r="I1098" s="350"/>
      <c r="J1098" s="350"/>
      <c r="K1098" s="350"/>
      <c r="L1098" s="350"/>
      <c r="M1098" s="350"/>
      <c r="N1098" s="350"/>
      <c r="O1098" s="350"/>
      <c r="P1098" s="352"/>
      <c r="Q1098" s="392"/>
      <c r="R1098" s="392"/>
      <c r="S1098" s="392"/>
      <c r="T1098" s="392"/>
      <c r="U1098" s="392"/>
      <c r="V1098" s="497"/>
      <c r="W1098" s="392"/>
      <c r="X1098" s="392"/>
      <c r="Y1098" s="352">
        <f>IF(NFI_Expiration=1,IF($A1098&lt;VLOOKUP(H$5,NFI,5,0),1,0)*Table_NFI[[#This Row],[Hygiene Kit]],Table_NFI[Hygiene Kit])</f>
        <v>0</v>
      </c>
      <c r="Z1098" s="352">
        <f>IF(NFI_Expiration=1,IF($A1098&lt;VLOOKUP(I$5,NFI,5,0),1,0)*Table_NFI[[#This Row],[NFI Core Kit]],Table_NFI[NFI Core Kit])</f>
        <v>0</v>
      </c>
      <c r="AA1098" s="352">
        <f>IF(NFI_Expiration=1,IF($A1098&lt;VLOOKUP(J$5,NFI,5,0),1,0)*Table_NFI[[#This Row],[Sanitary Kit]],Table_NFI[Sanitary Kit])</f>
        <v>0</v>
      </c>
      <c r="AB1098" s="352">
        <f>IF(NFI_Expiration=1,IF($A1098&lt;VLOOKUP(K$5,NFI,5,0),1,0)*Table_NFI[[#This Row],[Mosquito net]],Table_NFI[Mosquito net])</f>
        <v>0</v>
      </c>
      <c r="AC1098" s="352">
        <f>IF(NFI_Expiration=1,IF($A1098&lt;VLOOKUP(L$5,NFI,5,0),1,0)*Table_NFI[[#This Row],[Tarpaulin]],Table_NFI[[#This Row],[Tarpaulin]])</f>
        <v>0</v>
      </c>
      <c r="AD1098" s="352">
        <f>IF(NFI_Expiration=1,IF($A1098&lt;VLOOKUP(M$5,NFI,5,0),1,0)*Table_NFI[[#This Row],[Blanket]],Table_NFI[[#This Row],[Blanket]])</f>
        <v>0</v>
      </c>
      <c r="AE1098" s="352">
        <f>IF(NFI_Expiration=1,IF($A1098&lt;VLOOKUP(N$5,NFI,5,0),1,0)*Table_NFI[[#This Row],[Kitchen Set]],Table_NFI[Kitchen Set])</f>
        <v>0</v>
      </c>
      <c r="AF1098" s="352">
        <f>IF(NFI_Expiration=1,IF($A1098&lt;VLOOKUP(O$5,NFI,5,0),1,0)*Table_NFI[[#This Row],[Clothes Kit]],Table_NFI[Clothes Kit])</f>
        <v>0</v>
      </c>
      <c r="AG1098" s="352">
        <f>IF(NFI_Expiration=1,IF($A1098&lt;VLOOKUP(P$5,NFI,5,0),1,0)*Table_NFI[[#This Row],[Plastic Bucket]],Table_NFI[Plastic Bucket])</f>
        <v>0</v>
      </c>
      <c r="AH1098" s="352">
        <f>IF(NFI_Expiration=1,IF($A1098&lt;VLOOKUP(Q$5,NFI,5,0),1,0)*Table_NFI[[#This Row],[Plastic Mat]],Table_NFI[Plastic Mat])*IF(Table_NFI[[#This Row],[Distribution Date]]&gt;"2014-04-01",1,2.5)</f>
        <v>0</v>
      </c>
      <c r="AI1098" s="352">
        <f>IF(NFI_Expiration=1,IF($A1098&lt;VLOOKUP(R$5,NFI,5,0),1,0)*Table_NFI[[#This Row],[Winter Clothes Adult]],Table_NFI[Winter Clothes Adult])</f>
        <v>0</v>
      </c>
      <c r="AJ1098" s="352">
        <f>IF(NFI_Expiration=1,IF($A1098&lt;VLOOKUP(S$5,NFI,5,0),1,0)*Table_NFI[[#This Row],[Winter Clothes Children]],Table_NFI[Winter Clothes Children])</f>
        <v>0</v>
      </c>
      <c r="AK1098" s="352">
        <f>IF(NFI_Expiration=1,IF($A1098&lt;VLOOKUP(T$5,NFI,5,0),1,0)*Table_NFI[[#This Row],[Winter Items Other]],Table_NFI[Winter Items Other])</f>
        <v>0</v>
      </c>
      <c r="AL1098" s="352">
        <f>IF(NFI_Expiration=1,IF($A1098&lt;VLOOKUP(M$5,NFI,5,0),1,0)*Table_NFI[[#This Row],[Winter Blanket]],Table_NFI[[#This Row],[Winter Blanket]])</f>
        <v>0</v>
      </c>
      <c r="AM1098" s="352">
        <f>IF(Table_NFI[[#This Row],[Winter Clothes Adult]]+Table_NFI[[#This Row],[Winter Clothes Children]]+Table_NFI[[#This Row],[Winter Items Other]]+Table_NFI[[#This Row],[Winter Blanket]]&gt;0,1,0)</f>
        <v>0</v>
      </c>
      <c r="AN1098" s="392">
        <f>IF(NFI_Expiration=1,IF($A1098&lt;VLOOKUP(V$5,NFI,5,0),1,0)*Table_NFI[[#This Row],[Jerry Can]],Table_NFI[Jerry Can])</f>
        <v>0</v>
      </c>
      <c r="AO1098" s="540" t="str">
        <f>IFERROR(VLOOKUP(Table_NFI[[#This Row],[Camp Name]],CL,2,0),"")</f>
        <v/>
      </c>
      <c r="AP1098" s="535" t="str">
        <f ca="1">IF(Table_NFI[[#This Row],[Pcode]]="","",IF(OFFSET(CampList[Opening Date],MATCH(Table_NFI[[#This Row],[Pcode]],CampList[CP_Pcode],0)-1,0,1,1)&gt;=NFI_Monitor_Date,1,0))</f>
        <v/>
      </c>
      <c r="AQ1098" s="540" t="str">
        <f>IFERROR(VLOOKUP(Table_NFI[[#This Row],[Camp Name]],CL,3,0),"")</f>
        <v/>
      </c>
      <c r="AR1098" s="352" t="str">
        <f ca="1">IF(Table_NFI[[#This Row],[Pcode]]="","",OFFSET(CampList[Priority],MATCH(Table_NFI[[#This Row],[Pcode]],CampList[CP_Pcode],0)-1,0,1,1))</f>
        <v/>
      </c>
      <c r="AS1098" s="351" t="str">
        <f>IFERROR(Table_NFI[[#This Row],[Kitchen Set]]/VLOOKUP(Table_NFI[[#This Row],[Camp Name]],CL,4,0),"")</f>
        <v/>
      </c>
      <c r="AT1098" s="533" t="s">
        <v>1094</v>
      </c>
      <c r="AU1098" s="541"/>
    </row>
    <row r="1099" spans="1:47" s="546" customFormat="1" ht="15.75" hidden="1" customHeight="1" x14ac:dyDescent="0.25">
      <c r="A1099" s="355" t="str">
        <f t="shared" si="17"/>
        <v/>
      </c>
      <c r="B1099" s="532"/>
      <c r="C1099" s="538"/>
      <c r="D1099" s="538"/>
      <c r="E1099" s="538"/>
      <c r="F1099" s="538"/>
      <c r="G1099" s="538"/>
      <c r="H1099" s="350"/>
      <c r="I1099" s="350"/>
      <c r="J1099" s="350"/>
      <c r="K1099" s="350"/>
      <c r="L1099" s="350"/>
      <c r="M1099" s="350"/>
      <c r="N1099" s="350"/>
      <c r="O1099" s="350"/>
      <c r="P1099" s="352"/>
      <c r="Q1099" s="392"/>
      <c r="R1099" s="392"/>
      <c r="S1099" s="392"/>
      <c r="T1099" s="392"/>
      <c r="U1099" s="392"/>
      <c r="V1099" s="497"/>
      <c r="W1099" s="392"/>
      <c r="X1099" s="392"/>
      <c r="Y1099" s="352">
        <f>IF(NFI_Expiration=1,IF($A1099&lt;VLOOKUP(H$5,NFI,5,0),1,0)*Table_NFI[[#This Row],[Hygiene Kit]],Table_NFI[Hygiene Kit])</f>
        <v>0</v>
      </c>
      <c r="Z1099" s="352">
        <f>IF(NFI_Expiration=1,IF($A1099&lt;VLOOKUP(I$5,NFI,5,0),1,0)*Table_NFI[[#This Row],[NFI Core Kit]],Table_NFI[NFI Core Kit])</f>
        <v>0</v>
      </c>
      <c r="AA1099" s="352">
        <f>IF(NFI_Expiration=1,IF($A1099&lt;VLOOKUP(J$5,NFI,5,0),1,0)*Table_NFI[[#This Row],[Sanitary Kit]],Table_NFI[Sanitary Kit])</f>
        <v>0</v>
      </c>
      <c r="AB1099" s="352">
        <f>IF(NFI_Expiration=1,IF($A1099&lt;VLOOKUP(K$5,NFI,5,0),1,0)*Table_NFI[[#This Row],[Mosquito net]],Table_NFI[Mosquito net])</f>
        <v>0</v>
      </c>
      <c r="AC1099" s="352">
        <f>IF(NFI_Expiration=1,IF($A1099&lt;VLOOKUP(L$5,NFI,5,0),1,0)*Table_NFI[[#This Row],[Tarpaulin]],Table_NFI[[#This Row],[Tarpaulin]])</f>
        <v>0</v>
      </c>
      <c r="AD1099" s="352">
        <f>IF(NFI_Expiration=1,IF($A1099&lt;VLOOKUP(M$5,NFI,5,0),1,0)*Table_NFI[[#This Row],[Blanket]],Table_NFI[[#This Row],[Blanket]])</f>
        <v>0</v>
      </c>
      <c r="AE1099" s="352">
        <f>IF(NFI_Expiration=1,IF($A1099&lt;VLOOKUP(N$5,NFI,5,0),1,0)*Table_NFI[[#This Row],[Kitchen Set]],Table_NFI[Kitchen Set])</f>
        <v>0</v>
      </c>
      <c r="AF1099" s="352">
        <f>IF(NFI_Expiration=1,IF($A1099&lt;VLOOKUP(O$5,NFI,5,0),1,0)*Table_NFI[[#This Row],[Clothes Kit]],Table_NFI[Clothes Kit])</f>
        <v>0</v>
      </c>
      <c r="AG1099" s="352">
        <f>IF(NFI_Expiration=1,IF($A1099&lt;VLOOKUP(P$5,NFI,5,0),1,0)*Table_NFI[[#This Row],[Plastic Bucket]],Table_NFI[Plastic Bucket])</f>
        <v>0</v>
      </c>
      <c r="AH1099" s="352">
        <f>IF(NFI_Expiration=1,IF($A1099&lt;VLOOKUP(Q$5,NFI,5,0),1,0)*Table_NFI[[#This Row],[Plastic Mat]],Table_NFI[Plastic Mat])*IF(Table_NFI[[#This Row],[Distribution Date]]&gt;"2014-04-01",1,2.5)</f>
        <v>0</v>
      </c>
      <c r="AI1099" s="352">
        <f>IF(NFI_Expiration=1,IF($A1099&lt;VLOOKUP(R$5,NFI,5,0),1,0)*Table_NFI[[#This Row],[Winter Clothes Adult]],Table_NFI[Winter Clothes Adult])</f>
        <v>0</v>
      </c>
      <c r="AJ1099" s="352">
        <f>IF(NFI_Expiration=1,IF($A1099&lt;VLOOKUP(S$5,NFI,5,0),1,0)*Table_NFI[[#This Row],[Winter Clothes Children]],Table_NFI[Winter Clothes Children])</f>
        <v>0</v>
      </c>
      <c r="AK1099" s="352">
        <f>IF(NFI_Expiration=1,IF($A1099&lt;VLOOKUP(T$5,NFI,5,0),1,0)*Table_NFI[[#This Row],[Winter Items Other]],Table_NFI[Winter Items Other])</f>
        <v>0</v>
      </c>
      <c r="AL1099" s="352">
        <f>IF(NFI_Expiration=1,IF($A1099&lt;VLOOKUP(M$5,NFI,5,0),1,0)*Table_NFI[[#This Row],[Winter Blanket]],Table_NFI[[#This Row],[Winter Blanket]])</f>
        <v>0</v>
      </c>
      <c r="AM1099" s="352">
        <f>IF(Table_NFI[[#This Row],[Winter Clothes Adult]]+Table_NFI[[#This Row],[Winter Clothes Children]]+Table_NFI[[#This Row],[Winter Items Other]]+Table_NFI[[#This Row],[Winter Blanket]]&gt;0,1,0)</f>
        <v>0</v>
      </c>
      <c r="AN1099" s="392">
        <f>IF(NFI_Expiration=1,IF($A1099&lt;VLOOKUP(V$5,NFI,5,0),1,0)*Table_NFI[[#This Row],[Jerry Can]],Table_NFI[Jerry Can])</f>
        <v>0</v>
      </c>
      <c r="AO1099" s="540" t="str">
        <f>IFERROR(VLOOKUP(Table_NFI[[#This Row],[Camp Name]],CL,2,0),"")</f>
        <v/>
      </c>
      <c r="AP1099" s="535" t="str">
        <f ca="1">IF(Table_NFI[[#This Row],[Pcode]]="","",IF(OFFSET(CampList[Opening Date],MATCH(Table_NFI[[#This Row],[Pcode]],CampList[CP_Pcode],0)-1,0,1,1)&gt;=NFI_Monitor_Date,1,0))</f>
        <v/>
      </c>
      <c r="AQ1099" s="540" t="str">
        <f>IFERROR(VLOOKUP(Table_NFI[[#This Row],[Camp Name]],CL,3,0),"")</f>
        <v/>
      </c>
      <c r="AR1099" s="352" t="str">
        <f ca="1">IF(Table_NFI[[#This Row],[Pcode]]="","",OFFSET(CampList[Priority],MATCH(Table_NFI[[#This Row],[Pcode]],CampList[CP_Pcode],0)-1,0,1,1))</f>
        <v/>
      </c>
      <c r="AS1099" s="351" t="str">
        <f>IFERROR(Table_NFI[[#This Row],[Kitchen Set]]/VLOOKUP(Table_NFI[[#This Row],[Camp Name]],CL,4,0),"")</f>
        <v/>
      </c>
      <c r="AT1099" s="533" t="s">
        <v>1094</v>
      </c>
      <c r="AU1099" s="541"/>
    </row>
    <row r="1100" spans="1:47" s="546" customFormat="1" ht="15.75" hidden="1" customHeight="1" x14ac:dyDescent="0.25">
      <c r="A1100" s="355" t="str">
        <f t="shared" si="17"/>
        <v/>
      </c>
      <c r="B1100" s="532"/>
      <c r="C1100" s="538"/>
      <c r="D1100" s="538"/>
      <c r="E1100" s="538"/>
      <c r="F1100" s="538"/>
      <c r="G1100" s="538"/>
      <c r="H1100" s="350"/>
      <c r="I1100" s="350"/>
      <c r="J1100" s="350"/>
      <c r="K1100" s="350"/>
      <c r="L1100" s="350"/>
      <c r="M1100" s="350"/>
      <c r="N1100" s="350"/>
      <c r="O1100" s="350"/>
      <c r="P1100" s="352"/>
      <c r="Q1100" s="392"/>
      <c r="R1100" s="392"/>
      <c r="S1100" s="392"/>
      <c r="T1100" s="392"/>
      <c r="U1100" s="392"/>
      <c r="V1100" s="497"/>
      <c r="W1100" s="392"/>
      <c r="X1100" s="392"/>
      <c r="Y1100" s="352">
        <f>IF(NFI_Expiration=1,IF($A1100&lt;VLOOKUP(H$5,NFI,5,0),1,0)*Table_NFI[[#This Row],[Hygiene Kit]],Table_NFI[Hygiene Kit])</f>
        <v>0</v>
      </c>
      <c r="Z1100" s="352">
        <f>IF(NFI_Expiration=1,IF($A1100&lt;VLOOKUP(I$5,NFI,5,0),1,0)*Table_NFI[[#This Row],[NFI Core Kit]],Table_NFI[NFI Core Kit])</f>
        <v>0</v>
      </c>
      <c r="AA1100" s="352">
        <f>IF(NFI_Expiration=1,IF($A1100&lt;VLOOKUP(J$5,NFI,5,0),1,0)*Table_NFI[[#This Row],[Sanitary Kit]],Table_NFI[Sanitary Kit])</f>
        <v>0</v>
      </c>
      <c r="AB1100" s="352">
        <f>IF(NFI_Expiration=1,IF($A1100&lt;VLOOKUP(K$5,NFI,5,0),1,0)*Table_NFI[[#This Row],[Mosquito net]],Table_NFI[Mosquito net])</f>
        <v>0</v>
      </c>
      <c r="AC1100" s="352">
        <f>IF(NFI_Expiration=1,IF($A1100&lt;VLOOKUP(L$5,NFI,5,0),1,0)*Table_NFI[[#This Row],[Tarpaulin]],Table_NFI[[#This Row],[Tarpaulin]])</f>
        <v>0</v>
      </c>
      <c r="AD1100" s="352">
        <f>IF(NFI_Expiration=1,IF($A1100&lt;VLOOKUP(M$5,NFI,5,0),1,0)*Table_NFI[[#This Row],[Blanket]],Table_NFI[[#This Row],[Blanket]])</f>
        <v>0</v>
      </c>
      <c r="AE1100" s="352">
        <f>IF(NFI_Expiration=1,IF($A1100&lt;VLOOKUP(N$5,NFI,5,0),1,0)*Table_NFI[[#This Row],[Kitchen Set]],Table_NFI[Kitchen Set])</f>
        <v>0</v>
      </c>
      <c r="AF1100" s="352">
        <f>IF(NFI_Expiration=1,IF($A1100&lt;VLOOKUP(O$5,NFI,5,0),1,0)*Table_NFI[[#This Row],[Clothes Kit]],Table_NFI[Clothes Kit])</f>
        <v>0</v>
      </c>
      <c r="AG1100" s="352">
        <f>IF(NFI_Expiration=1,IF($A1100&lt;VLOOKUP(P$5,NFI,5,0),1,0)*Table_NFI[[#This Row],[Plastic Bucket]],Table_NFI[Plastic Bucket])</f>
        <v>0</v>
      </c>
      <c r="AH1100" s="352">
        <f>IF(NFI_Expiration=1,IF($A1100&lt;VLOOKUP(Q$5,NFI,5,0),1,0)*Table_NFI[[#This Row],[Plastic Mat]],Table_NFI[Plastic Mat])*IF(Table_NFI[[#This Row],[Distribution Date]]&gt;"2014-04-01",1,2.5)</f>
        <v>0</v>
      </c>
      <c r="AI1100" s="352">
        <f>IF(NFI_Expiration=1,IF($A1100&lt;VLOOKUP(R$5,NFI,5,0),1,0)*Table_NFI[[#This Row],[Winter Clothes Adult]],Table_NFI[Winter Clothes Adult])</f>
        <v>0</v>
      </c>
      <c r="AJ1100" s="352">
        <f>IF(NFI_Expiration=1,IF($A1100&lt;VLOOKUP(S$5,NFI,5,0),1,0)*Table_NFI[[#This Row],[Winter Clothes Children]],Table_NFI[Winter Clothes Children])</f>
        <v>0</v>
      </c>
      <c r="AK1100" s="352">
        <f>IF(NFI_Expiration=1,IF($A1100&lt;VLOOKUP(T$5,NFI,5,0),1,0)*Table_NFI[[#This Row],[Winter Items Other]],Table_NFI[Winter Items Other])</f>
        <v>0</v>
      </c>
      <c r="AL1100" s="352">
        <f>IF(NFI_Expiration=1,IF($A1100&lt;VLOOKUP(M$5,NFI,5,0),1,0)*Table_NFI[[#This Row],[Winter Blanket]],Table_NFI[[#This Row],[Winter Blanket]])</f>
        <v>0</v>
      </c>
      <c r="AM1100" s="352">
        <f>IF(Table_NFI[[#This Row],[Winter Clothes Adult]]+Table_NFI[[#This Row],[Winter Clothes Children]]+Table_NFI[[#This Row],[Winter Items Other]]+Table_NFI[[#This Row],[Winter Blanket]]&gt;0,1,0)</f>
        <v>0</v>
      </c>
      <c r="AN1100" s="392">
        <f>IF(NFI_Expiration=1,IF($A1100&lt;VLOOKUP(V$5,NFI,5,0),1,0)*Table_NFI[[#This Row],[Jerry Can]],Table_NFI[Jerry Can])</f>
        <v>0</v>
      </c>
      <c r="AO1100" s="540" t="str">
        <f>IFERROR(VLOOKUP(Table_NFI[[#This Row],[Camp Name]],CL,2,0),"")</f>
        <v/>
      </c>
      <c r="AP1100" s="535" t="str">
        <f ca="1">IF(Table_NFI[[#This Row],[Pcode]]="","",IF(OFFSET(CampList[Opening Date],MATCH(Table_NFI[[#This Row],[Pcode]],CampList[CP_Pcode],0)-1,0,1,1)&gt;=NFI_Monitor_Date,1,0))</f>
        <v/>
      </c>
      <c r="AQ1100" s="540" t="str">
        <f>IFERROR(VLOOKUP(Table_NFI[[#This Row],[Camp Name]],CL,3,0),"")</f>
        <v/>
      </c>
      <c r="AR1100" s="352" t="str">
        <f ca="1">IF(Table_NFI[[#This Row],[Pcode]]="","",OFFSET(CampList[Priority],MATCH(Table_NFI[[#This Row],[Pcode]],CampList[CP_Pcode],0)-1,0,1,1))</f>
        <v/>
      </c>
      <c r="AS1100" s="351" t="str">
        <f>IFERROR(Table_NFI[[#This Row],[Kitchen Set]]/VLOOKUP(Table_NFI[[#This Row],[Camp Name]],CL,4,0),"")</f>
        <v/>
      </c>
      <c r="AT1100" s="533" t="s">
        <v>1094</v>
      </c>
      <c r="AU1100" s="541"/>
    </row>
    <row r="1101" spans="1:47" s="546" customFormat="1" ht="15.75" hidden="1" customHeight="1" x14ac:dyDescent="0.25">
      <c r="A1101" s="355" t="str">
        <f t="shared" si="17"/>
        <v/>
      </c>
      <c r="B1101" s="532"/>
      <c r="C1101" s="538"/>
      <c r="D1101" s="538"/>
      <c r="E1101" s="538"/>
      <c r="F1101" s="538"/>
      <c r="G1101" s="538"/>
      <c r="H1101" s="350"/>
      <c r="I1101" s="350"/>
      <c r="J1101" s="350"/>
      <c r="K1101" s="350"/>
      <c r="L1101" s="350"/>
      <c r="M1101" s="350"/>
      <c r="N1101" s="350"/>
      <c r="O1101" s="350"/>
      <c r="P1101" s="352"/>
      <c r="Q1101" s="392"/>
      <c r="R1101" s="392"/>
      <c r="S1101" s="392"/>
      <c r="T1101" s="392"/>
      <c r="U1101" s="392"/>
      <c r="V1101" s="497"/>
      <c r="W1101" s="392"/>
      <c r="X1101" s="392"/>
      <c r="Y1101" s="352">
        <f>IF(NFI_Expiration=1,IF($A1101&lt;VLOOKUP(H$5,NFI,5,0),1,0)*Table_NFI[[#This Row],[Hygiene Kit]],Table_NFI[Hygiene Kit])</f>
        <v>0</v>
      </c>
      <c r="Z1101" s="352">
        <f>IF(NFI_Expiration=1,IF($A1101&lt;VLOOKUP(I$5,NFI,5,0),1,0)*Table_NFI[[#This Row],[NFI Core Kit]],Table_NFI[NFI Core Kit])</f>
        <v>0</v>
      </c>
      <c r="AA1101" s="352">
        <f>IF(NFI_Expiration=1,IF($A1101&lt;VLOOKUP(J$5,NFI,5,0),1,0)*Table_NFI[[#This Row],[Sanitary Kit]],Table_NFI[Sanitary Kit])</f>
        <v>0</v>
      </c>
      <c r="AB1101" s="352">
        <f>IF(NFI_Expiration=1,IF($A1101&lt;VLOOKUP(K$5,NFI,5,0),1,0)*Table_NFI[[#This Row],[Mosquito net]],Table_NFI[Mosquito net])</f>
        <v>0</v>
      </c>
      <c r="AC1101" s="352">
        <f>IF(NFI_Expiration=1,IF($A1101&lt;VLOOKUP(L$5,NFI,5,0),1,0)*Table_NFI[[#This Row],[Tarpaulin]],Table_NFI[[#This Row],[Tarpaulin]])</f>
        <v>0</v>
      </c>
      <c r="AD1101" s="352">
        <f>IF(NFI_Expiration=1,IF($A1101&lt;VLOOKUP(M$5,NFI,5,0),1,0)*Table_NFI[[#This Row],[Blanket]],Table_NFI[[#This Row],[Blanket]])</f>
        <v>0</v>
      </c>
      <c r="AE1101" s="352">
        <f>IF(NFI_Expiration=1,IF($A1101&lt;VLOOKUP(N$5,NFI,5,0),1,0)*Table_NFI[[#This Row],[Kitchen Set]],Table_NFI[Kitchen Set])</f>
        <v>0</v>
      </c>
      <c r="AF1101" s="352">
        <f>IF(NFI_Expiration=1,IF($A1101&lt;VLOOKUP(O$5,NFI,5,0),1,0)*Table_NFI[[#This Row],[Clothes Kit]],Table_NFI[Clothes Kit])</f>
        <v>0</v>
      </c>
      <c r="AG1101" s="352">
        <f>IF(NFI_Expiration=1,IF($A1101&lt;VLOOKUP(P$5,NFI,5,0),1,0)*Table_NFI[[#This Row],[Plastic Bucket]],Table_NFI[Plastic Bucket])</f>
        <v>0</v>
      </c>
      <c r="AH1101" s="352">
        <f>IF(NFI_Expiration=1,IF($A1101&lt;VLOOKUP(Q$5,NFI,5,0),1,0)*Table_NFI[[#This Row],[Plastic Mat]],Table_NFI[Plastic Mat])*IF(Table_NFI[[#This Row],[Distribution Date]]&gt;"2014-04-01",1,2.5)</f>
        <v>0</v>
      </c>
      <c r="AI1101" s="352">
        <f>IF(NFI_Expiration=1,IF($A1101&lt;VLOOKUP(R$5,NFI,5,0),1,0)*Table_NFI[[#This Row],[Winter Clothes Adult]],Table_NFI[Winter Clothes Adult])</f>
        <v>0</v>
      </c>
      <c r="AJ1101" s="352">
        <f>IF(NFI_Expiration=1,IF($A1101&lt;VLOOKUP(S$5,NFI,5,0),1,0)*Table_NFI[[#This Row],[Winter Clothes Children]],Table_NFI[Winter Clothes Children])</f>
        <v>0</v>
      </c>
      <c r="AK1101" s="352">
        <f>IF(NFI_Expiration=1,IF($A1101&lt;VLOOKUP(T$5,NFI,5,0),1,0)*Table_NFI[[#This Row],[Winter Items Other]],Table_NFI[Winter Items Other])</f>
        <v>0</v>
      </c>
      <c r="AL1101" s="352">
        <f>IF(NFI_Expiration=1,IF($A1101&lt;VLOOKUP(M$5,NFI,5,0),1,0)*Table_NFI[[#This Row],[Winter Blanket]],Table_NFI[[#This Row],[Winter Blanket]])</f>
        <v>0</v>
      </c>
      <c r="AM1101" s="352">
        <f>IF(Table_NFI[[#This Row],[Winter Clothes Adult]]+Table_NFI[[#This Row],[Winter Clothes Children]]+Table_NFI[[#This Row],[Winter Items Other]]+Table_NFI[[#This Row],[Winter Blanket]]&gt;0,1,0)</f>
        <v>0</v>
      </c>
      <c r="AN1101" s="392">
        <f>IF(NFI_Expiration=1,IF($A1101&lt;VLOOKUP(V$5,NFI,5,0),1,0)*Table_NFI[[#This Row],[Jerry Can]],Table_NFI[Jerry Can])</f>
        <v>0</v>
      </c>
      <c r="AO1101" s="540" t="str">
        <f>IFERROR(VLOOKUP(Table_NFI[[#This Row],[Camp Name]],CL,2,0),"")</f>
        <v/>
      </c>
      <c r="AP1101" s="535" t="str">
        <f ca="1">IF(Table_NFI[[#This Row],[Pcode]]="","",IF(OFFSET(CampList[Opening Date],MATCH(Table_NFI[[#This Row],[Pcode]],CampList[CP_Pcode],0)-1,0,1,1)&gt;=NFI_Monitor_Date,1,0))</f>
        <v/>
      </c>
      <c r="AQ1101" s="540" t="str">
        <f>IFERROR(VLOOKUP(Table_NFI[[#This Row],[Camp Name]],CL,3,0),"")</f>
        <v/>
      </c>
      <c r="AR1101" s="352" t="str">
        <f ca="1">IF(Table_NFI[[#This Row],[Pcode]]="","",OFFSET(CampList[Priority],MATCH(Table_NFI[[#This Row],[Pcode]],CampList[CP_Pcode],0)-1,0,1,1))</f>
        <v/>
      </c>
      <c r="AS1101" s="351" t="str">
        <f>IFERROR(Table_NFI[[#This Row],[Kitchen Set]]/VLOOKUP(Table_NFI[[#This Row],[Camp Name]],CL,4,0),"")</f>
        <v/>
      </c>
      <c r="AT1101" s="533" t="s">
        <v>1094</v>
      </c>
      <c r="AU1101" s="541"/>
    </row>
    <row r="1102" spans="1:47" s="546" customFormat="1" ht="15.75" hidden="1" customHeight="1" x14ac:dyDescent="0.25">
      <c r="A1102" s="355" t="str">
        <f t="shared" si="17"/>
        <v/>
      </c>
      <c r="B1102" s="532"/>
      <c r="C1102" s="538"/>
      <c r="D1102" s="538"/>
      <c r="E1102" s="538"/>
      <c r="F1102" s="538"/>
      <c r="G1102" s="538"/>
      <c r="H1102" s="350"/>
      <c r="I1102" s="350"/>
      <c r="J1102" s="350"/>
      <c r="K1102" s="350"/>
      <c r="L1102" s="350"/>
      <c r="M1102" s="350"/>
      <c r="N1102" s="350"/>
      <c r="O1102" s="350"/>
      <c r="P1102" s="352"/>
      <c r="Q1102" s="392"/>
      <c r="R1102" s="392"/>
      <c r="S1102" s="392"/>
      <c r="T1102" s="392"/>
      <c r="U1102" s="392"/>
      <c r="V1102" s="497"/>
      <c r="W1102" s="392"/>
      <c r="X1102" s="392"/>
      <c r="Y1102" s="352">
        <f>IF(NFI_Expiration=1,IF($A1102&lt;VLOOKUP(H$5,NFI,5,0),1,0)*Table_NFI[[#This Row],[Hygiene Kit]],Table_NFI[Hygiene Kit])</f>
        <v>0</v>
      </c>
      <c r="Z1102" s="352">
        <f>IF(NFI_Expiration=1,IF($A1102&lt;VLOOKUP(I$5,NFI,5,0),1,0)*Table_NFI[[#This Row],[NFI Core Kit]],Table_NFI[NFI Core Kit])</f>
        <v>0</v>
      </c>
      <c r="AA1102" s="352">
        <f>IF(NFI_Expiration=1,IF($A1102&lt;VLOOKUP(J$5,NFI,5,0),1,0)*Table_NFI[[#This Row],[Sanitary Kit]],Table_NFI[Sanitary Kit])</f>
        <v>0</v>
      </c>
      <c r="AB1102" s="352">
        <f>IF(NFI_Expiration=1,IF($A1102&lt;VLOOKUP(K$5,NFI,5,0),1,0)*Table_NFI[[#This Row],[Mosquito net]],Table_NFI[Mosquito net])</f>
        <v>0</v>
      </c>
      <c r="AC1102" s="352">
        <f>IF(NFI_Expiration=1,IF($A1102&lt;VLOOKUP(L$5,NFI,5,0),1,0)*Table_NFI[[#This Row],[Tarpaulin]],Table_NFI[[#This Row],[Tarpaulin]])</f>
        <v>0</v>
      </c>
      <c r="AD1102" s="352">
        <f>IF(NFI_Expiration=1,IF($A1102&lt;VLOOKUP(M$5,NFI,5,0),1,0)*Table_NFI[[#This Row],[Blanket]],Table_NFI[[#This Row],[Blanket]])</f>
        <v>0</v>
      </c>
      <c r="AE1102" s="352">
        <f>IF(NFI_Expiration=1,IF($A1102&lt;VLOOKUP(N$5,NFI,5,0),1,0)*Table_NFI[[#This Row],[Kitchen Set]],Table_NFI[Kitchen Set])</f>
        <v>0</v>
      </c>
      <c r="AF1102" s="352">
        <f>IF(NFI_Expiration=1,IF($A1102&lt;VLOOKUP(O$5,NFI,5,0),1,0)*Table_NFI[[#This Row],[Clothes Kit]],Table_NFI[Clothes Kit])</f>
        <v>0</v>
      </c>
      <c r="AG1102" s="352">
        <f>IF(NFI_Expiration=1,IF($A1102&lt;VLOOKUP(P$5,NFI,5,0),1,0)*Table_NFI[[#This Row],[Plastic Bucket]],Table_NFI[Plastic Bucket])</f>
        <v>0</v>
      </c>
      <c r="AH1102" s="352">
        <f>IF(NFI_Expiration=1,IF($A1102&lt;VLOOKUP(Q$5,NFI,5,0),1,0)*Table_NFI[[#This Row],[Plastic Mat]],Table_NFI[Plastic Mat])*IF(Table_NFI[[#This Row],[Distribution Date]]&gt;"2014-04-01",1,2.5)</f>
        <v>0</v>
      </c>
      <c r="AI1102" s="352">
        <f>IF(NFI_Expiration=1,IF($A1102&lt;VLOOKUP(R$5,NFI,5,0),1,0)*Table_NFI[[#This Row],[Winter Clothes Adult]],Table_NFI[Winter Clothes Adult])</f>
        <v>0</v>
      </c>
      <c r="AJ1102" s="352">
        <f>IF(NFI_Expiration=1,IF($A1102&lt;VLOOKUP(S$5,NFI,5,0),1,0)*Table_NFI[[#This Row],[Winter Clothes Children]],Table_NFI[Winter Clothes Children])</f>
        <v>0</v>
      </c>
      <c r="AK1102" s="352">
        <f>IF(NFI_Expiration=1,IF($A1102&lt;VLOOKUP(T$5,NFI,5,0),1,0)*Table_NFI[[#This Row],[Winter Items Other]],Table_NFI[Winter Items Other])</f>
        <v>0</v>
      </c>
      <c r="AL1102" s="352">
        <f>IF(NFI_Expiration=1,IF($A1102&lt;VLOOKUP(M$5,NFI,5,0),1,0)*Table_NFI[[#This Row],[Winter Blanket]],Table_NFI[[#This Row],[Winter Blanket]])</f>
        <v>0</v>
      </c>
      <c r="AM1102" s="352">
        <f>IF(Table_NFI[[#This Row],[Winter Clothes Adult]]+Table_NFI[[#This Row],[Winter Clothes Children]]+Table_NFI[[#This Row],[Winter Items Other]]+Table_NFI[[#This Row],[Winter Blanket]]&gt;0,1,0)</f>
        <v>0</v>
      </c>
      <c r="AN1102" s="392">
        <f>IF(NFI_Expiration=1,IF($A1102&lt;VLOOKUP(V$5,NFI,5,0),1,0)*Table_NFI[[#This Row],[Jerry Can]],Table_NFI[Jerry Can])</f>
        <v>0</v>
      </c>
      <c r="AO1102" s="540" t="str">
        <f>IFERROR(VLOOKUP(Table_NFI[[#This Row],[Camp Name]],CL,2,0),"")</f>
        <v/>
      </c>
      <c r="AP1102" s="535" t="str">
        <f ca="1">IF(Table_NFI[[#This Row],[Pcode]]="","",IF(OFFSET(CampList[Opening Date],MATCH(Table_NFI[[#This Row],[Pcode]],CampList[CP_Pcode],0)-1,0,1,1)&gt;=NFI_Monitor_Date,1,0))</f>
        <v/>
      </c>
      <c r="AQ1102" s="540" t="str">
        <f>IFERROR(VLOOKUP(Table_NFI[[#This Row],[Camp Name]],CL,3,0),"")</f>
        <v/>
      </c>
      <c r="AR1102" s="352" t="str">
        <f ca="1">IF(Table_NFI[[#This Row],[Pcode]]="","",OFFSET(CampList[Priority],MATCH(Table_NFI[[#This Row],[Pcode]],CampList[CP_Pcode],0)-1,0,1,1))</f>
        <v/>
      </c>
      <c r="AS1102" s="351" t="str">
        <f>IFERROR(Table_NFI[[#This Row],[Kitchen Set]]/VLOOKUP(Table_NFI[[#This Row],[Camp Name]],CL,4,0),"")</f>
        <v/>
      </c>
      <c r="AT1102" s="533" t="s">
        <v>1094</v>
      </c>
      <c r="AU1102" s="541"/>
    </row>
    <row r="1103" spans="1:47" s="546" customFormat="1" ht="15.75" hidden="1" customHeight="1" x14ac:dyDescent="0.25">
      <c r="A1103" s="355" t="str">
        <f t="shared" si="17"/>
        <v/>
      </c>
      <c r="B1103" s="532"/>
      <c r="C1103" s="538"/>
      <c r="D1103" s="538"/>
      <c r="E1103" s="538"/>
      <c r="F1103" s="538"/>
      <c r="G1103" s="538"/>
      <c r="H1103" s="350"/>
      <c r="I1103" s="350"/>
      <c r="J1103" s="350"/>
      <c r="K1103" s="350"/>
      <c r="L1103" s="350"/>
      <c r="M1103" s="350"/>
      <c r="N1103" s="350"/>
      <c r="O1103" s="350"/>
      <c r="P1103" s="352"/>
      <c r="Q1103" s="392"/>
      <c r="R1103" s="392"/>
      <c r="S1103" s="392"/>
      <c r="T1103" s="392"/>
      <c r="U1103" s="392"/>
      <c r="V1103" s="497"/>
      <c r="W1103" s="392"/>
      <c r="X1103" s="392"/>
      <c r="Y1103" s="352">
        <f>IF(NFI_Expiration=1,IF($A1103&lt;VLOOKUP(H$5,NFI,5,0),1,0)*Table_NFI[[#This Row],[Hygiene Kit]],Table_NFI[Hygiene Kit])</f>
        <v>0</v>
      </c>
      <c r="Z1103" s="352">
        <f>IF(NFI_Expiration=1,IF($A1103&lt;VLOOKUP(I$5,NFI,5,0),1,0)*Table_NFI[[#This Row],[NFI Core Kit]],Table_NFI[NFI Core Kit])</f>
        <v>0</v>
      </c>
      <c r="AA1103" s="352">
        <f>IF(NFI_Expiration=1,IF($A1103&lt;VLOOKUP(J$5,NFI,5,0),1,0)*Table_NFI[[#This Row],[Sanitary Kit]],Table_NFI[Sanitary Kit])</f>
        <v>0</v>
      </c>
      <c r="AB1103" s="352">
        <f>IF(NFI_Expiration=1,IF($A1103&lt;VLOOKUP(K$5,NFI,5,0),1,0)*Table_NFI[[#This Row],[Mosquito net]],Table_NFI[Mosquito net])</f>
        <v>0</v>
      </c>
      <c r="AC1103" s="352">
        <f>IF(NFI_Expiration=1,IF($A1103&lt;VLOOKUP(L$5,NFI,5,0),1,0)*Table_NFI[[#This Row],[Tarpaulin]],Table_NFI[[#This Row],[Tarpaulin]])</f>
        <v>0</v>
      </c>
      <c r="AD1103" s="352">
        <f>IF(NFI_Expiration=1,IF($A1103&lt;VLOOKUP(M$5,NFI,5,0),1,0)*Table_NFI[[#This Row],[Blanket]],Table_NFI[[#This Row],[Blanket]])</f>
        <v>0</v>
      </c>
      <c r="AE1103" s="352">
        <f>IF(NFI_Expiration=1,IF($A1103&lt;VLOOKUP(N$5,NFI,5,0),1,0)*Table_NFI[[#This Row],[Kitchen Set]],Table_NFI[Kitchen Set])</f>
        <v>0</v>
      </c>
      <c r="AF1103" s="352">
        <f>IF(NFI_Expiration=1,IF($A1103&lt;VLOOKUP(O$5,NFI,5,0),1,0)*Table_NFI[[#This Row],[Clothes Kit]],Table_NFI[Clothes Kit])</f>
        <v>0</v>
      </c>
      <c r="AG1103" s="352">
        <f>IF(NFI_Expiration=1,IF($A1103&lt;VLOOKUP(P$5,NFI,5,0),1,0)*Table_NFI[[#This Row],[Plastic Bucket]],Table_NFI[Plastic Bucket])</f>
        <v>0</v>
      </c>
      <c r="AH1103" s="352">
        <f>IF(NFI_Expiration=1,IF($A1103&lt;VLOOKUP(Q$5,NFI,5,0),1,0)*Table_NFI[[#This Row],[Plastic Mat]],Table_NFI[Plastic Mat])*IF(Table_NFI[[#This Row],[Distribution Date]]&gt;"2014-04-01",1,2.5)</f>
        <v>0</v>
      </c>
      <c r="AI1103" s="352">
        <f>IF(NFI_Expiration=1,IF($A1103&lt;VLOOKUP(R$5,NFI,5,0),1,0)*Table_NFI[[#This Row],[Winter Clothes Adult]],Table_NFI[Winter Clothes Adult])</f>
        <v>0</v>
      </c>
      <c r="AJ1103" s="352">
        <f>IF(NFI_Expiration=1,IF($A1103&lt;VLOOKUP(S$5,NFI,5,0),1,0)*Table_NFI[[#This Row],[Winter Clothes Children]],Table_NFI[Winter Clothes Children])</f>
        <v>0</v>
      </c>
      <c r="AK1103" s="352">
        <f>IF(NFI_Expiration=1,IF($A1103&lt;VLOOKUP(T$5,NFI,5,0),1,0)*Table_NFI[[#This Row],[Winter Items Other]],Table_NFI[Winter Items Other])</f>
        <v>0</v>
      </c>
      <c r="AL1103" s="352">
        <f>IF(NFI_Expiration=1,IF($A1103&lt;VLOOKUP(M$5,NFI,5,0),1,0)*Table_NFI[[#This Row],[Winter Blanket]],Table_NFI[[#This Row],[Winter Blanket]])</f>
        <v>0</v>
      </c>
      <c r="AM1103" s="352">
        <f>IF(Table_NFI[[#This Row],[Winter Clothes Adult]]+Table_NFI[[#This Row],[Winter Clothes Children]]+Table_NFI[[#This Row],[Winter Items Other]]+Table_NFI[[#This Row],[Winter Blanket]]&gt;0,1,0)</f>
        <v>0</v>
      </c>
      <c r="AN1103" s="392">
        <f>IF(NFI_Expiration=1,IF($A1103&lt;VLOOKUP(V$5,NFI,5,0),1,0)*Table_NFI[[#This Row],[Jerry Can]],Table_NFI[Jerry Can])</f>
        <v>0</v>
      </c>
      <c r="AO1103" s="540" t="str">
        <f>IFERROR(VLOOKUP(Table_NFI[[#This Row],[Camp Name]],CL,2,0),"")</f>
        <v/>
      </c>
      <c r="AP1103" s="535" t="str">
        <f ca="1">IF(Table_NFI[[#This Row],[Pcode]]="","",IF(OFFSET(CampList[Opening Date],MATCH(Table_NFI[[#This Row],[Pcode]],CampList[CP_Pcode],0)-1,0,1,1)&gt;=NFI_Monitor_Date,1,0))</f>
        <v/>
      </c>
      <c r="AQ1103" s="540" t="str">
        <f>IFERROR(VLOOKUP(Table_NFI[[#This Row],[Camp Name]],CL,3,0),"")</f>
        <v/>
      </c>
      <c r="AR1103" s="352" t="str">
        <f ca="1">IF(Table_NFI[[#This Row],[Pcode]]="","",OFFSET(CampList[Priority],MATCH(Table_NFI[[#This Row],[Pcode]],CampList[CP_Pcode],0)-1,0,1,1))</f>
        <v/>
      </c>
      <c r="AS1103" s="351" t="str">
        <f>IFERROR(Table_NFI[[#This Row],[Kitchen Set]]/VLOOKUP(Table_NFI[[#This Row],[Camp Name]],CL,4,0),"")</f>
        <v/>
      </c>
      <c r="AT1103" s="533" t="s">
        <v>1094</v>
      </c>
      <c r="AU1103" s="541"/>
    </row>
    <row r="1104" spans="1:47" s="546" customFormat="1" ht="15.75" hidden="1" customHeight="1" x14ac:dyDescent="0.25">
      <c r="A1104" s="355" t="str">
        <f t="shared" si="17"/>
        <v/>
      </c>
      <c r="B1104" s="532"/>
      <c r="C1104" s="538"/>
      <c r="D1104" s="538"/>
      <c r="E1104" s="538"/>
      <c r="F1104" s="538"/>
      <c r="G1104" s="538"/>
      <c r="H1104" s="350"/>
      <c r="I1104" s="350"/>
      <c r="J1104" s="350"/>
      <c r="K1104" s="350"/>
      <c r="L1104" s="350"/>
      <c r="M1104" s="350"/>
      <c r="N1104" s="350"/>
      <c r="O1104" s="350"/>
      <c r="P1104" s="352"/>
      <c r="Q1104" s="392"/>
      <c r="R1104" s="392"/>
      <c r="S1104" s="392"/>
      <c r="T1104" s="392"/>
      <c r="U1104" s="392"/>
      <c r="V1104" s="497"/>
      <c r="W1104" s="392"/>
      <c r="X1104" s="392"/>
      <c r="Y1104" s="352">
        <f>IF(NFI_Expiration=1,IF($A1104&lt;VLOOKUP(H$5,NFI,5,0),1,0)*Table_NFI[[#This Row],[Hygiene Kit]],Table_NFI[Hygiene Kit])</f>
        <v>0</v>
      </c>
      <c r="Z1104" s="352">
        <f>IF(NFI_Expiration=1,IF($A1104&lt;VLOOKUP(I$5,NFI,5,0),1,0)*Table_NFI[[#This Row],[NFI Core Kit]],Table_NFI[NFI Core Kit])</f>
        <v>0</v>
      </c>
      <c r="AA1104" s="352">
        <f>IF(NFI_Expiration=1,IF($A1104&lt;VLOOKUP(J$5,NFI,5,0),1,0)*Table_NFI[[#This Row],[Sanitary Kit]],Table_NFI[Sanitary Kit])</f>
        <v>0</v>
      </c>
      <c r="AB1104" s="352">
        <f>IF(NFI_Expiration=1,IF($A1104&lt;VLOOKUP(K$5,NFI,5,0),1,0)*Table_NFI[[#This Row],[Mosquito net]],Table_NFI[Mosquito net])</f>
        <v>0</v>
      </c>
      <c r="AC1104" s="352">
        <f>IF(NFI_Expiration=1,IF($A1104&lt;VLOOKUP(L$5,NFI,5,0),1,0)*Table_NFI[[#This Row],[Tarpaulin]],Table_NFI[[#This Row],[Tarpaulin]])</f>
        <v>0</v>
      </c>
      <c r="AD1104" s="352">
        <f>IF(NFI_Expiration=1,IF($A1104&lt;VLOOKUP(M$5,NFI,5,0),1,0)*Table_NFI[[#This Row],[Blanket]],Table_NFI[[#This Row],[Blanket]])</f>
        <v>0</v>
      </c>
      <c r="AE1104" s="352">
        <f>IF(NFI_Expiration=1,IF($A1104&lt;VLOOKUP(N$5,NFI,5,0),1,0)*Table_NFI[[#This Row],[Kitchen Set]],Table_NFI[Kitchen Set])</f>
        <v>0</v>
      </c>
      <c r="AF1104" s="352">
        <f>IF(NFI_Expiration=1,IF($A1104&lt;VLOOKUP(O$5,NFI,5,0),1,0)*Table_NFI[[#This Row],[Clothes Kit]],Table_NFI[Clothes Kit])</f>
        <v>0</v>
      </c>
      <c r="AG1104" s="352">
        <f>IF(NFI_Expiration=1,IF($A1104&lt;VLOOKUP(P$5,NFI,5,0),1,0)*Table_NFI[[#This Row],[Plastic Bucket]],Table_NFI[Plastic Bucket])</f>
        <v>0</v>
      </c>
      <c r="AH1104" s="352">
        <f>IF(NFI_Expiration=1,IF($A1104&lt;VLOOKUP(Q$5,NFI,5,0),1,0)*Table_NFI[[#This Row],[Plastic Mat]],Table_NFI[Plastic Mat])*IF(Table_NFI[[#This Row],[Distribution Date]]&gt;"2014-04-01",1,2.5)</f>
        <v>0</v>
      </c>
      <c r="AI1104" s="352">
        <f>IF(NFI_Expiration=1,IF($A1104&lt;VLOOKUP(R$5,NFI,5,0),1,0)*Table_NFI[[#This Row],[Winter Clothes Adult]],Table_NFI[Winter Clothes Adult])</f>
        <v>0</v>
      </c>
      <c r="AJ1104" s="352">
        <f>IF(NFI_Expiration=1,IF($A1104&lt;VLOOKUP(S$5,NFI,5,0),1,0)*Table_NFI[[#This Row],[Winter Clothes Children]],Table_NFI[Winter Clothes Children])</f>
        <v>0</v>
      </c>
      <c r="AK1104" s="352">
        <f>IF(NFI_Expiration=1,IF($A1104&lt;VLOOKUP(T$5,NFI,5,0),1,0)*Table_NFI[[#This Row],[Winter Items Other]],Table_NFI[Winter Items Other])</f>
        <v>0</v>
      </c>
      <c r="AL1104" s="352">
        <f>IF(NFI_Expiration=1,IF($A1104&lt;VLOOKUP(M$5,NFI,5,0),1,0)*Table_NFI[[#This Row],[Winter Blanket]],Table_NFI[[#This Row],[Winter Blanket]])</f>
        <v>0</v>
      </c>
      <c r="AM1104" s="352">
        <f>IF(Table_NFI[[#This Row],[Winter Clothes Adult]]+Table_NFI[[#This Row],[Winter Clothes Children]]+Table_NFI[[#This Row],[Winter Items Other]]+Table_NFI[[#This Row],[Winter Blanket]]&gt;0,1,0)</f>
        <v>0</v>
      </c>
      <c r="AN1104" s="392">
        <f>IF(NFI_Expiration=1,IF($A1104&lt;VLOOKUP(V$5,NFI,5,0),1,0)*Table_NFI[[#This Row],[Jerry Can]],Table_NFI[Jerry Can])</f>
        <v>0</v>
      </c>
      <c r="AO1104" s="540" t="str">
        <f>IFERROR(VLOOKUP(Table_NFI[[#This Row],[Camp Name]],CL,2,0),"")</f>
        <v/>
      </c>
      <c r="AP1104" s="535" t="str">
        <f ca="1">IF(Table_NFI[[#This Row],[Pcode]]="","",IF(OFFSET(CampList[Opening Date],MATCH(Table_NFI[[#This Row],[Pcode]],CampList[CP_Pcode],0)-1,0,1,1)&gt;=NFI_Monitor_Date,1,0))</f>
        <v/>
      </c>
      <c r="AQ1104" s="540" t="str">
        <f>IFERROR(VLOOKUP(Table_NFI[[#This Row],[Camp Name]],CL,3,0),"")</f>
        <v/>
      </c>
      <c r="AR1104" s="352" t="str">
        <f ca="1">IF(Table_NFI[[#This Row],[Pcode]]="","",OFFSET(CampList[Priority],MATCH(Table_NFI[[#This Row],[Pcode]],CampList[CP_Pcode],0)-1,0,1,1))</f>
        <v/>
      </c>
      <c r="AS1104" s="351" t="str">
        <f>IFERROR(Table_NFI[[#This Row],[Kitchen Set]]/VLOOKUP(Table_NFI[[#This Row],[Camp Name]],CL,4,0),"")</f>
        <v/>
      </c>
      <c r="AT1104" s="533" t="s">
        <v>1094</v>
      </c>
      <c r="AU1104" s="541"/>
    </row>
    <row r="1105" spans="1:47" s="546" customFormat="1" ht="15.75" hidden="1" customHeight="1" x14ac:dyDescent="0.25">
      <c r="A1105" s="355" t="str">
        <f t="shared" si="17"/>
        <v/>
      </c>
      <c r="B1105" s="532"/>
      <c r="C1105" s="538"/>
      <c r="D1105" s="538"/>
      <c r="E1105" s="538"/>
      <c r="F1105" s="538"/>
      <c r="G1105" s="538"/>
      <c r="H1105" s="350"/>
      <c r="I1105" s="350"/>
      <c r="J1105" s="350"/>
      <c r="K1105" s="350"/>
      <c r="L1105" s="350"/>
      <c r="M1105" s="350"/>
      <c r="N1105" s="350"/>
      <c r="O1105" s="350"/>
      <c r="P1105" s="352"/>
      <c r="Q1105" s="392"/>
      <c r="R1105" s="392"/>
      <c r="S1105" s="392"/>
      <c r="T1105" s="392"/>
      <c r="U1105" s="392"/>
      <c r="V1105" s="497"/>
      <c r="W1105" s="392"/>
      <c r="X1105" s="392"/>
      <c r="Y1105" s="352">
        <f>IF(NFI_Expiration=1,IF($A1105&lt;VLOOKUP(H$5,NFI,5,0),1,0)*Table_NFI[[#This Row],[Hygiene Kit]],Table_NFI[Hygiene Kit])</f>
        <v>0</v>
      </c>
      <c r="Z1105" s="352">
        <f>IF(NFI_Expiration=1,IF($A1105&lt;VLOOKUP(I$5,NFI,5,0),1,0)*Table_NFI[[#This Row],[NFI Core Kit]],Table_NFI[NFI Core Kit])</f>
        <v>0</v>
      </c>
      <c r="AA1105" s="352">
        <f>IF(NFI_Expiration=1,IF($A1105&lt;VLOOKUP(J$5,NFI,5,0),1,0)*Table_NFI[[#This Row],[Sanitary Kit]],Table_NFI[Sanitary Kit])</f>
        <v>0</v>
      </c>
      <c r="AB1105" s="352">
        <f>IF(NFI_Expiration=1,IF($A1105&lt;VLOOKUP(K$5,NFI,5,0),1,0)*Table_NFI[[#This Row],[Mosquito net]],Table_NFI[Mosquito net])</f>
        <v>0</v>
      </c>
      <c r="AC1105" s="352">
        <f>IF(NFI_Expiration=1,IF($A1105&lt;VLOOKUP(L$5,NFI,5,0),1,0)*Table_NFI[[#This Row],[Tarpaulin]],Table_NFI[[#This Row],[Tarpaulin]])</f>
        <v>0</v>
      </c>
      <c r="AD1105" s="352">
        <f>IF(NFI_Expiration=1,IF($A1105&lt;VLOOKUP(M$5,NFI,5,0),1,0)*Table_NFI[[#This Row],[Blanket]],Table_NFI[[#This Row],[Blanket]])</f>
        <v>0</v>
      </c>
      <c r="AE1105" s="352">
        <f>IF(NFI_Expiration=1,IF($A1105&lt;VLOOKUP(N$5,NFI,5,0),1,0)*Table_NFI[[#This Row],[Kitchen Set]],Table_NFI[Kitchen Set])</f>
        <v>0</v>
      </c>
      <c r="AF1105" s="352">
        <f>IF(NFI_Expiration=1,IF($A1105&lt;VLOOKUP(O$5,NFI,5,0),1,0)*Table_NFI[[#This Row],[Clothes Kit]],Table_NFI[Clothes Kit])</f>
        <v>0</v>
      </c>
      <c r="AG1105" s="352">
        <f>IF(NFI_Expiration=1,IF($A1105&lt;VLOOKUP(P$5,NFI,5,0),1,0)*Table_NFI[[#This Row],[Plastic Bucket]],Table_NFI[Plastic Bucket])</f>
        <v>0</v>
      </c>
      <c r="AH1105" s="352">
        <f>IF(NFI_Expiration=1,IF($A1105&lt;VLOOKUP(Q$5,NFI,5,0),1,0)*Table_NFI[[#This Row],[Plastic Mat]],Table_NFI[Plastic Mat])*IF(Table_NFI[[#This Row],[Distribution Date]]&gt;"2014-04-01",1,2.5)</f>
        <v>0</v>
      </c>
      <c r="AI1105" s="352">
        <f>IF(NFI_Expiration=1,IF($A1105&lt;VLOOKUP(R$5,NFI,5,0),1,0)*Table_NFI[[#This Row],[Winter Clothes Adult]],Table_NFI[Winter Clothes Adult])</f>
        <v>0</v>
      </c>
      <c r="AJ1105" s="352">
        <f>IF(NFI_Expiration=1,IF($A1105&lt;VLOOKUP(S$5,NFI,5,0),1,0)*Table_NFI[[#This Row],[Winter Clothes Children]],Table_NFI[Winter Clothes Children])</f>
        <v>0</v>
      </c>
      <c r="AK1105" s="352">
        <f>IF(NFI_Expiration=1,IF($A1105&lt;VLOOKUP(T$5,NFI,5,0),1,0)*Table_NFI[[#This Row],[Winter Items Other]],Table_NFI[Winter Items Other])</f>
        <v>0</v>
      </c>
      <c r="AL1105" s="352">
        <f>IF(NFI_Expiration=1,IF($A1105&lt;VLOOKUP(M$5,NFI,5,0),1,0)*Table_NFI[[#This Row],[Winter Blanket]],Table_NFI[[#This Row],[Winter Blanket]])</f>
        <v>0</v>
      </c>
      <c r="AM1105" s="352">
        <f>IF(Table_NFI[[#This Row],[Winter Clothes Adult]]+Table_NFI[[#This Row],[Winter Clothes Children]]+Table_NFI[[#This Row],[Winter Items Other]]+Table_NFI[[#This Row],[Winter Blanket]]&gt;0,1,0)</f>
        <v>0</v>
      </c>
      <c r="AN1105" s="392">
        <f>IF(NFI_Expiration=1,IF($A1105&lt;VLOOKUP(V$5,NFI,5,0),1,0)*Table_NFI[[#This Row],[Jerry Can]],Table_NFI[Jerry Can])</f>
        <v>0</v>
      </c>
      <c r="AO1105" s="540" t="str">
        <f>IFERROR(VLOOKUP(Table_NFI[[#This Row],[Camp Name]],CL,2,0),"")</f>
        <v/>
      </c>
      <c r="AP1105" s="535" t="str">
        <f ca="1">IF(Table_NFI[[#This Row],[Pcode]]="","",IF(OFFSET(CampList[Opening Date],MATCH(Table_NFI[[#This Row],[Pcode]],CampList[CP_Pcode],0)-1,0,1,1)&gt;=NFI_Monitor_Date,1,0))</f>
        <v/>
      </c>
      <c r="AQ1105" s="540" t="str">
        <f>IFERROR(VLOOKUP(Table_NFI[[#This Row],[Camp Name]],CL,3,0),"")</f>
        <v/>
      </c>
      <c r="AR1105" s="352" t="str">
        <f ca="1">IF(Table_NFI[[#This Row],[Pcode]]="","",OFFSET(CampList[Priority],MATCH(Table_NFI[[#This Row],[Pcode]],CampList[CP_Pcode],0)-1,0,1,1))</f>
        <v/>
      </c>
      <c r="AS1105" s="351" t="str">
        <f>IFERROR(Table_NFI[[#This Row],[Kitchen Set]]/VLOOKUP(Table_NFI[[#This Row],[Camp Name]],CL,4,0),"")</f>
        <v/>
      </c>
      <c r="AT1105" s="533" t="s">
        <v>1094</v>
      </c>
      <c r="AU1105" s="541"/>
    </row>
    <row r="1106" spans="1:47" s="546" customFormat="1" ht="15.75" hidden="1" customHeight="1" x14ac:dyDescent="0.25">
      <c r="A1106" s="355" t="str">
        <f t="shared" si="17"/>
        <v/>
      </c>
      <c r="B1106" s="532"/>
      <c r="C1106" s="538"/>
      <c r="D1106" s="538"/>
      <c r="E1106" s="538"/>
      <c r="F1106" s="538"/>
      <c r="G1106" s="538"/>
      <c r="H1106" s="350"/>
      <c r="I1106" s="350"/>
      <c r="J1106" s="350"/>
      <c r="K1106" s="350"/>
      <c r="L1106" s="350"/>
      <c r="M1106" s="350"/>
      <c r="N1106" s="350"/>
      <c r="O1106" s="350"/>
      <c r="P1106" s="352"/>
      <c r="Q1106" s="392"/>
      <c r="R1106" s="392"/>
      <c r="S1106" s="392"/>
      <c r="T1106" s="392"/>
      <c r="U1106" s="392"/>
      <c r="V1106" s="497"/>
      <c r="W1106" s="392"/>
      <c r="X1106" s="392"/>
      <c r="Y1106" s="352">
        <f>IF(NFI_Expiration=1,IF($A1106&lt;VLOOKUP(H$5,NFI,5,0),1,0)*Table_NFI[[#This Row],[Hygiene Kit]],Table_NFI[Hygiene Kit])</f>
        <v>0</v>
      </c>
      <c r="Z1106" s="352">
        <f>IF(NFI_Expiration=1,IF($A1106&lt;VLOOKUP(I$5,NFI,5,0),1,0)*Table_NFI[[#This Row],[NFI Core Kit]],Table_NFI[NFI Core Kit])</f>
        <v>0</v>
      </c>
      <c r="AA1106" s="352">
        <f>IF(NFI_Expiration=1,IF($A1106&lt;VLOOKUP(J$5,NFI,5,0),1,0)*Table_NFI[[#This Row],[Sanitary Kit]],Table_NFI[Sanitary Kit])</f>
        <v>0</v>
      </c>
      <c r="AB1106" s="352">
        <f>IF(NFI_Expiration=1,IF($A1106&lt;VLOOKUP(K$5,NFI,5,0),1,0)*Table_NFI[[#This Row],[Mosquito net]],Table_NFI[Mosquito net])</f>
        <v>0</v>
      </c>
      <c r="AC1106" s="352">
        <f>IF(NFI_Expiration=1,IF($A1106&lt;VLOOKUP(L$5,NFI,5,0),1,0)*Table_NFI[[#This Row],[Tarpaulin]],Table_NFI[[#This Row],[Tarpaulin]])</f>
        <v>0</v>
      </c>
      <c r="AD1106" s="352">
        <f>IF(NFI_Expiration=1,IF($A1106&lt;VLOOKUP(M$5,NFI,5,0),1,0)*Table_NFI[[#This Row],[Blanket]],Table_NFI[[#This Row],[Blanket]])</f>
        <v>0</v>
      </c>
      <c r="AE1106" s="352">
        <f>IF(NFI_Expiration=1,IF($A1106&lt;VLOOKUP(N$5,NFI,5,0),1,0)*Table_NFI[[#This Row],[Kitchen Set]],Table_NFI[Kitchen Set])</f>
        <v>0</v>
      </c>
      <c r="AF1106" s="352">
        <f>IF(NFI_Expiration=1,IF($A1106&lt;VLOOKUP(O$5,NFI,5,0),1,0)*Table_NFI[[#This Row],[Clothes Kit]],Table_NFI[Clothes Kit])</f>
        <v>0</v>
      </c>
      <c r="AG1106" s="352">
        <f>IF(NFI_Expiration=1,IF($A1106&lt;VLOOKUP(P$5,NFI,5,0),1,0)*Table_NFI[[#This Row],[Plastic Bucket]],Table_NFI[Plastic Bucket])</f>
        <v>0</v>
      </c>
      <c r="AH1106" s="352">
        <f>IF(NFI_Expiration=1,IF($A1106&lt;VLOOKUP(Q$5,NFI,5,0),1,0)*Table_NFI[[#This Row],[Plastic Mat]],Table_NFI[Plastic Mat])*IF(Table_NFI[[#This Row],[Distribution Date]]&gt;"2014-04-01",1,2.5)</f>
        <v>0</v>
      </c>
      <c r="AI1106" s="352">
        <f>IF(NFI_Expiration=1,IF($A1106&lt;VLOOKUP(R$5,NFI,5,0),1,0)*Table_NFI[[#This Row],[Winter Clothes Adult]],Table_NFI[Winter Clothes Adult])</f>
        <v>0</v>
      </c>
      <c r="AJ1106" s="352">
        <f>IF(NFI_Expiration=1,IF($A1106&lt;VLOOKUP(S$5,NFI,5,0),1,0)*Table_NFI[[#This Row],[Winter Clothes Children]],Table_NFI[Winter Clothes Children])</f>
        <v>0</v>
      </c>
      <c r="AK1106" s="352">
        <f>IF(NFI_Expiration=1,IF($A1106&lt;VLOOKUP(T$5,NFI,5,0),1,0)*Table_NFI[[#This Row],[Winter Items Other]],Table_NFI[Winter Items Other])</f>
        <v>0</v>
      </c>
      <c r="AL1106" s="352">
        <f>IF(NFI_Expiration=1,IF($A1106&lt;VLOOKUP(M$5,NFI,5,0),1,0)*Table_NFI[[#This Row],[Winter Blanket]],Table_NFI[[#This Row],[Winter Blanket]])</f>
        <v>0</v>
      </c>
      <c r="AM1106" s="352">
        <f>IF(Table_NFI[[#This Row],[Winter Clothes Adult]]+Table_NFI[[#This Row],[Winter Clothes Children]]+Table_NFI[[#This Row],[Winter Items Other]]+Table_NFI[[#This Row],[Winter Blanket]]&gt;0,1,0)</f>
        <v>0</v>
      </c>
      <c r="AN1106" s="392">
        <f>IF(NFI_Expiration=1,IF($A1106&lt;VLOOKUP(V$5,NFI,5,0),1,0)*Table_NFI[[#This Row],[Jerry Can]],Table_NFI[Jerry Can])</f>
        <v>0</v>
      </c>
      <c r="AO1106" s="540" t="str">
        <f>IFERROR(VLOOKUP(Table_NFI[[#This Row],[Camp Name]],CL,2,0),"")</f>
        <v/>
      </c>
      <c r="AP1106" s="535" t="str">
        <f ca="1">IF(Table_NFI[[#This Row],[Pcode]]="","",IF(OFFSET(CampList[Opening Date],MATCH(Table_NFI[[#This Row],[Pcode]],CampList[CP_Pcode],0)-1,0,1,1)&gt;=NFI_Monitor_Date,1,0))</f>
        <v/>
      </c>
      <c r="AQ1106" s="540" t="str">
        <f>IFERROR(VLOOKUP(Table_NFI[[#This Row],[Camp Name]],CL,3,0),"")</f>
        <v/>
      </c>
      <c r="AR1106" s="352" t="str">
        <f ca="1">IF(Table_NFI[[#This Row],[Pcode]]="","",OFFSET(CampList[Priority],MATCH(Table_NFI[[#This Row],[Pcode]],CampList[CP_Pcode],0)-1,0,1,1))</f>
        <v/>
      </c>
      <c r="AS1106" s="351" t="str">
        <f>IFERROR(Table_NFI[[#This Row],[Kitchen Set]]/VLOOKUP(Table_NFI[[#This Row],[Camp Name]],CL,4,0),"")</f>
        <v/>
      </c>
      <c r="AT1106" s="533" t="s">
        <v>1094</v>
      </c>
      <c r="AU1106" s="541"/>
    </row>
    <row r="1107" spans="1:47" s="546" customFormat="1" ht="15.75" hidden="1" customHeight="1" x14ac:dyDescent="0.25">
      <c r="A1107" s="355" t="str">
        <f t="shared" si="17"/>
        <v/>
      </c>
      <c r="B1107" s="532"/>
      <c r="C1107" s="538"/>
      <c r="D1107" s="538"/>
      <c r="E1107" s="538"/>
      <c r="F1107" s="538"/>
      <c r="G1107" s="538"/>
      <c r="H1107" s="350"/>
      <c r="I1107" s="350"/>
      <c r="J1107" s="350"/>
      <c r="K1107" s="350"/>
      <c r="L1107" s="350"/>
      <c r="M1107" s="350"/>
      <c r="N1107" s="350"/>
      <c r="O1107" s="350"/>
      <c r="P1107" s="352"/>
      <c r="Q1107" s="392"/>
      <c r="R1107" s="392"/>
      <c r="S1107" s="392"/>
      <c r="T1107" s="392"/>
      <c r="U1107" s="392"/>
      <c r="V1107" s="497"/>
      <c r="W1107" s="392"/>
      <c r="X1107" s="392"/>
      <c r="Y1107" s="352">
        <f>IF(NFI_Expiration=1,IF($A1107&lt;VLOOKUP(H$5,NFI,5,0),1,0)*Table_NFI[[#This Row],[Hygiene Kit]],Table_NFI[Hygiene Kit])</f>
        <v>0</v>
      </c>
      <c r="Z1107" s="352">
        <f>IF(NFI_Expiration=1,IF($A1107&lt;VLOOKUP(I$5,NFI,5,0),1,0)*Table_NFI[[#This Row],[NFI Core Kit]],Table_NFI[NFI Core Kit])</f>
        <v>0</v>
      </c>
      <c r="AA1107" s="352">
        <f>IF(NFI_Expiration=1,IF($A1107&lt;VLOOKUP(J$5,NFI,5,0),1,0)*Table_NFI[[#This Row],[Sanitary Kit]],Table_NFI[Sanitary Kit])</f>
        <v>0</v>
      </c>
      <c r="AB1107" s="352">
        <f>IF(NFI_Expiration=1,IF($A1107&lt;VLOOKUP(K$5,NFI,5,0),1,0)*Table_NFI[[#This Row],[Mosquito net]],Table_NFI[Mosquito net])</f>
        <v>0</v>
      </c>
      <c r="AC1107" s="352">
        <f>IF(NFI_Expiration=1,IF($A1107&lt;VLOOKUP(L$5,NFI,5,0),1,0)*Table_NFI[[#This Row],[Tarpaulin]],Table_NFI[[#This Row],[Tarpaulin]])</f>
        <v>0</v>
      </c>
      <c r="AD1107" s="352">
        <f>IF(NFI_Expiration=1,IF($A1107&lt;VLOOKUP(M$5,NFI,5,0),1,0)*Table_NFI[[#This Row],[Blanket]],Table_NFI[[#This Row],[Blanket]])</f>
        <v>0</v>
      </c>
      <c r="AE1107" s="352">
        <f>IF(NFI_Expiration=1,IF($A1107&lt;VLOOKUP(N$5,NFI,5,0),1,0)*Table_NFI[[#This Row],[Kitchen Set]],Table_NFI[Kitchen Set])</f>
        <v>0</v>
      </c>
      <c r="AF1107" s="352">
        <f>IF(NFI_Expiration=1,IF($A1107&lt;VLOOKUP(O$5,NFI,5,0),1,0)*Table_NFI[[#This Row],[Clothes Kit]],Table_NFI[Clothes Kit])</f>
        <v>0</v>
      </c>
      <c r="AG1107" s="352">
        <f>IF(NFI_Expiration=1,IF($A1107&lt;VLOOKUP(P$5,NFI,5,0),1,0)*Table_NFI[[#This Row],[Plastic Bucket]],Table_NFI[Plastic Bucket])</f>
        <v>0</v>
      </c>
      <c r="AH1107" s="352">
        <f>IF(NFI_Expiration=1,IF($A1107&lt;VLOOKUP(Q$5,NFI,5,0),1,0)*Table_NFI[[#This Row],[Plastic Mat]],Table_NFI[Plastic Mat])*IF(Table_NFI[[#This Row],[Distribution Date]]&gt;"2014-04-01",1,2.5)</f>
        <v>0</v>
      </c>
      <c r="AI1107" s="352">
        <f>IF(NFI_Expiration=1,IF($A1107&lt;VLOOKUP(R$5,NFI,5,0),1,0)*Table_NFI[[#This Row],[Winter Clothes Adult]],Table_NFI[Winter Clothes Adult])</f>
        <v>0</v>
      </c>
      <c r="AJ1107" s="352">
        <f>IF(NFI_Expiration=1,IF($A1107&lt;VLOOKUP(S$5,NFI,5,0),1,0)*Table_NFI[[#This Row],[Winter Clothes Children]],Table_NFI[Winter Clothes Children])</f>
        <v>0</v>
      </c>
      <c r="AK1107" s="352">
        <f>IF(NFI_Expiration=1,IF($A1107&lt;VLOOKUP(T$5,NFI,5,0),1,0)*Table_NFI[[#This Row],[Winter Items Other]],Table_NFI[Winter Items Other])</f>
        <v>0</v>
      </c>
      <c r="AL1107" s="352">
        <f>IF(NFI_Expiration=1,IF($A1107&lt;VLOOKUP(M$5,NFI,5,0),1,0)*Table_NFI[[#This Row],[Winter Blanket]],Table_NFI[[#This Row],[Winter Blanket]])</f>
        <v>0</v>
      </c>
      <c r="AM1107" s="352">
        <f>IF(Table_NFI[[#This Row],[Winter Clothes Adult]]+Table_NFI[[#This Row],[Winter Clothes Children]]+Table_NFI[[#This Row],[Winter Items Other]]+Table_NFI[[#This Row],[Winter Blanket]]&gt;0,1,0)</f>
        <v>0</v>
      </c>
      <c r="AN1107" s="392">
        <f>IF(NFI_Expiration=1,IF($A1107&lt;VLOOKUP(V$5,NFI,5,0),1,0)*Table_NFI[[#This Row],[Jerry Can]],Table_NFI[Jerry Can])</f>
        <v>0</v>
      </c>
      <c r="AO1107" s="540" t="str">
        <f>IFERROR(VLOOKUP(Table_NFI[[#This Row],[Camp Name]],CL,2,0),"")</f>
        <v/>
      </c>
      <c r="AP1107" s="535" t="str">
        <f ca="1">IF(Table_NFI[[#This Row],[Pcode]]="","",IF(OFFSET(CampList[Opening Date],MATCH(Table_NFI[[#This Row],[Pcode]],CampList[CP_Pcode],0)-1,0,1,1)&gt;=NFI_Monitor_Date,1,0))</f>
        <v/>
      </c>
      <c r="AQ1107" s="540" t="str">
        <f>IFERROR(VLOOKUP(Table_NFI[[#This Row],[Camp Name]],CL,3,0),"")</f>
        <v/>
      </c>
      <c r="AR1107" s="352" t="str">
        <f ca="1">IF(Table_NFI[[#This Row],[Pcode]]="","",OFFSET(CampList[Priority],MATCH(Table_NFI[[#This Row],[Pcode]],CampList[CP_Pcode],0)-1,0,1,1))</f>
        <v/>
      </c>
      <c r="AS1107" s="351" t="str">
        <f>IFERROR(Table_NFI[[#This Row],[Kitchen Set]]/VLOOKUP(Table_NFI[[#This Row],[Camp Name]],CL,4,0),"")</f>
        <v/>
      </c>
      <c r="AT1107" s="533" t="s">
        <v>1094</v>
      </c>
      <c r="AU1107" s="541"/>
    </row>
    <row r="1108" spans="1:47" s="546" customFormat="1" ht="14.45" hidden="1" customHeight="1" x14ac:dyDescent="0.25">
      <c r="A1108" s="355" t="str">
        <f t="shared" si="17"/>
        <v/>
      </c>
      <c r="B1108" s="532"/>
      <c r="C1108" s="538"/>
      <c r="D1108" s="538"/>
      <c r="E1108" s="538"/>
      <c r="F1108" s="538"/>
      <c r="G1108" s="538"/>
      <c r="H1108" s="350"/>
      <c r="I1108" s="350"/>
      <c r="J1108" s="350"/>
      <c r="K1108" s="350"/>
      <c r="L1108" s="350"/>
      <c r="M1108" s="350"/>
      <c r="N1108" s="350"/>
      <c r="O1108" s="350"/>
      <c r="P1108" s="352"/>
      <c r="Q1108" s="392"/>
      <c r="R1108" s="392"/>
      <c r="S1108" s="392"/>
      <c r="T1108" s="392"/>
      <c r="U1108" s="392"/>
      <c r="V1108" s="497"/>
      <c r="W1108" s="392"/>
      <c r="X1108" s="392"/>
      <c r="Y1108" s="352">
        <f>IF(NFI_Expiration=1,IF($A1108&lt;VLOOKUP(H$5,NFI,5,0),1,0)*Table_NFI[[#This Row],[Hygiene Kit]],Table_NFI[Hygiene Kit])</f>
        <v>0</v>
      </c>
      <c r="Z1108" s="352">
        <f>IF(NFI_Expiration=1,IF($A1108&lt;VLOOKUP(I$5,NFI,5,0),1,0)*Table_NFI[[#This Row],[NFI Core Kit]],Table_NFI[NFI Core Kit])</f>
        <v>0</v>
      </c>
      <c r="AA1108" s="352">
        <f>IF(NFI_Expiration=1,IF($A1108&lt;VLOOKUP(J$5,NFI,5,0),1,0)*Table_NFI[[#This Row],[Sanitary Kit]],Table_NFI[Sanitary Kit])</f>
        <v>0</v>
      </c>
      <c r="AB1108" s="352">
        <f>IF(NFI_Expiration=1,IF($A1108&lt;VLOOKUP(K$5,NFI,5,0),1,0)*Table_NFI[[#This Row],[Mosquito net]],Table_NFI[Mosquito net])</f>
        <v>0</v>
      </c>
      <c r="AC1108" s="352">
        <f>IF(NFI_Expiration=1,IF($A1108&lt;VLOOKUP(L$5,NFI,5,0),1,0)*Table_NFI[[#This Row],[Tarpaulin]],Table_NFI[[#This Row],[Tarpaulin]])</f>
        <v>0</v>
      </c>
      <c r="AD1108" s="352">
        <f>IF(NFI_Expiration=1,IF($A1108&lt;VLOOKUP(M$5,NFI,5,0),1,0)*Table_NFI[[#This Row],[Blanket]],Table_NFI[[#This Row],[Blanket]])</f>
        <v>0</v>
      </c>
      <c r="AE1108" s="352">
        <f>IF(NFI_Expiration=1,IF($A1108&lt;VLOOKUP(N$5,NFI,5,0),1,0)*Table_NFI[[#This Row],[Kitchen Set]],Table_NFI[Kitchen Set])</f>
        <v>0</v>
      </c>
      <c r="AF1108" s="352">
        <f>IF(NFI_Expiration=1,IF($A1108&lt;VLOOKUP(O$5,NFI,5,0),1,0)*Table_NFI[[#This Row],[Clothes Kit]],Table_NFI[Clothes Kit])</f>
        <v>0</v>
      </c>
      <c r="AG1108" s="352">
        <f>IF(NFI_Expiration=1,IF($A1108&lt;VLOOKUP(P$5,NFI,5,0),1,0)*Table_NFI[[#This Row],[Plastic Bucket]],Table_NFI[Plastic Bucket])</f>
        <v>0</v>
      </c>
      <c r="AH1108" s="352">
        <f>IF(NFI_Expiration=1,IF($A1108&lt;VLOOKUP(Q$5,NFI,5,0),1,0)*Table_NFI[[#This Row],[Plastic Mat]],Table_NFI[Plastic Mat])*IF(Table_NFI[[#This Row],[Distribution Date]]&gt;"2014-04-01",1,2.5)</f>
        <v>0</v>
      </c>
      <c r="AI1108" s="352">
        <f>IF(NFI_Expiration=1,IF($A1108&lt;VLOOKUP(R$5,NFI,5,0),1,0)*Table_NFI[[#This Row],[Winter Clothes Adult]],Table_NFI[Winter Clothes Adult])</f>
        <v>0</v>
      </c>
      <c r="AJ1108" s="352">
        <f>IF(NFI_Expiration=1,IF($A1108&lt;VLOOKUP(S$5,NFI,5,0),1,0)*Table_NFI[[#This Row],[Winter Clothes Children]],Table_NFI[Winter Clothes Children])</f>
        <v>0</v>
      </c>
      <c r="AK1108" s="352">
        <f>IF(NFI_Expiration=1,IF($A1108&lt;VLOOKUP(T$5,NFI,5,0),1,0)*Table_NFI[[#This Row],[Winter Items Other]],Table_NFI[Winter Items Other])</f>
        <v>0</v>
      </c>
      <c r="AL1108" s="352">
        <f>IF(NFI_Expiration=1,IF($A1108&lt;VLOOKUP(M$5,NFI,5,0),1,0)*Table_NFI[[#This Row],[Winter Blanket]],Table_NFI[[#This Row],[Winter Blanket]])</f>
        <v>0</v>
      </c>
      <c r="AM1108" s="352">
        <f>IF(Table_NFI[[#This Row],[Winter Clothes Adult]]+Table_NFI[[#This Row],[Winter Clothes Children]]+Table_NFI[[#This Row],[Winter Items Other]]+Table_NFI[[#This Row],[Winter Blanket]]&gt;0,1,0)</f>
        <v>0</v>
      </c>
      <c r="AN1108" s="392">
        <f>IF(NFI_Expiration=1,IF($A1108&lt;VLOOKUP(V$5,NFI,5,0),1,0)*Table_NFI[[#This Row],[Jerry Can]],Table_NFI[Jerry Can])</f>
        <v>0</v>
      </c>
      <c r="AO1108" s="540" t="str">
        <f>IFERROR(VLOOKUP(Table_NFI[[#This Row],[Camp Name]],CL,2,0),"")</f>
        <v/>
      </c>
      <c r="AP1108" s="535" t="str">
        <f ca="1">IF(Table_NFI[[#This Row],[Pcode]]="","",IF(OFFSET(CampList[Opening Date],MATCH(Table_NFI[[#This Row],[Pcode]],CampList[CP_Pcode],0)-1,0,1,1)&gt;=NFI_Monitor_Date,1,0))</f>
        <v/>
      </c>
      <c r="AQ1108" s="540" t="str">
        <f>IFERROR(VLOOKUP(Table_NFI[[#This Row],[Camp Name]],CL,3,0),"")</f>
        <v/>
      </c>
      <c r="AR1108" s="352" t="str">
        <f ca="1">IF(Table_NFI[[#This Row],[Pcode]]="","",OFFSET(CampList[Priority],MATCH(Table_NFI[[#This Row],[Pcode]],CampList[CP_Pcode],0)-1,0,1,1))</f>
        <v/>
      </c>
      <c r="AS1108" s="351" t="str">
        <f>IFERROR(Table_NFI[[#This Row],[Kitchen Set]]/VLOOKUP(Table_NFI[[#This Row],[Camp Name]],CL,4,0),"")</f>
        <v/>
      </c>
      <c r="AT1108" s="533" t="s">
        <v>1094</v>
      </c>
      <c r="AU1108" s="541"/>
    </row>
    <row r="1109" spans="1:47" s="546" customFormat="1" ht="15.75" hidden="1" customHeight="1" x14ac:dyDescent="0.25">
      <c r="A1109" s="355" t="str">
        <f t="shared" si="17"/>
        <v/>
      </c>
      <c r="B1109" s="532"/>
      <c r="C1109" s="538"/>
      <c r="D1109" s="538"/>
      <c r="E1109" s="538"/>
      <c r="F1109" s="538"/>
      <c r="G1109" s="538"/>
      <c r="H1109" s="350"/>
      <c r="I1109" s="350"/>
      <c r="J1109" s="350"/>
      <c r="K1109" s="350"/>
      <c r="L1109" s="350"/>
      <c r="M1109" s="350"/>
      <c r="N1109" s="350"/>
      <c r="O1109" s="350"/>
      <c r="P1109" s="352"/>
      <c r="Q1109" s="392"/>
      <c r="R1109" s="392"/>
      <c r="S1109" s="392"/>
      <c r="T1109" s="392"/>
      <c r="U1109" s="392"/>
      <c r="V1109" s="497"/>
      <c r="W1109" s="392"/>
      <c r="X1109" s="392"/>
      <c r="Y1109" s="352">
        <f>IF(NFI_Expiration=1,IF($A1109&lt;VLOOKUP(H$5,NFI,5,0),1,0)*Table_NFI[[#This Row],[Hygiene Kit]],Table_NFI[Hygiene Kit])</f>
        <v>0</v>
      </c>
      <c r="Z1109" s="352">
        <f>IF(NFI_Expiration=1,IF($A1109&lt;VLOOKUP(I$5,NFI,5,0),1,0)*Table_NFI[[#This Row],[NFI Core Kit]],Table_NFI[NFI Core Kit])</f>
        <v>0</v>
      </c>
      <c r="AA1109" s="352">
        <f>IF(NFI_Expiration=1,IF($A1109&lt;VLOOKUP(J$5,NFI,5,0),1,0)*Table_NFI[[#This Row],[Sanitary Kit]],Table_NFI[Sanitary Kit])</f>
        <v>0</v>
      </c>
      <c r="AB1109" s="352">
        <f>IF(NFI_Expiration=1,IF($A1109&lt;VLOOKUP(K$5,NFI,5,0),1,0)*Table_NFI[[#This Row],[Mosquito net]],Table_NFI[Mosquito net])</f>
        <v>0</v>
      </c>
      <c r="AC1109" s="352">
        <f>IF(NFI_Expiration=1,IF($A1109&lt;VLOOKUP(L$5,NFI,5,0),1,0)*Table_NFI[[#This Row],[Tarpaulin]],Table_NFI[[#This Row],[Tarpaulin]])</f>
        <v>0</v>
      </c>
      <c r="AD1109" s="352">
        <f>IF(NFI_Expiration=1,IF($A1109&lt;VLOOKUP(M$5,NFI,5,0),1,0)*Table_NFI[[#This Row],[Blanket]],Table_NFI[[#This Row],[Blanket]])</f>
        <v>0</v>
      </c>
      <c r="AE1109" s="352">
        <f>IF(NFI_Expiration=1,IF($A1109&lt;VLOOKUP(N$5,NFI,5,0),1,0)*Table_NFI[[#This Row],[Kitchen Set]],Table_NFI[Kitchen Set])</f>
        <v>0</v>
      </c>
      <c r="AF1109" s="352">
        <f>IF(NFI_Expiration=1,IF($A1109&lt;VLOOKUP(O$5,NFI,5,0),1,0)*Table_NFI[[#This Row],[Clothes Kit]],Table_NFI[Clothes Kit])</f>
        <v>0</v>
      </c>
      <c r="AG1109" s="352">
        <f>IF(NFI_Expiration=1,IF($A1109&lt;VLOOKUP(P$5,NFI,5,0),1,0)*Table_NFI[[#This Row],[Plastic Bucket]],Table_NFI[Plastic Bucket])</f>
        <v>0</v>
      </c>
      <c r="AH1109" s="352">
        <f>IF(NFI_Expiration=1,IF($A1109&lt;VLOOKUP(Q$5,NFI,5,0),1,0)*Table_NFI[[#This Row],[Plastic Mat]],Table_NFI[Plastic Mat])*IF(Table_NFI[[#This Row],[Distribution Date]]&gt;"2014-04-01",1,2.5)</f>
        <v>0</v>
      </c>
      <c r="AI1109" s="352">
        <f>IF(NFI_Expiration=1,IF($A1109&lt;VLOOKUP(R$5,NFI,5,0),1,0)*Table_NFI[[#This Row],[Winter Clothes Adult]],Table_NFI[Winter Clothes Adult])</f>
        <v>0</v>
      </c>
      <c r="AJ1109" s="352">
        <f>IF(NFI_Expiration=1,IF($A1109&lt;VLOOKUP(S$5,NFI,5,0),1,0)*Table_NFI[[#This Row],[Winter Clothes Children]],Table_NFI[Winter Clothes Children])</f>
        <v>0</v>
      </c>
      <c r="AK1109" s="352">
        <f>IF(NFI_Expiration=1,IF($A1109&lt;VLOOKUP(T$5,NFI,5,0),1,0)*Table_NFI[[#This Row],[Winter Items Other]],Table_NFI[Winter Items Other])</f>
        <v>0</v>
      </c>
      <c r="AL1109" s="352">
        <f>IF(NFI_Expiration=1,IF($A1109&lt;VLOOKUP(M$5,NFI,5,0),1,0)*Table_NFI[[#This Row],[Winter Blanket]],Table_NFI[[#This Row],[Winter Blanket]])</f>
        <v>0</v>
      </c>
      <c r="AM1109" s="352">
        <f>IF(Table_NFI[[#This Row],[Winter Clothes Adult]]+Table_NFI[[#This Row],[Winter Clothes Children]]+Table_NFI[[#This Row],[Winter Items Other]]+Table_NFI[[#This Row],[Winter Blanket]]&gt;0,1,0)</f>
        <v>0</v>
      </c>
      <c r="AN1109" s="392">
        <f>IF(NFI_Expiration=1,IF($A1109&lt;VLOOKUP(V$5,NFI,5,0),1,0)*Table_NFI[[#This Row],[Jerry Can]],Table_NFI[Jerry Can])</f>
        <v>0</v>
      </c>
      <c r="AO1109" s="540" t="str">
        <f>IFERROR(VLOOKUP(Table_NFI[[#This Row],[Camp Name]],CL,2,0),"")</f>
        <v/>
      </c>
      <c r="AP1109" s="535" t="str">
        <f ca="1">IF(Table_NFI[[#This Row],[Pcode]]="","",IF(OFFSET(CampList[Opening Date],MATCH(Table_NFI[[#This Row],[Pcode]],CampList[CP_Pcode],0)-1,0,1,1)&gt;=NFI_Monitor_Date,1,0))</f>
        <v/>
      </c>
      <c r="AQ1109" s="540" t="str">
        <f>IFERROR(VLOOKUP(Table_NFI[[#This Row],[Camp Name]],CL,3,0),"")</f>
        <v/>
      </c>
      <c r="AR1109" s="352" t="str">
        <f ca="1">IF(Table_NFI[[#This Row],[Pcode]]="","",OFFSET(CampList[Priority],MATCH(Table_NFI[[#This Row],[Pcode]],CampList[CP_Pcode],0)-1,0,1,1))</f>
        <v/>
      </c>
      <c r="AS1109" s="351" t="str">
        <f>IFERROR(Table_NFI[[#This Row],[Kitchen Set]]/VLOOKUP(Table_NFI[[#This Row],[Camp Name]],CL,4,0),"")</f>
        <v/>
      </c>
      <c r="AT1109" s="533" t="s">
        <v>1094</v>
      </c>
      <c r="AU1109" s="541"/>
    </row>
    <row r="1110" spans="1:47" s="546" customFormat="1" ht="15.75" hidden="1" customHeight="1" x14ac:dyDescent="0.25">
      <c r="A1110" s="355" t="str">
        <f t="shared" si="17"/>
        <v/>
      </c>
      <c r="B1110" s="532"/>
      <c r="C1110" s="538"/>
      <c r="D1110" s="538"/>
      <c r="E1110" s="538"/>
      <c r="F1110" s="538"/>
      <c r="G1110" s="538"/>
      <c r="H1110" s="350"/>
      <c r="I1110" s="350"/>
      <c r="J1110" s="350"/>
      <c r="K1110" s="350"/>
      <c r="L1110" s="350"/>
      <c r="M1110" s="350"/>
      <c r="N1110" s="350"/>
      <c r="O1110" s="350"/>
      <c r="P1110" s="352"/>
      <c r="Q1110" s="392"/>
      <c r="R1110" s="392"/>
      <c r="S1110" s="392"/>
      <c r="T1110" s="392"/>
      <c r="U1110" s="392"/>
      <c r="V1110" s="497"/>
      <c r="W1110" s="392"/>
      <c r="X1110" s="392"/>
      <c r="Y1110" s="352">
        <f>IF(NFI_Expiration=1,IF($A1110&lt;VLOOKUP(H$5,NFI,5,0),1,0)*Table_NFI[[#This Row],[Hygiene Kit]],Table_NFI[Hygiene Kit])</f>
        <v>0</v>
      </c>
      <c r="Z1110" s="352">
        <f>IF(NFI_Expiration=1,IF($A1110&lt;VLOOKUP(I$5,NFI,5,0),1,0)*Table_NFI[[#This Row],[NFI Core Kit]],Table_NFI[NFI Core Kit])</f>
        <v>0</v>
      </c>
      <c r="AA1110" s="352">
        <f>IF(NFI_Expiration=1,IF($A1110&lt;VLOOKUP(J$5,NFI,5,0),1,0)*Table_NFI[[#This Row],[Sanitary Kit]],Table_NFI[Sanitary Kit])</f>
        <v>0</v>
      </c>
      <c r="AB1110" s="352">
        <f>IF(NFI_Expiration=1,IF($A1110&lt;VLOOKUP(K$5,NFI,5,0),1,0)*Table_NFI[[#This Row],[Mosquito net]],Table_NFI[Mosquito net])</f>
        <v>0</v>
      </c>
      <c r="AC1110" s="352">
        <f>IF(NFI_Expiration=1,IF($A1110&lt;VLOOKUP(L$5,NFI,5,0),1,0)*Table_NFI[[#This Row],[Tarpaulin]],Table_NFI[[#This Row],[Tarpaulin]])</f>
        <v>0</v>
      </c>
      <c r="AD1110" s="352">
        <f>IF(NFI_Expiration=1,IF($A1110&lt;VLOOKUP(M$5,NFI,5,0),1,0)*Table_NFI[[#This Row],[Blanket]],Table_NFI[[#This Row],[Blanket]])</f>
        <v>0</v>
      </c>
      <c r="AE1110" s="352">
        <f>IF(NFI_Expiration=1,IF($A1110&lt;VLOOKUP(N$5,NFI,5,0),1,0)*Table_NFI[[#This Row],[Kitchen Set]],Table_NFI[Kitchen Set])</f>
        <v>0</v>
      </c>
      <c r="AF1110" s="352">
        <f>IF(NFI_Expiration=1,IF($A1110&lt;VLOOKUP(O$5,NFI,5,0),1,0)*Table_NFI[[#This Row],[Clothes Kit]],Table_NFI[Clothes Kit])</f>
        <v>0</v>
      </c>
      <c r="AG1110" s="352">
        <f>IF(NFI_Expiration=1,IF($A1110&lt;VLOOKUP(P$5,NFI,5,0),1,0)*Table_NFI[[#This Row],[Plastic Bucket]],Table_NFI[Plastic Bucket])</f>
        <v>0</v>
      </c>
      <c r="AH1110" s="352">
        <f>IF(NFI_Expiration=1,IF($A1110&lt;VLOOKUP(Q$5,NFI,5,0),1,0)*Table_NFI[[#This Row],[Plastic Mat]],Table_NFI[Plastic Mat])*IF(Table_NFI[[#This Row],[Distribution Date]]&gt;"2014-04-01",1,2.5)</f>
        <v>0</v>
      </c>
      <c r="AI1110" s="352">
        <f>IF(NFI_Expiration=1,IF($A1110&lt;VLOOKUP(R$5,NFI,5,0),1,0)*Table_NFI[[#This Row],[Winter Clothes Adult]],Table_NFI[Winter Clothes Adult])</f>
        <v>0</v>
      </c>
      <c r="AJ1110" s="352">
        <f>IF(NFI_Expiration=1,IF($A1110&lt;VLOOKUP(S$5,NFI,5,0),1,0)*Table_NFI[[#This Row],[Winter Clothes Children]],Table_NFI[Winter Clothes Children])</f>
        <v>0</v>
      </c>
      <c r="AK1110" s="352">
        <f>IF(NFI_Expiration=1,IF($A1110&lt;VLOOKUP(T$5,NFI,5,0),1,0)*Table_NFI[[#This Row],[Winter Items Other]],Table_NFI[Winter Items Other])</f>
        <v>0</v>
      </c>
      <c r="AL1110" s="352">
        <f>IF(NFI_Expiration=1,IF($A1110&lt;VLOOKUP(M$5,NFI,5,0),1,0)*Table_NFI[[#This Row],[Winter Blanket]],Table_NFI[[#This Row],[Winter Blanket]])</f>
        <v>0</v>
      </c>
      <c r="AM1110" s="352">
        <f>IF(Table_NFI[[#This Row],[Winter Clothes Adult]]+Table_NFI[[#This Row],[Winter Clothes Children]]+Table_NFI[[#This Row],[Winter Items Other]]+Table_NFI[[#This Row],[Winter Blanket]]&gt;0,1,0)</f>
        <v>0</v>
      </c>
      <c r="AN1110" s="392">
        <f>IF(NFI_Expiration=1,IF($A1110&lt;VLOOKUP(V$5,NFI,5,0),1,0)*Table_NFI[[#This Row],[Jerry Can]],Table_NFI[Jerry Can])</f>
        <v>0</v>
      </c>
      <c r="AO1110" s="540" t="str">
        <f>IFERROR(VLOOKUP(Table_NFI[[#This Row],[Camp Name]],CL,2,0),"")</f>
        <v/>
      </c>
      <c r="AP1110" s="535" t="str">
        <f ca="1">IF(Table_NFI[[#This Row],[Pcode]]="","",IF(OFFSET(CampList[Opening Date],MATCH(Table_NFI[[#This Row],[Pcode]],CampList[CP_Pcode],0)-1,0,1,1)&gt;=NFI_Monitor_Date,1,0))</f>
        <v/>
      </c>
      <c r="AQ1110" s="540" t="str">
        <f>IFERROR(VLOOKUP(Table_NFI[[#This Row],[Camp Name]],CL,3,0),"")</f>
        <v/>
      </c>
      <c r="AR1110" s="352" t="str">
        <f ca="1">IF(Table_NFI[[#This Row],[Pcode]]="","",OFFSET(CampList[Priority],MATCH(Table_NFI[[#This Row],[Pcode]],CampList[CP_Pcode],0)-1,0,1,1))</f>
        <v/>
      </c>
      <c r="AS1110" s="351" t="str">
        <f>IFERROR(Table_NFI[[#This Row],[Kitchen Set]]/VLOOKUP(Table_NFI[[#This Row],[Camp Name]],CL,4,0),"")</f>
        <v/>
      </c>
      <c r="AT1110" s="533" t="s">
        <v>1094</v>
      </c>
      <c r="AU1110" s="541"/>
    </row>
    <row r="1111" spans="1:47" s="546" customFormat="1" ht="15.75" hidden="1" customHeight="1" x14ac:dyDescent="0.25">
      <c r="A1111" s="355" t="str">
        <f t="shared" si="17"/>
        <v/>
      </c>
      <c r="B1111" s="532"/>
      <c r="C1111" s="538"/>
      <c r="D1111" s="538"/>
      <c r="E1111" s="538"/>
      <c r="F1111" s="538"/>
      <c r="G1111" s="538"/>
      <c r="H1111" s="350"/>
      <c r="I1111" s="350"/>
      <c r="J1111" s="350"/>
      <c r="K1111" s="350"/>
      <c r="L1111" s="350"/>
      <c r="M1111" s="350"/>
      <c r="N1111" s="350"/>
      <c r="O1111" s="350"/>
      <c r="P1111" s="352"/>
      <c r="Q1111" s="392"/>
      <c r="R1111" s="392"/>
      <c r="S1111" s="392"/>
      <c r="T1111" s="392"/>
      <c r="U1111" s="392"/>
      <c r="V1111" s="497"/>
      <c r="W1111" s="392"/>
      <c r="X1111" s="392"/>
      <c r="Y1111" s="352">
        <f>IF(NFI_Expiration=1,IF($A1111&lt;VLOOKUP(H$5,NFI,5,0),1,0)*Table_NFI[[#This Row],[Hygiene Kit]],Table_NFI[Hygiene Kit])</f>
        <v>0</v>
      </c>
      <c r="Z1111" s="352">
        <f>IF(NFI_Expiration=1,IF($A1111&lt;VLOOKUP(I$5,NFI,5,0),1,0)*Table_NFI[[#This Row],[NFI Core Kit]],Table_NFI[NFI Core Kit])</f>
        <v>0</v>
      </c>
      <c r="AA1111" s="352">
        <f>IF(NFI_Expiration=1,IF($A1111&lt;VLOOKUP(J$5,NFI,5,0),1,0)*Table_NFI[[#This Row],[Sanitary Kit]],Table_NFI[Sanitary Kit])</f>
        <v>0</v>
      </c>
      <c r="AB1111" s="352">
        <f>IF(NFI_Expiration=1,IF($A1111&lt;VLOOKUP(K$5,NFI,5,0),1,0)*Table_NFI[[#This Row],[Mosquito net]],Table_NFI[Mosquito net])</f>
        <v>0</v>
      </c>
      <c r="AC1111" s="352">
        <f>IF(NFI_Expiration=1,IF($A1111&lt;VLOOKUP(L$5,NFI,5,0),1,0)*Table_NFI[[#This Row],[Tarpaulin]],Table_NFI[[#This Row],[Tarpaulin]])</f>
        <v>0</v>
      </c>
      <c r="AD1111" s="352">
        <f>IF(NFI_Expiration=1,IF($A1111&lt;VLOOKUP(M$5,NFI,5,0),1,0)*Table_NFI[[#This Row],[Blanket]],Table_NFI[[#This Row],[Blanket]])</f>
        <v>0</v>
      </c>
      <c r="AE1111" s="352">
        <f>IF(NFI_Expiration=1,IF($A1111&lt;VLOOKUP(N$5,NFI,5,0),1,0)*Table_NFI[[#This Row],[Kitchen Set]],Table_NFI[Kitchen Set])</f>
        <v>0</v>
      </c>
      <c r="AF1111" s="352">
        <f>IF(NFI_Expiration=1,IF($A1111&lt;VLOOKUP(O$5,NFI,5,0),1,0)*Table_NFI[[#This Row],[Clothes Kit]],Table_NFI[Clothes Kit])</f>
        <v>0</v>
      </c>
      <c r="AG1111" s="352">
        <f>IF(NFI_Expiration=1,IF($A1111&lt;VLOOKUP(P$5,NFI,5,0),1,0)*Table_NFI[[#This Row],[Plastic Bucket]],Table_NFI[Plastic Bucket])</f>
        <v>0</v>
      </c>
      <c r="AH1111" s="352">
        <f>IF(NFI_Expiration=1,IF($A1111&lt;VLOOKUP(Q$5,NFI,5,0),1,0)*Table_NFI[[#This Row],[Plastic Mat]],Table_NFI[Plastic Mat])*IF(Table_NFI[[#This Row],[Distribution Date]]&gt;"2014-04-01",1,2.5)</f>
        <v>0</v>
      </c>
      <c r="AI1111" s="352">
        <f>IF(NFI_Expiration=1,IF($A1111&lt;VLOOKUP(R$5,NFI,5,0),1,0)*Table_NFI[[#This Row],[Winter Clothes Adult]],Table_NFI[Winter Clothes Adult])</f>
        <v>0</v>
      </c>
      <c r="AJ1111" s="352">
        <f>IF(NFI_Expiration=1,IF($A1111&lt;VLOOKUP(S$5,NFI,5,0),1,0)*Table_NFI[[#This Row],[Winter Clothes Children]],Table_NFI[Winter Clothes Children])</f>
        <v>0</v>
      </c>
      <c r="AK1111" s="352">
        <f>IF(NFI_Expiration=1,IF($A1111&lt;VLOOKUP(T$5,NFI,5,0),1,0)*Table_NFI[[#This Row],[Winter Items Other]],Table_NFI[Winter Items Other])</f>
        <v>0</v>
      </c>
      <c r="AL1111" s="352">
        <f>IF(NFI_Expiration=1,IF($A1111&lt;VLOOKUP(M$5,NFI,5,0),1,0)*Table_NFI[[#This Row],[Winter Blanket]],Table_NFI[[#This Row],[Winter Blanket]])</f>
        <v>0</v>
      </c>
      <c r="AM1111" s="352">
        <f>IF(Table_NFI[[#This Row],[Winter Clothes Adult]]+Table_NFI[[#This Row],[Winter Clothes Children]]+Table_NFI[[#This Row],[Winter Items Other]]+Table_NFI[[#This Row],[Winter Blanket]]&gt;0,1,0)</f>
        <v>0</v>
      </c>
      <c r="AN1111" s="392">
        <f>IF(NFI_Expiration=1,IF($A1111&lt;VLOOKUP(V$5,NFI,5,0),1,0)*Table_NFI[[#This Row],[Jerry Can]],Table_NFI[Jerry Can])</f>
        <v>0</v>
      </c>
      <c r="AO1111" s="540" t="str">
        <f>IFERROR(VLOOKUP(Table_NFI[[#This Row],[Camp Name]],CL,2,0),"")</f>
        <v/>
      </c>
      <c r="AP1111" s="535" t="str">
        <f ca="1">IF(Table_NFI[[#This Row],[Pcode]]="","",IF(OFFSET(CampList[Opening Date],MATCH(Table_NFI[[#This Row],[Pcode]],CampList[CP_Pcode],0)-1,0,1,1)&gt;=NFI_Monitor_Date,1,0))</f>
        <v/>
      </c>
      <c r="AQ1111" s="540" t="str">
        <f>IFERROR(VLOOKUP(Table_NFI[[#This Row],[Camp Name]],CL,3,0),"")</f>
        <v/>
      </c>
      <c r="AR1111" s="352" t="str">
        <f ca="1">IF(Table_NFI[[#This Row],[Pcode]]="","",OFFSET(CampList[Priority],MATCH(Table_NFI[[#This Row],[Pcode]],CampList[CP_Pcode],0)-1,0,1,1))</f>
        <v/>
      </c>
      <c r="AS1111" s="351" t="str">
        <f>IFERROR(Table_NFI[[#This Row],[Kitchen Set]]/VLOOKUP(Table_NFI[[#This Row],[Camp Name]],CL,4,0),"")</f>
        <v/>
      </c>
      <c r="AT1111" s="533" t="s">
        <v>1094</v>
      </c>
      <c r="AU1111" s="541"/>
    </row>
    <row r="1112" spans="1:47" s="546" customFormat="1" ht="14.45" hidden="1" customHeight="1" x14ac:dyDescent="0.25">
      <c r="A1112" s="355" t="str">
        <f t="shared" ref="A1112:A1175" si="18">IF(ISBLANK(B1112),"",(Report_Date-B1112)/30)</f>
        <v/>
      </c>
      <c r="B1112" s="532"/>
      <c r="C1112" s="538"/>
      <c r="D1112" s="538"/>
      <c r="E1112" s="538"/>
      <c r="F1112" s="538"/>
      <c r="G1112" s="538"/>
      <c r="H1112" s="350"/>
      <c r="I1112" s="350"/>
      <c r="J1112" s="350"/>
      <c r="K1112" s="350"/>
      <c r="L1112" s="350"/>
      <c r="M1112" s="350"/>
      <c r="N1112" s="350"/>
      <c r="O1112" s="350"/>
      <c r="P1112" s="352"/>
      <c r="Q1112" s="392"/>
      <c r="R1112" s="392"/>
      <c r="S1112" s="392"/>
      <c r="T1112" s="392"/>
      <c r="U1112" s="392"/>
      <c r="V1112" s="497"/>
      <c r="W1112" s="392"/>
      <c r="X1112" s="392"/>
      <c r="Y1112" s="352">
        <f>IF(NFI_Expiration=1,IF($A1112&lt;VLOOKUP(H$5,NFI,5,0),1,0)*Table_NFI[[#This Row],[Hygiene Kit]],Table_NFI[Hygiene Kit])</f>
        <v>0</v>
      </c>
      <c r="Z1112" s="352">
        <f>IF(NFI_Expiration=1,IF($A1112&lt;VLOOKUP(I$5,NFI,5,0),1,0)*Table_NFI[[#This Row],[NFI Core Kit]],Table_NFI[NFI Core Kit])</f>
        <v>0</v>
      </c>
      <c r="AA1112" s="352">
        <f>IF(NFI_Expiration=1,IF($A1112&lt;VLOOKUP(J$5,NFI,5,0),1,0)*Table_NFI[[#This Row],[Sanitary Kit]],Table_NFI[Sanitary Kit])</f>
        <v>0</v>
      </c>
      <c r="AB1112" s="352">
        <f>IF(NFI_Expiration=1,IF($A1112&lt;VLOOKUP(K$5,NFI,5,0),1,0)*Table_NFI[[#This Row],[Mosquito net]],Table_NFI[Mosquito net])</f>
        <v>0</v>
      </c>
      <c r="AC1112" s="352">
        <f>IF(NFI_Expiration=1,IF($A1112&lt;VLOOKUP(L$5,NFI,5,0),1,0)*Table_NFI[[#This Row],[Tarpaulin]],Table_NFI[[#This Row],[Tarpaulin]])</f>
        <v>0</v>
      </c>
      <c r="AD1112" s="352">
        <f>IF(NFI_Expiration=1,IF($A1112&lt;VLOOKUP(M$5,NFI,5,0),1,0)*Table_NFI[[#This Row],[Blanket]],Table_NFI[[#This Row],[Blanket]])</f>
        <v>0</v>
      </c>
      <c r="AE1112" s="352">
        <f>IF(NFI_Expiration=1,IF($A1112&lt;VLOOKUP(N$5,NFI,5,0),1,0)*Table_NFI[[#This Row],[Kitchen Set]],Table_NFI[Kitchen Set])</f>
        <v>0</v>
      </c>
      <c r="AF1112" s="352">
        <f>IF(NFI_Expiration=1,IF($A1112&lt;VLOOKUP(O$5,NFI,5,0),1,0)*Table_NFI[[#This Row],[Clothes Kit]],Table_NFI[Clothes Kit])</f>
        <v>0</v>
      </c>
      <c r="AG1112" s="352">
        <f>IF(NFI_Expiration=1,IF($A1112&lt;VLOOKUP(P$5,NFI,5,0),1,0)*Table_NFI[[#This Row],[Plastic Bucket]],Table_NFI[Plastic Bucket])</f>
        <v>0</v>
      </c>
      <c r="AH1112" s="352">
        <f>IF(NFI_Expiration=1,IF($A1112&lt;VLOOKUP(Q$5,NFI,5,0),1,0)*Table_NFI[[#This Row],[Plastic Mat]],Table_NFI[Plastic Mat])*IF(Table_NFI[[#This Row],[Distribution Date]]&gt;"2014-04-01",1,2.5)</f>
        <v>0</v>
      </c>
      <c r="AI1112" s="352">
        <f>IF(NFI_Expiration=1,IF($A1112&lt;VLOOKUP(R$5,NFI,5,0),1,0)*Table_NFI[[#This Row],[Winter Clothes Adult]],Table_NFI[Winter Clothes Adult])</f>
        <v>0</v>
      </c>
      <c r="AJ1112" s="352">
        <f>IF(NFI_Expiration=1,IF($A1112&lt;VLOOKUP(S$5,NFI,5,0),1,0)*Table_NFI[[#This Row],[Winter Clothes Children]],Table_NFI[Winter Clothes Children])</f>
        <v>0</v>
      </c>
      <c r="AK1112" s="352">
        <f>IF(NFI_Expiration=1,IF($A1112&lt;VLOOKUP(T$5,NFI,5,0),1,0)*Table_NFI[[#This Row],[Winter Items Other]],Table_NFI[Winter Items Other])</f>
        <v>0</v>
      </c>
      <c r="AL1112" s="352">
        <f>IF(NFI_Expiration=1,IF($A1112&lt;VLOOKUP(M$5,NFI,5,0),1,0)*Table_NFI[[#This Row],[Winter Blanket]],Table_NFI[[#This Row],[Winter Blanket]])</f>
        <v>0</v>
      </c>
      <c r="AM1112" s="352">
        <f>IF(Table_NFI[[#This Row],[Winter Clothes Adult]]+Table_NFI[[#This Row],[Winter Clothes Children]]+Table_NFI[[#This Row],[Winter Items Other]]+Table_NFI[[#This Row],[Winter Blanket]]&gt;0,1,0)</f>
        <v>0</v>
      </c>
      <c r="AN1112" s="392">
        <f>IF(NFI_Expiration=1,IF($A1112&lt;VLOOKUP(V$5,NFI,5,0),1,0)*Table_NFI[[#This Row],[Jerry Can]],Table_NFI[Jerry Can])</f>
        <v>0</v>
      </c>
      <c r="AO1112" s="540" t="str">
        <f>IFERROR(VLOOKUP(Table_NFI[[#This Row],[Camp Name]],CL,2,0),"")</f>
        <v/>
      </c>
      <c r="AP1112" s="535" t="str">
        <f ca="1">IF(Table_NFI[[#This Row],[Pcode]]="","",IF(OFFSET(CampList[Opening Date],MATCH(Table_NFI[[#This Row],[Pcode]],CampList[CP_Pcode],0)-1,0,1,1)&gt;=NFI_Monitor_Date,1,0))</f>
        <v/>
      </c>
      <c r="AQ1112" s="540" t="str">
        <f>IFERROR(VLOOKUP(Table_NFI[[#This Row],[Camp Name]],CL,3,0),"")</f>
        <v/>
      </c>
      <c r="AR1112" s="352" t="str">
        <f ca="1">IF(Table_NFI[[#This Row],[Pcode]]="","",OFFSET(CampList[Priority],MATCH(Table_NFI[[#This Row],[Pcode]],CampList[CP_Pcode],0)-1,0,1,1))</f>
        <v/>
      </c>
      <c r="AS1112" s="351" t="str">
        <f>IFERROR(Table_NFI[[#This Row],[Kitchen Set]]/VLOOKUP(Table_NFI[[#This Row],[Camp Name]],CL,4,0),"")</f>
        <v/>
      </c>
      <c r="AT1112" s="533" t="s">
        <v>1094</v>
      </c>
      <c r="AU1112" s="541"/>
    </row>
    <row r="1113" spans="1:47" ht="14.45" hidden="1" customHeight="1" x14ac:dyDescent="0.25">
      <c r="A1113" s="355" t="str">
        <f t="shared" si="18"/>
        <v/>
      </c>
      <c r="B1113" s="532"/>
      <c r="C1113" s="538"/>
      <c r="D1113" s="538"/>
      <c r="E1113" s="538"/>
      <c r="F1113" s="538"/>
      <c r="G1113" s="538"/>
      <c r="H1113" s="350"/>
      <c r="I1113" s="350"/>
      <c r="J1113" s="350"/>
      <c r="K1113" s="350"/>
      <c r="L1113" s="350"/>
      <c r="M1113" s="350"/>
      <c r="N1113" s="350"/>
      <c r="O1113" s="350"/>
      <c r="P1113" s="352"/>
      <c r="Q1113" s="392"/>
      <c r="R1113" s="392"/>
      <c r="S1113" s="392"/>
      <c r="T1113" s="392"/>
      <c r="U1113" s="392"/>
      <c r="V1113" s="497"/>
      <c r="W1113" s="392"/>
      <c r="X1113" s="392"/>
      <c r="Y1113" s="352">
        <f>IF(NFI_Expiration=1,IF($A1113&lt;VLOOKUP(H$5,NFI,5,0),1,0)*Table_NFI[[#This Row],[Hygiene Kit]],Table_NFI[Hygiene Kit])</f>
        <v>0</v>
      </c>
      <c r="Z1113" s="352">
        <f>IF(NFI_Expiration=1,IF($A1113&lt;VLOOKUP(I$5,NFI,5,0),1,0)*Table_NFI[[#This Row],[NFI Core Kit]],Table_NFI[NFI Core Kit])</f>
        <v>0</v>
      </c>
      <c r="AA1113" s="352">
        <f>IF(NFI_Expiration=1,IF($A1113&lt;VLOOKUP(J$5,NFI,5,0),1,0)*Table_NFI[[#This Row],[Sanitary Kit]],Table_NFI[Sanitary Kit])</f>
        <v>0</v>
      </c>
      <c r="AB1113" s="352">
        <f>IF(NFI_Expiration=1,IF($A1113&lt;VLOOKUP(K$5,NFI,5,0),1,0)*Table_NFI[[#This Row],[Mosquito net]],Table_NFI[Mosquito net])</f>
        <v>0</v>
      </c>
      <c r="AC1113" s="352">
        <f>IF(NFI_Expiration=1,IF($A1113&lt;VLOOKUP(L$5,NFI,5,0),1,0)*Table_NFI[[#This Row],[Tarpaulin]],Table_NFI[[#This Row],[Tarpaulin]])</f>
        <v>0</v>
      </c>
      <c r="AD1113" s="352">
        <f>IF(NFI_Expiration=1,IF($A1113&lt;VLOOKUP(M$5,NFI,5,0),1,0)*Table_NFI[[#This Row],[Blanket]],Table_NFI[[#This Row],[Blanket]])</f>
        <v>0</v>
      </c>
      <c r="AE1113" s="352">
        <f>IF(NFI_Expiration=1,IF($A1113&lt;VLOOKUP(N$5,NFI,5,0),1,0)*Table_NFI[[#This Row],[Kitchen Set]],Table_NFI[Kitchen Set])</f>
        <v>0</v>
      </c>
      <c r="AF1113" s="352">
        <f>IF(NFI_Expiration=1,IF($A1113&lt;VLOOKUP(O$5,NFI,5,0),1,0)*Table_NFI[[#This Row],[Clothes Kit]],Table_NFI[Clothes Kit])</f>
        <v>0</v>
      </c>
      <c r="AG1113" s="352">
        <f>IF(NFI_Expiration=1,IF($A1113&lt;VLOOKUP(P$5,NFI,5,0),1,0)*Table_NFI[[#This Row],[Plastic Bucket]],Table_NFI[Plastic Bucket])</f>
        <v>0</v>
      </c>
      <c r="AH1113" s="352">
        <f>IF(NFI_Expiration=1,IF($A1113&lt;VLOOKUP(Q$5,NFI,5,0),1,0)*Table_NFI[[#This Row],[Plastic Mat]],Table_NFI[Plastic Mat])*IF(Table_NFI[[#This Row],[Distribution Date]]&gt;"2014-04-01",1,2.5)</f>
        <v>0</v>
      </c>
      <c r="AI1113" s="352">
        <f>IF(NFI_Expiration=1,IF($A1113&lt;VLOOKUP(R$5,NFI,5,0),1,0)*Table_NFI[[#This Row],[Winter Clothes Adult]],Table_NFI[Winter Clothes Adult])</f>
        <v>0</v>
      </c>
      <c r="AJ1113" s="352">
        <f>IF(NFI_Expiration=1,IF($A1113&lt;VLOOKUP(S$5,NFI,5,0),1,0)*Table_NFI[[#This Row],[Winter Clothes Children]],Table_NFI[Winter Clothes Children])</f>
        <v>0</v>
      </c>
      <c r="AK1113" s="352">
        <f>IF(NFI_Expiration=1,IF($A1113&lt;VLOOKUP(T$5,NFI,5,0),1,0)*Table_NFI[[#This Row],[Winter Items Other]],Table_NFI[Winter Items Other])</f>
        <v>0</v>
      </c>
      <c r="AL1113" s="352">
        <f>IF(NFI_Expiration=1,IF($A1113&lt;VLOOKUP(M$5,NFI,5,0),1,0)*Table_NFI[[#This Row],[Winter Blanket]],Table_NFI[[#This Row],[Winter Blanket]])</f>
        <v>0</v>
      </c>
      <c r="AM1113" s="352">
        <f>IF(Table_NFI[[#This Row],[Winter Clothes Adult]]+Table_NFI[[#This Row],[Winter Clothes Children]]+Table_NFI[[#This Row],[Winter Items Other]]+Table_NFI[[#This Row],[Winter Blanket]]&gt;0,1,0)</f>
        <v>0</v>
      </c>
      <c r="AN1113" s="392">
        <f>IF(NFI_Expiration=1,IF($A1113&lt;VLOOKUP(V$5,NFI,5,0),1,0)*Table_NFI[[#This Row],[Jerry Can]],Table_NFI[Jerry Can])</f>
        <v>0</v>
      </c>
      <c r="AO1113" s="540" t="str">
        <f>IFERROR(VLOOKUP(Table_NFI[[#This Row],[Camp Name]],CL,2,0),"")</f>
        <v/>
      </c>
      <c r="AP1113" s="535" t="str">
        <f ca="1">IF(Table_NFI[[#This Row],[Pcode]]="","",IF(OFFSET(CampList[Opening Date],MATCH(Table_NFI[[#This Row],[Pcode]],CampList[CP_Pcode],0)-1,0,1,1)&gt;=NFI_Monitor_Date,1,0))</f>
        <v/>
      </c>
      <c r="AQ1113" s="540" t="str">
        <f>IFERROR(VLOOKUP(Table_NFI[[#This Row],[Camp Name]],CL,3,0),"")</f>
        <v/>
      </c>
      <c r="AR1113" s="352" t="str">
        <f ca="1">IF(Table_NFI[[#This Row],[Pcode]]="","",OFFSET(CampList[Priority],MATCH(Table_NFI[[#This Row],[Pcode]],CampList[CP_Pcode],0)-1,0,1,1))</f>
        <v/>
      </c>
      <c r="AS1113" s="351" t="str">
        <f>IFERROR(Table_NFI[[#This Row],[Kitchen Set]]/VLOOKUP(Table_NFI[[#This Row],[Camp Name]],CL,4,0),"")</f>
        <v/>
      </c>
      <c r="AT1113" s="533" t="s">
        <v>1094</v>
      </c>
      <c r="AU1113" s="541"/>
    </row>
    <row r="1114" spans="1:47" ht="14.45" hidden="1" customHeight="1" x14ac:dyDescent="0.25">
      <c r="A1114" s="355" t="str">
        <f t="shared" si="18"/>
        <v/>
      </c>
      <c r="B1114" s="532"/>
      <c r="C1114" s="538"/>
      <c r="D1114" s="538"/>
      <c r="E1114" s="538"/>
      <c r="F1114" s="538"/>
      <c r="G1114" s="538"/>
      <c r="H1114" s="350"/>
      <c r="I1114" s="350"/>
      <c r="J1114" s="350"/>
      <c r="K1114" s="350"/>
      <c r="L1114" s="350"/>
      <c r="M1114" s="350"/>
      <c r="N1114" s="350"/>
      <c r="O1114" s="350"/>
      <c r="P1114" s="352"/>
      <c r="Q1114" s="392"/>
      <c r="R1114" s="392"/>
      <c r="S1114" s="392"/>
      <c r="T1114" s="392"/>
      <c r="U1114" s="392"/>
      <c r="V1114" s="497"/>
      <c r="W1114" s="392"/>
      <c r="X1114" s="392"/>
      <c r="Y1114" s="352">
        <f>IF(NFI_Expiration=1,IF($A1114&lt;VLOOKUP(H$5,NFI,5,0),1,0)*Table_NFI[[#This Row],[Hygiene Kit]],Table_NFI[Hygiene Kit])</f>
        <v>0</v>
      </c>
      <c r="Z1114" s="352">
        <f>IF(NFI_Expiration=1,IF($A1114&lt;VLOOKUP(I$5,NFI,5,0),1,0)*Table_NFI[[#This Row],[NFI Core Kit]],Table_NFI[NFI Core Kit])</f>
        <v>0</v>
      </c>
      <c r="AA1114" s="352">
        <f>IF(NFI_Expiration=1,IF($A1114&lt;VLOOKUP(J$5,NFI,5,0),1,0)*Table_NFI[[#This Row],[Sanitary Kit]],Table_NFI[Sanitary Kit])</f>
        <v>0</v>
      </c>
      <c r="AB1114" s="352">
        <f>IF(NFI_Expiration=1,IF($A1114&lt;VLOOKUP(K$5,NFI,5,0),1,0)*Table_NFI[[#This Row],[Mosquito net]],Table_NFI[Mosquito net])</f>
        <v>0</v>
      </c>
      <c r="AC1114" s="352">
        <f>IF(NFI_Expiration=1,IF($A1114&lt;VLOOKUP(L$5,NFI,5,0),1,0)*Table_NFI[[#This Row],[Tarpaulin]],Table_NFI[[#This Row],[Tarpaulin]])</f>
        <v>0</v>
      </c>
      <c r="AD1114" s="352">
        <f>IF(NFI_Expiration=1,IF($A1114&lt;VLOOKUP(M$5,NFI,5,0),1,0)*Table_NFI[[#This Row],[Blanket]],Table_NFI[[#This Row],[Blanket]])</f>
        <v>0</v>
      </c>
      <c r="AE1114" s="352">
        <f>IF(NFI_Expiration=1,IF($A1114&lt;VLOOKUP(N$5,NFI,5,0),1,0)*Table_NFI[[#This Row],[Kitchen Set]],Table_NFI[Kitchen Set])</f>
        <v>0</v>
      </c>
      <c r="AF1114" s="352">
        <f>IF(NFI_Expiration=1,IF($A1114&lt;VLOOKUP(O$5,NFI,5,0),1,0)*Table_NFI[[#This Row],[Clothes Kit]],Table_NFI[Clothes Kit])</f>
        <v>0</v>
      </c>
      <c r="AG1114" s="352">
        <f>IF(NFI_Expiration=1,IF($A1114&lt;VLOOKUP(P$5,NFI,5,0),1,0)*Table_NFI[[#This Row],[Plastic Bucket]],Table_NFI[Plastic Bucket])</f>
        <v>0</v>
      </c>
      <c r="AH1114" s="352">
        <f>IF(NFI_Expiration=1,IF($A1114&lt;VLOOKUP(Q$5,NFI,5,0),1,0)*Table_NFI[[#This Row],[Plastic Mat]],Table_NFI[Plastic Mat])*IF(Table_NFI[[#This Row],[Distribution Date]]&gt;"2014-04-01",1,2.5)</f>
        <v>0</v>
      </c>
      <c r="AI1114" s="352">
        <f>IF(NFI_Expiration=1,IF($A1114&lt;VLOOKUP(R$5,NFI,5,0),1,0)*Table_NFI[[#This Row],[Winter Clothes Adult]],Table_NFI[Winter Clothes Adult])</f>
        <v>0</v>
      </c>
      <c r="AJ1114" s="352">
        <f>IF(NFI_Expiration=1,IF($A1114&lt;VLOOKUP(S$5,NFI,5,0),1,0)*Table_NFI[[#This Row],[Winter Clothes Children]],Table_NFI[Winter Clothes Children])</f>
        <v>0</v>
      </c>
      <c r="AK1114" s="352">
        <f>IF(NFI_Expiration=1,IF($A1114&lt;VLOOKUP(T$5,NFI,5,0),1,0)*Table_NFI[[#This Row],[Winter Items Other]],Table_NFI[Winter Items Other])</f>
        <v>0</v>
      </c>
      <c r="AL1114" s="352">
        <f>IF(NFI_Expiration=1,IF($A1114&lt;VLOOKUP(M$5,NFI,5,0),1,0)*Table_NFI[[#This Row],[Winter Blanket]],Table_NFI[[#This Row],[Winter Blanket]])</f>
        <v>0</v>
      </c>
      <c r="AM1114" s="352">
        <f>IF(Table_NFI[[#This Row],[Winter Clothes Adult]]+Table_NFI[[#This Row],[Winter Clothes Children]]+Table_NFI[[#This Row],[Winter Items Other]]+Table_NFI[[#This Row],[Winter Blanket]]&gt;0,1,0)</f>
        <v>0</v>
      </c>
      <c r="AN1114" s="392">
        <f>IF(NFI_Expiration=1,IF($A1114&lt;VLOOKUP(V$5,NFI,5,0),1,0)*Table_NFI[[#This Row],[Jerry Can]],Table_NFI[Jerry Can])</f>
        <v>0</v>
      </c>
      <c r="AO1114" s="540" t="str">
        <f>IFERROR(VLOOKUP(Table_NFI[[#This Row],[Camp Name]],CL,2,0),"")</f>
        <v/>
      </c>
      <c r="AP1114" s="535" t="str">
        <f ca="1">IF(Table_NFI[[#This Row],[Pcode]]="","",IF(OFFSET(CampList[Opening Date],MATCH(Table_NFI[[#This Row],[Pcode]],CampList[CP_Pcode],0)-1,0,1,1)&gt;=NFI_Monitor_Date,1,0))</f>
        <v/>
      </c>
      <c r="AQ1114" s="540" t="str">
        <f>IFERROR(VLOOKUP(Table_NFI[[#This Row],[Camp Name]],CL,3,0),"")</f>
        <v/>
      </c>
      <c r="AR1114" s="352" t="str">
        <f ca="1">IF(Table_NFI[[#This Row],[Pcode]]="","",OFFSET(CampList[Priority],MATCH(Table_NFI[[#This Row],[Pcode]],CampList[CP_Pcode],0)-1,0,1,1))</f>
        <v/>
      </c>
      <c r="AS1114" s="351" t="str">
        <f>IFERROR(Table_NFI[[#This Row],[Kitchen Set]]/VLOOKUP(Table_NFI[[#This Row],[Camp Name]],CL,4,0),"")</f>
        <v/>
      </c>
      <c r="AT1114" s="533" t="s">
        <v>1094</v>
      </c>
      <c r="AU1114" s="541"/>
    </row>
    <row r="1115" spans="1:47" ht="14.45" hidden="1" customHeight="1" x14ac:dyDescent="0.25">
      <c r="A1115" s="355" t="str">
        <f t="shared" si="18"/>
        <v/>
      </c>
      <c r="B1115" s="532"/>
      <c r="C1115" s="538"/>
      <c r="D1115" s="538"/>
      <c r="E1115" s="538"/>
      <c r="F1115" s="538"/>
      <c r="G1115" s="538"/>
      <c r="H1115" s="350"/>
      <c r="I1115" s="350"/>
      <c r="J1115" s="350"/>
      <c r="K1115" s="350"/>
      <c r="L1115" s="350"/>
      <c r="M1115" s="350"/>
      <c r="N1115" s="350"/>
      <c r="O1115" s="350"/>
      <c r="P1115" s="352"/>
      <c r="Q1115" s="392"/>
      <c r="R1115" s="392"/>
      <c r="S1115" s="392"/>
      <c r="T1115" s="392"/>
      <c r="U1115" s="392"/>
      <c r="V1115" s="497"/>
      <c r="W1115" s="392"/>
      <c r="X1115" s="392"/>
      <c r="Y1115" s="352">
        <f>IF(NFI_Expiration=1,IF($A1115&lt;VLOOKUP(H$5,NFI,5,0),1,0)*Table_NFI[[#This Row],[Hygiene Kit]],Table_NFI[Hygiene Kit])</f>
        <v>0</v>
      </c>
      <c r="Z1115" s="352">
        <f>IF(NFI_Expiration=1,IF($A1115&lt;VLOOKUP(I$5,NFI,5,0),1,0)*Table_NFI[[#This Row],[NFI Core Kit]],Table_NFI[NFI Core Kit])</f>
        <v>0</v>
      </c>
      <c r="AA1115" s="352">
        <f>IF(NFI_Expiration=1,IF($A1115&lt;VLOOKUP(J$5,NFI,5,0),1,0)*Table_NFI[[#This Row],[Sanitary Kit]],Table_NFI[Sanitary Kit])</f>
        <v>0</v>
      </c>
      <c r="AB1115" s="352">
        <f>IF(NFI_Expiration=1,IF($A1115&lt;VLOOKUP(K$5,NFI,5,0),1,0)*Table_NFI[[#This Row],[Mosquito net]],Table_NFI[Mosquito net])</f>
        <v>0</v>
      </c>
      <c r="AC1115" s="352">
        <f>IF(NFI_Expiration=1,IF($A1115&lt;VLOOKUP(L$5,NFI,5,0),1,0)*Table_NFI[[#This Row],[Tarpaulin]],Table_NFI[[#This Row],[Tarpaulin]])</f>
        <v>0</v>
      </c>
      <c r="AD1115" s="352">
        <f>IF(NFI_Expiration=1,IF($A1115&lt;VLOOKUP(M$5,NFI,5,0),1,0)*Table_NFI[[#This Row],[Blanket]],Table_NFI[[#This Row],[Blanket]])</f>
        <v>0</v>
      </c>
      <c r="AE1115" s="352">
        <f>IF(NFI_Expiration=1,IF($A1115&lt;VLOOKUP(N$5,NFI,5,0),1,0)*Table_NFI[[#This Row],[Kitchen Set]],Table_NFI[Kitchen Set])</f>
        <v>0</v>
      </c>
      <c r="AF1115" s="352">
        <f>IF(NFI_Expiration=1,IF($A1115&lt;VLOOKUP(O$5,NFI,5,0),1,0)*Table_NFI[[#This Row],[Clothes Kit]],Table_NFI[Clothes Kit])</f>
        <v>0</v>
      </c>
      <c r="AG1115" s="352">
        <f>IF(NFI_Expiration=1,IF($A1115&lt;VLOOKUP(P$5,NFI,5,0),1,0)*Table_NFI[[#This Row],[Plastic Bucket]],Table_NFI[Plastic Bucket])</f>
        <v>0</v>
      </c>
      <c r="AH1115" s="352">
        <f>IF(NFI_Expiration=1,IF($A1115&lt;VLOOKUP(Q$5,NFI,5,0),1,0)*Table_NFI[[#This Row],[Plastic Mat]],Table_NFI[Plastic Mat])*IF(Table_NFI[[#This Row],[Distribution Date]]&gt;"2014-04-01",1,2.5)</f>
        <v>0</v>
      </c>
      <c r="AI1115" s="352">
        <f>IF(NFI_Expiration=1,IF($A1115&lt;VLOOKUP(R$5,NFI,5,0),1,0)*Table_NFI[[#This Row],[Winter Clothes Adult]],Table_NFI[Winter Clothes Adult])</f>
        <v>0</v>
      </c>
      <c r="AJ1115" s="352">
        <f>IF(NFI_Expiration=1,IF($A1115&lt;VLOOKUP(S$5,NFI,5,0),1,0)*Table_NFI[[#This Row],[Winter Clothes Children]],Table_NFI[Winter Clothes Children])</f>
        <v>0</v>
      </c>
      <c r="AK1115" s="352">
        <f>IF(NFI_Expiration=1,IF($A1115&lt;VLOOKUP(T$5,NFI,5,0),1,0)*Table_NFI[[#This Row],[Winter Items Other]],Table_NFI[Winter Items Other])</f>
        <v>0</v>
      </c>
      <c r="AL1115" s="352">
        <f>IF(NFI_Expiration=1,IF($A1115&lt;VLOOKUP(M$5,NFI,5,0),1,0)*Table_NFI[[#This Row],[Winter Blanket]],Table_NFI[[#This Row],[Winter Blanket]])</f>
        <v>0</v>
      </c>
      <c r="AM1115" s="352">
        <f>IF(Table_NFI[[#This Row],[Winter Clothes Adult]]+Table_NFI[[#This Row],[Winter Clothes Children]]+Table_NFI[[#This Row],[Winter Items Other]]+Table_NFI[[#This Row],[Winter Blanket]]&gt;0,1,0)</f>
        <v>0</v>
      </c>
      <c r="AN1115" s="392">
        <f>IF(NFI_Expiration=1,IF($A1115&lt;VLOOKUP(V$5,NFI,5,0),1,0)*Table_NFI[[#This Row],[Jerry Can]],Table_NFI[Jerry Can])</f>
        <v>0</v>
      </c>
      <c r="AO1115" s="540" t="str">
        <f>IFERROR(VLOOKUP(Table_NFI[[#This Row],[Camp Name]],CL,2,0),"")</f>
        <v/>
      </c>
      <c r="AP1115" s="535" t="str">
        <f ca="1">IF(Table_NFI[[#This Row],[Pcode]]="","",IF(OFFSET(CampList[Opening Date],MATCH(Table_NFI[[#This Row],[Pcode]],CampList[CP_Pcode],0)-1,0,1,1)&gt;=NFI_Monitor_Date,1,0))</f>
        <v/>
      </c>
      <c r="AQ1115" s="540" t="str">
        <f>IFERROR(VLOOKUP(Table_NFI[[#This Row],[Camp Name]],CL,3,0),"")</f>
        <v/>
      </c>
      <c r="AR1115" s="352" t="str">
        <f ca="1">IF(Table_NFI[[#This Row],[Pcode]]="","",OFFSET(CampList[Priority],MATCH(Table_NFI[[#This Row],[Pcode]],CampList[CP_Pcode],0)-1,0,1,1))</f>
        <v/>
      </c>
      <c r="AS1115" s="351" t="str">
        <f>IFERROR(Table_NFI[[#This Row],[Kitchen Set]]/VLOOKUP(Table_NFI[[#This Row],[Camp Name]],CL,4,0),"")</f>
        <v/>
      </c>
      <c r="AT1115" s="533" t="s">
        <v>1094</v>
      </c>
      <c r="AU1115" s="541"/>
    </row>
    <row r="1116" spans="1:47" ht="14.45" hidden="1" customHeight="1" x14ac:dyDescent="0.25">
      <c r="A1116" s="355" t="str">
        <f t="shared" si="18"/>
        <v/>
      </c>
      <c r="B1116" s="532"/>
      <c r="C1116" s="538"/>
      <c r="D1116" s="538"/>
      <c r="E1116" s="538"/>
      <c r="F1116" s="538"/>
      <c r="G1116" s="538"/>
      <c r="H1116" s="350"/>
      <c r="I1116" s="350"/>
      <c r="J1116" s="350"/>
      <c r="K1116" s="350"/>
      <c r="L1116" s="350"/>
      <c r="M1116" s="350"/>
      <c r="N1116" s="350"/>
      <c r="O1116" s="350"/>
      <c r="P1116" s="352"/>
      <c r="Q1116" s="392"/>
      <c r="R1116" s="392"/>
      <c r="S1116" s="392"/>
      <c r="T1116" s="392"/>
      <c r="U1116" s="392"/>
      <c r="V1116" s="497"/>
      <c r="W1116" s="392"/>
      <c r="X1116" s="392"/>
      <c r="Y1116" s="352">
        <f>IF(NFI_Expiration=1,IF($A1116&lt;VLOOKUP(H$5,NFI,5,0),1,0)*Table_NFI[[#This Row],[Hygiene Kit]],Table_NFI[Hygiene Kit])</f>
        <v>0</v>
      </c>
      <c r="Z1116" s="352">
        <f>IF(NFI_Expiration=1,IF($A1116&lt;VLOOKUP(I$5,NFI,5,0),1,0)*Table_NFI[[#This Row],[NFI Core Kit]],Table_NFI[NFI Core Kit])</f>
        <v>0</v>
      </c>
      <c r="AA1116" s="352">
        <f>IF(NFI_Expiration=1,IF($A1116&lt;VLOOKUP(J$5,NFI,5,0),1,0)*Table_NFI[[#This Row],[Sanitary Kit]],Table_NFI[Sanitary Kit])</f>
        <v>0</v>
      </c>
      <c r="AB1116" s="352">
        <f>IF(NFI_Expiration=1,IF($A1116&lt;VLOOKUP(K$5,NFI,5,0),1,0)*Table_NFI[[#This Row],[Mosquito net]],Table_NFI[Mosquito net])</f>
        <v>0</v>
      </c>
      <c r="AC1116" s="352">
        <f>IF(NFI_Expiration=1,IF($A1116&lt;VLOOKUP(L$5,NFI,5,0),1,0)*Table_NFI[[#This Row],[Tarpaulin]],Table_NFI[[#This Row],[Tarpaulin]])</f>
        <v>0</v>
      </c>
      <c r="AD1116" s="352">
        <f>IF(NFI_Expiration=1,IF($A1116&lt;VLOOKUP(M$5,NFI,5,0),1,0)*Table_NFI[[#This Row],[Blanket]],Table_NFI[[#This Row],[Blanket]])</f>
        <v>0</v>
      </c>
      <c r="AE1116" s="352">
        <f>IF(NFI_Expiration=1,IF($A1116&lt;VLOOKUP(N$5,NFI,5,0),1,0)*Table_NFI[[#This Row],[Kitchen Set]],Table_NFI[Kitchen Set])</f>
        <v>0</v>
      </c>
      <c r="AF1116" s="352">
        <f>IF(NFI_Expiration=1,IF($A1116&lt;VLOOKUP(O$5,NFI,5,0),1,0)*Table_NFI[[#This Row],[Clothes Kit]],Table_NFI[Clothes Kit])</f>
        <v>0</v>
      </c>
      <c r="AG1116" s="352">
        <f>IF(NFI_Expiration=1,IF($A1116&lt;VLOOKUP(P$5,NFI,5,0),1,0)*Table_NFI[[#This Row],[Plastic Bucket]],Table_NFI[Plastic Bucket])</f>
        <v>0</v>
      </c>
      <c r="AH1116" s="352">
        <f>IF(NFI_Expiration=1,IF($A1116&lt;VLOOKUP(Q$5,NFI,5,0),1,0)*Table_NFI[[#This Row],[Plastic Mat]],Table_NFI[Plastic Mat])*IF(Table_NFI[[#This Row],[Distribution Date]]&gt;"2014-04-01",1,2.5)</f>
        <v>0</v>
      </c>
      <c r="AI1116" s="352">
        <f>IF(NFI_Expiration=1,IF($A1116&lt;VLOOKUP(R$5,NFI,5,0),1,0)*Table_NFI[[#This Row],[Winter Clothes Adult]],Table_NFI[Winter Clothes Adult])</f>
        <v>0</v>
      </c>
      <c r="AJ1116" s="352">
        <f>IF(NFI_Expiration=1,IF($A1116&lt;VLOOKUP(S$5,NFI,5,0),1,0)*Table_NFI[[#This Row],[Winter Clothes Children]],Table_NFI[Winter Clothes Children])</f>
        <v>0</v>
      </c>
      <c r="AK1116" s="352">
        <f>IF(NFI_Expiration=1,IF($A1116&lt;VLOOKUP(T$5,NFI,5,0),1,0)*Table_NFI[[#This Row],[Winter Items Other]],Table_NFI[Winter Items Other])</f>
        <v>0</v>
      </c>
      <c r="AL1116" s="352">
        <f>IF(NFI_Expiration=1,IF($A1116&lt;VLOOKUP(M$5,NFI,5,0),1,0)*Table_NFI[[#This Row],[Winter Blanket]],Table_NFI[[#This Row],[Winter Blanket]])</f>
        <v>0</v>
      </c>
      <c r="AM1116" s="352">
        <f>IF(Table_NFI[[#This Row],[Winter Clothes Adult]]+Table_NFI[[#This Row],[Winter Clothes Children]]+Table_NFI[[#This Row],[Winter Items Other]]+Table_NFI[[#This Row],[Winter Blanket]]&gt;0,1,0)</f>
        <v>0</v>
      </c>
      <c r="AN1116" s="392">
        <f>IF(NFI_Expiration=1,IF($A1116&lt;VLOOKUP(V$5,NFI,5,0),1,0)*Table_NFI[[#This Row],[Jerry Can]],Table_NFI[Jerry Can])</f>
        <v>0</v>
      </c>
      <c r="AO1116" s="540" t="str">
        <f>IFERROR(VLOOKUP(Table_NFI[[#This Row],[Camp Name]],CL,2,0),"")</f>
        <v/>
      </c>
      <c r="AP1116" s="535" t="str">
        <f ca="1">IF(Table_NFI[[#This Row],[Pcode]]="","",IF(OFFSET(CampList[Opening Date],MATCH(Table_NFI[[#This Row],[Pcode]],CampList[CP_Pcode],0)-1,0,1,1)&gt;=NFI_Monitor_Date,1,0))</f>
        <v/>
      </c>
      <c r="AQ1116" s="540" t="str">
        <f>IFERROR(VLOOKUP(Table_NFI[[#This Row],[Camp Name]],CL,3,0),"")</f>
        <v/>
      </c>
      <c r="AR1116" s="352" t="str">
        <f ca="1">IF(Table_NFI[[#This Row],[Pcode]]="","",OFFSET(CampList[Priority],MATCH(Table_NFI[[#This Row],[Pcode]],CampList[CP_Pcode],0)-1,0,1,1))</f>
        <v/>
      </c>
      <c r="AS1116" s="351" t="str">
        <f>IFERROR(Table_NFI[[#This Row],[Kitchen Set]]/VLOOKUP(Table_NFI[[#This Row],[Camp Name]],CL,4,0),"")</f>
        <v/>
      </c>
      <c r="AT1116" s="533" t="s">
        <v>1094</v>
      </c>
      <c r="AU1116" s="541"/>
    </row>
    <row r="1117" spans="1:47" ht="14.45" hidden="1" customHeight="1" x14ac:dyDescent="0.25">
      <c r="A1117" s="355" t="str">
        <f t="shared" si="18"/>
        <v/>
      </c>
      <c r="B1117" s="532"/>
      <c r="C1117" s="538"/>
      <c r="D1117" s="538"/>
      <c r="E1117" s="538"/>
      <c r="F1117" s="538"/>
      <c r="G1117" s="538"/>
      <c r="H1117" s="350"/>
      <c r="I1117" s="350"/>
      <c r="J1117" s="350"/>
      <c r="K1117" s="350"/>
      <c r="L1117" s="350"/>
      <c r="M1117" s="350"/>
      <c r="N1117" s="350"/>
      <c r="O1117" s="350"/>
      <c r="P1117" s="352"/>
      <c r="Q1117" s="392"/>
      <c r="R1117" s="392"/>
      <c r="S1117" s="392"/>
      <c r="T1117" s="392"/>
      <c r="U1117" s="392"/>
      <c r="V1117" s="497"/>
      <c r="W1117" s="392"/>
      <c r="X1117" s="392"/>
      <c r="Y1117" s="352">
        <f>IF(NFI_Expiration=1,IF($A1117&lt;VLOOKUP(H$5,NFI,5,0),1,0)*Table_NFI[[#This Row],[Hygiene Kit]],Table_NFI[Hygiene Kit])</f>
        <v>0</v>
      </c>
      <c r="Z1117" s="352">
        <f>IF(NFI_Expiration=1,IF($A1117&lt;VLOOKUP(I$5,NFI,5,0),1,0)*Table_NFI[[#This Row],[NFI Core Kit]],Table_NFI[NFI Core Kit])</f>
        <v>0</v>
      </c>
      <c r="AA1117" s="352">
        <f>IF(NFI_Expiration=1,IF($A1117&lt;VLOOKUP(J$5,NFI,5,0),1,0)*Table_NFI[[#This Row],[Sanitary Kit]],Table_NFI[Sanitary Kit])</f>
        <v>0</v>
      </c>
      <c r="AB1117" s="352">
        <f>IF(NFI_Expiration=1,IF($A1117&lt;VLOOKUP(K$5,NFI,5,0),1,0)*Table_NFI[[#This Row],[Mosquito net]],Table_NFI[Mosquito net])</f>
        <v>0</v>
      </c>
      <c r="AC1117" s="352">
        <f>IF(NFI_Expiration=1,IF($A1117&lt;VLOOKUP(L$5,NFI,5,0),1,0)*Table_NFI[[#This Row],[Tarpaulin]],Table_NFI[[#This Row],[Tarpaulin]])</f>
        <v>0</v>
      </c>
      <c r="AD1117" s="352">
        <f>IF(NFI_Expiration=1,IF($A1117&lt;VLOOKUP(M$5,NFI,5,0),1,0)*Table_NFI[[#This Row],[Blanket]],Table_NFI[[#This Row],[Blanket]])</f>
        <v>0</v>
      </c>
      <c r="AE1117" s="352">
        <f>IF(NFI_Expiration=1,IF($A1117&lt;VLOOKUP(N$5,NFI,5,0),1,0)*Table_NFI[[#This Row],[Kitchen Set]],Table_NFI[Kitchen Set])</f>
        <v>0</v>
      </c>
      <c r="AF1117" s="352">
        <f>IF(NFI_Expiration=1,IF($A1117&lt;VLOOKUP(O$5,NFI,5,0),1,0)*Table_NFI[[#This Row],[Clothes Kit]],Table_NFI[Clothes Kit])</f>
        <v>0</v>
      </c>
      <c r="AG1117" s="352">
        <f>IF(NFI_Expiration=1,IF($A1117&lt;VLOOKUP(P$5,NFI,5,0),1,0)*Table_NFI[[#This Row],[Plastic Bucket]],Table_NFI[Plastic Bucket])</f>
        <v>0</v>
      </c>
      <c r="AH1117" s="352">
        <f>IF(NFI_Expiration=1,IF($A1117&lt;VLOOKUP(Q$5,NFI,5,0),1,0)*Table_NFI[[#This Row],[Plastic Mat]],Table_NFI[Plastic Mat])*IF(Table_NFI[[#This Row],[Distribution Date]]&gt;"2014-04-01",1,2.5)</f>
        <v>0</v>
      </c>
      <c r="AI1117" s="352">
        <f>IF(NFI_Expiration=1,IF($A1117&lt;VLOOKUP(R$5,NFI,5,0),1,0)*Table_NFI[[#This Row],[Winter Clothes Adult]],Table_NFI[Winter Clothes Adult])</f>
        <v>0</v>
      </c>
      <c r="AJ1117" s="352">
        <f>IF(NFI_Expiration=1,IF($A1117&lt;VLOOKUP(S$5,NFI,5,0),1,0)*Table_NFI[[#This Row],[Winter Clothes Children]],Table_NFI[Winter Clothes Children])</f>
        <v>0</v>
      </c>
      <c r="AK1117" s="352">
        <f>IF(NFI_Expiration=1,IF($A1117&lt;VLOOKUP(T$5,NFI,5,0),1,0)*Table_NFI[[#This Row],[Winter Items Other]],Table_NFI[Winter Items Other])</f>
        <v>0</v>
      </c>
      <c r="AL1117" s="352">
        <f>IF(NFI_Expiration=1,IF($A1117&lt;VLOOKUP(M$5,NFI,5,0),1,0)*Table_NFI[[#This Row],[Winter Blanket]],Table_NFI[[#This Row],[Winter Blanket]])</f>
        <v>0</v>
      </c>
      <c r="AM1117" s="352">
        <f>IF(Table_NFI[[#This Row],[Winter Clothes Adult]]+Table_NFI[[#This Row],[Winter Clothes Children]]+Table_NFI[[#This Row],[Winter Items Other]]+Table_NFI[[#This Row],[Winter Blanket]]&gt;0,1,0)</f>
        <v>0</v>
      </c>
      <c r="AN1117" s="392">
        <f>IF(NFI_Expiration=1,IF($A1117&lt;VLOOKUP(V$5,NFI,5,0),1,0)*Table_NFI[[#This Row],[Jerry Can]],Table_NFI[Jerry Can])</f>
        <v>0</v>
      </c>
      <c r="AO1117" s="540" t="str">
        <f>IFERROR(VLOOKUP(Table_NFI[[#This Row],[Camp Name]],CL,2,0),"")</f>
        <v/>
      </c>
      <c r="AP1117" s="535" t="str">
        <f ca="1">IF(Table_NFI[[#This Row],[Pcode]]="","",IF(OFFSET(CampList[Opening Date],MATCH(Table_NFI[[#This Row],[Pcode]],CampList[CP_Pcode],0)-1,0,1,1)&gt;=NFI_Monitor_Date,1,0))</f>
        <v/>
      </c>
      <c r="AQ1117" s="540" t="str">
        <f>IFERROR(VLOOKUP(Table_NFI[[#This Row],[Camp Name]],CL,3,0),"")</f>
        <v/>
      </c>
      <c r="AR1117" s="352" t="str">
        <f ca="1">IF(Table_NFI[[#This Row],[Pcode]]="","",OFFSET(CampList[Priority],MATCH(Table_NFI[[#This Row],[Pcode]],CampList[CP_Pcode],0)-1,0,1,1))</f>
        <v/>
      </c>
      <c r="AS1117" s="351" t="str">
        <f>IFERROR(Table_NFI[[#This Row],[Kitchen Set]]/VLOOKUP(Table_NFI[[#This Row],[Camp Name]],CL,4,0),"")</f>
        <v/>
      </c>
      <c r="AT1117" s="533" t="s">
        <v>1094</v>
      </c>
      <c r="AU1117" s="541"/>
    </row>
    <row r="1118" spans="1:47" ht="14.45" hidden="1" customHeight="1" x14ac:dyDescent="0.25">
      <c r="A1118" s="355" t="str">
        <f t="shared" si="18"/>
        <v/>
      </c>
      <c r="B1118" s="532"/>
      <c r="C1118" s="538"/>
      <c r="D1118" s="538"/>
      <c r="E1118" s="538"/>
      <c r="F1118" s="538"/>
      <c r="G1118" s="538"/>
      <c r="H1118" s="350"/>
      <c r="I1118" s="350"/>
      <c r="J1118" s="350"/>
      <c r="K1118" s="350"/>
      <c r="L1118" s="350"/>
      <c r="M1118" s="350"/>
      <c r="N1118" s="350"/>
      <c r="O1118" s="350"/>
      <c r="P1118" s="352"/>
      <c r="Q1118" s="392"/>
      <c r="R1118" s="392"/>
      <c r="S1118" s="392"/>
      <c r="T1118" s="392"/>
      <c r="U1118" s="392"/>
      <c r="V1118" s="497"/>
      <c r="W1118" s="392"/>
      <c r="X1118" s="392"/>
      <c r="Y1118" s="352">
        <f>IF(NFI_Expiration=1,IF($A1118&lt;VLOOKUP(H$5,NFI,5,0),1,0)*Table_NFI[[#This Row],[Hygiene Kit]],Table_NFI[Hygiene Kit])</f>
        <v>0</v>
      </c>
      <c r="Z1118" s="352">
        <f>IF(NFI_Expiration=1,IF($A1118&lt;VLOOKUP(I$5,NFI,5,0),1,0)*Table_NFI[[#This Row],[NFI Core Kit]],Table_NFI[NFI Core Kit])</f>
        <v>0</v>
      </c>
      <c r="AA1118" s="352">
        <f>IF(NFI_Expiration=1,IF($A1118&lt;VLOOKUP(J$5,NFI,5,0),1,0)*Table_NFI[[#This Row],[Sanitary Kit]],Table_NFI[Sanitary Kit])</f>
        <v>0</v>
      </c>
      <c r="AB1118" s="352">
        <f>IF(NFI_Expiration=1,IF($A1118&lt;VLOOKUP(K$5,NFI,5,0),1,0)*Table_NFI[[#This Row],[Mosquito net]],Table_NFI[Mosquito net])</f>
        <v>0</v>
      </c>
      <c r="AC1118" s="352">
        <f>IF(NFI_Expiration=1,IF($A1118&lt;VLOOKUP(L$5,NFI,5,0),1,0)*Table_NFI[[#This Row],[Tarpaulin]],Table_NFI[[#This Row],[Tarpaulin]])</f>
        <v>0</v>
      </c>
      <c r="AD1118" s="352">
        <f>IF(NFI_Expiration=1,IF($A1118&lt;VLOOKUP(M$5,NFI,5,0),1,0)*Table_NFI[[#This Row],[Blanket]],Table_NFI[[#This Row],[Blanket]])</f>
        <v>0</v>
      </c>
      <c r="AE1118" s="352">
        <f>IF(NFI_Expiration=1,IF($A1118&lt;VLOOKUP(N$5,NFI,5,0),1,0)*Table_NFI[[#This Row],[Kitchen Set]],Table_NFI[Kitchen Set])</f>
        <v>0</v>
      </c>
      <c r="AF1118" s="352">
        <f>IF(NFI_Expiration=1,IF($A1118&lt;VLOOKUP(O$5,NFI,5,0),1,0)*Table_NFI[[#This Row],[Clothes Kit]],Table_NFI[Clothes Kit])</f>
        <v>0</v>
      </c>
      <c r="AG1118" s="352">
        <f>IF(NFI_Expiration=1,IF($A1118&lt;VLOOKUP(P$5,NFI,5,0),1,0)*Table_NFI[[#This Row],[Plastic Bucket]],Table_NFI[Plastic Bucket])</f>
        <v>0</v>
      </c>
      <c r="AH1118" s="352">
        <f>IF(NFI_Expiration=1,IF($A1118&lt;VLOOKUP(Q$5,NFI,5,0),1,0)*Table_NFI[[#This Row],[Plastic Mat]],Table_NFI[Plastic Mat])*IF(Table_NFI[[#This Row],[Distribution Date]]&gt;"2014-04-01",1,2.5)</f>
        <v>0</v>
      </c>
      <c r="AI1118" s="352">
        <f>IF(NFI_Expiration=1,IF($A1118&lt;VLOOKUP(R$5,NFI,5,0),1,0)*Table_NFI[[#This Row],[Winter Clothes Adult]],Table_NFI[Winter Clothes Adult])</f>
        <v>0</v>
      </c>
      <c r="AJ1118" s="352">
        <f>IF(NFI_Expiration=1,IF($A1118&lt;VLOOKUP(S$5,NFI,5,0),1,0)*Table_NFI[[#This Row],[Winter Clothes Children]],Table_NFI[Winter Clothes Children])</f>
        <v>0</v>
      </c>
      <c r="AK1118" s="352">
        <f>IF(NFI_Expiration=1,IF($A1118&lt;VLOOKUP(T$5,NFI,5,0),1,0)*Table_NFI[[#This Row],[Winter Items Other]],Table_NFI[Winter Items Other])</f>
        <v>0</v>
      </c>
      <c r="AL1118" s="352">
        <f>IF(NFI_Expiration=1,IF($A1118&lt;VLOOKUP(M$5,NFI,5,0),1,0)*Table_NFI[[#This Row],[Winter Blanket]],Table_NFI[[#This Row],[Winter Blanket]])</f>
        <v>0</v>
      </c>
      <c r="AM1118" s="352">
        <f>IF(Table_NFI[[#This Row],[Winter Clothes Adult]]+Table_NFI[[#This Row],[Winter Clothes Children]]+Table_NFI[[#This Row],[Winter Items Other]]+Table_NFI[[#This Row],[Winter Blanket]]&gt;0,1,0)</f>
        <v>0</v>
      </c>
      <c r="AN1118" s="392">
        <f>IF(NFI_Expiration=1,IF($A1118&lt;VLOOKUP(V$5,NFI,5,0),1,0)*Table_NFI[[#This Row],[Jerry Can]],Table_NFI[Jerry Can])</f>
        <v>0</v>
      </c>
      <c r="AO1118" s="540" t="str">
        <f>IFERROR(VLOOKUP(Table_NFI[[#This Row],[Camp Name]],CL,2,0),"")</f>
        <v/>
      </c>
      <c r="AP1118" s="535" t="str">
        <f ca="1">IF(Table_NFI[[#This Row],[Pcode]]="","",IF(OFFSET(CampList[Opening Date],MATCH(Table_NFI[[#This Row],[Pcode]],CampList[CP_Pcode],0)-1,0,1,1)&gt;=NFI_Monitor_Date,1,0))</f>
        <v/>
      </c>
      <c r="AQ1118" s="540" t="str">
        <f>IFERROR(VLOOKUP(Table_NFI[[#This Row],[Camp Name]],CL,3,0),"")</f>
        <v/>
      </c>
      <c r="AR1118" s="352" t="str">
        <f ca="1">IF(Table_NFI[[#This Row],[Pcode]]="","",OFFSET(CampList[Priority],MATCH(Table_NFI[[#This Row],[Pcode]],CampList[CP_Pcode],0)-1,0,1,1))</f>
        <v/>
      </c>
      <c r="AS1118" s="351" t="str">
        <f>IFERROR(Table_NFI[[#This Row],[Kitchen Set]]/VLOOKUP(Table_NFI[[#This Row],[Camp Name]],CL,4,0),"")</f>
        <v/>
      </c>
      <c r="AT1118" s="533" t="s">
        <v>1094</v>
      </c>
      <c r="AU1118" s="541"/>
    </row>
    <row r="1119" spans="1:47" ht="14.45" hidden="1" customHeight="1" x14ac:dyDescent="0.25">
      <c r="A1119" s="355" t="str">
        <f t="shared" si="18"/>
        <v/>
      </c>
      <c r="B1119" s="532"/>
      <c r="C1119" s="538"/>
      <c r="D1119" s="538"/>
      <c r="E1119" s="538"/>
      <c r="F1119" s="538"/>
      <c r="G1119" s="538"/>
      <c r="H1119" s="350"/>
      <c r="I1119" s="350"/>
      <c r="J1119" s="350"/>
      <c r="K1119" s="350"/>
      <c r="L1119" s="350"/>
      <c r="M1119" s="350"/>
      <c r="N1119" s="350"/>
      <c r="O1119" s="350"/>
      <c r="P1119" s="352"/>
      <c r="Q1119" s="392"/>
      <c r="R1119" s="392"/>
      <c r="S1119" s="392"/>
      <c r="T1119" s="392"/>
      <c r="U1119" s="392"/>
      <c r="V1119" s="497"/>
      <c r="W1119" s="392"/>
      <c r="X1119" s="392"/>
      <c r="Y1119" s="352">
        <f>IF(NFI_Expiration=1,IF($A1119&lt;VLOOKUP(H$5,NFI,5,0),1,0)*Table_NFI[[#This Row],[Hygiene Kit]],Table_NFI[Hygiene Kit])</f>
        <v>0</v>
      </c>
      <c r="Z1119" s="352">
        <f>IF(NFI_Expiration=1,IF($A1119&lt;VLOOKUP(I$5,NFI,5,0),1,0)*Table_NFI[[#This Row],[NFI Core Kit]],Table_NFI[NFI Core Kit])</f>
        <v>0</v>
      </c>
      <c r="AA1119" s="352">
        <f>IF(NFI_Expiration=1,IF($A1119&lt;VLOOKUP(J$5,NFI,5,0),1,0)*Table_NFI[[#This Row],[Sanitary Kit]],Table_NFI[Sanitary Kit])</f>
        <v>0</v>
      </c>
      <c r="AB1119" s="352">
        <f>IF(NFI_Expiration=1,IF($A1119&lt;VLOOKUP(K$5,NFI,5,0),1,0)*Table_NFI[[#This Row],[Mosquito net]],Table_NFI[Mosquito net])</f>
        <v>0</v>
      </c>
      <c r="AC1119" s="352">
        <f>IF(NFI_Expiration=1,IF($A1119&lt;VLOOKUP(L$5,NFI,5,0),1,0)*Table_NFI[[#This Row],[Tarpaulin]],Table_NFI[[#This Row],[Tarpaulin]])</f>
        <v>0</v>
      </c>
      <c r="AD1119" s="352">
        <f>IF(NFI_Expiration=1,IF($A1119&lt;VLOOKUP(M$5,NFI,5,0),1,0)*Table_NFI[[#This Row],[Blanket]],Table_NFI[[#This Row],[Blanket]])</f>
        <v>0</v>
      </c>
      <c r="AE1119" s="352">
        <f>IF(NFI_Expiration=1,IF($A1119&lt;VLOOKUP(N$5,NFI,5,0),1,0)*Table_NFI[[#This Row],[Kitchen Set]],Table_NFI[Kitchen Set])</f>
        <v>0</v>
      </c>
      <c r="AF1119" s="352">
        <f>IF(NFI_Expiration=1,IF($A1119&lt;VLOOKUP(O$5,NFI,5,0),1,0)*Table_NFI[[#This Row],[Clothes Kit]],Table_NFI[Clothes Kit])</f>
        <v>0</v>
      </c>
      <c r="AG1119" s="352">
        <f>IF(NFI_Expiration=1,IF($A1119&lt;VLOOKUP(P$5,NFI,5,0),1,0)*Table_NFI[[#This Row],[Plastic Bucket]],Table_NFI[Plastic Bucket])</f>
        <v>0</v>
      </c>
      <c r="AH1119" s="352">
        <f>IF(NFI_Expiration=1,IF($A1119&lt;VLOOKUP(Q$5,NFI,5,0),1,0)*Table_NFI[[#This Row],[Plastic Mat]],Table_NFI[Plastic Mat])*IF(Table_NFI[[#This Row],[Distribution Date]]&gt;"2014-04-01",1,2.5)</f>
        <v>0</v>
      </c>
      <c r="AI1119" s="352">
        <f>IF(NFI_Expiration=1,IF($A1119&lt;VLOOKUP(R$5,NFI,5,0),1,0)*Table_NFI[[#This Row],[Winter Clothes Adult]],Table_NFI[Winter Clothes Adult])</f>
        <v>0</v>
      </c>
      <c r="AJ1119" s="352">
        <f>IF(NFI_Expiration=1,IF($A1119&lt;VLOOKUP(S$5,NFI,5,0),1,0)*Table_NFI[[#This Row],[Winter Clothes Children]],Table_NFI[Winter Clothes Children])</f>
        <v>0</v>
      </c>
      <c r="AK1119" s="352">
        <f>IF(NFI_Expiration=1,IF($A1119&lt;VLOOKUP(T$5,NFI,5,0),1,0)*Table_NFI[[#This Row],[Winter Items Other]],Table_NFI[Winter Items Other])</f>
        <v>0</v>
      </c>
      <c r="AL1119" s="352">
        <f>IF(NFI_Expiration=1,IF($A1119&lt;VLOOKUP(M$5,NFI,5,0),1,0)*Table_NFI[[#This Row],[Winter Blanket]],Table_NFI[[#This Row],[Winter Blanket]])</f>
        <v>0</v>
      </c>
      <c r="AM1119" s="352">
        <f>IF(Table_NFI[[#This Row],[Winter Clothes Adult]]+Table_NFI[[#This Row],[Winter Clothes Children]]+Table_NFI[[#This Row],[Winter Items Other]]+Table_NFI[[#This Row],[Winter Blanket]]&gt;0,1,0)</f>
        <v>0</v>
      </c>
      <c r="AN1119" s="392">
        <f>IF(NFI_Expiration=1,IF($A1119&lt;VLOOKUP(V$5,NFI,5,0),1,0)*Table_NFI[[#This Row],[Jerry Can]],Table_NFI[Jerry Can])</f>
        <v>0</v>
      </c>
      <c r="AO1119" s="540" t="str">
        <f>IFERROR(VLOOKUP(Table_NFI[[#This Row],[Camp Name]],CL,2,0),"")</f>
        <v/>
      </c>
      <c r="AP1119" s="535" t="str">
        <f ca="1">IF(Table_NFI[[#This Row],[Pcode]]="","",IF(OFFSET(CampList[Opening Date],MATCH(Table_NFI[[#This Row],[Pcode]],CampList[CP_Pcode],0)-1,0,1,1)&gt;=NFI_Monitor_Date,1,0))</f>
        <v/>
      </c>
      <c r="AQ1119" s="540" t="str">
        <f>IFERROR(VLOOKUP(Table_NFI[[#This Row],[Camp Name]],CL,3,0),"")</f>
        <v/>
      </c>
      <c r="AR1119" s="352" t="str">
        <f ca="1">IF(Table_NFI[[#This Row],[Pcode]]="","",OFFSET(CampList[Priority],MATCH(Table_NFI[[#This Row],[Pcode]],CampList[CP_Pcode],0)-1,0,1,1))</f>
        <v/>
      </c>
      <c r="AS1119" s="351" t="str">
        <f>IFERROR(Table_NFI[[#This Row],[Kitchen Set]]/VLOOKUP(Table_NFI[[#This Row],[Camp Name]],CL,4,0),"")</f>
        <v/>
      </c>
      <c r="AT1119" s="533" t="s">
        <v>1094</v>
      </c>
      <c r="AU1119" s="541"/>
    </row>
    <row r="1120" spans="1:47" ht="14.45" hidden="1" customHeight="1" x14ac:dyDescent="0.25">
      <c r="A1120" s="355" t="str">
        <f t="shared" si="18"/>
        <v/>
      </c>
      <c r="B1120" s="532"/>
      <c r="C1120" s="538"/>
      <c r="D1120" s="538"/>
      <c r="E1120" s="538"/>
      <c r="F1120" s="538"/>
      <c r="G1120" s="538"/>
      <c r="H1120" s="350"/>
      <c r="I1120" s="350"/>
      <c r="J1120" s="350"/>
      <c r="K1120" s="350"/>
      <c r="L1120" s="350"/>
      <c r="M1120" s="350"/>
      <c r="N1120" s="350"/>
      <c r="O1120" s="350"/>
      <c r="P1120" s="352"/>
      <c r="Q1120" s="392"/>
      <c r="R1120" s="392"/>
      <c r="S1120" s="392"/>
      <c r="T1120" s="392"/>
      <c r="U1120" s="392"/>
      <c r="V1120" s="497"/>
      <c r="W1120" s="392"/>
      <c r="X1120" s="392"/>
      <c r="Y1120" s="352">
        <f>IF(NFI_Expiration=1,IF($A1120&lt;VLOOKUP(H$5,NFI,5,0),1,0)*Table_NFI[[#This Row],[Hygiene Kit]],Table_NFI[Hygiene Kit])</f>
        <v>0</v>
      </c>
      <c r="Z1120" s="352">
        <f>IF(NFI_Expiration=1,IF($A1120&lt;VLOOKUP(I$5,NFI,5,0),1,0)*Table_NFI[[#This Row],[NFI Core Kit]],Table_NFI[NFI Core Kit])</f>
        <v>0</v>
      </c>
      <c r="AA1120" s="352">
        <f>IF(NFI_Expiration=1,IF($A1120&lt;VLOOKUP(J$5,NFI,5,0),1,0)*Table_NFI[[#This Row],[Sanitary Kit]],Table_NFI[Sanitary Kit])</f>
        <v>0</v>
      </c>
      <c r="AB1120" s="352">
        <f>IF(NFI_Expiration=1,IF($A1120&lt;VLOOKUP(K$5,NFI,5,0),1,0)*Table_NFI[[#This Row],[Mosquito net]],Table_NFI[Mosquito net])</f>
        <v>0</v>
      </c>
      <c r="AC1120" s="352">
        <f>IF(NFI_Expiration=1,IF($A1120&lt;VLOOKUP(L$5,NFI,5,0),1,0)*Table_NFI[[#This Row],[Tarpaulin]],Table_NFI[[#This Row],[Tarpaulin]])</f>
        <v>0</v>
      </c>
      <c r="AD1120" s="352">
        <f>IF(NFI_Expiration=1,IF($A1120&lt;VLOOKUP(M$5,NFI,5,0),1,0)*Table_NFI[[#This Row],[Blanket]],Table_NFI[[#This Row],[Blanket]])</f>
        <v>0</v>
      </c>
      <c r="AE1120" s="352">
        <f>IF(NFI_Expiration=1,IF($A1120&lt;VLOOKUP(N$5,NFI,5,0),1,0)*Table_NFI[[#This Row],[Kitchen Set]],Table_NFI[Kitchen Set])</f>
        <v>0</v>
      </c>
      <c r="AF1120" s="352">
        <f>IF(NFI_Expiration=1,IF($A1120&lt;VLOOKUP(O$5,NFI,5,0),1,0)*Table_NFI[[#This Row],[Clothes Kit]],Table_NFI[Clothes Kit])</f>
        <v>0</v>
      </c>
      <c r="AG1120" s="352">
        <f>IF(NFI_Expiration=1,IF($A1120&lt;VLOOKUP(P$5,NFI,5,0),1,0)*Table_NFI[[#This Row],[Plastic Bucket]],Table_NFI[Plastic Bucket])</f>
        <v>0</v>
      </c>
      <c r="AH1120" s="352">
        <f>IF(NFI_Expiration=1,IF($A1120&lt;VLOOKUP(Q$5,NFI,5,0),1,0)*Table_NFI[[#This Row],[Plastic Mat]],Table_NFI[Plastic Mat])*IF(Table_NFI[[#This Row],[Distribution Date]]&gt;"2014-04-01",1,2.5)</f>
        <v>0</v>
      </c>
      <c r="AI1120" s="352">
        <f>IF(NFI_Expiration=1,IF($A1120&lt;VLOOKUP(R$5,NFI,5,0),1,0)*Table_NFI[[#This Row],[Winter Clothes Adult]],Table_NFI[Winter Clothes Adult])</f>
        <v>0</v>
      </c>
      <c r="AJ1120" s="352">
        <f>IF(NFI_Expiration=1,IF($A1120&lt;VLOOKUP(S$5,NFI,5,0),1,0)*Table_NFI[[#This Row],[Winter Clothes Children]],Table_NFI[Winter Clothes Children])</f>
        <v>0</v>
      </c>
      <c r="AK1120" s="352">
        <f>IF(NFI_Expiration=1,IF($A1120&lt;VLOOKUP(T$5,NFI,5,0),1,0)*Table_NFI[[#This Row],[Winter Items Other]],Table_NFI[Winter Items Other])</f>
        <v>0</v>
      </c>
      <c r="AL1120" s="352">
        <f>IF(NFI_Expiration=1,IF($A1120&lt;VLOOKUP(M$5,NFI,5,0),1,0)*Table_NFI[[#This Row],[Winter Blanket]],Table_NFI[[#This Row],[Winter Blanket]])</f>
        <v>0</v>
      </c>
      <c r="AM1120" s="352">
        <f>IF(Table_NFI[[#This Row],[Winter Clothes Adult]]+Table_NFI[[#This Row],[Winter Clothes Children]]+Table_NFI[[#This Row],[Winter Items Other]]+Table_NFI[[#This Row],[Winter Blanket]]&gt;0,1,0)</f>
        <v>0</v>
      </c>
      <c r="AN1120" s="392">
        <f>IF(NFI_Expiration=1,IF($A1120&lt;VLOOKUP(V$5,NFI,5,0),1,0)*Table_NFI[[#This Row],[Jerry Can]],Table_NFI[Jerry Can])</f>
        <v>0</v>
      </c>
      <c r="AO1120" s="540" t="str">
        <f>IFERROR(VLOOKUP(Table_NFI[[#This Row],[Camp Name]],CL,2,0),"")</f>
        <v/>
      </c>
      <c r="AP1120" s="535" t="str">
        <f ca="1">IF(Table_NFI[[#This Row],[Pcode]]="","",IF(OFFSET(CampList[Opening Date],MATCH(Table_NFI[[#This Row],[Pcode]],CampList[CP_Pcode],0)-1,0,1,1)&gt;=NFI_Monitor_Date,1,0))</f>
        <v/>
      </c>
      <c r="AQ1120" s="540" t="str">
        <f>IFERROR(VLOOKUP(Table_NFI[[#This Row],[Camp Name]],CL,3,0),"")</f>
        <v/>
      </c>
      <c r="AR1120" s="352" t="str">
        <f ca="1">IF(Table_NFI[[#This Row],[Pcode]]="","",OFFSET(CampList[Priority],MATCH(Table_NFI[[#This Row],[Pcode]],CampList[CP_Pcode],0)-1,0,1,1))</f>
        <v/>
      </c>
      <c r="AS1120" s="351" t="str">
        <f>IFERROR(Table_NFI[[#This Row],[Kitchen Set]]/VLOOKUP(Table_NFI[[#This Row],[Camp Name]],CL,4,0),"")</f>
        <v/>
      </c>
      <c r="AT1120" s="533" t="s">
        <v>1094</v>
      </c>
      <c r="AU1120" s="541"/>
    </row>
    <row r="1121" spans="1:47" ht="14.45" hidden="1" customHeight="1" x14ac:dyDescent="0.25">
      <c r="A1121" s="355" t="str">
        <f t="shared" si="18"/>
        <v/>
      </c>
      <c r="B1121" s="532"/>
      <c r="C1121" s="538"/>
      <c r="D1121" s="538"/>
      <c r="E1121" s="538"/>
      <c r="F1121" s="538"/>
      <c r="G1121" s="538"/>
      <c r="H1121" s="350"/>
      <c r="I1121" s="350"/>
      <c r="J1121" s="350"/>
      <c r="K1121" s="350"/>
      <c r="L1121" s="350"/>
      <c r="M1121" s="350"/>
      <c r="N1121" s="350"/>
      <c r="O1121" s="350"/>
      <c r="P1121" s="352"/>
      <c r="Q1121" s="392"/>
      <c r="R1121" s="392"/>
      <c r="S1121" s="392"/>
      <c r="T1121" s="392"/>
      <c r="U1121" s="392"/>
      <c r="V1121" s="497"/>
      <c r="W1121" s="392"/>
      <c r="X1121" s="392"/>
      <c r="Y1121" s="352">
        <f>IF(NFI_Expiration=1,IF($A1121&lt;VLOOKUP(H$5,NFI,5,0),1,0)*Table_NFI[[#This Row],[Hygiene Kit]],Table_NFI[Hygiene Kit])</f>
        <v>0</v>
      </c>
      <c r="Z1121" s="352">
        <f>IF(NFI_Expiration=1,IF($A1121&lt;VLOOKUP(I$5,NFI,5,0),1,0)*Table_NFI[[#This Row],[NFI Core Kit]],Table_NFI[NFI Core Kit])</f>
        <v>0</v>
      </c>
      <c r="AA1121" s="352">
        <f>IF(NFI_Expiration=1,IF($A1121&lt;VLOOKUP(J$5,NFI,5,0),1,0)*Table_NFI[[#This Row],[Sanitary Kit]],Table_NFI[Sanitary Kit])</f>
        <v>0</v>
      </c>
      <c r="AB1121" s="352">
        <f>IF(NFI_Expiration=1,IF($A1121&lt;VLOOKUP(K$5,NFI,5,0),1,0)*Table_NFI[[#This Row],[Mosquito net]],Table_NFI[Mosquito net])</f>
        <v>0</v>
      </c>
      <c r="AC1121" s="352">
        <f>IF(NFI_Expiration=1,IF($A1121&lt;VLOOKUP(L$5,NFI,5,0),1,0)*Table_NFI[[#This Row],[Tarpaulin]],Table_NFI[[#This Row],[Tarpaulin]])</f>
        <v>0</v>
      </c>
      <c r="AD1121" s="352">
        <f>IF(NFI_Expiration=1,IF($A1121&lt;VLOOKUP(M$5,NFI,5,0),1,0)*Table_NFI[[#This Row],[Blanket]],Table_NFI[[#This Row],[Blanket]])</f>
        <v>0</v>
      </c>
      <c r="AE1121" s="352">
        <f>IF(NFI_Expiration=1,IF($A1121&lt;VLOOKUP(N$5,NFI,5,0),1,0)*Table_NFI[[#This Row],[Kitchen Set]],Table_NFI[Kitchen Set])</f>
        <v>0</v>
      </c>
      <c r="AF1121" s="352">
        <f>IF(NFI_Expiration=1,IF($A1121&lt;VLOOKUP(O$5,NFI,5,0),1,0)*Table_NFI[[#This Row],[Clothes Kit]],Table_NFI[Clothes Kit])</f>
        <v>0</v>
      </c>
      <c r="AG1121" s="352">
        <f>IF(NFI_Expiration=1,IF($A1121&lt;VLOOKUP(P$5,NFI,5,0),1,0)*Table_NFI[[#This Row],[Plastic Bucket]],Table_NFI[Plastic Bucket])</f>
        <v>0</v>
      </c>
      <c r="AH1121" s="352">
        <f>IF(NFI_Expiration=1,IF($A1121&lt;VLOOKUP(Q$5,NFI,5,0),1,0)*Table_NFI[[#This Row],[Plastic Mat]],Table_NFI[Plastic Mat])*IF(Table_NFI[[#This Row],[Distribution Date]]&gt;"2014-04-01",1,2.5)</f>
        <v>0</v>
      </c>
      <c r="AI1121" s="352">
        <f>IF(NFI_Expiration=1,IF($A1121&lt;VLOOKUP(R$5,NFI,5,0),1,0)*Table_NFI[[#This Row],[Winter Clothes Adult]],Table_NFI[Winter Clothes Adult])</f>
        <v>0</v>
      </c>
      <c r="AJ1121" s="352">
        <f>IF(NFI_Expiration=1,IF($A1121&lt;VLOOKUP(S$5,NFI,5,0),1,0)*Table_NFI[[#This Row],[Winter Clothes Children]],Table_NFI[Winter Clothes Children])</f>
        <v>0</v>
      </c>
      <c r="AK1121" s="352">
        <f>IF(NFI_Expiration=1,IF($A1121&lt;VLOOKUP(T$5,NFI,5,0),1,0)*Table_NFI[[#This Row],[Winter Items Other]],Table_NFI[Winter Items Other])</f>
        <v>0</v>
      </c>
      <c r="AL1121" s="352">
        <f>IF(NFI_Expiration=1,IF($A1121&lt;VLOOKUP(M$5,NFI,5,0),1,0)*Table_NFI[[#This Row],[Winter Blanket]],Table_NFI[[#This Row],[Winter Blanket]])</f>
        <v>0</v>
      </c>
      <c r="AM1121" s="352">
        <f>IF(Table_NFI[[#This Row],[Winter Clothes Adult]]+Table_NFI[[#This Row],[Winter Clothes Children]]+Table_NFI[[#This Row],[Winter Items Other]]+Table_NFI[[#This Row],[Winter Blanket]]&gt;0,1,0)</f>
        <v>0</v>
      </c>
      <c r="AN1121" s="392">
        <f>IF(NFI_Expiration=1,IF($A1121&lt;VLOOKUP(V$5,NFI,5,0),1,0)*Table_NFI[[#This Row],[Jerry Can]],Table_NFI[Jerry Can])</f>
        <v>0</v>
      </c>
      <c r="AO1121" s="540" t="str">
        <f>IFERROR(VLOOKUP(Table_NFI[[#This Row],[Camp Name]],CL,2,0),"")</f>
        <v/>
      </c>
      <c r="AP1121" s="535" t="str">
        <f ca="1">IF(Table_NFI[[#This Row],[Pcode]]="","",IF(OFFSET(CampList[Opening Date],MATCH(Table_NFI[[#This Row],[Pcode]],CampList[CP_Pcode],0)-1,0,1,1)&gt;=NFI_Monitor_Date,1,0))</f>
        <v/>
      </c>
      <c r="AQ1121" s="540" t="str">
        <f>IFERROR(VLOOKUP(Table_NFI[[#This Row],[Camp Name]],CL,3,0),"")</f>
        <v/>
      </c>
      <c r="AR1121" s="352" t="str">
        <f ca="1">IF(Table_NFI[[#This Row],[Pcode]]="","",OFFSET(CampList[Priority],MATCH(Table_NFI[[#This Row],[Pcode]],CampList[CP_Pcode],0)-1,0,1,1))</f>
        <v/>
      </c>
      <c r="AS1121" s="351" t="str">
        <f>IFERROR(Table_NFI[[#This Row],[Kitchen Set]]/VLOOKUP(Table_NFI[[#This Row],[Camp Name]],CL,4,0),"")</f>
        <v/>
      </c>
      <c r="AT1121" s="533" t="s">
        <v>1094</v>
      </c>
      <c r="AU1121" s="541"/>
    </row>
    <row r="1122" spans="1:47" ht="14.45" hidden="1" customHeight="1" x14ac:dyDescent="0.25">
      <c r="A1122" s="355" t="str">
        <f t="shared" si="18"/>
        <v/>
      </c>
      <c r="B1122" s="532"/>
      <c r="C1122" s="538"/>
      <c r="D1122" s="538"/>
      <c r="E1122" s="538"/>
      <c r="F1122" s="538"/>
      <c r="G1122" s="538"/>
      <c r="H1122" s="350"/>
      <c r="I1122" s="350"/>
      <c r="J1122" s="350"/>
      <c r="K1122" s="350"/>
      <c r="L1122" s="350"/>
      <c r="M1122" s="350"/>
      <c r="N1122" s="350"/>
      <c r="O1122" s="350"/>
      <c r="P1122" s="352"/>
      <c r="Q1122" s="392"/>
      <c r="R1122" s="392"/>
      <c r="S1122" s="392"/>
      <c r="T1122" s="392"/>
      <c r="U1122" s="392"/>
      <c r="V1122" s="497"/>
      <c r="W1122" s="392"/>
      <c r="X1122" s="392"/>
      <c r="Y1122" s="352">
        <f>IF(NFI_Expiration=1,IF($A1122&lt;VLOOKUP(H$5,NFI,5,0),1,0)*Table_NFI[[#This Row],[Hygiene Kit]],Table_NFI[Hygiene Kit])</f>
        <v>0</v>
      </c>
      <c r="Z1122" s="352">
        <f>IF(NFI_Expiration=1,IF($A1122&lt;VLOOKUP(I$5,NFI,5,0),1,0)*Table_NFI[[#This Row],[NFI Core Kit]],Table_NFI[NFI Core Kit])</f>
        <v>0</v>
      </c>
      <c r="AA1122" s="352">
        <f>IF(NFI_Expiration=1,IF($A1122&lt;VLOOKUP(J$5,NFI,5,0),1,0)*Table_NFI[[#This Row],[Sanitary Kit]],Table_NFI[Sanitary Kit])</f>
        <v>0</v>
      </c>
      <c r="AB1122" s="352">
        <f>IF(NFI_Expiration=1,IF($A1122&lt;VLOOKUP(K$5,NFI,5,0),1,0)*Table_NFI[[#This Row],[Mosquito net]],Table_NFI[Mosquito net])</f>
        <v>0</v>
      </c>
      <c r="AC1122" s="352">
        <f>IF(NFI_Expiration=1,IF($A1122&lt;VLOOKUP(L$5,NFI,5,0),1,0)*Table_NFI[[#This Row],[Tarpaulin]],Table_NFI[[#This Row],[Tarpaulin]])</f>
        <v>0</v>
      </c>
      <c r="AD1122" s="352">
        <f>IF(NFI_Expiration=1,IF($A1122&lt;VLOOKUP(M$5,NFI,5,0),1,0)*Table_NFI[[#This Row],[Blanket]],Table_NFI[[#This Row],[Blanket]])</f>
        <v>0</v>
      </c>
      <c r="AE1122" s="352">
        <f>IF(NFI_Expiration=1,IF($A1122&lt;VLOOKUP(N$5,NFI,5,0),1,0)*Table_NFI[[#This Row],[Kitchen Set]],Table_NFI[Kitchen Set])</f>
        <v>0</v>
      </c>
      <c r="AF1122" s="352">
        <f>IF(NFI_Expiration=1,IF($A1122&lt;VLOOKUP(O$5,NFI,5,0),1,0)*Table_NFI[[#This Row],[Clothes Kit]],Table_NFI[Clothes Kit])</f>
        <v>0</v>
      </c>
      <c r="AG1122" s="352">
        <f>IF(NFI_Expiration=1,IF($A1122&lt;VLOOKUP(P$5,NFI,5,0),1,0)*Table_NFI[[#This Row],[Plastic Bucket]],Table_NFI[Plastic Bucket])</f>
        <v>0</v>
      </c>
      <c r="AH1122" s="352">
        <f>IF(NFI_Expiration=1,IF($A1122&lt;VLOOKUP(Q$5,NFI,5,0),1,0)*Table_NFI[[#This Row],[Plastic Mat]],Table_NFI[Plastic Mat])*IF(Table_NFI[[#This Row],[Distribution Date]]&gt;"2014-04-01",1,2.5)</f>
        <v>0</v>
      </c>
      <c r="AI1122" s="352">
        <f>IF(NFI_Expiration=1,IF($A1122&lt;VLOOKUP(R$5,NFI,5,0),1,0)*Table_NFI[[#This Row],[Winter Clothes Adult]],Table_NFI[Winter Clothes Adult])</f>
        <v>0</v>
      </c>
      <c r="AJ1122" s="352">
        <f>IF(NFI_Expiration=1,IF($A1122&lt;VLOOKUP(S$5,NFI,5,0),1,0)*Table_NFI[[#This Row],[Winter Clothes Children]],Table_NFI[Winter Clothes Children])</f>
        <v>0</v>
      </c>
      <c r="AK1122" s="352">
        <f>IF(NFI_Expiration=1,IF($A1122&lt;VLOOKUP(T$5,NFI,5,0),1,0)*Table_NFI[[#This Row],[Winter Items Other]],Table_NFI[Winter Items Other])</f>
        <v>0</v>
      </c>
      <c r="AL1122" s="352">
        <f>IF(NFI_Expiration=1,IF($A1122&lt;VLOOKUP(M$5,NFI,5,0),1,0)*Table_NFI[[#This Row],[Winter Blanket]],Table_NFI[[#This Row],[Winter Blanket]])</f>
        <v>0</v>
      </c>
      <c r="AM1122" s="352">
        <f>IF(Table_NFI[[#This Row],[Winter Clothes Adult]]+Table_NFI[[#This Row],[Winter Clothes Children]]+Table_NFI[[#This Row],[Winter Items Other]]+Table_NFI[[#This Row],[Winter Blanket]]&gt;0,1,0)</f>
        <v>0</v>
      </c>
      <c r="AN1122" s="392">
        <f>IF(NFI_Expiration=1,IF($A1122&lt;VLOOKUP(V$5,NFI,5,0),1,0)*Table_NFI[[#This Row],[Jerry Can]],Table_NFI[Jerry Can])</f>
        <v>0</v>
      </c>
      <c r="AO1122" s="540" t="str">
        <f>IFERROR(VLOOKUP(Table_NFI[[#This Row],[Camp Name]],CL,2,0),"")</f>
        <v/>
      </c>
      <c r="AP1122" s="535" t="str">
        <f ca="1">IF(Table_NFI[[#This Row],[Pcode]]="","",IF(OFFSET(CampList[Opening Date],MATCH(Table_NFI[[#This Row],[Pcode]],CampList[CP_Pcode],0)-1,0,1,1)&gt;=NFI_Monitor_Date,1,0))</f>
        <v/>
      </c>
      <c r="AQ1122" s="540" t="str">
        <f>IFERROR(VLOOKUP(Table_NFI[[#This Row],[Camp Name]],CL,3,0),"")</f>
        <v/>
      </c>
      <c r="AR1122" s="352" t="str">
        <f ca="1">IF(Table_NFI[[#This Row],[Pcode]]="","",OFFSET(CampList[Priority],MATCH(Table_NFI[[#This Row],[Pcode]],CampList[CP_Pcode],0)-1,0,1,1))</f>
        <v/>
      </c>
      <c r="AS1122" s="351" t="str">
        <f>IFERROR(Table_NFI[[#This Row],[Kitchen Set]]/VLOOKUP(Table_NFI[[#This Row],[Camp Name]],CL,4,0),"")</f>
        <v/>
      </c>
      <c r="AT1122" s="533" t="s">
        <v>1094</v>
      </c>
      <c r="AU1122" s="541"/>
    </row>
    <row r="1123" spans="1:47" ht="14.45" hidden="1" customHeight="1" x14ac:dyDescent="0.25">
      <c r="A1123" s="355" t="str">
        <f t="shared" si="18"/>
        <v/>
      </c>
      <c r="B1123" s="532"/>
      <c r="C1123" s="538"/>
      <c r="D1123" s="538"/>
      <c r="E1123" s="538"/>
      <c r="F1123" s="538"/>
      <c r="G1123" s="538"/>
      <c r="H1123" s="350"/>
      <c r="I1123" s="350"/>
      <c r="J1123" s="350"/>
      <c r="K1123" s="350"/>
      <c r="L1123" s="350"/>
      <c r="M1123" s="350"/>
      <c r="N1123" s="350"/>
      <c r="O1123" s="350"/>
      <c r="P1123" s="352"/>
      <c r="Q1123" s="392"/>
      <c r="R1123" s="392"/>
      <c r="S1123" s="392"/>
      <c r="T1123" s="392"/>
      <c r="U1123" s="392"/>
      <c r="V1123" s="497"/>
      <c r="W1123" s="392"/>
      <c r="X1123" s="392"/>
      <c r="Y1123" s="352">
        <f>IF(NFI_Expiration=1,IF($A1123&lt;VLOOKUP(H$5,NFI,5,0),1,0)*Table_NFI[[#This Row],[Hygiene Kit]],Table_NFI[Hygiene Kit])</f>
        <v>0</v>
      </c>
      <c r="Z1123" s="352">
        <f>IF(NFI_Expiration=1,IF($A1123&lt;VLOOKUP(I$5,NFI,5,0),1,0)*Table_NFI[[#This Row],[NFI Core Kit]],Table_NFI[NFI Core Kit])</f>
        <v>0</v>
      </c>
      <c r="AA1123" s="352">
        <f>IF(NFI_Expiration=1,IF($A1123&lt;VLOOKUP(J$5,NFI,5,0),1,0)*Table_NFI[[#This Row],[Sanitary Kit]],Table_NFI[Sanitary Kit])</f>
        <v>0</v>
      </c>
      <c r="AB1123" s="352">
        <f>IF(NFI_Expiration=1,IF($A1123&lt;VLOOKUP(K$5,NFI,5,0),1,0)*Table_NFI[[#This Row],[Mosquito net]],Table_NFI[Mosquito net])</f>
        <v>0</v>
      </c>
      <c r="AC1123" s="352">
        <f>IF(NFI_Expiration=1,IF($A1123&lt;VLOOKUP(L$5,NFI,5,0),1,0)*Table_NFI[[#This Row],[Tarpaulin]],Table_NFI[[#This Row],[Tarpaulin]])</f>
        <v>0</v>
      </c>
      <c r="AD1123" s="352">
        <f>IF(NFI_Expiration=1,IF($A1123&lt;VLOOKUP(M$5,NFI,5,0),1,0)*Table_NFI[[#This Row],[Blanket]],Table_NFI[[#This Row],[Blanket]])</f>
        <v>0</v>
      </c>
      <c r="AE1123" s="352">
        <f>IF(NFI_Expiration=1,IF($A1123&lt;VLOOKUP(N$5,NFI,5,0),1,0)*Table_NFI[[#This Row],[Kitchen Set]],Table_NFI[Kitchen Set])</f>
        <v>0</v>
      </c>
      <c r="AF1123" s="352">
        <f>IF(NFI_Expiration=1,IF($A1123&lt;VLOOKUP(O$5,NFI,5,0),1,0)*Table_NFI[[#This Row],[Clothes Kit]],Table_NFI[Clothes Kit])</f>
        <v>0</v>
      </c>
      <c r="AG1123" s="352">
        <f>IF(NFI_Expiration=1,IF($A1123&lt;VLOOKUP(P$5,NFI,5,0),1,0)*Table_NFI[[#This Row],[Plastic Bucket]],Table_NFI[Plastic Bucket])</f>
        <v>0</v>
      </c>
      <c r="AH1123" s="352">
        <f>IF(NFI_Expiration=1,IF($A1123&lt;VLOOKUP(Q$5,NFI,5,0),1,0)*Table_NFI[[#This Row],[Plastic Mat]],Table_NFI[Plastic Mat])*IF(Table_NFI[[#This Row],[Distribution Date]]&gt;"2014-04-01",1,2.5)</f>
        <v>0</v>
      </c>
      <c r="AI1123" s="352">
        <f>IF(NFI_Expiration=1,IF($A1123&lt;VLOOKUP(R$5,NFI,5,0),1,0)*Table_NFI[[#This Row],[Winter Clothes Adult]],Table_NFI[Winter Clothes Adult])</f>
        <v>0</v>
      </c>
      <c r="AJ1123" s="352">
        <f>IF(NFI_Expiration=1,IF($A1123&lt;VLOOKUP(S$5,NFI,5,0),1,0)*Table_NFI[[#This Row],[Winter Clothes Children]],Table_NFI[Winter Clothes Children])</f>
        <v>0</v>
      </c>
      <c r="AK1123" s="352">
        <f>IF(NFI_Expiration=1,IF($A1123&lt;VLOOKUP(T$5,NFI,5,0),1,0)*Table_NFI[[#This Row],[Winter Items Other]],Table_NFI[Winter Items Other])</f>
        <v>0</v>
      </c>
      <c r="AL1123" s="352">
        <f>IF(NFI_Expiration=1,IF($A1123&lt;VLOOKUP(M$5,NFI,5,0),1,0)*Table_NFI[[#This Row],[Winter Blanket]],Table_NFI[[#This Row],[Winter Blanket]])</f>
        <v>0</v>
      </c>
      <c r="AM1123" s="352">
        <f>IF(Table_NFI[[#This Row],[Winter Clothes Adult]]+Table_NFI[[#This Row],[Winter Clothes Children]]+Table_NFI[[#This Row],[Winter Items Other]]+Table_NFI[[#This Row],[Winter Blanket]]&gt;0,1,0)</f>
        <v>0</v>
      </c>
      <c r="AN1123" s="392">
        <f>IF(NFI_Expiration=1,IF($A1123&lt;VLOOKUP(V$5,NFI,5,0),1,0)*Table_NFI[[#This Row],[Jerry Can]],Table_NFI[Jerry Can])</f>
        <v>0</v>
      </c>
      <c r="AO1123" s="540" t="str">
        <f>IFERROR(VLOOKUP(Table_NFI[[#This Row],[Camp Name]],CL,2,0),"")</f>
        <v/>
      </c>
      <c r="AP1123" s="535" t="str">
        <f ca="1">IF(Table_NFI[[#This Row],[Pcode]]="","",IF(OFFSET(CampList[Opening Date],MATCH(Table_NFI[[#This Row],[Pcode]],CampList[CP_Pcode],0)-1,0,1,1)&gt;=NFI_Monitor_Date,1,0))</f>
        <v/>
      </c>
      <c r="AQ1123" s="540" t="str">
        <f>IFERROR(VLOOKUP(Table_NFI[[#This Row],[Camp Name]],CL,3,0),"")</f>
        <v/>
      </c>
      <c r="AR1123" s="352" t="str">
        <f ca="1">IF(Table_NFI[[#This Row],[Pcode]]="","",OFFSET(CampList[Priority],MATCH(Table_NFI[[#This Row],[Pcode]],CampList[CP_Pcode],0)-1,0,1,1))</f>
        <v/>
      </c>
      <c r="AS1123" s="351" t="str">
        <f>IFERROR(Table_NFI[[#This Row],[Kitchen Set]]/VLOOKUP(Table_NFI[[#This Row],[Camp Name]],CL,4,0),"")</f>
        <v/>
      </c>
      <c r="AT1123" s="533" t="s">
        <v>1094</v>
      </c>
      <c r="AU1123" s="541"/>
    </row>
    <row r="1124" spans="1:47" ht="14.45" hidden="1" customHeight="1" x14ac:dyDescent="0.25">
      <c r="A1124" s="355" t="str">
        <f t="shared" si="18"/>
        <v/>
      </c>
      <c r="B1124" s="532"/>
      <c r="C1124" s="538"/>
      <c r="D1124" s="538"/>
      <c r="E1124" s="538"/>
      <c r="F1124" s="538"/>
      <c r="G1124" s="538"/>
      <c r="H1124" s="350"/>
      <c r="I1124" s="350"/>
      <c r="J1124" s="350"/>
      <c r="K1124" s="350"/>
      <c r="L1124" s="350"/>
      <c r="M1124" s="350"/>
      <c r="N1124" s="350"/>
      <c r="O1124" s="350"/>
      <c r="P1124" s="352"/>
      <c r="Q1124" s="392"/>
      <c r="R1124" s="392"/>
      <c r="S1124" s="392"/>
      <c r="T1124" s="392"/>
      <c r="U1124" s="392"/>
      <c r="V1124" s="497"/>
      <c r="W1124" s="392"/>
      <c r="X1124" s="392"/>
      <c r="Y1124" s="352">
        <f>IF(NFI_Expiration=1,IF($A1124&lt;VLOOKUP(H$5,NFI,5,0),1,0)*Table_NFI[[#This Row],[Hygiene Kit]],Table_NFI[Hygiene Kit])</f>
        <v>0</v>
      </c>
      <c r="Z1124" s="352">
        <f>IF(NFI_Expiration=1,IF($A1124&lt;VLOOKUP(I$5,NFI,5,0),1,0)*Table_NFI[[#This Row],[NFI Core Kit]],Table_NFI[NFI Core Kit])</f>
        <v>0</v>
      </c>
      <c r="AA1124" s="352">
        <f>IF(NFI_Expiration=1,IF($A1124&lt;VLOOKUP(J$5,NFI,5,0),1,0)*Table_NFI[[#This Row],[Sanitary Kit]],Table_NFI[Sanitary Kit])</f>
        <v>0</v>
      </c>
      <c r="AB1124" s="352">
        <f>IF(NFI_Expiration=1,IF($A1124&lt;VLOOKUP(K$5,NFI,5,0),1,0)*Table_NFI[[#This Row],[Mosquito net]],Table_NFI[Mosquito net])</f>
        <v>0</v>
      </c>
      <c r="AC1124" s="352">
        <f>IF(NFI_Expiration=1,IF($A1124&lt;VLOOKUP(L$5,NFI,5,0),1,0)*Table_NFI[[#This Row],[Tarpaulin]],Table_NFI[[#This Row],[Tarpaulin]])</f>
        <v>0</v>
      </c>
      <c r="AD1124" s="352">
        <f>IF(NFI_Expiration=1,IF($A1124&lt;VLOOKUP(M$5,NFI,5,0),1,0)*Table_NFI[[#This Row],[Blanket]],Table_NFI[[#This Row],[Blanket]])</f>
        <v>0</v>
      </c>
      <c r="AE1124" s="352">
        <f>IF(NFI_Expiration=1,IF($A1124&lt;VLOOKUP(N$5,NFI,5,0),1,0)*Table_NFI[[#This Row],[Kitchen Set]],Table_NFI[Kitchen Set])</f>
        <v>0</v>
      </c>
      <c r="AF1124" s="352">
        <f>IF(NFI_Expiration=1,IF($A1124&lt;VLOOKUP(O$5,NFI,5,0),1,0)*Table_NFI[[#This Row],[Clothes Kit]],Table_NFI[Clothes Kit])</f>
        <v>0</v>
      </c>
      <c r="AG1124" s="352">
        <f>IF(NFI_Expiration=1,IF($A1124&lt;VLOOKUP(P$5,NFI,5,0),1,0)*Table_NFI[[#This Row],[Plastic Bucket]],Table_NFI[Plastic Bucket])</f>
        <v>0</v>
      </c>
      <c r="AH1124" s="352">
        <f>IF(NFI_Expiration=1,IF($A1124&lt;VLOOKUP(Q$5,NFI,5,0),1,0)*Table_NFI[[#This Row],[Plastic Mat]],Table_NFI[Plastic Mat])*IF(Table_NFI[[#This Row],[Distribution Date]]&gt;"2014-04-01",1,2.5)</f>
        <v>0</v>
      </c>
      <c r="AI1124" s="352">
        <f>IF(NFI_Expiration=1,IF($A1124&lt;VLOOKUP(R$5,NFI,5,0),1,0)*Table_NFI[[#This Row],[Winter Clothes Adult]],Table_NFI[Winter Clothes Adult])</f>
        <v>0</v>
      </c>
      <c r="AJ1124" s="352">
        <f>IF(NFI_Expiration=1,IF($A1124&lt;VLOOKUP(S$5,NFI,5,0),1,0)*Table_NFI[[#This Row],[Winter Clothes Children]],Table_NFI[Winter Clothes Children])</f>
        <v>0</v>
      </c>
      <c r="AK1124" s="352">
        <f>IF(NFI_Expiration=1,IF($A1124&lt;VLOOKUP(T$5,NFI,5,0),1,0)*Table_NFI[[#This Row],[Winter Items Other]],Table_NFI[Winter Items Other])</f>
        <v>0</v>
      </c>
      <c r="AL1124" s="352">
        <f>IF(NFI_Expiration=1,IF($A1124&lt;VLOOKUP(M$5,NFI,5,0),1,0)*Table_NFI[[#This Row],[Winter Blanket]],Table_NFI[[#This Row],[Winter Blanket]])</f>
        <v>0</v>
      </c>
      <c r="AM1124" s="352">
        <f>IF(Table_NFI[[#This Row],[Winter Clothes Adult]]+Table_NFI[[#This Row],[Winter Clothes Children]]+Table_NFI[[#This Row],[Winter Items Other]]+Table_NFI[[#This Row],[Winter Blanket]]&gt;0,1,0)</f>
        <v>0</v>
      </c>
      <c r="AN1124" s="392">
        <f>IF(NFI_Expiration=1,IF($A1124&lt;VLOOKUP(V$5,NFI,5,0),1,0)*Table_NFI[[#This Row],[Jerry Can]],Table_NFI[Jerry Can])</f>
        <v>0</v>
      </c>
      <c r="AO1124" s="540" t="str">
        <f>IFERROR(VLOOKUP(Table_NFI[[#This Row],[Camp Name]],CL,2,0),"")</f>
        <v/>
      </c>
      <c r="AP1124" s="535" t="str">
        <f ca="1">IF(Table_NFI[[#This Row],[Pcode]]="","",IF(OFFSET(CampList[Opening Date],MATCH(Table_NFI[[#This Row],[Pcode]],CampList[CP_Pcode],0)-1,0,1,1)&gt;=NFI_Monitor_Date,1,0))</f>
        <v/>
      </c>
      <c r="AQ1124" s="540" t="str">
        <f>IFERROR(VLOOKUP(Table_NFI[[#This Row],[Camp Name]],CL,3,0),"")</f>
        <v/>
      </c>
      <c r="AR1124" s="352" t="str">
        <f ca="1">IF(Table_NFI[[#This Row],[Pcode]]="","",OFFSET(CampList[Priority],MATCH(Table_NFI[[#This Row],[Pcode]],CampList[CP_Pcode],0)-1,0,1,1))</f>
        <v/>
      </c>
      <c r="AS1124" s="351" t="str">
        <f>IFERROR(Table_NFI[[#This Row],[Kitchen Set]]/VLOOKUP(Table_NFI[[#This Row],[Camp Name]],CL,4,0),"")</f>
        <v/>
      </c>
      <c r="AT1124" s="533" t="s">
        <v>1094</v>
      </c>
      <c r="AU1124" s="541"/>
    </row>
    <row r="1125" spans="1:47" ht="14.45" hidden="1" customHeight="1" x14ac:dyDescent="0.25">
      <c r="A1125" s="355" t="str">
        <f t="shared" si="18"/>
        <v/>
      </c>
      <c r="B1125" s="532"/>
      <c r="C1125" s="538"/>
      <c r="D1125" s="538"/>
      <c r="E1125" s="538"/>
      <c r="F1125" s="538"/>
      <c r="G1125" s="538"/>
      <c r="H1125" s="350"/>
      <c r="I1125" s="350"/>
      <c r="J1125" s="350"/>
      <c r="K1125" s="350"/>
      <c r="L1125" s="350"/>
      <c r="M1125" s="350"/>
      <c r="N1125" s="350"/>
      <c r="O1125" s="350"/>
      <c r="P1125" s="352"/>
      <c r="Q1125" s="392"/>
      <c r="R1125" s="392"/>
      <c r="S1125" s="392"/>
      <c r="T1125" s="392"/>
      <c r="U1125" s="392"/>
      <c r="V1125" s="497"/>
      <c r="W1125" s="392"/>
      <c r="X1125" s="392"/>
      <c r="Y1125" s="352">
        <f>IF(NFI_Expiration=1,IF($A1125&lt;VLOOKUP(H$5,NFI,5,0),1,0)*Table_NFI[[#This Row],[Hygiene Kit]],Table_NFI[Hygiene Kit])</f>
        <v>0</v>
      </c>
      <c r="Z1125" s="352">
        <f>IF(NFI_Expiration=1,IF($A1125&lt;VLOOKUP(I$5,NFI,5,0),1,0)*Table_NFI[[#This Row],[NFI Core Kit]],Table_NFI[NFI Core Kit])</f>
        <v>0</v>
      </c>
      <c r="AA1125" s="352">
        <f>IF(NFI_Expiration=1,IF($A1125&lt;VLOOKUP(J$5,NFI,5,0),1,0)*Table_NFI[[#This Row],[Sanitary Kit]],Table_NFI[Sanitary Kit])</f>
        <v>0</v>
      </c>
      <c r="AB1125" s="352">
        <f>IF(NFI_Expiration=1,IF($A1125&lt;VLOOKUP(K$5,NFI,5,0),1,0)*Table_NFI[[#This Row],[Mosquito net]],Table_NFI[Mosquito net])</f>
        <v>0</v>
      </c>
      <c r="AC1125" s="352">
        <f>IF(NFI_Expiration=1,IF($A1125&lt;VLOOKUP(L$5,NFI,5,0),1,0)*Table_NFI[[#This Row],[Tarpaulin]],Table_NFI[[#This Row],[Tarpaulin]])</f>
        <v>0</v>
      </c>
      <c r="AD1125" s="352">
        <f>IF(NFI_Expiration=1,IF($A1125&lt;VLOOKUP(M$5,NFI,5,0),1,0)*Table_NFI[[#This Row],[Blanket]],Table_NFI[[#This Row],[Blanket]])</f>
        <v>0</v>
      </c>
      <c r="AE1125" s="352">
        <f>IF(NFI_Expiration=1,IF($A1125&lt;VLOOKUP(N$5,NFI,5,0),1,0)*Table_NFI[[#This Row],[Kitchen Set]],Table_NFI[Kitchen Set])</f>
        <v>0</v>
      </c>
      <c r="AF1125" s="352">
        <f>IF(NFI_Expiration=1,IF($A1125&lt;VLOOKUP(O$5,NFI,5,0),1,0)*Table_NFI[[#This Row],[Clothes Kit]],Table_NFI[Clothes Kit])</f>
        <v>0</v>
      </c>
      <c r="AG1125" s="352">
        <f>IF(NFI_Expiration=1,IF($A1125&lt;VLOOKUP(P$5,NFI,5,0),1,0)*Table_NFI[[#This Row],[Plastic Bucket]],Table_NFI[Plastic Bucket])</f>
        <v>0</v>
      </c>
      <c r="AH1125" s="352">
        <f>IF(NFI_Expiration=1,IF($A1125&lt;VLOOKUP(Q$5,NFI,5,0),1,0)*Table_NFI[[#This Row],[Plastic Mat]],Table_NFI[Plastic Mat])*IF(Table_NFI[[#This Row],[Distribution Date]]&gt;"2014-04-01",1,2.5)</f>
        <v>0</v>
      </c>
      <c r="AI1125" s="352">
        <f>IF(NFI_Expiration=1,IF($A1125&lt;VLOOKUP(R$5,NFI,5,0),1,0)*Table_NFI[[#This Row],[Winter Clothes Adult]],Table_NFI[Winter Clothes Adult])</f>
        <v>0</v>
      </c>
      <c r="AJ1125" s="352">
        <f>IF(NFI_Expiration=1,IF($A1125&lt;VLOOKUP(S$5,NFI,5,0),1,0)*Table_NFI[[#This Row],[Winter Clothes Children]],Table_NFI[Winter Clothes Children])</f>
        <v>0</v>
      </c>
      <c r="AK1125" s="352">
        <f>IF(NFI_Expiration=1,IF($A1125&lt;VLOOKUP(T$5,NFI,5,0),1,0)*Table_NFI[[#This Row],[Winter Items Other]],Table_NFI[Winter Items Other])</f>
        <v>0</v>
      </c>
      <c r="AL1125" s="352">
        <f>IF(NFI_Expiration=1,IF($A1125&lt;VLOOKUP(M$5,NFI,5,0),1,0)*Table_NFI[[#This Row],[Winter Blanket]],Table_NFI[[#This Row],[Winter Blanket]])</f>
        <v>0</v>
      </c>
      <c r="AM1125" s="352">
        <f>IF(Table_NFI[[#This Row],[Winter Clothes Adult]]+Table_NFI[[#This Row],[Winter Clothes Children]]+Table_NFI[[#This Row],[Winter Items Other]]+Table_NFI[[#This Row],[Winter Blanket]]&gt;0,1,0)</f>
        <v>0</v>
      </c>
      <c r="AN1125" s="392">
        <f>IF(NFI_Expiration=1,IF($A1125&lt;VLOOKUP(V$5,NFI,5,0),1,0)*Table_NFI[[#This Row],[Jerry Can]],Table_NFI[Jerry Can])</f>
        <v>0</v>
      </c>
      <c r="AO1125" s="540" t="str">
        <f>IFERROR(VLOOKUP(Table_NFI[[#This Row],[Camp Name]],CL,2,0),"")</f>
        <v/>
      </c>
      <c r="AP1125" s="535" t="str">
        <f ca="1">IF(Table_NFI[[#This Row],[Pcode]]="","",IF(OFFSET(CampList[Opening Date],MATCH(Table_NFI[[#This Row],[Pcode]],CampList[CP_Pcode],0)-1,0,1,1)&gt;=NFI_Monitor_Date,1,0))</f>
        <v/>
      </c>
      <c r="AQ1125" s="540" t="str">
        <f>IFERROR(VLOOKUP(Table_NFI[[#This Row],[Camp Name]],CL,3,0),"")</f>
        <v/>
      </c>
      <c r="AR1125" s="352" t="str">
        <f ca="1">IF(Table_NFI[[#This Row],[Pcode]]="","",OFFSET(CampList[Priority],MATCH(Table_NFI[[#This Row],[Pcode]],CampList[CP_Pcode],0)-1,0,1,1))</f>
        <v/>
      </c>
      <c r="AS1125" s="351" t="str">
        <f>IFERROR(Table_NFI[[#This Row],[Kitchen Set]]/VLOOKUP(Table_NFI[[#This Row],[Camp Name]],CL,4,0),"")</f>
        <v/>
      </c>
      <c r="AT1125" s="533" t="s">
        <v>1094</v>
      </c>
      <c r="AU1125" s="541"/>
    </row>
    <row r="1126" spans="1:47" ht="14.45" hidden="1" customHeight="1" x14ac:dyDescent="0.25">
      <c r="A1126" s="355" t="str">
        <f t="shared" si="18"/>
        <v/>
      </c>
      <c r="B1126" s="532"/>
      <c r="C1126" s="538"/>
      <c r="D1126" s="538"/>
      <c r="E1126" s="538"/>
      <c r="F1126" s="538"/>
      <c r="G1126" s="538"/>
      <c r="H1126" s="350"/>
      <c r="I1126" s="350"/>
      <c r="J1126" s="350"/>
      <c r="K1126" s="350"/>
      <c r="L1126" s="350"/>
      <c r="M1126" s="350"/>
      <c r="N1126" s="350"/>
      <c r="O1126" s="350"/>
      <c r="P1126" s="352"/>
      <c r="Q1126" s="392"/>
      <c r="R1126" s="392"/>
      <c r="S1126" s="392"/>
      <c r="T1126" s="392"/>
      <c r="U1126" s="392"/>
      <c r="V1126" s="497"/>
      <c r="W1126" s="392"/>
      <c r="X1126" s="392"/>
      <c r="Y1126" s="352">
        <f>IF(NFI_Expiration=1,IF($A1126&lt;VLOOKUP(H$5,NFI,5,0),1,0)*Table_NFI[[#This Row],[Hygiene Kit]],Table_NFI[Hygiene Kit])</f>
        <v>0</v>
      </c>
      <c r="Z1126" s="352">
        <f>IF(NFI_Expiration=1,IF($A1126&lt;VLOOKUP(I$5,NFI,5,0),1,0)*Table_NFI[[#This Row],[NFI Core Kit]],Table_NFI[NFI Core Kit])</f>
        <v>0</v>
      </c>
      <c r="AA1126" s="352">
        <f>IF(NFI_Expiration=1,IF($A1126&lt;VLOOKUP(J$5,NFI,5,0),1,0)*Table_NFI[[#This Row],[Sanitary Kit]],Table_NFI[Sanitary Kit])</f>
        <v>0</v>
      </c>
      <c r="AB1126" s="352">
        <f>IF(NFI_Expiration=1,IF($A1126&lt;VLOOKUP(K$5,NFI,5,0),1,0)*Table_NFI[[#This Row],[Mosquito net]],Table_NFI[Mosquito net])</f>
        <v>0</v>
      </c>
      <c r="AC1126" s="352">
        <f>IF(NFI_Expiration=1,IF($A1126&lt;VLOOKUP(L$5,NFI,5,0),1,0)*Table_NFI[[#This Row],[Tarpaulin]],Table_NFI[[#This Row],[Tarpaulin]])</f>
        <v>0</v>
      </c>
      <c r="AD1126" s="352">
        <f>IF(NFI_Expiration=1,IF($A1126&lt;VLOOKUP(M$5,NFI,5,0),1,0)*Table_NFI[[#This Row],[Blanket]],Table_NFI[[#This Row],[Blanket]])</f>
        <v>0</v>
      </c>
      <c r="AE1126" s="352">
        <f>IF(NFI_Expiration=1,IF($A1126&lt;VLOOKUP(N$5,NFI,5,0),1,0)*Table_NFI[[#This Row],[Kitchen Set]],Table_NFI[Kitchen Set])</f>
        <v>0</v>
      </c>
      <c r="AF1126" s="352">
        <f>IF(NFI_Expiration=1,IF($A1126&lt;VLOOKUP(O$5,NFI,5,0),1,0)*Table_NFI[[#This Row],[Clothes Kit]],Table_NFI[Clothes Kit])</f>
        <v>0</v>
      </c>
      <c r="AG1126" s="352">
        <f>IF(NFI_Expiration=1,IF($A1126&lt;VLOOKUP(P$5,NFI,5,0),1,0)*Table_NFI[[#This Row],[Plastic Bucket]],Table_NFI[Plastic Bucket])</f>
        <v>0</v>
      </c>
      <c r="AH1126" s="352">
        <f>IF(NFI_Expiration=1,IF($A1126&lt;VLOOKUP(Q$5,NFI,5,0),1,0)*Table_NFI[[#This Row],[Plastic Mat]],Table_NFI[Plastic Mat])*IF(Table_NFI[[#This Row],[Distribution Date]]&gt;"2014-04-01",1,2.5)</f>
        <v>0</v>
      </c>
      <c r="AI1126" s="352">
        <f>IF(NFI_Expiration=1,IF($A1126&lt;VLOOKUP(R$5,NFI,5,0),1,0)*Table_NFI[[#This Row],[Winter Clothes Adult]],Table_NFI[Winter Clothes Adult])</f>
        <v>0</v>
      </c>
      <c r="AJ1126" s="352">
        <f>IF(NFI_Expiration=1,IF($A1126&lt;VLOOKUP(S$5,NFI,5,0),1,0)*Table_NFI[[#This Row],[Winter Clothes Children]],Table_NFI[Winter Clothes Children])</f>
        <v>0</v>
      </c>
      <c r="AK1126" s="352">
        <f>IF(NFI_Expiration=1,IF($A1126&lt;VLOOKUP(T$5,NFI,5,0),1,0)*Table_NFI[[#This Row],[Winter Items Other]],Table_NFI[Winter Items Other])</f>
        <v>0</v>
      </c>
      <c r="AL1126" s="352">
        <f>IF(NFI_Expiration=1,IF($A1126&lt;VLOOKUP(M$5,NFI,5,0),1,0)*Table_NFI[[#This Row],[Winter Blanket]],Table_NFI[[#This Row],[Winter Blanket]])</f>
        <v>0</v>
      </c>
      <c r="AM1126" s="352">
        <f>IF(Table_NFI[[#This Row],[Winter Clothes Adult]]+Table_NFI[[#This Row],[Winter Clothes Children]]+Table_NFI[[#This Row],[Winter Items Other]]+Table_NFI[[#This Row],[Winter Blanket]]&gt;0,1,0)</f>
        <v>0</v>
      </c>
      <c r="AN1126" s="392">
        <f>IF(NFI_Expiration=1,IF($A1126&lt;VLOOKUP(V$5,NFI,5,0),1,0)*Table_NFI[[#This Row],[Jerry Can]],Table_NFI[Jerry Can])</f>
        <v>0</v>
      </c>
      <c r="AO1126" s="540" t="str">
        <f>IFERROR(VLOOKUP(Table_NFI[[#This Row],[Camp Name]],CL,2,0),"")</f>
        <v/>
      </c>
      <c r="AP1126" s="535" t="str">
        <f ca="1">IF(Table_NFI[[#This Row],[Pcode]]="","",IF(OFFSET(CampList[Opening Date],MATCH(Table_NFI[[#This Row],[Pcode]],CampList[CP_Pcode],0)-1,0,1,1)&gt;=NFI_Monitor_Date,1,0))</f>
        <v/>
      </c>
      <c r="AQ1126" s="540" t="str">
        <f>IFERROR(VLOOKUP(Table_NFI[[#This Row],[Camp Name]],CL,3,0),"")</f>
        <v/>
      </c>
      <c r="AR1126" s="352" t="str">
        <f ca="1">IF(Table_NFI[[#This Row],[Pcode]]="","",OFFSET(CampList[Priority],MATCH(Table_NFI[[#This Row],[Pcode]],CampList[CP_Pcode],0)-1,0,1,1))</f>
        <v/>
      </c>
      <c r="AS1126" s="351" t="str">
        <f>IFERROR(Table_NFI[[#This Row],[Kitchen Set]]/VLOOKUP(Table_NFI[[#This Row],[Camp Name]],CL,4,0),"")</f>
        <v/>
      </c>
      <c r="AT1126" s="533" t="s">
        <v>1094</v>
      </c>
      <c r="AU1126" s="541"/>
    </row>
    <row r="1127" spans="1:47" ht="14.45" hidden="1" customHeight="1" x14ac:dyDescent="0.25">
      <c r="A1127" s="355" t="str">
        <f t="shared" si="18"/>
        <v/>
      </c>
      <c r="B1127" s="532"/>
      <c r="C1127" s="538"/>
      <c r="D1127" s="538"/>
      <c r="E1127" s="538"/>
      <c r="F1127" s="538"/>
      <c r="G1127" s="538"/>
      <c r="H1127" s="350"/>
      <c r="I1127" s="350"/>
      <c r="J1127" s="350"/>
      <c r="K1127" s="350"/>
      <c r="L1127" s="350"/>
      <c r="M1127" s="350"/>
      <c r="N1127" s="350"/>
      <c r="O1127" s="350"/>
      <c r="P1127" s="352"/>
      <c r="Q1127" s="392"/>
      <c r="R1127" s="392"/>
      <c r="S1127" s="392"/>
      <c r="T1127" s="392"/>
      <c r="U1127" s="392"/>
      <c r="V1127" s="497"/>
      <c r="W1127" s="392"/>
      <c r="X1127" s="392"/>
      <c r="Y1127" s="352">
        <f>IF(NFI_Expiration=1,IF($A1127&lt;VLOOKUP(H$5,NFI,5,0),1,0)*Table_NFI[[#This Row],[Hygiene Kit]],Table_NFI[Hygiene Kit])</f>
        <v>0</v>
      </c>
      <c r="Z1127" s="352">
        <f>IF(NFI_Expiration=1,IF($A1127&lt;VLOOKUP(I$5,NFI,5,0),1,0)*Table_NFI[[#This Row],[NFI Core Kit]],Table_NFI[NFI Core Kit])</f>
        <v>0</v>
      </c>
      <c r="AA1127" s="352">
        <f>IF(NFI_Expiration=1,IF($A1127&lt;VLOOKUP(J$5,NFI,5,0),1,0)*Table_NFI[[#This Row],[Sanitary Kit]],Table_NFI[Sanitary Kit])</f>
        <v>0</v>
      </c>
      <c r="AB1127" s="352">
        <f>IF(NFI_Expiration=1,IF($A1127&lt;VLOOKUP(K$5,NFI,5,0),1,0)*Table_NFI[[#This Row],[Mosquito net]],Table_NFI[Mosquito net])</f>
        <v>0</v>
      </c>
      <c r="AC1127" s="352">
        <f>IF(NFI_Expiration=1,IF($A1127&lt;VLOOKUP(L$5,NFI,5,0),1,0)*Table_NFI[[#This Row],[Tarpaulin]],Table_NFI[[#This Row],[Tarpaulin]])</f>
        <v>0</v>
      </c>
      <c r="AD1127" s="352">
        <f>IF(NFI_Expiration=1,IF($A1127&lt;VLOOKUP(M$5,NFI,5,0),1,0)*Table_NFI[[#This Row],[Blanket]],Table_NFI[[#This Row],[Blanket]])</f>
        <v>0</v>
      </c>
      <c r="AE1127" s="352">
        <f>IF(NFI_Expiration=1,IF($A1127&lt;VLOOKUP(N$5,NFI,5,0),1,0)*Table_NFI[[#This Row],[Kitchen Set]],Table_NFI[Kitchen Set])</f>
        <v>0</v>
      </c>
      <c r="AF1127" s="352">
        <f>IF(NFI_Expiration=1,IF($A1127&lt;VLOOKUP(O$5,NFI,5,0),1,0)*Table_NFI[[#This Row],[Clothes Kit]],Table_NFI[Clothes Kit])</f>
        <v>0</v>
      </c>
      <c r="AG1127" s="352">
        <f>IF(NFI_Expiration=1,IF($A1127&lt;VLOOKUP(P$5,NFI,5,0),1,0)*Table_NFI[[#This Row],[Plastic Bucket]],Table_NFI[Plastic Bucket])</f>
        <v>0</v>
      </c>
      <c r="AH1127" s="352">
        <f>IF(NFI_Expiration=1,IF($A1127&lt;VLOOKUP(Q$5,NFI,5,0),1,0)*Table_NFI[[#This Row],[Plastic Mat]],Table_NFI[Plastic Mat])*IF(Table_NFI[[#This Row],[Distribution Date]]&gt;"2014-04-01",1,2.5)</f>
        <v>0</v>
      </c>
      <c r="AI1127" s="352">
        <f>IF(NFI_Expiration=1,IF($A1127&lt;VLOOKUP(R$5,NFI,5,0),1,0)*Table_NFI[[#This Row],[Winter Clothes Adult]],Table_NFI[Winter Clothes Adult])</f>
        <v>0</v>
      </c>
      <c r="AJ1127" s="352">
        <f>IF(NFI_Expiration=1,IF($A1127&lt;VLOOKUP(S$5,NFI,5,0),1,0)*Table_NFI[[#This Row],[Winter Clothes Children]],Table_NFI[Winter Clothes Children])</f>
        <v>0</v>
      </c>
      <c r="AK1127" s="352">
        <f>IF(NFI_Expiration=1,IF($A1127&lt;VLOOKUP(T$5,NFI,5,0),1,0)*Table_NFI[[#This Row],[Winter Items Other]],Table_NFI[Winter Items Other])</f>
        <v>0</v>
      </c>
      <c r="AL1127" s="352">
        <f>IF(NFI_Expiration=1,IF($A1127&lt;VLOOKUP(M$5,NFI,5,0),1,0)*Table_NFI[[#This Row],[Winter Blanket]],Table_NFI[[#This Row],[Winter Blanket]])</f>
        <v>0</v>
      </c>
      <c r="AM1127" s="352">
        <f>IF(Table_NFI[[#This Row],[Winter Clothes Adult]]+Table_NFI[[#This Row],[Winter Clothes Children]]+Table_NFI[[#This Row],[Winter Items Other]]+Table_NFI[[#This Row],[Winter Blanket]]&gt;0,1,0)</f>
        <v>0</v>
      </c>
      <c r="AN1127" s="392">
        <f>IF(NFI_Expiration=1,IF($A1127&lt;VLOOKUP(V$5,NFI,5,0),1,0)*Table_NFI[[#This Row],[Jerry Can]],Table_NFI[Jerry Can])</f>
        <v>0</v>
      </c>
      <c r="AO1127" s="540" t="str">
        <f>IFERROR(VLOOKUP(Table_NFI[[#This Row],[Camp Name]],CL,2,0),"")</f>
        <v/>
      </c>
      <c r="AP1127" s="535" t="str">
        <f ca="1">IF(Table_NFI[[#This Row],[Pcode]]="","",IF(OFFSET(CampList[Opening Date],MATCH(Table_NFI[[#This Row],[Pcode]],CampList[CP_Pcode],0)-1,0,1,1)&gt;=NFI_Monitor_Date,1,0))</f>
        <v/>
      </c>
      <c r="AQ1127" s="540" t="str">
        <f>IFERROR(VLOOKUP(Table_NFI[[#This Row],[Camp Name]],CL,3,0),"")</f>
        <v/>
      </c>
      <c r="AR1127" s="352" t="str">
        <f ca="1">IF(Table_NFI[[#This Row],[Pcode]]="","",OFFSET(CampList[Priority],MATCH(Table_NFI[[#This Row],[Pcode]],CampList[CP_Pcode],0)-1,0,1,1))</f>
        <v/>
      </c>
      <c r="AS1127" s="351" t="str">
        <f>IFERROR(Table_NFI[[#This Row],[Kitchen Set]]/VLOOKUP(Table_NFI[[#This Row],[Camp Name]],CL,4,0),"")</f>
        <v/>
      </c>
      <c r="AT1127" s="533" t="s">
        <v>1094</v>
      </c>
      <c r="AU1127" s="541"/>
    </row>
    <row r="1128" spans="1:47" ht="14.45" hidden="1" customHeight="1" x14ac:dyDescent="0.25">
      <c r="A1128" s="355" t="str">
        <f t="shared" si="18"/>
        <v/>
      </c>
      <c r="B1128" s="532"/>
      <c r="C1128" s="538"/>
      <c r="D1128" s="538"/>
      <c r="E1128" s="538"/>
      <c r="F1128" s="538"/>
      <c r="G1128" s="538"/>
      <c r="H1128" s="350"/>
      <c r="I1128" s="350"/>
      <c r="J1128" s="350"/>
      <c r="K1128" s="350"/>
      <c r="L1128" s="350"/>
      <c r="M1128" s="350"/>
      <c r="N1128" s="350"/>
      <c r="O1128" s="350"/>
      <c r="P1128" s="352"/>
      <c r="Q1128" s="392"/>
      <c r="R1128" s="392"/>
      <c r="S1128" s="392"/>
      <c r="T1128" s="392"/>
      <c r="U1128" s="392"/>
      <c r="V1128" s="497"/>
      <c r="W1128" s="392"/>
      <c r="X1128" s="392"/>
      <c r="Y1128" s="352">
        <f>IF(NFI_Expiration=1,IF($A1128&lt;VLOOKUP(H$5,NFI,5,0),1,0)*Table_NFI[[#This Row],[Hygiene Kit]],Table_NFI[Hygiene Kit])</f>
        <v>0</v>
      </c>
      <c r="Z1128" s="352">
        <f>IF(NFI_Expiration=1,IF($A1128&lt;VLOOKUP(I$5,NFI,5,0),1,0)*Table_NFI[[#This Row],[NFI Core Kit]],Table_NFI[NFI Core Kit])</f>
        <v>0</v>
      </c>
      <c r="AA1128" s="352">
        <f>IF(NFI_Expiration=1,IF($A1128&lt;VLOOKUP(J$5,NFI,5,0),1,0)*Table_NFI[[#This Row],[Sanitary Kit]],Table_NFI[Sanitary Kit])</f>
        <v>0</v>
      </c>
      <c r="AB1128" s="352">
        <f>IF(NFI_Expiration=1,IF($A1128&lt;VLOOKUP(K$5,NFI,5,0),1,0)*Table_NFI[[#This Row],[Mosquito net]],Table_NFI[Mosquito net])</f>
        <v>0</v>
      </c>
      <c r="AC1128" s="352">
        <f>IF(NFI_Expiration=1,IF($A1128&lt;VLOOKUP(L$5,NFI,5,0),1,0)*Table_NFI[[#This Row],[Tarpaulin]],Table_NFI[[#This Row],[Tarpaulin]])</f>
        <v>0</v>
      </c>
      <c r="AD1128" s="352">
        <f>IF(NFI_Expiration=1,IF($A1128&lt;VLOOKUP(M$5,NFI,5,0),1,0)*Table_NFI[[#This Row],[Blanket]],Table_NFI[[#This Row],[Blanket]])</f>
        <v>0</v>
      </c>
      <c r="AE1128" s="352">
        <f>IF(NFI_Expiration=1,IF($A1128&lt;VLOOKUP(N$5,NFI,5,0),1,0)*Table_NFI[[#This Row],[Kitchen Set]],Table_NFI[Kitchen Set])</f>
        <v>0</v>
      </c>
      <c r="AF1128" s="352">
        <f>IF(NFI_Expiration=1,IF($A1128&lt;VLOOKUP(O$5,NFI,5,0),1,0)*Table_NFI[[#This Row],[Clothes Kit]],Table_NFI[Clothes Kit])</f>
        <v>0</v>
      </c>
      <c r="AG1128" s="352">
        <f>IF(NFI_Expiration=1,IF($A1128&lt;VLOOKUP(P$5,NFI,5,0),1,0)*Table_NFI[[#This Row],[Plastic Bucket]],Table_NFI[Plastic Bucket])</f>
        <v>0</v>
      </c>
      <c r="AH1128" s="352">
        <f>IF(NFI_Expiration=1,IF($A1128&lt;VLOOKUP(Q$5,NFI,5,0),1,0)*Table_NFI[[#This Row],[Plastic Mat]],Table_NFI[Plastic Mat])*IF(Table_NFI[[#This Row],[Distribution Date]]&gt;"2014-04-01",1,2.5)</f>
        <v>0</v>
      </c>
      <c r="AI1128" s="352">
        <f>IF(NFI_Expiration=1,IF($A1128&lt;VLOOKUP(R$5,NFI,5,0),1,0)*Table_NFI[[#This Row],[Winter Clothes Adult]],Table_NFI[Winter Clothes Adult])</f>
        <v>0</v>
      </c>
      <c r="AJ1128" s="352">
        <f>IF(NFI_Expiration=1,IF($A1128&lt;VLOOKUP(S$5,NFI,5,0),1,0)*Table_NFI[[#This Row],[Winter Clothes Children]],Table_NFI[Winter Clothes Children])</f>
        <v>0</v>
      </c>
      <c r="AK1128" s="352">
        <f>IF(NFI_Expiration=1,IF($A1128&lt;VLOOKUP(T$5,NFI,5,0),1,0)*Table_NFI[[#This Row],[Winter Items Other]],Table_NFI[Winter Items Other])</f>
        <v>0</v>
      </c>
      <c r="AL1128" s="352">
        <f>IF(NFI_Expiration=1,IF($A1128&lt;VLOOKUP(M$5,NFI,5,0),1,0)*Table_NFI[[#This Row],[Winter Blanket]],Table_NFI[[#This Row],[Winter Blanket]])</f>
        <v>0</v>
      </c>
      <c r="AM1128" s="352">
        <f>IF(Table_NFI[[#This Row],[Winter Clothes Adult]]+Table_NFI[[#This Row],[Winter Clothes Children]]+Table_NFI[[#This Row],[Winter Items Other]]+Table_NFI[[#This Row],[Winter Blanket]]&gt;0,1,0)</f>
        <v>0</v>
      </c>
      <c r="AN1128" s="392">
        <f>IF(NFI_Expiration=1,IF($A1128&lt;VLOOKUP(V$5,NFI,5,0),1,0)*Table_NFI[[#This Row],[Jerry Can]],Table_NFI[Jerry Can])</f>
        <v>0</v>
      </c>
      <c r="AO1128" s="540" t="str">
        <f>IFERROR(VLOOKUP(Table_NFI[[#This Row],[Camp Name]],CL,2,0),"")</f>
        <v/>
      </c>
      <c r="AP1128" s="535" t="str">
        <f ca="1">IF(Table_NFI[[#This Row],[Pcode]]="","",IF(OFFSET(CampList[Opening Date],MATCH(Table_NFI[[#This Row],[Pcode]],CampList[CP_Pcode],0)-1,0,1,1)&gt;=NFI_Monitor_Date,1,0))</f>
        <v/>
      </c>
      <c r="AQ1128" s="540" t="str">
        <f>IFERROR(VLOOKUP(Table_NFI[[#This Row],[Camp Name]],CL,3,0),"")</f>
        <v/>
      </c>
      <c r="AR1128" s="352" t="str">
        <f ca="1">IF(Table_NFI[[#This Row],[Pcode]]="","",OFFSET(CampList[Priority],MATCH(Table_NFI[[#This Row],[Pcode]],CampList[CP_Pcode],0)-1,0,1,1))</f>
        <v/>
      </c>
      <c r="AS1128" s="351" t="str">
        <f>IFERROR(Table_NFI[[#This Row],[Kitchen Set]]/VLOOKUP(Table_NFI[[#This Row],[Camp Name]],CL,4,0),"")</f>
        <v/>
      </c>
      <c r="AT1128" s="533" t="s">
        <v>1094</v>
      </c>
      <c r="AU1128" s="541"/>
    </row>
    <row r="1129" spans="1:47" ht="14.45" hidden="1" customHeight="1" x14ac:dyDescent="0.25">
      <c r="A1129" s="355" t="str">
        <f t="shared" si="18"/>
        <v/>
      </c>
      <c r="B1129" s="532"/>
      <c r="C1129" s="538"/>
      <c r="D1129" s="538"/>
      <c r="E1129" s="538"/>
      <c r="F1129" s="538"/>
      <c r="G1129" s="538"/>
      <c r="H1129" s="350"/>
      <c r="I1129" s="350"/>
      <c r="J1129" s="350"/>
      <c r="K1129" s="350"/>
      <c r="L1129" s="350"/>
      <c r="M1129" s="350"/>
      <c r="N1129" s="350"/>
      <c r="O1129" s="350"/>
      <c r="P1129" s="352"/>
      <c r="Q1129" s="392"/>
      <c r="R1129" s="392"/>
      <c r="S1129" s="392"/>
      <c r="T1129" s="392"/>
      <c r="U1129" s="392"/>
      <c r="V1129" s="497"/>
      <c r="W1129" s="392"/>
      <c r="X1129" s="392"/>
      <c r="Y1129" s="352">
        <f>IF(NFI_Expiration=1,IF($A1129&lt;VLOOKUP(H$5,NFI,5,0),1,0)*Table_NFI[[#This Row],[Hygiene Kit]],Table_NFI[Hygiene Kit])</f>
        <v>0</v>
      </c>
      <c r="Z1129" s="352">
        <f>IF(NFI_Expiration=1,IF($A1129&lt;VLOOKUP(I$5,NFI,5,0),1,0)*Table_NFI[[#This Row],[NFI Core Kit]],Table_NFI[NFI Core Kit])</f>
        <v>0</v>
      </c>
      <c r="AA1129" s="352">
        <f>IF(NFI_Expiration=1,IF($A1129&lt;VLOOKUP(J$5,NFI,5,0),1,0)*Table_NFI[[#This Row],[Sanitary Kit]],Table_NFI[Sanitary Kit])</f>
        <v>0</v>
      </c>
      <c r="AB1129" s="352">
        <f>IF(NFI_Expiration=1,IF($A1129&lt;VLOOKUP(K$5,NFI,5,0),1,0)*Table_NFI[[#This Row],[Mosquito net]],Table_NFI[Mosquito net])</f>
        <v>0</v>
      </c>
      <c r="AC1129" s="352">
        <f>IF(NFI_Expiration=1,IF($A1129&lt;VLOOKUP(L$5,NFI,5,0),1,0)*Table_NFI[[#This Row],[Tarpaulin]],Table_NFI[[#This Row],[Tarpaulin]])</f>
        <v>0</v>
      </c>
      <c r="AD1129" s="352">
        <f>IF(NFI_Expiration=1,IF($A1129&lt;VLOOKUP(M$5,NFI,5,0),1,0)*Table_NFI[[#This Row],[Blanket]],Table_NFI[[#This Row],[Blanket]])</f>
        <v>0</v>
      </c>
      <c r="AE1129" s="352">
        <f>IF(NFI_Expiration=1,IF($A1129&lt;VLOOKUP(N$5,NFI,5,0),1,0)*Table_NFI[[#This Row],[Kitchen Set]],Table_NFI[Kitchen Set])</f>
        <v>0</v>
      </c>
      <c r="AF1129" s="352">
        <f>IF(NFI_Expiration=1,IF($A1129&lt;VLOOKUP(O$5,NFI,5,0),1,0)*Table_NFI[[#This Row],[Clothes Kit]],Table_NFI[Clothes Kit])</f>
        <v>0</v>
      </c>
      <c r="AG1129" s="352">
        <f>IF(NFI_Expiration=1,IF($A1129&lt;VLOOKUP(P$5,NFI,5,0),1,0)*Table_NFI[[#This Row],[Plastic Bucket]],Table_NFI[Plastic Bucket])</f>
        <v>0</v>
      </c>
      <c r="AH1129" s="352">
        <f>IF(NFI_Expiration=1,IF($A1129&lt;VLOOKUP(Q$5,NFI,5,0),1,0)*Table_NFI[[#This Row],[Plastic Mat]],Table_NFI[Plastic Mat])*IF(Table_NFI[[#This Row],[Distribution Date]]&gt;"2014-04-01",1,2.5)</f>
        <v>0</v>
      </c>
      <c r="AI1129" s="352">
        <f>IF(NFI_Expiration=1,IF($A1129&lt;VLOOKUP(R$5,NFI,5,0),1,0)*Table_NFI[[#This Row],[Winter Clothes Adult]],Table_NFI[Winter Clothes Adult])</f>
        <v>0</v>
      </c>
      <c r="AJ1129" s="352">
        <f>IF(NFI_Expiration=1,IF($A1129&lt;VLOOKUP(S$5,NFI,5,0),1,0)*Table_NFI[[#This Row],[Winter Clothes Children]],Table_NFI[Winter Clothes Children])</f>
        <v>0</v>
      </c>
      <c r="AK1129" s="352">
        <f>IF(NFI_Expiration=1,IF($A1129&lt;VLOOKUP(T$5,NFI,5,0),1,0)*Table_NFI[[#This Row],[Winter Items Other]],Table_NFI[Winter Items Other])</f>
        <v>0</v>
      </c>
      <c r="AL1129" s="352">
        <f>IF(NFI_Expiration=1,IF($A1129&lt;VLOOKUP(M$5,NFI,5,0),1,0)*Table_NFI[[#This Row],[Winter Blanket]],Table_NFI[[#This Row],[Winter Blanket]])</f>
        <v>0</v>
      </c>
      <c r="AM1129" s="352">
        <f>IF(Table_NFI[[#This Row],[Winter Clothes Adult]]+Table_NFI[[#This Row],[Winter Clothes Children]]+Table_NFI[[#This Row],[Winter Items Other]]+Table_NFI[[#This Row],[Winter Blanket]]&gt;0,1,0)</f>
        <v>0</v>
      </c>
      <c r="AN1129" s="392">
        <f>IF(NFI_Expiration=1,IF($A1129&lt;VLOOKUP(V$5,NFI,5,0),1,0)*Table_NFI[[#This Row],[Jerry Can]],Table_NFI[Jerry Can])</f>
        <v>0</v>
      </c>
      <c r="AO1129" s="540" t="str">
        <f>IFERROR(VLOOKUP(Table_NFI[[#This Row],[Camp Name]],CL,2,0),"")</f>
        <v/>
      </c>
      <c r="AP1129" s="535" t="str">
        <f ca="1">IF(Table_NFI[[#This Row],[Pcode]]="","",IF(OFFSET(CampList[Opening Date],MATCH(Table_NFI[[#This Row],[Pcode]],CampList[CP_Pcode],0)-1,0,1,1)&gt;=NFI_Monitor_Date,1,0))</f>
        <v/>
      </c>
      <c r="AQ1129" s="540" t="str">
        <f>IFERROR(VLOOKUP(Table_NFI[[#This Row],[Camp Name]],CL,3,0),"")</f>
        <v/>
      </c>
      <c r="AR1129" s="352" t="str">
        <f ca="1">IF(Table_NFI[[#This Row],[Pcode]]="","",OFFSET(CampList[Priority],MATCH(Table_NFI[[#This Row],[Pcode]],CampList[CP_Pcode],0)-1,0,1,1))</f>
        <v/>
      </c>
      <c r="AS1129" s="351" t="str">
        <f>IFERROR(Table_NFI[[#This Row],[Kitchen Set]]/VLOOKUP(Table_NFI[[#This Row],[Camp Name]],CL,4,0),"")</f>
        <v/>
      </c>
      <c r="AT1129" s="533" t="s">
        <v>1094</v>
      </c>
      <c r="AU1129" s="541"/>
    </row>
    <row r="1130" spans="1:47" ht="14.45" hidden="1" customHeight="1" x14ac:dyDescent="0.25">
      <c r="A1130" s="355" t="str">
        <f t="shared" si="18"/>
        <v/>
      </c>
      <c r="B1130" s="532"/>
      <c r="C1130" s="538"/>
      <c r="D1130" s="538"/>
      <c r="E1130" s="538"/>
      <c r="F1130" s="538"/>
      <c r="G1130" s="538"/>
      <c r="H1130" s="350"/>
      <c r="I1130" s="350"/>
      <c r="J1130" s="350"/>
      <c r="K1130" s="350"/>
      <c r="L1130" s="350"/>
      <c r="M1130" s="350"/>
      <c r="N1130" s="350"/>
      <c r="O1130" s="350"/>
      <c r="P1130" s="352"/>
      <c r="Q1130" s="392"/>
      <c r="R1130" s="392"/>
      <c r="S1130" s="392"/>
      <c r="T1130" s="392"/>
      <c r="U1130" s="392"/>
      <c r="V1130" s="497"/>
      <c r="W1130" s="392"/>
      <c r="X1130" s="392"/>
      <c r="Y1130" s="352">
        <f>IF(NFI_Expiration=1,IF($A1130&lt;VLOOKUP(H$5,NFI,5,0),1,0)*Table_NFI[[#This Row],[Hygiene Kit]],Table_NFI[Hygiene Kit])</f>
        <v>0</v>
      </c>
      <c r="Z1130" s="352">
        <f>IF(NFI_Expiration=1,IF($A1130&lt;VLOOKUP(I$5,NFI,5,0),1,0)*Table_NFI[[#This Row],[NFI Core Kit]],Table_NFI[NFI Core Kit])</f>
        <v>0</v>
      </c>
      <c r="AA1130" s="352">
        <f>IF(NFI_Expiration=1,IF($A1130&lt;VLOOKUP(J$5,NFI,5,0),1,0)*Table_NFI[[#This Row],[Sanitary Kit]],Table_NFI[Sanitary Kit])</f>
        <v>0</v>
      </c>
      <c r="AB1130" s="352">
        <f>IF(NFI_Expiration=1,IF($A1130&lt;VLOOKUP(K$5,NFI,5,0),1,0)*Table_NFI[[#This Row],[Mosquito net]],Table_NFI[Mosquito net])</f>
        <v>0</v>
      </c>
      <c r="AC1130" s="352">
        <f>IF(NFI_Expiration=1,IF($A1130&lt;VLOOKUP(L$5,NFI,5,0),1,0)*Table_NFI[[#This Row],[Tarpaulin]],Table_NFI[[#This Row],[Tarpaulin]])</f>
        <v>0</v>
      </c>
      <c r="AD1130" s="352">
        <f>IF(NFI_Expiration=1,IF($A1130&lt;VLOOKUP(M$5,NFI,5,0),1,0)*Table_NFI[[#This Row],[Blanket]],Table_NFI[[#This Row],[Blanket]])</f>
        <v>0</v>
      </c>
      <c r="AE1130" s="352">
        <f>IF(NFI_Expiration=1,IF($A1130&lt;VLOOKUP(N$5,NFI,5,0),1,0)*Table_NFI[[#This Row],[Kitchen Set]],Table_NFI[Kitchen Set])</f>
        <v>0</v>
      </c>
      <c r="AF1130" s="352">
        <f>IF(NFI_Expiration=1,IF($A1130&lt;VLOOKUP(O$5,NFI,5,0),1,0)*Table_NFI[[#This Row],[Clothes Kit]],Table_NFI[Clothes Kit])</f>
        <v>0</v>
      </c>
      <c r="AG1130" s="352">
        <f>IF(NFI_Expiration=1,IF($A1130&lt;VLOOKUP(P$5,NFI,5,0),1,0)*Table_NFI[[#This Row],[Plastic Bucket]],Table_NFI[Plastic Bucket])</f>
        <v>0</v>
      </c>
      <c r="AH1130" s="352">
        <f>IF(NFI_Expiration=1,IF($A1130&lt;VLOOKUP(Q$5,NFI,5,0),1,0)*Table_NFI[[#This Row],[Plastic Mat]],Table_NFI[Plastic Mat])*IF(Table_NFI[[#This Row],[Distribution Date]]&gt;"2014-04-01",1,2.5)</f>
        <v>0</v>
      </c>
      <c r="AI1130" s="352">
        <f>IF(NFI_Expiration=1,IF($A1130&lt;VLOOKUP(R$5,NFI,5,0),1,0)*Table_NFI[[#This Row],[Winter Clothes Adult]],Table_NFI[Winter Clothes Adult])</f>
        <v>0</v>
      </c>
      <c r="AJ1130" s="352">
        <f>IF(NFI_Expiration=1,IF($A1130&lt;VLOOKUP(S$5,NFI,5,0),1,0)*Table_NFI[[#This Row],[Winter Clothes Children]],Table_NFI[Winter Clothes Children])</f>
        <v>0</v>
      </c>
      <c r="AK1130" s="352">
        <f>IF(NFI_Expiration=1,IF($A1130&lt;VLOOKUP(T$5,NFI,5,0),1,0)*Table_NFI[[#This Row],[Winter Items Other]],Table_NFI[Winter Items Other])</f>
        <v>0</v>
      </c>
      <c r="AL1130" s="352">
        <f>IF(NFI_Expiration=1,IF($A1130&lt;VLOOKUP(M$5,NFI,5,0),1,0)*Table_NFI[[#This Row],[Winter Blanket]],Table_NFI[[#This Row],[Winter Blanket]])</f>
        <v>0</v>
      </c>
      <c r="AM1130" s="352">
        <f>IF(Table_NFI[[#This Row],[Winter Clothes Adult]]+Table_NFI[[#This Row],[Winter Clothes Children]]+Table_NFI[[#This Row],[Winter Items Other]]+Table_NFI[[#This Row],[Winter Blanket]]&gt;0,1,0)</f>
        <v>0</v>
      </c>
      <c r="AN1130" s="392">
        <f>IF(NFI_Expiration=1,IF($A1130&lt;VLOOKUP(V$5,NFI,5,0),1,0)*Table_NFI[[#This Row],[Jerry Can]],Table_NFI[Jerry Can])</f>
        <v>0</v>
      </c>
      <c r="AO1130" s="540" t="str">
        <f>IFERROR(VLOOKUP(Table_NFI[[#This Row],[Camp Name]],CL,2,0),"")</f>
        <v/>
      </c>
      <c r="AP1130" s="535" t="str">
        <f ca="1">IF(Table_NFI[[#This Row],[Pcode]]="","",IF(OFFSET(CampList[Opening Date],MATCH(Table_NFI[[#This Row],[Pcode]],CampList[CP_Pcode],0)-1,0,1,1)&gt;=NFI_Monitor_Date,1,0))</f>
        <v/>
      </c>
      <c r="AQ1130" s="540" t="str">
        <f>IFERROR(VLOOKUP(Table_NFI[[#This Row],[Camp Name]],CL,3,0),"")</f>
        <v/>
      </c>
      <c r="AR1130" s="352" t="str">
        <f ca="1">IF(Table_NFI[[#This Row],[Pcode]]="","",OFFSET(CampList[Priority],MATCH(Table_NFI[[#This Row],[Pcode]],CampList[CP_Pcode],0)-1,0,1,1))</f>
        <v/>
      </c>
      <c r="AS1130" s="351" t="str">
        <f>IFERROR(Table_NFI[[#This Row],[Kitchen Set]]/VLOOKUP(Table_NFI[[#This Row],[Camp Name]],CL,4,0),"")</f>
        <v/>
      </c>
      <c r="AT1130" s="533" t="s">
        <v>1094</v>
      </c>
      <c r="AU1130" s="541"/>
    </row>
    <row r="1131" spans="1:47" ht="14.45" hidden="1" customHeight="1" x14ac:dyDescent="0.25">
      <c r="A1131" s="355" t="str">
        <f t="shared" si="18"/>
        <v/>
      </c>
      <c r="B1131" s="532"/>
      <c r="C1131" s="538"/>
      <c r="D1131" s="538"/>
      <c r="E1131" s="538"/>
      <c r="F1131" s="538"/>
      <c r="G1131" s="538"/>
      <c r="H1131" s="350"/>
      <c r="I1131" s="350"/>
      <c r="J1131" s="350"/>
      <c r="K1131" s="350"/>
      <c r="L1131" s="350"/>
      <c r="M1131" s="350"/>
      <c r="N1131" s="350"/>
      <c r="O1131" s="350"/>
      <c r="P1131" s="352"/>
      <c r="Q1131" s="392"/>
      <c r="R1131" s="392"/>
      <c r="S1131" s="392"/>
      <c r="T1131" s="392"/>
      <c r="U1131" s="392"/>
      <c r="V1131" s="497"/>
      <c r="W1131" s="392"/>
      <c r="X1131" s="392"/>
      <c r="Y1131" s="352">
        <f>IF(NFI_Expiration=1,IF($A1131&lt;VLOOKUP(H$5,NFI,5,0),1,0)*Table_NFI[[#This Row],[Hygiene Kit]],Table_NFI[Hygiene Kit])</f>
        <v>0</v>
      </c>
      <c r="Z1131" s="352">
        <f>IF(NFI_Expiration=1,IF($A1131&lt;VLOOKUP(I$5,NFI,5,0),1,0)*Table_NFI[[#This Row],[NFI Core Kit]],Table_NFI[NFI Core Kit])</f>
        <v>0</v>
      </c>
      <c r="AA1131" s="352">
        <f>IF(NFI_Expiration=1,IF($A1131&lt;VLOOKUP(J$5,NFI,5,0),1,0)*Table_NFI[[#This Row],[Sanitary Kit]],Table_NFI[Sanitary Kit])</f>
        <v>0</v>
      </c>
      <c r="AB1131" s="352">
        <f>IF(NFI_Expiration=1,IF($A1131&lt;VLOOKUP(K$5,NFI,5,0),1,0)*Table_NFI[[#This Row],[Mosquito net]],Table_NFI[Mosquito net])</f>
        <v>0</v>
      </c>
      <c r="AC1131" s="352">
        <f>IF(NFI_Expiration=1,IF($A1131&lt;VLOOKUP(L$5,NFI,5,0),1,0)*Table_NFI[[#This Row],[Tarpaulin]],Table_NFI[[#This Row],[Tarpaulin]])</f>
        <v>0</v>
      </c>
      <c r="AD1131" s="352">
        <f>IF(NFI_Expiration=1,IF($A1131&lt;VLOOKUP(M$5,NFI,5,0),1,0)*Table_NFI[[#This Row],[Blanket]],Table_NFI[[#This Row],[Blanket]])</f>
        <v>0</v>
      </c>
      <c r="AE1131" s="352">
        <f>IF(NFI_Expiration=1,IF($A1131&lt;VLOOKUP(N$5,NFI,5,0),1,0)*Table_NFI[[#This Row],[Kitchen Set]],Table_NFI[Kitchen Set])</f>
        <v>0</v>
      </c>
      <c r="AF1131" s="352">
        <f>IF(NFI_Expiration=1,IF($A1131&lt;VLOOKUP(O$5,NFI,5,0),1,0)*Table_NFI[[#This Row],[Clothes Kit]],Table_NFI[Clothes Kit])</f>
        <v>0</v>
      </c>
      <c r="AG1131" s="352">
        <f>IF(NFI_Expiration=1,IF($A1131&lt;VLOOKUP(P$5,NFI,5,0),1,0)*Table_NFI[[#This Row],[Plastic Bucket]],Table_NFI[Plastic Bucket])</f>
        <v>0</v>
      </c>
      <c r="AH1131" s="352">
        <f>IF(NFI_Expiration=1,IF($A1131&lt;VLOOKUP(Q$5,NFI,5,0),1,0)*Table_NFI[[#This Row],[Plastic Mat]],Table_NFI[Plastic Mat])*IF(Table_NFI[[#This Row],[Distribution Date]]&gt;"2014-04-01",1,2.5)</f>
        <v>0</v>
      </c>
      <c r="AI1131" s="352">
        <f>IF(NFI_Expiration=1,IF($A1131&lt;VLOOKUP(R$5,NFI,5,0),1,0)*Table_NFI[[#This Row],[Winter Clothes Adult]],Table_NFI[Winter Clothes Adult])</f>
        <v>0</v>
      </c>
      <c r="AJ1131" s="352">
        <f>IF(NFI_Expiration=1,IF($A1131&lt;VLOOKUP(S$5,NFI,5,0),1,0)*Table_NFI[[#This Row],[Winter Clothes Children]],Table_NFI[Winter Clothes Children])</f>
        <v>0</v>
      </c>
      <c r="AK1131" s="352">
        <f>IF(NFI_Expiration=1,IF($A1131&lt;VLOOKUP(T$5,NFI,5,0),1,0)*Table_NFI[[#This Row],[Winter Items Other]],Table_NFI[Winter Items Other])</f>
        <v>0</v>
      </c>
      <c r="AL1131" s="352">
        <f>IF(NFI_Expiration=1,IF($A1131&lt;VLOOKUP(M$5,NFI,5,0),1,0)*Table_NFI[[#This Row],[Winter Blanket]],Table_NFI[[#This Row],[Winter Blanket]])</f>
        <v>0</v>
      </c>
      <c r="AM1131" s="352">
        <f>IF(Table_NFI[[#This Row],[Winter Clothes Adult]]+Table_NFI[[#This Row],[Winter Clothes Children]]+Table_NFI[[#This Row],[Winter Items Other]]+Table_NFI[[#This Row],[Winter Blanket]]&gt;0,1,0)</f>
        <v>0</v>
      </c>
      <c r="AN1131" s="392">
        <f>IF(NFI_Expiration=1,IF($A1131&lt;VLOOKUP(V$5,NFI,5,0),1,0)*Table_NFI[[#This Row],[Jerry Can]],Table_NFI[Jerry Can])</f>
        <v>0</v>
      </c>
      <c r="AO1131" s="540" t="str">
        <f>IFERROR(VLOOKUP(Table_NFI[[#This Row],[Camp Name]],CL,2,0),"")</f>
        <v/>
      </c>
      <c r="AP1131" s="535" t="str">
        <f ca="1">IF(Table_NFI[[#This Row],[Pcode]]="","",IF(OFFSET(CampList[Opening Date],MATCH(Table_NFI[[#This Row],[Pcode]],CampList[CP_Pcode],0)-1,0,1,1)&gt;=NFI_Monitor_Date,1,0))</f>
        <v/>
      </c>
      <c r="AQ1131" s="540" t="str">
        <f>IFERROR(VLOOKUP(Table_NFI[[#This Row],[Camp Name]],CL,3,0),"")</f>
        <v/>
      </c>
      <c r="AR1131" s="352" t="str">
        <f ca="1">IF(Table_NFI[[#This Row],[Pcode]]="","",OFFSET(CampList[Priority],MATCH(Table_NFI[[#This Row],[Pcode]],CampList[CP_Pcode],0)-1,0,1,1))</f>
        <v/>
      </c>
      <c r="AS1131" s="351" t="str">
        <f>IFERROR(Table_NFI[[#This Row],[Kitchen Set]]/VLOOKUP(Table_NFI[[#This Row],[Camp Name]],CL,4,0),"")</f>
        <v/>
      </c>
      <c r="AT1131" s="533" t="s">
        <v>1094</v>
      </c>
      <c r="AU1131" s="541"/>
    </row>
    <row r="1132" spans="1:47" ht="14.45" hidden="1" customHeight="1" x14ac:dyDescent="0.25">
      <c r="A1132" s="355" t="str">
        <f t="shared" si="18"/>
        <v/>
      </c>
      <c r="B1132" s="532"/>
      <c r="C1132" s="538"/>
      <c r="D1132" s="538"/>
      <c r="E1132" s="538"/>
      <c r="F1132" s="538"/>
      <c r="G1132" s="538"/>
      <c r="H1132" s="350"/>
      <c r="I1132" s="350"/>
      <c r="J1132" s="350"/>
      <c r="K1132" s="350"/>
      <c r="L1132" s="350"/>
      <c r="M1132" s="350"/>
      <c r="N1132" s="350"/>
      <c r="O1132" s="350"/>
      <c r="P1132" s="352"/>
      <c r="Q1132" s="392"/>
      <c r="R1132" s="392"/>
      <c r="S1132" s="392"/>
      <c r="T1132" s="392"/>
      <c r="U1132" s="392"/>
      <c r="V1132" s="497"/>
      <c r="W1132" s="392"/>
      <c r="X1132" s="392"/>
      <c r="Y1132" s="352">
        <f>IF(NFI_Expiration=1,IF($A1132&lt;VLOOKUP(H$5,NFI,5,0),1,0)*Table_NFI[[#This Row],[Hygiene Kit]],Table_NFI[Hygiene Kit])</f>
        <v>0</v>
      </c>
      <c r="Z1132" s="352">
        <f>IF(NFI_Expiration=1,IF($A1132&lt;VLOOKUP(I$5,NFI,5,0),1,0)*Table_NFI[[#This Row],[NFI Core Kit]],Table_NFI[NFI Core Kit])</f>
        <v>0</v>
      </c>
      <c r="AA1132" s="352">
        <f>IF(NFI_Expiration=1,IF($A1132&lt;VLOOKUP(J$5,NFI,5,0),1,0)*Table_NFI[[#This Row],[Sanitary Kit]],Table_NFI[Sanitary Kit])</f>
        <v>0</v>
      </c>
      <c r="AB1132" s="352">
        <f>IF(NFI_Expiration=1,IF($A1132&lt;VLOOKUP(K$5,NFI,5,0),1,0)*Table_NFI[[#This Row],[Mosquito net]],Table_NFI[Mosquito net])</f>
        <v>0</v>
      </c>
      <c r="AC1132" s="352">
        <f>IF(NFI_Expiration=1,IF($A1132&lt;VLOOKUP(L$5,NFI,5,0),1,0)*Table_NFI[[#This Row],[Tarpaulin]],Table_NFI[[#This Row],[Tarpaulin]])</f>
        <v>0</v>
      </c>
      <c r="AD1132" s="352">
        <f>IF(NFI_Expiration=1,IF($A1132&lt;VLOOKUP(M$5,NFI,5,0),1,0)*Table_NFI[[#This Row],[Blanket]],Table_NFI[[#This Row],[Blanket]])</f>
        <v>0</v>
      </c>
      <c r="AE1132" s="352">
        <f>IF(NFI_Expiration=1,IF($A1132&lt;VLOOKUP(N$5,NFI,5,0),1,0)*Table_NFI[[#This Row],[Kitchen Set]],Table_NFI[Kitchen Set])</f>
        <v>0</v>
      </c>
      <c r="AF1132" s="352">
        <f>IF(NFI_Expiration=1,IF($A1132&lt;VLOOKUP(O$5,NFI,5,0),1,0)*Table_NFI[[#This Row],[Clothes Kit]],Table_NFI[Clothes Kit])</f>
        <v>0</v>
      </c>
      <c r="AG1132" s="352">
        <f>IF(NFI_Expiration=1,IF($A1132&lt;VLOOKUP(P$5,NFI,5,0),1,0)*Table_NFI[[#This Row],[Plastic Bucket]],Table_NFI[Plastic Bucket])</f>
        <v>0</v>
      </c>
      <c r="AH1132" s="352">
        <f>IF(NFI_Expiration=1,IF($A1132&lt;VLOOKUP(Q$5,NFI,5,0),1,0)*Table_NFI[[#This Row],[Plastic Mat]],Table_NFI[Plastic Mat])*IF(Table_NFI[[#This Row],[Distribution Date]]&gt;"2014-04-01",1,2.5)</f>
        <v>0</v>
      </c>
      <c r="AI1132" s="352">
        <f>IF(NFI_Expiration=1,IF($A1132&lt;VLOOKUP(R$5,NFI,5,0),1,0)*Table_NFI[[#This Row],[Winter Clothes Adult]],Table_NFI[Winter Clothes Adult])</f>
        <v>0</v>
      </c>
      <c r="AJ1132" s="352">
        <f>IF(NFI_Expiration=1,IF($A1132&lt;VLOOKUP(S$5,NFI,5,0),1,0)*Table_NFI[[#This Row],[Winter Clothes Children]],Table_NFI[Winter Clothes Children])</f>
        <v>0</v>
      </c>
      <c r="AK1132" s="352">
        <f>IF(NFI_Expiration=1,IF($A1132&lt;VLOOKUP(T$5,NFI,5,0),1,0)*Table_NFI[[#This Row],[Winter Items Other]],Table_NFI[Winter Items Other])</f>
        <v>0</v>
      </c>
      <c r="AL1132" s="352">
        <f>IF(NFI_Expiration=1,IF($A1132&lt;VLOOKUP(M$5,NFI,5,0),1,0)*Table_NFI[[#This Row],[Winter Blanket]],Table_NFI[[#This Row],[Winter Blanket]])</f>
        <v>0</v>
      </c>
      <c r="AM1132" s="352">
        <f>IF(Table_NFI[[#This Row],[Winter Clothes Adult]]+Table_NFI[[#This Row],[Winter Clothes Children]]+Table_NFI[[#This Row],[Winter Items Other]]+Table_NFI[[#This Row],[Winter Blanket]]&gt;0,1,0)</f>
        <v>0</v>
      </c>
      <c r="AN1132" s="392">
        <f>IF(NFI_Expiration=1,IF($A1132&lt;VLOOKUP(V$5,NFI,5,0),1,0)*Table_NFI[[#This Row],[Jerry Can]],Table_NFI[Jerry Can])</f>
        <v>0</v>
      </c>
      <c r="AO1132" s="540" t="str">
        <f>IFERROR(VLOOKUP(Table_NFI[[#This Row],[Camp Name]],CL,2,0),"")</f>
        <v/>
      </c>
      <c r="AP1132" s="535" t="str">
        <f ca="1">IF(Table_NFI[[#This Row],[Pcode]]="","",IF(OFFSET(CampList[Opening Date],MATCH(Table_NFI[[#This Row],[Pcode]],CampList[CP_Pcode],0)-1,0,1,1)&gt;=NFI_Monitor_Date,1,0))</f>
        <v/>
      </c>
      <c r="AQ1132" s="540" t="str">
        <f>IFERROR(VLOOKUP(Table_NFI[[#This Row],[Camp Name]],CL,3,0),"")</f>
        <v/>
      </c>
      <c r="AR1132" s="352" t="str">
        <f ca="1">IF(Table_NFI[[#This Row],[Pcode]]="","",OFFSET(CampList[Priority],MATCH(Table_NFI[[#This Row],[Pcode]],CampList[CP_Pcode],0)-1,0,1,1))</f>
        <v/>
      </c>
      <c r="AS1132" s="351" t="str">
        <f>IFERROR(Table_NFI[[#This Row],[Kitchen Set]]/VLOOKUP(Table_NFI[[#This Row],[Camp Name]],CL,4,0),"")</f>
        <v/>
      </c>
      <c r="AT1132" s="533" t="s">
        <v>1094</v>
      </c>
      <c r="AU1132" s="541"/>
    </row>
    <row r="1133" spans="1:47" ht="14.45" hidden="1" customHeight="1" x14ac:dyDescent="0.25">
      <c r="A1133" s="355" t="str">
        <f t="shared" si="18"/>
        <v/>
      </c>
      <c r="B1133" s="532"/>
      <c r="C1133" s="538"/>
      <c r="D1133" s="538"/>
      <c r="E1133" s="538"/>
      <c r="F1133" s="538"/>
      <c r="G1133" s="538"/>
      <c r="H1133" s="350"/>
      <c r="I1133" s="350"/>
      <c r="J1133" s="350"/>
      <c r="K1133" s="350"/>
      <c r="L1133" s="350"/>
      <c r="M1133" s="350"/>
      <c r="N1133" s="350"/>
      <c r="O1133" s="350"/>
      <c r="P1133" s="352"/>
      <c r="Q1133" s="392"/>
      <c r="R1133" s="392"/>
      <c r="S1133" s="392"/>
      <c r="T1133" s="392"/>
      <c r="U1133" s="392"/>
      <c r="V1133" s="497"/>
      <c r="W1133" s="392"/>
      <c r="X1133" s="392"/>
      <c r="Y1133" s="352">
        <f>IF(NFI_Expiration=1,IF($A1133&lt;VLOOKUP(H$5,NFI,5,0),1,0)*Table_NFI[[#This Row],[Hygiene Kit]],Table_NFI[Hygiene Kit])</f>
        <v>0</v>
      </c>
      <c r="Z1133" s="352">
        <f>IF(NFI_Expiration=1,IF($A1133&lt;VLOOKUP(I$5,NFI,5,0),1,0)*Table_NFI[[#This Row],[NFI Core Kit]],Table_NFI[NFI Core Kit])</f>
        <v>0</v>
      </c>
      <c r="AA1133" s="352">
        <f>IF(NFI_Expiration=1,IF($A1133&lt;VLOOKUP(J$5,NFI,5,0),1,0)*Table_NFI[[#This Row],[Sanitary Kit]],Table_NFI[Sanitary Kit])</f>
        <v>0</v>
      </c>
      <c r="AB1133" s="352">
        <f>IF(NFI_Expiration=1,IF($A1133&lt;VLOOKUP(K$5,NFI,5,0),1,0)*Table_NFI[[#This Row],[Mosquito net]],Table_NFI[Mosquito net])</f>
        <v>0</v>
      </c>
      <c r="AC1133" s="352">
        <f>IF(NFI_Expiration=1,IF($A1133&lt;VLOOKUP(L$5,NFI,5,0),1,0)*Table_NFI[[#This Row],[Tarpaulin]],Table_NFI[[#This Row],[Tarpaulin]])</f>
        <v>0</v>
      </c>
      <c r="AD1133" s="352">
        <f>IF(NFI_Expiration=1,IF($A1133&lt;VLOOKUP(M$5,NFI,5,0),1,0)*Table_NFI[[#This Row],[Blanket]],Table_NFI[[#This Row],[Blanket]])</f>
        <v>0</v>
      </c>
      <c r="AE1133" s="352">
        <f>IF(NFI_Expiration=1,IF($A1133&lt;VLOOKUP(N$5,NFI,5,0),1,0)*Table_NFI[[#This Row],[Kitchen Set]],Table_NFI[Kitchen Set])</f>
        <v>0</v>
      </c>
      <c r="AF1133" s="352">
        <f>IF(NFI_Expiration=1,IF($A1133&lt;VLOOKUP(O$5,NFI,5,0),1,0)*Table_NFI[[#This Row],[Clothes Kit]],Table_NFI[Clothes Kit])</f>
        <v>0</v>
      </c>
      <c r="AG1133" s="352">
        <f>IF(NFI_Expiration=1,IF($A1133&lt;VLOOKUP(P$5,NFI,5,0),1,0)*Table_NFI[[#This Row],[Plastic Bucket]],Table_NFI[Plastic Bucket])</f>
        <v>0</v>
      </c>
      <c r="AH1133" s="352">
        <f>IF(NFI_Expiration=1,IF($A1133&lt;VLOOKUP(Q$5,NFI,5,0),1,0)*Table_NFI[[#This Row],[Plastic Mat]],Table_NFI[Plastic Mat])*IF(Table_NFI[[#This Row],[Distribution Date]]&gt;"2014-04-01",1,2.5)</f>
        <v>0</v>
      </c>
      <c r="AI1133" s="352">
        <f>IF(NFI_Expiration=1,IF($A1133&lt;VLOOKUP(R$5,NFI,5,0),1,0)*Table_NFI[[#This Row],[Winter Clothes Adult]],Table_NFI[Winter Clothes Adult])</f>
        <v>0</v>
      </c>
      <c r="AJ1133" s="352">
        <f>IF(NFI_Expiration=1,IF($A1133&lt;VLOOKUP(S$5,NFI,5,0),1,0)*Table_NFI[[#This Row],[Winter Clothes Children]],Table_NFI[Winter Clothes Children])</f>
        <v>0</v>
      </c>
      <c r="AK1133" s="352">
        <f>IF(NFI_Expiration=1,IF($A1133&lt;VLOOKUP(T$5,NFI,5,0),1,0)*Table_NFI[[#This Row],[Winter Items Other]],Table_NFI[Winter Items Other])</f>
        <v>0</v>
      </c>
      <c r="AL1133" s="352">
        <f>IF(NFI_Expiration=1,IF($A1133&lt;VLOOKUP(M$5,NFI,5,0),1,0)*Table_NFI[[#This Row],[Winter Blanket]],Table_NFI[[#This Row],[Winter Blanket]])</f>
        <v>0</v>
      </c>
      <c r="AM1133" s="352">
        <f>IF(Table_NFI[[#This Row],[Winter Clothes Adult]]+Table_NFI[[#This Row],[Winter Clothes Children]]+Table_NFI[[#This Row],[Winter Items Other]]+Table_NFI[[#This Row],[Winter Blanket]]&gt;0,1,0)</f>
        <v>0</v>
      </c>
      <c r="AN1133" s="392">
        <f>IF(NFI_Expiration=1,IF($A1133&lt;VLOOKUP(V$5,NFI,5,0),1,0)*Table_NFI[[#This Row],[Jerry Can]],Table_NFI[Jerry Can])</f>
        <v>0</v>
      </c>
      <c r="AO1133" s="540" t="str">
        <f>IFERROR(VLOOKUP(Table_NFI[[#This Row],[Camp Name]],CL,2,0),"")</f>
        <v/>
      </c>
      <c r="AP1133" s="535" t="str">
        <f ca="1">IF(Table_NFI[[#This Row],[Pcode]]="","",IF(OFFSET(CampList[Opening Date],MATCH(Table_NFI[[#This Row],[Pcode]],CampList[CP_Pcode],0)-1,0,1,1)&gt;=NFI_Monitor_Date,1,0))</f>
        <v/>
      </c>
      <c r="AQ1133" s="540" t="str">
        <f>IFERROR(VLOOKUP(Table_NFI[[#This Row],[Camp Name]],CL,3,0),"")</f>
        <v/>
      </c>
      <c r="AR1133" s="352" t="str">
        <f ca="1">IF(Table_NFI[[#This Row],[Pcode]]="","",OFFSET(CampList[Priority],MATCH(Table_NFI[[#This Row],[Pcode]],CampList[CP_Pcode],0)-1,0,1,1))</f>
        <v/>
      </c>
      <c r="AS1133" s="351" t="str">
        <f>IFERROR(Table_NFI[[#This Row],[Kitchen Set]]/VLOOKUP(Table_NFI[[#This Row],[Camp Name]],CL,4,0),"")</f>
        <v/>
      </c>
      <c r="AT1133" s="533" t="s">
        <v>1094</v>
      </c>
      <c r="AU1133" s="541"/>
    </row>
    <row r="1134" spans="1:47" ht="14.45" hidden="1" customHeight="1" x14ac:dyDescent="0.25">
      <c r="A1134" s="355" t="str">
        <f t="shared" si="18"/>
        <v/>
      </c>
      <c r="B1134" s="532"/>
      <c r="C1134" s="538"/>
      <c r="D1134" s="538"/>
      <c r="E1134" s="538"/>
      <c r="F1134" s="538"/>
      <c r="G1134" s="538"/>
      <c r="H1134" s="350"/>
      <c r="I1134" s="350"/>
      <c r="J1134" s="350"/>
      <c r="K1134" s="350"/>
      <c r="L1134" s="350"/>
      <c r="M1134" s="350"/>
      <c r="N1134" s="350"/>
      <c r="O1134" s="350"/>
      <c r="P1134" s="352"/>
      <c r="Q1134" s="392"/>
      <c r="R1134" s="392"/>
      <c r="S1134" s="392"/>
      <c r="T1134" s="392"/>
      <c r="U1134" s="392"/>
      <c r="V1134" s="497"/>
      <c r="W1134" s="392"/>
      <c r="X1134" s="392"/>
      <c r="Y1134" s="352">
        <f>IF(NFI_Expiration=1,IF($A1134&lt;VLOOKUP(H$5,NFI,5,0),1,0)*Table_NFI[[#This Row],[Hygiene Kit]],Table_NFI[Hygiene Kit])</f>
        <v>0</v>
      </c>
      <c r="Z1134" s="352">
        <f>IF(NFI_Expiration=1,IF($A1134&lt;VLOOKUP(I$5,NFI,5,0),1,0)*Table_NFI[[#This Row],[NFI Core Kit]],Table_NFI[NFI Core Kit])</f>
        <v>0</v>
      </c>
      <c r="AA1134" s="352">
        <f>IF(NFI_Expiration=1,IF($A1134&lt;VLOOKUP(J$5,NFI,5,0),1,0)*Table_NFI[[#This Row],[Sanitary Kit]],Table_NFI[Sanitary Kit])</f>
        <v>0</v>
      </c>
      <c r="AB1134" s="352">
        <f>IF(NFI_Expiration=1,IF($A1134&lt;VLOOKUP(K$5,NFI,5,0),1,0)*Table_NFI[[#This Row],[Mosquito net]],Table_NFI[Mosquito net])</f>
        <v>0</v>
      </c>
      <c r="AC1134" s="352">
        <f>IF(NFI_Expiration=1,IF($A1134&lt;VLOOKUP(L$5,NFI,5,0),1,0)*Table_NFI[[#This Row],[Tarpaulin]],Table_NFI[[#This Row],[Tarpaulin]])</f>
        <v>0</v>
      </c>
      <c r="AD1134" s="352">
        <f>IF(NFI_Expiration=1,IF($A1134&lt;VLOOKUP(M$5,NFI,5,0),1,0)*Table_NFI[[#This Row],[Blanket]],Table_NFI[[#This Row],[Blanket]])</f>
        <v>0</v>
      </c>
      <c r="AE1134" s="352">
        <f>IF(NFI_Expiration=1,IF($A1134&lt;VLOOKUP(N$5,NFI,5,0),1,0)*Table_NFI[[#This Row],[Kitchen Set]],Table_NFI[Kitchen Set])</f>
        <v>0</v>
      </c>
      <c r="AF1134" s="352">
        <f>IF(NFI_Expiration=1,IF($A1134&lt;VLOOKUP(O$5,NFI,5,0),1,0)*Table_NFI[[#This Row],[Clothes Kit]],Table_NFI[Clothes Kit])</f>
        <v>0</v>
      </c>
      <c r="AG1134" s="352">
        <f>IF(NFI_Expiration=1,IF($A1134&lt;VLOOKUP(P$5,NFI,5,0),1,0)*Table_NFI[[#This Row],[Plastic Bucket]],Table_NFI[Plastic Bucket])</f>
        <v>0</v>
      </c>
      <c r="AH1134" s="352">
        <f>IF(NFI_Expiration=1,IF($A1134&lt;VLOOKUP(Q$5,NFI,5,0),1,0)*Table_NFI[[#This Row],[Plastic Mat]],Table_NFI[Plastic Mat])*IF(Table_NFI[[#This Row],[Distribution Date]]&gt;"2014-04-01",1,2.5)</f>
        <v>0</v>
      </c>
      <c r="AI1134" s="352">
        <f>IF(NFI_Expiration=1,IF($A1134&lt;VLOOKUP(R$5,NFI,5,0),1,0)*Table_NFI[[#This Row],[Winter Clothes Adult]],Table_NFI[Winter Clothes Adult])</f>
        <v>0</v>
      </c>
      <c r="AJ1134" s="352">
        <f>IF(NFI_Expiration=1,IF($A1134&lt;VLOOKUP(S$5,NFI,5,0),1,0)*Table_NFI[[#This Row],[Winter Clothes Children]],Table_NFI[Winter Clothes Children])</f>
        <v>0</v>
      </c>
      <c r="AK1134" s="352">
        <f>IF(NFI_Expiration=1,IF($A1134&lt;VLOOKUP(T$5,NFI,5,0),1,0)*Table_NFI[[#This Row],[Winter Items Other]],Table_NFI[Winter Items Other])</f>
        <v>0</v>
      </c>
      <c r="AL1134" s="352">
        <f>IF(NFI_Expiration=1,IF($A1134&lt;VLOOKUP(M$5,NFI,5,0),1,0)*Table_NFI[[#This Row],[Winter Blanket]],Table_NFI[[#This Row],[Winter Blanket]])</f>
        <v>0</v>
      </c>
      <c r="AM1134" s="352">
        <f>IF(Table_NFI[[#This Row],[Winter Clothes Adult]]+Table_NFI[[#This Row],[Winter Clothes Children]]+Table_NFI[[#This Row],[Winter Items Other]]+Table_NFI[[#This Row],[Winter Blanket]]&gt;0,1,0)</f>
        <v>0</v>
      </c>
      <c r="AN1134" s="392">
        <f>IF(NFI_Expiration=1,IF($A1134&lt;VLOOKUP(V$5,NFI,5,0),1,0)*Table_NFI[[#This Row],[Jerry Can]],Table_NFI[Jerry Can])</f>
        <v>0</v>
      </c>
      <c r="AO1134" s="540" t="str">
        <f>IFERROR(VLOOKUP(Table_NFI[[#This Row],[Camp Name]],CL,2,0),"")</f>
        <v/>
      </c>
      <c r="AP1134" s="535" t="str">
        <f ca="1">IF(Table_NFI[[#This Row],[Pcode]]="","",IF(OFFSET(CampList[Opening Date],MATCH(Table_NFI[[#This Row],[Pcode]],CampList[CP_Pcode],0)-1,0,1,1)&gt;=NFI_Monitor_Date,1,0))</f>
        <v/>
      </c>
      <c r="AQ1134" s="540" t="str">
        <f>IFERROR(VLOOKUP(Table_NFI[[#This Row],[Camp Name]],CL,3,0),"")</f>
        <v/>
      </c>
      <c r="AR1134" s="352" t="str">
        <f ca="1">IF(Table_NFI[[#This Row],[Pcode]]="","",OFFSET(CampList[Priority],MATCH(Table_NFI[[#This Row],[Pcode]],CampList[CP_Pcode],0)-1,0,1,1))</f>
        <v/>
      </c>
      <c r="AS1134" s="351" t="str">
        <f>IFERROR(Table_NFI[[#This Row],[Kitchen Set]]/VLOOKUP(Table_NFI[[#This Row],[Camp Name]],CL,4,0),"")</f>
        <v/>
      </c>
      <c r="AT1134" s="533" t="s">
        <v>1094</v>
      </c>
      <c r="AU1134" s="541"/>
    </row>
    <row r="1135" spans="1:47" ht="14.45" hidden="1" customHeight="1" x14ac:dyDescent="0.25">
      <c r="A1135" s="355" t="str">
        <f t="shared" si="18"/>
        <v/>
      </c>
      <c r="B1135" s="532"/>
      <c r="C1135" s="538"/>
      <c r="D1135" s="538"/>
      <c r="E1135" s="538"/>
      <c r="F1135" s="538"/>
      <c r="G1135" s="538"/>
      <c r="H1135" s="350"/>
      <c r="I1135" s="350"/>
      <c r="J1135" s="350"/>
      <c r="K1135" s="350"/>
      <c r="L1135" s="350"/>
      <c r="M1135" s="350"/>
      <c r="N1135" s="350"/>
      <c r="O1135" s="350"/>
      <c r="P1135" s="352"/>
      <c r="Q1135" s="392"/>
      <c r="R1135" s="392"/>
      <c r="S1135" s="392"/>
      <c r="T1135" s="392"/>
      <c r="U1135" s="392"/>
      <c r="V1135" s="497"/>
      <c r="W1135" s="392"/>
      <c r="X1135" s="392"/>
      <c r="Y1135" s="352">
        <f>IF(NFI_Expiration=1,IF($A1135&lt;VLOOKUP(H$5,NFI,5,0),1,0)*Table_NFI[[#This Row],[Hygiene Kit]],Table_NFI[Hygiene Kit])</f>
        <v>0</v>
      </c>
      <c r="Z1135" s="352">
        <f>IF(NFI_Expiration=1,IF($A1135&lt;VLOOKUP(I$5,NFI,5,0),1,0)*Table_NFI[[#This Row],[NFI Core Kit]],Table_NFI[NFI Core Kit])</f>
        <v>0</v>
      </c>
      <c r="AA1135" s="352">
        <f>IF(NFI_Expiration=1,IF($A1135&lt;VLOOKUP(J$5,NFI,5,0),1,0)*Table_NFI[[#This Row],[Sanitary Kit]],Table_NFI[Sanitary Kit])</f>
        <v>0</v>
      </c>
      <c r="AB1135" s="352">
        <f>IF(NFI_Expiration=1,IF($A1135&lt;VLOOKUP(K$5,NFI,5,0),1,0)*Table_NFI[[#This Row],[Mosquito net]],Table_NFI[Mosquito net])</f>
        <v>0</v>
      </c>
      <c r="AC1135" s="352">
        <f>IF(NFI_Expiration=1,IF($A1135&lt;VLOOKUP(L$5,NFI,5,0),1,0)*Table_NFI[[#This Row],[Tarpaulin]],Table_NFI[[#This Row],[Tarpaulin]])</f>
        <v>0</v>
      </c>
      <c r="AD1135" s="352">
        <f>IF(NFI_Expiration=1,IF($A1135&lt;VLOOKUP(M$5,NFI,5,0),1,0)*Table_NFI[[#This Row],[Blanket]],Table_NFI[[#This Row],[Blanket]])</f>
        <v>0</v>
      </c>
      <c r="AE1135" s="352">
        <f>IF(NFI_Expiration=1,IF($A1135&lt;VLOOKUP(N$5,NFI,5,0),1,0)*Table_NFI[[#This Row],[Kitchen Set]],Table_NFI[Kitchen Set])</f>
        <v>0</v>
      </c>
      <c r="AF1135" s="352">
        <f>IF(NFI_Expiration=1,IF($A1135&lt;VLOOKUP(O$5,NFI,5,0),1,0)*Table_NFI[[#This Row],[Clothes Kit]],Table_NFI[Clothes Kit])</f>
        <v>0</v>
      </c>
      <c r="AG1135" s="352">
        <f>IF(NFI_Expiration=1,IF($A1135&lt;VLOOKUP(P$5,NFI,5,0),1,0)*Table_NFI[[#This Row],[Plastic Bucket]],Table_NFI[Plastic Bucket])</f>
        <v>0</v>
      </c>
      <c r="AH1135" s="352">
        <f>IF(NFI_Expiration=1,IF($A1135&lt;VLOOKUP(Q$5,NFI,5,0),1,0)*Table_NFI[[#This Row],[Plastic Mat]],Table_NFI[Plastic Mat])*IF(Table_NFI[[#This Row],[Distribution Date]]&gt;"2014-04-01",1,2.5)</f>
        <v>0</v>
      </c>
      <c r="AI1135" s="352">
        <f>IF(NFI_Expiration=1,IF($A1135&lt;VLOOKUP(R$5,NFI,5,0),1,0)*Table_NFI[[#This Row],[Winter Clothes Adult]],Table_NFI[Winter Clothes Adult])</f>
        <v>0</v>
      </c>
      <c r="AJ1135" s="352">
        <f>IF(NFI_Expiration=1,IF($A1135&lt;VLOOKUP(S$5,NFI,5,0),1,0)*Table_NFI[[#This Row],[Winter Clothes Children]],Table_NFI[Winter Clothes Children])</f>
        <v>0</v>
      </c>
      <c r="AK1135" s="352">
        <f>IF(NFI_Expiration=1,IF($A1135&lt;VLOOKUP(T$5,NFI,5,0),1,0)*Table_NFI[[#This Row],[Winter Items Other]],Table_NFI[Winter Items Other])</f>
        <v>0</v>
      </c>
      <c r="AL1135" s="352">
        <f>IF(NFI_Expiration=1,IF($A1135&lt;VLOOKUP(M$5,NFI,5,0),1,0)*Table_NFI[[#This Row],[Winter Blanket]],Table_NFI[[#This Row],[Winter Blanket]])</f>
        <v>0</v>
      </c>
      <c r="AM1135" s="352">
        <f>IF(Table_NFI[[#This Row],[Winter Clothes Adult]]+Table_NFI[[#This Row],[Winter Clothes Children]]+Table_NFI[[#This Row],[Winter Items Other]]+Table_NFI[[#This Row],[Winter Blanket]]&gt;0,1,0)</f>
        <v>0</v>
      </c>
      <c r="AN1135" s="392">
        <f>IF(NFI_Expiration=1,IF($A1135&lt;VLOOKUP(V$5,NFI,5,0),1,0)*Table_NFI[[#This Row],[Jerry Can]],Table_NFI[Jerry Can])</f>
        <v>0</v>
      </c>
      <c r="AO1135" s="540" t="str">
        <f>IFERROR(VLOOKUP(Table_NFI[[#This Row],[Camp Name]],CL,2,0),"")</f>
        <v/>
      </c>
      <c r="AP1135" s="535" t="str">
        <f ca="1">IF(Table_NFI[[#This Row],[Pcode]]="","",IF(OFFSET(CampList[Opening Date],MATCH(Table_NFI[[#This Row],[Pcode]],CampList[CP_Pcode],0)-1,0,1,1)&gt;=NFI_Monitor_Date,1,0))</f>
        <v/>
      </c>
      <c r="AQ1135" s="540" t="str">
        <f>IFERROR(VLOOKUP(Table_NFI[[#This Row],[Camp Name]],CL,3,0),"")</f>
        <v/>
      </c>
      <c r="AR1135" s="352" t="str">
        <f ca="1">IF(Table_NFI[[#This Row],[Pcode]]="","",OFFSET(CampList[Priority],MATCH(Table_NFI[[#This Row],[Pcode]],CampList[CP_Pcode],0)-1,0,1,1))</f>
        <v/>
      </c>
      <c r="AS1135" s="351" t="str">
        <f>IFERROR(Table_NFI[[#This Row],[Kitchen Set]]/VLOOKUP(Table_NFI[[#This Row],[Camp Name]],CL,4,0),"")</f>
        <v/>
      </c>
      <c r="AT1135" s="533" t="s">
        <v>1094</v>
      </c>
      <c r="AU1135" s="541"/>
    </row>
    <row r="1136" spans="1:47" ht="14.45" hidden="1" customHeight="1" x14ac:dyDescent="0.25">
      <c r="A1136" s="355" t="str">
        <f t="shared" si="18"/>
        <v/>
      </c>
      <c r="B1136" s="532"/>
      <c r="C1136" s="538"/>
      <c r="D1136" s="538"/>
      <c r="E1136" s="538"/>
      <c r="F1136" s="538"/>
      <c r="G1136" s="538"/>
      <c r="H1136" s="350"/>
      <c r="I1136" s="350"/>
      <c r="J1136" s="350"/>
      <c r="K1136" s="350"/>
      <c r="L1136" s="350"/>
      <c r="M1136" s="350"/>
      <c r="N1136" s="350"/>
      <c r="O1136" s="350"/>
      <c r="P1136" s="352"/>
      <c r="Q1136" s="392"/>
      <c r="R1136" s="392"/>
      <c r="S1136" s="392"/>
      <c r="T1136" s="392"/>
      <c r="U1136" s="392"/>
      <c r="V1136" s="497"/>
      <c r="W1136" s="392"/>
      <c r="X1136" s="392"/>
      <c r="Y1136" s="352">
        <f>IF(NFI_Expiration=1,IF($A1136&lt;VLOOKUP(H$5,NFI,5,0),1,0)*Table_NFI[[#This Row],[Hygiene Kit]],Table_NFI[Hygiene Kit])</f>
        <v>0</v>
      </c>
      <c r="Z1136" s="352">
        <f>IF(NFI_Expiration=1,IF($A1136&lt;VLOOKUP(I$5,NFI,5,0),1,0)*Table_NFI[[#This Row],[NFI Core Kit]],Table_NFI[NFI Core Kit])</f>
        <v>0</v>
      </c>
      <c r="AA1136" s="352">
        <f>IF(NFI_Expiration=1,IF($A1136&lt;VLOOKUP(J$5,NFI,5,0),1,0)*Table_NFI[[#This Row],[Sanitary Kit]],Table_NFI[Sanitary Kit])</f>
        <v>0</v>
      </c>
      <c r="AB1136" s="352">
        <f>IF(NFI_Expiration=1,IF($A1136&lt;VLOOKUP(K$5,NFI,5,0),1,0)*Table_NFI[[#This Row],[Mosquito net]],Table_NFI[Mosquito net])</f>
        <v>0</v>
      </c>
      <c r="AC1136" s="352">
        <f>IF(NFI_Expiration=1,IF($A1136&lt;VLOOKUP(L$5,NFI,5,0),1,0)*Table_NFI[[#This Row],[Tarpaulin]],Table_NFI[[#This Row],[Tarpaulin]])</f>
        <v>0</v>
      </c>
      <c r="AD1136" s="352">
        <f>IF(NFI_Expiration=1,IF($A1136&lt;VLOOKUP(M$5,NFI,5,0),1,0)*Table_NFI[[#This Row],[Blanket]],Table_NFI[[#This Row],[Blanket]])</f>
        <v>0</v>
      </c>
      <c r="AE1136" s="352">
        <f>IF(NFI_Expiration=1,IF($A1136&lt;VLOOKUP(N$5,NFI,5,0),1,0)*Table_NFI[[#This Row],[Kitchen Set]],Table_NFI[Kitchen Set])</f>
        <v>0</v>
      </c>
      <c r="AF1136" s="352">
        <f>IF(NFI_Expiration=1,IF($A1136&lt;VLOOKUP(O$5,NFI,5,0),1,0)*Table_NFI[[#This Row],[Clothes Kit]],Table_NFI[Clothes Kit])</f>
        <v>0</v>
      </c>
      <c r="AG1136" s="352">
        <f>IF(NFI_Expiration=1,IF($A1136&lt;VLOOKUP(P$5,NFI,5,0),1,0)*Table_NFI[[#This Row],[Plastic Bucket]],Table_NFI[Plastic Bucket])</f>
        <v>0</v>
      </c>
      <c r="AH1136" s="352">
        <f>IF(NFI_Expiration=1,IF($A1136&lt;VLOOKUP(Q$5,NFI,5,0),1,0)*Table_NFI[[#This Row],[Plastic Mat]],Table_NFI[Plastic Mat])*IF(Table_NFI[[#This Row],[Distribution Date]]&gt;"2014-04-01",1,2.5)</f>
        <v>0</v>
      </c>
      <c r="AI1136" s="352">
        <f>IF(NFI_Expiration=1,IF($A1136&lt;VLOOKUP(R$5,NFI,5,0),1,0)*Table_NFI[[#This Row],[Winter Clothes Adult]],Table_NFI[Winter Clothes Adult])</f>
        <v>0</v>
      </c>
      <c r="AJ1136" s="352">
        <f>IF(NFI_Expiration=1,IF($A1136&lt;VLOOKUP(S$5,NFI,5,0),1,0)*Table_NFI[[#This Row],[Winter Clothes Children]],Table_NFI[Winter Clothes Children])</f>
        <v>0</v>
      </c>
      <c r="AK1136" s="352">
        <f>IF(NFI_Expiration=1,IF($A1136&lt;VLOOKUP(T$5,NFI,5,0),1,0)*Table_NFI[[#This Row],[Winter Items Other]],Table_NFI[Winter Items Other])</f>
        <v>0</v>
      </c>
      <c r="AL1136" s="352">
        <f>IF(NFI_Expiration=1,IF($A1136&lt;VLOOKUP(M$5,NFI,5,0),1,0)*Table_NFI[[#This Row],[Winter Blanket]],Table_NFI[[#This Row],[Winter Blanket]])</f>
        <v>0</v>
      </c>
      <c r="AM1136" s="352">
        <f>IF(Table_NFI[[#This Row],[Winter Clothes Adult]]+Table_NFI[[#This Row],[Winter Clothes Children]]+Table_NFI[[#This Row],[Winter Items Other]]+Table_NFI[[#This Row],[Winter Blanket]]&gt;0,1,0)</f>
        <v>0</v>
      </c>
      <c r="AN1136" s="392">
        <f>IF(NFI_Expiration=1,IF($A1136&lt;VLOOKUP(V$5,NFI,5,0),1,0)*Table_NFI[[#This Row],[Jerry Can]],Table_NFI[Jerry Can])</f>
        <v>0</v>
      </c>
      <c r="AO1136" s="540" t="str">
        <f>IFERROR(VLOOKUP(Table_NFI[[#This Row],[Camp Name]],CL,2,0),"")</f>
        <v/>
      </c>
      <c r="AP1136" s="535" t="str">
        <f ca="1">IF(Table_NFI[[#This Row],[Pcode]]="","",IF(OFFSET(CampList[Opening Date],MATCH(Table_NFI[[#This Row],[Pcode]],CampList[CP_Pcode],0)-1,0,1,1)&gt;=NFI_Monitor_Date,1,0))</f>
        <v/>
      </c>
      <c r="AQ1136" s="540" t="str">
        <f>IFERROR(VLOOKUP(Table_NFI[[#This Row],[Camp Name]],CL,3,0),"")</f>
        <v/>
      </c>
      <c r="AR1136" s="352" t="str">
        <f ca="1">IF(Table_NFI[[#This Row],[Pcode]]="","",OFFSET(CampList[Priority],MATCH(Table_NFI[[#This Row],[Pcode]],CampList[CP_Pcode],0)-1,0,1,1))</f>
        <v/>
      </c>
      <c r="AS1136" s="351" t="str">
        <f>IFERROR(Table_NFI[[#This Row],[Kitchen Set]]/VLOOKUP(Table_NFI[[#This Row],[Camp Name]],CL,4,0),"")</f>
        <v/>
      </c>
      <c r="AT1136" s="533" t="s">
        <v>1094</v>
      </c>
      <c r="AU1136" s="541"/>
    </row>
    <row r="1137" spans="1:47" ht="14.45" hidden="1" customHeight="1" x14ac:dyDescent="0.25">
      <c r="A1137" s="355" t="str">
        <f t="shared" si="18"/>
        <v/>
      </c>
      <c r="B1137" s="532"/>
      <c r="C1137" s="538"/>
      <c r="D1137" s="538"/>
      <c r="E1137" s="538"/>
      <c r="F1137" s="538"/>
      <c r="G1137" s="538"/>
      <c r="H1137" s="350"/>
      <c r="I1137" s="350"/>
      <c r="J1137" s="350"/>
      <c r="K1137" s="350"/>
      <c r="L1137" s="350"/>
      <c r="M1137" s="350"/>
      <c r="N1137" s="350"/>
      <c r="O1137" s="350"/>
      <c r="P1137" s="352"/>
      <c r="Q1137" s="392"/>
      <c r="R1137" s="392"/>
      <c r="S1137" s="392"/>
      <c r="T1137" s="392"/>
      <c r="U1137" s="392"/>
      <c r="V1137" s="497"/>
      <c r="W1137" s="392"/>
      <c r="X1137" s="392"/>
      <c r="Y1137" s="352">
        <f>IF(NFI_Expiration=1,IF($A1137&lt;VLOOKUP(H$5,NFI,5,0),1,0)*Table_NFI[[#This Row],[Hygiene Kit]],Table_NFI[Hygiene Kit])</f>
        <v>0</v>
      </c>
      <c r="Z1137" s="352">
        <f>IF(NFI_Expiration=1,IF($A1137&lt;VLOOKUP(I$5,NFI,5,0),1,0)*Table_NFI[[#This Row],[NFI Core Kit]],Table_NFI[NFI Core Kit])</f>
        <v>0</v>
      </c>
      <c r="AA1137" s="352">
        <f>IF(NFI_Expiration=1,IF($A1137&lt;VLOOKUP(J$5,NFI,5,0),1,0)*Table_NFI[[#This Row],[Sanitary Kit]],Table_NFI[Sanitary Kit])</f>
        <v>0</v>
      </c>
      <c r="AB1137" s="352">
        <f>IF(NFI_Expiration=1,IF($A1137&lt;VLOOKUP(K$5,NFI,5,0),1,0)*Table_NFI[[#This Row],[Mosquito net]],Table_NFI[Mosquito net])</f>
        <v>0</v>
      </c>
      <c r="AC1137" s="352">
        <f>IF(NFI_Expiration=1,IF($A1137&lt;VLOOKUP(L$5,NFI,5,0),1,0)*Table_NFI[[#This Row],[Tarpaulin]],Table_NFI[[#This Row],[Tarpaulin]])</f>
        <v>0</v>
      </c>
      <c r="AD1137" s="352">
        <f>IF(NFI_Expiration=1,IF($A1137&lt;VLOOKUP(M$5,NFI,5,0),1,0)*Table_NFI[[#This Row],[Blanket]],Table_NFI[[#This Row],[Blanket]])</f>
        <v>0</v>
      </c>
      <c r="AE1137" s="352">
        <f>IF(NFI_Expiration=1,IF($A1137&lt;VLOOKUP(N$5,NFI,5,0),1,0)*Table_NFI[[#This Row],[Kitchen Set]],Table_NFI[Kitchen Set])</f>
        <v>0</v>
      </c>
      <c r="AF1137" s="352">
        <f>IF(NFI_Expiration=1,IF($A1137&lt;VLOOKUP(O$5,NFI,5,0),1,0)*Table_NFI[[#This Row],[Clothes Kit]],Table_NFI[Clothes Kit])</f>
        <v>0</v>
      </c>
      <c r="AG1137" s="352">
        <f>IF(NFI_Expiration=1,IF($A1137&lt;VLOOKUP(P$5,NFI,5,0),1,0)*Table_NFI[[#This Row],[Plastic Bucket]],Table_NFI[Plastic Bucket])</f>
        <v>0</v>
      </c>
      <c r="AH1137" s="352">
        <f>IF(NFI_Expiration=1,IF($A1137&lt;VLOOKUP(Q$5,NFI,5,0),1,0)*Table_NFI[[#This Row],[Plastic Mat]],Table_NFI[Plastic Mat])*IF(Table_NFI[[#This Row],[Distribution Date]]&gt;"2014-04-01",1,2.5)</f>
        <v>0</v>
      </c>
      <c r="AI1137" s="352">
        <f>IF(NFI_Expiration=1,IF($A1137&lt;VLOOKUP(R$5,NFI,5,0),1,0)*Table_NFI[[#This Row],[Winter Clothes Adult]],Table_NFI[Winter Clothes Adult])</f>
        <v>0</v>
      </c>
      <c r="AJ1137" s="352">
        <f>IF(NFI_Expiration=1,IF($A1137&lt;VLOOKUP(S$5,NFI,5,0),1,0)*Table_NFI[[#This Row],[Winter Clothes Children]],Table_NFI[Winter Clothes Children])</f>
        <v>0</v>
      </c>
      <c r="AK1137" s="352">
        <f>IF(NFI_Expiration=1,IF($A1137&lt;VLOOKUP(T$5,NFI,5,0),1,0)*Table_NFI[[#This Row],[Winter Items Other]],Table_NFI[Winter Items Other])</f>
        <v>0</v>
      </c>
      <c r="AL1137" s="352">
        <f>IF(NFI_Expiration=1,IF($A1137&lt;VLOOKUP(M$5,NFI,5,0),1,0)*Table_NFI[[#This Row],[Winter Blanket]],Table_NFI[[#This Row],[Winter Blanket]])</f>
        <v>0</v>
      </c>
      <c r="AM1137" s="352">
        <f>IF(Table_NFI[[#This Row],[Winter Clothes Adult]]+Table_NFI[[#This Row],[Winter Clothes Children]]+Table_NFI[[#This Row],[Winter Items Other]]+Table_NFI[[#This Row],[Winter Blanket]]&gt;0,1,0)</f>
        <v>0</v>
      </c>
      <c r="AN1137" s="392">
        <f>IF(NFI_Expiration=1,IF($A1137&lt;VLOOKUP(V$5,NFI,5,0),1,0)*Table_NFI[[#This Row],[Jerry Can]],Table_NFI[Jerry Can])</f>
        <v>0</v>
      </c>
      <c r="AO1137" s="540" t="str">
        <f>IFERROR(VLOOKUP(Table_NFI[[#This Row],[Camp Name]],CL,2,0),"")</f>
        <v/>
      </c>
      <c r="AP1137" s="535" t="str">
        <f ca="1">IF(Table_NFI[[#This Row],[Pcode]]="","",IF(OFFSET(CampList[Opening Date],MATCH(Table_NFI[[#This Row],[Pcode]],CampList[CP_Pcode],0)-1,0,1,1)&gt;=NFI_Monitor_Date,1,0))</f>
        <v/>
      </c>
      <c r="AQ1137" s="540" t="str">
        <f>IFERROR(VLOOKUP(Table_NFI[[#This Row],[Camp Name]],CL,3,0),"")</f>
        <v/>
      </c>
      <c r="AR1137" s="352" t="str">
        <f ca="1">IF(Table_NFI[[#This Row],[Pcode]]="","",OFFSET(CampList[Priority],MATCH(Table_NFI[[#This Row],[Pcode]],CampList[CP_Pcode],0)-1,0,1,1))</f>
        <v/>
      </c>
      <c r="AS1137" s="351" t="str">
        <f>IFERROR(Table_NFI[[#This Row],[Kitchen Set]]/VLOOKUP(Table_NFI[[#This Row],[Camp Name]],CL,4,0),"")</f>
        <v/>
      </c>
      <c r="AT1137" s="533" t="s">
        <v>1094</v>
      </c>
      <c r="AU1137" s="541"/>
    </row>
    <row r="1138" spans="1:47" ht="14.45" hidden="1" customHeight="1" x14ac:dyDescent="0.25">
      <c r="A1138" s="355" t="str">
        <f t="shared" si="18"/>
        <v/>
      </c>
      <c r="B1138" s="532"/>
      <c r="C1138" s="538"/>
      <c r="D1138" s="538"/>
      <c r="E1138" s="538"/>
      <c r="F1138" s="538"/>
      <c r="G1138" s="538"/>
      <c r="H1138" s="350"/>
      <c r="I1138" s="350"/>
      <c r="J1138" s="350"/>
      <c r="K1138" s="350"/>
      <c r="L1138" s="350"/>
      <c r="M1138" s="350"/>
      <c r="N1138" s="350"/>
      <c r="O1138" s="350"/>
      <c r="P1138" s="352"/>
      <c r="Q1138" s="392"/>
      <c r="R1138" s="392"/>
      <c r="S1138" s="392"/>
      <c r="T1138" s="392"/>
      <c r="U1138" s="392"/>
      <c r="V1138" s="497"/>
      <c r="W1138" s="392"/>
      <c r="X1138" s="392"/>
      <c r="Y1138" s="352">
        <f>IF(NFI_Expiration=1,IF($A1138&lt;VLOOKUP(H$5,NFI,5,0),1,0)*Table_NFI[[#This Row],[Hygiene Kit]],Table_NFI[Hygiene Kit])</f>
        <v>0</v>
      </c>
      <c r="Z1138" s="352">
        <f>IF(NFI_Expiration=1,IF($A1138&lt;VLOOKUP(I$5,NFI,5,0),1,0)*Table_NFI[[#This Row],[NFI Core Kit]],Table_NFI[NFI Core Kit])</f>
        <v>0</v>
      </c>
      <c r="AA1138" s="352">
        <f>IF(NFI_Expiration=1,IF($A1138&lt;VLOOKUP(J$5,NFI,5,0),1,0)*Table_NFI[[#This Row],[Sanitary Kit]],Table_NFI[Sanitary Kit])</f>
        <v>0</v>
      </c>
      <c r="AB1138" s="352">
        <f>IF(NFI_Expiration=1,IF($A1138&lt;VLOOKUP(K$5,NFI,5,0),1,0)*Table_NFI[[#This Row],[Mosquito net]],Table_NFI[Mosquito net])</f>
        <v>0</v>
      </c>
      <c r="AC1138" s="352">
        <f>IF(NFI_Expiration=1,IF($A1138&lt;VLOOKUP(L$5,NFI,5,0),1,0)*Table_NFI[[#This Row],[Tarpaulin]],Table_NFI[[#This Row],[Tarpaulin]])</f>
        <v>0</v>
      </c>
      <c r="AD1138" s="352">
        <f>IF(NFI_Expiration=1,IF($A1138&lt;VLOOKUP(M$5,NFI,5,0),1,0)*Table_NFI[[#This Row],[Blanket]],Table_NFI[[#This Row],[Blanket]])</f>
        <v>0</v>
      </c>
      <c r="AE1138" s="352">
        <f>IF(NFI_Expiration=1,IF($A1138&lt;VLOOKUP(N$5,NFI,5,0),1,0)*Table_NFI[[#This Row],[Kitchen Set]],Table_NFI[Kitchen Set])</f>
        <v>0</v>
      </c>
      <c r="AF1138" s="352">
        <f>IF(NFI_Expiration=1,IF($A1138&lt;VLOOKUP(O$5,NFI,5,0),1,0)*Table_NFI[[#This Row],[Clothes Kit]],Table_NFI[Clothes Kit])</f>
        <v>0</v>
      </c>
      <c r="AG1138" s="352">
        <f>IF(NFI_Expiration=1,IF($A1138&lt;VLOOKUP(P$5,NFI,5,0),1,0)*Table_NFI[[#This Row],[Plastic Bucket]],Table_NFI[Plastic Bucket])</f>
        <v>0</v>
      </c>
      <c r="AH1138" s="352">
        <f>IF(NFI_Expiration=1,IF($A1138&lt;VLOOKUP(Q$5,NFI,5,0),1,0)*Table_NFI[[#This Row],[Plastic Mat]],Table_NFI[Plastic Mat])*IF(Table_NFI[[#This Row],[Distribution Date]]&gt;"2014-04-01",1,2.5)</f>
        <v>0</v>
      </c>
      <c r="AI1138" s="352">
        <f>IF(NFI_Expiration=1,IF($A1138&lt;VLOOKUP(R$5,NFI,5,0),1,0)*Table_NFI[[#This Row],[Winter Clothes Adult]],Table_NFI[Winter Clothes Adult])</f>
        <v>0</v>
      </c>
      <c r="AJ1138" s="352">
        <f>IF(NFI_Expiration=1,IF($A1138&lt;VLOOKUP(S$5,NFI,5,0),1,0)*Table_NFI[[#This Row],[Winter Clothes Children]],Table_NFI[Winter Clothes Children])</f>
        <v>0</v>
      </c>
      <c r="AK1138" s="352">
        <f>IF(NFI_Expiration=1,IF($A1138&lt;VLOOKUP(T$5,NFI,5,0),1,0)*Table_NFI[[#This Row],[Winter Items Other]],Table_NFI[Winter Items Other])</f>
        <v>0</v>
      </c>
      <c r="AL1138" s="352">
        <f>IF(NFI_Expiration=1,IF($A1138&lt;VLOOKUP(M$5,NFI,5,0),1,0)*Table_NFI[[#This Row],[Winter Blanket]],Table_NFI[[#This Row],[Winter Blanket]])</f>
        <v>0</v>
      </c>
      <c r="AM1138" s="352">
        <f>IF(Table_NFI[[#This Row],[Winter Clothes Adult]]+Table_NFI[[#This Row],[Winter Clothes Children]]+Table_NFI[[#This Row],[Winter Items Other]]+Table_NFI[[#This Row],[Winter Blanket]]&gt;0,1,0)</f>
        <v>0</v>
      </c>
      <c r="AN1138" s="392">
        <f>IF(NFI_Expiration=1,IF($A1138&lt;VLOOKUP(V$5,NFI,5,0),1,0)*Table_NFI[[#This Row],[Jerry Can]],Table_NFI[Jerry Can])</f>
        <v>0</v>
      </c>
      <c r="AO1138" s="540" t="str">
        <f>IFERROR(VLOOKUP(Table_NFI[[#This Row],[Camp Name]],CL,2,0),"")</f>
        <v/>
      </c>
      <c r="AP1138" s="535" t="str">
        <f ca="1">IF(Table_NFI[[#This Row],[Pcode]]="","",IF(OFFSET(CampList[Opening Date],MATCH(Table_NFI[[#This Row],[Pcode]],CampList[CP_Pcode],0)-1,0,1,1)&gt;=NFI_Monitor_Date,1,0))</f>
        <v/>
      </c>
      <c r="AQ1138" s="540" t="str">
        <f>IFERROR(VLOOKUP(Table_NFI[[#This Row],[Camp Name]],CL,3,0),"")</f>
        <v/>
      </c>
      <c r="AR1138" s="352" t="str">
        <f ca="1">IF(Table_NFI[[#This Row],[Pcode]]="","",OFFSET(CampList[Priority],MATCH(Table_NFI[[#This Row],[Pcode]],CampList[CP_Pcode],0)-1,0,1,1))</f>
        <v/>
      </c>
      <c r="AS1138" s="351" t="str">
        <f>IFERROR(Table_NFI[[#This Row],[Kitchen Set]]/VLOOKUP(Table_NFI[[#This Row],[Camp Name]],CL,4,0),"")</f>
        <v/>
      </c>
      <c r="AT1138" s="533" t="s">
        <v>1094</v>
      </c>
      <c r="AU1138" s="541"/>
    </row>
    <row r="1139" spans="1:47" ht="14.45" hidden="1" customHeight="1" x14ac:dyDescent="0.25">
      <c r="A1139" s="355" t="str">
        <f t="shared" si="18"/>
        <v/>
      </c>
      <c r="B1139" s="532"/>
      <c r="C1139" s="538"/>
      <c r="D1139" s="538"/>
      <c r="E1139" s="538"/>
      <c r="F1139" s="538"/>
      <c r="G1139" s="538"/>
      <c r="H1139" s="350"/>
      <c r="I1139" s="350"/>
      <c r="J1139" s="350"/>
      <c r="K1139" s="350"/>
      <c r="L1139" s="350"/>
      <c r="M1139" s="350"/>
      <c r="N1139" s="350"/>
      <c r="O1139" s="350"/>
      <c r="P1139" s="352"/>
      <c r="Q1139" s="392"/>
      <c r="R1139" s="392"/>
      <c r="S1139" s="392"/>
      <c r="T1139" s="392"/>
      <c r="U1139" s="392"/>
      <c r="V1139" s="497"/>
      <c r="W1139" s="392"/>
      <c r="X1139" s="392"/>
      <c r="Y1139" s="352">
        <f>IF(NFI_Expiration=1,IF($A1139&lt;VLOOKUP(H$5,NFI,5,0),1,0)*Table_NFI[[#This Row],[Hygiene Kit]],Table_NFI[Hygiene Kit])</f>
        <v>0</v>
      </c>
      <c r="Z1139" s="352">
        <f>IF(NFI_Expiration=1,IF($A1139&lt;VLOOKUP(I$5,NFI,5,0),1,0)*Table_NFI[[#This Row],[NFI Core Kit]],Table_NFI[NFI Core Kit])</f>
        <v>0</v>
      </c>
      <c r="AA1139" s="352">
        <f>IF(NFI_Expiration=1,IF($A1139&lt;VLOOKUP(J$5,NFI,5,0),1,0)*Table_NFI[[#This Row],[Sanitary Kit]],Table_NFI[Sanitary Kit])</f>
        <v>0</v>
      </c>
      <c r="AB1139" s="352">
        <f>IF(NFI_Expiration=1,IF($A1139&lt;VLOOKUP(K$5,NFI,5,0),1,0)*Table_NFI[[#This Row],[Mosquito net]],Table_NFI[Mosquito net])</f>
        <v>0</v>
      </c>
      <c r="AC1139" s="352">
        <f>IF(NFI_Expiration=1,IF($A1139&lt;VLOOKUP(L$5,NFI,5,0),1,0)*Table_NFI[[#This Row],[Tarpaulin]],Table_NFI[[#This Row],[Tarpaulin]])</f>
        <v>0</v>
      </c>
      <c r="AD1139" s="352">
        <f>IF(NFI_Expiration=1,IF($A1139&lt;VLOOKUP(M$5,NFI,5,0),1,0)*Table_NFI[[#This Row],[Blanket]],Table_NFI[[#This Row],[Blanket]])</f>
        <v>0</v>
      </c>
      <c r="AE1139" s="352">
        <f>IF(NFI_Expiration=1,IF($A1139&lt;VLOOKUP(N$5,NFI,5,0),1,0)*Table_NFI[[#This Row],[Kitchen Set]],Table_NFI[Kitchen Set])</f>
        <v>0</v>
      </c>
      <c r="AF1139" s="352">
        <f>IF(NFI_Expiration=1,IF($A1139&lt;VLOOKUP(O$5,NFI,5,0),1,0)*Table_NFI[[#This Row],[Clothes Kit]],Table_NFI[Clothes Kit])</f>
        <v>0</v>
      </c>
      <c r="AG1139" s="352">
        <f>IF(NFI_Expiration=1,IF($A1139&lt;VLOOKUP(P$5,NFI,5,0),1,0)*Table_NFI[[#This Row],[Plastic Bucket]],Table_NFI[Plastic Bucket])</f>
        <v>0</v>
      </c>
      <c r="AH1139" s="352">
        <f>IF(NFI_Expiration=1,IF($A1139&lt;VLOOKUP(Q$5,NFI,5,0),1,0)*Table_NFI[[#This Row],[Plastic Mat]],Table_NFI[Plastic Mat])*IF(Table_NFI[[#This Row],[Distribution Date]]&gt;"2014-04-01",1,2.5)</f>
        <v>0</v>
      </c>
      <c r="AI1139" s="352">
        <f>IF(NFI_Expiration=1,IF($A1139&lt;VLOOKUP(R$5,NFI,5,0),1,0)*Table_NFI[[#This Row],[Winter Clothes Adult]],Table_NFI[Winter Clothes Adult])</f>
        <v>0</v>
      </c>
      <c r="AJ1139" s="352">
        <f>IF(NFI_Expiration=1,IF($A1139&lt;VLOOKUP(S$5,NFI,5,0),1,0)*Table_NFI[[#This Row],[Winter Clothes Children]],Table_NFI[Winter Clothes Children])</f>
        <v>0</v>
      </c>
      <c r="AK1139" s="352">
        <f>IF(NFI_Expiration=1,IF($A1139&lt;VLOOKUP(T$5,NFI,5,0),1,0)*Table_NFI[[#This Row],[Winter Items Other]],Table_NFI[Winter Items Other])</f>
        <v>0</v>
      </c>
      <c r="AL1139" s="352">
        <f>IF(NFI_Expiration=1,IF($A1139&lt;VLOOKUP(M$5,NFI,5,0),1,0)*Table_NFI[[#This Row],[Winter Blanket]],Table_NFI[[#This Row],[Winter Blanket]])</f>
        <v>0</v>
      </c>
      <c r="AM1139" s="352">
        <f>IF(Table_NFI[[#This Row],[Winter Clothes Adult]]+Table_NFI[[#This Row],[Winter Clothes Children]]+Table_NFI[[#This Row],[Winter Items Other]]+Table_NFI[[#This Row],[Winter Blanket]]&gt;0,1,0)</f>
        <v>0</v>
      </c>
      <c r="AN1139" s="392">
        <f>IF(NFI_Expiration=1,IF($A1139&lt;VLOOKUP(V$5,NFI,5,0),1,0)*Table_NFI[[#This Row],[Jerry Can]],Table_NFI[Jerry Can])</f>
        <v>0</v>
      </c>
      <c r="AO1139" s="540" t="str">
        <f>IFERROR(VLOOKUP(Table_NFI[[#This Row],[Camp Name]],CL,2,0),"")</f>
        <v/>
      </c>
      <c r="AP1139" s="535" t="str">
        <f ca="1">IF(Table_NFI[[#This Row],[Pcode]]="","",IF(OFFSET(CampList[Opening Date],MATCH(Table_NFI[[#This Row],[Pcode]],CampList[CP_Pcode],0)-1,0,1,1)&gt;=NFI_Monitor_Date,1,0))</f>
        <v/>
      </c>
      <c r="AQ1139" s="540" t="str">
        <f>IFERROR(VLOOKUP(Table_NFI[[#This Row],[Camp Name]],CL,3,0),"")</f>
        <v/>
      </c>
      <c r="AR1139" s="352" t="str">
        <f ca="1">IF(Table_NFI[[#This Row],[Pcode]]="","",OFFSET(CampList[Priority],MATCH(Table_NFI[[#This Row],[Pcode]],CampList[CP_Pcode],0)-1,0,1,1))</f>
        <v/>
      </c>
      <c r="AS1139" s="351" t="str">
        <f>IFERROR(Table_NFI[[#This Row],[Kitchen Set]]/VLOOKUP(Table_NFI[[#This Row],[Camp Name]],CL,4,0),"")</f>
        <v/>
      </c>
      <c r="AT1139" s="533" t="s">
        <v>1094</v>
      </c>
      <c r="AU1139" s="541"/>
    </row>
    <row r="1140" spans="1:47" ht="14.45" hidden="1" customHeight="1" x14ac:dyDescent="0.25">
      <c r="A1140" s="355" t="str">
        <f t="shared" si="18"/>
        <v/>
      </c>
      <c r="B1140" s="532"/>
      <c r="C1140" s="538"/>
      <c r="D1140" s="538"/>
      <c r="E1140" s="538"/>
      <c r="F1140" s="538"/>
      <c r="G1140" s="538"/>
      <c r="H1140" s="350"/>
      <c r="I1140" s="350"/>
      <c r="J1140" s="350"/>
      <c r="K1140" s="350"/>
      <c r="L1140" s="350"/>
      <c r="M1140" s="350"/>
      <c r="N1140" s="350"/>
      <c r="O1140" s="350"/>
      <c r="P1140" s="352"/>
      <c r="Q1140" s="392"/>
      <c r="R1140" s="392"/>
      <c r="S1140" s="392"/>
      <c r="T1140" s="392"/>
      <c r="U1140" s="392"/>
      <c r="V1140" s="497"/>
      <c r="W1140" s="392"/>
      <c r="X1140" s="392"/>
      <c r="Y1140" s="352">
        <f>IF(NFI_Expiration=1,IF($A1140&lt;VLOOKUP(H$5,NFI,5,0),1,0)*Table_NFI[[#This Row],[Hygiene Kit]],Table_NFI[Hygiene Kit])</f>
        <v>0</v>
      </c>
      <c r="Z1140" s="352">
        <f>IF(NFI_Expiration=1,IF($A1140&lt;VLOOKUP(I$5,NFI,5,0),1,0)*Table_NFI[[#This Row],[NFI Core Kit]],Table_NFI[NFI Core Kit])</f>
        <v>0</v>
      </c>
      <c r="AA1140" s="352">
        <f>IF(NFI_Expiration=1,IF($A1140&lt;VLOOKUP(J$5,NFI,5,0),1,0)*Table_NFI[[#This Row],[Sanitary Kit]],Table_NFI[Sanitary Kit])</f>
        <v>0</v>
      </c>
      <c r="AB1140" s="352">
        <f>IF(NFI_Expiration=1,IF($A1140&lt;VLOOKUP(K$5,NFI,5,0),1,0)*Table_NFI[[#This Row],[Mosquito net]],Table_NFI[Mosquito net])</f>
        <v>0</v>
      </c>
      <c r="AC1140" s="352">
        <f>IF(NFI_Expiration=1,IF($A1140&lt;VLOOKUP(L$5,NFI,5,0),1,0)*Table_NFI[[#This Row],[Tarpaulin]],Table_NFI[[#This Row],[Tarpaulin]])</f>
        <v>0</v>
      </c>
      <c r="AD1140" s="352">
        <f>IF(NFI_Expiration=1,IF($A1140&lt;VLOOKUP(M$5,NFI,5,0),1,0)*Table_NFI[[#This Row],[Blanket]],Table_NFI[[#This Row],[Blanket]])</f>
        <v>0</v>
      </c>
      <c r="AE1140" s="352">
        <f>IF(NFI_Expiration=1,IF($A1140&lt;VLOOKUP(N$5,NFI,5,0),1,0)*Table_NFI[[#This Row],[Kitchen Set]],Table_NFI[Kitchen Set])</f>
        <v>0</v>
      </c>
      <c r="AF1140" s="352">
        <f>IF(NFI_Expiration=1,IF($A1140&lt;VLOOKUP(O$5,NFI,5,0),1,0)*Table_NFI[[#This Row],[Clothes Kit]],Table_NFI[Clothes Kit])</f>
        <v>0</v>
      </c>
      <c r="AG1140" s="352">
        <f>IF(NFI_Expiration=1,IF($A1140&lt;VLOOKUP(P$5,NFI,5,0),1,0)*Table_NFI[[#This Row],[Plastic Bucket]],Table_NFI[Plastic Bucket])</f>
        <v>0</v>
      </c>
      <c r="AH1140" s="352">
        <f>IF(NFI_Expiration=1,IF($A1140&lt;VLOOKUP(Q$5,NFI,5,0),1,0)*Table_NFI[[#This Row],[Plastic Mat]],Table_NFI[Plastic Mat])*IF(Table_NFI[[#This Row],[Distribution Date]]&gt;"2014-04-01",1,2.5)</f>
        <v>0</v>
      </c>
      <c r="AI1140" s="352">
        <f>IF(NFI_Expiration=1,IF($A1140&lt;VLOOKUP(R$5,NFI,5,0),1,0)*Table_NFI[[#This Row],[Winter Clothes Adult]],Table_NFI[Winter Clothes Adult])</f>
        <v>0</v>
      </c>
      <c r="AJ1140" s="352">
        <f>IF(NFI_Expiration=1,IF($A1140&lt;VLOOKUP(S$5,NFI,5,0),1,0)*Table_NFI[[#This Row],[Winter Clothes Children]],Table_NFI[Winter Clothes Children])</f>
        <v>0</v>
      </c>
      <c r="AK1140" s="352">
        <f>IF(NFI_Expiration=1,IF($A1140&lt;VLOOKUP(T$5,NFI,5,0),1,0)*Table_NFI[[#This Row],[Winter Items Other]],Table_NFI[Winter Items Other])</f>
        <v>0</v>
      </c>
      <c r="AL1140" s="352">
        <f>IF(NFI_Expiration=1,IF($A1140&lt;VLOOKUP(M$5,NFI,5,0),1,0)*Table_NFI[[#This Row],[Winter Blanket]],Table_NFI[[#This Row],[Winter Blanket]])</f>
        <v>0</v>
      </c>
      <c r="AM1140" s="352">
        <f>IF(Table_NFI[[#This Row],[Winter Clothes Adult]]+Table_NFI[[#This Row],[Winter Clothes Children]]+Table_NFI[[#This Row],[Winter Items Other]]+Table_NFI[[#This Row],[Winter Blanket]]&gt;0,1,0)</f>
        <v>0</v>
      </c>
      <c r="AN1140" s="392">
        <f>IF(NFI_Expiration=1,IF($A1140&lt;VLOOKUP(V$5,NFI,5,0),1,0)*Table_NFI[[#This Row],[Jerry Can]],Table_NFI[Jerry Can])</f>
        <v>0</v>
      </c>
      <c r="AO1140" s="540" t="str">
        <f>IFERROR(VLOOKUP(Table_NFI[[#This Row],[Camp Name]],CL,2,0),"")</f>
        <v/>
      </c>
      <c r="AP1140" s="535" t="str">
        <f ca="1">IF(Table_NFI[[#This Row],[Pcode]]="","",IF(OFFSET(CampList[Opening Date],MATCH(Table_NFI[[#This Row],[Pcode]],CampList[CP_Pcode],0)-1,0,1,1)&gt;=NFI_Monitor_Date,1,0))</f>
        <v/>
      </c>
      <c r="AQ1140" s="540" t="str">
        <f>IFERROR(VLOOKUP(Table_NFI[[#This Row],[Camp Name]],CL,3,0),"")</f>
        <v/>
      </c>
      <c r="AR1140" s="352" t="str">
        <f ca="1">IF(Table_NFI[[#This Row],[Pcode]]="","",OFFSET(CampList[Priority],MATCH(Table_NFI[[#This Row],[Pcode]],CampList[CP_Pcode],0)-1,0,1,1))</f>
        <v/>
      </c>
      <c r="AS1140" s="351" t="str">
        <f>IFERROR(Table_NFI[[#This Row],[Kitchen Set]]/VLOOKUP(Table_NFI[[#This Row],[Camp Name]],CL,4,0),"")</f>
        <v/>
      </c>
      <c r="AT1140" s="533" t="s">
        <v>1094</v>
      </c>
      <c r="AU1140" s="541"/>
    </row>
    <row r="1141" spans="1:47" ht="14.45" hidden="1" customHeight="1" x14ac:dyDescent="0.25">
      <c r="A1141" s="355" t="str">
        <f t="shared" si="18"/>
        <v/>
      </c>
      <c r="B1141" s="532"/>
      <c r="C1141" s="538"/>
      <c r="D1141" s="538"/>
      <c r="E1141" s="538"/>
      <c r="F1141" s="538"/>
      <c r="G1141" s="538"/>
      <c r="H1141" s="350"/>
      <c r="I1141" s="350"/>
      <c r="J1141" s="350"/>
      <c r="K1141" s="350"/>
      <c r="L1141" s="350"/>
      <c r="M1141" s="350"/>
      <c r="N1141" s="350"/>
      <c r="O1141" s="350"/>
      <c r="P1141" s="352"/>
      <c r="Q1141" s="392"/>
      <c r="R1141" s="392"/>
      <c r="S1141" s="392"/>
      <c r="T1141" s="392"/>
      <c r="U1141" s="392"/>
      <c r="V1141" s="497"/>
      <c r="W1141" s="392"/>
      <c r="X1141" s="392"/>
      <c r="Y1141" s="352">
        <f>IF(NFI_Expiration=1,IF($A1141&lt;VLOOKUP(H$5,NFI,5,0),1,0)*Table_NFI[[#This Row],[Hygiene Kit]],Table_NFI[Hygiene Kit])</f>
        <v>0</v>
      </c>
      <c r="Z1141" s="352">
        <f>IF(NFI_Expiration=1,IF($A1141&lt;VLOOKUP(I$5,NFI,5,0),1,0)*Table_NFI[[#This Row],[NFI Core Kit]],Table_NFI[NFI Core Kit])</f>
        <v>0</v>
      </c>
      <c r="AA1141" s="352">
        <f>IF(NFI_Expiration=1,IF($A1141&lt;VLOOKUP(J$5,NFI,5,0),1,0)*Table_NFI[[#This Row],[Sanitary Kit]],Table_NFI[Sanitary Kit])</f>
        <v>0</v>
      </c>
      <c r="AB1141" s="352">
        <f>IF(NFI_Expiration=1,IF($A1141&lt;VLOOKUP(K$5,NFI,5,0),1,0)*Table_NFI[[#This Row],[Mosquito net]],Table_NFI[Mosquito net])</f>
        <v>0</v>
      </c>
      <c r="AC1141" s="352">
        <f>IF(NFI_Expiration=1,IF($A1141&lt;VLOOKUP(L$5,NFI,5,0),1,0)*Table_NFI[[#This Row],[Tarpaulin]],Table_NFI[[#This Row],[Tarpaulin]])</f>
        <v>0</v>
      </c>
      <c r="AD1141" s="352">
        <f>IF(NFI_Expiration=1,IF($A1141&lt;VLOOKUP(M$5,NFI,5,0),1,0)*Table_NFI[[#This Row],[Blanket]],Table_NFI[[#This Row],[Blanket]])</f>
        <v>0</v>
      </c>
      <c r="AE1141" s="352">
        <f>IF(NFI_Expiration=1,IF($A1141&lt;VLOOKUP(N$5,NFI,5,0),1,0)*Table_NFI[[#This Row],[Kitchen Set]],Table_NFI[Kitchen Set])</f>
        <v>0</v>
      </c>
      <c r="AF1141" s="352">
        <f>IF(NFI_Expiration=1,IF($A1141&lt;VLOOKUP(O$5,NFI,5,0),1,0)*Table_NFI[[#This Row],[Clothes Kit]],Table_NFI[Clothes Kit])</f>
        <v>0</v>
      </c>
      <c r="AG1141" s="352">
        <f>IF(NFI_Expiration=1,IF($A1141&lt;VLOOKUP(P$5,NFI,5,0),1,0)*Table_NFI[[#This Row],[Plastic Bucket]],Table_NFI[Plastic Bucket])</f>
        <v>0</v>
      </c>
      <c r="AH1141" s="352">
        <f>IF(NFI_Expiration=1,IF($A1141&lt;VLOOKUP(Q$5,NFI,5,0),1,0)*Table_NFI[[#This Row],[Plastic Mat]],Table_NFI[Plastic Mat])*IF(Table_NFI[[#This Row],[Distribution Date]]&gt;"2014-04-01",1,2.5)</f>
        <v>0</v>
      </c>
      <c r="AI1141" s="352">
        <f>IF(NFI_Expiration=1,IF($A1141&lt;VLOOKUP(R$5,NFI,5,0),1,0)*Table_NFI[[#This Row],[Winter Clothes Adult]],Table_NFI[Winter Clothes Adult])</f>
        <v>0</v>
      </c>
      <c r="AJ1141" s="352">
        <f>IF(NFI_Expiration=1,IF($A1141&lt;VLOOKUP(S$5,NFI,5,0),1,0)*Table_NFI[[#This Row],[Winter Clothes Children]],Table_NFI[Winter Clothes Children])</f>
        <v>0</v>
      </c>
      <c r="AK1141" s="352">
        <f>IF(NFI_Expiration=1,IF($A1141&lt;VLOOKUP(T$5,NFI,5,0),1,0)*Table_NFI[[#This Row],[Winter Items Other]],Table_NFI[Winter Items Other])</f>
        <v>0</v>
      </c>
      <c r="AL1141" s="352">
        <f>IF(NFI_Expiration=1,IF($A1141&lt;VLOOKUP(M$5,NFI,5,0),1,0)*Table_NFI[[#This Row],[Winter Blanket]],Table_NFI[[#This Row],[Winter Blanket]])</f>
        <v>0</v>
      </c>
      <c r="AM1141" s="352">
        <f>IF(Table_NFI[[#This Row],[Winter Clothes Adult]]+Table_NFI[[#This Row],[Winter Clothes Children]]+Table_NFI[[#This Row],[Winter Items Other]]+Table_NFI[[#This Row],[Winter Blanket]]&gt;0,1,0)</f>
        <v>0</v>
      </c>
      <c r="AN1141" s="392">
        <f>IF(NFI_Expiration=1,IF($A1141&lt;VLOOKUP(V$5,NFI,5,0),1,0)*Table_NFI[[#This Row],[Jerry Can]],Table_NFI[Jerry Can])</f>
        <v>0</v>
      </c>
      <c r="AO1141" s="540" t="str">
        <f>IFERROR(VLOOKUP(Table_NFI[[#This Row],[Camp Name]],CL,2,0),"")</f>
        <v/>
      </c>
      <c r="AP1141" s="535" t="str">
        <f ca="1">IF(Table_NFI[[#This Row],[Pcode]]="","",IF(OFFSET(CampList[Opening Date],MATCH(Table_NFI[[#This Row],[Pcode]],CampList[CP_Pcode],0)-1,0,1,1)&gt;=NFI_Monitor_Date,1,0))</f>
        <v/>
      </c>
      <c r="AQ1141" s="540" t="str">
        <f>IFERROR(VLOOKUP(Table_NFI[[#This Row],[Camp Name]],CL,3,0),"")</f>
        <v/>
      </c>
      <c r="AR1141" s="352" t="str">
        <f ca="1">IF(Table_NFI[[#This Row],[Pcode]]="","",OFFSET(CampList[Priority],MATCH(Table_NFI[[#This Row],[Pcode]],CampList[CP_Pcode],0)-1,0,1,1))</f>
        <v/>
      </c>
      <c r="AS1141" s="351" t="str">
        <f>IFERROR(Table_NFI[[#This Row],[Kitchen Set]]/VLOOKUP(Table_NFI[[#This Row],[Camp Name]],CL,4,0),"")</f>
        <v/>
      </c>
      <c r="AT1141" s="533" t="s">
        <v>1094</v>
      </c>
      <c r="AU1141" s="541"/>
    </row>
    <row r="1142" spans="1:47" ht="14.45" hidden="1" customHeight="1" x14ac:dyDescent="0.25">
      <c r="A1142" s="355" t="str">
        <f t="shared" si="18"/>
        <v/>
      </c>
      <c r="B1142" s="532"/>
      <c r="C1142" s="538"/>
      <c r="D1142" s="538"/>
      <c r="E1142" s="538"/>
      <c r="F1142" s="538"/>
      <c r="G1142" s="538"/>
      <c r="H1142" s="350"/>
      <c r="I1142" s="350"/>
      <c r="J1142" s="350"/>
      <c r="K1142" s="350"/>
      <c r="L1142" s="350"/>
      <c r="M1142" s="350"/>
      <c r="N1142" s="350"/>
      <c r="O1142" s="350"/>
      <c r="P1142" s="352"/>
      <c r="Q1142" s="392"/>
      <c r="R1142" s="392"/>
      <c r="S1142" s="392"/>
      <c r="T1142" s="392"/>
      <c r="U1142" s="392"/>
      <c r="V1142" s="497"/>
      <c r="W1142" s="392"/>
      <c r="X1142" s="392"/>
      <c r="Y1142" s="352">
        <f>IF(NFI_Expiration=1,IF($A1142&lt;VLOOKUP(H$5,NFI,5,0),1,0)*Table_NFI[[#This Row],[Hygiene Kit]],Table_NFI[Hygiene Kit])</f>
        <v>0</v>
      </c>
      <c r="Z1142" s="352">
        <f>IF(NFI_Expiration=1,IF($A1142&lt;VLOOKUP(I$5,NFI,5,0),1,0)*Table_NFI[[#This Row],[NFI Core Kit]],Table_NFI[NFI Core Kit])</f>
        <v>0</v>
      </c>
      <c r="AA1142" s="352">
        <f>IF(NFI_Expiration=1,IF($A1142&lt;VLOOKUP(J$5,NFI,5,0),1,0)*Table_NFI[[#This Row],[Sanitary Kit]],Table_NFI[Sanitary Kit])</f>
        <v>0</v>
      </c>
      <c r="AB1142" s="352">
        <f>IF(NFI_Expiration=1,IF($A1142&lt;VLOOKUP(K$5,NFI,5,0),1,0)*Table_NFI[[#This Row],[Mosquito net]],Table_NFI[Mosquito net])</f>
        <v>0</v>
      </c>
      <c r="AC1142" s="352">
        <f>IF(NFI_Expiration=1,IF($A1142&lt;VLOOKUP(L$5,NFI,5,0),1,0)*Table_NFI[[#This Row],[Tarpaulin]],Table_NFI[[#This Row],[Tarpaulin]])</f>
        <v>0</v>
      </c>
      <c r="AD1142" s="352">
        <f>IF(NFI_Expiration=1,IF($A1142&lt;VLOOKUP(M$5,NFI,5,0),1,0)*Table_NFI[[#This Row],[Blanket]],Table_NFI[[#This Row],[Blanket]])</f>
        <v>0</v>
      </c>
      <c r="AE1142" s="352">
        <f>IF(NFI_Expiration=1,IF($A1142&lt;VLOOKUP(N$5,NFI,5,0),1,0)*Table_NFI[[#This Row],[Kitchen Set]],Table_NFI[Kitchen Set])</f>
        <v>0</v>
      </c>
      <c r="AF1142" s="352">
        <f>IF(NFI_Expiration=1,IF($A1142&lt;VLOOKUP(O$5,NFI,5,0),1,0)*Table_NFI[[#This Row],[Clothes Kit]],Table_NFI[Clothes Kit])</f>
        <v>0</v>
      </c>
      <c r="AG1142" s="352">
        <f>IF(NFI_Expiration=1,IF($A1142&lt;VLOOKUP(P$5,NFI,5,0),1,0)*Table_NFI[[#This Row],[Plastic Bucket]],Table_NFI[Plastic Bucket])</f>
        <v>0</v>
      </c>
      <c r="AH1142" s="352">
        <f>IF(NFI_Expiration=1,IF($A1142&lt;VLOOKUP(Q$5,NFI,5,0),1,0)*Table_NFI[[#This Row],[Plastic Mat]],Table_NFI[Plastic Mat])*IF(Table_NFI[[#This Row],[Distribution Date]]&gt;"2014-04-01",1,2.5)</f>
        <v>0</v>
      </c>
      <c r="AI1142" s="352">
        <f>IF(NFI_Expiration=1,IF($A1142&lt;VLOOKUP(R$5,NFI,5,0),1,0)*Table_NFI[[#This Row],[Winter Clothes Adult]],Table_NFI[Winter Clothes Adult])</f>
        <v>0</v>
      </c>
      <c r="AJ1142" s="352">
        <f>IF(NFI_Expiration=1,IF($A1142&lt;VLOOKUP(S$5,NFI,5,0),1,0)*Table_NFI[[#This Row],[Winter Clothes Children]],Table_NFI[Winter Clothes Children])</f>
        <v>0</v>
      </c>
      <c r="AK1142" s="352">
        <f>IF(NFI_Expiration=1,IF($A1142&lt;VLOOKUP(T$5,NFI,5,0),1,0)*Table_NFI[[#This Row],[Winter Items Other]],Table_NFI[Winter Items Other])</f>
        <v>0</v>
      </c>
      <c r="AL1142" s="352">
        <f>IF(NFI_Expiration=1,IF($A1142&lt;VLOOKUP(M$5,NFI,5,0),1,0)*Table_NFI[[#This Row],[Winter Blanket]],Table_NFI[[#This Row],[Winter Blanket]])</f>
        <v>0</v>
      </c>
      <c r="AM1142" s="352">
        <f>IF(Table_NFI[[#This Row],[Winter Clothes Adult]]+Table_NFI[[#This Row],[Winter Clothes Children]]+Table_NFI[[#This Row],[Winter Items Other]]+Table_NFI[[#This Row],[Winter Blanket]]&gt;0,1,0)</f>
        <v>0</v>
      </c>
      <c r="AN1142" s="392">
        <f>IF(NFI_Expiration=1,IF($A1142&lt;VLOOKUP(V$5,NFI,5,0),1,0)*Table_NFI[[#This Row],[Jerry Can]],Table_NFI[Jerry Can])</f>
        <v>0</v>
      </c>
      <c r="AO1142" s="540" t="str">
        <f>IFERROR(VLOOKUP(Table_NFI[[#This Row],[Camp Name]],CL,2,0),"")</f>
        <v/>
      </c>
      <c r="AP1142" s="535" t="str">
        <f ca="1">IF(Table_NFI[[#This Row],[Pcode]]="","",IF(OFFSET(CampList[Opening Date],MATCH(Table_NFI[[#This Row],[Pcode]],CampList[CP_Pcode],0)-1,0,1,1)&gt;=NFI_Monitor_Date,1,0))</f>
        <v/>
      </c>
      <c r="AQ1142" s="540" t="str">
        <f>IFERROR(VLOOKUP(Table_NFI[[#This Row],[Camp Name]],CL,3,0),"")</f>
        <v/>
      </c>
      <c r="AR1142" s="352" t="str">
        <f ca="1">IF(Table_NFI[[#This Row],[Pcode]]="","",OFFSET(CampList[Priority],MATCH(Table_NFI[[#This Row],[Pcode]],CampList[CP_Pcode],0)-1,0,1,1))</f>
        <v/>
      </c>
      <c r="AS1142" s="351" t="str">
        <f>IFERROR(Table_NFI[[#This Row],[Kitchen Set]]/VLOOKUP(Table_NFI[[#This Row],[Camp Name]],CL,4,0),"")</f>
        <v/>
      </c>
      <c r="AT1142" s="533" t="s">
        <v>1094</v>
      </c>
      <c r="AU1142" s="541"/>
    </row>
    <row r="1143" spans="1:47" ht="14.45" hidden="1" customHeight="1" x14ac:dyDescent="0.25">
      <c r="A1143" s="355" t="str">
        <f t="shared" si="18"/>
        <v/>
      </c>
      <c r="B1143" s="532"/>
      <c r="C1143" s="538"/>
      <c r="D1143" s="538"/>
      <c r="E1143" s="538"/>
      <c r="F1143" s="538"/>
      <c r="G1143" s="538"/>
      <c r="H1143" s="350"/>
      <c r="I1143" s="350"/>
      <c r="J1143" s="350"/>
      <c r="K1143" s="350"/>
      <c r="L1143" s="350"/>
      <c r="M1143" s="350"/>
      <c r="N1143" s="350"/>
      <c r="O1143" s="350"/>
      <c r="P1143" s="352"/>
      <c r="Q1143" s="392"/>
      <c r="R1143" s="392"/>
      <c r="S1143" s="392"/>
      <c r="T1143" s="392"/>
      <c r="U1143" s="392"/>
      <c r="V1143" s="497"/>
      <c r="W1143" s="392"/>
      <c r="X1143" s="392"/>
      <c r="Y1143" s="352">
        <f>IF(NFI_Expiration=1,IF($A1143&lt;VLOOKUP(H$5,NFI,5,0),1,0)*Table_NFI[[#This Row],[Hygiene Kit]],Table_NFI[Hygiene Kit])</f>
        <v>0</v>
      </c>
      <c r="Z1143" s="352">
        <f>IF(NFI_Expiration=1,IF($A1143&lt;VLOOKUP(I$5,NFI,5,0),1,0)*Table_NFI[[#This Row],[NFI Core Kit]],Table_NFI[NFI Core Kit])</f>
        <v>0</v>
      </c>
      <c r="AA1143" s="352">
        <f>IF(NFI_Expiration=1,IF($A1143&lt;VLOOKUP(J$5,NFI,5,0),1,0)*Table_NFI[[#This Row],[Sanitary Kit]],Table_NFI[Sanitary Kit])</f>
        <v>0</v>
      </c>
      <c r="AB1143" s="352">
        <f>IF(NFI_Expiration=1,IF($A1143&lt;VLOOKUP(K$5,NFI,5,0),1,0)*Table_NFI[[#This Row],[Mosquito net]],Table_NFI[Mosquito net])</f>
        <v>0</v>
      </c>
      <c r="AC1143" s="352">
        <f>IF(NFI_Expiration=1,IF($A1143&lt;VLOOKUP(L$5,NFI,5,0),1,0)*Table_NFI[[#This Row],[Tarpaulin]],Table_NFI[[#This Row],[Tarpaulin]])</f>
        <v>0</v>
      </c>
      <c r="AD1143" s="352">
        <f>IF(NFI_Expiration=1,IF($A1143&lt;VLOOKUP(M$5,NFI,5,0),1,0)*Table_NFI[[#This Row],[Blanket]],Table_NFI[[#This Row],[Blanket]])</f>
        <v>0</v>
      </c>
      <c r="AE1143" s="352">
        <f>IF(NFI_Expiration=1,IF($A1143&lt;VLOOKUP(N$5,NFI,5,0),1,0)*Table_NFI[[#This Row],[Kitchen Set]],Table_NFI[Kitchen Set])</f>
        <v>0</v>
      </c>
      <c r="AF1143" s="352">
        <f>IF(NFI_Expiration=1,IF($A1143&lt;VLOOKUP(O$5,NFI,5,0),1,0)*Table_NFI[[#This Row],[Clothes Kit]],Table_NFI[Clothes Kit])</f>
        <v>0</v>
      </c>
      <c r="AG1143" s="352">
        <f>IF(NFI_Expiration=1,IF($A1143&lt;VLOOKUP(P$5,NFI,5,0),1,0)*Table_NFI[[#This Row],[Plastic Bucket]],Table_NFI[Plastic Bucket])</f>
        <v>0</v>
      </c>
      <c r="AH1143" s="352">
        <f>IF(NFI_Expiration=1,IF($A1143&lt;VLOOKUP(Q$5,NFI,5,0),1,0)*Table_NFI[[#This Row],[Plastic Mat]],Table_NFI[Plastic Mat])*IF(Table_NFI[[#This Row],[Distribution Date]]&gt;"2014-04-01",1,2.5)</f>
        <v>0</v>
      </c>
      <c r="AI1143" s="352">
        <f>IF(NFI_Expiration=1,IF($A1143&lt;VLOOKUP(R$5,NFI,5,0),1,0)*Table_NFI[[#This Row],[Winter Clothes Adult]],Table_NFI[Winter Clothes Adult])</f>
        <v>0</v>
      </c>
      <c r="AJ1143" s="352">
        <f>IF(NFI_Expiration=1,IF($A1143&lt;VLOOKUP(S$5,NFI,5,0),1,0)*Table_NFI[[#This Row],[Winter Clothes Children]],Table_NFI[Winter Clothes Children])</f>
        <v>0</v>
      </c>
      <c r="AK1143" s="352">
        <f>IF(NFI_Expiration=1,IF($A1143&lt;VLOOKUP(T$5,NFI,5,0),1,0)*Table_NFI[[#This Row],[Winter Items Other]],Table_NFI[Winter Items Other])</f>
        <v>0</v>
      </c>
      <c r="AL1143" s="352">
        <f>IF(NFI_Expiration=1,IF($A1143&lt;VLOOKUP(M$5,NFI,5,0),1,0)*Table_NFI[[#This Row],[Winter Blanket]],Table_NFI[[#This Row],[Winter Blanket]])</f>
        <v>0</v>
      </c>
      <c r="AM1143" s="352">
        <f>IF(Table_NFI[[#This Row],[Winter Clothes Adult]]+Table_NFI[[#This Row],[Winter Clothes Children]]+Table_NFI[[#This Row],[Winter Items Other]]+Table_NFI[[#This Row],[Winter Blanket]]&gt;0,1,0)</f>
        <v>0</v>
      </c>
      <c r="AN1143" s="392">
        <f>IF(NFI_Expiration=1,IF($A1143&lt;VLOOKUP(V$5,NFI,5,0),1,0)*Table_NFI[[#This Row],[Jerry Can]],Table_NFI[Jerry Can])</f>
        <v>0</v>
      </c>
      <c r="AO1143" s="540" t="str">
        <f>IFERROR(VLOOKUP(Table_NFI[[#This Row],[Camp Name]],CL,2,0),"")</f>
        <v/>
      </c>
      <c r="AP1143" s="535" t="str">
        <f ca="1">IF(Table_NFI[[#This Row],[Pcode]]="","",IF(OFFSET(CampList[Opening Date],MATCH(Table_NFI[[#This Row],[Pcode]],CampList[CP_Pcode],0)-1,0,1,1)&gt;=NFI_Monitor_Date,1,0))</f>
        <v/>
      </c>
      <c r="AQ1143" s="540" t="str">
        <f>IFERROR(VLOOKUP(Table_NFI[[#This Row],[Camp Name]],CL,3,0),"")</f>
        <v/>
      </c>
      <c r="AR1143" s="352" t="str">
        <f ca="1">IF(Table_NFI[[#This Row],[Pcode]]="","",OFFSET(CampList[Priority],MATCH(Table_NFI[[#This Row],[Pcode]],CampList[CP_Pcode],0)-1,0,1,1))</f>
        <v/>
      </c>
      <c r="AS1143" s="351" t="str">
        <f>IFERROR(Table_NFI[[#This Row],[Kitchen Set]]/VLOOKUP(Table_NFI[[#This Row],[Camp Name]],CL,4,0),"")</f>
        <v/>
      </c>
      <c r="AT1143" s="533" t="s">
        <v>1094</v>
      </c>
      <c r="AU1143" s="541"/>
    </row>
    <row r="1144" spans="1:47" ht="14.45" hidden="1" customHeight="1" x14ac:dyDescent="0.25">
      <c r="A1144" s="355" t="str">
        <f t="shared" si="18"/>
        <v/>
      </c>
      <c r="B1144" s="532"/>
      <c r="C1144" s="538"/>
      <c r="D1144" s="538"/>
      <c r="E1144" s="538"/>
      <c r="F1144" s="538"/>
      <c r="G1144" s="538"/>
      <c r="H1144" s="350"/>
      <c r="I1144" s="350"/>
      <c r="J1144" s="350"/>
      <c r="K1144" s="350"/>
      <c r="L1144" s="350"/>
      <c r="M1144" s="350"/>
      <c r="N1144" s="350"/>
      <c r="O1144" s="350"/>
      <c r="P1144" s="352"/>
      <c r="Q1144" s="392"/>
      <c r="R1144" s="392"/>
      <c r="S1144" s="392"/>
      <c r="T1144" s="392"/>
      <c r="U1144" s="392"/>
      <c r="V1144" s="497"/>
      <c r="W1144" s="392"/>
      <c r="X1144" s="392"/>
      <c r="Y1144" s="352">
        <f>IF(NFI_Expiration=1,IF($A1144&lt;VLOOKUP(H$5,NFI,5,0),1,0)*Table_NFI[[#This Row],[Hygiene Kit]],Table_NFI[Hygiene Kit])</f>
        <v>0</v>
      </c>
      <c r="Z1144" s="352">
        <f>IF(NFI_Expiration=1,IF($A1144&lt;VLOOKUP(I$5,NFI,5,0),1,0)*Table_NFI[[#This Row],[NFI Core Kit]],Table_NFI[NFI Core Kit])</f>
        <v>0</v>
      </c>
      <c r="AA1144" s="352">
        <f>IF(NFI_Expiration=1,IF($A1144&lt;VLOOKUP(J$5,NFI,5,0),1,0)*Table_NFI[[#This Row],[Sanitary Kit]],Table_NFI[Sanitary Kit])</f>
        <v>0</v>
      </c>
      <c r="AB1144" s="352">
        <f>IF(NFI_Expiration=1,IF($A1144&lt;VLOOKUP(K$5,NFI,5,0),1,0)*Table_NFI[[#This Row],[Mosquito net]],Table_NFI[Mosquito net])</f>
        <v>0</v>
      </c>
      <c r="AC1144" s="352">
        <f>IF(NFI_Expiration=1,IF($A1144&lt;VLOOKUP(L$5,NFI,5,0),1,0)*Table_NFI[[#This Row],[Tarpaulin]],Table_NFI[[#This Row],[Tarpaulin]])</f>
        <v>0</v>
      </c>
      <c r="AD1144" s="352">
        <f>IF(NFI_Expiration=1,IF($A1144&lt;VLOOKUP(M$5,NFI,5,0),1,0)*Table_NFI[[#This Row],[Blanket]],Table_NFI[[#This Row],[Blanket]])</f>
        <v>0</v>
      </c>
      <c r="AE1144" s="352">
        <f>IF(NFI_Expiration=1,IF($A1144&lt;VLOOKUP(N$5,NFI,5,0),1,0)*Table_NFI[[#This Row],[Kitchen Set]],Table_NFI[Kitchen Set])</f>
        <v>0</v>
      </c>
      <c r="AF1144" s="352">
        <f>IF(NFI_Expiration=1,IF($A1144&lt;VLOOKUP(O$5,NFI,5,0),1,0)*Table_NFI[[#This Row],[Clothes Kit]],Table_NFI[Clothes Kit])</f>
        <v>0</v>
      </c>
      <c r="AG1144" s="352">
        <f>IF(NFI_Expiration=1,IF($A1144&lt;VLOOKUP(P$5,NFI,5,0),1,0)*Table_NFI[[#This Row],[Plastic Bucket]],Table_NFI[Plastic Bucket])</f>
        <v>0</v>
      </c>
      <c r="AH1144" s="352">
        <f>IF(NFI_Expiration=1,IF($A1144&lt;VLOOKUP(Q$5,NFI,5,0),1,0)*Table_NFI[[#This Row],[Plastic Mat]],Table_NFI[Plastic Mat])*IF(Table_NFI[[#This Row],[Distribution Date]]&gt;"2014-04-01",1,2.5)</f>
        <v>0</v>
      </c>
      <c r="AI1144" s="352">
        <f>IF(NFI_Expiration=1,IF($A1144&lt;VLOOKUP(R$5,NFI,5,0),1,0)*Table_NFI[[#This Row],[Winter Clothes Adult]],Table_NFI[Winter Clothes Adult])</f>
        <v>0</v>
      </c>
      <c r="AJ1144" s="352">
        <f>IF(NFI_Expiration=1,IF($A1144&lt;VLOOKUP(S$5,NFI,5,0),1,0)*Table_NFI[[#This Row],[Winter Clothes Children]],Table_NFI[Winter Clothes Children])</f>
        <v>0</v>
      </c>
      <c r="AK1144" s="352">
        <f>IF(NFI_Expiration=1,IF($A1144&lt;VLOOKUP(T$5,NFI,5,0),1,0)*Table_NFI[[#This Row],[Winter Items Other]],Table_NFI[Winter Items Other])</f>
        <v>0</v>
      </c>
      <c r="AL1144" s="352">
        <f>IF(NFI_Expiration=1,IF($A1144&lt;VLOOKUP(M$5,NFI,5,0),1,0)*Table_NFI[[#This Row],[Winter Blanket]],Table_NFI[[#This Row],[Winter Blanket]])</f>
        <v>0</v>
      </c>
      <c r="AM1144" s="352">
        <f>IF(Table_NFI[[#This Row],[Winter Clothes Adult]]+Table_NFI[[#This Row],[Winter Clothes Children]]+Table_NFI[[#This Row],[Winter Items Other]]+Table_NFI[[#This Row],[Winter Blanket]]&gt;0,1,0)</f>
        <v>0</v>
      </c>
      <c r="AN1144" s="392">
        <f>IF(NFI_Expiration=1,IF($A1144&lt;VLOOKUP(V$5,NFI,5,0),1,0)*Table_NFI[[#This Row],[Jerry Can]],Table_NFI[Jerry Can])</f>
        <v>0</v>
      </c>
      <c r="AO1144" s="540" t="str">
        <f>IFERROR(VLOOKUP(Table_NFI[[#This Row],[Camp Name]],CL,2,0),"")</f>
        <v/>
      </c>
      <c r="AP1144" s="535" t="str">
        <f ca="1">IF(Table_NFI[[#This Row],[Pcode]]="","",IF(OFFSET(CampList[Opening Date],MATCH(Table_NFI[[#This Row],[Pcode]],CampList[CP_Pcode],0)-1,0,1,1)&gt;=NFI_Monitor_Date,1,0))</f>
        <v/>
      </c>
      <c r="AQ1144" s="540" t="str">
        <f>IFERROR(VLOOKUP(Table_NFI[[#This Row],[Camp Name]],CL,3,0),"")</f>
        <v/>
      </c>
      <c r="AR1144" s="352" t="str">
        <f ca="1">IF(Table_NFI[[#This Row],[Pcode]]="","",OFFSET(CampList[Priority],MATCH(Table_NFI[[#This Row],[Pcode]],CampList[CP_Pcode],0)-1,0,1,1))</f>
        <v/>
      </c>
      <c r="AS1144" s="351" t="str">
        <f>IFERROR(Table_NFI[[#This Row],[Kitchen Set]]/VLOOKUP(Table_NFI[[#This Row],[Camp Name]],CL,4,0),"")</f>
        <v/>
      </c>
      <c r="AT1144" s="533" t="s">
        <v>1094</v>
      </c>
      <c r="AU1144" s="541"/>
    </row>
    <row r="1145" spans="1:47" ht="14.45" hidden="1" customHeight="1" x14ac:dyDescent="0.25">
      <c r="A1145" s="355" t="str">
        <f t="shared" si="18"/>
        <v/>
      </c>
      <c r="B1145" s="532"/>
      <c r="C1145" s="538"/>
      <c r="D1145" s="538"/>
      <c r="E1145" s="538"/>
      <c r="F1145" s="538"/>
      <c r="G1145" s="538"/>
      <c r="H1145" s="350"/>
      <c r="I1145" s="350"/>
      <c r="J1145" s="350"/>
      <c r="K1145" s="350"/>
      <c r="L1145" s="350"/>
      <c r="M1145" s="350"/>
      <c r="N1145" s="350"/>
      <c r="O1145" s="350"/>
      <c r="P1145" s="352"/>
      <c r="Q1145" s="392"/>
      <c r="R1145" s="392"/>
      <c r="S1145" s="392"/>
      <c r="T1145" s="392"/>
      <c r="U1145" s="392"/>
      <c r="V1145" s="497"/>
      <c r="W1145" s="392"/>
      <c r="X1145" s="392"/>
      <c r="Y1145" s="352">
        <f>IF(NFI_Expiration=1,IF($A1145&lt;VLOOKUP(H$5,NFI,5,0),1,0)*Table_NFI[[#This Row],[Hygiene Kit]],Table_NFI[Hygiene Kit])</f>
        <v>0</v>
      </c>
      <c r="Z1145" s="352">
        <f>IF(NFI_Expiration=1,IF($A1145&lt;VLOOKUP(I$5,NFI,5,0),1,0)*Table_NFI[[#This Row],[NFI Core Kit]],Table_NFI[NFI Core Kit])</f>
        <v>0</v>
      </c>
      <c r="AA1145" s="352">
        <f>IF(NFI_Expiration=1,IF($A1145&lt;VLOOKUP(J$5,NFI,5,0),1,0)*Table_NFI[[#This Row],[Sanitary Kit]],Table_NFI[Sanitary Kit])</f>
        <v>0</v>
      </c>
      <c r="AB1145" s="352">
        <f>IF(NFI_Expiration=1,IF($A1145&lt;VLOOKUP(K$5,NFI,5,0),1,0)*Table_NFI[[#This Row],[Mosquito net]],Table_NFI[Mosquito net])</f>
        <v>0</v>
      </c>
      <c r="AC1145" s="352">
        <f>IF(NFI_Expiration=1,IF($A1145&lt;VLOOKUP(L$5,NFI,5,0),1,0)*Table_NFI[[#This Row],[Tarpaulin]],Table_NFI[[#This Row],[Tarpaulin]])</f>
        <v>0</v>
      </c>
      <c r="AD1145" s="352">
        <f>IF(NFI_Expiration=1,IF($A1145&lt;VLOOKUP(M$5,NFI,5,0),1,0)*Table_NFI[[#This Row],[Blanket]],Table_NFI[[#This Row],[Blanket]])</f>
        <v>0</v>
      </c>
      <c r="AE1145" s="352">
        <f>IF(NFI_Expiration=1,IF($A1145&lt;VLOOKUP(N$5,NFI,5,0),1,0)*Table_NFI[[#This Row],[Kitchen Set]],Table_NFI[Kitchen Set])</f>
        <v>0</v>
      </c>
      <c r="AF1145" s="352">
        <f>IF(NFI_Expiration=1,IF($A1145&lt;VLOOKUP(O$5,NFI,5,0),1,0)*Table_NFI[[#This Row],[Clothes Kit]],Table_NFI[Clothes Kit])</f>
        <v>0</v>
      </c>
      <c r="AG1145" s="352">
        <f>IF(NFI_Expiration=1,IF($A1145&lt;VLOOKUP(P$5,NFI,5,0),1,0)*Table_NFI[[#This Row],[Plastic Bucket]],Table_NFI[Plastic Bucket])</f>
        <v>0</v>
      </c>
      <c r="AH1145" s="352">
        <f>IF(NFI_Expiration=1,IF($A1145&lt;VLOOKUP(Q$5,NFI,5,0),1,0)*Table_NFI[[#This Row],[Plastic Mat]],Table_NFI[Plastic Mat])*IF(Table_NFI[[#This Row],[Distribution Date]]&gt;"2014-04-01",1,2.5)</f>
        <v>0</v>
      </c>
      <c r="AI1145" s="352">
        <f>IF(NFI_Expiration=1,IF($A1145&lt;VLOOKUP(R$5,NFI,5,0),1,0)*Table_NFI[[#This Row],[Winter Clothes Adult]],Table_NFI[Winter Clothes Adult])</f>
        <v>0</v>
      </c>
      <c r="AJ1145" s="352">
        <f>IF(NFI_Expiration=1,IF($A1145&lt;VLOOKUP(S$5,NFI,5,0),1,0)*Table_NFI[[#This Row],[Winter Clothes Children]],Table_NFI[Winter Clothes Children])</f>
        <v>0</v>
      </c>
      <c r="AK1145" s="352">
        <f>IF(NFI_Expiration=1,IF($A1145&lt;VLOOKUP(T$5,NFI,5,0),1,0)*Table_NFI[[#This Row],[Winter Items Other]],Table_NFI[Winter Items Other])</f>
        <v>0</v>
      </c>
      <c r="AL1145" s="352">
        <f>IF(NFI_Expiration=1,IF($A1145&lt;VLOOKUP(M$5,NFI,5,0),1,0)*Table_NFI[[#This Row],[Winter Blanket]],Table_NFI[[#This Row],[Winter Blanket]])</f>
        <v>0</v>
      </c>
      <c r="AM1145" s="352">
        <f>IF(Table_NFI[[#This Row],[Winter Clothes Adult]]+Table_NFI[[#This Row],[Winter Clothes Children]]+Table_NFI[[#This Row],[Winter Items Other]]+Table_NFI[[#This Row],[Winter Blanket]]&gt;0,1,0)</f>
        <v>0</v>
      </c>
      <c r="AN1145" s="392">
        <f>IF(NFI_Expiration=1,IF($A1145&lt;VLOOKUP(V$5,NFI,5,0),1,0)*Table_NFI[[#This Row],[Jerry Can]],Table_NFI[Jerry Can])</f>
        <v>0</v>
      </c>
      <c r="AO1145" s="540" t="str">
        <f>IFERROR(VLOOKUP(Table_NFI[[#This Row],[Camp Name]],CL,2,0),"")</f>
        <v/>
      </c>
      <c r="AP1145" s="535" t="str">
        <f ca="1">IF(Table_NFI[[#This Row],[Pcode]]="","",IF(OFFSET(CampList[Opening Date],MATCH(Table_NFI[[#This Row],[Pcode]],CampList[CP_Pcode],0)-1,0,1,1)&gt;=NFI_Monitor_Date,1,0))</f>
        <v/>
      </c>
      <c r="AQ1145" s="540" t="str">
        <f>IFERROR(VLOOKUP(Table_NFI[[#This Row],[Camp Name]],CL,3,0),"")</f>
        <v/>
      </c>
      <c r="AR1145" s="352" t="str">
        <f ca="1">IF(Table_NFI[[#This Row],[Pcode]]="","",OFFSET(CampList[Priority],MATCH(Table_NFI[[#This Row],[Pcode]],CampList[CP_Pcode],0)-1,0,1,1))</f>
        <v/>
      </c>
      <c r="AS1145" s="351" t="str">
        <f>IFERROR(Table_NFI[[#This Row],[Kitchen Set]]/VLOOKUP(Table_NFI[[#This Row],[Camp Name]],CL,4,0),"")</f>
        <v/>
      </c>
      <c r="AT1145" s="533" t="s">
        <v>1094</v>
      </c>
      <c r="AU1145" s="541"/>
    </row>
    <row r="1146" spans="1:47" ht="14.45" hidden="1" customHeight="1" x14ac:dyDescent="0.25">
      <c r="A1146" s="355" t="str">
        <f t="shared" si="18"/>
        <v/>
      </c>
      <c r="B1146" s="532"/>
      <c r="C1146" s="538"/>
      <c r="D1146" s="538"/>
      <c r="E1146" s="538"/>
      <c r="F1146" s="538"/>
      <c r="G1146" s="538"/>
      <c r="H1146" s="350"/>
      <c r="I1146" s="350"/>
      <c r="J1146" s="350"/>
      <c r="K1146" s="350"/>
      <c r="L1146" s="350"/>
      <c r="M1146" s="350"/>
      <c r="N1146" s="350"/>
      <c r="O1146" s="350"/>
      <c r="P1146" s="352"/>
      <c r="Q1146" s="392"/>
      <c r="R1146" s="392"/>
      <c r="S1146" s="392"/>
      <c r="T1146" s="392"/>
      <c r="U1146" s="392"/>
      <c r="V1146" s="497"/>
      <c r="W1146" s="392"/>
      <c r="X1146" s="392"/>
      <c r="Y1146" s="352">
        <f>IF(NFI_Expiration=1,IF($A1146&lt;VLOOKUP(H$5,NFI,5,0),1,0)*Table_NFI[[#This Row],[Hygiene Kit]],Table_NFI[Hygiene Kit])</f>
        <v>0</v>
      </c>
      <c r="Z1146" s="352">
        <f>IF(NFI_Expiration=1,IF($A1146&lt;VLOOKUP(I$5,NFI,5,0),1,0)*Table_NFI[[#This Row],[NFI Core Kit]],Table_NFI[NFI Core Kit])</f>
        <v>0</v>
      </c>
      <c r="AA1146" s="352">
        <f>IF(NFI_Expiration=1,IF($A1146&lt;VLOOKUP(J$5,NFI,5,0),1,0)*Table_NFI[[#This Row],[Sanitary Kit]],Table_NFI[Sanitary Kit])</f>
        <v>0</v>
      </c>
      <c r="AB1146" s="352">
        <f>IF(NFI_Expiration=1,IF($A1146&lt;VLOOKUP(K$5,NFI,5,0),1,0)*Table_NFI[[#This Row],[Mosquito net]],Table_NFI[Mosquito net])</f>
        <v>0</v>
      </c>
      <c r="AC1146" s="352">
        <f>IF(NFI_Expiration=1,IF($A1146&lt;VLOOKUP(L$5,NFI,5,0),1,0)*Table_NFI[[#This Row],[Tarpaulin]],Table_NFI[[#This Row],[Tarpaulin]])</f>
        <v>0</v>
      </c>
      <c r="AD1146" s="352">
        <f>IF(NFI_Expiration=1,IF($A1146&lt;VLOOKUP(M$5,NFI,5,0),1,0)*Table_NFI[[#This Row],[Blanket]],Table_NFI[[#This Row],[Blanket]])</f>
        <v>0</v>
      </c>
      <c r="AE1146" s="352">
        <f>IF(NFI_Expiration=1,IF($A1146&lt;VLOOKUP(N$5,NFI,5,0),1,0)*Table_NFI[[#This Row],[Kitchen Set]],Table_NFI[Kitchen Set])</f>
        <v>0</v>
      </c>
      <c r="AF1146" s="352">
        <f>IF(NFI_Expiration=1,IF($A1146&lt;VLOOKUP(O$5,NFI,5,0),1,0)*Table_NFI[[#This Row],[Clothes Kit]],Table_NFI[Clothes Kit])</f>
        <v>0</v>
      </c>
      <c r="AG1146" s="352">
        <f>IF(NFI_Expiration=1,IF($A1146&lt;VLOOKUP(P$5,NFI,5,0),1,0)*Table_NFI[[#This Row],[Plastic Bucket]],Table_NFI[Plastic Bucket])</f>
        <v>0</v>
      </c>
      <c r="AH1146" s="352">
        <f>IF(NFI_Expiration=1,IF($A1146&lt;VLOOKUP(Q$5,NFI,5,0),1,0)*Table_NFI[[#This Row],[Plastic Mat]],Table_NFI[Plastic Mat])*IF(Table_NFI[[#This Row],[Distribution Date]]&gt;"2014-04-01",1,2.5)</f>
        <v>0</v>
      </c>
      <c r="AI1146" s="352">
        <f>IF(NFI_Expiration=1,IF($A1146&lt;VLOOKUP(R$5,NFI,5,0),1,0)*Table_NFI[[#This Row],[Winter Clothes Adult]],Table_NFI[Winter Clothes Adult])</f>
        <v>0</v>
      </c>
      <c r="AJ1146" s="352">
        <f>IF(NFI_Expiration=1,IF($A1146&lt;VLOOKUP(S$5,NFI,5,0),1,0)*Table_NFI[[#This Row],[Winter Clothes Children]],Table_NFI[Winter Clothes Children])</f>
        <v>0</v>
      </c>
      <c r="AK1146" s="352">
        <f>IF(NFI_Expiration=1,IF($A1146&lt;VLOOKUP(T$5,NFI,5,0),1,0)*Table_NFI[[#This Row],[Winter Items Other]],Table_NFI[Winter Items Other])</f>
        <v>0</v>
      </c>
      <c r="AL1146" s="352">
        <f>IF(NFI_Expiration=1,IF($A1146&lt;VLOOKUP(M$5,NFI,5,0),1,0)*Table_NFI[[#This Row],[Winter Blanket]],Table_NFI[[#This Row],[Winter Blanket]])</f>
        <v>0</v>
      </c>
      <c r="AM1146" s="352">
        <f>IF(Table_NFI[[#This Row],[Winter Clothes Adult]]+Table_NFI[[#This Row],[Winter Clothes Children]]+Table_NFI[[#This Row],[Winter Items Other]]+Table_NFI[[#This Row],[Winter Blanket]]&gt;0,1,0)</f>
        <v>0</v>
      </c>
      <c r="AN1146" s="392">
        <f>IF(NFI_Expiration=1,IF($A1146&lt;VLOOKUP(V$5,NFI,5,0),1,0)*Table_NFI[[#This Row],[Jerry Can]],Table_NFI[Jerry Can])</f>
        <v>0</v>
      </c>
      <c r="AO1146" s="540" t="str">
        <f>IFERROR(VLOOKUP(Table_NFI[[#This Row],[Camp Name]],CL,2,0),"")</f>
        <v/>
      </c>
      <c r="AP1146" s="535" t="str">
        <f ca="1">IF(Table_NFI[[#This Row],[Pcode]]="","",IF(OFFSET(CampList[Opening Date],MATCH(Table_NFI[[#This Row],[Pcode]],CampList[CP_Pcode],0)-1,0,1,1)&gt;=NFI_Monitor_Date,1,0))</f>
        <v/>
      </c>
      <c r="AQ1146" s="540" t="str">
        <f>IFERROR(VLOOKUP(Table_NFI[[#This Row],[Camp Name]],CL,3,0),"")</f>
        <v/>
      </c>
      <c r="AR1146" s="352" t="str">
        <f ca="1">IF(Table_NFI[[#This Row],[Pcode]]="","",OFFSET(CampList[Priority],MATCH(Table_NFI[[#This Row],[Pcode]],CampList[CP_Pcode],0)-1,0,1,1))</f>
        <v/>
      </c>
      <c r="AS1146" s="351" t="str">
        <f>IFERROR(Table_NFI[[#This Row],[Kitchen Set]]/VLOOKUP(Table_NFI[[#This Row],[Camp Name]],CL,4,0),"")</f>
        <v/>
      </c>
      <c r="AT1146" s="533" t="s">
        <v>1094</v>
      </c>
      <c r="AU1146" s="541"/>
    </row>
    <row r="1147" spans="1:47" ht="14.45" hidden="1" customHeight="1" x14ac:dyDescent="0.25">
      <c r="A1147" s="355" t="str">
        <f t="shared" si="18"/>
        <v/>
      </c>
      <c r="B1147" s="532"/>
      <c r="C1147" s="533"/>
      <c r="D1147" s="533"/>
      <c r="E1147" s="533"/>
      <c r="F1147" s="533"/>
      <c r="G1147" s="533"/>
      <c r="H1147" s="349"/>
      <c r="I1147" s="349"/>
      <c r="J1147" s="349"/>
      <c r="K1147" s="349"/>
      <c r="L1147" s="350"/>
      <c r="M1147" s="350"/>
      <c r="N1147" s="350"/>
      <c r="O1147" s="350"/>
      <c r="P1147" s="352"/>
      <c r="Q1147" s="392"/>
      <c r="R1147" s="392"/>
      <c r="S1147" s="392"/>
      <c r="T1147" s="392"/>
      <c r="U1147" s="392"/>
      <c r="V1147" s="497"/>
      <c r="W1147" s="392"/>
      <c r="X1147" s="392"/>
      <c r="Y1147" s="352">
        <f>IF(NFI_Expiration=1,IF($A1147&lt;VLOOKUP(H$5,NFI,5,0),1,0)*Table_NFI[[#This Row],[Hygiene Kit]],Table_NFI[Hygiene Kit])</f>
        <v>0</v>
      </c>
      <c r="Z1147" s="352">
        <f>IF(NFI_Expiration=1,IF($A1147&lt;VLOOKUP(I$5,NFI,5,0),1,0)*Table_NFI[[#This Row],[NFI Core Kit]],Table_NFI[NFI Core Kit])</f>
        <v>0</v>
      </c>
      <c r="AA1147" s="352">
        <f>IF(NFI_Expiration=1,IF($A1147&lt;VLOOKUP(J$5,NFI,5,0),1,0)*Table_NFI[[#This Row],[Sanitary Kit]],Table_NFI[Sanitary Kit])</f>
        <v>0</v>
      </c>
      <c r="AB1147" s="352">
        <f>IF(NFI_Expiration=1,IF($A1147&lt;VLOOKUP(K$5,NFI,5,0),1,0)*Table_NFI[[#This Row],[Mosquito net]],Table_NFI[Mosquito net])</f>
        <v>0</v>
      </c>
      <c r="AC1147" s="352">
        <f>IF(NFI_Expiration=1,IF($A1147&lt;VLOOKUP(L$5,NFI,5,0),1,0)*Table_NFI[[#This Row],[Tarpaulin]],Table_NFI[[#This Row],[Tarpaulin]])</f>
        <v>0</v>
      </c>
      <c r="AD1147" s="352">
        <f>IF(NFI_Expiration=1,IF($A1147&lt;VLOOKUP(M$5,NFI,5,0),1,0)*Table_NFI[[#This Row],[Blanket]],Table_NFI[[#This Row],[Blanket]])</f>
        <v>0</v>
      </c>
      <c r="AE1147" s="352">
        <f>IF(NFI_Expiration=1,IF($A1147&lt;VLOOKUP(N$5,NFI,5,0),1,0)*Table_NFI[[#This Row],[Kitchen Set]],Table_NFI[Kitchen Set])</f>
        <v>0</v>
      </c>
      <c r="AF1147" s="352">
        <f>IF(NFI_Expiration=1,IF($A1147&lt;VLOOKUP(O$5,NFI,5,0),1,0)*Table_NFI[[#This Row],[Clothes Kit]],Table_NFI[Clothes Kit])</f>
        <v>0</v>
      </c>
      <c r="AG1147" s="352">
        <f>IF(NFI_Expiration=1,IF($A1147&lt;VLOOKUP(P$5,NFI,5,0),1,0)*Table_NFI[[#This Row],[Plastic Bucket]],Table_NFI[Plastic Bucket])</f>
        <v>0</v>
      </c>
      <c r="AH1147" s="352">
        <f>IF(NFI_Expiration=1,IF($A1147&lt;VLOOKUP(Q$5,NFI,5,0),1,0)*Table_NFI[[#This Row],[Plastic Mat]],Table_NFI[Plastic Mat])*IF(Table_NFI[[#This Row],[Distribution Date]]&gt;"2014-04-01",1,2.5)</f>
        <v>0</v>
      </c>
      <c r="AI1147" s="352">
        <f>IF(NFI_Expiration=1,IF($A1147&lt;VLOOKUP(R$5,NFI,5,0),1,0)*Table_NFI[[#This Row],[Winter Clothes Adult]],Table_NFI[Winter Clothes Adult])</f>
        <v>0</v>
      </c>
      <c r="AJ1147" s="352">
        <f>IF(NFI_Expiration=1,IF($A1147&lt;VLOOKUP(S$5,NFI,5,0),1,0)*Table_NFI[[#This Row],[Winter Clothes Children]],Table_NFI[Winter Clothes Children])</f>
        <v>0</v>
      </c>
      <c r="AK1147" s="352">
        <f>IF(NFI_Expiration=1,IF($A1147&lt;VLOOKUP(T$5,NFI,5,0),1,0)*Table_NFI[[#This Row],[Winter Items Other]],Table_NFI[Winter Items Other])</f>
        <v>0</v>
      </c>
      <c r="AL1147" s="352">
        <f>IF(NFI_Expiration=1,IF($A1147&lt;VLOOKUP(M$5,NFI,5,0),1,0)*Table_NFI[[#This Row],[Winter Blanket]],Table_NFI[[#This Row],[Winter Blanket]])</f>
        <v>0</v>
      </c>
      <c r="AM1147" s="352">
        <f>IF(Table_NFI[[#This Row],[Winter Clothes Adult]]+Table_NFI[[#This Row],[Winter Clothes Children]]+Table_NFI[[#This Row],[Winter Items Other]]+Table_NFI[[#This Row],[Winter Blanket]]&gt;0,1,0)</f>
        <v>0</v>
      </c>
      <c r="AN1147" s="392">
        <f>IF(NFI_Expiration=1,IF($A1147&lt;VLOOKUP(V$5,NFI,5,0),1,0)*Table_NFI[[#This Row],[Jerry Can]],Table_NFI[Jerry Can])</f>
        <v>0</v>
      </c>
      <c r="AO1147" s="540" t="str">
        <f>IFERROR(VLOOKUP(Table_NFI[[#This Row],[Camp Name]],CL,2,0),"")</f>
        <v/>
      </c>
      <c r="AP1147" s="535" t="str">
        <f ca="1">IF(Table_NFI[[#This Row],[Pcode]]="","",IF(OFFSET(CampList[Opening Date],MATCH(Table_NFI[[#This Row],[Pcode]],CampList[CP_Pcode],0)-1,0,1,1)&gt;=NFI_Monitor_Date,1,0))</f>
        <v/>
      </c>
      <c r="AQ1147" s="540" t="str">
        <f>IFERROR(VLOOKUP(Table_NFI[[#This Row],[Camp Name]],CL,3,0),"")</f>
        <v/>
      </c>
      <c r="AR1147" s="352" t="str">
        <f ca="1">IF(Table_NFI[[#This Row],[Pcode]]="","",OFFSET(CampList[Priority],MATCH(Table_NFI[[#This Row],[Pcode]],CampList[CP_Pcode],0)-1,0,1,1))</f>
        <v/>
      </c>
      <c r="AS1147" s="351" t="str">
        <f>IFERROR(Table_NFI[[#This Row],[Kitchen Set]]/VLOOKUP(Table_NFI[[#This Row],[Camp Name]],CL,4,0),"")</f>
        <v/>
      </c>
      <c r="AT1147" s="533"/>
      <c r="AU1147" s="536"/>
    </row>
    <row r="1148" spans="1:47" ht="14.45" hidden="1" customHeight="1" x14ac:dyDescent="0.25">
      <c r="A1148" s="355" t="str">
        <f t="shared" si="18"/>
        <v/>
      </c>
      <c r="B1148" s="532"/>
      <c r="C1148" s="533"/>
      <c r="D1148" s="533"/>
      <c r="E1148" s="533"/>
      <c r="F1148" s="533"/>
      <c r="G1148" s="533"/>
      <c r="H1148" s="349"/>
      <c r="I1148" s="349"/>
      <c r="J1148" s="349"/>
      <c r="K1148" s="349"/>
      <c r="L1148" s="350"/>
      <c r="M1148" s="350"/>
      <c r="N1148" s="350"/>
      <c r="O1148" s="350"/>
      <c r="P1148" s="352"/>
      <c r="Q1148" s="392"/>
      <c r="R1148" s="392"/>
      <c r="S1148" s="392"/>
      <c r="T1148" s="392"/>
      <c r="U1148" s="392"/>
      <c r="V1148" s="497"/>
      <c r="W1148" s="392"/>
      <c r="X1148" s="392"/>
      <c r="Y1148" s="352">
        <f>IF(NFI_Expiration=1,IF($A1148&lt;VLOOKUP(H$5,NFI,5,0),1,0)*Table_NFI[[#This Row],[Hygiene Kit]],Table_NFI[Hygiene Kit])</f>
        <v>0</v>
      </c>
      <c r="Z1148" s="352">
        <f>IF(NFI_Expiration=1,IF($A1148&lt;VLOOKUP(I$5,NFI,5,0),1,0)*Table_NFI[[#This Row],[NFI Core Kit]],Table_NFI[NFI Core Kit])</f>
        <v>0</v>
      </c>
      <c r="AA1148" s="352">
        <f>IF(NFI_Expiration=1,IF($A1148&lt;VLOOKUP(J$5,NFI,5,0),1,0)*Table_NFI[[#This Row],[Sanitary Kit]],Table_NFI[Sanitary Kit])</f>
        <v>0</v>
      </c>
      <c r="AB1148" s="352">
        <f>IF(NFI_Expiration=1,IF($A1148&lt;VLOOKUP(K$5,NFI,5,0),1,0)*Table_NFI[[#This Row],[Mosquito net]],Table_NFI[Mosquito net])</f>
        <v>0</v>
      </c>
      <c r="AC1148" s="352">
        <f>IF(NFI_Expiration=1,IF($A1148&lt;VLOOKUP(L$5,NFI,5,0),1,0)*Table_NFI[[#This Row],[Tarpaulin]],Table_NFI[[#This Row],[Tarpaulin]])</f>
        <v>0</v>
      </c>
      <c r="AD1148" s="352">
        <f>IF(NFI_Expiration=1,IF($A1148&lt;VLOOKUP(M$5,NFI,5,0),1,0)*Table_NFI[[#This Row],[Blanket]],Table_NFI[[#This Row],[Blanket]])</f>
        <v>0</v>
      </c>
      <c r="AE1148" s="352">
        <f>IF(NFI_Expiration=1,IF($A1148&lt;VLOOKUP(N$5,NFI,5,0),1,0)*Table_NFI[[#This Row],[Kitchen Set]],Table_NFI[Kitchen Set])</f>
        <v>0</v>
      </c>
      <c r="AF1148" s="352">
        <f>IF(NFI_Expiration=1,IF($A1148&lt;VLOOKUP(O$5,NFI,5,0),1,0)*Table_NFI[[#This Row],[Clothes Kit]],Table_NFI[Clothes Kit])</f>
        <v>0</v>
      </c>
      <c r="AG1148" s="352">
        <f>IF(NFI_Expiration=1,IF($A1148&lt;VLOOKUP(P$5,NFI,5,0),1,0)*Table_NFI[[#This Row],[Plastic Bucket]],Table_NFI[Plastic Bucket])</f>
        <v>0</v>
      </c>
      <c r="AH1148" s="352">
        <f>IF(NFI_Expiration=1,IF($A1148&lt;VLOOKUP(Q$5,NFI,5,0),1,0)*Table_NFI[[#This Row],[Plastic Mat]],Table_NFI[Plastic Mat])*IF(Table_NFI[[#This Row],[Distribution Date]]&gt;"2014-04-01",1,2.5)</f>
        <v>0</v>
      </c>
      <c r="AI1148" s="352">
        <f>IF(NFI_Expiration=1,IF($A1148&lt;VLOOKUP(R$5,NFI,5,0),1,0)*Table_NFI[[#This Row],[Winter Clothes Adult]],Table_NFI[Winter Clothes Adult])</f>
        <v>0</v>
      </c>
      <c r="AJ1148" s="352">
        <f>IF(NFI_Expiration=1,IF($A1148&lt;VLOOKUP(S$5,NFI,5,0),1,0)*Table_NFI[[#This Row],[Winter Clothes Children]],Table_NFI[Winter Clothes Children])</f>
        <v>0</v>
      </c>
      <c r="AK1148" s="352">
        <f>IF(NFI_Expiration=1,IF($A1148&lt;VLOOKUP(T$5,NFI,5,0),1,0)*Table_NFI[[#This Row],[Winter Items Other]],Table_NFI[Winter Items Other])</f>
        <v>0</v>
      </c>
      <c r="AL1148" s="352">
        <f>IF(NFI_Expiration=1,IF($A1148&lt;VLOOKUP(M$5,NFI,5,0),1,0)*Table_NFI[[#This Row],[Winter Blanket]],Table_NFI[[#This Row],[Winter Blanket]])</f>
        <v>0</v>
      </c>
      <c r="AM1148" s="352">
        <f>IF(Table_NFI[[#This Row],[Winter Clothes Adult]]+Table_NFI[[#This Row],[Winter Clothes Children]]+Table_NFI[[#This Row],[Winter Items Other]]+Table_NFI[[#This Row],[Winter Blanket]]&gt;0,1,0)</f>
        <v>0</v>
      </c>
      <c r="AN1148" s="392">
        <f>IF(NFI_Expiration=1,IF($A1148&lt;VLOOKUP(V$5,NFI,5,0),1,0)*Table_NFI[[#This Row],[Jerry Can]],Table_NFI[Jerry Can])</f>
        <v>0</v>
      </c>
      <c r="AO1148" s="540" t="str">
        <f>IFERROR(VLOOKUP(Table_NFI[[#This Row],[Camp Name]],CL,2,0),"")</f>
        <v/>
      </c>
      <c r="AP1148" s="535" t="str">
        <f ca="1">IF(Table_NFI[[#This Row],[Pcode]]="","",IF(OFFSET(CampList[Opening Date],MATCH(Table_NFI[[#This Row],[Pcode]],CampList[CP_Pcode],0)-1,0,1,1)&gt;=NFI_Monitor_Date,1,0))</f>
        <v/>
      </c>
      <c r="AQ1148" s="540" t="str">
        <f>IFERROR(VLOOKUP(Table_NFI[[#This Row],[Camp Name]],CL,3,0),"")</f>
        <v/>
      </c>
      <c r="AR1148" s="352" t="str">
        <f ca="1">IF(Table_NFI[[#This Row],[Pcode]]="","",OFFSET(CampList[Priority],MATCH(Table_NFI[[#This Row],[Pcode]],CampList[CP_Pcode],0)-1,0,1,1))</f>
        <v/>
      </c>
      <c r="AS1148" s="351" t="str">
        <f>IFERROR(Table_NFI[[#This Row],[Kitchen Set]]/VLOOKUP(Table_NFI[[#This Row],[Camp Name]],CL,4,0),"")</f>
        <v/>
      </c>
      <c r="AT1148" s="533"/>
      <c r="AU1148" s="536"/>
    </row>
    <row r="1149" spans="1:47" ht="14.45" hidden="1" customHeight="1" x14ac:dyDescent="0.25">
      <c r="A1149" s="355" t="str">
        <f t="shared" si="18"/>
        <v/>
      </c>
      <c r="B1149" s="532"/>
      <c r="C1149" s="533"/>
      <c r="D1149" s="533"/>
      <c r="E1149" s="533"/>
      <c r="F1149" s="533"/>
      <c r="G1149" s="533"/>
      <c r="H1149" s="349"/>
      <c r="I1149" s="349"/>
      <c r="J1149" s="349"/>
      <c r="K1149" s="349"/>
      <c r="L1149" s="350"/>
      <c r="M1149" s="350"/>
      <c r="N1149" s="350"/>
      <c r="O1149" s="350"/>
      <c r="P1149" s="352"/>
      <c r="Q1149" s="392"/>
      <c r="R1149" s="392"/>
      <c r="S1149" s="392"/>
      <c r="T1149" s="392"/>
      <c r="U1149" s="392"/>
      <c r="V1149" s="497"/>
      <c r="W1149" s="392"/>
      <c r="X1149" s="392"/>
      <c r="Y1149" s="352">
        <f>IF(NFI_Expiration=1,IF($A1149&lt;VLOOKUP(H$5,NFI,5,0),1,0)*Table_NFI[[#This Row],[Hygiene Kit]],Table_NFI[Hygiene Kit])</f>
        <v>0</v>
      </c>
      <c r="Z1149" s="352">
        <f>IF(NFI_Expiration=1,IF($A1149&lt;VLOOKUP(I$5,NFI,5,0),1,0)*Table_NFI[[#This Row],[NFI Core Kit]],Table_NFI[NFI Core Kit])</f>
        <v>0</v>
      </c>
      <c r="AA1149" s="352">
        <f>IF(NFI_Expiration=1,IF($A1149&lt;VLOOKUP(J$5,NFI,5,0),1,0)*Table_NFI[[#This Row],[Sanitary Kit]],Table_NFI[Sanitary Kit])</f>
        <v>0</v>
      </c>
      <c r="AB1149" s="352">
        <f>IF(NFI_Expiration=1,IF($A1149&lt;VLOOKUP(K$5,NFI,5,0),1,0)*Table_NFI[[#This Row],[Mosquito net]],Table_NFI[Mosquito net])</f>
        <v>0</v>
      </c>
      <c r="AC1149" s="352">
        <f>IF(NFI_Expiration=1,IF($A1149&lt;VLOOKUP(L$5,NFI,5,0),1,0)*Table_NFI[[#This Row],[Tarpaulin]],Table_NFI[[#This Row],[Tarpaulin]])</f>
        <v>0</v>
      </c>
      <c r="AD1149" s="352">
        <f>IF(NFI_Expiration=1,IF($A1149&lt;VLOOKUP(M$5,NFI,5,0),1,0)*Table_NFI[[#This Row],[Blanket]],Table_NFI[[#This Row],[Blanket]])</f>
        <v>0</v>
      </c>
      <c r="AE1149" s="352">
        <f>IF(NFI_Expiration=1,IF($A1149&lt;VLOOKUP(N$5,NFI,5,0),1,0)*Table_NFI[[#This Row],[Kitchen Set]],Table_NFI[Kitchen Set])</f>
        <v>0</v>
      </c>
      <c r="AF1149" s="352">
        <f>IF(NFI_Expiration=1,IF($A1149&lt;VLOOKUP(O$5,NFI,5,0),1,0)*Table_NFI[[#This Row],[Clothes Kit]],Table_NFI[Clothes Kit])</f>
        <v>0</v>
      </c>
      <c r="AG1149" s="352">
        <f>IF(NFI_Expiration=1,IF($A1149&lt;VLOOKUP(P$5,NFI,5,0),1,0)*Table_NFI[[#This Row],[Plastic Bucket]],Table_NFI[Plastic Bucket])</f>
        <v>0</v>
      </c>
      <c r="AH1149" s="352">
        <f>IF(NFI_Expiration=1,IF($A1149&lt;VLOOKUP(Q$5,NFI,5,0),1,0)*Table_NFI[[#This Row],[Plastic Mat]],Table_NFI[Plastic Mat])*IF(Table_NFI[[#This Row],[Distribution Date]]&gt;"2014-04-01",1,2.5)</f>
        <v>0</v>
      </c>
      <c r="AI1149" s="352">
        <f>IF(NFI_Expiration=1,IF($A1149&lt;VLOOKUP(R$5,NFI,5,0),1,0)*Table_NFI[[#This Row],[Winter Clothes Adult]],Table_NFI[Winter Clothes Adult])</f>
        <v>0</v>
      </c>
      <c r="AJ1149" s="352">
        <f>IF(NFI_Expiration=1,IF($A1149&lt;VLOOKUP(S$5,NFI,5,0),1,0)*Table_NFI[[#This Row],[Winter Clothes Children]],Table_NFI[Winter Clothes Children])</f>
        <v>0</v>
      </c>
      <c r="AK1149" s="352">
        <f>IF(NFI_Expiration=1,IF($A1149&lt;VLOOKUP(T$5,NFI,5,0),1,0)*Table_NFI[[#This Row],[Winter Items Other]],Table_NFI[Winter Items Other])</f>
        <v>0</v>
      </c>
      <c r="AL1149" s="352">
        <f>IF(NFI_Expiration=1,IF($A1149&lt;VLOOKUP(M$5,NFI,5,0),1,0)*Table_NFI[[#This Row],[Winter Blanket]],Table_NFI[[#This Row],[Winter Blanket]])</f>
        <v>0</v>
      </c>
      <c r="AM1149" s="352">
        <f>IF(Table_NFI[[#This Row],[Winter Clothes Adult]]+Table_NFI[[#This Row],[Winter Clothes Children]]+Table_NFI[[#This Row],[Winter Items Other]]+Table_NFI[[#This Row],[Winter Blanket]]&gt;0,1,0)</f>
        <v>0</v>
      </c>
      <c r="AN1149" s="392">
        <f>IF(NFI_Expiration=1,IF($A1149&lt;VLOOKUP(V$5,NFI,5,0),1,0)*Table_NFI[[#This Row],[Jerry Can]],Table_NFI[Jerry Can])</f>
        <v>0</v>
      </c>
      <c r="AO1149" s="540" t="str">
        <f>IFERROR(VLOOKUP(Table_NFI[[#This Row],[Camp Name]],CL,2,0),"")</f>
        <v/>
      </c>
      <c r="AP1149" s="535" t="str">
        <f ca="1">IF(Table_NFI[[#This Row],[Pcode]]="","",IF(OFFSET(CampList[Opening Date],MATCH(Table_NFI[[#This Row],[Pcode]],CampList[CP_Pcode],0)-1,0,1,1)&gt;=NFI_Monitor_Date,1,0))</f>
        <v/>
      </c>
      <c r="AQ1149" s="540" t="str">
        <f>IFERROR(VLOOKUP(Table_NFI[[#This Row],[Camp Name]],CL,3,0),"")</f>
        <v/>
      </c>
      <c r="AR1149" s="352" t="str">
        <f ca="1">IF(Table_NFI[[#This Row],[Pcode]]="","",OFFSET(CampList[Priority],MATCH(Table_NFI[[#This Row],[Pcode]],CampList[CP_Pcode],0)-1,0,1,1))</f>
        <v/>
      </c>
      <c r="AS1149" s="351" t="str">
        <f>IFERROR(Table_NFI[[#This Row],[Kitchen Set]]/VLOOKUP(Table_NFI[[#This Row],[Camp Name]],CL,4,0),"")</f>
        <v/>
      </c>
      <c r="AT1149" s="533"/>
      <c r="AU1149" s="536"/>
    </row>
    <row r="1150" spans="1:47" ht="14.45" hidden="1" customHeight="1" x14ac:dyDescent="0.25">
      <c r="A1150" s="355" t="str">
        <f t="shared" si="18"/>
        <v/>
      </c>
      <c r="B1150" s="532"/>
      <c r="C1150" s="533"/>
      <c r="D1150" s="533"/>
      <c r="E1150" s="533"/>
      <c r="F1150" s="533"/>
      <c r="G1150" s="533"/>
      <c r="H1150" s="349"/>
      <c r="I1150" s="349"/>
      <c r="J1150" s="349"/>
      <c r="K1150" s="349"/>
      <c r="L1150" s="350"/>
      <c r="M1150" s="350"/>
      <c r="N1150" s="350"/>
      <c r="O1150" s="350"/>
      <c r="P1150" s="352"/>
      <c r="Q1150" s="392"/>
      <c r="R1150" s="392"/>
      <c r="S1150" s="392"/>
      <c r="T1150" s="392"/>
      <c r="U1150" s="392"/>
      <c r="V1150" s="497"/>
      <c r="W1150" s="392"/>
      <c r="X1150" s="392"/>
      <c r="Y1150" s="352">
        <f>IF(NFI_Expiration=1,IF($A1150&lt;VLOOKUP(H$5,NFI,5,0),1,0)*Table_NFI[[#This Row],[Hygiene Kit]],Table_NFI[Hygiene Kit])</f>
        <v>0</v>
      </c>
      <c r="Z1150" s="352">
        <f>IF(NFI_Expiration=1,IF($A1150&lt;VLOOKUP(I$5,NFI,5,0),1,0)*Table_NFI[[#This Row],[NFI Core Kit]],Table_NFI[NFI Core Kit])</f>
        <v>0</v>
      </c>
      <c r="AA1150" s="352">
        <f>IF(NFI_Expiration=1,IF($A1150&lt;VLOOKUP(J$5,NFI,5,0),1,0)*Table_NFI[[#This Row],[Sanitary Kit]],Table_NFI[Sanitary Kit])</f>
        <v>0</v>
      </c>
      <c r="AB1150" s="352">
        <f>IF(NFI_Expiration=1,IF($A1150&lt;VLOOKUP(K$5,NFI,5,0),1,0)*Table_NFI[[#This Row],[Mosquito net]],Table_NFI[Mosquito net])</f>
        <v>0</v>
      </c>
      <c r="AC1150" s="352">
        <f>IF(NFI_Expiration=1,IF($A1150&lt;VLOOKUP(L$5,NFI,5,0),1,0)*Table_NFI[[#This Row],[Tarpaulin]],Table_NFI[[#This Row],[Tarpaulin]])</f>
        <v>0</v>
      </c>
      <c r="AD1150" s="352">
        <f>IF(NFI_Expiration=1,IF($A1150&lt;VLOOKUP(M$5,NFI,5,0),1,0)*Table_NFI[[#This Row],[Blanket]],Table_NFI[[#This Row],[Blanket]])</f>
        <v>0</v>
      </c>
      <c r="AE1150" s="352">
        <f>IF(NFI_Expiration=1,IF($A1150&lt;VLOOKUP(N$5,NFI,5,0),1,0)*Table_NFI[[#This Row],[Kitchen Set]],Table_NFI[Kitchen Set])</f>
        <v>0</v>
      </c>
      <c r="AF1150" s="352">
        <f>IF(NFI_Expiration=1,IF($A1150&lt;VLOOKUP(O$5,NFI,5,0),1,0)*Table_NFI[[#This Row],[Clothes Kit]],Table_NFI[Clothes Kit])</f>
        <v>0</v>
      </c>
      <c r="AG1150" s="352">
        <f>IF(NFI_Expiration=1,IF($A1150&lt;VLOOKUP(P$5,NFI,5,0),1,0)*Table_NFI[[#This Row],[Plastic Bucket]],Table_NFI[Plastic Bucket])</f>
        <v>0</v>
      </c>
      <c r="AH1150" s="352">
        <f>IF(NFI_Expiration=1,IF($A1150&lt;VLOOKUP(Q$5,NFI,5,0),1,0)*Table_NFI[[#This Row],[Plastic Mat]],Table_NFI[Plastic Mat])*IF(Table_NFI[[#This Row],[Distribution Date]]&gt;"2014-04-01",1,2.5)</f>
        <v>0</v>
      </c>
      <c r="AI1150" s="352">
        <f>IF(NFI_Expiration=1,IF($A1150&lt;VLOOKUP(R$5,NFI,5,0),1,0)*Table_NFI[[#This Row],[Winter Clothes Adult]],Table_NFI[Winter Clothes Adult])</f>
        <v>0</v>
      </c>
      <c r="AJ1150" s="352">
        <f>IF(NFI_Expiration=1,IF($A1150&lt;VLOOKUP(S$5,NFI,5,0),1,0)*Table_NFI[[#This Row],[Winter Clothes Children]],Table_NFI[Winter Clothes Children])</f>
        <v>0</v>
      </c>
      <c r="AK1150" s="352">
        <f>IF(NFI_Expiration=1,IF($A1150&lt;VLOOKUP(T$5,NFI,5,0),1,0)*Table_NFI[[#This Row],[Winter Items Other]],Table_NFI[Winter Items Other])</f>
        <v>0</v>
      </c>
      <c r="AL1150" s="352">
        <f>IF(NFI_Expiration=1,IF($A1150&lt;VLOOKUP(M$5,NFI,5,0),1,0)*Table_NFI[[#This Row],[Winter Blanket]],Table_NFI[[#This Row],[Winter Blanket]])</f>
        <v>0</v>
      </c>
      <c r="AM1150" s="352">
        <f>IF(Table_NFI[[#This Row],[Winter Clothes Adult]]+Table_NFI[[#This Row],[Winter Clothes Children]]+Table_NFI[[#This Row],[Winter Items Other]]+Table_NFI[[#This Row],[Winter Blanket]]&gt;0,1,0)</f>
        <v>0</v>
      </c>
      <c r="AN1150" s="392">
        <f>IF(NFI_Expiration=1,IF($A1150&lt;VLOOKUP(V$5,NFI,5,0),1,0)*Table_NFI[[#This Row],[Jerry Can]],Table_NFI[Jerry Can])</f>
        <v>0</v>
      </c>
      <c r="AO1150" s="540" t="str">
        <f>IFERROR(VLOOKUP(Table_NFI[[#This Row],[Camp Name]],CL,2,0),"")</f>
        <v/>
      </c>
      <c r="AP1150" s="535" t="str">
        <f ca="1">IF(Table_NFI[[#This Row],[Pcode]]="","",IF(OFFSET(CampList[Opening Date],MATCH(Table_NFI[[#This Row],[Pcode]],CampList[CP_Pcode],0)-1,0,1,1)&gt;=NFI_Monitor_Date,1,0))</f>
        <v/>
      </c>
      <c r="AQ1150" s="540" t="str">
        <f>IFERROR(VLOOKUP(Table_NFI[[#This Row],[Camp Name]],CL,3,0),"")</f>
        <v/>
      </c>
      <c r="AR1150" s="352" t="str">
        <f ca="1">IF(Table_NFI[[#This Row],[Pcode]]="","",OFFSET(CampList[Priority],MATCH(Table_NFI[[#This Row],[Pcode]],CampList[CP_Pcode],0)-1,0,1,1))</f>
        <v/>
      </c>
      <c r="AS1150" s="351" t="str">
        <f>IFERROR(Table_NFI[[#This Row],[Kitchen Set]]/VLOOKUP(Table_NFI[[#This Row],[Camp Name]],CL,4,0),"")</f>
        <v/>
      </c>
      <c r="AT1150" s="533"/>
      <c r="AU1150" s="536"/>
    </row>
    <row r="1151" spans="1:47" ht="14.45" hidden="1" customHeight="1" x14ac:dyDescent="0.25">
      <c r="A1151" s="355" t="str">
        <f t="shared" si="18"/>
        <v/>
      </c>
      <c r="B1151" s="532"/>
      <c r="C1151" s="533"/>
      <c r="D1151" s="533"/>
      <c r="E1151" s="533"/>
      <c r="F1151" s="533"/>
      <c r="G1151" s="533"/>
      <c r="H1151" s="349"/>
      <c r="I1151" s="349"/>
      <c r="J1151" s="349"/>
      <c r="K1151" s="349"/>
      <c r="L1151" s="350"/>
      <c r="M1151" s="350"/>
      <c r="N1151" s="350"/>
      <c r="O1151" s="350"/>
      <c r="P1151" s="352"/>
      <c r="Q1151" s="392"/>
      <c r="R1151" s="392"/>
      <c r="S1151" s="392"/>
      <c r="T1151" s="392"/>
      <c r="U1151" s="392"/>
      <c r="V1151" s="497"/>
      <c r="W1151" s="392"/>
      <c r="X1151" s="392"/>
      <c r="Y1151" s="352">
        <f>IF(NFI_Expiration=1,IF($A1151&lt;VLOOKUP(H$5,NFI,5,0),1,0)*Table_NFI[[#This Row],[Hygiene Kit]],Table_NFI[Hygiene Kit])</f>
        <v>0</v>
      </c>
      <c r="Z1151" s="352">
        <f>IF(NFI_Expiration=1,IF($A1151&lt;VLOOKUP(I$5,NFI,5,0),1,0)*Table_NFI[[#This Row],[NFI Core Kit]],Table_NFI[NFI Core Kit])</f>
        <v>0</v>
      </c>
      <c r="AA1151" s="352">
        <f>IF(NFI_Expiration=1,IF($A1151&lt;VLOOKUP(J$5,NFI,5,0),1,0)*Table_NFI[[#This Row],[Sanitary Kit]],Table_NFI[Sanitary Kit])</f>
        <v>0</v>
      </c>
      <c r="AB1151" s="352">
        <f>IF(NFI_Expiration=1,IF($A1151&lt;VLOOKUP(K$5,NFI,5,0),1,0)*Table_NFI[[#This Row],[Mosquito net]],Table_NFI[Mosquito net])</f>
        <v>0</v>
      </c>
      <c r="AC1151" s="352">
        <f>IF(NFI_Expiration=1,IF($A1151&lt;VLOOKUP(L$5,NFI,5,0),1,0)*Table_NFI[[#This Row],[Tarpaulin]],Table_NFI[[#This Row],[Tarpaulin]])</f>
        <v>0</v>
      </c>
      <c r="AD1151" s="352">
        <f>IF(NFI_Expiration=1,IF($A1151&lt;VLOOKUP(M$5,NFI,5,0),1,0)*Table_NFI[[#This Row],[Blanket]],Table_NFI[[#This Row],[Blanket]])</f>
        <v>0</v>
      </c>
      <c r="AE1151" s="352">
        <f>IF(NFI_Expiration=1,IF($A1151&lt;VLOOKUP(N$5,NFI,5,0),1,0)*Table_NFI[[#This Row],[Kitchen Set]],Table_NFI[Kitchen Set])</f>
        <v>0</v>
      </c>
      <c r="AF1151" s="352">
        <f>IF(NFI_Expiration=1,IF($A1151&lt;VLOOKUP(O$5,NFI,5,0),1,0)*Table_NFI[[#This Row],[Clothes Kit]],Table_NFI[Clothes Kit])</f>
        <v>0</v>
      </c>
      <c r="AG1151" s="352">
        <f>IF(NFI_Expiration=1,IF($A1151&lt;VLOOKUP(P$5,NFI,5,0),1,0)*Table_NFI[[#This Row],[Plastic Bucket]],Table_NFI[Plastic Bucket])</f>
        <v>0</v>
      </c>
      <c r="AH1151" s="352">
        <f>IF(NFI_Expiration=1,IF($A1151&lt;VLOOKUP(Q$5,NFI,5,0),1,0)*Table_NFI[[#This Row],[Plastic Mat]],Table_NFI[Plastic Mat])*IF(Table_NFI[[#This Row],[Distribution Date]]&gt;"2014-04-01",1,2.5)</f>
        <v>0</v>
      </c>
      <c r="AI1151" s="352">
        <f>IF(NFI_Expiration=1,IF($A1151&lt;VLOOKUP(R$5,NFI,5,0),1,0)*Table_NFI[[#This Row],[Winter Clothes Adult]],Table_NFI[Winter Clothes Adult])</f>
        <v>0</v>
      </c>
      <c r="AJ1151" s="352">
        <f>IF(NFI_Expiration=1,IF($A1151&lt;VLOOKUP(S$5,NFI,5,0),1,0)*Table_NFI[[#This Row],[Winter Clothes Children]],Table_NFI[Winter Clothes Children])</f>
        <v>0</v>
      </c>
      <c r="AK1151" s="352">
        <f>IF(NFI_Expiration=1,IF($A1151&lt;VLOOKUP(T$5,NFI,5,0),1,0)*Table_NFI[[#This Row],[Winter Items Other]],Table_NFI[Winter Items Other])</f>
        <v>0</v>
      </c>
      <c r="AL1151" s="352">
        <f>IF(NFI_Expiration=1,IF($A1151&lt;VLOOKUP(M$5,NFI,5,0),1,0)*Table_NFI[[#This Row],[Winter Blanket]],Table_NFI[[#This Row],[Winter Blanket]])</f>
        <v>0</v>
      </c>
      <c r="AM1151" s="352">
        <f>IF(Table_NFI[[#This Row],[Winter Clothes Adult]]+Table_NFI[[#This Row],[Winter Clothes Children]]+Table_NFI[[#This Row],[Winter Items Other]]+Table_NFI[[#This Row],[Winter Blanket]]&gt;0,1,0)</f>
        <v>0</v>
      </c>
      <c r="AN1151" s="392">
        <f>IF(NFI_Expiration=1,IF($A1151&lt;VLOOKUP(V$5,NFI,5,0),1,0)*Table_NFI[[#This Row],[Jerry Can]],Table_NFI[Jerry Can])</f>
        <v>0</v>
      </c>
      <c r="AO1151" s="540" t="str">
        <f>IFERROR(VLOOKUP(Table_NFI[[#This Row],[Camp Name]],CL,2,0),"")</f>
        <v/>
      </c>
      <c r="AP1151" s="535" t="str">
        <f ca="1">IF(Table_NFI[[#This Row],[Pcode]]="","",IF(OFFSET(CampList[Opening Date],MATCH(Table_NFI[[#This Row],[Pcode]],CampList[CP_Pcode],0)-1,0,1,1)&gt;=NFI_Monitor_Date,1,0))</f>
        <v/>
      </c>
      <c r="AQ1151" s="540" t="str">
        <f>IFERROR(VLOOKUP(Table_NFI[[#This Row],[Camp Name]],CL,3,0),"")</f>
        <v/>
      </c>
      <c r="AR1151" s="352" t="str">
        <f ca="1">IF(Table_NFI[[#This Row],[Pcode]]="","",OFFSET(CampList[Priority],MATCH(Table_NFI[[#This Row],[Pcode]],CampList[CP_Pcode],0)-1,0,1,1))</f>
        <v/>
      </c>
      <c r="AS1151" s="351" t="str">
        <f>IFERROR(Table_NFI[[#This Row],[Kitchen Set]]/VLOOKUP(Table_NFI[[#This Row],[Camp Name]],CL,4,0),"")</f>
        <v/>
      </c>
      <c r="AT1151" s="533"/>
      <c r="AU1151" s="536"/>
    </row>
    <row r="1152" spans="1:47" ht="14.45" hidden="1" customHeight="1" x14ac:dyDescent="0.25">
      <c r="A1152" s="355" t="str">
        <f t="shared" si="18"/>
        <v/>
      </c>
      <c r="B1152" s="532"/>
      <c r="C1152" s="533"/>
      <c r="D1152" s="533"/>
      <c r="E1152" s="533"/>
      <c r="F1152" s="533"/>
      <c r="G1152" s="533"/>
      <c r="H1152" s="349"/>
      <c r="I1152" s="349"/>
      <c r="J1152" s="349"/>
      <c r="K1152" s="349"/>
      <c r="L1152" s="350"/>
      <c r="M1152" s="350"/>
      <c r="N1152" s="350"/>
      <c r="O1152" s="350"/>
      <c r="P1152" s="352"/>
      <c r="Q1152" s="392"/>
      <c r="R1152" s="392"/>
      <c r="S1152" s="392"/>
      <c r="T1152" s="392"/>
      <c r="U1152" s="392"/>
      <c r="V1152" s="497"/>
      <c r="W1152" s="392"/>
      <c r="X1152" s="392"/>
      <c r="Y1152" s="352">
        <f>IF(NFI_Expiration=1,IF($A1152&lt;VLOOKUP(H$5,NFI,5,0),1,0)*Table_NFI[[#This Row],[Hygiene Kit]],Table_NFI[Hygiene Kit])</f>
        <v>0</v>
      </c>
      <c r="Z1152" s="352">
        <f>IF(NFI_Expiration=1,IF($A1152&lt;VLOOKUP(I$5,NFI,5,0),1,0)*Table_NFI[[#This Row],[NFI Core Kit]],Table_NFI[NFI Core Kit])</f>
        <v>0</v>
      </c>
      <c r="AA1152" s="352">
        <f>IF(NFI_Expiration=1,IF($A1152&lt;VLOOKUP(J$5,NFI,5,0),1,0)*Table_NFI[[#This Row],[Sanitary Kit]],Table_NFI[Sanitary Kit])</f>
        <v>0</v>
      </c>
      <c r="AB1152" s="352">
        <f>IF(NFI_Expiration=1,IF($A1152&lt;VLOOKUP(K$5,NFI,5,0),1,0)*Table_NFI[[#This Row],[Mosquito net]],Table_NFI[Mosquito net])</f>
        <v>0</v>
      </c>
      <c r="AC1152" s="352">
        <f>IF(NFI_Expiration=1,IF($A1152&lt;VLOOKUP(L$5,NFI,5,0),1,0)*Table_NFI[[#This Row],[Tarpaulin]],Table_NFI[[#This Row],[Tarpaulin]])</f>
        <v>0</v>
      </c>
      <c r="AD1152" s="352">
        <f>IF(NFI_Expiration=1,IF($A1152&lt;VLOOKUP(M$5,NFI,5,0),1,0)*Table_NFI[[#This Row],[Blanket]],Table_NFI[[#This Row],[Blanket]])</f>
        <v>0</v>
      </c>
      <c r="AE1152" s="352">
        <f>IF(NFI_Expiration=1,IF($A1152&lt;VLOOKUP(N$5,NFI,5,0),1,0)*Table_NFI[[#This Row],[Kitchen Set]],Table_NFI[Kitchen Set])</f>
        <v>0</v>
      </c>
      <c r="AF1152" s="352">
        <f>IF(NFI_Expiration=1,IF($A1152&lt;VLOOKUP(O$5,NFI,5,0),1,0)*Table_NFI[[#This Row],[Clothes Kit]],Table_NFI[Clothes Kit])</f>
        <v>0</v>
      </c>
      <c r="AG1152" s="352">
        <f>IF(NFI_Expiration=1,IF($A1152&lt;VLOOKUP(P$5,NFI,5,0),1,0)*Table_NFI[[#This Row],[Plastic Bucket]],Table_NFI[Plastic Bucket])</f>
        <v>0</v>
      </c>
      <c r="AH1152" s="352">
        <f>IF(NFI_Expiration=1,IF($A1152&lt;VLOOKUP(Q$5,NFI,5,0),1,0)*Table_NFI[[#This Row],[Plastic Mat]],Table_NFI[Plastic Mat])*IF(Table_NFI[[#This Row],[Distribution Date]]&gt;"2014-04-01",1,2.5)</f>
        <v>0</v>
      </c>
      <c r="AI1152" s="352">
        <f>IF(NFI_Expiration=1,IF($A1152&lt;VLOOKUP(R$5,NFI,5,0),1,0)*Table_NFI[[#This Row],[Winter Clothes Adult]],Table_NFI[Winter Clothes Adult])</f>
        <v>0</v>
      </c>
      <c r="AJ1152" s="352">
        <f>IF(NFI_Expiration=1,IF($A1152&lt;VLOOKUP(S$5,NFI,5,0),1,0)*Table_NFI[[#This Row],[Winter Clothes Children]],Table_NFI[Winter Clothes Children])</f>
        <v>0</v>
      </c>
      <c r="AK1152" s="352">
        <f>IF(NFI_Expiration=1,IF($A1152&lt;VLOOKUP(T$5,NFI,5,0),1,0)*Table_NFI[[#This Row],[Winter Items Other]],Table_NFI[Winter Items Other])</f>
        <v>0</v>
      </c>
      <c r="AL1152" s="352">
        <f>IF(NFI_Expiration=1,IF($A1152&lt;VLOOKUP(M$5,NFI,5,0),1,0)*Table_NFI[[#This Row],[Winter Blanket]],Table_NFI[[#This Row],[Winter Blanket]])</f>
        <v>0</v>
      </c>
      <c r="AM1152" s="352">
        <f>IF(Table_NFI[[#This Row],[Winter Clothes Adult]]+Table_NFI[[#This Row],[Winter Clothes Children]]+Table_NFI[[#This Row],[Winter Items Other]]+Table_NFI[[#This Row],[Winter Blanket]]&gt;0,1,0)</f>
        <v>0</v>
      </c>
      <c r="AN1152" s="392">
        <f>IF(NFI_Expiration=1,IF($A1152&lt;VLOOKUP(V$5,NFI,5,0),1,0)*Table_NFI[[#This Row],[Jerry Can]],Table_NFI[Jerry Can])</f>
        <v>0</v>
      </c>
      <c r="AO1152" s="540" t="str">
        <f>IFERROR(VLOOKUP(Table_NFI[[#This Row],[Camp Name]],CL,2,0),"")</f>
        <v/>
      </c>
      <c r="AP1152" s="535" t="str">
        <f ca="1">IF(Table_NFI[[#This Row],[Pcode]]="","",IF(OFFSET(CampList[Opening Date],MATCH(Table_NFI[[#This Row],[Pcode]],CampList[CP_Pcode],0)-1,0,1,1)&gt;=NFI_Monitor_Date,1,0))</f>
        <v/>
      </c>
      <c r="AQ1152" s="540" t="str">
        <f>IFERROR(VLOOKUP(Table_NFI[[#This Row],[Camp Name]],CL,3,0),"")</f>
        <v/>
      </c>
      <c r="AR1152" s="352" t="str">
        <f ca="1">IF(Table_NFI[[#This Row],[Pcode]]="","",OFFSET(CampList[Priority],MATCH(Table_NFI[[#This Row],[Pcode]],CampList[CP_Pcode],0)-1,0,1,1))</f>
        <v/>
      </c>
      <c r="AS1152" s="351" t="str">
        <f>IFERROR(Table_NFI[[#This Row],[Kitchen Set]]/VLOOKUP(Table_NFI[[#This Row],[Camp Name]],CL,4,0),"")</f>
        <v/>
      </c>
      <c r="AT1152" s="533"/>
      <c r="AU1152" s="536"/>
    </row>
    <row r="1153" spans="1:47" ht="14.45" hidden="1" customHeight="1" x14ac:dyDescent="0.25">
      <c r="A1153" s="355" t="str">
        <f t="shared" si="18"/>
        <v/>
      </c>
      <c r="B1153" s="532"/>
      <c r="C1153" s="533"/>
      <c r="D1153" s="533"/>
      <c r="E1153" s="533"/>
      <c r="F1153" s="533"/>
      <c r="G1153" s="533"/>
      <c r="H1153" s="349"/>
      <c r="I1153" s="349"/>
      <c r="J1153" s="349"/>
      <c r="K1153" s="349"/>
      <c r="L1153" s="350"/>
      <c r="M1153" s="350"/>
      <c r="N1153" s="350"/>
      <c r="O1153" s="350"/>
      <c r="P1153" s="352"/>
      <c r="Q1153" s="392"/>
      <c r="R1153" s="392"/>
      <c r="S1153" s="392"/>
      <c r="T1153" s="392"/>
      <c r="U1153" s="392"/>
      <c r="V1153" s="497"/>
      <c r="W1153" s="392"/>
      <c r="X1153" s="392"/>
      <c r="Y1153" s="352">
        <f>IF(NFI_Expiration=1,IF($A1153&lt;VLOOKUP(H$5,NFI,5,0),1,0)*Table_NFI[[#This Row],[Hygiene Kit]],Table_NFI[Hygiene Kit])</f>
        <v>0</v>
      </c>
      <c r="Z1153" s="352">
        <f>IF(NFI_Expiration=1,IF($A1153&lt;VLOOKUP(I$5,NFI,5,0),1,0)*Table_NFI[[#This Row],[NFI Core Kit]],Table_NFI[NFI Core Kit])</f>
        <v>0</v>
      </c>
      <c r="AA1153" s="352">
        <f>IF(NFI_Expiration=1,IF($A1153&lt;VLOOKUP(J$5,NFI,5,0),1,0)*Table_NFI[[#This Row],[Sanitary Kit]],Table_NFI[Sanitary Kit])</f>
        <v>0</v>
      </c>
      <c r="AB1153" s="352">
        <f>IF(NFI_Expiration=1,IF($A1153&lt;VLOOKUP(K$5,NFI,5,0),1,0)*Table_NFI[[#This Row],[Mosquito net]],Table_NFI[Mosquito net])</f>
        <v>0</v>
      </c>
      <c r="AC1153" s="352">
        <f>IF(NFI_Expiration=1,IF($A1153&lt;VLOOKUP(L$5,NFI,5,0),1,0)*Table_NFI[[#This Row],[Tarpaulin]],Table_NFI[[#This Row],[Tarpaulin]])</f>
        <v>0</v>
      </c>
      <c r="AD1153" s="352">
        <f>IF(NFI_Expiration=1,IF($A1153&lt;VLOOKUP(M$5,NFI,5,0),1,0)*Table_NFI[[#This Row],[Blanket]],Table_NFI[[#This Row],[Blanket]])</f>
        <v>0</v>
      </c>
      <c r="AE1153" s="352">
        <f>IF(NFI_Expiration=1,IF($A1153&lt;VLOOKUP(N$5,NFI,5,0),1,0)*Table_NFI[[#This Row],[Kitchen Set]],Table_NFI[Kitchen Set])</f>
        <v>0</v>
      </c>
      <c r="AF1153" s="352">
        <f>IF(NFI_Expiration=1,IF($A1153&lt;VLOOKUP(O$5,NFI,5,0),1,0)*Table_NFI[[#This Row],[Clothes Kit]],Table_NFI[Clothes Kit])</f>
        <v>0</v>
      </c>
      <c r="AG1153" s="352">
        <f>IF(NFI_Expiration=1,IF($A1153&lt;VLOOKUP(P$5,NFI,5,0),1,0)*Table_NFI[[#This Row],[Plastic Bucket]],Table_NFI[Plastic Bucket])</f>
        <v>0</v>
      </c>
      <c r="AH1153" s="352">
        <f>IF(NFI_Expiration=1,IF($A1153&lt;VLOOKUP(Q$5,NFI,5,0),1,0)*Table_NFI[[#This Row],[Plastic Mat]],Table_NFI[Plastic Mat])*IF(Table_NFI[[#This Row],[Distribution Date]]&gt;"2014-04-01",1,2.5)</f>
        <v>0</v>
      </c>
      <c r="AI1153" s="352">
        <f>IF(NFI_Expiration=1,IF($A1153&lt;VLOOKUP(R$5,NFI,5,0),1,0)*Table_NFI[[#This Row],[Winter Clothes Adult]],Table_NFI[Winter Clothes Adult])</f>
        <v>0</v>
      </c>
      <c r="AJ1153" s="352">
        <f>IF(NFI_Expiration=1,IF($A1153&lt;VLOOKUP(S$5,NFI,5,0),1,0)*Table_NFI[[#This Row],[Winter Clothes Children]],Table_NFI[Winter Clothes Children])</f>
        <v>0</v>
      </c>
      <c r="AK1153" s="352">
        <f>IF(NFI_Expiration=1,IF($A1153&lt;VLOOKUP(T$5,NFI,5,0),1,0)*Table_NFI[[#This Row],[Winter Items Other]],Table_NFI[Winter Items Other])</f>
        <v>0</v>
      </c>
      <c r="AL1153" s="352">
        <f>IF(NFI_Expiration=1,IF($A1153&lt;VLOOKUP(M$5,NFI,5,0),1,0)*Table_NFI[[#This Row],[Winter Blanket]],Table_NFI[[#This Row],[Winter Blanket]])</f>
        <v>0</v>
      </c>
      <c r="AM1153" s="352">
        <f>IF(Table_NFI[[#This Row],[Winter Clothes Adult]]+Table_NFI[[#This Row],[Winter Clothes Children]]+Table_NFI[[#This Row],[Winter Items Other]]+Table_NFI[[#This Row],[Winter Blanket]]&gt;0,1,0)</f>
        <v>0</v>
      </c>
      <c r="AN1153" s="392">
        <f>IF(NFI_Expiration=1,IF($A1153&lt;VLOOKUP(V$5,NFI,5,0),1,0)*Table_NFI[[#This Row],[Jerry Can]],Table_NFI[Jerry Can])</f>
        <v>0</v>
      </c>
      <c r="AO1153" s="540" t="str">
        <f>IFERROR(VLOOKUP(Table_NFI[[#This Row],[Camp Name]],CL,2,0),"")</f>
        <v/>
      </c>
      <c r="AP1153" s="535" t="str">
        <f ca="1">IF(Table_NFI[[#This Row],[Pcode]]="","",IF(OFFSET(CampList[Opening Date],MATCH(Table_NFI[[#This Row],[Pcode]],CampList[CP_Pcode],0)-1,0,1,1)&gt;=NFI_Monitor_Date,1,0))</f>
        <v/>
      </c>
      <c r="AQ1153" s="540" t="str">
        <f>IFERROR(VLOOKUP(Table_NFI[[#This Row],[Camp Name]],CL,3,0),"")</f>
        <v/>
      </c>
      <c r="AR1153" s="352" t="str">
        <f ca="1">IF(Table_NFI[[#This Row],[Pcode]]="","",OFFSET(CampList[Priority],MATCH(Table_NFI[[#This Row],[Pcode]],CampList[CP_Pcode],0)-1,0,1,1))</f>
        <v/>
      </c>
      <c r="AS1153" s="351" t="str">
        <f>IFERROR(Table_NFI[[#This Row],[Kitchen Set]]/VLOOKUP(Table_NFI[[#This Row],[Camp Name]],CL,4,0),"")</f>
        <v/>
      </c>
      <c r="AT1153" s="538"/>
      <c r="AU1153" s="541"/>
    </row>
    <row r="1154" spans="1:47" ht="14.45" hidden="1" customHeight="1" x14ac:dyDescent="0.25">
      <c r="A1154" s="355" t="str">
        <f t="shared" si="18"/>
        <v/>
      </c>
      <c r="B1154" s="532"/>
      <c r="C1154" s="538"/>
      <c r="D1154" s="538"/>
      <c r="E1154" s="538"/>
      <c r="F1154" s="533"/>
      <c r="G1154" s="538"/>
      <c r="H1154" s="350"/>
      <c r="I1154" s="350"/>
      <c r="J1154" s="350"/>
      <c r="K1154" s="350"/>
      <c r="L1154" s="350"/>
      <c r="M1154" s="350"/>
      <c r="N1154" s="350"/>
      <c r="O1154" s="350"/>
      <c r="P1154" s="352"/>
      <c r="Q1154" s="392"/>
      <c r="R1154" s="392"/>
      <c r="S1154" s="392"/>
      <c r="T1154" s="392"/>
      <c r="U1154" s="392"/>
      <c r="V1154" s="497"/>
      <c r="W1154" s="392"/>
      <c r="X1154" s="392"/>
      <c r="Y1154" s="352">
        <f>IF(NFI_Expiration=1,IF($A1154&lt;VLOOKUP(H$5,NFI,5,0),1,0)*Table_NFI[[#This Row],[Hygiene Kit]],Table_NFI[Hygiene Kit])</f>
        <v>0</v>
      </c>
      <c r="Z1154" s="352">
        <f>IF(NFI_Expiration=1,IF($A1154&lt;VLOOKUP(I$5,NFI,5,0),1,0)*Table_NFI[[#This Row],[NFI Core Kit]],Table_NFI[NFI Core Kit])</f>
        <v>0</v>
      </c>
      <c r="AA1154" s="352">
        <f>IF(NFI_Expiration=1,IF($A1154&lt;VLOOKUP(J$5,NFI,5,0),1,0)*Table_NFI[[#This Row],[Sanitary Kit]],Table_NFI[Sanitary Kit])</f>
        <v>0</v>
      </c>
      <c r="AB1154" s="352">
        <f>IF(NFI_Expiration=1,IF($A1154&lt;VLOOKUP(K$5,NFI,5,0),1,0)*Table_NFI[[#This Row],[Mosquito net]],Table_NFI[Mosquito net])</f>
        <v>0</v>
      </c>
      <c r="AC1154" s="352">
        <f>IF(NFI_Expiration=1,IF($A1154&lt;VLOOKUP(L$5,NFI,5,0),1,0)*Table_NFI[[#This Row],[Tarpaulin]],Table_NFI[[#This Row],[Tarpaulin]])</f>
        <v>0</v>
      </c>
      <c r="AD1154" s="352">
        <f>IF(NFI_Expiration=1,IF($A1154&lt;VLOOKUP(M$5,NFI,5,0),1,0)*Table_NFI[[#This Row],[Blanket]],Table_NFI[[#This Row],[Blanket]])</f>
        <v>0</v>
      </c>
      <c r="AE1154" s="352">
        <f>IF(NFI_Expiration=1,IF($A1154&lt;VLOOKUP(N$5,NFI,5,0),1,0)*Table_NFI[[#This Row],[Kitchen Set]],Table_NFI[Kitchen Set])</f>
        <v>0</v>
      </c>
      <c r="AF1154" s="352">
        <f>IF(NFI_Expiration=1,IF($A1154&lt;VLOOKUP(O$5,NFI,5,0),1,0)*Table_NFI[[#This Row],[Clothes Kit]],Table_NFI[Clothes Kit])</f>
        <v>0</v>
      </c>
      <c r="AG1154" s="352">
        <f>IF(NFI_Expiration=1,IF($A1154&lt;VLOOKUP(P$5,NFI,5,0),1,0)*Table_NFI[[#This Row],[Plastic Bucket]],Table_NFI[Plastic Bucket])</f>
        <v>0</v>
      </c>
      <c r="AH1154" s="352">
        <f>IF(NFI_Expiration=1,IF($A1154&lt;VLOOKUP(Q$5,NFI,5,0),1,0)*Table_NFI[[#This Row],[Plastic Mat]],Table_NFI[Plastic Mat])*IF(Table_NFI[[#This Row],[Distribution Date]]&gt;"2014-04-01",1,2.5)</f>
        <v>0</v>
      </c>
      <c r="AI1154" s="352">
        <f>IF(NFI_Expiration=1,IF($A1154&lt;VLOOKUP(R$5,NFI,5,0),1,0)*Table_NFI[[#This Row],[Winter Clothes Adult]],Table_NFI[Winter Clothes Adult])</f>
        <v>0</v>
      </c>
      <c r="AJ1154" s="352">
        <f>IF(NFI_Expiration=1,IF($A1154&lt;VLOOKUP(S$5,NFI,5,0),1,0)*Table_NFI[[#This Row],[Winter Clothes Children]],Table_NFI[Winter Clothes Children])</f>
        <v>0</v>
      </c>
      <c r="AK1154" s="352">
        <f>IF(NFI_Expiration=1,IF($A1154&lt;VLOOKUP(T$5,NFI,5,0),1,0)*Table_NFI[[#This Row],[Winter Items Other]],Table_NFI[Winter Items Other])</f>
        <v>0</v>
      </c>
      <c r="AL1154" s="352">
        <f>IF(NFI_Expiration=1,IF($A1154&lt;VLOOKUP(M$5,NFI,5,0),1,0)*Table_NFI[[#This Row],[Winter Blanket]],Table_NFI[[#This Row],[Winter Blanket]])</f>
        <v>0</v>
      </c>
      <c r="AM1154" s="352">
        <f>IF(Table_NFI[[#This Row],[Winter Clothes Adult]]+Table_NFI[[#This Row],[Winter Clothes Children]]+Table_NFI[[#This Row],[Winter Items Other]]+Table_NFI[[#This Row],[Winter Blanket]]&gt;0,1,0)</f>
        <v>0</v>
      </c>
      <c r="AN1154" s="392">
        <f>IF(NFI_Expiration=1,IF($A1154&lt;VLOOKUP(V$5,NFI,5,0),1,0)*Table_NFI[[#This Row],[Jerry Can]],Table_NFI[Jerry Can])</f>
        <v>0</v>
      </c>
      <c r="AO1154" s="540" t="str">
        <f>IFERROR(VLOOKUP(Table_NFI[[#This Row],[Camp Name]],CL,2,0),"")</f>
        <v/>
      </c>
      <c r="AP1154" s="535" t="str">
        <f ca="1">IF(Table_NFI[[#This Row],[Pcode]]="","",IF(OFFSET(CampList[Opening Date],MATCH(Table_NFI[[#This Row],[Pcode]],CampList[CP_Pcode],0)-1,0,1,1)&gt;=NFI_Monitor_Date,1,0))</f>
        <v/>
      </c>
      <c r="AQ1154" s="540" t="str">
        <f>IFERROR(VLOOKUP(Table_NFI[[#This Row],[Camp Name]],CL,3,0),"")</f>
        <v/>
      </c>
      <c r="AR1154" s="352" t="str">
        <f ca="1">IF(Table_NFI[[#This Row],[Pcode]]="","",OFFSET(CampList[Priority],MATCH(Table_NFI[[#This Row],[Pcode]],CampList[CP_Pcode],0)-1,0,1,1))</f>
        <v/>
      </c>
      <c r="AS1154" s="351" t="str">
        <f>IFERROR(Table_NFI[[#This Row],[Kitchen Set]]/VLOOKUP(Table_NFI[[#This Row],[Camp Name]],CL,4,0),"")</f>
        <v/>
      </c>
      <c r="AT1154" s="533"/>
      <c r="AU1154" s="557"/>
    </row>
    <row r="1155" spans="1:47" ht="14.45" hidden="1" customHeight="1" x14ac:dyDescent="0.25">
      <c r="A1155" s="355" t="str">
        <f t="shared" si="18"/>
        <v/>
      </c>
      <c r="B1155" s="532"/>
      <c r="C1155" s="533"/>
      <c r="D1155" s="533"/>
      <c r="E1155" s="533"/>
      <c r="F1155" s="533"/>
      <c r="G1155" s="533"/>
      <c r="H1155" s="349"/>
      <c r="I1155" s="349"/>
      <c r="J1155" s="349"/>
      <c r="K1155" s="349"/>
      <c r="L1155" s="350"/>
      <c r="M1155" s="350"/>
      <c r="N1155" s="350"/>
      <c r="O1155" s="350"/>
      <c r="P1155" s="352"/>
      <c r="Q1155" s="392"/>
      <c r="R1155" s="392"/>
      <c r="S1155" s="392"/>
      <c r="T1155" s="392"/>
      <c r="U1155" s="392"/>
      <c r="V1155" s="497"/>
      <c r="W1155" s="392"/>
      <c r="X1155" s="392"/>
      <c r="Y1155" s="352">
        <f>IF(NFI_Expiration=1,IF($A1155&lt;VLOOKUP(H$5,NFI,5,0),1,0)*Table_NFI[[#This Row],[Hygiene Kit]],Table_NFI[Hygiene Kit])</f>
        <v>0</v>
      </c>
      <c r="Z1155" s="352">
        <f>IF(NFI_Expiration=1,IF($A1155&lt;VLOOKUP(I$5,NFI,5,0),1,0)*Table_NFI[[#This Row],[NFI Core Kit]],Table_NFI[NFI Core Kit])</f>
        <v>0</v>
      </c>
      <c r="AA1155" s="352">
        <f>IF(NFI_Expiration=1,IF($A1155&lt;VLOOKUP(J$5,NFI,5,0),1,0)*Table_NFI[[#This Row],[Sanitary Kit]],Table_NFI[Sanitary Kit])</f>
        <v>0</v>
      </c>
      <c r="AB1155" s="352">
        <f>IF(NFI_Expiration=1,IF($A1155&lt;VLOOKUP(K$5,NFI,5,0),1,0)*Table_NFI[[#This Row],[Mosquito net]],Table_NFI[Mosquito net])</f>
        <v>0</v>
      </c>
      <c r="AC1155" s="352">
        <f>IF(NFI_Expiration=1,IF($A1155&lt;VLOOKUP(L$5,NFI,5,0),1,0)*Table_NFI[[#This Row],[Tarpaulin]],Table_NFI[[#This Row],[Tarpaulin]])</f>
        <v>0</v>
      </c>
      <c r="AD1155" s="352">
        <f>IF(NFI_Expiration=1,IF($A1155&lt;VLOOKUP(M$5,NFI,5,0),1,0)*Table_NFI[[#This Row],[Blanket]],Table_NFI[[#This Row],[Blanket]])</f>
        <v>0</v>
      </c>
      <c r="AE1155" s="352">
        <f>IF(NFI_Expiration=1,IF($A1155&lt;VLOOKUP(N$5,NFI,5,0),1,0)*Table_NFI[[#This Row],[Kitchen Set]],Table_NFI[Kitchen Set])</f>
        <v>0</v>
      </c>
      <c r="AF1155" s="352">
        <f>IF(NFI_Expiration=1,IF($A1155&lt;VLOOKUP(O$5,NFI,5,0),1,0)*Table_NFI[[#This Row],[Clothes Kit]],Table_NFI[Clothes Kit])</f>
        <v>0</v>
      </c>
      <c r="AG1155" s="352">
        <f>IF(NFI_Expiration=1,IF($A1155&lt;VLOOKUP(P$5,NFI,5,0),1,0)*Table_NFI[[#This Row],[Plastic Bucket]],Table_NFI[Plastic Bucket])</f>
        <v>0</v>
      </c>
      <c r="AH1155" s="352">
        <f>IF(NFI_Expiration=1,IF($A1155&lt;VLOOKUP(Q$5,NFI,5,0),1,0)*Table_NFI[[#This Row],[Plastic Mat]],Table_NFI[Plastic Mat])*IF(Table_NFI[[#This Row],[Distribution Date]]&gt;"2014-04-01",1,2.5)</f>
        <v>0</v>
      </c>
      <c r="AI1155" s="352">
        <f>IF(NFI_Expiration=1,IF($A1155&lt;VLOOKUP(R$5,NFI,5,0),1,0)*Table_NFI[[#This Row],[Winter Clothes Adult]],Table_NFI[Winter Clothes Adult])</f>
        <v>0</v>
      </c>
      <c r="AJ1155" s="352">
        <f>IF(NFI_Expiration=1,IF($A1155&lt;VLOOKUP(S$5,NFI,5,0),1,0)*Table_NFI[[#This Row],[Winter Clothes Children]],Table_NFI[Winter Clothes Children])</f>
        <v>0</v>
      </c>
      <c r="AK1155" s="352">
        <f>IF(NFI_Expiration=1,IF($A1155&lt;VLOOKUP(T$5,NFI,5,0),1,0)*Table_NFI[[#This Row],[Winter Items Other]],Table_NFI[Winter Items Other])</f>
        <v>0</v>
      </c>
      <c r="AL1155" s="352">
        <f>IF(NFI_Expiration=1,IF($A1155&lt;VLOOKUP(M$5,NFI,5,0),1,0)*Table_NFI[[#This Row],[Winter Blanket]],Table_NFI[[#This Row],[Winter Blanket]])</f>
        <v>0</v>
      </c>
      <c r="AM1155" s="352">
        <f>IF(Table_NFI[[#This Row],[Winter Clothes Adult]]+Table_NFI[[#This Row],[Winter Clothes Children]]+Table_NFI[[#This Row],[Winter Items Other]]+Table_NFI[[#This Row],[Winter Blanket]]&gt;0,1,0)</f>
        <v>0</v>
      </c>
      <c r="AN1155" s="392">
        <f>IF(NFI_Expiration=1,IF($A1155&lt;VLOOKUP(V$5,NFI,5,0),1,0)*Table_NFI[[#This Row],[Jerry Can]],Table_NFI[Jerry Can])</f>
        <v>0</v>
      </c>
      <c r="AO1155" s="540" t="str">
        <f>IFERROR(VLOOKUP(Table_NFI[[#This Row],[Camp Name]],CL,2,0),"")</f>
        <v/>
      </c>
      <c r="AP1155" s="535" t="str">
        <f ca="1">IF(Table_NFI[[#This Row],[Pcode]]="","",IF(OFFSET(CampList[Opening Date],MATCH(Table_NFI[[#This Row],[Pcode]],CampList[CP_Pcode],0)-1,0,1,1)&gt;=NFI_Monitor_Date,1,0))</f>
        <v/>
      </c>
      <c r="AQ1155" s="540" t="str">
        <f>IFERROR(VLOOKUP(Table_NFI[[#This Row],[Camp Name]],CL,3,0),"")</f>
        <v/>
      </c>
      <c r="AR1155" s="352" t="str">
        <f ca="1">IF(Table_NFI[[#This Row],[Pcode]]="","",OFFSET(CampList[Priority],MATCH(Table_NFI[[#This Row],[Pcode]],CampList[CP_Pcode],0)-1,0,1,1))</f>
        <v/>
      </c>
      <c r="AS1155" s="351" t="str">
        <f>IFERROR(Table_NFI[[#This Row],[Kitchen Set]]/VLOOKUP(Table_NFI[[#This Row],[Camp Name]],CL,4,0),"")</f>
        <v/>
      </c>
      <c r="AT1155" s="533"/>
      <c r="AU1155" s="536"/>
    </row>
    <row r="1156" spans="1:47" ht="14.45" hidden="1" customHeight="1" x14ac:dyDescent="0.25">
      <c r="A1156" s="355" t="str">
        <f t="shared" si="18"/>
        <v/>
      </c>
      <c r="B1156" s="532"/>
      <c r="C1156" s="538"/>
      <c r="D1156" s="538"/>
      <c r="E1156" s="533"/>
      <c r="F1156" s="533"/>
      <c r="G1156" s="533"/>
      <c r="H1156" s="350"/>
      <c r="I1156" s="350"/>
      <c r="J1156" s="350"/>
      <c r="K1156" s="350"/>
      <c r="L1156" s="350"/>
      <c r="M1156" s="350"/>
      <c r="N1156" s="350"/>
      <c r="O1156" s="350"/>
      <c r="P1156" s="352"/>
      <c r="Q1156" s="392"/>
      <c r="R1156" s="392"/>
      <c r="S1156" s="392"/>
      <c r="T1156" s="392"/>
      <c r="U1156" s="392"/>
      <c r="V1156" s="497"/>
      <c r="W1156" s="392"/>
      <c r="X1156" s="392"/>
      <c r="Y1156" s="352">
        <f>IF(NFI_Expiration=1,IF($A1156&lt;VLOOKUP(H$5,NFI,5,0),1,0)*Table_NFI[[#This Row],[Hygiene Kit]],Table_NFI[Hygiene Kit])</f>
        <v>0</v>
      </c>
      <c r="Z1156" s="352">
        <f>IF(NFI_Expiration=1,IF($A1156&lt;VLOOKUP(I$5,NFI,5,0),1,0)*Table_NFI[[#This Row],[NFI Core Kit]],Table_NFI[NFI Core Kit])</f>
        <v>0</v>
      </c>
      <c r="AA1156" s="352">
        <f>IF(NFI_Expiration=1,IF($A1156&lt;VLOOKUP(J$5,NFI,5,0),1,0)*Table_NFI[[#This Row],[Sanitary Kit]],Table_NFI[Sanitary Kit])</f>
        <v>0</v>
      </c>
      <c r="AB1156" s="352">
        <f>IF(NFI_Expiration=1,IF($A1156&lt;VLOOKUP(K$5,NFI,5,0),1,0)*Table_NFI[[#This Row],[Mosquito net]],Table_NFI[Mosquito net])</f>
        <v>0</v>
      </c>
      <c r="AC1156" s="352">
        <f>IF(NFI_Expiration=1,IF($A1156&lt;VLOOKUP(L$5,NFI,5,0),1,0)*Table_NFI[[#This Row],[Tarpaulin]],Table_NFI[[#This Row],[Tarpaulin]])</f>
        <v>0</v>
      </c>
      <c r="AD1156" s="352">
        <f>IF(NFI_Expiration=1,IF($A1156&lt;VLOOKUP(M$5,NFI,5,0),1,0)*Table_NFI[[#This Row],[Blanket]],Table_NFI[[#This Row],[Blanket]])</f>
        <v>0</v>
      </c>
      <c r="AE1156" s="352">
        <f>IF(NFI_Expiration=1,IF($A1156&lt;VLOOKUP(N$5,NFI,5,0),1,0)*Table_NFI[[#This Row],[Kitchen Set]],Table_NFI[Kitchen Set])</f>
        <v>0</v>
      </c>
      <c r="AF1156" s="352">
        <f>IF(NFI_Expiration=1,IF($A1156&lt;VLOOKUP(O$5,NFI,5,0),1,0)*Table_NFI[[#This Row],[Clothes Kit]],Table_NFI[Clothes Kit])</f>
        <v>0</v>
      </c>
      <c r="AG1156" s="352">
        <f>IF(NFI_Expiration=1,IF($A1156&lt;VLOOKUP(P$5,NFI,5,0),1,0)*Table_NFI[[#This Row],[Plastic Bucket]],Table_NFI[Plastic Bucket])</f>
        <v>0</v>
      </c>
      <c r="AH1156" s="352">
        <f>IF(NFI_Expiration=1,IF($A1156&lt;VLOOKUP(Q$5,NFI,5,0),1,0)*Table_NFI[[#This Row],[Plastic Mat]],Table_NFI[Plastic Mat])*IF(Table_NFI[[#This Row],[Distribution Date]]&gt;"2014-04-01",1,2.5)</f>
        <v>0</v>
      </c>
      <c r="AI1156" s="352">
        <f>IF(NFI_Expiration=1,IF($A1156&lt;VLOOKUP(R$5,NFI,5,0),1,0)*Table_NFI[[#This Row],[Winter Clothes Adult]],Table_NFI[Winter Clothes Adult])</f>
        <v>0</v>
      </c>
      <c r="AJ1156" s="352">
        <f>IF(NFI_Expiration=1,IF($A1156&lt;VLOOKUP(S$5,NFI,5,0),1,0)*Table_NFI[[#This Row],[Winter Clothes Children]],Table_NFI[Winter Clothes Children])</f>
        <v>0</v>
      </c>
      <c r="AK1156" s="352">
        <f>IF(NFI_Expiration=1,IF($A1156&lt;VLOOKUP(T$5,NFI,5,0),1,0)*Table_NFI[[#This Row],[Winter Items Other]],Table_NFI[Winter Items Other])</f>
        <v>0</v>
      </c>
      <c r="AL1156" s="352">
        <f>IF(NFI_Expiration=1,IF($A1156&lt;VLOOKUP(M$5,NFI,5,0),1,0)*Table_NFI[[#This Row],[Winter Blanket]],Table_NFI[[#This Row],[Winter Blanket]])</f>
        <v>0</v>
      </c>
      <c r="AM1156" s="352">
        <f>IF(Table_NFI[[#This Row],[Winter Clothes Adult]]+Table_NFI[[#This Row],[Winter Clothes Children]]+Table_NFI[[#This Row],[Winter Items Other]]+Table_NFI[[#This Row],[Winter Blanket]]&gt;0,1,0)</f>
        <v>0</v>
      </c>
      <c r="AN1156" s="392">
        <f>IF(NFI_Expiration=1,IF($A1156&lt;VLOOKUP(V$5,NFI,5,0),1,0)*Table_NFI[[#This Row],[Jerry Can]],Table_NFI[Jerry Can])</f>
        <v>0</v>
      </c>
      <c r="AO1156" s="540" t="str">
        <f>IFERROR(VLOOKUP(Table_NFI[[#This Row],[Camp Name]],CL,2,0),"")</f>
        <v/>
      </c>
      <c r="AP1156" s="535" t="str">
        <f ca="1">IF(Table_NFI[[#This Row],[Pcode]]="","",IF(OFFSET(CampList[Opening Date],MATCH(Table_NFI[[#This Row],[Pcode]],CampList[CP_Pcode],0)-1,0,1,1)&gt;=NFI_Monitor_Date,1,0))</f>
        <v/>
      </c>
      <c r="AQ1156" s="540" t="str">
        <f>IFERROR(VLOOKUP(Table_NFI[[#This Row],[Camp Name]],CL,3,0),"")</f>
        <v/>
      </c>
      <c r="AR1156" s="352" t="str">
        <f ca="1">IF(Table_NFI[[#This Row],[Pcode]]="","",OFFSET(CampList[Priority],MATCH(Table_NFI[[#This Row],[Pcode]],CampList[CP_Pcode],0)-1,0,1,1))</f>
        <v/>
      </c>
      <c r="AS1156" s="351" t="str">
        <f>IFERROR(Table_NFI[[#This Row],[Kitchen Set]]/VLOOKUP(Table_NFI[[#This Row],[Camp Name]],CL,4,0),"")</f>
        <v/>
      </c>
      <c r="AT1156" s="533"/>
      <c r="AU1156" s="536"/>
    </row>
    <row r="1157" spans="1:47" ht="14.45" hidden="1" customHeight="1" x14ac:dyDescent="0.25">
      <c r="A1157" s="355" t="str">
        <f t="shared" si="18"/>
        <v/>
      </c>
      <c r="B1157" s="532"/>
      <c r="C1157" s="533"/>
      <c r="D1157" s="533"/>
      <c r="E1157" s="533"/>
      <c r="F1157" s="533"/>
      <c r="G1157" s="533"/>
      <c r="H1157" s="349"/>
      <c r="I1157" s="349"/>
      <c r="J1157" s="349"/>
      <c r="K1157" s="349"/>
      <c r="L1157" s="350"/>
      <c r="M1157" s="350"/>
      <c r="N1157" s="350"/>
      <c r="O1157" s="350"/>
      <c r="P1157" s="352"/>
      <c r="Q1157" s="392"/>
      <c r="R1157" s="392"/>
      <c r="S1157" s="392"/>
      <c r="T1157" s="392"/>
      <c r="U1157" s="392"/>
      <c r="V1157" s="497"/>
      <c r="W1157" s="392"/>
      <c r="X1157" s="392"/>
      <c r="Y1157" s="352">
        <f>IF(NFI_Expiration=1,IF($A1157&lt;VLOOKUP(H$5,NFI,5,0),1,0)*Table_NFI[[#This Row],[Hygiene Kit]],Table_NFI[Hygiene Kit])</f>
        <v>0</v>
      </c>
      <c r="Z1157" s="352">
        <f>IF(NFI_Expiration=1,IF($A1157&lt;VLOOKUP(I$5,NFI,5,0),1,0)*Table_NFI[[#This Row],[NFI Core Kit]],Table_NFI[NFI Core Kit])</f>
        <v>0</v>
      </c>
      <c r="AA1157" s="352">
        <f>IF(NFI_Expiration=1,IF($A1157&lt;VLOOKUP(J$5,NFI,5,0),1,0)*Table_NFI[[#This Row],[Sanitary Kit]],Table_NFI[Sanitary Kit])</f>
        <v>0</v>
      </c>
      <c r="AB1157" s="352">
        <f>IF(NFI_Expiration=1,IF($A1157&lt;VLOOKUP(K$5,NFI,5,0),1,0)*Table_NFI[[#This Row],[Mosquito net]],Table_NFI[Mosquito net])</f>
        <v>0</v>
      </c>
      <c r="AC1157" s="352">
        <f>IF(NFI_Expiration=1,IF($A1157&lt;VLOOKUP(L$5,NFI,5,0),1,0)*Table_NFI[[#This Row],[Tarpaulin]],Table_NFI[[#This Row],[Tarpaulin]])</f>
        <v>0</v>
      </c>
      <c r="AD1157" s="352">
        <f>IF(NFI_Expiration=1,IF($A1157&lt;VLOOKUP(M$5,NFI,5,0),1,0)*Table_NFI[[#This Row],[Blanket]],Table_NFI[[#This Row],[Blanket]])</f>
        <v>0</v>
      </c>
      <c r="AE1157" s="352">
        <f>IF(NFI_Expiration=1,IF($A1157&lt;VLOOKUP(N$5,NFI,5,0),1,0)*Table_NFI[[#This Row],[Kitchen Set]],Table_NFI[Kitchen Set])</f>
        <v>0</v>
      </c>
      <c r="AF1157" s="352">
        <f>IF(NFI_Expiration=1,IF($A1157&lt;VLOOKUP(O$5,NFI,5,0),1,0)*Table_NFI[[#This Row],[Clothes Kit]],Table_NFI[Clothes Kit])</f>
        <v>0</v>
      </c>
      <c r="AG1157" s="352">
        <f>IF(NFI_Expiration=1,IF($A1157&lt;VLOOKUP(P$5,NFI,5,0),1,0)*Table_NFI[[#This Row],[Plastic Bucket]],Table_NFI[Plastic Bucket])</f>
        <v>0</v>
      </c>
      <c r="AH1157" s="352">
        <f>IF(NFI_Expiration=1,IF($A1157&lt;VLOOKUP(Q$5,NFI,5,0),1,0)*Table_NFI[[#This Row],[Plastic Mat]],Table_NFI[Plastic Mat])*IF(Table_NFI[[#This Row],[Distribution Date]]&gt;"2014-04-01",1,2.5)</f>
        <v>0</v>
      </c>
      <c r="AI1157" s="352">
        <f>IF(NFI_Expiration=1,IF($A1157&lt;VLOOKUP(R$5,NFI,5,0),1,0)*Table_NFI[[#This Row],[Winter Clothes Adult]],Table_NFI[Winter Clothes Adult])</f>
        <v>0</v>
      </c>
      <c r="AJ1157" s="352">
        <f>IF(NFI_Expiration=1,IF($A1157&lt;VLOOKUP(S$5,NFI,5,0),1,0)*Table_NFI[[#This Row],[Winter Clothes Children]],Table_NFI[Winter Clothes Children])</f>
        <v>0</v>
      </c>
      <c r="AK1157" s="352">
        <f>IF(NFI_Expiration=1,IF($A1157&lt;VLOOKUP(T$5,NFI,5,0),1,0)*Table_NFI[[#This Row],[Winter Items Other]],Table_NFI[Winter Items Other])</f>
        <v>0</v>
      </c>
      <c r="AL1157" s="352">
        <f>IF(NFI_Expiration=1,IF($A1157&lt;VLOOKUP(M$5,NFI,5,0),1,0)*Table_NFI[[#This Row],[Winter Blanket]],Table_NFI[[#This Row],[Winter Blanket]])</f>
        <v>0</v>
      </c>
      <c r="AM1157" s="352">
        <f>IF(Table_NFI[[#This Row],[Winter Clothes Adult]]+Table_NFI[[#This Row],[Winter Clothes Children]]+Table_NFI[[#This Row],[Winter Items Other]]+Table_NFI[[#This Row],[Winter Blanket]]&gt;0,1,0)</f>
        <v>0</v>
      </c>
      <c r="AN1157" s="392">
        <f>IF(NFI_Expiration=1,IF($A1157&lt;VLOOKUP(V$5,NFI,5,0),1,0)*Table_NFI[[#This Row],[Jerry Can]],Table_NFI[Jerry Can])</f>
        <v>0</v>
      </c>
      <c r="AO1157" s="540" t="str">
        <f>IFERROR(VLOOKUP(Table_NFI[[#This Row],[Camp Name]],CL,2,0),"")</f>
        <v/>
      </c>
      <c r="AP1157" s="535" t="str">
        <f ca="1">IF(Table_NFI[[#This Row],[Pcode]]="","",IF(OFFSET(CampList[Opening Date],MATCH(Table_NFI[[#This Row],[Pcode]],CampList[CP_Pcode],0)-1,0,1,1)&gt;=NFI_Monitor_Date,1,0))</f>
        <v/>
      </c>
      <c r="AQ1157" s="540" t="str">
        <f>IFERROR(VLOOKUP(Table_NFI[[#This Row],[Camp Name]],CL,3,0),"")</f>
        <v/>
      </c>
      <c r="AR1157" s="352" t="str">
        <f ca="1">IF(Table_NFI[[#This Row],[Pcode]]="","",OFFSET(CampList[Priority],MATCH(Table_NFI[[#This Row],[Pcode]],CampList[CP_Pcode],0)-1,0,1,1))</f>
        <v/>
      </c>
      <c r="AS1157" s="351" t="str">
        <f>IFERROR(Table_NFI[[#This Row],[Kitchen Set]]/VLOOKUP(Table_NFI[[#This Row],[Camp Name]],CL,4,0),"")</f>
        <v/>
      </c>
      <c r="AT1157" s="538"/>
      <c r="AU1157" s="541"/>
    </row>
    <row r="1158" spans="1:47" ht="14.45" hidden="1" customHeight="1" x14ac:dyDescent="0.25">
      <c r="A1158" s="355" t="str">
        <f t="shared" si="18"/>
        <v/>
      </c>
      <c r="B1158" s="532"/>
      <c r="C1158" s="533"/>
      <c r="D1158" s="533"/>
      <c r="E1158" s="533"/>
      <c r="F1158" s="533"/>
      <c r="G1158" s="533"/>
      <c r="H1158" s="349"/>
      <c r="I1158" s="349"/>
      <c r="J1158" s="349"/>
      <c r="K1158" s="349"/>
      <c r="L1158" s="350"/>
      <c r="M1158" s="350"/>
      <c r="N1158" s="350"/>
      <c r="O1158" s="350"/>
      <c r="P1158" s="352"/>
      <c r="Q1158" s="392"/>
      <c r="R1158" s="392"/>
      <c r="S1158" s="392"/>
      <c r="T1158" s="392"/>
      <c r="U1158" s="392"/>
      <c r="V1158" s="497"/>
      <c r="W1158" s="392"/>
      <c r="X1158" s="392"/>
      <c r="Y1158" s="352">
        <f>IF(NFI_Expiration=1,IF($A1158&lt;VLOOKUP(H$5,NFI,5,0),1,0)*Table_NFI[[#This Row],[Hygiene Kit]],Table_NFI[Hygiene Kit])</f>
        <v>0</v>
      </c>
      <c r="Z1158" s="352">
        <f>IF(NFI_Expiration=1,IF($A1158&lt;VLOOKUP(I$5,NFI,5,0),1,0)*Table_NFI[[#This Row],[NFI Core Kit]],Table_NFI[NFI Core Kit])</f>
        <v>0</v>
      </c>
      <c r="AA1158" s="352">
        <f>IF(NFI_Expiration=1,IF($A1158&lt;VLOOKUP(J$5,NFI,5,0),1,0)*Table_NFI[[#This Row],[Sanitary Kit]],Table_NFI[Sanitary Kit])</f>
        <v>0</v>
      </c>
      <c r="AB1158" s="352">
        <f>IF(NFI_Expiration=1,IF($A1158&lt;VLOOKUP(K$5,NFI,5,0),1,0)*Table_NFI[[#This Row],[Mosquito net]],Table_NFI[Mosquito net])</f>
        <v>0</v>
      </c>
      <c r="AC1158" s="352">
        <f>IF(NFI_Expiration=1,IF($A1158&lt;VLOOKUP(L$5,NFI,5,0),1,0)*Table_NFI[[#This Row],[Tarpaulin]],Table_NFI[[#This Row],[Tarpaulin]])</f>
        <v>0</v>
      </c>
      <c r="AD1158" s="352">
        <f>IF(NFI_Expiration=1,IF($A1158&lt;VLOOKUP(M$5,NFI,5,0),1,0)*Table_NFI[[#This Row],[Blanket]],Table_NFI[[#This Row],[Blanket]])</f>
        <v>0</v>
      </c>
      <c r="AE1158" s="352">
        <f>IF(NFI_Expiration=1,IF($A1158&lt;VLOOKUP(N$5,NFI,5,0),1,0)*Table_NFI[[#This Row],[Kitchen Set]],Table_NFI[Kitchen Set])</f>
        <v>0</v>
      </c>
      <c r="AF1158" s="352">
        <f>IF(NFI_Expiration=1,IF($A1158&lt;VLOOKUP(O$5,NFI,5,0),1,0)*Table_NFI[[#This Row],[Clothes Kit]],Table_NFI[Clothes Kit])</f>
        <v>0</v>
      </c>
      <c r="AG1158" s="352">
        <f>IF(NFI_Expiration=1,IF($A1158&lt;VLOOKUP(P$5,NFI,5,0),1,0)*Table_NFI[[#This Row],[Plastic Bucket]],Table_NFI[Plastic Bucket])</f>
        <v>0</v>
      </c>
      <c r="AH1158" s="352">
        <f>IF(NFI_Expiration=1,IF($A1158&lt;VLOOKUP(Q$5,NFI,5,0),1,0)*Table_NFI[[#This Row],[Plastic Mat]],Table_NFI[Plastic Mat])*IF(Table_NFI[[#This Row],[Distribution Date]]&gt;"2014-04-01",1,2.5)</f>
        <v>0</v>
      </c>
      <c r="AI1158" s="352">
        <f>IF(NFI_Expiration=1,IF($A1158&lt;VLOOKUP(R$5,NFI,5,0),1,0)*Table_NFI[[#This Row],[Winter Clothes Adult]],Table_NFI[Winter Clothes Adult])</f>
        <v>0</v>
      </c>
      <c r="AJ1158" s="352">
        <f>IF(NFI_Expiration=1,IF($A1158&lt;VLOOKUP(S$5,NFI,5,0),1,0)*Table_NFI[[#This Row],[Winter Clothes Children]],Table_NFI[Winter Clothes Children])</f>
        <v>0</v>
      </c>
      <c r="AK1158" s="352">
        <f>IF(NFI_Expiration=1,IF($A1158&lt;VLOOKUP(T$5,NFI,5,0),1,0)*Table_NFI[[#This Row],[Winter Items Other]],Table_NFI[Winter Items Other])</f>
        <v>0</v>
      </c>
      <c r="AL1158" s="352">
        <f>IF(NFI_Expiration=1,IF($A1158&lt;VLOOKUP(M$5,NFI,5,0),1,0)*Table_NFI[[#This Row],[Winter Blanket]],Table_NFI[[#This Row],[Winter Blanket]])</f>
        <v>0</v>
      </c>
      <c r="AM1158" s="352">
        <f>IF(Table_NFI[[#This Row],[Winter Clothes Adult]]+Table_NFI[[#This Row],[Winter Clothes Children]]+Table_NFI[[#This Row],[Winter Items Other]]+Table_NFI[[#This Row],[Winter Blanket]]&gt;0,1,0)</f>
        <v>0</v>
      </c>
      <c r="AN1158" s="392">
        <f>IF(NFI_Expiration=1,IF($A1158&lt;VLOOKUP(V$5,NFI,5,0),1,0)*Table_NFI[[#This Row],[Jerry Can]],Table_NFI[Jerry Can])</f>
        <v>0</v>
      </c>
      <c r="AO1158" s="540" t="str">
        <f>IFERROR(VLOOKUP(Table_NFI[[#This Row],[Camp Name]],CL,2,0),"")</f>
        <v/>
      </c>
      <c r="AP1158" s="535" t="str">
        <f ca="1">IF(Table_NFI[[#This Row],[Pcode]]="","",IF(OFFSET(CampList[Opening Date],MATCH(Table_NFI[[#This Row],[Pcode]],CampList[CP_Pcode],0)-1,0,1,1)&gt;=NFI_Monitor_Date,1,0))</f>
        <v/>
      </c>
      <c r="AQ1158" s="540" t="str">
        <f>IFERROR(VLOOKUP(Table_NFI[[#This Row],[Camp Name]],CL,3,0),"")</f>
        <v/>
      </c>
      <c r="AR1158" s="352" t="str">
        <f ca="1">IF(Table_NFI[[#This Row],[Pcode]]="","",OFFSET(CampList[Priority],MATCH(Table_NFI[[#This Row],[Pcode]],CampList[CP_Pcode],0)-1,0,1,1))</f>
        <v/>
      </c>
      <c r="AS1158" s="351" t="str">
        <f>IFERROR(Table_NFI[[#This Row],[Kitchen Set]]/VLOOKUP(Table_NFI[[#This Row],[Camp Name]],CL,4,0),"")</f>
        <v/>
      </c>
      <c r="AT1158" s="533"/>
      <c r="AU1158" s="536"/>
    </row>
    <row r="1159" spans="1:47" ht="14.45" hidden="1" customHeight="1" x14ac:dyDescent="0.25">
      <c r="A1159" s="355" t="str">
        <f t="shared" si="18"/>
        <v/>
      </c>
      <c r="B1159" s="532"/>
      <c r="C1159" s="533"/>
      <c r="D1159" s="533"/>
      <c r="E1159" s="533"/>
      <c r="F1159" s="533"/>
      <c r="G1159" s="533"/>
      <c r="H1159" s="349"/>
      <c r="I1159" s="349"/>
      <c r="J1159" s="349"/>
      <c r="K1159" s="349"/>
      <c r="L1159" s="350"/>
      <c r="M1159" s="350"/>
      <c r="N1159" s="350"/>
      <c r="O1159" s="350"/>
      <c r="P1159" s="352"/>
      <c r="Q1159" s="392"/>
      <c r="R1159" s="392"/>
      <c r="S1159" s="392"/>
      <c r="T1159" s="392"/>
      <c r="U1159" s="392"/>
      <c r="V1159" s="497"/>
      <c r="W1159" s="392"/>
      <c r="X1159" s="392"/>
      <c r="Y1159" s="352">
        <f>IF(NFI_Expiration=1,IF($A1159&lt;VLOOKUP(H$5,NFI,5,0),1,0)*Table_NFI[[#This Row],[Hygiene Kit]],Table_NFI[Hygiene Kit])</f>
        <v>0</v>
      </c>
      <c r="Z1159" s="352">
        <f>IF(NFI_Expiration=1,IF($A1159&lt;VLOOKUP(I$5,NFI,5,0),1,0)*Table_NFI[[#This Row],[NFI Core Kit]],Table_NFI[NFI Core Kit])</f>
        <v>0</v>
      </c>
      <c r="AA1159" s="352">
        <f>IF(NFI_Expiration=1,IF($A1159&lt;VLOOKUP(J$5,NFI,5,0),1,0)*Table_NFI[[#This Row],[Sanitary Kit]],Table_NFI[Sanitary Kit])</f>
        <v>0</v>
      </c>
      <c r="AB1159" s="352">
        <f>IF(NFI_Expiration=1,IF($A1159&lt;VLOOKUP(K$5,NFI,5,0),1,0)*Table_NFI[[#This Row],[Mosquito net]],Table_NFI[Mosquito net])</f>
        <v>0</v>
      </c>
      <c r="AC1159" s="352">
        <f>IF(NFI_Expiration=1,IF($A1159&lt;VLOOKUP(L$5,NFI,5,0),1,0)*Table_NFI[[#This Row],[Tarpaulin]],Table_NFI[[#This Row],[Tarpaulin]])</f>
        <v>0</v>
      </c>
      <c r="AD1159" s="352">
        <f>IF(NFI_Expiration=1,IF($A1159&lt;VLOOKUP(M$5,NFI,5,0),1,0)*Table_NFI[[#This Row],[Blanket]],Table_NFI[[#This Row],[Blanket]])</f>
        <v>0</v>
      </c>
      <c r="AE1159" s="352">
        <f>IF(NFI_Expiration=1,IF($A1159&lt;VLOOKUP(N$5,NFI,5,0),1,0)*Table_NFI[[#This Row],[Kitchen Set]],Table_NFI[Kitchen Set])</f>
        <v>0</v>
      </c>
      <c r="AF1159" s="352">
        <f>IF(NFI_Expiration=1,IF($A1159&lt;VLOOKUP(O$5,NFI,5,0),1,0)*Table_NFI[[#This Row],[Clothes Kit]],Table_NFI[Clothes Kit])</f>
        <v>0</v>
      </c>
      <c r="AG1159" s="352">
        <f>IF(NFI_Expiration=1,IF($A1159&lt;VLOOKUP(P$5,NFI,5,0),1,0)*Table_NFI[[#This Row],[Plastic Bucket]],Table_NFI[Plastic Bucket])</f>
        <v>0</v>
      </c>
      <c r="AH1159" s="352">
        <f>IF(NFI_Expiration=1,IF($A1159&lt;VLOOKUP(Q$5,NFI,5,0),1,0)*Table_NFI[[#This Row],[Plastic Mat]],Table_NFI[Plastic Mat])*IF(Table_NFI[[#This Row],[Distribution Date]]&gt;"2014-04-01",1,2.5)</f>
        <v>0</v>
      </c>
      <c r="AI1159" s="352">
        <f>IF(NFI_Expiration=1,IF($A1159&lt;VLOOKUP(R$5,NFI,5,0),1,0)*Table_NFI[[#This Row],[Winter Clothes Adult]],Table_NFI[Winter Clothes Adult])</f>
        <v>0</v>
      </c>
      <c r="AJ1159" s="352">
        <f>IF(NFI_Expiration=1,IF($A1159&lt;VLOOKUP(S$5,NFI,5,0),1,0)*Table_NFI[[#This Row],[Winter Clothes Children]],Table_NFI[Winter Clothes Children])</f>
        <v>0</v>
      </c>
      <c r="AK1159" s="352">
        <f>IF(NFI_Expiration=1,IF($A1159&lt;VLOOKUP(T$5,NFI,5,0),1,0)*Table_NFI[[#This Row],[Winter Items Other]],Table_NFI[Winter Items Other])</f>
        <v>0</v>
      </c>
      <c r="AL1159" s="352">
        <f>IF(NFI_Expiration=1,IF($A1159&lt;VLOOKUP(M$5,NFI,5,0),1,0)*Table_NFI[[#This Row],[Winter Blanket]],Table_NFI[[#This Row],[Winter Blanket]])</f>
        <v>0</v>
      </c>
      <c r="AM1159" s="352">
        <f>IF(Table_NFI[[#This Row],[Winter Clothes Adult]]+Table_NFI[[#This Row],[Winter Clothes Children]]+Table_NFI[[#This Row],[Winter Items Other]]+Table_NFI[[#This Row],[Winter Blanket]]&gt;0,1,0)</f>
        <v>0</v>
      </c>
      <c r="AN1159" s="392">
        <f>IF(NFI_Expiration=1,IF($A1159&lt;VLOOKUP(V$5,NFI,5,0),1,0)*Table_NFI[[#This Row],[Jerry Can]],Table_NFI[Jerry Can])</f>
        <v>0</v>
      </c>
      <c r="AO1159" s="540" t="str">
        <f>IFERROR(VLOOKUP(Table_NFI[[#This Row],[Camp Name]],CL,2,0),"")</f>
        <v/>
      </c>
      <c r="AP1159" s="535" t="str">
        <f ca="1">IF(Table_NFI[[#This Row],[Pcode]]="","",IF(OFFSET(CampList[Opening Date],MATCH(Table_NFI[[#This Row],[Pcode]],CampList[CP_Pcode],0)-1,0,1,1)&gt;=NFI_Monitor_Date,1,0))</f>
        <v/>
      </c>
      <c r="AQ1159" s="540" t="str">
        <f>IFERROR(VLOOKUP(Table_NFI[[#This Row],[Camp Name]],CL,3,0),"")</f>
        <v/>
      </c>
      <c r="AR1159" s="352" t="str">
        <f ca="1">IF(Table_NFI[[#This Row],[Pcode]]="","",OFFSET(CampList[Priority],MATCH(Table_NFI[[#This Row],[Pcode]],CampList[CP_Pcode],0)-1,0,1,1))</f>
        <v/>
      </c>
      <c r="AS1159" s="351" t="str">
        <f>IFERROR(Table_NFI[[#This Row],[Kitchen Set]]/VLOOKUP(Table_NFI[[#This Row],[Camp Name]],CL,4,0),"")</f>
        <v/>
      </c>
      <c r="AT1159" s="538"/>
      <c r="AU1159" s="541"/>
    </row>
    <row r="1160" spans="1:47" ht="14.45" hidden="1" customHeight="1" x14ac:dyDescent="0.25">
      <c r="A1160" s="355" t="str">
        <f t="shared" si="18"/>
        <v/>
      </c>
      <c r="B1160" s="532"/>
      <c r="C1160" s="533"/>
      <c r="D1160" s="538"/>
      <c r="E1160" s="538"/>
      <c r="F1160" s="538"/>
      <c r="G1160" s="538"/>
      <c r="H1160" s="350"/>
      <c r="I1160" s="350"/>
      <c r="J1160" s="350"/>
      <c r="K1160" s="350"/>
      <c r="L1160" s="350"/>
      <c r="M1160" s="350"/>
      <c r="N1160" s="350"/>
      <c r="O1160" s="350"/>
      <c r="P1160" s="352"/>
      <c r="Q1160" s="392"/>
      <c r="R1160" s="392"/>
      <c r="S1160" s="392"/>
      <c r="T1160" s="392"/>
      <c r="U1160" s="392"/>
      <c r="V1160" s="497"/>
      <c r="W1160" s="392"/>
      <c r="X1160" s="392"/>
      <c r="Y1160" s="352">
        <f>IF(NFI_Expiration=1,IF($A1160&lt;VLOOKUP(H$5,NFI,5,0),1,0)*Table_NFI[[#This Row],[Hygiene Kit]],Table_NFI[Hygiene Kit])</f>
        <v>0</v>
      </c>
      <c r="Z1160" s="352">
        <f>IF(NFI_Expiration=1,IF($A1160&lt;VLOOKUP(I$5,NFI,5,0),1,0)*Table_NFI[[#This Row],[NFI Core Kit]],Table_NFI[NFI Core Kit])</f>
        <v>0</v>
      </c>
      <c r="AA1160" s="352">
        <f>IF(NFI_Expiration=1,IF($A1160&lt;VLOOKUP(J$5,NFI,5,0),1,0)*Table_NFI[[#This Row],[Sanitary Kit]],Table_NFI[Sanitary Kit])</f>
        <v>0</v>
      </c>
      <c r="AB1160" s="352">
        <f>IF(NFI_Expiration=1,IF($A1160&lt;VLOOKUP(K$5,NFI,5,0),1,0)*Table_NFI[[#This Row],[Mosquito net]],Table_NFI[Mosquito net])</f>
        <v>0</v>
      </c>
      <c r="AC1160" s="352">
        <f>IF(NFI_Expiration=1,IF($A1160&lt;VLOOKUP(L$5,NFI,5,0),1,0)*Table_NFI[[#This Row],[Tarpaulin]],Table_NFI[[#This Row],[Tarpaulin]])</f>
        <v>0</v>
      </c>
      <c r="AD1160" s="352">
        <f>IF(NFI_Expiration=1,IF($A1160&lt;VLOOKUP(M$5,NFI,5,0),1,0)*Table_NFI[[#This Row],[Blanket]],Table_NFI[[#This Row],[Blanket]])</f>
        <v>0</v>
      </c>
      <c r="AE1160" s="352">
        <f>IF(NFI_Expiration=1,IF($A1160&lt;VLOOKUP(N$5,NFI,5,0),1,0)*Table_NFI[[#This Row],[Kitchen Set]],Table_NFI[Kitchen Set])</f>
        <v>0</v>
      </c>
      <c r="AF1160" s="352">
        <f>IF(NFI_Expiration=1,IF($A1160&lt;VLOOKUP(O$5,NFI,5,0),1,0)*Table_NFI[[#This Row],[Clothes Kit]],Table_NFI[Clothes Kit])</f>
        <v>0</v>
      </c>
      <c r="AG1160" s="352">
        <f>IF(NFI_Expiration=1,IF($A1160&lt;VLOOKUP(P$5,NFI,5,0),1,0)*Table_NFI[[#This Row],[Plastic Bucket]],Table_NFI[Plastic Bucket])</f>
        <v>0</v>
      </c>
      <c r="AH1160" s="352">
        <f>IF(NFI_Expiration=1,IF($A1160&lt;VLOOKUP(Q$5,NFI,5,0),1,0)*Table_NFI[[#This Row],[Plastic Mat]],Table_NFI[Plastic Mat])*IF(Table_NFI[[#This Row],[Distribution Date]]&gt;"2014-04-01",1,2.5)</f>
        <v>0</v>
      </c>
      <c r="AI1160" s="352">
        <f>IF(NFI_Expiration=1,IF($A1160&lt;VLOOKUP(R$5,NFI,5,0),1,0)*Table_NFI[[#This Row],[Winter Clothes Adult]],Table_NFI[Winter Clothes Adult])</f>
        <v>0</v>
      </c>
      <c r="AJ1160" s="352">
        <f>IF(NFI_Expiration=1,IF($A1160&lt;VLOOKUP(S$5,NFI,5,0),1,0)*Table_NFI[[#This Row],[Winter Clothes Children]],Table_NFI[Winter Clothes Children])</f>
        <v>0</v>
      </c>
      <c r="AK1160" s="352">
        <f>IF(NFI_Expiration=1,IF($A1160&lt;VLOOKUP(T$5,NFI,5,0),1,0)*Table_NFI[[#This Row],[Winter Items Other]],Table_NFI[Winter Items Other])</f>
        <v>0</v>
      </c>
      <c r="AL1160" s="352">
        <f>IF(NFI_Expiration=1,IF($A1160&lt;VLOOKUP(M$5,NFI,5,0),1,0)*Table_NFI[[#This Row],[Winter Blanket]],Table_NFI[[#This Row],[Winter Blanket]])</f>
        <v>0</v>
      </c>
      <c r="AM1160" s="352">
        <f>IF(Table_NFI[[#This Row],[Winter Clothes Adult]]+Table_NFI[[#This Row],[Winter Clothes Children]]+Table_NFI[[#This Row],[Winter Items Other]]+Table_NFI[[#This Row],[Winter Blanket]]&gt;0,1,0)</f>
        <v>0</v>
      </c>
      <c r="AN1160" s="392">
        <f>IF(NFI_Expiration=1,IF($A1160&lt;VLOOKUP(V$5,NFI,5,0),1,0)*Table_NFI[[#This Row],[Jerry Can]],Table_NFI[Jerry Can])</f>
        <v>0</v>
      </c>
      <c r="AO1160" s="540" t="str">
        <f>IFERROR(VLOOKUP(Table_NFI[[#This Row],[Camp Name]],CL,2,0),"")</f>
        <v/>
      </c>
      <c r="AP1160" s="535" t="str">
        <f ca="1">IF(Table_NFI[[#This Row],[Pcode]]="","",IF(OFFSET(CampList[Opening Date],MATCH(Table_NFI[[#This Row],[Pcode]],CampList[CP_Pcode],0)-1,0,1,1)&gt;=NFI_Monitor_Date,1,0))</f>
        <v/>
      </c>
      <c r="AQ1160" s="540" t="str">
        <f>IFERROR(VLOOKUP(Table_NFI[[#This Row],[Camp Name]],CL,3,0),"")</f>
        <v/>
      </c>
      <c r="AR1160" s="352" t="str">
        <f ca="1">IF(Table_NFI[[#This Row],[Pcode]]="","",OFFSET(CampList[Priority],MATCH(Table_NFI[[#This Row],[Pcode]],CampList[CP_Pcode],0)-1,0,1,1))</f>
        <v/>
      </c>
      <c r="AS1160" s="351" t="str">
        <f>IFERROR(Table_NFI[[#This Row],[Kitchen Set]]/VLOOKUP(Table_NFI[[#This Row],[Camp Name]],CL,4,0),"")</f>
        <v/>
      </c>
      <c r="AT1160" s="533"/>
      <c r="AU1160" s="553"/>
    </row>
    <row r="1161" spans="1:47" ht="14.45" hidden="1" customHeight="1" x14ac:dyDescent="0.25">
      <c r="A1161" s="355" t="str">
        <f t="shared" si="18"/>
        <v/>
      </c>
      <c r="B1161" s="532"/>
      <c r="C1161" s="533"/>
      <c r="D1161" s="538"/>
      <c r="E1161" s="538"/>
      <c r="F1161" s="538"/>
      <c r="G1161" s="538"/>
      <c r="H1161" s="350"/>
      <c r="I1161" s="350"/>
      <c r="J1161" s="350"/>
      <c r="K1161" s="350"/>
      <c r="L1161" s="350"/>
      <c r="M1161" s="350"/>
      <c r="N1161" s="350"/>
      <c r="O1161" s="350"/>
      <c r="P1161" s="352"/>
      <c r="Q1161" s="392"/>
      <c r="R1161" s="392"/>
      <c r="S1161" s="392"/>
      <c r="T1161" s="392"/>
      <c r="U1161" s="392"/>
      <c r="V1161" s="497"/>
      <c r="W1161" s="392"/>
      <c r="X1161" s="392"/>
      <c r="Y1161" s="352">
        <f>IF(NFI_Expiration=1,IF($A1161&lt;VLOOKUP(H$5,NFI,5,0),1,0)*Table_NFI[[#This Row],[Hygiene Kit]],Table_NFI[Hygiene Kit])</f>
        <v>0</v>
      </c>
      <c r="Z1161" s="352">
        <f>IF(NFI_Expiration=1,IF($A1161&lt;VLOOKUP(I$5,NFI,5,0),1,0)*Table_NFI[[#This Row],[NFI Core Kit]],Table_NFI[NFI Core Kit])</f>
        <v>0</v>
      </c>
      <c r="AA1161" s="352">
        <f>IF(NFI_Expiration=1,IF($A1161&lt;VLOOKUP(J$5,NFI,5,0),1,0)*Table_NFI[[#This Row],[Sanitary Kit]],Table_NFI[Sanitary Kit])</f>
        <v>0</v>
      </c>
      <c r="AB1161" s="352">
        <f>IF(NFI_Expiration=1,IF($A1161&lt;VLOOKUP(K$5,NFI,5,0),1,0)*Table_NFI[[#This Row],[Mosquito net]],Table_NFI[Mosquito net])</f>
        <v>0</v>
      </c>
      <c r="AC1161" s="352">
        <f>IF(NFI_Expiration=1,IF($A1161&lt;VLOOKUP(L$5,NFI,5,0),1,0)*Table_NFI[[#This Row],[Tarpaulin]],Table_NFI[[#This Row],[Tarpaulin]])</f>
        <v>0</v>
      </c>
      <c r="AD1161" s="352">
        <f>IF(NFI_Expiration=1,IF($A1161&lt;VLOOKUP(M$5,NFI,5,0),1,0)*Table_NFI[[#This Row],[Blanket]],Table_NFI[[#This Row],[Blanket]])</f>
        <v>0</v>
      </c>
      <c r="AE1161" s="352">
        <f>IF(NFI_Expiration=1,IF($A1161&lt;VLOOKUP(N$5,NFI,5,0),1,0)*Table_NFI[[#This Row],[Kitchen Set]],Table_NFI[Kitchen Set])</f>
        <v>0</v>
      </c>
      <c r="AF1161" s="352">
        <f>IF(NFI_Expiration=1,IF($A1161&lt;VLOOKUP(O$5,NFI,5,0),1,0)*Table_NFI[[#This Row],[Clothes Kit]],Table_NFI[Clothes Kit])</f>
        <v>0</v>
      </c>
      <c r="AG1161" s="352">
        <f>IF(NFI_Expiration=1,IF($A1161&lt;VLOOKUP(P$5,NFI,5,0),1,0)*Table_NFI[[#This Row],[Plastic Bucket]],Table_NFI[Plastic Bucket])</f>
        <v>0</v>
      </c>
      <c r="AH1161" s="352">
        <f>IF(NFI_Expiration=1,IF($A1161&lt;VLOOKUP(Q$5,NFI,5,0),1,0)*Table_NFI[[#This Row],[Plastic Mat]],Table_NFI[Plastic Mat])*IF(Table_NFI[[#This Row],[Distribution Date]]&gt;"2014-04-01",1,2.5)</f>
        <v>0</v>
      </c>
      <c r="AI1161" s="352">
        <f>IF(NFI_Expiration=1,IF($A1161&lt;VLOOKUP(R$5,NFI,5,0),1,0)*Table_NFI[[#This Row],[Winter Clothes Adult]],Table_NFI[Winter Clothes Adult])</f>
        <v>0</v>
      </c>
      <c r="AJ1161" s="352">
        <f>IF(NFI_Expiration=1,IF($A1161&lt;VLOOKUP(S$5,NFI,5,0),1,0)*Table_NFI[[#This Row],[Winter Clothes Children]],Table_NFI[Winter Clothes Children])</f>
        <v>0</v>
      </c>
      <c r="AK1161" s="352">
        <f>IF(NFI_Expiration=1,IF($A1161&lt;VLOOKUP(T$5,NFI,5,0),1,0)*Table_NFI[[#This Row],[Winter Items Other]],Table_NFI[Winter Items Other])</f>
        <v>0</v>
      </c>
      <c r="AL1161" s="352">
        <f>IF(NFI_Expiration=1,IF($A1161&lt;VLOOKUP(M$5,NFI,5,0),1,0)*Table_NFI[[#This Row],[Winter Blanket]],Table_NFI[[#This Row],[Winter Blanket]])</f>
        <v>0</v>
      </c>
      <c r="AM1161" s="352">
        <f>IF(Table_NFI[[#This Row],[Winter Clothes Adult]]+Table_NFI[[#This Row],[Winter Clothes Children]]+Table_NFI[[#This Row],[Winter Items Other]]+Table_NFI[[#This Row],[Winter Blanket]]&gt;0,1,0)</f>
        <v>0</v>
      </c>
      <c r="AN1161" s="392">
        <f>IF(NFI_Expiration=1,IF($A1161&lt;VLOOKUP(V$5,NFI,5,0),1,0)*Table_NFI[[#This Row],[Jerry Can]],Table_NFI[Jerry Can])</f>
        <v>0</v>
      </c>
      <c r="AO1161" s="540" t="str">
        <f>IFERROR(VLOOKUP(Table_NFI[[#This Row],[Camp Name]],CL,2,0),"")</f>
        <v/>
      </c>
      <c r="AP1161" s="535" t="str">
        <f ca="1">IF(Table_NFI[[#This Row],[Pcode]]="","",IF(OFFSET(CampList[Opening Date],MATCH(Table_NFI[[#This Row],[Pcode]],CampList[CP_Pcode],0)-1,0,1,1)&gt;=NFI_Monitor_Date,1,0))</f>
        <v/>
      </c>
      <c r="AQ1161" s="540" t="str">
        <f>IFERROR(VLOOKUP(Table_NFI[[#This Row],[Camp Name]],CL,3,0),"")</f>
        <v/>
      </c>
      <c r="AR1161" s="352" t="str">
        <f ca="1">IF(Table_NFI[[#This Row],[Pcode]]="","",OFFSET(CampList[Priority],MATCH(Table_NFI[[#This Row],[Pcode]],CampList[CP_Pcode],0)-1,0,1,1))</f>
        <v/>
      </c>
      <c r="AS1161" s="351" t="str">
        <f>IFERROR(Table_NFI[[#This Row],[Kitchen Set]]/VLOOKUP(Table_NFI[[#This Row],[Camp Name]],CL,4,0),"")</f>
        <v/>
      </c>
      <c r="AT1161" s="538"/>
      <c r="AU1161" s="557"/>
    </row>
    <row r="1162" spans="1:47" ht="14.45" hidden="1" customHeight="1" x14ac:dyDescent="0.25">
      <c r="A1162" s="355" t="str">
        <f t="shared" si="18"/>
        <v/>
      </c>
      <c r="B1162" s="532"/>
      <c r="C1162" s="533"/>
      <c r="D1162" s="538"/>
      <c r="E1162" s="538"/>
      <c r="F1162" s="538"/>
      <c r="G1162" s="538"/>
      <c r="H1162" s="350"/>
      <c r="I1162" s="350"/>
      <c r="J1162" s="350"/>
      <c r="K1162" s="350"/>
      <c r="L1162" s="350"/>
      <c r="M1162" s="350"/>
      <c r="N1162" s="350"/>
      <c r="O1162" s="350"/>
      <c r="P1162" s="352"/>
      <c r="Q1162" s="392"/>
      <c r="R1162" s="392"/>
      <c r="S1162" s="392"/>
      <c r="T1162" s="392"/>
      <c r="U1162" s="392"/>
      <c r="V1162" s="497"/>
      <c r="W1162" s="392"/>
      <c r="X1162" s="392"/>
      <c r="Y1162" s="352">
        <f>IF(NFI_Expiration=1,IF($A1162&lt;VLOOKUP(H$5,NFI,5,0),1,0)*Table_NFI[[#This Row],[Hygiene Kit]],Table_NFI[Hygiene Kit])</f>
        <v>0</v>
      </c>
      <c r="Z1162" s="352">
        <f>IF(NFI_Expiration=1,IF($A1162&lt;VLOOKUP(I$5,NFI,5,0),1,0)*Table_NFI[[#This Row],[NFI Core Kit]],Table_NFI[NFI Core Kit])</f>
        <v>0</v>
      </c>
      <c r="AA1162" s="352">
        <f>IF(NFI_Expiration=1,IF($A1162&lt;VLOOKUP(J$5,NFI,5,0),1,0)*Table_NFI[[#This Row],[Sanitary Kit]],Table_NFI[Sanitary Kit])</f>
        <v>0</v>
      </c>
      <c r="AB1162" s="352">
        <f>IF(NFI_Expiration=1,IF($A1162&lt;VLOOKUP(K$5,NFI,5,0),1,0)*Table_NFI[[#This Row],[Mosquito net]],Table_NFI[Mosquito net])</f>
        <v>0</v>
      </c>
      <c r="AC1162" s="352">
        <f>IF(NFI_Expiration=1,IF($A1162&lt;VLOOKUP(L$5,NFI,5,0),1,0)*Table_NFI[[#This Row],[Tarpaulin]],Table_NFI[[#This Row],[Tarpaulin]])</f>
        <v>0</v>
      </c>
      <c r="AD1162" s="352">
        <f>IF(NFI_Expiration=1,IF($A1162&lt;VLOOKUP(M$5,NFI,5,0),1,0)*Table_NFI[[#This Row],[Blanket]],Table_NFI[[#This Row],[Blanket]])</f>
        <v>0</v>
      </c>
      <c r="AE1162" s="352">
        <f>IF(NFI_Expiration=1,IF($A1162&lt;VLOOKUP(N$5,NFI,5,0),1,0)*Table_NFI[[#This Row],[Kitchen Set]],Table_NFI[Kitchen Set])</f>
        <v>0</v>
      </c>
      <c r="AF1162" s="352">
        <f>IF(NFI_Expiration=1,IF($A1162&lt;VLOOKUP(O$5,NFI,5,0),1,0)*Table_NFI[[#This Row],[Clothes Kit]],Table_NFI[Clothes Kit])</f>
        <v>0</v>
      </c>
      <c r="AG1162" s="352">
        <f>IF(NFI_Expiration=1,IF($A1162&lt;VLOOKUP(P$5,NFI,5,0),1,0)*Table_NFI[[#This Row],[Plastic Bucket]],Table_NFI[Plastic Bucket])</f>
        <v>0</v>
      </c>
      <c r="AH1162" s="352">
        <f>IF(NFI_Expiration=1,IF($A1162&lt;VLOOKUP(Q$5,NFI,5,0),1,0)*Table_NFI[[#This Row],[Plastic Mat]],Table_NFI[Plastic Mat])*IF(Table_NFI[[#This Row],[Distribution Date]]&gt;"2014-04-01",1,2.5)</f>
        <v>0</v>
      </c>
      <c r="AI1162" s="352">
        <f>IF(NFI_Expiration=1,IF($A1162&lt;VLOOKUP(R$5,NFI,5,0),1,0)*Table_NFI[[#This Row],[Winter Clothes Adult]],Table_NFI[Winter Clothes Adult])</f>
        <v>0</v>
      </c>
      <c r="AJ1162" s="352">
        <f>IF(NFI_Expiration=1,IF($A1162&lt;VLOOKUP(S$5,NFI,5,0),1,0)*Table_NFI[[#This Row],[Winter Clothes Children]],Table_NFI[Winter Clothes Children])</f>
        <v>0</v>
      </c>
      <c r="AK1162" s="352">
        <f>IF(NFI_Expiration=1,IF($A1162&lt;VLOOKUP(T$5,NFI,5,0),1,0)*Table_NFI[[#This Row],[Winter Items Other]],Table_NFI[Winter Items Other])</f>
        <v>0</v>
      </c>
      <c r="AL1162" s="352">
        <f>IF(NFI_Expiration=1,IF($A1162&lt;VLOOKUP(M$5,NFI,5,0),1,0)*Table_NFI[[#This Row],[Winter Blanket]],Table_NFI[[#This Row],[Winter Blanket]])</f>
        <v>0</v>
      </c>
      <c r="AM1162" s="352">
        <f>IF(Table_NFI[[#This Row],[Winter Clothes Adult]]+Table_NFI[[#This Row],[Winter Clothes Children]]+Table_NFI[[#This Row],[Winter Items Other]]+Table_NFI[[#This Row],[Winter Blanket]]&gt;0,1,0)</f>
        <v>0</v>
      </c>
      <c r="AN1162" s="392">
        <f>IF(NFI_Expiration=1,IF($A1162&lt;VLOOKUP(V$5,NFI,5,0),1,0)*Table_NFI[[#This Row],[Jerry Can]],Table_NFI[Jerry Can])</f>
        <v>0</v>
      </c>
      <c r="AO1162" s="540" t="str">
        <f>IFERROR(VLOOKUP(Table_NFI[[#This Row],[Camp Name]],CL,2,0),"")</f>
        <v/>
      </c>
      <c r="AP1162" s="535" t="str">
        <f ca="1">IF(Table_NFI[[#This Row],[Pcode]]="","",IF(OFFSET(CampList[Opening Date],MATCH(Table_NFI[[#This Row],[Pcode]],CampList[CP_Pcode],0)-1,0,1,1)&gt;=NFI_Monitor_Date,1,0))</f>
        <v/>
      </c>
      <c r="AQ1162" s="540" t="str">
        <f>IFERROR(VLOOKUP(Table_NFI[[#This Row],[Camp Name]],CL,3,0),"")</f>
        <v/>
      </c>
      <c r="AR1162" s="352" t="str">
        <f ca="1">IF(Table_NFI[[#This Row],[Pcode]]="","",OFFSET(CampList[Priority],MATCH(Table_NFI[[#This Row],[Pcode]],CampList[CP_Pcode],0)-1,0,1,1))</f>
        <v/>
      </c>
      <c r="AS1162" s="351" t="str">
        <f>IFERROR(Table_NFI[[#This Row],[Kitchen Set]]/VLOOKUP(Table_NFI[[#This Row],[Camp Name]],CL,4,0),"")</f>
        <v/>
      </c>
      <c r="AT1162" s="533"/>
      <c r="AU1162" s="536"/>
    </row>
    <row r="1163" spans="1:47" ht="14.45" hidden="1" customHeight="1" x14ac:dyDescent="0.25">
      <c r="A1163" s="355" t="str">
        <f t="shared" si="18"/>
        <v/>
      </c>
      <c r="B1163" s="532"/>
      <c r="C1163" s="533"/>
      <c r="D1163" s="538"/>
      <c r="E1163" s="538"/>
      <c r="F1163" s="538"/>
      <c r="G1163" s="538"/>
      <c r="H1163" s="350"/>
      <c r="I1163" s="350"/>
      <c r="J1163" s="350"/>
      <c r="K1163" s="350"/>
      <c r="L1163" s="350"/>
      <c r="M1163" s="350"/>
      <c r="N1163" s="350"/>
      <c r="O1163" s="350"/>
      <c r="P1163" s="352"/>
      <c r="Q1163" s="392"/>
      <c r="R1163" s="392"/>
      <c r="S1163" s="392"/>
      <c r="T1163" s="392"/>
      <c r="U1163" s="392"/>
      <c r="V1163" s="497"/>
      <c r="W1163" s="392"/>
      <c r="X1163" s="392"/>
      <c r="Y1163" s="352">
        <f>IF(NFI_Expiration=1,IF($A1163&lt;VLOOKUP(H$5,NFI,5,0),1,0)*Table_NFI[[#This Row],[Hygiene Kit]],Table_NFI[Hygiene Kit])</f>
        <v>0</v>
      </c>
      <c r="Z1163" s="352">
        <f>IF(NFI_Expiration=1,IF($A1163&lt;VLOOKUP(I$5,NFI,5,0),1,0)*Table_NFI[[#This Row],[NFI Core Kit]],Table_NFI[NFI Core Kit])</f>
        <v>0</v>
      </c>
      <c r="AA1163" s="352">
        <f>IF(NFI_Expiration=1,IF($A1163&lt;VLOOKUP(J$5,NFI,5,0),1,0)*Table_NFI[[#This Row],[Sanitary Kit]],Table_NFI[Sanitary Kit])</f>
        <v>0</v>
      </c>
      <c r="AB1163" s="352">
        <f>IF(NFI_Expiration=1,IF($A1163&lt;VLOOKUP(K$5,NFI,5,0),1,0)*Table_NFI[[#This Row],[Mosquito net]],Table_NFI[Mosquito net])</f>
        <v>0</v>
      </c>
      <c r="AC1163" s="352">
        <f>IF(NFI_Expiration=1,IF($A1163&lt;VLOOKUP(L$5,NFI,5,0),1,0)*Table_NFI[[#This Row],[Tarpaulin]],Table_NFI[[#This Row],[Tarpaulin]])</f>
        <v>0</v>
      </c>
      <c r="AD1163" s="352">
        <f>IF(NFI_Expiration=1,IF($A1163&lt;VLOOKUP(M$5,NFI,5,0),1,0)*Table_NFI[[#This Row],[Blanket]],Table_NFI[[#This Row],[Blanket]])</f>
        <v>0</v>
      </c>
      <c r="AE1163" s="352">
        <f>IF(NFI_Expiration=1,IF($A1163&lt;VLOOKUP(N$5,NFI,5,0),1,0)*Table_NFI[[#This Row],[Kitchen Set]],Table_NFI[Kitchen Set])</f>
        <v>0</v>
      </c>
      <c r="AF1163" s="352">
        <f>IF(NFI_Expiration=1,IF($A1163&lt;VLOOKUP(O$5,NFI,5,0),1,0)*Table_NFI[[#This Row],[Clothes Kit]],Table_NFI[Clothes Kit])</f>
        <v>0</v>
      </c>
      <c r="AG1163" s="352">
        <f>IF(NFI_Expiration=1,IF($A1163&lt;VLOOKUP(P$5,NFI,5,0),1,0)*Table_NFI[[#This Row],[Plastic Bucket]],Table_NFI[Plastic Bucket])</f>
        <v>0</v>
      </c>
      <c r="AH1163" s="352">
        <f>IF(NFI_Expiration=1,IF($A1163&lt;VLOOKUP(Q$5,NFI,5,0),1,0)*Table_NFI[[#This Row],[Plastic Mat]],Table_NFI[Plastic Mat])*IF(Table_NFI[[#This Row],[Distribution Date]]&gt;"2014-04-01",1,2.5)</f>
        <v>0</v>
      </c>
      <c r="AI1163" s="352">
        <f>IF(NFI_Expiration=1,IF($A1163&lt;VLOOKUP(R$5,NFI,5,0),1,0)*Table_NFI[[#This Row],[Winter Clothes Adult]],Table_NFI[Winter Clothes Adult])</f>
        <v>0</v>
      </c>
      <c r="AJ1163" s="352">
        <f>IF(NFI_Expiration=1,IF($A1163&lt;VLOOKUP(S$5,NFI,5,0),1,0)*Table_NFI[[#This Row],[Winter Clothes Children]],Table_NFI[Winter Clothes Children])</f>
        <v>0</v>
      </c>
      <c r="AK1163" s="352">
        <f>IF(NFI_Expiration=1,IF($A1163&lt;VLOOKUP(T$5,NFI,5,0),1,0)*Table_NFI[[#This Row],[Winter Items Other]],Table_NFI[Winter Items Other])</f>
        <v>0</v>
      </c>
      <c r="AL1163" s="352">
        <f>IF(NFI_Expiration=1,IF($A1163&lt;VLOOKUP(M$5,NFI,5,0),1,0)*Table_NFI[[#This Row],[Winter Blanket]],Table_NFI[[#This Row],[Winter Blanket]])</f>
        <v>0</v>
      </c>
      <c r="AM1163" s="352">
        <f>IF(Table_NFI[[#This Row],[Winter Clothes Adult]]+Table_NFI[[#This Row],[Winter Clothes Children]]+Table_NFI[[#This Row],[Winter Items Other]]+Table_NFI[[#This Row],[Winter Blanket]]&gt;0,1,0)</f>
        <v>0</v>
      </c>
      <c r="AN1163" s="392">
        <f>IF(NFI_Expiration=1,IF($A1163&lt;VLOOKUP(V$5,NFI,5,0),1,0)*Table_NFI[[#This Row],[Jerry Can]],Table_NFI[Jerry Can])</f>
        <v>0</v>
      </c>
      <c r="AO1163" s="540" t="str">
        <f>IFERROR(VLOOKUP(Table_NFI[[#This Row],[Camp Name]],CL,2,0),"")</f>
        <v/>
      </c>
      <c r="AP1163" s="535" t="str">
        <f ca="1">IF(Table_NFI[[#This Row],[Pcode]]="","",IF(OFFSET(CampList[Opening Date],MATCH(Table_NFI[[#This Row],[Pcode]],CampList[CP_Pcode],0)-1,0,1,1)&gt;=NFI_Monitor_Date,1,0))</f>
        <v/>
      </c>
      <c r="AQ1163" s="540" t="str">
        <f>IFERROR(VLOOKUP(Table_NFI[[#This Row],[Camp Name]],CL,3,0),"")</f>
        <v/>
      </c>
      <c r="AR1163" s="352" t="str">
        <f ca="1">IF(Table_NFI[[#This Row],[Pcode]]="","",OFFSET(CampList[Priority],MATCH(Table_NFI[[#This Row],[Pcode]],CampList[CP_Pcode],0)-1,0,1,1))</f>
        <v/>
      </c>
      <c r="AS1163" s="351" t="str">
        <f>IFERROR(Table_NFI[[#This Row],[Kitchen Set]]/VLOOKUP(Table_NFI[[#This Row],[Camp Name]],CL,4,0),"")</f>
        <v/>
      </c>
      <c r="AT1163" s="533"/>
      <c r="AU1163" s="536"/>
    </row>
    <row r="1164" spans="1:47" ht="14.45" hidden="1" customHeight="1" x14ac:dyDescent="0.25">
      <c r="A1164" s="355" t="str">
        <f t="shared" si="18"/>
        <v/>
      </c>
      <c r="B1164" s="532"/>
      <c r="C1164" s="533"/>
      <c r="D1164" s="538"/>
      <c r="E1164" s="538"/>
      <c r="F1164" s="538"/>
      <c r="G1164" s="538"/>
      <c r="H1164" s="350"/>
      <c r="I1164" s="350"/>
      <c r="J1164" s="350"/>
      <c r="K1164" s="350"/>
      <c r="L1164" s="350"/>
      <c r="M1164" s="350"/>
      <c r="N1164" s="350"/>
      <c r="O1164" s="350"/>
      <c r="P1164" s="352"/>
      <c r="Q1164" s="392"/>
      <c r="R1164" s="392"/>
      <c r="S1164" s="392"/>
      <c r="T1164" s="392"/>
      <c r="U1164" s="392"/>
      <c r="V1164" s="497"/>
      <c r="W1164" s="392"/>
      <c r="X1164" s="392"/>
      <c r="Y1164" s="352">
        <f>IF(NFI_Expiration=1,IF($A1164&lt;VLOOKUP(H$5,NFI,5,0),1,0)*Table_NFI[[#This Row],[Hygiene Kit]],Table_NFI[Hygiene Kit])</f>
        <v>0</v>
      </c>
      <c r="Z1164" s="352">
        <f>IF(NFI_Expiration=1,IF($A1164&lt;VLOOKUP(I$5,NFI,5,0),1,0)*Table_NFI[[#This Row],[NFI Core Kit]],Table_NFI[NFI Core Kit])</f>
        <v>0</v>
      </c>
      <c r="AA1164" s="352">
        <f>IF(NFI_Expiration=1,IF($A1164&lt;VLOOKUP(J$5,NFI,5,0),1,0)*Table_NFI[[#This Row],[Sanitary Kit]],Table_NFI[Sanitary Kit])</f>
        <v>0</v>
      </c>
      <c r="AB1164" s="352">
        <f>IF(NFI_Expiration=1,IF($A1164&lt;VLOOKUP(K$5,NFI,5,0),1,0)*Table_NFI[[#This Row],[Mosquito net]],Table_NFI[Mosquito net])</f>
        <v>0</v>
      </c>
      <c r="AC1164" s="352">
        <f>IF(NFI_Expiration=1,IF($A1164&lt;VLOOKUP(L$5,NFI,5,0),1,0)*Table_NFI[[#This Row],[Tarpaulin]],Table_NFI[[#This Row],[Tarpaulin]])</f>
        <v>0</v>
      </c>
      <c r="AD1164" s="352">
        <f>IF(NFI_Expiration=1,IF($A1164&lt;VLOOKUP(M$5,NFI,5,0),1,0)*Table_NFI[[#This Row],[Blanket]],Table_NFI[[#This Row],[Blanket]])</f>
        <v>0</v>
      </c>
      <c r="AE1164" s="352">
        <f>IF(NFI_Expiration=1,IF($A1164&lt;VLOOKUP(N$5,NFI,5,0),1,0)*Table_NFI[[#This Row],[Kitchen Set]],Table_NFI[Kitchen Set])</f>
        <v>0</v>
      </c>
      <c r="AF1164" s="352">
        <f>IF(NFI_Expiration=1,IF($A1164&lt;VLOOKUP(O$5,NFI,5,0),1,0)*Table_NFI[[#This Row],[Clothes Kit]],Table_NFI[Clothes Kit])</f>
        <v>0</v>
      </c>
      <c r="AG1164" s="352">
        <f>IF(NFI_Expiration=1,IF($A1164&lt;VLOOKUP(P$5,NFI,5,0),1,0)*Table_NFI[[#This Row],[Plastic Bucket]],Table_NFI[Plastic Bucket])</f>
        <v>0</v>
      </c>
      <c r="AH1164" s="352">
        <f>IF(NFI_Expiration=1,IF($A1164&lt;VLOOKUP(Q$5,NFI,5,0),1,0)*Table_NFI[[#This Row],[Plastic Mat]],Table_NFI[Plastic Mat])*IF(Table_NFI[[#This Row],[Distribution Date]]&gt;"2014-04-01",1,2.5)</f>
        <v>0</v>
      </c>
      <c r="AI1164" s="352">
        <f>IF(NFI_Expiration=1,IF($A1164&lt;VLOOKUP(R$5,NFI,5,0),1,0)*Table_NFI[[#This Row],[Winter Clothes Adult]],Table_NFI[Winter Clothes Adult])</f>
        <v>0</v>
      </c>
      <c r="AJ1164" s="352">
        <f>IF(NFI_Expiration=1,IF($A1164&lt;VLOOKUP(S$5,NFI,5,0),1,0)*Table_NFI[[#This Row],[Winter Clothes Children]],Table_NFI[Winter Clothes Children])</f>
        <v>0</v>
      </c>
      <c r="AK1164" s="352">
        <f>IF(NFI_Expiration=1,IF($A1164&lt;VLOOKUP(T$5,NFI,5,0),1,0)*Table_NFI[[#This Row],[Winter Items Other]],Table_NFI[Winter Items Other])</f>
        <v>0</v>
      </c>
      <c r="AL1164" s="352">
        <f>IF(NFI_Expiration=1,IF($A1164&lt;VLOOKUP(M$5,NFI,5,0),1,0)*Table_NFI[[#This Row],[Winter Blanket]],Table_NFI[[#This Row],[Winter Blanket]])</f>
        <v>0</v>
      </c>
      <c r="AM1164" s="352">
        <f>IF(Table_NFI[[#This Row],[Winter Clothes Adult]]+Table_NFI[[#This Row],[Winter Clothes Children]]+Table_NFI[[#This Row],[Winter Items Other]]+Table_NFI[[#This Row],[Winter Blanket]]&gt;0,1,0)</f>
        <v>0</v>
      </c>
      <c r="AN1164" s="392">
        <f>IF(NFI_Expiration=1,IF($A1164&lt;VLOOKUP(V$5,NFI,5,0),1,0)*Table_NFI[[#This Row],[Jerry Can]],Table_NFI[Jerry Can])</f>
        <v>0</v>
      </c>
      <c r="AO1164" s="540" t="str">
        <f>IFERROR(VLOOKUP(Table_NFI[[#This Row],[Camp Name]],CL,2,0),"")</f>
        <v/>
      </c>
      <c r="AP1164" s="535" t="str">
        <f ca="1">IF(Table_NFI[[#This Row],[Pcode]]="","",IF(OFFSET(CampList[Opening Date],MATCH(Table_NFI[[#This Row],[Pcode]],CampList[CP_Pcode],0)-1,0,1,1)&gt;=NFI_Monitor_Date,1,0))</f>
        <v/>
      </c>
      <c r="AQ1164" s="540" t="str">
        <f>IFERROR(VLOOKUP(Table_NFI[[#This Row],[Camp Name]],CL,3,0),"")</f>
        <v/>
      </c>
      <c r="AR1164" s="352" t="str">
        <f ca="1">IF(Table_NFI[[#This Row],[Pcode]]="","",OFFSET(CampList[Priority],MATCH(Table_NFI[[#This Row],[Pcode]],CampList[CP_Pcode],0)-1,0,1,1))</f>
        <v/>
      </c>
      <c r="AS1164" s="351" t="str">
        <f>IFERROR(Table_NFI[[#This Row],[Kitchen Set]]/VLOOKUP(Table_NFI[[#This Row],[Camp Name]],CL,4,0),"")</f>
        <v/>
      </c>
      <c r="AT1164" s="533"/>
      <c r="AU1164" s="557"/>
    </row>
    <row r="1165" spans="1:47" ht="14.45" hidden="1" customHeight="1" x14ac:dyDescent="0.25">
      <c r="A1165" s="355" t="str">
        <f t="shared" si="18"/>
        <v/>
      </c>
      <c r="B1165" s="532"/>
      <c r="C1165" s="533"/>
      <c r="D1165" s="538"/>
      <c r="E1165" s="538"/>
      <c r="F1165" s="538"/>
      <c r="G1165" s="538"/>
      <c r="H1165" s="350"/>
      <c r="I1165" s="350"/>
      <c r="J1165" s="350"/>
      <c r="K1165" s="350"/>
      <c r="L1165" s="350"/>
      <c r="M1165" s="350"/>
      <c r="N1165" s="350"/>
      <c r="O1165" s="350"/>
      <c r="P1165" s="352"/>
      <c r="Q1165" s="392"/>
      <c r="R1165" s="392"/>
      <c r="S1165" s="392"/>
      <c r="T1165" s="392"/>
      <c r="U1165" s="392"/>
      <c r="V1165" s="497"/>
      <c r="W1165" s="392"/>
      <c r="X1165" s="392"/>
      <c r="Y1165" s="352">
        <f>IF(NFI_Expiration=1,IF($A1165&lt;VLOOKUP(H$5,NFI,5,0),1,0)*Table_NFI[[#This Row],[Hygiene Kit]],Table_NFI[Hygiene Kit])</f>
        <v>0</v>
      </c>
      <c r="Z1165" s="352">
        <f>IF(NFI_Expiration=1,IF($A1165&lt;VLOOKUP(I$5,NFI,5,0),1,0)*Table_NFI[[#This Row],[NFI Core Kit]],Table_NFI[NFI Core Kit])</f>
        <v>0</v>
      </c>
      <c r="AA1165" s="352">
        <f>IF(NFI_Expiration=1,IF($A1165&lt;VLOOKUP(J$5,NFI,5,0),1,0)*Table_NFI[[#This Row],[Sanitary Kit]],Table_NFI[Sanitary Kit])</f>
        <v>0</v>
      </c>
      <c r="AB1165" s="352">
        <f>IF(NFI_Expiration=1,IF($A1165&lt;VLOOKUP(K$5,NFI,5,0),1,0)*Table_NFI[[#This Row],[Mosquito net]],Table_NFI[Mosquito net])</f>
        <v>0</v>
      </c>
      <c r="AC1165" s="352">
        <f>IF(NFI_Expiration=1,IF($A1165&lt;VLOOKUP(L$5,NFI,5,0),1,0)*Table_NFI[[#This Row],[Tarpaulin]],Table_NFI[[#This Row],[Tarpaulin]])</f>
        <v>0</v>
      </c>
      <c r="AD1165" s="352">
        <f>IF(NFI_Expiration=1,IF($A1165&lt;VLOOKUP(M$5,NFI,5,0),1,0)*Table_NFI[[#This Row],[Blanket]],Table_NFI[[#This Row],[Blanket]])</f>
        <v>0</v>
      </c>
      <c r="AE1165" s="352">
        <f>IF(NFI_Expiration=1,IF($A1165&lt;VLOOKUP(N$5,NFI,5,0),1,0)*Table_NFI[[#This Row],[Kitchen Set]],Table_NFI[Kitchen Set])</f>
        <v>0</v>
      </c>
      <c r="AF1165" s="352">
        <f>IF(NFI_Expiration=1,IF($A1165&lt;VLOOKUP(O$5,NFI,5,0),1,0)*Table_NFI[[#This Row],[Clothes Kit]],Table_NFI[Clothes Kit])</f>
        <v>0</v>
      </c>
      <c r="AG1165" s="352">
        <f>IF(NFI_Expiration=1,IF($A1165&lt;VLOOKUP(P$5,NFI,5,0),1,0)*Table_NFI[[#This Row],[Plastic Bucket]],Table_NFI[Plastic Bucket])</f>
        <v>0</v>
      </c>
      <c r="AH1165" s="352">
        <f>IF(NFI_Expiration=1,IF($A1165&lt;VLOOKUP(Q$5,NFI,5,0),1,0)*Table_NFI[[#This Row],[Plastic Mat]],Table_NFI[Plastic Mat])*IF(Table_NFI[[#This Row],[Distribution Date]]&gt;"2014-04-01",1,2.5)</f>
        <v>0</v>
      </c>
      <c r="AI1165" s="352">
        <f>IF(NFI_Expiration=1,IF($A1165&lt;VLOOKUP(R$5,NFI,5,0),1,0)*Table_NFI[[#This Row],[Winter Clothes Adult]],Table_NFI[Winter Clothes Adult])</f>
        <v>0</v>
      </c>
      <c r="AJ1165" s="352">
        <f>IF(NFI_Expiration=1,IF($A1165&lt;VLOOKUP(S$5,NFI,5,0),1,0)*Table_NFI[[#This Row],[Winter Clothes Children]],Table_NFI[Winter Clothes Children])</f>
        <v>0</v>
      </c>
      <c r="AK1165" s="352">
        <f>IF(NFI_Expiration=1,IF($A1165&lt;VLOOKUP(T$5,NFI,5,0),1,0)*Table_NFI[[#This Row],[Winter Items Other]],Table_NFI[Winter Items Other])</f>
        <v>0</v>
      </c>
      <c r="AL1165" s="352">
        <f>IF(NFI_Expiration=1,IF($A1165&lt;VLOOKUP(M$5,NFI,5,0),1,0)*Table_NFI[[#This Row],[Winter Blanket]],Table_NFI[[#This Row],[Winter Blanket]])</f>
        <v>0</v>
      </c>
      <c r="AM1165" s="352">
        <f>IF(Table_NFI[[#This Row],[Winter Clothes Adult]]+Table_NFI[[#This Row],[Winter Clothes Children]]+Table_NFI[[#This Row],[Winter Items Other]]+Table_NFI[[#This Row],[Winter Blanket]]&gt;0,1,0)</f>
        <v>0</v>
      </c>
      <c r="AN1165" s="392">
        <f>IF(NFI_Expiration=1,IF($A1165&lt;VLOOKUP(V$5,NFI,5,0),1,0)*Table_NFI[[#This Row],[Jerry Can]],Table_NFI[Jerry Can])</f>
        <v>0</v>
      </c>
      <c r="AO1165" s="540" t="str">
        <f>IFERROR(VLOOKUP(Table_NFI[[#This Row],[Camp Name]],CL,2,0),"")</f>
        <v/>
      </c>
      <c r="AP1165" s="535" t="str">
        <f ca="1">IF(Table_NFI[[#This Row],[Pcode]]="","",IF(OFFSET(CampList[Opening Date],MATCH(Table_NFI[[#This Row],[Pcode]],CampList[CP_Pcode],0)-1,0,1,1)&gt;=NFI_Monitor_Date,1,0))</f>
        <v/>
      </c>
      <c r="AQ1165" s="540" t="str">
        <f>IFERROR(VLOOKUP(Table_NFI[[#This Row],[Camp Name]],CL,3,0),"")</f>
        <v/>
      </c>
      <c r="AR1165" s="352" t="str">
        <f ca="1">IF(Table_NFI[[#This Row],[Pcode]]="","",OFFSET(CampList[Priority],MATCH(Table_NFI[[#This Row],[Pcode]],CampList[CP_Pcode],0)-1,0,1,1))</f>
        <v/>
      </c>
      <c r="AS1165" s="351" t="str">
        <f>IFERROR(Table_NFI[[#This Row],[Kitchen Set]]/VLOOKUP(Table_NFI[[#This Row],[Camp Name]],CL,4,0),"")</f>
        <v/>
      </c>
      <c r="AT1165" s="538"/>
      <c r="AU1165" s="541"/>
    </row>
    <row r="1166" spans="1:47" ht="14.45" hidden="1" customHeight="1" x14ac:dyDescent="0.25">
      <c r="A1166" s="355" t="str">
        <f t="shared" si="18"/>
        <v/>
      </c>
      <c r="B1166" s="532"/>
      <c r="C1166" s="533"/>
      <c r="D1166" s="538"/>
      <c r="E1166" s="538"/>
      <c r="F1166" s="538"/>
      <c r="G1166" s="538"/>
      <c r="H1166" s="350"/>
      <c r="I1166" s="350"/>
      <c r="J1166" s="350"/>
      <c r="K1166" s="350"/>
      <c r="L1166" s="350"/>
      <c r="M1166" s="350"/>
      <c r="N1166" s="350"/>
      <c r="O1166" s="350"/>
      <c r="P1166" s="352"/>
      <c r="Q1166" s="392"/>
      <c r="R1166" s="392"/>
      <c r="S1166" s="392"/>
      <c r="T1166" s="392"/>
      <c r="U1166" s="392"/>
      <c r="V1166" s="497"/>
      <c r="W1166" s="392"/>
      <c r="X1166" s="392"/>
      <c r="Y1166" s="352">
        <f>IF(NFI_Expiration=1,IF($A1166&lt;VLOOKUP(H$5,NFI,5,0),1,0)*Table_NFI[[#This Row],[Hygiene Kit]],Table_NFI[Hygiene Kit])</f>
        <v>0</v>
      </c>
      <c r="Z1166" s="352">
        <f>IF(NFI_Expiration=1,IF($A1166&lt;VLOOKUP(I$5,NFI,5,0),1,0)*Table_NFI[[#This Row],[NFI Core Kit]],Table_NFI[NFI Core Kit])</f>
        <v>0</v>
      </c>
      <c r="AA1166" s="352">
        <f>IF(NFI_Expiration=1,IF($A1166&lt;VLOOKUP(J$5,NFI,5,0),1,0)*Table_NFI[[#This Row],[Sanitary Kit]],Table_NFI[Sanitary Kit])</f>
        <v>0</v>
      </c>
      <c r="AB1166" s="352">
        <f>IF(NFI_Expiration=1,IF($A1166&lt;VLOOKUP(K$5,NFI,5,0),1,0)*Table_NFI[[#This Row],[Mosquito net]],Table_NFI[Mosquito net])</f>
        <v>0</v>
      </c>
      <c r="AC1166" s="352">
        <f>IF(NFI_Expiration=1,IF($A1166&lt;VLOOKUP(L$5,NFI,5,0),1,0)*Table_NFI[[#This Row],[Tarpaulin]],Table_NFI[[#This Row],[Tarpaulin]])</f>
        <v>0</v>
      </c>
      <c r="AD1166" s="352">
        <f>IF(NFI_Expiration=1,IF($A1166&lt;VLOOKUP(M$5,NFI,5,0),1,0)*Table_NFI[[#This Row],[Blanket]],Table_NFI[[#This Row],[Blanket]])</f>
        <v>0</v>
      </c>
      <c r="AE1166" s="352">
        <f>IF(NFI_Expiration=1,IF($A1166&lt;VLOOKUP(N$5,NFI,5,0),1,0)*Table_NFI[[#This Row],[Kitchen Set]],Table_NFI[Kitchen Set])</f>
        <v>0</v>
      </c>
      <c r="AF1166" s="352">
        <f>IF(NFI_Expiration=1,IF($A1166&lt;VLOOKUP(O$5,NFI,5,0),1,0)*Table_NFI[[#This Row],[Clothes Kit]],Table_NFI[Clothes Kit])</f>
        <v>0</v>
      </c>
      <c r="AG1166" s="352">
        <f>IF(NFI_Expiration=1,IF($A1166&lt;VLOOKUP(P$5,NFI,5,0),1,0)*Table_NFI[[#This Row],[Plastic Bucket]],Table_NFI[Plastic Bucket])</f>
        <v>0</v>
      </c>
      <c r="AH1166" s="352">
        <f>IF(NFI_Expiration=1,IF($A1166&lt;VLOOKUP(Q$5,NFI,5,0),1,0)*Table_NFI[[#This Row],[Plastic Mat]],Table_NFI[Plastic Mat])*IF(Table_NFI[[#This Row],[Distribution Date]]&gt;"2014-04-01",1,2.5)</f>
        <v>0</v>
      </c>
      <c r="AI1166" s="352">
        <f>IF(NFI_Expiration=1,IF($A1166&lt;VLOOKUP(R$5,NFI,5,0),1,0)*Table_NFI[[#This Row],[Winter Clothes Adult]],Table_NFI[Winter Clothes Adult])</f>
        <v>0</v>
      </c>
      <c r="AJ1166" s="352">
        <f>IF(NFI_Expiration=1,IF($A1166&lt;VLOOKUP(S$5,NFI,5,0),1,0)*Table_NFI[[#This Row],[Winter Clothes Children]],Table_NFI[Winter Clothes Children])</f>
        <v>0</v>
      </c>
      <c r="AK1166" s="352">
        <f>IF(NFI_Expiration=1,IF($A1166&lt;VLOOKUP(T$5,NFI,5,0),1,0)*Table_NFI[[#This Row],[Winter Items Other]],Table_NFI[Winter Items Other])</f>
        <v>0</v>
      </c>
      <c r="AL1166" s="352">
        <f>IF(NFI_Expiration=1,IF($A1166&lt;VLOOKUP(M$5,NFI,5,0),1,0)*Table_NFI[[#This Row],[Winter Blanket]],Table_NFI[[#This Row],[Winter Blanket]])</f>
        <v>0</v>
      </c>
      <c r="AM1166" s="352">
        <f>IF(Table_NFI[[#This Row],[Winter Clothes Adult]]+Table_NFI[[#This Row],[Winter Clothes Children]]+Table_NFI[[#This Row],[Winter Items Other]]+Table_NFI[[#This Row],[Winter Blanket]]&gt;0,1,0)</f>
        <v>0</v>
      </c>
      <c r="AN1166" s="392">
        <f>IF(NFI_Expiration=1,IF($A1166&lt;VLOOKUP(V$5,NFI,5,0),1,0)*Table_NFI[[#This Row],[Jerry Can]],Table_NFI[Jerry Can])</f>
        <v>0</v>
      </c>
      <c r="AO1166" s="540" t="str">
        <f>IFERROR(VLOOKUP(Table_NFI[[#This Row],[Camp Name]],CL,2,0),"")</f>
        <v/>
      </c>
      <c r="AP1166" s="535" t="str">
        <f ca="1">IF(Table_NFI[[#This Row],[Pcode]]="","",IF(OFFSET(CampList[Opening Date],MATCH(Table_NFI[[#This Row],[Pcode]],CampList[CP_Pcode],0)-1,0,1,1)&gt;=NFI_Monitor_Date,1,0))</f>
        <v/>
      </c>
      <c r="AQ1166" s="540" t="str">
        <f>IFERROR(VLOOKUP(Table_NFI[[#This Row],[Camp Name]],CL,3,0),"")</f>
        <v/>
      </c>
      <c r="AR1166" s="352" t="str">
        <f ca="1">IF(Table_NFI[[#This Row],[Pcode]]="","",OFFSET(CampList[Priority],MATCH(Table_NFI[[#This Row],[Pcode]],CampList[CP_Pcode],0)-1,0,1,1))</f>
        <v/>
      </c>
      <c r="AS1166" s="351" t="str">
        <f>IFERROR(Table_NFI[[#This Row],[Kitchen Set]]/VLOOKUP(Table_NFI[[#This Row],[Camp Name]],CL,4,0),"")</f>
        <v/>
      </c>
      <c r="AT1166" s="538"/>
      <c r="AU1166" s="541"/>
    </row>
    <row r="1167" spans="1:47" ht="14.45" hidden="1" customHeight="1" x14ac:dyDescent="0.25">
      <c r="A1167" s="355" t="str">
        <f t="shared" si="18"/>
        <v/>
      </c>
      <c r="B1167" s="532"/>
      <c r="C1167" s="533"/>
      <c r="D1167" s="538"/>
      <c r="E1167" s="538"/>
      <c r="F1167" s="538"/>
      <c r="G1167" s="538"/>
      <c r="H1167" s="350"/>
      <c r="I1167" s="350"/>
      <c r="J1167" s="350"/>
      <c r="K1167" s="350"/>
      <c r="L1167" s="350"/>
      <c r="M1167" s="350"/>
      <c r="N1167" s="350"/>
      <c r="O1167" s="350"/>
      <c r="P1167" s="352"/>
      <c r="Q1167" s="392"/>
      <c r="R1167" s="392"/>
      <c r="S1167" s="392"/>
      <c r="T1167" s="392"/>
      <c r="U1167" s="392"/>
      <c r="V1167" s="497"/>
      <c r="W1167" s="392"/>
      <c r="X1167" s="392"/>
      <c r="Y1167" s="352">
        <f>IF(NFI_Expiration=1,IF($A1167&lt;VLOOKUP(H$5,NFI,5,0),1,0)*Table_NFI[[#This Row],[Hygiene Kit]],Table_NFI[Hygiene Kit])</f>
        <v>0</v>
      </c>
      <c r="Z1167" s="352">
        <f>IF(NFI_Expiration=1,IF($A1167&lt;VLOOKUP(I$5,NFI,5,0),1,0)*Table_NFI[[#This Row],[NFI Core Kit]],Table_NFI[NFI Core Kit])</f>
        <v>0</v>
      </c>
      <c r="AA1167" s="352">
        <f>IF(NFI_Expiration=1,IF($A1167&lt;VLOOKUP(J$5,NFI,5,0),1,0)*Table_NFI[[#This Row],[Sanitary Kit]],Table_NFI[Sanitary Kit])</f>
        <v>0</v>
      </c>
      <c r="AB1167" s="352">
        <f>IF(NFI_Expiration=1,IF($A1167&lt;VLOOKUP(K$5,NFI,5,0),1,0)*Table_NFI[[#This Row],[Mosquito net]],Table_NFI[Mosquito net])</f>
        <v>0</v>
      </c>
      <c r="AC1167" s="352">
        <f>IF(NFI_Expiration=1,IF($A1167&lt;VLOOKUP(L$5,NFI,5,0),1,0)*Table_NFI[[#This Row],[Tarpaulin]],Table_NFI[[#This Row],[Tarpaulin]])</f>
        <v>0</v>
      </c>
      <c r="AD1167" s="352">
        <f>IF(NFI_Expiration=1,IF($A1167&lt;VLOOKUP(M$5,NFI,5,0),1,0)*Table_NFI[[#This Row],[Blanket]],Table_NFI[[#This Row],[Blanket]])</f>
        <v>0</v>
      </c>
      <c r="AE1167" s="352">
        <f>IF(NFI_Expiration=1,IF($A1167&lt;VLOOKUP(N$5,NFI,5,0),1,0)*Table_NFI[[#This Row],[Kitchen Set]],Table_NFI[Kitchen Set])</f>
        <v>0</v>
      </c>
      <c r="AF1167" s="352">
        <f>IF(NFI_Expiration=1,IF($A1167&lt;VLOOKUP(O$5,NFI,5,0),1,0)*Table_NFI[[#This Row],[Clothes Kit]],Table_NFI[Clothes Kit])</f>
        <v>0</v>
      </c>
      <c r="AG1167" s="352">
        <f>IF(NFI_Expiration=1,IF($A1167&lt;VLOOKUP(P$5,NFI,5,0),1,0)*Table_NFI[[#This Row],[Plastic Bucket]],Table_NFI[Plastic Bucket])</f>
        <v>0</v>
      </c>
      <c r="AH1167" s="352">
        <f>IF(NFI_Expiration=1,IF($A1167&lt;VLOOKUP(Q$5,NFI,5,0),1,0)*Table_NFI[[#This Row],[Plastic Mat]],Table_NFI[Plastic Mat])*IF(Table_NFI[[#This Row],[Distribution Date]]&gt;"2014-04-01",1,2.5)</f>
        <v>0</v>
      </c>
      <c r="AI1167" s="352">
        <f>IF(NFI_Expiration=1,IF($A1167&lt;VLOOKUP(R$5,NFI,5,0),1,0)*Table_NFI[[#This Row],[Winter Clothes Adult]],Table_NFI[Winter Clothes Adult])</f>
        <v>0</v>
      </c>
      <c r="AJ1167" s="352">
        <f>IF(NFI_Expiration=1,IF($A1167&lt;VLOOKUP(S$5,NFI,5,0),1,0)*Table_NFI[[#This Row],[Winter Clothes Children]],Table_NFI[Winter Clothes Children])</f>
        <v>0</v>
      </c>
      <c r="AK1167" s="352">
        <f>IF(NFI_Expiration=1,IF($A1167&lt;VLOOKUP(T$5,NFI,5,0),1,0)*Table_NFI[[#This Row],[Winter Items Other]],Table_NFI[Winter Items Other])</f>
        <v>0</v>
      </c>
      <c r="AL1167" s="352">
        <f>IF(NFI_Expiration=1,IF($A1167&lt;VLOOKUP(M$5,NFI,5,0),1,0)*Table_NFI[[#This Row],[Winter Blanket]],Table_NFI[[#This Row],[Winter Blanket]])</f>
        <v>0</v>
      </c>
      <c r="AM1167" s="352">
        <f>IF(Table_NFI[[#This Row],[Winter Clothes Adult]]+Table_NFI[[#This Row],[Winter Clothes Children]]+Table_NFI[[#This Row],[Winter Items Other]]+Table_NFI[[#This Row],[Winter Blanket]]&gt;0,1,0)</f>
        <v>0</v>
      </c>
      <c r="AN1167" s="392">
        <f>IF(NFI_Expiration=1,IF($A1167&lt;VLOOKUP(V$5,NFI,5,0),1,0)*Table_NFI[[#This Row],[Jerry Can]],Table_NFI[Jerry Can])</f>
        <v>0</v>
      </c>
      <c r="AO1167" s="540" t="str">
        <f>IFERROR(VLOOKUP(Table_NFI[[#This Row],[Camp Name]],CL,2,0),"")</f>
        <v/>
      </c>
      <c r="AP1167" s="535" t="str">
        <f ca="1">IF(Table_NFI[[#This Row],[Pcode]]="","",IF(OFFSET(CampList[Opening Date],MATCH(Table_NFI[[#This Row],[Pcode]],CampList[CP_Pcode],0)-1,0,1,1)&gt;=NFI_Monitor_Date,1,0))</f>
        <v/>
      </c>
      <c r="AQ1167" s="540" t="str">
        <f>IFERROR(VLOOKUP(Table_NFI[[#This Row],[Camp Name]],CL,3,0),"")</f>
        <v/>
      </c>
      <c r="AR1167" s="352" t="str">
        <f ca="1">IF(Table_NFI[[#This Row],[Pcode]]="","",OFFSET(CampList[Priority],MATCH(Table_NFI[[#This Row],[Pcode]],CampList[CP_Pcode],0)-1,0,1,1))</f>
        <v/>
      </c>
      <c r="AS1167" s="351" t="str">
        <f>IFERROR(Table_NFI[[#This Row],[Kitchen Set]]/VLOOKUP(Table_NFI[[#This Row],[Camp Name]],CL,4,0),"")</f>
        <v/>
      </c>
      <c r="AT1167" s="538"/>
      <c r="AU1167" s="541"/>
    </row>
    <row r="1168" spans="1:47" ht="14.45" hidden="1" customHeight="1" x14ac:dyDescent="0.25">
      <c r="A1168" s="355" t="str">
        <f t="shared" si="18"/>
        <v/>
      </c>
      <c r="B1168" s="532"/>
      <c r="C1168" s="533"/>
      <c r="D1168" s="538"/>
      <c r="E1168" s="538"/>
      <c r="F1168" s="538"/>
      <c r="G1168" s="538"/>
      <c r="H1168" s="350"/>
      <c r="I1168" s="350"/>
      <c r="J1168" s="350"/>
      <c r="K1168" s="350"/>
      <c r="L1168" s="350"/>
      <c r="M1168" s="350"/>
      <c r="N1168" s="350"/>
      <c r="O1168" s="350"/>
      <c r="P1168" s="352"/>
      <c r="Q1168" s="392"/>
      <c r="R1168" s="392"/>
      <c r="S1168" s="392"/>
      <c r="T1168" s="392"/>
      <c r="U1168" s="392"/>
      <c r="V1168" s="497"/>
      <c r="W1168" s="392"/>
      <c r="X1168" s="392"/>
      <c r="Y1168" s="352">
        <f>IF(NFI_Expiration=1,IF($A1168&lt;VLOOKUP(H$5,NFI,5,0),1,0)*Table_NFI[[#This Row],[Hygiene Kit]],Table_NFI[Hygiene Kit])</f>
        <v>0</v>
      </c>
      <c r="Z1168" s="352">
        <f>IF(NFI_Expiration=1,IF($A1168&lt;VLOOKUP(I$5,NFI,5,0),1,0)*Table_NFI[[#This Row],[NFI Core Kit]],Table_NFI[NFI Core Kit])</f>
        <v>0</v>
      </c>
      <c r="AA1168" s="352">
        <f>IF(NFI_Expiration=1,IF($A1168&lt;VLOOKUP(J$5,NFI,5,0),1,0)*Table_NFI[[#This Row],[Sanitary Kit]],Table_NFI[Sanitary Kit])</f>
        <v>0</v>
      </c>
      <c r="AB1168" s="352">
        <f>IF(NFI_Expiration=1,IF($A1168&lt;VLOOKUP(K$5,NFI,5,0),1,0)*Table_NFI[[#This Row],[Mosquito net]],Table_NFI[Mosquito net])</f>
        <v>0</v>
      </c>
      <c r="AC1168" s="352">
        <f>IF(NFI_Expiration=1,IF($A1168&lt;VLOOKUP(L$5,NFI,5,0),1,0)*Table_NFI[[#This Row],[Tarpaulin]],Table_NFI[[#This Row],[Tarpaulin]])</f>
        <v>0</v>
      </c>
      <c r="AD1168" s="352">
        <f>IF(NFI_Expiration=1,IF($A1168&lt;VLOOKUP(M$5,NFI,5,0),1,0)*Table_NFI[[#This Row],[Blanket]],Table_NFI[[#This Row],[Blanket]])</f>
        <v>0</v>
      </c>
      <c r="AE1168" s="352">
        <f>IF(NFI_Expiration=1,IF($A1168&lt;VLOOKUP(N$5,NFI,5,0),1,0)*Table_NFI[[#This Row],[Kitchen Set]],Table_NFI[Kitchen Set])</f>
        <v>0</v>
      </c>
      <c r="AF1168" s="352">
        <f>IF(NFI_Expiration=1,IF($A1168&lt;VLOOKUP(O$5,NFI,5,0),1,0)*Table_NFI[[#This Row],[Clothes Kit]],Table_NFI[Clothes Kit])</f>
        <v>0</v>
      </c>
      <c r="AG1168" s="352">
        <f>IF(NFI_Expiration=1,IF($A1168&lt;VLOOKUP(P$5,NFI,5,0),1,0)*Table_NFI[[#This Row],[Plastic Bucket]],Table_NFI[Plastic Bucket])</f>
        <v>0</v>
      </c>
      <c r="AH1168" s="352">
        <f>IF(NFI_Expiration=1,IF($A1168&lt;VLOOKUP(Q$5,NFI,5,0),1,0)*Table_NFI[[#This Row],[Plastic Mat]],Table_NFI[Plastic Mat])*IF(Table_NFI[[#This Row],[Distribution Date]]&gt;"2014-04-01",1,2.5)</f>
        <v>0</v>
      </c>
      <c r="AI1168" s="352">
        <f>IF(NFI_Expiration=1,IF($A1168&lt;VLOOKUP(R$5,NFI,5,0),1,0)*Table_NFI[[#This Row],[Winter Clothes Adult]],Table_NFI[Winter Clothes Adult])</f>
        <v>0</v>
      </c>
      <c r="AJ1168" s="352">
        <f>IF(NFI_Expiration=1,IF($A1168&lt;VLOOKUP(S$5,NFI,5,0),1,0)*Table_NFI[[#This Row],[Winter Clothes Children]],Table_NFI[Winter Clothes Children])</f>
        <v>0</v>
      </c>
      <c r="AK1168" s="352">
        <f>IF(NFI_Expiration=1,IF($A1168&lt;VLOOKUP(T$5,NFI,5,0),1,0)*Table_NFI[[#This Row],[Winter Items Other]],Table_NFI[Winter Items Other])</f>
        <v>0</v>
      </c>
      <c r="AL1168" s="352">
        <f>IF(NFI_Expiration=1,IF($A1168&lt;VLOOKUP(M$5,NFI,5,0),1,0)*Table_NFI[[#This Row],[Winter Blanket]],Table_NFI[[#This Row],[Winter Blanket]])</f>
        <v>0</v>
      </c>
      <c r="AM1168" s="352">
        <f>IF(Table_NFI[[#This Row],[Winter Clothes Adult]]+Table_NFI[[#This Row],[Winter Clothes Children]]+Table_NFI[[#This Row],[Winter Items Other]]+Table_NFI[[#This Row],[Winter Blanket]]&gt;0,1,0)</f>
        <v>0</v>
      </c>
      <c r="AN1168" s="392">
        <f>IF(NFI_Expiration=1,IF($A1168&lt;VLOOKUP(V$5,NFI,5,0),1,0)*Table_NFI[[#This Row],[Jerry Can]],Table_NFI[Jerry Can])</f>
        <v>0</v>
      </c>
      <c r="AO1168" s="540" t="str">
        <f>IFERROR(VLOOKUP(Table_NFI[[#This Row],[Camp Name]],CL,2,0),"")</f>
        <v/>
      </c>
      <c r="AP1168" s="535" t="str">
        <f ca="1">IF(Table_NFI[[#This Row],[Pcode]]="","",IF(OFFSET(CampList[Opening Date],MATCH(Table_NFI[[#This Row],[Pcode]],CampList[CP_Pcode],0)-1,0,1,1)&gt;=NFI_Monitor_Date,1,0))</f>
        <v/>
      </c>
      <c r="AQ1168" s="540" t="str">
        <f>IFERROR(VLOOKUP(Table_NFI[[#This Row],[Camp Name]],CL,3,0),"")</f>
        <v/>
      </c>
      <c r="AR1168" s="352" t="str">
        <f ca="1">IF(Table_NFI[[#This Row],[Pcode]]="","",OFFSET(CampList[Priority],MATCH(Table_NFI[[#This Row],[Pcode]],CampList[CP_Pcode],0)-1,0,1,1))</f>
        <v/>
      </c>
      <c r="AS1168" s="351" t="str">
        <f>IFERROR(Table_NFI[[#This Row],[Kitchen Set]]/VLOOKUP(Table_NFI[[#This Row],[Camp Name]],CL,4,0),"")</f>
        <v/>
      </c>
      <c r="AT1168" s="538"/>
      <c r="AU1168" s="541"/>
    </row>
    <row r="1169" spans="1:47" ht="14.45" hidden="1" customHeight="1" x14ac:dyDescent="0.25">
      <c r="A1169" s="355" t="str">
        <f t="shared" si="18"/>
        <v/>
      </c>
      <c r="B1169" s="532"/>
      <c r="C1169" s="533"/>
      <c r="D1169" s="538"/>
      <c r="E1169" s="538"/>
      <c r="F1169" s="538"/>
      <c r="G1169" s="538"/>
      <c r="H1169" s="350"/>
      <c r="I1169" s="350"/>
      <c r="J1169" s="350"/>
      <c r="K1169" s="350"/>
      <c r="L1169" s="350"/>
      <c r="M1169" s="350"/>
      <c r="N1169" s="350"/>
      <c r="O1169" s="350"/>
      <c r="P1169" s="352"/>
      <c r="Q1169" s="392"/>
      <c r="R1169" s="392"/>
      <c r="S1169" s="392"/>
      <c r="T1169" s="392"/>
      <c r="U1169" s="392"/>
      <c r="V1169" s="497"/>
      <c r="W1169" s="392"/>
      <c r="X1169" s="392"/>
      <c r="Y1169" s="352">
        <f>IF(NFI_Expiration=1,IF($A1169&lt;VLOOKUP(H$5,NFI,5,0),1,0)*Table_NFI[[#This Row],[Hygiene Kit]],Table_NFI[Hygiene Kit])</f>
        <v>0</v>
      </c>
      <c r="Z1169" s="352">
        <f>IF(NFI_Expiration=1,IF($A1169&lt;VLOOKUP(I$5,NFI,5,0),1,0)*Table_NFI[[#This Row],[NFI Core Kit]],Table_NFI[NFI Core Kit])</f>
        <v>0</v>
      </c>
      <c r="AA1169" s="352">
        <f>IF(NFI_Expiration=1,IF($A1169&lt;VLOOKUP(J$5,NFI,5,0),1,0)*Table_NFI[[#This Row],[Sanitary Kit]],Table_NFI[Sanitary Kit])</f>
        <v>0</v>
      </c>
      <c r="AB1169" s="352">
        <f>IF(NFI_Expiration=1,IF($A1169&lt;VLOOKUP(K$5,NFI,5,0),1,0)*Table_NFI[[#This Row],[Mosquito net]],Table_NFI[Mosquito net])</f>
        <v>0</v>
      </c>
      <c r="AC1169" s="352">
        <f>IF(NFI_Expiration=1,IF($A1169&lt;VLOOKUP(L$5,NFI,5,0),1,0)*Table_NFI[[#This Row],[Tarpaulin]],Table_NFI[[#This Row],[Tarpaulin]])</f>
        <v>0</v>
      </c>
      <c r="AD1169" s="352">
        <f>IF(NFI_Expiration=1,IF($A1169&lt;VLOOKUP(M$5,NFI,5,0),1,0)*Table_NFI[[#This Row],[Blanket]],Table_NFI[[#This Row],[Blanket]])</f>
        <v>0</v>
      </c>
      <c r="AE1169" s="352">
        <f>IF(NFI_Expiration=1,IF($A1169&lt;VLOOKUP(N$5,NFI,5,0),1,0)*Table_NFI[[#This Row],[Kitchen Set]],Table_NFI[Kitchen Set])</f>
        <v>0</v>
      </c>
      <c r="AF1169" s="352">
        <f>IF(NFI_Expiration=1,IF($A1169&lt;VLOOKUP(O$5,NFI,5,0),1,0)*Table_NFI[[#This Row],[Clothes Kit]],Table_NFI[Clothes Kit])</f>
        <v>0</v>
      </c>
      <c r="AG1169" s="352">
        <f>IF(NFI_Expiration=1,IF($A1169&lt;VLOOKUP(P$5,NFI,5,0),1,0)*Table_NFI[[#This Row],[Plastic Bucket]],Table_NFI[Plastic Bucket])</f>
        <v>0</v>
      </c>
      <c r="AH1169" s="352">
        <f>IF(NFI_Expiration=1,IF($A1169&lt;VLOOKUP(Q$5,NFI,5,0),1,0)*Table_NFI[[#This Row],[Plastic Mat]],Table_NFI[Plastic Mat])*IF(Table_NFI[[#This Row],[Distribution Date]]&gt;"2014-04-01",1,2.5)</f>
        <v>0</v>
      </c>
      <c r="AI1169" s="352">
        <f>IF(NFI_Expiration=1,IF($A1169&lt;VLOOKUP(R$5,NFI,5,0),1,0)*Table_NFI[[#This Row],[Winter Clothes Adult]],Table_NFI[Winter Clothes Adult])</f>
        <v>0</v>
      </c>
      <c r="AJ1169" s="352">
        <f>IF(NFI_Expiration=1,IF($A1169&lt;VLOOKUP(S$5,NFI,5,0),1,0)*Table_NFI[[#This Row],[Winter Clothes Children]],Table_NFI[Winter Clothes Children])</f>
        <v>0</v>
      </c>
      <c r="AK1169" s="352">
        <f>IF(NFI_Expiration=1,IF($A1169&lt;VLOOKUP(T$5,NFI,5,0),1,0)*Table_NFI[[#This Row],[Winter Items Other]],Table_NFI[Winter Items Other])</f>
        <v>0</v>
      </c>
      <c r="AL1169" s="352">
        <f>IF(NFI_Expiration=1,IF($A1169&lt;VLOOKUP(M$5,NFI,5,0),1,0)*Table_NFI[[#This Row],[Winter Blanket]],Table_NFI[[#This Row],[Winter Blanket]])</f>
        <v>0</v>
      </c>
      <c r="AM1169" s="352">
        <f>IF(Table_NFI[[#This Row],[Winter Clothes Adult]]+Table_NFI[[#This Row],[Winter Clothes Children]]+Table_NFI[[#This Row],[Winter Items Other]]+Table_NFI[[#This Row],[Winter Blanket]]&gt;0,1,0)</f>
        <v>0</v>
      </c>
      <c r="AN1169" s="392">
        <f>IF(NFI_Expiration=1,IF($A1169&lt;VLOOKUP(V$5,NFI,5,0),1,0)*Table_NFI[[#This Row],[Jerry Can]],Table_NFI[Jerry Can])</f>
        <v>0</v>
      </c>
      <c r="AO1169" s="540" t="str">
        <f>IFERROR(VLOOKUP(Table_NFI[[#This Row],[Camp Name]],CL,2,0),"")</f>
        <v/>
      </c>
      <c r="AP1169" s="535" t="str">
        <f ca="1">IF(Table_NFI[[#This Row],[Pcode]]="","",IF(OFFSET(CampList[Opening Date],MATCH(Table_NFI[[#This Row],[Pcode]],CampList[CP_Pcode],0)-1,0,1,1)&gt;=NFI_Monitor_Date,1,0))</f>
        <v/>
      </c>
      <c r="AQ1169" s="540" t="str">
        <f>IFERROR(VLOOKUP(Table_NFI[[#This Row],[Camp Name]],CL,3,0),"")</f>
        <v/>
      </c>
      <c r="AR1169" s="352" t="str">
        <f ca="1">IF(Table_NFI[[#This Row],[Pcode]]="","",OFFSET(CampList[Priority],MATCH(Table_NFI[[#This Row],[Pcode]],CampList[CP_Pcode],0)-1,0,1,1))</f>
        <v/>
      </c>
      <c r="AS1169" s="351" t="str">
        <f>IFERROR(Table_NFI[[#This Row],[Kitchen Set]]/VLOOKUP(Table_NFI[[#This Row],[Camp Name]],CL,4,0),"")</f>
        <v/>
      </c>
      <c r="AT1169" s="538"/>
      <c r="AU1169" s="541"/>
    </row>
    <row r="1170" spans="1:47" ht="14.45" hidden="1" customHeight="1" x14ac:dyDescent="0.25">
      <c r="A1170" s="355" t="str">
        <f t="shared" si="18"/>
        <v/>
      </c>
      <c r="B1170" s="532"/>
      <c r="C1170" s="533"/>
      <c r="D1170" s="538"/>
      <c r="E1170" s="538"/>
      <c r="F1170" s="538"/>
      <c r="G1170" s="538"/>
      <c r="H1170" s="350"/>
      <c r="I1170" s="350"/>
      <c r="J1170" s="350"/>
      <c r="K1170" s="350"/>
      <c r="L1170" s="350"/>
      <c r="M1170" s="350"/>
      <c r="N1170" s="350"/>
      <c r="O1170" s="350"/>
      <c r="P1170" s="352"/>
      <c r="Q1170" s="392"/>
      <c r="R1170" s="392"/>
      <c r="S1170" s="392"/>
      <c r="T1170" s="392"/>
      <c r="U1170" s="392"/>
      <c r="V1170" s="497"/>
      <c r="W1170" s="392"/>
      <c r="X1170" s="392"/>
      <c r="Y1170" s="352">
        <f>IF(NFI_Expiration=1,IF($A1170&lt;VLOOKUP(H$5,NFI,5,0),1,0)*Table_NFI[[#This Row],[Hygiene Kit]],Table_NFI[Hygiene Kit])</f>
        <v>0</v>
      </c>
      <c r="Z1170" s="352">
        <f>IF(NFI_Expiration=1,IF($A1170&lt;VLOOKUP(I$5,NFI,5,0),1,0)*Table_NFI[[#This Row],[NFI Core Kit]],Table_NFI[NFI Core Kit])</f>
        <v>0</v>
      </c>
      <c r="AA1170" s="352">
        <f>IF(NFI_Expiration=1,IF($A1170&lt;VLOOKUP(J$5,NFI,5,0),1,0)*Table_NFI[[#This Row],[Sanitary Kit]],Table_NFI[Sanitary Kit])</f>
        <v>0</v>
      </c>
      <c r="AB1170" s="352">
        <f>IF(NFI_Expiration=1,IF($A1170&lt;VLOOKUP(K$5,NFI,5,0),1,0)*Table_NFI[[#This Row],[Mosquito net]],Table_NFI[Mosquito net])</f>
        <v>0</v>
      </c>
      <c r="AC1170" s="352">
        <f>IF(NFI_Expiration=1,IF($A1170&lt;VLOOKUP(L$5,NFI,5,0),1,0)*Table_NFI[[#This Row],[Tarpaulin]],Table_NFI[[#This Row],[Tarpaulin]])</f>
        <v>0</v>
      </c>
      <c r="AD1170" s="352">
        <f>IF(NFI_Expiration=1,IF($A1170&lt;VLOOKUP(M$5,NFI,5,0),1,0)*Table_NFI[[#This Row],[Blanket]],Table_NFI[[#This Row],[Blanket]])</f>
        <v>0</v>
      </c>
      <c r="AE1170" s="352">
        <f>IF(NFI_Expiration=1,IF($A1170&lt;VLOOKUP(N$5,NFI,5,0),1,0)*Table_NFI[[#This Row],[Kitchen Set]],Table_NFI[Kitchen Set])</f>
        <v>0</v>
      </c>
      <c r="AF1170" s="352">
        <f>IF(NFI_Expiration=1,IF($A1170&lt;VLOOKUP(O$5,NFI,5,0),1,0)*Table_NFI[[#This Row],[Clothes Kit]],Table_NFI[Clothes Kit])</f>
        <v>0</v>
      </c>
      <c r="AG1170" s="352">
        <f>IF(NFI_Expiration=1,IF($A1170&lt;VLOOKUP(P$5,NFI,5,0),1,0)*Table_NFI[[#This Row],[Plastic Bucket]],Table_NFI[Plastic Bucket])</f>
        <v>0</v>
      </c>
      <c r="AH1170" s="352">
        <f>IF(NFI_Expiration=1,IF($A1170&lt;VLOOKUP(Q$5,NFI,5,0),1,0)*Table_NFI[[#This Row],[Plastic Mat]],Table_NFI[Plastic Mat])*IF(Table_NFI[[#This Row],[Distribution Date]]&gt;"2014-04-01",1,2.5)</f>
        <v>0</v>
      </c>
      <c r="AI1170" s="352">
        <f>IF(NFI_Expiration=1,IF($A1170&lt;VLOOKUP(R$5,NFI,5,0),1,0)*Table_NFI[[#This Row],[Winter Clothes Adult]],Table_NFI[Winter Clothes Adult])</f>
        <v>0</v>
      </c>
      <c r="AJ1170" s="352">
        <f>IF(NFI_Expiration=1,IF($A1170&lt;VLOOKUP(S$5,NFI,5,0),1,0)*Table_NFI[[#This Row],[Winter Clothes Children]],Table_NFI[Winter Clothes Children])</f>
        <v>0</v>
      </c>
      <c r="AK1170" s="352">
        <f>IF(NFI_Expiration=1,IF($A1170&lt;VLOOKUP(T$5,NFI,5,0),1,0)*Table_NFI[[#This Row],[Winter Items Other]],Table_NFI[Winter Items Other])</f>
        <v>0</v>
      </c>
      <c r="AL1170" s="352">
        <f>IF(NFI_Expiration=1,IF($A1170&lt;VLOOKUP(M$5,NFI,5,0),1,0)*Table_NFI[[#This Row],[Winter Blanket]],Table_NFI[[#This Row],[Winter Blanket]])</f>
        <v>0</v>
      </c>
      <c r="AM1170" s="352">
        <f>IF(Table_NFI[[#This Row],[Winter Clothes Adult]]+Table_NFI[[#This Row],[Winter Clothes Children]]+Table_NFI[[#This Row],[Winter Items Other]]+Table_NFI[[#This Row],[Winter Blanket]]&gt;0,1,0)</f>
        <v>0</v>
      </c>
      <c r="AN1170" s="392">
        <f>IF(NFI_Expiration=1,IF($A1170&lt;VLOOKUP(V$5,NFI,5,0),1,0)*Table_NFI[[#This Row],[Jerry Can]],Table_NFI[Jerry Can])</f>
        <v>0</v>
      </c>
      <c r="AO1170" s="540" t="str">
        <f>IFERROR(VLOOKUP(Table_NFI[[#This Row],[Camp Name]],CL,2,0),"")</f>
        <v/>
      </c>
      <c r="AP1170" s="535" t="str">
        <f ca="1">IF(Table_NFI[[#This Row],[Pcode]]="","",IF(OFFSET(CampList[Opening Date],MATCH(Table_NFI[[#This Row],[Pcode]],CampList[CP_Pcode],0)-1,0,1,1)&gt;=NFI_Monitor_Date,1,0))</f>
        <v/>
      </c>
      <c r="AQ1170" s="540" t="str">
        <f>IFERROR(VLOOKUP(Table_NFI[[#This Row],[Camp Name]],CL,3,0),"")</f>
        <v/>
      </c>
      <c r="AR1170" s="352" t="str">
        <f ca="1">IF(Table_NFI[[#This Row],[Pcode]]="","",OFFSET(CampList[Priority],MATCH(Table_NFI[[#This Row],[Pcode]],CampList[CP_Pcode],0)-1,0,1,1))</f>
        <v/>
      </c>
      <c r="AS1170" s="351" t="str">
        <f>IFERROR(Table_NFI[[#This Row],[Kitchen Set]]/VLOOKUP(Table_NFI[[#This Row],[Camp Name]],CL,4,0),"")</f>
        <v/>
      </c>
      <c r="AT1170" s="538"/>
      <c r="AU1170" s="541"/>
    </row>
    <row r="1171" spans="1:47" ht="14.45" hidden="1" customHeight="1" x14ac:dyDescent="0.25">
      <c r="A1171" s="355" t="str">
        <f t="shared" si="18"/>
        <v/>
      </c>
      <c r="B1171" s="532"/>
      <c r="C1171" s="533"/>
      <c r="D1171" s="538"/>
      <c r="E1171" s="538"/>
      <c r="F1171" s="538"/>
      <c r="G1171" s="538"/>
      <c r="H1171" s="350"/>
      <c r="I1171" s="350"/>
      <c r="J1171" s="350"/>
      <c r="K1171" s="350"/>
      <c r="L1171" s="350"/>
      <c r="M1171" s="350"/>
      <c r="N1171" s="350"/>
      <c r="O1171" s="350"/>
      <c r="P1171" s="352"/>
      <c r="Q1171" s="392"/>
      <c r="R1171" s="392"/>
      <c r="S1171" s="392"/>
      <c r="T1171" s="392"/>
      <c r="U1171" s="392"/>
      <c r="V1171" s="497"/>
      <c r="W1171" s="392"/>
      <c r="X1171" s="392"/>
      <c r="Y1171" s="352">
        <f>IF(NFI_Expiration=1,IF($A1171&lt;VLOOKUP(H$5,NFI,5,0),1,0)*Table_NFI[[#This Row],[Hygiene Kit]],Table_NFI[Hygiene Kit])</f>
        <v>0</v>
      </c>
      <c r="Z1171" s="352">
        <f>IF(NFI_Expiration=1,IF($A1171&lt;VLOOKUP(I$5,NFI,5,0),1,0)*Table_NFI[[#This Row],[NFI Core Kit]],Table_NFI[NFI Core Kit])</f>
        <v>0</v>
      </c>
      <c r="AA1171" s="352">
        <f>IF(NFI_Expiration=1,IF($A1171&lt;VLOOKUP(J$5,NFI,5,0),1,0)*Table_NFI[[#This Row],[Sanitary Kit]],Table_NFI[Sanitary Kit])</f>
        <v>0</v>
      </c>
      <c r="AB1171" s="352">
        <f>IF(NFI_Expiration=1,IF($A1171&lt;VLOOKUP(K$5,NFI,5,0),1,0)*Table_NFI[[#This Row],[Mosquito net]],Table_NFI[Mosquito net])</f>
        <v>0</v>
      </c>
      <c r="AC1171" s="352">
        <f>IF(NFI_Expiration=1,IF($A1171&lt;VLOOKUP(L$5,NFI,5,0),1,0)*Table_NFI[[#This Row],[Tarpaulin]],Table_NFI[[#This Row],[Tarpaulin]])</f>
        <v>0</v>
      </c>
      <c r="AD1171" s="352">
        <f>IF(NFI_Expiration=1,IF($A1171&lt;VLOOKUP(M$5,NFI,5,0),1,0)*Table_NFI[[#This Row],[Blanket]],Table_NFI[[#This Row],[Blanket]])</f>
        <v>0</v>
      </c>
      <c r="AE1171" s="352">
        <f>IF(NFI_Expiration=1,IF($A1171&lt;VLOOKUP(N$5,NFI,5,0),1,0)*Table_NFI[[#This Row],[Kitchen Set]],Table_NFI[Kitchen Set])</f>
        <v>0</v>
      </c>
      <c r="AF1171" s="352">
        <f>IF(NFI_Expiration=1,IF($A1171&lt;VLOOKUP(O$5,NFI,5,0),1,0)*Table_NFI[[#This Row],[Clothes Kit]],Table_NFI[Clothes Kit])</f>
        <v>0</v>
      </c>
      <c r="AG1171" s="352">
        <f>IF(NFI_Expiration=1,IF($A1171&lt;VLOOKUP(P$5,NFI,5,0),1,0)*Table_NFI[[#This Row],[Plastic Bucket]],Table_NFI[Plastic Bucket])</f>
        <v>0</v>
      </c>
      <c r="AH1171" s="352">
        <f>IF(NFI_Expiration=1,IF($A1171&lt;VLOOKUP(Q$5,NFI,5,0),1,0)*Table_NFI[[#This Row],[Plastic Mat]],Table_NFI[Plastic Mat])*IF(Table_NFI[[#This Row],[Distribution Date]]&gt;"2014-04-01",1,2.5)</f>
        <v>0</v>
      </c>
      <c r="AI1171" s="352">
        <f>IF(NFI_Expiration=1,IF($A1171&lt;VLOOKUP(R$5,NFI,5,0),1,0)*Table_NFI[[#This Row],[Winter Clothes Adult]],Table_NFI[Winter Clothes Adult])</f>
        <v>0</v>
      </c>
      <c r="AJ1171" s="352">
        <f>IF(NFI_Expiration=1,IF($A1171&lt;VLOOKUP(S$5,NFI,5,0),1,0)*Table_NFI[[#This Row],[Winter Clothes Children]],Table_NFI[Winter Clothes Children])</f>
        <v>0</v>
      </c>
      <c r="AK1171" s="352">
        <f>IF(NFI_Expiration=1,IF($A1171&lt;VLOOKUP(T$5,NFI,5,0),1,0)*Table_NFI[[#This Row],[Winter Items Other]],Table_NFI[Winter Items Other])</f>
        <v>0</v>
      </c>
      <c r="AL1171" s="352">
        <f>IF(NFI_Expiration=1,IF($A1171&lt;VLOOKUP(M$5,NFI,5,0),1,0)*Table_NFI[[#This Row],[Winter Blanket]],Table_NFI[[#This Row],[Winter Blanket]])</f>
        <v>0</v>
      </c>
      <c r="AM1171" s="352">
        <f>IF(Table_NFI[[#This Row],[Winter Clothes Adult]]+Table_NFI[[#This Row],[Winter Clothes Children]]+Table_NFI[[#This Row],[Winter Items Other]]+Table_NFI[[#This Row],[Winter Blanket]]&gt;0,1,0)</f>
        <v>0</v>
      </c>
      <c r="AN1171" s="392">
        <f>IF(NFI_Expiration=1,IF($A1171&lt;VLOOKUP(V$5,NFI,5,0),1,0)*Table_NFI[[#This Row],[Jerry Can]],Table_NFI[Jerry Can])</f>
        <v>0</v>
      </c>
      <c r="AO1171" s="540" t="str">
        <f>IFERROR(VLOOKUP(Table_NFI[[#This Row],[Camp Name]],CL,2,0),"")</f>
        <v/>
      </c>
      <c r="AP1171" s="535" t="str">
        <f ca="1">IF(Table_NFI[[#This Row],[Pcode]]="","",IF(OFFSET(CampList[Opening Date],MATCH(Table_NFI[[#This Row],[Pcode]],CampList[CP_Pcode],0)-1,0,1,1)&gt;=NFI_Monitor_Date,1,0))</f>
        <v/>
      </c>
      <c r="AQ1171" s="540" t="str">
        <f>IFERROR(VLOOKUP(Table_NFI[[#This Row],[Camp Name]],CL,3,0),"")</f>
        <v/>
      </c>
      <c r="AR1171" s="352" t="str">
        <f ca="1">IF(Table_NFI[[#This Row],[Pcode]]="","",OFFSET(CampList[Priority],MATCH(Table_NFI[[#This Row],[Pcode]],CampList[CP_Pcode],0)-1,0,1,1))</f>
        <v/>
      </c>
      <c r="AS1171" s="351" t="str">
        <f>IFERROR(Table_NFI[[#This Row],[Kitchen Set]]/VLOOKUP(Table_NFI[[#This Row],[Camp Name]],CL,4,0),"")</f>
        <v/>
      </c>
      <c r="AT1171" s="538"/>
      <c r="AU1171" s="541"/>
    </row>
    <row r="1172" spans="1:47" ht="14.45" hidden="1" customHeight="1" x14ac:dyDescent="0.25">
      <c r="A1172" s="355" t="str">
        <f t="shared" si="18"/>
        <v/>
      </c>
      <c r="B1172" s="532"/>
      <c r="C1172" s="533"/>
      <c r="D1172" s="538"/>
      <c r="E1172" s="538"/>
      <c r="F1172" s="538"/>
      <c r="G1172" s="538"/>
      <c r="H1172" s="350"/>
      <c r="I1172" s="350"/>
      <c r="J1172" s="350"/>
      <c r="K1172" s="350"/>
      <c r="L1172" s="350"/>
      <c r="M1172" s="350"/>
      <c r="N1172" s="350"/>
      <c r="O1172" s="350"/>
      <c r="P1172" s="352"/>
      <c r="Q1172" s="392"/>
      <c r="R1172" s="392"/>
      <c r="S1172" s="392"/>
      <c r="T1172" s="392"/>
      <c r="U1172" s="392"/>
      <c r="V1172" s="497"/>
      <c r="W1172" s="392"/>
      <c r="X1172" s="392"/>
      <c r="Y1172" s="352">
        <f>IF(NFI_Expiration=1,IF($A1172&lt;VLOOKUP(H$5,NFI,5,0),1,0)*Table_NFI[[#This Row],[Hygiene Kit]],Table_NFI[Hygiene Kit])</f>
        <v>0</v>
      </c>
      <c r="Z1172" s="352">
        <f>IF(NFI_Expiration=1,IF($A1172&lt;VLOOKUP(I$5,NFI,5,0),1,0)*Table_NFI[[#This Row],[NFI Core Kit]],Table_NFI[NFI Core Kit])</f>
        <v>0</v>
      </c>
      <c r="AA1172" s="352">
        <f>IF(NFI_Expiration=1,IF($A1172&lt;VLOOKUP(J$5,NFI,5,0),1,0)*Table_NFI[[#This Row],[Sanitary Kit]],Table_NFI[Sanitary Kit])</f>
        <v>0</v>
      </c>
      <c r="AB1172" s="352">
        <f>IF(NFI_Expiration=1,IF($A1172&lt;VLOOKUP(K$5,NFI,5,0),1,0)*Table_NFI[[#This Row],[Mosquito net]],Table_NFI[Mosquito net])</f>
        <v>0</v>
      </c>
      <c r="AC1172" s="352">
        <f>IF(NFI_Expiration=1,IF($A1172&lt;VLOOKUP(L$5,NFI,5,0),1,0)*Table_NFI[[#This Row],[Tarpaulin]],Table_NFI[[#This Row],[Tarpaulin]])</f>
        <v>0</v>
      </c>
      <c r="AD1172" s="352">
        <f>IF(NFI_Expiration=1,IF($A1172&lt;VLOOKUP(M$5,NFI,5,0),1,0)*Table_NFI[[#This Row],[Blanket]],Table_NFI[[#This Row],[Blanket]])</f>
        <v>0</v>
      </c>
      <c r="AE1172" s="352">
        <f>IF(NFI_Expiration=1,IF($A1172&lt;VLOOKUP(N$5,NFI,5,0),1,0)*Table_NFI[[#This Row],[Kitchen Set]],Table_NFI[Kitchen Set])</f>
        <v>0</v>
      </c>
      <c r="AF1172" s="352">
        <f>IF(NFI_Expiration=1,IF($A1172&lt;VLOOKUP(O$5,NFI,5,0),1,0)*Table_NFI[[#This Row],[Clothes Kit]],Table_NFI[Clothes Kit])</f>
        <v>0</v>
      </c>
      <c r="AG1172" s="352">
        <f>IF(NFI_Expiration=1,IF($A1172&lt;VLOOKUP(P$5,NFI,5,0),1,0)*Table_NFI[[#This Row],[Plastic Bucket]],Table_NFI[Plastic Bucket])</f>
        <v>0</v>
      </c>
      <c r="AH1172" s="352">
        <f>IF(NFI_Expiration=1,IF($A1172&lt;VLOOKUP(Q$5,NFI,5,0),1,0)*Table_NFI[[#This Row],[Plastic Mat]],Table_NFI[Plastic Mat])*IF(Table_NFI[[#This Row],[Distribution Date]]&gt;"2014-04-01",1,2.5)</f>
        <v>0</v>
      </c>
      <c r="AI1172" s="352">
        <f>IF(NFI_Expiration=1,IF($A1172&lt;VLOOKUP(R$5,NFI,5,0),1,0)*Table_NFI[[#This Row],[Winter Clothes Adult]],Table_NFI[Winter Clothes Adult])</f>
        <v>0</v>
      </c>
      <c r="AJ1172" s="352">
        <f>IF(NFI_Expiration=1,IF($A1172&lt;VLOOKUP(S$5,NFI,5,0),1,0)*Table_NFI[[#This Row],[Winter Clothes Children]],Table_NFI[Winter Clothes Children])</f>
        <v>0</v>
      </c>
      <c r="AK1172" s="352">
        <f>IF(NFI_Expiration=1,IF($A1172&lt;VLOOKUP(T$5,NFI,5,0),1,0)*Table_NFI[[#This Row],[Winter Items Other]],Table_NFI[Winter Items Other])</f>
        <v>0</v>
      </c>
      <c r="AL1172" s="352">
        <f>IF(NFI_Expiration=1,IF($A1172&lt;VLOOKUP(M$5,NFI,5,0),1,0)*Table_NFI[[#This Row],[Winter Blanket]],Table_NFI[[#This Row],[Winter Blanket]])</f>
        <v>0</v>
      </c>
      <c r="AM1172" s="352">
        <f>IF(Table_NFI[[#This Row],[Winter Clothes Adult]]+Table_NFI[[#This Row],[Winter Clothes Children]]+Table_NFI[[#This Row],[Winter Items Other]]+Table_NFI[[#This Row],[Winter Blanket]]&gt;0,1,0)</f>
        <v>0</v>
      </c>
      <c r="AN1172" s="392">
        <f>IF(NFI_Expiration=1,IF($A1172&lt;VLOOKUP(V$5,NFI,5,0),1,0)*Table_NFI[[#This Row],[Jerry Can]],Table_NFI[Jerry Can])</f>
        <v>0</v>
      </c>
      <c r="AO1172" s="540" t="str">
        <f>IFERROR(VLOOKUP(Table_NFI[[#This Row],[Camp Name]],CL,2,0),"")</f>
        <v/>
      </c>
      <c r="AP1172" s="535" t="str">
        <f ca="1">IF(Table_NFI[[#This Row],[Pcode]]="","",IF(OFFSET(CampList[Opening Date],MATCH(Table_NFI[[#This Row],[Pcode]],CampList[CP_Pcode],0)-1,0,1,1)&gt;=NFI_Monitor_Date,1,0))</f>
        <v/>
      </c>
      <c r="AQ1172" s="540" t="str">
        <f>IFERROR(VLOOKUP(Table_NFI[[#This Row],[Camp Name]],CL,3,0),"")</f>
        <v/>
      </c>
      <c r="AR1172" s="352" t="str">
        <f ca="1">IF(Table_NFI[[#This Row],[Pcode]]="","",OFFSET(CampList[Priority],MATCH(Table_NFI[[#This Row],[Pcode]],CampList[CP_Pcode],0)-1,0,1,1))</f>
        <v/>
      </c>
      <c r="AS1172" s="351" t="str">
        <f>IFERROR(Table_NFI[[#This Row],[Kitchen Set]]/VLOOKUP(Table_NFI[[#This Row],[Camp Name]],CL,4,0),"")</f>
        <v/>
      </c>
      <c r="AT1172" s="538"/>
      <c r="AU1172" s="541"/>
    </row>
    <row r="1173" spans="1:47" ht="14.45" hidden="1" customHeight="1" x14ac:dyDescent="0.25">
      <c r="A1173" s="355" t="str">
        <f t="shared" si="18"/>
        <v/>
      </c>
      <c r="B1173" s="532"/>
      <c r="C1173" s="533"/>
      <c r="D1173" s="538"/>
      <c r="E1173" s="538"/>
      <c r="F1173" s="538"/>
      <c r="G1173" s="538"/>
      <c r="H1173" s="350"/>
      <c r="I1173" s="350"/>
      <c r="J1173" s="350"/>
      <c r="K1173" s="350"/>
      <c r="L1173" s="350"/>
      <c r="M1173" s="350"/>
      <c r="N1173" s="350"/>
      <c r="O1173" s="350"/>
      <c r="P1173" s="352"/>
      <c r="Q1173" s="392"/>
      <c r="R1173" s="392"/>
      <c r="S1173" s="392"/>
      <c r="T1173" s="392"/>
      <c r="U1173" s="392"/>
      <c r="V1173" s="497"/>
      <c r="W1173" s="392"/>
      <c r="X1173" s="392"/>
      <c r="Y1173" s="352">
        <f>IF(NFI_Expiration=1,IF($A1173&lt;VLOOKUP(H$5,NFI,5,0),1,0)*Table_NFI[[#This Row],[Hygiene Kit]],Table_NFI[Hygiene Kit])</f>
        <v>0</v>
      </c>
      <c r="Z1173" s="352">
        <f>IF(NFI_Expiration=1,IF($A1173&lt;VLOOKUP(I$5,NFI,5,0),1,0)*Table_NFI[[#This Row],[NFI Core Kit]],Table_NFI[NFI Core Kit])</f>
        <v>0</v>
      </c>
      <c r="AA1173" s="352">
        <f>IF(NFI_Expiration=1,IF($A1173&lt;VLOOKUP(J$5,NFI,5,0),1,0)*Table_NFI[[#This Row],[Sanitary Kit]],Table_NFI[Sanitary Kit])</f>
        <v>0</v>
      </c>
      <c r="AB1173" s="352">
        <f>IF(NFI_Expiration=1,IF($A1173&lt;VLOOKUP(K$5,NFI,5,0),1,0)*Table_NFI[[#This Row],[Mosquito net]],Table_NFI[Mosquito net])</f>
        <v>0</v>
      </c>
      <c r="AC1173" s="352">
        <f>IF(NFI_Expiration=1,IF($A1173&lt;VLOOKUP(L$5,NFI,5,0),1,0)*Table_NFI[[#This Row],[Tarpaulin]],Table_NFI[[#This Row],[Tarpaulin]])</f>
        <v>0</v>
      </c>
      <c r="AD1173" s="352">
        <f>IF(NFI_Expiration=1,IF($A1173&lt;VLOOKUP(M$5,NFI,5,0),1,0)*Table_NFI[[#This Row],[Blanket]],Table_NFI[[#This Row],[Blanket]])</f>
        <v>0</v>
      </c>
      <c r="AE1173" s="352">
        <f>IF(NFI_Expiration=1,IF($A1173&lt;VLOOKUP(N$5,NFI,5,0),1,0)*Table_NFI[[#This Row],[Kitchen Set]],Table_NFI[Kitchen Set])</f>
        <v>0</v>
      </c>
      <c r="AF1173" s="352">
        <f>IF(NFI_Expiration=1,IF($A1173&lt;VLOOKUP(O$5,NFI,5,0),1,0)*Table_NFI[[#This Row],[Clothes Kit]],Table_NFI[Clothes Kit])</f>
        <v>0</v>
      </c>
      <c r="AG1173" s="352">
        <f>IF(NFI_Expiration=1,IF($A1173&lt;VLOOKUP(P$5,NFI,5,0),1,0)*Table_NFI[[#This Row],[Plastic Bucket]],Table_NFI[Plastic Bucket])</f>
        <v>0</v>
      </c>
      <c r="AH1173" s="352">
        <f>IF(NFI_Expiration=1,IF($A1173&lt;VLOOKUP(Q$5,NFI,5,0),1,0)*Table_NFI[[#This Row],[Plastic Mat]],Table_NFI[Plastic Mat])*IF(Table_NFI[[#This Row],[Distribution Date]]&gt;"2014-04-01",1,2.5)</f>
        <v>0</v>
      </c>
      <c r="AI1173" s="352">
        <f>IF(NFI_Expiration=1,IF($A1173&lt;VLOOKUP(R$5,NFI,5,0),1,0)*Table_NFI[[#This Row],[Winter Clothes Adult]],Table_NFI[Winter Clothes Adult])</f>
        <v>0</v>
      </c>
      <c r="AJ1173" s="352">
        <f>IF(NFI_Expiration=1,IF($A1173&lt;VLOOKUP(S$5,NFI,5,0),1,0)*Table_NFI[[#This Row],[Winter Clothes Children]],Table_NFI[Winter Clothes Children])</f>
        <v>0</v>
      </c>
      <c r="AK1173" s="352">
        <f>IF(NFI_Expiration=1,IF($A1173&lt;VLOOKUP(T$5,NFI,5,0),1,0)*Table_NFI[[#This Row],[Winter Items Other]],Table_NFI[Winter Items Other])</f>
        <v>0</v>
      </c>
      <c r="AL1173" s="352">
        <f>IF(NFI_Expiration=1,IF($A1173&lt;VLOOKUP(M$5,NFI,5,0),1,0)*Table_NFI[[#This Row],[Winter Blanket]],Table_NFI[[#This Row],[Winter Blanket]])</f>
        <v>0</v>
      </c>
      <c r="AM1173" s="352">
        <f>IF(Table_NFI[[#This Row],[Winter Clothes Adult]]+Table_NFI[[#This Row],[Winter Clothes Children]]+Table_NFI[[#This Row],[Winter Items Other]]+Table_NFI[[#This Row],[Winter Blanket]]&gt;0,1,0)</f>
        <v>0</v>
      </c>
      <c r="AN1173" s="392">
        <f>IF(NFI_Expiration=1,IF($A1173&lt;VLOOKUP(V$5,NFI,5,0),1,0)*Table_NFI[[#This Row],[Jerry Can]],Table_NFI[Jerry Can])</f>
        <v>0</v>
      </c>
      <c r="AO1173" s="540" t="str">
        <f>IFERROR(VLOOKUP(Table_NFI[[#This Row],[Camp Name]],CL,2,0),"")</f>
        <v/>
      </c>
      <c r="AP1173" s="535" t="str">
        <f ca="1">IF(Table_NFI[[#This Row],[Pcode]]="","",IF(OFFSET(CampList[Opening Date],MATCH(Table_NFI[[#This Row],[Pcode]],CampList[CP_Pcode],0)-1,0,1,1)&gt;=NFI_Monitor_Date,1,0))</f>
        <v/>
      </c>
      <c r="AQ1173" s="540" t="str">
        <f>IFERROR(VLOOKUP(Table_NFI[[#This Row],[Camp Name]],CL,3,0),"")</f>
        <v/>
      </c>
      <c r="AR1173" s="352" t="str">
        <f ca="1">IF(Table_NFI[[#This Row],[Pcode]]="","",OFFSET(CampList[Priority],MATCH(Table_NFI[[#This Row],[Pcode]],CampList[CP_Pcode],0)-1,0,1,1))</f>
        <v/>
      </c>
      <c r="AS1173" s="351" t="str">
        <f>IFERROR(Table_NFI[[#This Row],[Kitchen Set]]/VLOOKUP(Table_NFI[[#This Row],[Camp Name]],CL,4,0),"")</f>
        <v/>
      </c>
      <c r="AT1173" s="533"/>
      <c r="AU1173" s="536"/>
    </row>
    <row r="1174" spans="1:47" ht="14.45" hidden="1" customHeight="1" x14ac:dyDescent="0.25">
      <c r="A1174" s="355" t="str">
        <f t="shared" si="18"/>
        <v/>
      </c>
      <c r="B1174" s="532"/>
      <c r="C1174" s="533"/>
      <c r="D1174" s="538"/>
      <c r="E1174" s="538"/>
      <c r="F1174" s="538"/>
      <c r="G1174" s="538"/>
      <c r="H1174" s="350"/>
      <c r="I1174" s="350"/>
      <c r="J1174" s="350"/>
      <c r="K1174" s="350"/>
      <c r="L1174" s="350"/>
      <c r="M1174" s="350"/>
      <c r="N1174" s="350"/>
      <c r="O1174" s="350"/>
      <c r="P1174" s="352"/>
      <c r="Q1174" s="392"/>
      <c r="R1174" s="392"/>
      <c r="S1174" s="392"/>
      <c r="T1174" s="392"/>
      <c r="U1174" s="392"/>
      <c r="V1174" s="497"/>
      <c r="W1174" s="392"/>
      <c r="X1174" s="392"/>
      <c r="Y1174" s="352">
        <f>IF(NFI_Expiration=1,IF($A1174&lt;VLOOKUP(H$5,NFI,5,0),1,0)*Table_NFI[[#This Row],[Hygiene Kit]],Table_NFI[Hygiene Kit])</f>
        <v>0</v>
      </c>
      <c r="Z1174" s="352">
        <f>IF(NFI_Expiration=1,IF($A1174&lt;VLOOKUP(I$5,NFI,5,0),1,0)*Table_NFI[[#This Row],[NFI Core Kit]],Table_NFI[NFI Core Kit])</f>
        <v>0</v>
      </c>
      <c r="AA1174" s="352">
        <f>IF(NFI_Expiration=1,IF($A1174&lt;VLOOKUP(J$5,NFI,5,0),1,0)*Table_NFI[[#This Row],[Sanitary Kit]],Table_NFI[Sanitary Kit])</f>
        <v>0</v>
      </c>
      <c r="AB1174" s="352">
        <f>IF(NFI_Expiration=1,IF($A1174&lt;VLOOKUP(K$5,NFI,5,0),1,0)*Table_NFI[[#This Row],[Mosquito net]],Table_NFI[Mosquito net])</f>
        <v>0</v>
      </c>
      <c r="AC1174" s="352">
        <f>IF(NFI_Expiration=1,IF($A1174&lt;VLOOKUP(L$5,NFI,5,0),1,0)*Table_NFI[[#This Row],[Tarpaulin]],Table_NFI[[#This Row],[Tarpaulin]])</f>
        <v>0</v>
      </c>
      <c r="AD1174" s="352">
        <f>IF(NFI_Expiration=1,IF($A1174&lt;VLOOKUP(M$5,NFI,5,0),1,0)*Table_NFI[[#This Row],[Blanket]],Table_NFI[[#This Row],[Blanket]])</f>
        <v>0</v>
      </c>
      <c r="AE1174" s="352">
        <f>IF(NFI_Expiration=1,IF($A1174&lt;VLOOKUP(N$5,NFI,5,0),1,0)*Table_NFI[[#This Row],[Kitchen Set]],Table_NFI[Kitchen Set])</f>
        <v>0</v>
      </c>
      <c r="AF1174" s="352">
        <f>IF(NFI_Expiration=1,IF($A1174&lt;VLOOKUP(O$5,NFI,5,0),1,0)*Table_NFI[[#This Row],[Clothes Kit]],Table_NFI[Clothes Kit])</f>
        <v>0</v>
      </c>
      <c r="AG1174" s="352">
        <f>IF(NFI_Expiration=1,IF($A1174&lt;VLOOKUP(P$5,NFI,5,0),1,0)*Table_NFI[[#This Row],[Plastic Bucket]],Table_NFI[Plastic Bucket])</f>
        <v>0</v>
      </c>
      <c r="AH1174" s="352">
        <f>IF(NFI_Expiration=1,IF($A1174&lt;VLOOKUP(Q$5,NFI,5,0),1,0)*Table_NFI[[#This Row],[Plastic Mat]],Table_NFI[Plastic Mat])*IF(Table_NFI[[#This Row],[Distribution Date]]&gt;"2014-04-01",1,2.5)</f>
        <v>0</v>
      </c>
      <c r="AI1174" s="352">
        <f>IF(NFI_Expiration=1,IF($A1174&lt;VLOOKUP(R$5,NFI,5,0),1,0)*Table_NFI[[#This Row],[Winter Clothes Adult]],Table_NFI[Winter Clothes Adult])</f>
        <v>0</v>
      </c>
      <c r="AJ1174" s="352">
        <f>IF(NFI_Expiration=1,IF($A1174&lt;VLOOKUP(S$5,NFI,5,0),1,0)*Table_NFI[[#This Row],[Winter Clothes Children]],Table_NFI[Winter Clothes Children])</f>
        <v>0</v>
      </c>
      <c r="AK1174" s="352">
        <f>IF(NFI_Expiration=1,IF($A1174&lt;VLOOKUP(T$5,NFI,5,0),1,0)*Table_NFI[[#This Row],[Winter Items Other]],Table_NFI[Winter Items Other])</f>
        <v>0</v>
      </c>
      <c r="AL1174" s="352">
        <f>IF(NFI_Expiration=1,IF($A1174&lt;VLOOKUP(M$5,NFI,5,0),1,0)*Table_NFI[[#This Row],[Winter Blanket]],Table_NFI[[#This Row],[Winter Blanket]])</f>
        <v>0</v>
      </c>
      <c r="AM1174" s="352">
        <f>IF(Table_NFI[[#This Row],[Winter Clothes Adult]]+Table_NFI[[#This Row],[Winter Clothes Children]]+Table_NFI[[#This Row],[Winter Items Other]]+Table_NFI[[#This Row],[Winter Blanket]]&gt;0,1,0)</f>
        <v>0</v>
      </c>
      <c r="AN1174" s="392">
        <f>IF(NFI_Expiration=1,IF($A1174&lt;VLOOKUP(V$5,NFI,5,0),1,0)*Table_NFI[[#This Row],[Jerry Can]],Table_NFI[Jerry Can])</f>
        <v>0</v>
      </c>
      <c r="AO1174" s="540" t="str">
        <f>IFERROR(VLOOKUP(Table_NFI[[#This Row],[Camp Name]],CL,2,0),"")</f>
        <v/>
      </c>
      <c r="AP1174" s="535" t="str">
        <f ca="1">IF(Table_NFI[[#This Row],[Pcode]]="","",IF(OFFSET(CampList[Opening Date],MATCH(Table_NFI[[#This Row],[Pcode]],CampList[CP_Pcode],0)-1,0,1,1)&gt;=NFI_Monitor_Date,1,0))</f>
        <v/>
      </c>
      <c r="AQ1174" s="540" t="str">
        <f>IFERROR(VLOOKUP(Table_NFI[[#This Row],[Camp Name]],CL,3,0),"")</f>
        <v/>
      </c>
      <c r="AR1174" s="352" t="str">
        <f ca="1">IF(Table_NFI[[#This Row],[Pcode]]="","",OFFSET(CampList[Priority],MATCH(Table_NFI[[#This Row],[Pcode]],CampList[CP_Pcode],0)-1,0,1,1))</f>
        <v/>
      </c>
      <c r="AS1174" s="351" t="str">
        <f>IFERROR(Table_NFI[[#This Row],[Kitchen Set]]/VLOOKUP(Table_NFI[[#This Row],[Camp Name]],CL,4,0),"")</f>
        <v/>
      </c>
      <c r="AT1174" s="538"/>
      <c r="AU1174" s="541"/>
    </row>
    <row r="1175" spans="1:47" ht="14.45" hidden="1" customHeight="1" x14ac:dyDescent="0.25">
      <c r="A1175" s="355" t="str">
        <f t="shared" si="18"/>
        <v/>
      </c>
      <c r="B1175" s="532"/>
      <c r="C1175" s="533"/>
      <c r="D1175" s="538"/>
      <c r="E1175" s="538"/>
      <c r="F1175" s="538"/>
      <c r="G1175" s="538"/>
      <c r="H1175" s="350"/>
      <c r="I1175" s="350"/>
      <c r="J1175" s="350"/>
      <c r="K1175" s="350"/>
      <c r="L1175" s="350"/>
      <c r="M1175" s="350"/>
      <c r="N1175" s="350"/>
      <c r="O1175" s="350"/>
      <c r="P1175" s="352"/>
      <c r="Q1175" s="392"/>
      <c r="R1175" s="392"/>
      <c r="S1175" s="392"/>
      <c r="T1175" s="392"/>
      <c r="U1175" s="392"/>
      <c r="V1175" s="497"/>
      <c r="W1175" s="392"/>
      <c r="X1175" s="392"/>
      <c r="Y1175" s="352">
        <f>IF(NFI_Expiration=1,IF($A1175&lt;VLOOKUP(H$5,NFI,5,0),1,0)*Table_NFI[[#This Row],[Hygiene Kit]],Table_NFI[Hygiene Kit])</f>
        <v>0</v>
      </c>
      <c r="Z1175" s="352">
        <f>IF(NFI_Expiration=1,IF($A1175&lt;VLOOKUP(I$5,NFI,5,0),1,0)*Table_NFI[[#This Row],[NFI Core Kit]],Table_NFI[NFI Core Kit])</f>
        <v>0</v>
      </c>
      <c r="AA1175" s="352">
        <f>IF(NFI_Expiration=1,IF($A1175&lt;VLOOKUP(J$5,NFI,5,0),1,0)*Table_NFI[[#This Row],[Sanitary Kit]],Table_NFI[Sanitary Kit])</f>
        <v>0</v>
      </c>
      <c r="AB1175" s="352">
        <f>IF(NFI_Expiration=1,IF($A1175&lt;VLOOKUP(K$5,NFI,5,0),1,0)*Table_NFI[[#This Row],[Mosquito net]],Table_NFI[Mosquito net])</f>
        <v>0</v>
      </c>
      <c r="AC1175" s="352">
        <f>IF(NFI_Expiration=1,IF($A1175&lt;VLOOKUP(L$5,NFI,5,0),1,0)*Table_NFI[[#This Row],[Tarpaulin]],Table_NFI[[#This Row],[Tarpaulin]])</f>
        <v>0</v>
      </c>
      <c r="AD1175" s="352">
        <f>IF(NFI_Expiration=1,IF($A1175&lt;VLOOKUP(M$5,NFI,5,0),1,0)*Table_NFI[[#This Row],[Blanket]],Table_NFI[[#This Row],[Blanket]])</f>
        <v>0</v>
      </c>
      <c r="AE1175" s="352">
        <f>IF(NFI_Expiration=1,IF($A1175&lt;VLOOKUP(N$5,NFI,5,0),1,0)*Table_NFI[[#This Row],[Kitchen Set]],Table_NFI[Kitchen Set])</f>
        <v>0</v>
      </c>
      <c r="AF1175" s="352">
        <f>IF(NFI_Expiration=1,IF($A1175&lt;VLOOKUP(O$5,NFI,5,0),1,0)*Table_NFI[[#This Row],[Clothes Kit]],Table_NFI[Clothes Kit])</f>
        <v>0</v>
      </c>
      <c r="AG1175" s="352">
        <f>IF(NFI_Expiration=1,IF($A1175&lt;VLOOKUP(P$5,NFI,5,0),1,0)*Table_NFI[[#This Row],[Plastic Bucket]],Table_NFI[Plastic Bucket])</f>
        <v>0</v>
      </c>
      <c r="AH1175" s="352">
        <f>IF(NFI_Expiration=1,IF($A1175&lt;VLOOKUP(Q$5,NFI,5,0),1,0)*Table_NFI[[#This Row],[Plastic Mat]],Table_NFI[Plastic Mat])*IF(Table_NFI[[#This Row],[Distribution Date]]&gt;"2014-04-01",1,2.5)</f>
        <v>0</v>
      </c>
      <c r="AI1175" s="352">
        <f>IF(NFI_Expiration=1,IF($A1175&lt;VLOOKUP(R$5,NFI,5,0),1,0)*Table_NFI[[#This Row],[Winter Clothes Adult]],Table_NFI[Winter Clothes Adult])</f>
        <v>0</v>
      </c>
      <c r="AJ1175" s="352">
        <f>IF(NFI_Expiration=1,IF($A1175&lt;VLOOKUP(S$5,NFI,5,0),1,0)*Table_NFI[[#This Row],[Winter Clothes Children]],Table_NFI[Winter Clothes Children])</f>
        <v>0</v>
      </c>
      <c r="AK1175" s="352">
        <f>IF(NFI_Expiration=1,IF($A1175&lt;VLOOKUP(T$5,NFI,5,0),1,0)*Table_NFI[[#This Row],[Winter Items Other]],Table_NFI[Winter Items Other])</f>
        <v>0</v>
      </c>
      <c r="AL1175" s="352">
        <f>IF(NFI_Expiration=1,IF($A1175&lt;VLOOKUP(M$5,NFI,5,0),1,0)*Table_NFI[[#This Row],[Winter Blanket]],Table_NFI[[#This Row],[Winter Blanket]])</f>
        <v>0</v>
      </c>
      <c r="AM1175" s="352">
        <f>IF(Table_NFI[[#This Row],[Winter Clothes Adult]]+Table_NFI[[#This Row],[Winter Clothes Children]]+Table_NFI[[#This Row],[Winter Items Other]]+Table_NFI[[#This Row],[Winter Blanket]]&gt;0,1,0)</f>
        <v>0</v>
      </c>
      <c r="AN1175" s="392">
        <f>IF(NFI_Expiration=1,IF($A1175&lt;VLOOKUP(V$5,NFI,5,0),1,0)*Table_NFI[[#This Row],[Jerry Can]],Table_NFI[Jerry Can])</f>
        <v>0</v>
      </c>
      <c r="AO1175" s="540" t="str">
        <f>IFERROR(VLOOKUP(Table_NFI[[#This Row],[Camp Name]],CL,2,0),"")</f>
        <v/>
      </c>
      <c r="AP1175" s="535" t="str">
        <f ca="1">IF(Table_NFI[[#This Row],[Pcode]]="","",IF(OFFSET(CampList[Opening Date],MATCH(Table_NFI[[#This Row],[Pcode]],CampList[CP_Pcode],0)-1,0,1,1)&gt;=NFI_Monitor_Date,1,0))</f>
        <v/>
      </c>
      <c r="AQ1175" s="540" t="str">
        <f>IFERROR(VLOOKUP(Table_NFI[[#This Row],[Camp Name]],CL,3,0),"")</f>
        <v/>
      </c>
      <c r="AR1175" s="352" t="str">
        <f ca="1">IF(Table_NFI[[#This Row],[Pcode]]="","",OFFSET(CampList[Priority],MATCH(Table_NFI[[#This Row],[Pcode]],CampList[CP_Pcode],0)-1,0,1,1))</f>
        <v/>
      </c>
      <c r="AS1175" s="351" t="str">
        <f>IFERROR(Table_NFI[[#This Row],[Kitchen Set]]/VLOOKUP(Table_NFI[[#This Row],[Camp Name]],CL,4,0),"")</f>
        <v/>
      </c>
      <c r="AT1175" s="538"/>
      <c r="AU1175" s="541"/>
    </row>
    <row r="1176" spans="1:47" ht="14.45" hidden="1" customHeight="1" x14ac:dyDescent="0.25">
      <c r="A1176" s="355" t="str">
        <f t="shared" ref="A1176:A1239" si="19">IF(ISBLANK(B1176),"",(Report_Date-B1176)/30)</f>
        <v/>
      </c>
      <c r="B1176" s="532"/>
      <c r="C1176" s="533"/>
      <c r="D1176" s="538"/>
      <c r="E1176" s="538"/>
      <c r="F1176" s="538"/>
      <c r="G1176" s="538"/>
      <c r="H1176" s="350"/>
      <c r="I1176" s="350"/>
      <c r="J1176" s="350"/>
      <c r="K1176" s="350"/>
      <c r="L1176" s="350"/>
      <c r="M1176" s="350"/>
      <c r="N1176" s="350"/>
      <c r="O1176" s="350"/>
      <c r="P1176" s="352"/>
      <c r="Q1176" s="392"/>
      <c r="R1176" s="392"/>
      <c r="S1176" s="392"/>
      <c r="T1176" s="392"/>
      <c r="U1176" s="392"/>
      <c r="V1176" s="497"/>
      <c r="W1176" s="392"/>
      <c r="X1176" s="392"/>
      <c r="Y1176" s="352">
        <f>IF(NFI_Expiration=1,IF($A1176&lt;VLOOKUP(H$5,NFI,5,0),1,0)*Table_NFI[[#This Row],[Hygiene Kit]],Table_NFI[Hygiene Kit])</f>
        <v>0</v>
      </c>
      <c r="Z1176" s="352">
        <f>IF(NFI_Expiration=1,IF($A1176&lt;VLOOKUP(I$5,NFI,5,0),1,0)*Table_NFI[[#This Row],[NFI Core Kit]],Table_NFI[NFI Core Kit])</f>
        <v>0</v>
      </c>
      <c r="AA1176" s="352">
        <f>IF(NFI_Expiration=1,IF($A1176&lt;VLOOKUP(J$5,NFI,5,0),1,0)*Table_NFI[[#This Row],[Sanitary Kit]],Table_NFI[Sanitary Kit])</f>
        <v>0</v>
      </c>
      <c r="AB1176" s="352">
        <f>IF(NFI_Expiration=1,IF($A1176&lt;VLOOKUP(K$5,NFI,5,0),1,0)*Table_NFI[[#This Row],[Mosquito net]],Table_NFI[Mosquito net])</f>
        <v>0</v>
      </c>
      <c r="AC1176" s="352">
        <f>IF(NFI_Expiration=1,IF($A1176&lt;VLOOKUP(L$5,NFI,5,0),1,0)*Table_NFI[[#This Row],[Tarpaulin]],Table_NFI[[#This Row],[Tarpaulin]])</f>
        <v>0</v>
      </c>
      <c r="AD1176" s="352">
        <f>IF(NFI_Expiration=1,IF($A1176&lt;VLOOKUP(M$5,NFI,5,0),1,0)*Table_NFI[[#This Row],[Blanket]],Table_NFI[[#This Row],[Blanket]])</f>
        <v>0</v>
      </c>
      <c r="AE1176" s="352">
        <f>IF(NFI_Expiration=1,IF($A1176&lt;VLOOKUP(N$5,NFI,5,0),1,0)*Table_NFI[[#This Row],[Kitchen Set]],Table_NFI[Kitchen Set])</f>
        <v>0</v>
      </c>
      <c r="AF1176" s="352">
        <f>IF(NFI_Expiration=1,IF($A1176&lt;VLOOKUP(O$5,NFI,5,0),1,0)*Table_NFI[[#This Row],[Clothes Kit]],Table_NFI[Clothes Kit])</f>
        <v>0</v>
      </c>
      <c r="AG1176" s="352">
        <f>IF(NFI_Expiration=1,IF($A1176&lt;VLOOKUP(P$5,NFI,5,0),1,0)*Table_NFI[[#This Row],[Plastic Bucket]],Table_NFI[Plastic Bucket])</f>
        <v>0</v>
      </c>
      <c r="AH1176" s="352">
        <f>IF(NFI_Expiration=1,IF($A1176&lt;VLOOKUP(Q$5,NFI,5,0),1,0)*Table_NFI[[#This Row],[Plastic Mat]],Table_NFI[Plastic Mat])*IF(Table_NFI[[#This Row],[Distribution Date]]&gt;"2014-04-01",1,2.5)</f>
        <v>0</v>
      </c>
      <c r="AI1176" s="352">
        <f>IF(NFI_Expiration=1,IF($A1176&lt;VLOOKUP(R$5,NFI,5,0),1,0)*Table_NFI[[#This Row],[Winter Clothes Adult]],Table_NFI[Winter Clothes Adult])</f>
        <v>0</v>
      </c>
      <c r="AJ1176" s="352">
        <f>IF(NFI_Expiration=1,IF($A1176&lt;VLOOKUP(S$5,NFI,5,0),1,0)*Table_NFI[[#This Row],[Winter Clothes Children]],Table_NFI[Winter Clothes Children])</f>
        <v>0</v>
      </c>
      <c r="AK1176" s="352">
        <f>IF(NFI_Expiration=1,IF($A1176&lt;VLOOKUP(T$5,NFI,5,0),1,0)*Table_NFI[[#This Row],[Winter Items Other]],Table_NFI[Winter Items Other])</f>
        <v>0</v>
      </c>
      <c r="AL1176" s="352">
        <f>IF(NFI_Expiration=1,IF($A1176&lt;VLOOKUP(M$5,NFI,5,0),1,0)*Table_NFI[[#This Row],[Winter Blanket]],Table_NFI[[#This Row],[Winter Blanket]])</f>
        <v>0</v>
      </c>
      <c r="AM1176" s="352">
        <f>IF(Table_NFI[[#This Row],[Winter Clothes Adult]]+Table_NFI[[#This Row],[Winter Clothes Children]]+Table_NFI[[#This Row],[Winter Items Other]]+Table_NFI[[#This Row],[Winter Blanket]]&gt;0,1,0)</f>
        <v>0</v>
      </c>
      <c r="AN1176" s="392">
        <f>IF(NFI_Expiration=1,IF($A1176&lt;VLOOKUP(V$5,NFI,5,0),1,0)*Table_NFI[[#This Row],[Jerry Can]],Table_NFI[Jerry Can])</f>
        <v>0</v>
      </c>
      <c r="AO1176" s="540" t="str">
        <f>IFERROR(VLOOKUP(Table_NFI[[#This Row],[Camp Name]],CL,2,0),"")</f>
        <v/>
      </c>
      <c r="AP1176" s="535" t="str">
        <f ca="1">IF(Table_NFI[[#This Row],[Pcode]]="","",IF(OFFSET(CampList[Opening Date],MATCH(Table_NFI[[#This Row],[Pcode]],CampList[CP_Pcode],0)-1,0,1,1)&gt;=NFI_Monitor_Date,1,0))</f>
        <v/>
      </c>
      <c r="AQ1176" s="540" t="str">
        <f>IFERROR(VLOOKUP(Table_NFI[[#This Row],[Camp Name]],CL,3,0),"")</f>
        <v/>
      </c>
      <c r="AR1176" s="352" t="str">
        <f ca="1">IF(Table_NFI[[#This Row],[Pcode]]="","",OFFSET(CampList[Priority],MATCH(Table_NFI[[#This Row],[Pcode]],CampList[CP_Pcode],0)-1,0,1,1))</f>
        <v/>
      </c>
      <c r="AS1176" s="351" t="str">
        <f>IFERROR(Table_NFI[[#This Row],[Kitchen Set]]/VLOOKUP(Table_NFI[[#This Row],[Camp Name]],CL,4,0),"")</f>
        <v/>
      </c>
      <c r="AT1176" s="538"/>
      <c r="AU1176" s="541"/>
    </row>
    <row r="1177" spans="1:47" ht="14.45" hidden="1" customHeight="1" x14ac:dyDescent="0.25">
      <c r="A1177" s="355" t="str">
        <f t="shared" si="19"/>
        <v/>
      </c>
      <c r="B1177" s="532"/>
      <c r="C1177" s="533"/>
      <c r="D1177" s="538"/>
      <c r="E1177" s="538"/>
      <c r="F1177" s="538"/>
      <c r="G1177" s="538"/>
      <c r="H1177" s="350"/>
      <c r="I1177" s="350"/>
      <c r="J1177" s="350"/>
      <c r="K1177" s="350"/>
      <c r="L1177" s="350"/>
      <c r="M1177" s="350"/>
      <c r="N1177" s="350"/>
      <c r="O1177" s="350"/>
      <c r="P1177" s="352"/>
      <c r="Q1177" s="392"/>
      <c r="R1177" s="392"/>
      <c r="S1177" s="392"/>
      <c r="T1177" s="392"/>
      <c r="U1177" s="392"/>
      <c r="V1177" s="497"/>
      <c r="W1177" s="392"/>
      <c r="X1177" s="392"/>
      <c r="Y1177" s="352">
        <f>IF(NFI_Expiration=1,IF($A1177&lt;VLOOKUP(H$5,NFI,5,0),1,0)*Table_NFI[[#This Row],[Hygiene Kit]],Table_NFI[Hygiene Kit])</f>
        <v>0</v>
      </c>
      <c r="Z1177" s="352">
        <f>IF(NFI_Expiration=1,IF($A1177&lt;VLOOKUP(I$5,NFI,5,0),1,0)*Table_NFI[[#This Row],[NFI Core Kit]],Table_NFI[NFI Core Kit])</f>
        <v>0</v>
      </c>
      <c r="AA1177" s="352">
        <f>IF(NFI_Expiration=1,IF($A1177&lt;VLOOKUP(J$5,NFI,5,0),1,0)*Table_NFI[[#This Row],[Sanitary Kit]],Table_NFI[Sanitary Kit])</f>
        <v>0</v>
      </c>
      <c r="AB1177" s="352">
        <f>IF(NFI_Expiration=1,IF($A1177&lt;VLOOKUP(K$5,NFI,5,0),1,0)*Table_NFI[[#This Row],[Mosquito net]],Table_NFI[Mosquito net])</f>
        <v>0</v>
      </c>
      <c r="AC1177" s="352">
        <f>IF(NFI_Expiration=1,IF($A1177&lt;VLOOKUP(L$5,NFI,5,0),1,0)*Table_NFI[[#This Row],[Tarpaulin]],Table_NFI[[#This Row],[Tarpaulin]])</f>
        <v>0</v>
      </c>
      <c r="AD1177" s="352">
        <f>IF(NFI_Expiration=1,IF($A1177&lt;VLOOKUP(M$5,NFI,5,0),1,0)*Table_NFI[[#This Row],[Blanket]],Table_NFI[[#This Row],[Blanket]])</f>
        <v>0</v>
      </c>
      <c r="AE1177" s="352">
        <f>IF(NFI_Expiration=1,IF($A1177&lt;VLOOKUP(N$5,NFI,5,0),1,0)*Table_NFI[[#This Row],[Kitchen Set]],Table_NFI[Kitchen Set])</f>
        <v>0</v>
      </c>
      <c r="AF1177" s="352">
        <f>IF(NFI_Expiration=1,IF($A1177&lt;VLOOKUP(O$5,NFI,5,0),1,0)*Table_NFI[[#This Row],[Clothes Kit]],Table_NFI[Clothes Kit])</f>
        <v>0</v>
      </c>
      <c r="AG1177" s="352">
        <f>IF(NFI_Expiration=1,IF($A1177&lt;VLOOKUP(P$5,NFI,5,0),1,0)*Table_NFI[[#This Row],[Plastic Bucket]],Table_NFI[Plastic Bucket])</f>
        <v>0</v>
      </c>
      <c r="AH1177" s="352">
        <f>IF(NFI_Expiration=1,IF($A1177&lt;VLOOKUP(Q$5,NFI,5,0),1,0)*Table_NFI[[#This Row],[Plastic Mat]],Table_NFI[Plastic Mat])*IF(Table_NFI[[#This Row],[Distribution Date]]&gt;"2014-04-01",1,2.5)</f>
        <v>0</v>
      </c>
      <c r="AI1177" s="352">
        <f>IF(NFI_Expiration=1,IF($A1177&lt;VLOOKUP(R$5,NFI,5,0),1,0)*Table_NFI[[#This Row],[Winter Clothes Adult]],Table_NFI[Winter Clothes Adult])</f>
        <v>0</v>
      </c>
      <c r="AJ1177" s="352">
        <f>IF(NFI_Expiration=1,IF($A1177&lt;VLOOKUP(S$5,NFI,5,0),1,0)*Table_NFI[[#This Row],[Winter Clothes Children]],Table_NFI[Winter Clothes Children])</f>
        <v>0</v>
      </c>
      <c r="AK1177" s="352">
        <f>IF(NFI_Expiration=1,IF($A1177&lt;VLOOKUP(T$5,NFI,5,0),1,0)*Table_NFI[[#This Row],[Winter Items Other]],Table_NFI[Winter Items Other])</f>
        <v>0</v>
      </c>
      <c r="AL1177" s="352">
        <f>IF(NFI_Expiration=1,IF($A1177&lt;VLOOKUP(M$5,NFI,5,0),1,0)*Table_NFI[[#This Row],[Winter Blanket]],Table_NFI[[#This Row],[Winter Blanket]])</f>
        <v>0</v>
      </c>
      <c r="AM1177" s="352">
        <f>IF(Table_NFI[[#This Row],[Winter Clothes Adult]]+Table_NFI[[#This Row],[Winter Clothes Children]]+Table_NFI[[#This Row],[Winter Items Other]]+Table_NFI[[#This Row],[Winter Blanket]]&gt;0,1,0)</f>
        <v>0</v>
      </c>
      <c r="AN1177" s="392">
        <f>IF(NFI_Expiration=1,IF($A1177&lt;VLOOKUP(V$5,NFI,5,0),1,0)*Table_NFI[[#This Row],[Jerry Can]],Table_NFI[Jerry Can])</f>
        <v>0</v>
      </c>
      <c r="AO1177" s="540" t="str">
        <f>IFERROR(VLOOKUP(Table_NFI[[#This Row],[Camp Name]],CL,2,0),"")</f>
        <v/>
      </c>
      <c r="AP1177" s="535" t="str">
        <f ca="1">IF(Table_NFI[[#This Row],[Pcode]]="","",IF(OFFSET(CampList[Opening Date],MATCH(Table_NFI[[#This Row],[Pcode]],CampList[CP_Pcode],0)-1,0,1,1)&gt;=NFI_Monitor_Date,1,0))</f>
        <v/>
      </c>
      <c r="AQ1177" s="540" t="str">
        <f>IFERROR(VLOOKUP(Table_NFI[[#This Row],[Camp Name]],CL,3,0),"")</f>
        <v/>
      </c>
      <c r="AR1177" s="352" t="str">
        <f ca="1">IF(Table_NFI[[#This Row],[Pcode]]="","",OFFSET(CampList[Priority],MATCH(Table_NFI[[#This Row],[Pcode]],CampList[CP_Pcode],0)-1,0,1,1))</f>
        <v/>
      </c>
      <c r="AS1177" s="351" t="str">
        <f>IFERROR(Table_NFI[[#This Row],[Kitchen Set]]/VLOOKUP(Table_NFI[[#This Row],[Camp Name]],CL,4,0),"")</f>
        <v/>
      </c>
      <c r="AT1177" s="533"/>
      <c r="AU1177" s="557"/>
    </row>
    <row r="1178" spans="1:47" ht="14.45" hidden="1" customHeight="1" x14ac:dyDescent="0.25">
      <c r="A1178" s="355" t="str">
        <f t="shared" si="19"/>
        <v/>
      </c>
      <c r="B1178" s="532"/>
      <c r="C1178" s="538"/>
      <c r="D1178" s="538"/>
      <c r="E1178" s="538"/>
      <c r="F1178" s="538"/>
      <c r="G1178" s="538"/>
      <c r="H1178" s="350"/>
      <c r="I1178" s="350"/>
      <c r="J1178" s="350"/>
      <c r="K1178" s="350"/>
      <c r="L1178" s="350"/>
      <c r="M1178" s="350"/>
      <c r="N1178" s="350"/>
      <c r="O1178" s="350"/>
      <c r="P1178" s="352"/>
      <c r="Q1178" s="392"/>
      <c r="R1178" s="392"/>
      <c r="S1178" s="392"/>
      <c r="T1178" s="392"/>
      <c r="U1178" s="392"/>
      <c r="V1178" s="497"/>
      <c r="W1178" s="392"/>
      <c r="X1178" s="392"/>
      <c r="Y1178" s="352">
        <f>IF(NFI_Expiration=1,IF($A1178&lt;VLOOKUP(H$5,NFI,5,0),1,0)*Table_NFI[[#This Row],[Hygiene Kit]],Table_NFI[Hygiene Kit])</f>
        <v>0</v>
      </c>
      <c r="Z1178" s="352">
        <f>IF(NFI_Expiration=1,IF($A1178&lt;VLOOKUP(I$5,NFI,5,0),1,0)*Table_NFI[[#This Row],[NFI Core Kit]],Table_NFI[NFI Core Kit])</f>
        <v>0</v>
      </c>
      <c r="AA1178" s="352">
        <f>IF(NFI_Expiration=1,IF($A1178&lt;VLOOKUP(J$5,NFI,5,0),1,0)*Table_NFI[[#This Row],[Sanitary Kit]],Table_NFI[Sanitary Kit])</f>
        <v>0</v>
      </c>
      <c r="AB1178" s="352">
        <f>IF(NFI_Expiration=1,IF($A1178&lt;VLOOKUP(K$5,NFI,5,0),1,0)*Table_NFI[[#This Row],[Mosquito net]],Table_NFI[Mosquito net])</f>
        <v>0</v>
      </c>
      <c r="AC1178" s="352">
        <f>IF(NFI_Expiration=1,IF($A1178&lt;VLOOKUP(L$5,NFI,5,0),1,0)*Table_NFI[[#This Row],[Tarpaulin]],Table_NFI[[#This Row],[Tarpaulin]])</f>
        <v>0</v>
      </c>
      <c r="AD1178" s="352">
        <f>IF(NFI_Expiration=1,IF($A1178&lt;VLOOKUP(M$5,NFI,5,0),1,0)*Table_NFI[[#This Row],[Blanket]],Table_NFI[[#This Row],[Blanket]])</f>
        <v>0</v>
      </c>
      <c r="AE1178" s="352">
        <f>IF(NFI_Expiration=1,IF($A1178&lt;VLOOKUP(N$5,NFI,5,0),1,0)*Table_NFI[[#This Row],[Kitchen Set]],Table_NFI[Kitchen Set])</f>
        <v>0</v>
      </c>
      <c r="AF1178" s="352">
        <f>IF(NFI_Expiration=1,IF($A1178&lt;VLOOKUP(O$5,NFI,5,0),1,0)*Table_NFI[[#This Row],[Clothes Kit]],Table_NFI[Clothes Kit])</f>
        <v>0</v>
      </c>
      <c r="AG1178" s="352">
        <f>IF(NFI_Expiration=1,IF($A1178&lt;VLOOKUP(P$5,NFI,5,0),1,0)*Table_NFI[[#This Row],[Plastic Bucket]],Table_NFI[Plastic Bucket])</f>
        <v>0</v>
      </c>
      <c r="AH1178" s="352">
        <f>IF(NFI_Expiration=1,IF($A1178&lt;VLOOKUP(Q$5,NFI,5,0),1,0)*Table_NFI[[#This Row],[Plastic Mat]],Table_NFI[Plastic Mat])*IF(Table_NFI[[#This Row],[Distribution Date]]&gt;"2014-04-01",1,2.5)</f>
        <v>0</v>
      </c>
      <c r="AI1178" s="352">
        <f>IF(NFI_Expiration=1,IF($A1178&lt;VLOOKUP(R$5,NFI,5,0),1,0)*Table_NFI[[#This Row],[Winter Clothes Adult]],Table_NFI[Winter Clothes Adult])</f>
        <v>0</v>
      </c>
      <c r="AJ1178" s="352">
        <f>IF(NFI_Expiration=1,IF($A1178&lt;VLOOKUP(S$5,NFI,5,0),1,0)*Table_NFI[[#This Row],[Winter Clothes Children]],Table_NFI[Winter Clothes Children])</f>
        <v>0</v>
      </c>
      <c r="AK1178" s="352">
        <f>IF(NFI_Expiration=1,IF($A1178&lt;VLOOKUP(T$5,NFI,5,0),1,0)*Table_NFI[[#This Row],[Winter Items Other]],Table_NFI[Winter Items Other])</f>
        <v>0</v>
      </c>
      <c r="AL1178" s="352">
        <f>IF(NFI_Expiration=1,IF($A1178&lt;VLOOKUP(M$5,NFI,5,0),1,0)*Table_NFI[[#This Row],[Winter Blanket]],Table_NFI[[#This Row],[Winter Blanket]])</f>
        <v>0</v>
      </c>
      <c r="AM1178" s="352">
        <f>IF(Table_NFI[[#This Row],[Winter Clothes Adult]]+Table_NFI[[#This Row],[Winter Clothes Children]]+Table_NFI[[#This Row],[Winter Items Other]]+Table_NFI[[#This Row],[Winter Blanket]]&gt;0,1,0)</f>
        <v>0</v>
      </c>
      <c r="AN1178" s="392">
        <f>IF(NFI_Expiration=1,IF($A1178&lt;VLOOKUP(V$5,NFI,5,0),1,0)*Table_NFI[[#This Row],[Jerry Can]],Table_NFI[Jerry Can])</f>
        <v>0</v>
      </c>
      <c r="AO1178" s="540" t="str">
        <f>IFERROR(VLOOKUP(Table_NFI[[#This Row],[Camp Name]],CL,2,0),"")</f>
        <v/>
      </c>
      <c r="AP1178" s="535" t="str">
        <f ca="1">IF(Table_NFI[[#This Row],[Pcode]]="","",IF(OFFSET(CampList[Opening Date],MATCH(Table_NFI[[#This Row],[Pcode]],CampList[CP_Pcode],0)-1,0,1,1)&gt;=NFI_Monitor_Date,1,0))</f>
        <v/>
      </c>
      <c r="AQ1178" s="540" t="str">
        <f>IFERROR(VLOOKUP(Table_NFI[[#This Row],[Camp Name]],CL,3,0),"")</f>
        <v/>
      </c>
      <c r="AR1178" s="352" t="str">
        <f ca="1">IF(Table_NFI[[#This Row],[Pcode]]="","",OFFSET(CampList[Priority],MATCH(Table_NFI[[#This Row],[Pcode]],CampList[CP_Pcode],0)-1,0,1,1))</f>
        <v/>
      </c>
      <c r="AS1178" s="351" t="str">
        <f>IFERROR(Table_NFI[[#This Row],[Kitchen Set]]/VLOOKUP(Table_NFI[[#This Row],[Camp Name]],CL,4,0),"")</f>
        <v/>
      </c>
      <c r="AT1178" s="538"/>
      <c r="AU1178" s="541"/>
    </row>
    <row r="1179" spans="1:47" ht="14.45" hidden="1" customHeight="1" x14ac:dyDescent="0.25">
      <c r="A1179" s="355" t="str">
        <f t="shared" si="19"/>
        <v/>
      </c>
      <c r="B1179" s="532"/>
      <c r="C1179" s="533"/>
      <c r="D1179" s="533"/>
      <c r="E1179" s="533"/>
      <c r="F1179" s="533"/>
      <c r="G1179" s="348"/>
      <c r="H1179" s="349"/>
      <c r="I1179" s="350"/>
      <c r="J1179" s="352"/>
      <c r="K1179" s="352"/>
      <c r="L1179" s="350"/>
      <c r="M1179" s="350"/>
      <c r="N1179" s="350"/>
      <c r="O1179" s="350"/>
      <c r="P1179" s="352"/>
      <c r="Q1179" s="392"/>
      <c r="R1179" s="392"/>
      <c r="S1179" s="392"/>
      <c r="T1179" s="392"/>
      <c r="U1179" s="392"/>
      <c r="V1179" s="497"/>
      <c r="W1179" s="392"/>
      <c r="X1179" s="392"/>
      <c r="Y1179" s="352">
        <f>IF(NFI_Expiration=1,IF($A1179&lt;VLOOKUP(H$5,NFI,5,0),1,0)*Table_NFI[[#This Row],[Hygiene Kit]],Table_NFI[Hygiene Kit])</f>
        <v>0</v>
      </c>
      <c r="Z1179" s="352">
        <f>IF(NFI_Expiration=1,IF($A1179&lt;VLOOKUP(I$5,NFI,5,0),1,0)*Table_NFI[[#This Row],[NFI Core Kit]],Table_NFI[NFI Core Kit])</f>
        <v>0</v>
      </c>
      <c r="AA1179" s="352">
        <f>IF(NFI_Expiration=1,IF($A1179&lt;VLOOKUP(J$5,NFI,5,0),1,0)*Table_NFI[[#This Row],[Sanitary Kit]],Table_NFI[Sanitary Kit])</f>
        <v>0</v>
      </c>
      <c r="AB1179" s="352">
        <f>IF(NFI_Expiration=1,IF($A1179&lt;VLOOKUP(K$5,NFI,5,0),1,0)*Table_NFI[[#This Row],[Mosquito net]],Table_NFI[Mosquito net])</f>
        <v>0</v>
      </c>
      <c r="AC1179" s="352">
        <f>IF(NFI_Expiration=1,IF($A1179&lt;VLOOKUP(L$5,NFI,5,0),1,0)*Table_NFI[[#This Row],[Tarpaulin]],Table_NFI[[#This Row],[Tarpaulin]])</f>
        <v>0</v>
      </c>
      <c r="AD1179" s="352">
        <f>IF(NFI_Expiration=1,IF($A1179&lt;VLOOKUP(M$5,NFI,5,0),1,0)*Table_NFI[[#This Row],[Blanket]],Table_NFI[[#This Row],[Blanket]])</f>
        <v>0</v>
      </c>
      <c r="AE1179" s="352">
        <f>IF(NFI_Expiration=1,IF($A1179&lt;VLOOKUP(N$5,NFI,5,0),1,0)*Table_NFI[[#This Row],[Kitchen Set]],Table_NFI[Kitchen Set])</f>
        <v>0</v>
      </c>
      <c r="AF1179" s="352">
        <f>IF(NFI_Expiration=1,IF($A1179&lt;VLOOKUP(O$5,NFI,5,0),1,0)*Table_NFI[[#This Row],[Clothes Kit]],Table_NFI[Clothes Kit])</f>
        <v>0</v>
      </c>
      <c r="AG1179" s="352">
        <f>IF(NFI_Expiration=1,IF($A1179&lt;VLOOKUP(P$5,NFI,5,0),1,0)*Table_NFI[[#This Row],[Plastic Bucket]],Table_NFI[Plastic Bucket])</f>
        <v>0</v>
      </c>
      <c r="AH1179" s="352">
        <f>IF(NFI_Expiration=1,IF($A1179&lt;VLOOKUP(Q$5,NFI,5,0),1,0)*Table_NFI[[#This Row],[Plastic Mat]],Table_NFI[Plastic Mat])*IF(Table_NFI[[#This Row],[Distribution Date]]&gt;"2014-04-01",1,2.5)</f>
        <v>0</v>
      </c>
      <c r="AI1179" s="352">
        <f>IF(NFI_Expiration=1,IF($A1179&lt;VLOOKUP(R$5,NFI,5,0),1,0)*Table_NFI[[#This Row],[Winter Clothes Adult]],Table_NFI[Winter Clothes Adult])</f>
        <v>0</v>
      </c>
      <c r="AJ1179" s="352">
        <f>IF(NFI_Expiration=1,IF($A1179&lt;VLOOKUP(S$5,NFI,5,0),1,0)*Table_NFI[[#This Row],[Winter Clothes Children]],Table_NFI[Winter Clothes Children])</f>
        <v>0</v>
      </c>
      <c r="AK1179" s="352">
        <f>IF(NFI_Expiration=1,IF($A1179&lt;VLOOKUP(T$5,NFI,5,0),1,0)*Table_NFI[[#This Row],[Winter Items Other]],Table_NFI[Winter Items Other])</f>
        <v>0</v>
      </c>
      <c r="AL1179" s="352">
        <f>IF(NFI_Expiration=1,IF($A1179&lt;VLOOKUP(M$5,NFI,5,0),1,0)*Table_NFI[[#This Row],[Winter Blanket]],Table_NFI[[#This Row],[Winter Blanket]])</f>
        <v>0</v>
      </c>
      <c r="AM1179" s="352">
        <f>IF(Table_NFI[[#This Row],[Winter Clothes Adult]]+Table_NFI[[#This Row],[Winter Clothes Children]]+Table_NFI[[#This Row],[Winter Items Other]]+Table_NFI[[#This Row],[Winter Blanket]]&gt;0,1,0)</f>
        <v>0</v>
      </c>
      <c r="AN1179" s="392">
        <f>IF(NFI_Expiration=1,IF($A1179&lt;VLOOKUP(V$5,NFI,5,0),1,0)*Table_NFI[[#This Row],[Jerry Can]],Table_NFI[Jerry Can])</f>
        <v>0</v>
      </c>
      <c r="AO1179" s="540" t="str">
        <f>IFERROR(VLOOKUP(Table_NFI[[#This Row],[Camp Name]],CL,2,0),"")</f>
        <v/>
      </c>
      <c r="AP1179" s="535" t="str">
        <f ca="1">IF(Table_NFI[[#This Row],[Pcode]]="","",IF(OFFSET(CampList[Opening Date],MATCH(Table_NFI[[#This Row],[Pcode]],CampList[CP_Pcode],0)-1,0,1,1)&gt;=NFI_Monitor_Date,1,0))</f>
        <v/>
      </c>
      <c r="AQ1179" s="540" t="str">
        <f>IFERROR(VLOOKUP(Table_NFI[[#This Row],[Camp Name]],CL,3,0),"")</f>
        <v/>
      </c>
      <c r="AR1179" s="352" t="str">
        <f ca="1">IF(Table_NFI[[#This Row],[Pcode]]="","",OFFSET(CampList[Priority],MATCH(Table_NFI[[#This Row],[Pcode]],CampList[CP_Pcode],0)-1,0,1,1))</f>
        <v/>
      </c>
      <c r="AS1179" s="351" t="str">
        <f>IFERROR(Table_NFI[[#This Row],[Kitchen Set]]/VLOOKUP(Table_NFI[[#This Row],[Camp Name]],CL,4,0),"")</f>
        <v/>
      </c>
      <c r="AT1179" s="538"/>
      <c r="AU1179" s="541"/>
    </row>
    <row r="1180" spans="1:47" ht="14.45" hidden="1" customHeight="1" x14ac:dyDescent="0.25">
      <c r="A1180" s="355" t="str">
        <f t="shared" si="19"/>
        <v/>
      </c>
      <c r="B1180" s="532"/>
      <c r="C1180" s="533"/>
      <c r="D1180" s="538"/>
      <c r="E1180" s="538"/>
      <c r="F1180" s="538"/>
      <c r="G1180" s="538"/>
      <c r="H1180" s="350"/>
      <c r="I1180" s="350"/>
      <c r="J1180" s="350"/>
      <c r="K1180" s="350"/>
      <c r="L1180" s="350"/>
      <c r="M1180" s="350"/>
      <c r="N1180" s="350"/>
      <c r="O1180" s="350"/>
      <c r="P1180" s="352"/>
      <c r="Q1180" s="392"/>
      <c r="R1180" s="392"/>
      <c r="S1180" s="392"/>
      <c r="T1180" s="392"/>
      <c r="U1180" s="392"/>
      <c r="V1180" s="497"/>
      <c r="W1180" s="392"/>
      <c r="X1180" s="392"/>
      <c r="Y1180" s="352">
        <f>IF(NFI_Expiration=1,IF($A1180&lt;VLOOKUP(H$5,NFI,5,0),1,0)*Table_NFI[[#This Row],[Hygiene Kit]],Table_NFI[Hygiene Kit])</f>
        <v>0</v>
      </c>
      <c r="Z1180" s="352">
        <f>IF(NFI_Expiration=1,IF($A1180&lt;VLOOKUP(I$5,NFI,5,0),1,0)*Table_NFI[[#This Row],[NFI Core Kit]],Table_NFI[NFI Core Kit])</f>
        <v>0</v>
      </c>
      <c r="AA1180" s="352">
        <f>IF(NFI_Expiration=1,IF($A1180&lt;VLOOKUP(J$5,NFI,5,0),1,0)*Table_NFI[[#This Row],[Sanitary Kit]],Table_NFI[Sanitary Kit])</f>
        <v>0</v>
      </c>
      <c r="AB1180" s="352">
        <f>IF(NFI_Expiration=1,IF($A1180&lt;VLOOKUP(K$5,NFI,5,0),1,0)*Table_NFI[[#This Row],[Mosquito net]],Table_NFI[Mosquito net])</f>
        <v>0</v>
      </c>
      <c r="AC1180" s="352">
        <f>IF(NFI_Expiration=1,IF($A1180&lt;VLOOKUP(L$5,NFI,5,0),1,0)*Table_NFI[[#This Row],[Tarpaulin]],Table_NFI[[#This Row],[Tarpaulin]])</f>
        <v>0</v>
      </c>
      <c r="AD1180" s="352">
        <f>IF(NFI_Expiration=1,IF($A1180&lt;VLOOKUP(M$5,NFI,5,0),1,0)*Table_NFI[[#This Row],[Blanket]],Table_NFI[[#This Row],[Blanket]])</f>
        <v>0</v>
      </c>
      <c r="AE1180" s="352">
        <f>IF(NFI_Expiration=1,IF($A1180&lt;VLOOKUP(N$5,NFI,5,0),1,0)*Table_NFI[[#This Row],[Kitchen Set]],Table_NFI[Kitchen Set])</f>
        <v>0</v>
      </c>
      <c r="AF1180" s="352">
        <f>IF(NFI_Expiration=1,IF($A1180&lt;VLOOKUP(O$5,NFI,5,0),1,0)*Table_NFI[[#This Row],[Clothes Kit]],Table_NFI[Clothes Kit])</f>
        <v>0</v>
      </c>
      <c r="AG1180" s="352">
        <f>IF(NFI_Expiration=1,IF($A1180&lt;VLOOKUP(P$5,NFI,5,0),1,0)*Table_NFI[[#This Row],[Plastic Bucket]],Table_NFI[Plastic Bucket])</f>
        <v>0</v>
      </c>
      <c r="AH1180" s="352">
        <f>IF(NFI_Expiration=1,IF($A1180&lt;VLOOKUP(Q$5,NFI,5,0),1,0)*Table_NFI[[#This Row],[Plastic Mat]],Table_NFI[Plastic Mat])*IF(Table_NFI[[#This Row],[Distribution Date]]&gt;"2014-04-01",1,2.5)</f>
        <v>0</v>
      </c>
      <c r="AI1180" s="352">
        <f>IF(NFI_Expiration=1,IF($A1180&lt;VLOOKUP(R$5,NFI,5,0),1,0)*Table_NFI[[#This Row],[Winter Clothes Adult]],Table_NFI[Winter Clothes Adult])</f>
        <v>0</v>
      </c>
      <c r="AJ1180" s="352">
        <f>IF(NFI_Expiration=1,IF($A1180&lt;VLOOKUP(S$5,NFI,5,0),1,0)*Table_NFI[[#This Row],[Winter Clothes Children]],Table_NFI[Winter Clothes Children])</f>
        <v>0</v>
      </c>
      <c r="AK1180" s="352">
        <f>IF(NFI_Expiration=1,IF($A1180&lt;VLOOKUP(T$5,NFI,5,0),1,0)*Table_NFI[[#This Row],[Winter Items Other]],Table_NFI[Winter Items Other])</f>
        <v>0</v>
      </c>
      <c r="AL1180" s="352">
        <f>IF(NFI_Expiration=1,IF($A1180&lt;VLOOKUP(M$5,NFI,5,0),1,0)*Table_NFI[[#This Row],[Winter Blanket]],Table_NFI[[#This Row],[Winter Blanket]])</f>
        <v>0</v>
      </c>
      <c r="AM1180" s="352">
        <f>IF(Table_NFI[[#This Row],[Winter Clothes Adult]]+Table_NFI[[#This Row],[Winter Clothes Children]]+Table_NFI[[#This Row],[Winter Items Other]]+Table_NFI[[#This Row],[Winter Blanket]]&gt;0,1,0)</f>
        <v>0</v>
      </c>
      <c r="AN1180" s="392">
        <f>IF(NFI_Expiration=1,IF($A1180&lt;VLOOKUP(V$5,NFI,5,0),1,0)*Table_NFI[[#This Row],[Jerry Can]],Table_NFI[Jerry Can])</f>
        <v>0</v>
      </c>
      <c r="AO1180" s="540" t="str">
        <f>IFERROR(VLOOKUP(Table_NFI[[#This Row],[Camp Name]],CL,2,0),"")</f>
        <v/>
      </c>
      <c r="AP1180" s="535" t="str">
        <f ca="1">IF(Table_NFI[[#This Row],[Pcode]]="","",IF(OFFSET(CampList[Opening Date],MATCH(Table_NFI[[#This Row],[Pcode]],CampList[CP_Pcode],0)-1,0,1,1)&gt;=NFI_Monitor_Date,1,0))</f>
        <v/>
      </c>
      <c r="AQ1180" s="540" t="str">
        <f>IFERROR(VLOOKUP(Table_NFI[[#This Row],[Camp Name]],CL,3,0),"")</f>
        <v/>
      </c>
      <c r="AR1180" s="352" t="str">
        <f ca="1">IF(Table_NFI[[#This Row],[Pcode]]="","",OFFSET(CampList[Priority],MATCH(Table_NFI[[#This Row],[Pcode]],CampList[CP_Pcode],0)-1,0,1,1))</f>
        <v/>
      </c>
      <c r="AS1180" s="351" t="str">
        <f>IFERROR(Table_NFI[[#This Row],[Kitchen Set]]/VLOOKUP(Table_NFI[[#This Row],[Camp Name]],CL,4,0),"")</f>
        <v/>
      </c>
      <c r="AT1180" s="538"/>
      <c r="AU1180" s="541"/>
    </row>
    <row r="1181" spans="1:47" ht="14.45" hidden="1" customHeight="1" x14ac:dyDescent="0.25">
      <c r="A1181" s="355" t="str">
        <f t="shared" si="19"/>
        <v/>
      </c>
      <c r="B1181" s="532"/>
      <c r="C1181" s="533"/>
      <c r="D1181" s="533"/>
      <c r="E1181" s="533"/>
      <c r="F1181" s="533"/>
      <c r="G1181" s="533"/>
      <c r="H1181" s="349"/>
      <c r="I1181" s="352"/>
      <c r="J1181" s="352"/>
      <c r="K1181" s="352"/>
      <c r="L1181" s="350"/>
      <c r="M1181" s="350"/>
      <c r="N1181" s="350"/>
      <c r="O1181" s="350"/>
      <c r="P1181" s="352"/>
      <c r="Q1181" s="392"/>
      <c r="R1181" s="392"/>
      <c r="S1181" s="392"/>
      <c r="T1181" s="392"/>
      <c r="U1181" s="392"/>
      <c r="V1181" s="497"/>
      <c r="W1181" s="392"/>
      <c r="X1181" s="392"/>
      <c r="Y1181" s="352">
        <f>IF(NFI_Expiration=1,IF($A1181&lt;VLOOKUP(H$5,NFI,5,0),1,0)*Table_NFI[[#This Row],[Hygiene Kit]],Table_NFI[Hygiene Kit])</f>
        <v>0</v>
      </c>
      <c r="Z1181" s="352">
        <f>IF(NFI_Expiration=1,IF($A1181&lt;VLOOKUP(I$5,NFI,5,0),1,0)*Table_NFI[[#This Row],[NFI Core Kit]],Table_NFI[NFI Core Kit])</f>
        <v>0</v>
      </c>
      <c r="AA1181" s="352">
        <f>IF(NFI_Expiration=1,IF($A1181&lt;VLOOKUP(J$5,NFI,5,0),1,0)*Table_NFI[[#This Row],[Sanitary Kit]],Table_NFI[Sanitary Kit])</f>
        <v>0</v>
      </c>
      <c r="AB1181" s="352">
        <f>IF(NFI_Expiration=1,IF($A1181&lt;VLOOKUP(K$5,NFI,5,0),1,0)*Table_NFI[[#This Row],[Mosquito net]],Table_NFI[Mosquito net])</f>
        <v>0</v>
      </c>
      <c r="AC1181" s="352">
        <f>IF(NFI_Expiration=1,IF($A1181&lt;VLOOKUP(L$5,NFI,5,0),1,0)*Table_NFI[[#This Row],[Tarpaulin]],Table_NFI[[#This Row],[Tarpaulin]])</f>
        <v>0</v>
      </c>
      <c r="AD1181" s="352">
        <f>IF(NFI_Expiration=1,IF($A1181&lt;VLOOKUP(M$5,NFI,5,0),1,0)*Table_NFI[[#This Row],[Blanket]],Table_NFI[[#This Row],[Blanket]])</f>
        <v>0</v>
      </c>
      <c r="AE1181" s="352">
        <f>IF(NFI_Expiration=1,IF($A1181&lt;VLOOKUP(N$5,NFI,5,0),1,0)*Table_NFI[[#This Row],[Kitchen Set]],Table_NFI[Kitchen Set])</f>
        <v>0</v>
      </c>
      <c r="AF1181" s="352">
        <f>IF(NFI_Expiration=1,IF($A1181&lt;VLOOKUP(O$5,NFI,5,0),1,0)*Table_NFI[[#This Row],[Clothes Kit]],Table_NFI[Clothes Kit])</f>
        <v>0</v>
      </c>
      <c r="AG1181" s="352">
        <f>IF(NFI_Expiration=1,IF($A1181&lt;VLOOKUP(P$5,NFI,5,0),1,0)*Table_NFI[[#This Row],[Plastic Bucket]],Table_NFI[Plastic Bucket])</f>
        <v>0</v>
      </c>
      <c r="AH1181" s="352">
        <f>IF(NFI_Expiration=1,IF($A1181&lt;VLOOKUP(Q$5,NFI,5,0),1,0)*Table_NFI[[#This Row],[Plastic Mat]],Table_NFI[Plastic Mat])*IF(Table_NFI[[#This Row],[Distribution Date]]&gt;"2014-04-01",1,2.5)</f>
        <v>0</v>
      </c>
      <c r="AI1181" s="352">
        <f>IF(NFI_Expiration=1,IF($A1181&lt;VLOOKUP(R$5,NFI,5,0),1,0)*Table_NFI[[#This Row],[Winter Clothes Adult]],Table_NFI[Winter Clothes Adult])</f>
        <v>0</v>
      </c>
      <c r="AJ1181" s="352">
        <f>IF(NFI_Expiration=1,IF($A1181&lt;VLOOKUP(S$5,NFI,5,0),1,0)*Table_NFI[[#This Row],[Winter Clothes Children]],Table_NFI[Winter Clothes Children])</f>
        <v>0</v>
      </c>
      <c r="AK1181" s="352">
        <f>IF(NFI_Expiration=1,IF($A1181&lt;VLOOKUP(T$5,NFI,5,0),1,0)*Table_NFI[[#This Row],[Winter Items Other]],Table_NFI[Winter Items Other])</f>
        <v>0</v>
      </c>
      <c r="AL1181" s="352">
        <f>IF(NFI_Expiration=1,IF($A1181&lt;VLOOKUP(M$5,NFI,5,0),1,0)*Table_NFI[[#This Row],[Winter Blanket]],Table_NFI[[#This Row],[Winter Blanket]])</f>
        <v>0</v>
      </c>
      <c r="AM1181" s="352">
        <f>IF(Table_NFI[[#This Row],[Winter Clothes Adult]]+Table_NFI[[#This Row],[Winter Clothes Children]]+Table_NFI[[#This Row],[Winter Items Other]]+Table_NFI[[#This Row],[Winter Blanket]]&gt;0,1,0)</f>
        <v>0</v>
      </c>
      <c r="AN1181" s="392">
        <f>IF(NFI_Expiration=1,IF($A1181&lt;VLOOKUP(V$5,NFI,5,0),1,0)*Table_NFI[[#This Row],[Jerry Can]],Table_NFI[Jerry Can])</f>
        <v>0</v>
      </c>
      <c r="AO1181" s="540" t="str">
        <f>IFERROR(VLOOKUP(Table_NFI[[#This Row],[Camp Name]],CL,2,0),"")</f>
        <v/>
      </c>
      <c r="AP1181" s="535" t="str">
        <f ca="1">IF(Table_NFI[[#This Row],[Pcode]]="","",IF(OFFSET(CampList[Opening Date],MATCH(Table_NFI[[#This Row],[Pcode]],CampList[CP_Pcode],0)-1,0,1,1)&gt;=NFI_Monitor_Date,1,0))</f>
        <v/>
      </c>
      <c r="AQ1181" s="540" t="str">
        <f>IFERROR(VLOOKUP(Table_NFI[[#This Row],[Camp Name]],CL,3,0),"")</f>
        <v/>
      </c>
      <c r="AR1181" s="352" t="str">
        <f ca="1">IF(Table_NFI[[#This Row],[Pcode]]="","",OFFSET(CampList[Priority],MATCH(Table_NFI[[#This Row],[Pcode]],CampList[CP_Pcode],0)-1,0,1,1))</f>
        <v/>
      </c>
      <c r="AS1181" s="351" t="str">
        <f>IFERROR(Table_NFI[[#This Row],[Kitchen Set]]/VLOOKUP(Table_NFI[[#This Row],[Camp Name]],CL,4,0),"")</f>
        <v/>
      </c>
      <c r="AT1181" s="538"/>
      <c r="AU1181" s="541"/>
    </row>
    <row r="1182" spans="1:47" ht="14.45" hidden="1" customHeight="1" x14ac:dyDescent="0.25">
      <c r="A1182" s="355" t="str">
        <f t="shared" si="19"/>
        <v/>
      </c>
      <c r="B1182" s="532"/>
      <c r="C1182" s="533"/>
      <c r="D1182" s="538"/>
      <c r="E1182" s="538"/>
      <c r="F1182" s="538"/>
      <c r="G1182" s="538"/>
      <c r="H1182" s="350"/>
      <c r="I1182" s="350"/>
      <c r="J1182" s="350"/>
      <c r="K1182" s="350"/>
      <c r="L1182" s="350"/>
      <c r="M1182" s="350"/>
      <c r="N1182" s="350"/>
      <c r="O1182" s="350"/>
      <c r="P1182" s="352"/>
      <c r="Q1182" s="392"/>
      <c r="R1182" s="392"/>
      <c r="S1182" s="392"/>
      <c r="T1182" s="392"/>
      <c r="U1182" s="392"/>
      <c r="V1182" s="497"/>
      <c r="W1182" s="392"/>
      <c r="X1182" s="392"/>
      <c r="Y1182" s="352">
        <f>IF(NFI_Expiration=1,IF($A1182&lt;VLOOKUP(H$5,NFI,5,0),1,0)*Table_NFI[[#This Row],[Hygiene Kit]],Table_NFI[Hygiene Kit])</f>
        <v>0</v>
      </c>
      <c r="Z1182" s="352">
        <f>IF(NFI_Expiration=1,IF($A1182&lt;VLOOKUP(I$5,NFI,5,0),1,0)*Table_NFI[[#This Row],[NFI Core Kit]],Table_NFI[NFI Core Kit])</f>
        <v>0</v>
      </c>
      <c r="AA1182" s="352">
        <f>IF(NFI_Expiration=1,IF($A1182&lt;VLOOKUP(J$5,NFI,5,0),1,0)*Table_NFI[[#This Row],[Sanitary Kit]],Table_NFI[Sanitary Kit])</f>
        <v>0</v>
      </c>
      <c r="AB1182" s="352">
        <f>IF(NFI_Expiration=1,IF($A1182&lt;VLOOKUP(K$5,NFI,5,0),1,0)*Table_NFI[[#This Row],[Mosquito net]],Table_NFI[Mosquito net])</f>
        <v>0</v>
      </c>
      <c r="AC1182" s="352">
        <f>IF(NFI_Expiration=1,IF($A1182&lt;VLOOKUP(L$5,NFI,5,0),1,0)*Table_NFI[[#This Row],[Tarpaulin]],Table_NFI[[#This Row],[Tarpaulin]])</f>
        <v>0</v>
      </c>
      <c r="AD1182" s="352">
        <f>IF(NFI_Expiration=1,IF($A1182&lt;VLOOKUP(M$5,NFI,5,0),1,0)*Table_NFI[[#This Row],[Blanket]],Table_NFI[[#This Row],[Blanket]])</f>
        <v>0</v>
      </c>
      <c r="AE1182" s="352">
        <f>IF(NFI_Expiration=1,IF($A1182&lt;VLOOKUP(N$5,NFI,5,0),1,0)*Table_NFI[[#This Row],[Kitchen Set]],Table_NFI[Kitchen Set])</f>
        <v>0</v>
      </c>
      <c r="AF1182" s="352">
        <f>IF(NFI_Expiration=1,IF($A1182&lt;VLOOKUP(O$5,NFI,5,0),1,0)*Table_NFI[[#This Row],[Clothes Kit]],Table_NFI[Clothes Kit])</f>
        <v>0</v>
      </c>
      <c r="AG1182" s="352">
        <f>IF(NFI_Expiration=1,IF($A1182&lt;VLOOKUP(P$5,NFI,5,0),1,0)*Table_NFI[[#This Row],[Plastic Bucket]],Table_NFI[Plastic Bucket])</f>
        <v>0</v>
      </c>
      <c r="AH1182" s="352">
        <f>IF(NFI_Expiration=1,IF($A1182&lt;VLOOKUP(Q$5,NFI,5,0),1,0)*Table_NFI[[#This Row],[Plastic Mat]],Table_NFI[Plastic Mat])*IF(Table_NFI[[#This Row],[Distribution Date]]&gt;"2014-04-01",1,2.5)</f>
        <v>0</v>
      </c>
      <c r="AI1182" s="352">
        <f>IF(NFI_Expiration=1,IF($A1182&lt;VLOOKUP(R$5,NFI,5,0),1,0)*Table_NFI[[#This Row],[Winter Clothes Adult]],Table_NFI[Winter Clothes Adult])</f>
        <v>0</v>
      </c>
      <c r="AJ1182" s="352">
        <f>IF(NFI_Expiration=1,IF($A1182&lt;VLOOKUP(S$5,NFI,5,0),1,0)*Table_NFI[[#This Row],[Winter Clothes Children]],Table_NFI[Winter Clothes Children])</f>
        <v>0</v>
      </c>
      <c r="AK1182" s="352">
        <f>IF(NFI_Expiration=1,IF($A1182&lt;VLOOKUP(T$5,NFI,5,0),1,0)*Table_NFI[[#This Row],[Winter Items Other]],Table_NFI[Winter Items Other])</f>
        <v>0</v>
      </c>
      <c r="AL1182" s="352">
        <f>IF(NFI_Expiration=1,IF($A1182&lt;VLOOKUP(M$5,NFI,5,0),1,0)*Table_NFI[[#This Row],[Winter Blanket]],Table_NFI[[#This Row],[Winter Blanket]])</f>
        <v>0</v>
      </c>
      <c r="AM1182" s="352">
        <f>IF(Table_NFI[[#This Row],[Winter Clothes Adult]]+Table_NFI[[#This Row],[Winter Clothes Children]]+Table_NFI[[#This Row],[Winter Items Other]]+Table_NFI[[#This Row],[Winter Blanket]]&gt;0,1,0)</f>
        <v>0</v>
      </c>
      <c r="AN1182" s="392">
        <f>IF(NFI_Expiration=1,IF($A1182&lt;VLOOKUP(V$5,NFI,5,0),1,0)*Table_NFI[[#This Row],[Jerry Can]],Table_NFI[Jerry Can])</f>
        <v>0</v>
      </c>
      <c r="AO1182" s="540" t="str">
        <f>IFERROR(VLOOKUP(Table_NFI[[#This Row],[Camp Name]],CL,2,0),"")</f>
        <v/>
      </c>
      <c r="AP1182" s="535" t="str">
        <f ca="1">IF(Table_NFI[[#This Row],[Pcode]]="","",IF(OFFSET(CampList[Opening Date],MATCH(Table_NFI[[#This Row],[Pcode]],CampList[CP_Pcode],0)-1,0,1,1)&gt;=NFI_Monitor_Date,1,0))</f>
        <v/>
      </c>
      <c r="AQ1182" s="540" t="str">
        <f>IFERROR(VLOOKUP(Table_NFI[[#This Row],[Camp Name]],CL,3,0),"")</f>
        <v/>
      </c>
      <c r="AR1182" s="352" t="str">
        <f ca="1">IF(Table_NFI[[#This Row],[Pcode]]="","",OFFSET(CampList[Priority],MATCH(Table_NFI[[#This Row],[Pcode]],CampList[CP_Pcode],0)-1,0,1,1))</f>
        <v/>
      </c>
      <c r="AS1182" s="351" t="str">
        <f>IFERROR(Table_NFI[[#This Row],[Kitchen Set]]/VLOOKUP(Table_NFI[[#This Row],[Camp Name]],CL,4,0),"")</f>
        <v/>
      </c>
      <c r="AT1182" s="538"/>
      <c r="AU1182" s="541"/>
    </row>
    <row r="1183" spans="1:47" ht="14.45" hidden="1" customHeight="1" x14ac:dyDescent="0.25">
      <c r="A1183" s="355" t="str">
        <f t="shared" si="19"/>
        <v/>
      </c>
      <c r="B1183" s="532"/>
      <c r="C1183" s="533"/>
      <c r="D1183" s="533"/>
      <c r="E1183" s="533"/>
      <c r="F1183" s="533"/>
      <c r="G1183" s="533"/>
      <c r="H1183" s="350"/>
      <c r="I1183" s="350"/>
      <c r="J1183" s="350"/>
      <c r="K1183" s="350"/>
      <c r="L1183" s="350"/>
      <c r="M1183" s="350"/>
      <c r="N1183" s="350"/>
      <c r="O1183" s="350"/>
      <c r="P1183" s="352"/>
      <c r="Q1183" s="392"/>
      <c r="R1183" s="392"/>
      <c r="S1183" s="392"/>
      <c r="T1183" s="392"/>
      <c r="U1183" s="392"/>
      <c r="V1183" s="497"/>
      <c r="W1183" s="392"/>
      <c r="X1183" s="392"/>
      <c r="Y1183" s="352">
        <f>IF(NFI_Expiration=1,IF($A1183&lt;VLOOKUP(H$5,NFI,5,0),1,0)*Table_NFI[[#This Row],[Hygiene Kit]],Table_NFI[Hygiene Kit])</f>
        <v>0</v>
      </c>
      <c r="Z1183" s="352">
        <f>IF(NFI_Expiration=1,IF($A1183&lt;VLOOKUP(I$5,NFI,5,0),1,0)*Table_NFI[[#This Row],[NFI Core Kit]],Table_NFI[NFI Core Kit])</f>
        <v>0</v>
      </c>
      <c r="AA1183" s="352">
        <f>IF(NFI_Expiration=1,IF($A1183&lt;VLOOKUP(J$5,NFI,5,0),1,0)*Table_NFI[[#This Row],[Sanitary Kit]],Table_NFI[Sanitary Kit])</f>
        <v>0</v>
      </c>
      <c r="AB1183" s="352">
        <f>IF(NFI_Expiration=1,IF($A1183&lt;VLOOKUP(K$5,NFI,5,0),1,0)*Table_NFI[[#This Row],[Mosquito net]],Table_NFI[Mosquito net])</f>
        <v>0</v>
      </c>
      <c r="AC1183" s="352">
        <f>IF(NFI_Expiration=1,IF($A1183&lt;VLOOKUP(L$5,NFI,5,0),1,0)*Table_NFI[[#This Row],[Tarpaulin]],Table_NFI[[#This Row],[Tarpaulin]])</f>
        <v>0</v>
      </c>
      <c r="AD1183" s="352">
        <f>IF(NFI_Expiration=1,IF($A1183&lt;VLOOKUP(M$5,NFI,5,0),1,0)*Table_NFI[[#This Row],[Blanket]],Table_NFI[[#This Row],[Blanket]])</f>
        <v>0</v>
      </c>
      <c r="AE1183" s="352">
        <f>IF(NFI_Expiration=1,IF($A1183&lt;VLOOKUP(N$5,NFI,5,0),1,0)*Table_NFI[[#This Row],[Kitchen Set]],Table_NFI[Kitchen Set])</f>
        <v>0</v>
      </c>
      <c r="AF1183" s="352">
        <f>IF(NFI_Expiration=1,IF($A1183&lt;VLOOKUP(O$5,NFI,5,0),1,0)*Table_NFI[[#This Row],[Clothes Kit]],Table_NFI[Clothes Kit])</f>
        <v>0</v>
      </c>
      <c r="AG1183" s="352">
        <f>IF(NFI_Expiration=1,IF($A1183&lt;VLOOKUP(P$5,NFI,5,0),1,0)*Table_NFI[[#This Row],[Plastic Bucket]],Table_NFI[Plastic Bucket])</f>
        <v>0</v>
      </c>
      <c r="AH1183" s="352">
        <f>IF(NFI_Expiration=1,IF($A1183&lt;VLOOKUP(Q$5,NFI,5,0),1,0)*Table_NFI[[#This Row],[Plastic Mat]],Table_NFI[Plastic Mat])*IF(Table_NFI[[#This Row],[Distribution Date]]&gt;"2014-04-01",1,2.5)</f>
        <v>0</v>
      </c>
      <c r="AI1183" s="352">
        <f>IF(NFI_Expiration=1,IF($A1183&lt;VLOOKUP(R$5,NFI,5,0),1,0)*Table_NFI[[#This Row],[Winter Clothes Adult]],Table_NFI[Winter Clothes Adult])</f>
        <v>0</v>
      </c>
      <c r="AJ1183" s="352">
        <f>IF(NFI_Expiration=1,IF($A1183&lt;VLOOKUP(S$5,NFI,5,0),1,0)*Table_NFI[[#This Row],[Winter Clothes Children]],Table_NFI[Winter Clothes Children])</f>
        <v>0</v>
      </c>
      <c r="AK1183" s="352">
        <f>IF(NFI_Expiration=1,IF($A1183&lt;VLOOKUP(T$5,NFI,5,0),1,0)*Table_NFI[[#This Row],[Winter Items Other]],Table_NFI[Winter Items Other])</f>
        <v>0</v>
      </c>
      <c r="AL1183" s="352">
        <f>IF(NFI_Expiration=1,IF($A1183&lt;VLOOKUP(M$5,NFI,5,0),1,0)*Table_NFI[[#This Row],[Winter Blanket]],Table_NFI[[#This Row],[Winter Blanket]])</f>
        <v>0</v>
      </c>
      <c r="AM1183" s="352">
        <f>IF(Table_NFI[[#This Row],[Winter Clothes Adult]]+Table_NFI[[#This Row],[Winter Clothes Children]]+Table_NFI[[#This Row],[Winter Items Other]]+Table_NFI[[#This Row],[Winter Blanket]]&gt;0,1,0)</f>
        <v>0</v>
      </c>
      <c r="AN1183" s="392">
        <f>IF(NFI_Expiration=1,IF($A1183&lt;VLOOKUP(V$5,NFI,5,0),1,0)*Table_NFI[[#This Row],[Jerry Can]],Table_NFI[Jerry Can])</f>
        <v>0</v>
      </c>
      <c r="AO1183" s="540" t="str">
        <f>IFERROR(VLOOKUP(Table_NFI[[#This Row],[Camp Name]],CL,2,0),"")</f>
        <v/>
      </c>
      <c r="AP1183" s="535" t="str">
        <f ca="1">IF(Table_NFI[[#This Row],[Pcode]]="","",IF(OFFSET(CampList[Opening Date],MATCH(Table_NFI[[#This Row],[Pcode]],CampList[CP_Pcode],0)-1,0,1,1)&gt;=NFI_Monitor_Date,1,0))</f>
        <v/>
      </c>
      <c r="AQ1183" s="540" t="str">
        <f>IFERROR(VLOOKUP(Table_NFI[[#This Row],[Camp Name]],CL,3,0),"")</f>
        <v/>
      </c>
      <c r="AR1183" s="352" t="str">
        <f ca="1">IF(Table_NFI[[#This Row],[Pcode]]="","",OFFSET(CampList[Priority],MATCH(Table_NFI[[#This Row],[Pcode]],CampList[CP_Pcode],0)-1,0,1,1))</f>
        <v/>
      </c>
      <c r="AS1183" s="351" t="str">
        <f>IFERROR(Table_NFI[[#This Row],[Kitchen Set]]/VLOOKUP(Table_NFI[[#This Row],[Camp Name]],CL,4,0),"")</f>
        <v/>
      </c>
      <c r="AT1183" s="538"/>
      <c r="AU1183" s="541"/>
    </row>
    <row r="1184" spans="1:47" ht="14.45" hidden="1" customHeight="1" x14ac:dyDescent="0.25">
      <c r="A1184" s="355" t="str">
        <f t="shared" si="19"/>
        <v/>
      </c>
      <c r="B1184" s="532"/>
      <c r="C1184" s="533"/>
      <c r="D1184" s="533"/>
      <c r="E1184" s="533"/>
      <c r="F1184" s="533"/>
      <c r="G1184" s="533"/>
      <c r="H1184" s="350"/>
      <c r="I1184" s="350"/>
      <c r="J1184" s="350"/>
      <c r="K1184" s="350"/>
      <c r="L1184" s="350"/>
      <c r="M1184" s="350"/>
      <c r="N1184" s="350"/>
      <c r="O1184" s="350"/>
      <c r="P1184" s="352"/>
      <c r="Q1184" s="392"/>
      <c r="R1184" s="392"/>
      <c r="S1184" s="392"/>
      <c r="T1184" s="392"/>
      <c r="U1184" s="392"/>
      <c r="V1184" s="497"/>
      <c r="W1184" s="392"/>
      <c r="X1184" s="392"/>
      <c r="Y1184" s="352">
        <f>IF(NFI_Expiration=1,IF($A1184&lt;VLOOKUP(H$5,NFI,5,0),1,0)*Table_NFI[[#This Row],[Hygiene Kit]],Table_NFI[Hygiene Kit])</f>
        <v>0</v>
      </c>
      <c r="Z1184" s="352">
        <f>IF(NFI_Expiration=1,IF($A1184&lt;VLOOKUP(I$5,NFI,5,0),1,0)*Table_NFI[[#This Row],[NFI Core Kit]],Table_NFI[NFI Core Kit])</f>
        <v>0</v>
      </c>
      <c r="AA1184" s="352">
        <f>IF(NFI_Expiration=1,IF($A1184&lt;VLOOKUP(J$5,NFI,5,0),1,0)*Table_NFI[[#This Row],[Sanitary Kit]],Table_NFI[Sanitary Kit])</f>
        <v>0</v>
      </c>
      <c r="AB1184" s="352">
        <f>IF(NFI_Expiration=1,IF($A1184&lt;VLOOKUP(K$5,NFI,5,0),1,0)*Table_NFI[[#This Row],[Mosquito net]],Table_NFI[Mosquito net])</f>
        <v>0</v>
      </c>
      <c r="AC1184" s="352">
        <f>IF(NFI_Expiration=1,IF($A1184&lt;VLOOKUP(L$5,NFI,5,0),1,0)*Table_NFI[[#This Row],[Tarpaulin]],Table_NFI[[#This Row],[Tarpaulin]])</f>
        <v>0</v>
      </c>
      <c r="AD1184" s="352">
        <f>IF(NFI_Expiration=1,IF($A1184&lt;VLOOKUP(M$5,NFI,5,0),1,0)*Table_NFI[[#This Row],[Blanket]],Table_NFI[[#This Row],[Blanket]])</f>
        <v>0</v>
      </c>
      <c r="AE1184" s="352">
        <f>IF(NFI_Expiration=1,IF($A1184&lt;VLOOKUP(N$5,NFI,5,0),1,0)*Table_NFI[[#This Row],[Kitchen Set]],Table_NFI[Kitchen Set])</f>
        <v>0</v>
      </c>
      <c r="AF1184" s="352">
        <f>IF(NFI_Expiration=1,IF($A1184&lt;VLOOKUP(O$5,NFI,5,0),1,0)*Table_NFI[[#This Row],[Clothes Kit]],Table_NFI[Clothes Kit])</f>
        <v>0</v>
      </c>
      <c r="AG1184" s="352">
        <f>IF(NFI_Expiration=1,IF($A1184&lt;VLOOKUP(P$5,NFI,5,0),1,0)*Table_NFI[[#This Row],[Plastic Bucket]],Table_NFI[Plastic Bucket])</f>
        <v>0</v>
      </c>
      <c r="AH1184" s="352">
        <f>IF(NFI_Expiration=1,IF($A1184&lt;VLOOKUP(Q$5,NFI,5,0),1,0)*Table_NFI[[#This Row],[Plastic Mat]],Table_NFI[Plastic Mat])*IF(Table_NFI[[#This Row],[Distribution Date]]&gt;"2014-04-01",1,2.5)</f>
        <v>0</v>
      </c>
      <c r="AI1184" s="352">
        <f>IF(NFI_Expiration=1,IF($A1184&lt;VLOOKUP(R$5,NFI,5,0),1,0)*Table_NFI[[#This Row],[Winter Clothes Adult]],Table_NFI[Winter Clothes Adult])</f>
        <v>0</v>
      </c>
      <c r="AJ1184" s="352">
        <f>IF(NFI_Expiration=1,IF($A1184&lt;VLOOKUP(S$5,NFI,5,0),1,0)*Table_NFI[[#This Row],[Winter Clothes Children]],Table_NFI[Winter Clothes Children])</f>
        <v>0</v>
      </c>
      <c r="AK1184" s="352">
        <f>IF(NFI_Expiration=1,IF($A1184&lt;VLOOKUP(T$5,NFI,5,0),1,0)*Table_NFI[[#This Row],[Winter Items Other]],Table_NFI[Winter Items Other])</f>
        <v>0</v>
      </c>
      <c r="AL1184" s="352">
        <f>IF(NFI_Expiration=1,IF($A1184&lt;VLOOKUP(M$5,NFI,5,0),1,0)*Table_NFI[[#This Row],[Winter Blanket]],Table_NFI[[#This Row],[Winter Blanket]])</f>
        <v>0</v>
      </c>
      <c r="AM1184" s="352">
        <f>IF(Table_NFI[[#This Row],[Winter Clothes Adult]]+Table_NFI[[#This Row],[Winter Clothes Children]]+Table_NFI[[#This Row],[Winter Items Other]]+Table_NFI[[#This Row],[Winter Blanket]]&gt;0,1,0)</f>
        <v>0</v>
      </c>
      <c r="AN1184" s="392">
        <f>IF(NFI_Expiration=1,IF($A1184&lt;VLOOKUP(V$5,NFI,5,0),1,0)*Table_NFI[[#This Row],[Jerry Can]],Table_NFI[Jerry Can])</f>
        <v>0</v>
      </c>
      <c r="AO1184" s="540" t="str">
        <f>IFERROR(VLOOKUP(Table_NFI[[#This Row],[Camp Name]],CL,2,0),"")</f>
        <v/>
      </c>
      <c r="AP1184" s="535" t="str">
        <f ca="1">IF(Table_NFI[[#This Row],[Pcode]]="","",IF(OFFSET(CampList[Opening Date],MATCH(Table_NFI[[#This Row],[Pcode]],CampList[CP_Pcode],0)-1,0,1,1)&gt;=NFI_Monitor_Date,1,0))</f>
        <v/>
      </c>
      <c r="AQ1184" s="540" t="str">
        <f>IFERROR(VLOOKUP(Table_NFI[[#This Row],[Camp Name]],CL,3,0),"")</f>
        <v/>
      </c>
      <c r="AR1184" s="352" t="str">
        <f ca="1">IF(Table_NFI[[#This Row],[Pcode]]="","",OFFSET(CampList[Priority],MATCH(Table_NFI[[#This Row],[Pcode]],CampList[CP_Pcode],0)-1,0,1,1))</f>
        <v/>
      </c>
      <c r="AS1184" s="351" t="str">
        <f>IFERROR(Table_NFI[[#This Row],[Kitchen Set]]/VLOOKUP(Table_NFI[[#This Row],[Camp Name]],CL,4,0),"")</f>
        <v/>
      </c>
      <c r="AT1184" s="538"/>
      <c r="AU1184" s="541"/>
    </row>
    <row r="1185" spans="1:47" ht="14.45" hidden="1" customHeight="1" x14ac:dyDescent="0.25">
      <c r="A1185" s="355" t="str">
        <f t="shared" si="19"/>
        <v/>
      </c>
      <c r="B1185" s="532"/>
      <c r="C1185" s="533"/>
      <c r="D1185" s="533"/>
      <c r="E1185" s="533"/>
      <c r="F1185" s="533"/>
      <c r="G1185" s="533"/>
      <c r="H1185" s="349"/>
      <c r="I1185" s="352"/>
      <c r="J1185" s="352"/>
      <c r="K1185" s="352"/>
      <c r="L1185" s="350"/>
      <c r="M1185" s="350"/>
      <c r="N1185" s="350"/>
      <c r="O1185" s="350"/>
      <c r="P1185" s="352"/>
      <c r="Q1185" s="392"/>
      <c r="R1185" s="392"/>
      <c r="S1185" s="392"/>
      <c r="T1185" s="392"/>
      <c r="U1185" s="392"/>
      <c r="V1185" s="497"/>
      <c r="W1185" s="392"/>
      <c r="X1185" s="392"/>
      <c r="Y1185" s="352">
        <f>IF(NFI_Expiration=1,IF($A1185&lt;VLOOKUP(H$5,NFI,5,0),1,0)*Table_NFI[[#This Row],[Hygiene Kit]],Table_NFI[Hygiene Kit])</f>
        <v>0</v>
      </c>
      <c r="Z1185" s="352">
        <f>IF(NFI_Expiration=1,IF($A1185&lt;VLOOKUP(I$5,NFI,5,0),1,0)*Table_NFI[[#This Row],[NFI Core Kit]],Table_NFI[NFI Core Kit])</f>
        <v>0</v>
      </c>
      <c r="AA1185" s="352">
        <f>IF(NFI_Expiration=1,IF($A1185&lt;VLOOKUP(J$5,NFI,5,0),1,0)*Table_NFI[[#This Row],[Sanitary Kit]],Table_NFI[Sanitary Kit])</f>
        <v>0</v>
      </c>
      <c r="AB1185" s="352">
        <f>IF(NFI_Expiration=1,IF($A1185&lt;VLOOKUP(K$5,NFI,5,0),1,0)*Table_NFI[[#This Row],[Mosquito net]],Table_NFI[Mosquito net])</f>
        <v>0</v>
      </c>
      <c r="AC1185" s="352">
        <f>IF(NFI_Expiration=1,IF($A1185&lt;VLOOKUP(L$5,NFI,5,0),1,0)*Table_NFI[[#This Row],[Tarpaulin]],Table_NFI[[#This Row],[Tarpaulin]])</f>
        <v>0</v>
      </c>
      <c r="AD1185" s="352">
        <f>IF(NFI_Expiration=1,IF($A1185&lt;VLOOKUP(M$5,NFI,5,0),1,0)*Table_NFI[[#This Row],[Blanket]],Table_NFI[[#This Row],[Blanket]])</f>
        <v>0</v>
      </c>
      <c r="AE1185" s="352">
        <f>IF(NFI_Expiration=1,IF($A1185&lt;VLOOKUP(N$5,NFI,5,0),1,0)*Table_NFI[[#This Row],[Kitchen Set]],Table_NFI[Kitchen Set])</f>
        <v>0</v>
      </c>
      <c r="AF1185" s="352">
        <f>IF(NFI_Expiration=1,IF($A1185&lt;VLOOKUP(O$5,NFI,5,0),1,0)*Table_NFI[[#This Row],[Clothes Kit]],Table_NFI[Clothes Kit])</f>
        <v>0</v>
      </c>
      <c r="AG1185" s="352">
        <f>IF(NFI_Expiration=1,IF($A1185&lt;VLOOKUP(P$5,NFI,5,0),1,0)*Table_NFI[[#This Row],[Plastic Bucket]],Table_NFI[Plastic Bucket])</f>
        <v>0</v>
      </c>
      <c r="AH1185" s="352">
        <f>IF(NFI_Expiration=1,IF($A1185&lt;VLOOKUP(Q$5,NFI,5,0),1,0)*Table_NFI[[#This Row],[Plastic Mat]],Table_NFI[Plastic Mat])*IF(Table_NFI[[#This Row],[Distribution Date]]&gt;"2014-04-01",1,2.5)</f>
        <v>0</v>
      </c>
      <c r="AI1185" s="352">
        <f>IF(NFI_Expiration=1,IF($A1185&lt;VLOOKUP(R$5,NFI,5,0),1,0)*Table_NFI[[#This Row],[Winter Clothes Adult]],Table_NFI[Winter Clothes Adult])</f>
        <v>0</v>
      </c>
      <c r="AJ1185" s="352">
        <f>IF(NFI_Expiration=1,IF($A1185&lt;VLOOKUP(S$5,NFI,5,0),1,0)*Table_NFI[[#This Row],[Winter Clothes Children]],Table_NFI[Winter Clothes Children])</f>
        <v>0</v>
      </c>
      <c r="AK1185" s="352">
        <f>IF(NFI_Expiration=1,IF($A1185&lt;VLOOKUP(T$5,NFI,5,0),1,0)*Table_NFI[[#This Row],[Winter Items Other]],Table_NFI[Winter Items Other])</f>
        <v>0</v>
      </c>
      <c r="AL1185" s="352">
        <f>IF(NFI_Expiration=1,IF($A1185&lt;VLOOKUP(M$5,NFI,5,0),1,0)*Table_NFI[[#This Row],[Winter Blanket]],Table_NFI[[#This Row],[Winter Blanket]])</f>
        <v>0</v>
      </c>
      <c r="AM1185" s="352">
        <f>IF(Table_NFI[[#This Row],[Winter Clothes Adult]]+Table_NFI[[#This Row],[Winter Clothes Children]]+Table_NFI[[#This Row],[Winter Items Other]]+Table_NFI[[#This Row],[Winter Blanket]]&gt;0,1,0)</f>
        <v>0</v>
      </c>
      <c r="AN1185" s="392">
        <f>IF(NFI_Expiration=1,IF($A1185&lt;VLOOKUP(V$5,NFI,5,0),1,0)*Table_NFI[[#This Row],[Jerry Can]],Table_NFI[Jerry Can])</f>
        <v>0</v>
      </c>
      <c r="AO1185" s="540" t="str">
        <f>IFERROR(VLOOKUP(Table_NFI[[#This Row],[Camp Name]],CL,2,0),"")</f>
        <v/>
      </c>
      <c r="AP1185" s="535" t="str">
        <f ca="1">IF(Table_NFI[[#This Row],[Pcode]]="","",IF(OFFSET(CampList[Opening Date],MATCH(Table_NFI[[#This Row],[Pcode]],CampList[CP_Pcode],0)-1,0,1,1)&gt;=NFI_Monitor_Date,1,0))</f>
        <v/>
      </c>
      <c r="AQ1185" s="540" t="str">
        <f>IFERROR(VLOOKUP(Table_NFI[[#This Row],[Camp Name]],CL,3,0),"")</f>
        <v/>
      </c>
      <c r="AR1185" s="352" t="str">
        <f ca="1">IF(Table_NFI[[#This Row],[Pcode]]="","",OFFSET(CampList[Priority],MATCH(Table_NFI[[#This Row],[Pcode]],CampList[CP_Pcode],0)-1,0,1,1))</f>
        <v/>
      </c>
      <c r="AS1185" s="351" t="str">
        <f>IFERROR(Table_NFI[[#This Row],[Kitchen Set]]/VLOOKUP(Table_NFI[[#This Row],[Camp Name]],CL,4,0),"")</f>
        <v/>
      </c>
      <c r="AT1185" s="538"/>
      <c r="AU1185" s="536"/>
    </row>
    <row r="1186" spans="1:47" ht="14.45" hidden="1" customHeight="1" x14ac:dyDescent="0.25">
      <c r="A1186" s="355" t="str">
        <f t="shared" si="19"/>
        <v/>
      </c>
      <c r="B1186" s="532"/>
      <c r="C1186" s="533"/>
      <c r="D1186" s="538"/>
      <c r="E1186" s="538"/>
      <c r="F1186" s="538"/>
      <c r="G1186" s="538"/>
      <c r="H1186" s="350"/>
      <c r="I1186" s="350"/>
      <c r="J1186" s="350"/>
      <c r="K1186" s="350"/>
      <c r="L1186" s="350"/>
      <c r="M1186" s="350"/>
      <c r="N1186" s="350"/>
      <c r="O1186" s="350"/>
      <c r="P1186" s="352"/>
      <c r="Q1186" s="392"/>
      <c r="R1186" s="392"/>
      <c r="S1186" s="392"/>
      <c r="T1186" s="392"/>
      <c r="U1186" s="392"/>
      <c r="V1186" s="497"/>
      <c r="W1186" s="392"/>
      <c r="X1186" s="392"/>
      <c r="Y1186" s="352">
        <f>IF(NFI_Expiration=1,IF($A1186&lt;VLOOKUP(H$5,NFI,5,0),1,0)*Table_NFI[[#This Row],[Hygiene Kit]],Table_NFI[Hygiene Kit])</f>
        <v>0</v>
      </c>
      <c r="Z1186" s="352">
        <f>IF(NFI_Expiration=1,IF($A1186&lt;VLOOKUP(I$5,NFI,5,0),1,0)*Table_NFI[[#This Row],[NFI Core Kit]],Table_NFI[NFI Core Kit])</f>
        <v>0</v>
      </c>
      <c r="AA1186" s="352">
        <f>IF(NFI_Expiration=1,IF($A1186&lt;VLOOKUP(J$5,NFI,5,0),1,0)*Table_NFI[[#This Row],[Sanitary Kit]],Table_NFI[Sanitary Kit])</f>
        <v>0</v>
      </c>
      <c r="AB1186" s="352">
        <f>IF(NFI_Expiration=1,IF($A1186&lt;VLOOKUP(K$5,NFI,5,0),1,0)*Table_NFI[[#This Row],[Mosquito net]],Table_NFI[Mosquito net])</f>
        <v>0</v>
      </c>
      <c r="AC1186" s="352">
        <f>IF(NFI_Expiration=1,IF($A1186&lt;VLOOKUP(L$5,NFI,5,0),1,0)*Table_NFI[[#This Row],[Tarpaulin]],Table_NFI[[#This Row],[Tarpaulin]])</f>
        <v>0</v>
      </c>
      <c r="AD1186" s="352">
        <f>IF(NFI_Expiration=1,IF($A1186&lt;VLOOKUP(M$5,NFI,5,0),1,0)*Table_NFI[[#This Row],[Blanket]],Table_NFI[[#This Row],[Blanket]])</f>
        <v>0</v>
      </c>
      <c r="AE1186" s="352">
        <f>IF(NFI_Expiration=1,IF($A1186&lt;VLOOKUP(N$5,NFI,5,0),1,0)*Table_NFI[[#This Row],[Kitchen Set]],Table_NFI[Kitchen Set])</f>
        <v>0</v>
      </c>
      <c r="AF1186" s="352">
        <f>IF(NFI_Expiration=1,IF($A1186&lt;VLOOKUP(O$5,NFI,5,0),1,0)*Table_NFI[[#This Row],[Clothes Kit]],Table_NFI[Clothes Kit])</f>
        <v>0</v>
      </c>
      <c r="AG1186" s="352">
        <f>IF(NFI_Expiration=1,IF($A1186&lt;VLOOKUP(P$5,NFI,5,0),1,0)*Table_NFI[[#This Row],[Plastic Bucket]],Table_NFI[Plastic Bucket])</f>
        <v>0</v>
      </c>
      <c r="AH1186" s="352">
        <f>IF(NFI_Expiration=1,IF($A1186&lt;VLOOKUP(Q$5,NFI,5,0),1,0)*Table_NFI[[#This Row],[Plastic Mat]],Table_NFI[Plastic Mat])*IF(Table_NFI[[#This Row],[Distribution Date]]&gt;"2014-04-01",1,2.5)</f>
        <v>0</v>
      </c>
      <c r="AI1186" s="352">
        <f>IF(NFI_Expiration=1,IF($A1186&lt;VLOOKUP(R$5,NFI,5,0),1,0)*Table_NFI[[#This Row],[Winter Clothes Adult]],Table_NFI[Winter Clothes Adult])</f>
        <v>0</v>
      </c>
      <c r="AJ1186" s="352">
        <f>IF(NFI_Expiration=1,IF($A1186&lt;VLOOKUP(S$5,NFI,5,0),1,0)*Table_NFI[[#This Row],[Winter Clothes Children]],Table_NFI[Winter Clothes Children])</f>
        <v>0</v>
      </c>
      <c r="AK1186" s="352">
        <f>IF(NFI_Expiration=1,IF($A1186&lt;VLOOKUP(T$5,NFI,5,0),1,0)*Table_NFI[[#This Row],[Winter Items Other]],Table_NFI[Winter Items Other])</f>
        <v>0</v>
      </c>
      <c r="AL1186" s="352">
        <f>IF(NFI_Expiration=1,IF($A1186&lt;VLOOKUP(M$5,NFI,5,0),1,0)*Table_NFI[[#This Row],[Winter Blanket]],Table_NFI[[#This Row],[Winter Blanket]])</f>
        <v>0</v>
      </c>
      <c r="AM1186" s="352">
        <f>IF(Table_NFI[[#This Row],[Winter Clothes Adult]]+Table_NFI[[#This Row],[Winter Clothes Children]]+Table_NFI[[#This Row],[Winter Items Other]]+Table_NFI[[#This Row],[Winter Blanket]]&gt;0,1,0)</f>
        <v>0</v>
      </c>
      <c r="AN1186" s="392">
        <f>IF(NFI_Expiration=1,IF($A1186&lt;VLOOKUP(V$5,NFI,5,0),1,0)*Table_NFI[[#This Row],[Jerry Can]],Table_NFI[Jerry Can])</f>
        <v>0</v>
      </c>
      <c r="AO1186" s="540" t="str">
        <f>IFERROR(VLOOKUP(Table_NFI[[#This Row],[Camp Name]],CL,2,0),"")</f>
        <v/>
      </c>
      <c r="AP1186" s="535" t="str">
        <f ca="1">IF(Table_NFI[[#This Row],[Pcode]]="","",IF(OFFSET(CampList[Opening Date],MATCH(Table_NFI[[#This Row],[Pcode]],CampList[CP_Pcode],0)-1,0,1,1)&gt;=NFI_Monitor_Date,1,0))</f>
        <v/>
      </c>
      <c r="AQ1186" s="540" t="str">
        <f>IFERROR(VLOOKUP(Table_NFI[[#This Row],[Camp Name]],CL,3,0),"")</f>
        <v/>
      </c>
      <c r="AR1186" s="352" t="str">
        <f ca="1">IF(Table_NFI[[#This Row],[Pcode]]="","",OFFSET(CampList[Priority],MATCH(Table_NFI[[#This Row],[Pcode]],CampList[CP_Pcode],0)-1,0,1,1))</f>
        <v/>
      </c>
      <c r="AS1186" s="351" t="str">
        <f>IFERROR(Table_NFI[[#This Row],[Kitchen Set]]/VLOOKUP(Table_NFI[[#This Row],[Camp Name]],CL,4,0),"")</f>
        <v/>
      </c>
      <c r="AT1186" s="538"/>
      <c r="AU1186" s="541"/>
    </row>
    <row r="1187" spans="1:47" ht="14.45" hidden="1" customHeight="1" x14ac:dyDescent="0.25">
      <c r="A1187" s="355" t="str">
        <f t="shared" si="19"/>
        <v/>
      </c>
      <c r="B1187" s="532"/>
      <c r="C1187" s="533"/>
      <c r="D1187" s="533"/>
      <c r="E1187" s="533"/>
      <c r="F1187" s="348"/>
      <c r="G1187" s="348"/>
      <c r="H1187" s="349"/>
      <c r="I1187" s="349"/>
      <c r="J1187" s="349"/>
      <c r="K1187" s="349"/>
      <c r="L1187" s="350"/>
      <c r="M1187" s="350"/>
      <c r="N1187" s="350"/>
      <c r="O1187" s="350"/>
      <c r="P1187" s="352"/>
      <c r="Q1187" s="392"/>
      <c r="R1187" s="392"/>
      <c r="S1187" s="392"/>
      <c r="T1187" s="392"/>
      <c r="U1187" s="392"/>
      <c r="V1187" s="497"/>
      <c r="W1187" s="392"/>
      <c r="X1187" s="392"/>
      <c r="Y1187" s="352">
        <f>IF(NFI_Expiration=1,IF($A1187&lt;VLOOKUP(H$5,NFI,5,0),1,0)*Table_NFI[[#This Row],[Hygiene Kit]],Table_NFI[Hygiene Kit])</f>
        <v>0</v>
      </c>
      <c r="Z1187" s="352">
        <f>IF(NFI_Expiration=1,IF($A1187&lt;VLOOKUP(I$5,NFI,5,0),1,0)*Table_NFI[[#This Row],[NFI Core Kit]],Table_NFI[NFI Core Kit])</f>
        <v>0</v>
      </c>
      <c r="AA1187" s="352">
        <f>IF(NFI_Expiration=1,IF($A1187&lt;VLOOKUP(J$5,NFI,5,0),1,0)*Table_NFI[[#This Row],[Sanitary Kit]],Table_NFI[Sanitary Kit])</f>
        <v>0</v>
      </c>
      <c r="AB1187" s="352">
        <f>IF(NFI_Expiration=1,IF($A1187&lt;VLOOKUP(K$5,NFI,5,0),1,0)*Table_NFI[[#This Row],[Mosquito net]],Table_NFI[Mosquito net])</f>
        <v>0</v>
      </c>
      <c r="AC1187" s="352">
        <f>IF(NFI_Expiration=1,IF($A1187&lt;VLOOKUP(L$5,NFI,5,0),1,0)*Table_NFI[[#This Row],[Tarpaulin]],Table_NFI[[#This Row],[Tarpaulin]])</f>
        <v>0</v>
      </c>
      <c r="AD1187" s="352">
        <f>IF(NFI_Expiration=1,IF($A1187&lt;VLOOKUP(M$5,NFI,5,0),1,0)*Table_NFI[[#This Row],[Blanket]],Table_NFI[[#This Row],[Blanket]])</f>
        <v>0</v>
      </c>
      <c r="AE1187" s="352">
        <f>IF(NFI_Expiration=1,IF($A1187&lt;VLOOKUP(N$5,NFI,5,0),1,0)*Table_NFI[[#This Row],[Kitchen Set]],Table_NFI[Kitchen Set])</f>
        <v>0</v>
      </c>
      <c r="AF1187" s="352">
        <f>IF(NFI_Expiration=1,IF($A1187&lt;VLOOKUP(O$5,NFI,5,0),1,0)*Table_NFI[[#This Row],[Clothes Kit]],Table_NFI[Clothes Kit])</f>
        <v>0</v>
      </c>
      <c r="AG1187" s="352">
        <f>IF(NFI_Expiration=1,IF($A1187&lt;VLOOKUP(P$5,NFI,5,0),1,0)*Table_NFI[[#This Row],[Plastic Bucket]],Table_NFI[Plastic Bucket])</f>
        <v>0</v>
      </c>
      <c r="AH1187" s="352">
        <f>IF(NFI_Expiration=1,IF($A1187&lt;VLOOKUP(Q$5,NFI,5,0),1,0)*Table_NFI[[#This Row],[Plastic Mat]],Table_NFI[Plastic Mat])*IF(Table_NFI[[#This Row],[Distribution Date]]&gt;"2014-04-01",1,2.5)</f>
        <v>0</v>
      </c>
      <c r="AI1187" s="352">
        <f>IF(NFI_Expiration=1,IF($A1187&lt;VLOOKUP(R$5,NFI,5,0),1,0)*Table_NFI[[#This Row],[Winter Clothes Adult]],Table_NFI[Winter Clothes Adult])</f>
        <v>0</v>
      </c>
      <c r="AJ1187" s="352">
        <f>IF(NFI_Expiration=1,IF($A1187&lt;VLOOKUP(S$5,NFI,5,0),1,0)*Table_NFI[[#This Row],[Winter Clothes Children]],Table_NFI[Winter Clothes Children])</f>
        <v>0</v>
      </c>
      <c r="AK1187" s="352">
        <f>IF(NFI_Expiration=1,IF($A1187&lt;VLOOKUP(T$5,NFI,5,0),1,0)*Table_NFI[[#This Row],[Winter Items Other]],Table_NFI[Winter Items Other])</f>
        <v>0</v>
      </c>
      <c r="AL1187" s="352">
        <f>IF(NFI_Expiration=1,IF($A1187&lt;VLOOKUP(M$5,NFI,5,0),1,0)*Table_NFI[[#This Row],[Winter Blanket]],Table_NFI[[#This Row],[Winter Blanket]])</f>
        <v>0</v>
      </c>
      <c r="AM1187" s="352">
        <f>IF(Table_NFI[[#This Row],[Winter Clothes Adult]]+Table_NFI[[#This Row],[Winter Clothes Children]]+Table_NFI[[#This Row],[Winter Items Other]]+Table_NFI[[#This Row],[Winter Blanket]]&gt;0,1,0)</f>
        <v>0</v>
      </c>
      <c r="AN1187" s="392">
        <f>IF(NFI_Expiration=1,IF($A1187&lt;VLOOKUP(V$5,NFI,5,0),1,0)*Table_NFI[[#This Row],[Jerry Can]],Table_NFI[Jerry Can])</f>
        <v>0</v>
      </c>
      <c r="AO1187" s="540" t="str">
        <f>IFERROR(VLOOKUP(Table_NFI[[#This Row],[Camp Name]],CL,2,0),"")</f>
        <v/>
      </c>
      <c r="AP1187" s="535" t="str">
        <f ca="1">IF(Table_NFI[[#This Row],[Pcode]]="","",IF(OFFSET(CampList[Opening Date],MATCH(Table_NFI[[#This Row],[Pcode]],CampList[CP_Pcode],0)-1,0,1,1)&gt;=NFI_Monitor_Date,1,0))</f>
        <v/>
      </c>
      <c r="AQ1187" s="540" t="str">
        <f>IFERROR(VLOOKUP(Table_NFI[[#This Row],[Camp Name]],CL,3,0),"")</f>
        <v/>
      </c>
      <c r="AR1187" s="352" t="str">
        <f ca="1">IF(Table_NFI[[#This Row],[Pcode]]="","",OFFSET(CampList[Priority],MATCH(Table_NFI[[#This Row],[Pcode]],CampList[CP_Pcode],0)-1,0,1,1))</f>
        <v/>
      </c>
      <c r="AS1187" s="351" t="str">
        <f>IFERROR(Table_NFI[[#This Row],[Kitchen Set]]/VLOOKUP(Table_NFI[[#This Row],[Camp Name]],CL,4,0),"")</f>
        <v/>
      </c>
      <c r="AT1187" s="533"/>
      <c r="AU1187" s="553"/>
    </row>
    <row r="1188" spans="1:47" ht="14.45" hidden="1" customHeight="1" x14ac:dyDescent="0.25">
      <c r="A1188" s="355" t="str">
        <f t="shared" si="19"/>
        <v/>
      </c>
      <c r="B1188" s="532"/>
      <c r="C1188" s="533"/>
      <c r="D1188" s="533"/>
      <c r="E1188" s="533"/>
      <c r="F1188" s="348"/>
      <c r="G1188" s="348"/>
      <c r="H1188" s="349"/>
      <c r="I1188" s="349"/>
      <c r="J1188" s="349"/>
      <c r="K1188" s="349"/>
      <c r="L1188" s="350"/>
      <c r="M1188" s="350"/>
      <c r="N1188" s="350"/>
      <c r="O1188" s="350"/>
      <c r="P1188" s="352"/>
      <c r="Q1188" s="392"/>
      <c r="R1188" s="392"/>
      <c r="S1188" s="392"/>
      <c r="T1188" s="392"/>
      <c r="U1188" s="392"/>
      <c r="V1188" s="497"/>
      <c r="W1188" s="392"/>
      <c r="X1188" s="392"/>
      <c r="Y1188" s="352">
        <f>IF(NFI_Expiration=1,IF($A1188&lt;VLOOKUP(H$5,NFI,5,0),1,0)*Table_NFI[[#This Row],[Hygiene Kit]],Table_NFI[Hygiene Kit])</f>
        <v>0</v>
      </c>
      <c r="Z1188" s="352">
        <f>IF(NFI_Expiration=1,IF($A1188&lt;VLOOKUP(I$5,NFI,5,0),1,0)*Table_NFI[[#This Row],[NFI Core Kit]],Table_NFI[NFI Core Kit])</f>
        <v>0</v>
      </c>
      <c r="AA1188" s="352">
        <f>IF(NFI_Expiration=1,IF($A1188&lt;VLOOKUP(J$5,NFI,5,0),1,0)*Table_NFI[[#This Row],[Sanitary Kit]],Table_NFI[Sanitary Kit])</f>
        <v>0</v>
      </c>
      <c r="AB1188" s="352">
        <f>IF(NFI_Expiration=1,IF($A1188&lt;VLOOKUP(K$5,NFI,5,0),1,0)*Table_NFI[[#This Row],[Mosquito net]],Table_NFI[Mosquito net])</f>
        <v>0</v>
      </c>
      <c r="AC1188" s="352">
        <f>IF(NFI_Expiration=1,IF($A1188&lt;VLOOKUP(L$5,NFI,5,0),1,0)*Table_NFI[[#This Row],[Tarpaulin]],Table_NFI[[#This Row],[Tarpaulin]])</f>
        <v>0</v>
      </c>
      <c r="AD1188" s="352">
        <f>IF(NFI_Expiration=1,IF($A1188&lt;VLOOKUP(M$5,NFI,5,0),1,0)*Table_NFI[[#This Row],[Blanket]],Table_NFI[[#This Row],[Blanket]])</f>
        <v>0</v>
      </c>
      <c r="AE1188" s="352">
        <f>IF(NFI_Expiration=1,IF($A1188&lt;VLOOKUP(N$5,NFI,5,0),1,0)*Table_NFI[[#This Row],[Kitchen Set]],Table_NFI[Kitchen Set])</f>
        <v>0</v>
      </c>
      <c r="AF1188" s="352">
        <f>IF(NFI_Expiration=1,IF($A1188&lt;VLOOKUP(O$5,NFI,5,0),1,0)*Table_NFI[[#This Row],[Clothes Kit]],Table_NFI[Clothes Kit])</f>
        <v>0</v>
      </c>
      <c r="AG1188" s="352">
        <f>IF(NFI_Expiration=1,IF($A1188&lt;VLOOKUP(P$5,NFI,5,0),1,0)*Table_NFI[[#This Row],[Plastic Bucket]],Table_NFI[Plastic Bucket])</f>
        <v>0</v>
      </c>
      <c r="AH1188" s="352">
        <f>IF(NFI_Expiration=1,IF($A1188&lt;VLOOKUP(Q$5,NFI,5,0),1,0)*Table_NFI[[#This Row],[Plastic Mat]],Table_NFI[Plastic Mat])*IF(Table_NFI[[#This Row],[Distribution Date]]&gt;"2014-04-01",1,2.5)</f>
        <v>0</v>
      </c>
      <c r="AI1188" s="352">
        <f>IF(NFI_Expiration=1,IF($A1188&lt;VLOOKUP(R$5,NFI,5,0),1,0)*Table_NFI[[#This Row],[Winter Clothes Adult]],Table_NFI[Winter Clothes Adult])</f>
        <v>0</v>
      </c>
      <c r="AJ1188" s="352">
        <f>IF(NFI_Expiration=1,IF($A1188&lt;VLOOKUP(S$5,NFI,5,0),1,0)*Table_NFI[[#This Row],[Winter Clothes Children]],Table_NFI[Winter Clothes Children])</f>
        <v>0</v>
      </c>
      <c r="AK1188" s="352">
        <f>IF(NFI_Expiration=1,IF($A1188&lt;VLOOKUP(T$5,NFI,5,0),1,0)*Table_NFI[[#This Row],[Winter Items Other]],Table_NFI[Winter Items Other])</f>
        <v>0</v>
      </c>
      <c r="AL1188" s="352">
        <f>IF(NFI_Expiration=1,IF($A1188&lt;VLOOKUP(M$5,NFI,5,0),1,0)*Table_NFI[[#This Row],[Winter Blanket]],Table_NFI[[#This Row],[Winter Blanket]])</f>
        <v>0</v>
      </c>
      <c r="AM1188" s="352">
        <f>IF(Table_NFI[[#This Row],[Winter Clothes Adult]]+Table_NFI[[#This Row],[Winter Clothes Children]]+Table_NFI[[#This Row],[Winter Items Other]]+Table_NFI[[#This Row],[Winter Blanket]]&gt;0,1,0)</f>
        <v>0</v>
      </c>
      <c r="AN1188" s="392">
        <f>IF(NFI_Expiration=1,IF($A1188&lt;VLOOKUP(V$5,NFI,5,0),1,0)*Table_NFI[[#This Row],[Jerry Can]],Table_NFI[Jerry Can])</f>
        <v>0</v>
      </c>
      <c r="AO1188" s="540" t="str">
        <f>IFERROR(VLOOKUP(Table_NFI[[#This Row],[Camp Name]],CL,2,0),"")</f>
        <v/>
      </c>
      <c r="AP1188" s="535" t="str">
        <f ca="1">IF(Table_NFI[[#This Row],[Pcode]]="","",IF(OFFSET(CampList[Opening Date],MATCH(Table_NFI[[#This Row],[Pcode]],CampList[CP_Pcode],0)-1,0,1,1)&gt;=NFI_Monitor_Date,1,0))</f>
        <v/>
      </c>
      <c r="AQ1188" s="540" t="str">
        <f>IFERROR(VLOOKUP(Table_NFI[[#This Row],[Camp Name]],CL,3,0),"")</f>
        <v/>
      </c>
      <c r="AR1188" s="352" t="str">
        <f ca="1">IF(Table_NFI[[#This Row],[Pcode]]="","",OFFSET(CampList[Priority],MATCH(Table_NFI[[#This Row],[Pcode]],CampList[CP_Pcode],0)-1,0,1,1))</f>
        <v/>
      </c>
      <c r="AS1188" s="351" t="str">
        <f>IFERROR(Table_NFI[[#This Row],[Kitchen Set]]/VLOOKUP(Table_NFI[[#This Row],[Camp Name]],CL,4,0),"")</f>
        <v/>
      </c>
      <c r="AT1188" s="533"/>
      <c r="AU1188" s="536"/>
    </row>
    <row r="1189" spans="1:47" ht="14.45" hidden="1" customHeight="1" x14ac:dyDescent="0.25">
      <c r="A1189" s="355" t="str">
        <f t="shared" si="19"/>
        <v/>
      </c>
      <c r="B1189" s="532"/>
      <c r="C1189" s="538"/>
      <c r="D1189" s="538"/>
      <c r="E1189" s="538"/>
      <c r="F1189" s="538"/>
      <c r="G1189" s="538"/>
      <c r="H1189" s="350"/>
      <c r="I1189" s="350"/>
      <c r="J1189" s="350"/>
      <c r="K1189" s="350"/>
      <c r="L1189" s="350"/>
      <c r="M1189" s="350"/>
      <c r="N1189" s="350"/>
      <c r="O1189" s="350"/>
      <c r="P1189" s="352"/>
      <c r="Q1189" s="392"/>
      <c r="R1189" s="392"/>
      <c r="S1189" s="392"/>
      <c r="T1189" s="392"/>
      <c r="U1189" s="392"/>
      <c r="V1189" s="497"/>
      <c r="W1189" s="392"/>
      <c r="X1189" s="392"/>
      <c r="Y1189" s="352">
        <f>IF(NFI_Expiration=1,IF($A1189&lt;VLOOKUP(H$5,NFI,5,0),1,0)*Table_NFI[[#This Row],[Hygiene Kit]],Table_NFI[Hygiene Kit])</f>
        <v>0</v>
      </c>
      <c r="Z1189" s="352">
        <f>IF(NFI_Expiration=1,IF($A1189&lt;VLOOKUP(I$5,NFI,5,0),1,0)*Table_NFI[[#This Row],[NFI Core Kit]],Table_NFI[NFI Core Kit])</f>
        <v>0</v>
      </c>
      <c r="AA1189" s="352">
        <f>IF(NFI_Expiration=1,IF($A1189&lt;VLOOKUP(J$5,NFI,5,0),1,0)*Table_NFI[[#This Row],[Sanitary Kit]],Table_NFI[Sanitary Kit])</f>
        <v>0</v>
      </c>
      <c r="AB1189" s="352">
        <f>IF(NFI_Expiration=1,IF($A1189&lt;VLOOKUP(K$5,NFI,5,0),1,0)*Table_NFI[[#This Row],[Mosquito net]],Table_NFI[Mosquito net])</f>
        <v>0</v>
      </c>
      <c r="AC1189" s="352">
        <f>IF(NFI_Expiration=1,IF($A1189&lt;VLOOKUP(L$5,NFI,5,0),1,0)*Table_NFI[[#This Row],[Tarpaulin]],Table_NFI[[#This Row],[Tarpaulin]])</f>
        <v>0</v>
      </c>
      <c r="AD1189" s="352">
        <f>IF(NFI_Expiration=1,IF($A1189&lt;VLOOKUP(M$5,NFI,5,0),1,0)*Table_NFI[[#This Row],[Blanket]],Table_NFI[[#This Row],[Blanket]])</f>
        <v>0</v>
      </c>
      <c r="AE1189" s="352">
        <f>IF(NFI_Expiration=1,IF($A1189&lt;VLOOKUP(N$5,NFI,5,0),1,0)*Table_NFI[[#This Row],[Kitchen Set]],Table_NFI[Kitchen Set])</f>
        <v>0</v>
      </c>
      <c r="AF1189" s="352">
        <f>IF(NFI_Expiration=1,IF($A1189&lt;VLOOKUP(O$5,NFI,5,0),1,0)*Table_NFI[[#This Row],[Clothes Kit]],Table_NFI[Clothes Kit])</f>
        <v>0</v>
      </c>
      <c r="AG1189" s="352">
        <f>IF(NFI_Expiration=1,IF($A1189&lt;VLOOKUP(P$5,NFI,5,0),1,0)*Table_NFI[[#This Row],[Plastic Bucket]],Table_NFI[Plastic Bucket])</f>
        <v>0</v>
      </c>
      <c r="AH1189" s="352">
        <f>IF(NFI_Expiration=1,IF($A1189&lt;VLOOKUP(Q$5,NFI,5,0),1,0)*Table_NFI[[#This Row],[Plastic Mat]],Table_NFI[Plastic Mat])*IF(Table_NFI[[#This Row],[Distribution Date]]&gt;"2014-04-01",1,2.5)</f>
        <v>0</v>
      </c>
      <c r="AI1189" s="352">
        <f>IF(NFI_Expiration=1,IF($A1189&lt;VLOOKUP(R$5,NFI,5,0),1,0)*Table_NFI[[#This Row],[Winter Clothes Adult]],Table_NFI[Winter Clothes Adult])</f>
        <v>0</v>
      </c>
      <c r="AJ1189" s="352">
        <f>IF(NFI_Expiration=1,IF($A1189&lt;VLOOKUP(S$5,NFI,5,0),1,0)*Table_NFI[[#This Row],[Winter Clothes Children]],Table_NFI[Winter Clothes Children])</f>
        <v>0</v>
      </c>
      <c r="AK1189" s="352">
        <f>IF(NFI_Expiration=1,IF($A1189&lt;VLOOKUP(T$5,NFI,5,0),1,0)*Table_NFI[[#This Row],[Winter Items Other]],Table_NFI[Winter Items Other])</f>
        <v>0</v>
      </c>
      <c r="AL1189" s="352">
        <f>IF(NFI_Expiration=1,IF($A1189&lt;VLOOKUP(M$5,NFI,5,0),1,0)*Table_NFI[[#This Row],[Winter Blanket]],Table_NFI[[#This Row],[Winter Blanket]])</f>
        <v>0</v>
      </c>
      <c r="AM1189" s="352">
        <f>IF(Table_NFI[[#This Row],[Winter Clothes Adult]]+Table_NFI[[#This Row],[Winter Clothes Children]]+Table_NFI[[#This Row],[Winter Items Other]]+Table_NFI[[#This Row],[Winter Blanket]]&gt;0,1,0)</f>
        <v>0</v>
      </c>
      <c r="AN1189" s="392">
        <f>IF(NFI_Expiration=1,IF($A1189&lt;VLOOKUP(V$5,NFI,5,0),1,0)*Table_NFI[[#This Row],[Jerry Can]],Table_NFI[Jerry Can])</f>
        <v>0</v>
      </c>
      <c r="AO1189" s="540" t="str">
        <f>IFERROR(VLOOKUP(Table_NFI[[#This Row],[Camp Name]],CL,2,0),"")</f>
        <v/>
      </c>
      <c r="AP1189" s="535" t="str">
        <f ca="1">IF(Table_NFI[[#This Row],[Pcode]]="","",IF(OFFSET(CampList[Opening Date],MATCH(Table_NFI[[#This Row],[Pcode]],CampList[CP_Pcode],0)-1,0,1,1)&gt;=NFI_Monitor_Date,1,0))</f>
        <v/>
      </c>
      <c r="AQ1189" s="540" t="str">
        <f>IFERROR(VLOOKUP(Table_NFI[[#This Row],[Camp Name]],CL,3,0),"")</f>
        <v/>
      </c>
      <c r="AR1189" s="352" t="str">
        <f ca="1">IF(Table_NFI[[#This Row],[Pcode]]="","",OFFSET(CampList[Priority],MATCH(Table_NFI[[#This Row],[Pcode]],CampList[CP_Pcode],0)-1,0,1,1))</f>
        <v/>
      </c>
      <c r="AS1189" s="351" t="str">
        <f>IFERROR(Table_NFI[[#This Row],[Kitchen Set]]/VLOOKUP(Table_NFI[[#This Row],[Camp Name]],CL,4,0),"")</f>
        <v/>
      </c>
      <c r="AT1189" s="533"/>
      <c r="AU1189" s="536"/>
    </row>
    <row r="1190" spans="1:47" ht="14.45" hidden="1" customHeight="1" x14ac:dyDescent="0.25">
      <c r="A1190" s="355" t="str">
        <f t="shared" si="19"/>
        <v/>
      </c>
      <c r="B1190" s="532"/>
      <c r="C1190" s="533"/>
      <c r="D1190" s="533"/>
      <c r="E1190" s="533"/>
      <c r="F1190" s="533"/>
      <c r="G1190" s="533"/>
      <c r="H1190" s="349"/>
      <c r="I1190" s="349"/>
      <c r="J1190" s="349"/>
      <c r="K1190" s="349"/>
      <c r="L1190" s="350"/>
      <c r="M1190" s="350"/>
      <c r="N1190" s="350"/>
      <c r="O1190" s="350"/>
      <c r="P1190" s="352"/>
      <c r="Q1190" s="392"/>
      <c r="R1190" s="392"/>
      <c r="S1190" s="392"/>
      <c r="T1190" s="392"/>
      <c r="U1190" s="392"/>
      <c r="V1190" s="497"/>
      <c r="W1190" s="392"/>
      <c r="X1190" s="392"/>
      <c r="Y1190" s="352">
        <f>IF(NFI_Expiration=1,IF($A1190&lt;VLOOKUP(H$5,NFI,5,0),1,0)*Table_NFI[[#This Row],[Hygiene Kit]],Table_NFI[Hygiene Kit])</f>
        <v>0</v>
      </c>
      <c r="Z1190" s="352">
        <f>IF(NFI_Expiration=1,IF($A1190&lt;VLOOKUP(I$5,NFI,5,0),1,0)*Table_NFI[[#This Row],[NFI Core Kit]],Table_NFI[NFI Core Kit])</f>
        <v>0</v>
      </c>
      <c r="AA1190" s="352">
        <f>IF(NFI_Expiration=1,IF($A1190&lt;VLOOKUP(J$5,NFI,5,0),1,0)*Table_NFI[[#This Row],[Sanitary Kit]],Table_NFI[Sanitary Kit])</f>
        <v>0</v>
      </c>
      <c r="AB1190" s="352">
        <f>IF(NFI_Expiration=1,IF($A1190&lt;VLOOKUP(K$5,NFI,5,0),1,0)*Table_NFI[[#This Row],[Mosquito net]],Table_NFI[Mosquito net])</f>
        <v>0</v>
      </c>
      <c r="AC1190" s="352">
        <f>IF(NFI_Expiration=1,IF($A1190&lt;VLOOKUP(L$5,NFI,5,0),1,0)*Table_NFI[[#This Row],[Tarpaulin]],Table_NFI[[#This Row],[Tarpaulin]])</f>
        <v>0</v>
      </c>
      <c r="AD1190" s="352">
        <f>IF(NFI_Expiration=1,IF($A1190&lt;VLOOKUP(M$5,NFI,5,0),1,0)*Table_NFI[[#This Row],[Blanket]],Table_NFI[[#This Row],[Blanket]])</f>
        <v>0</v>
      </c>
      <c r="AE1190" s="352">
        <f>IF(NFI_Expiration=1,IF($A1190&lt;VLOOKUP(N$5,NFI,5,0),1,0)*Table_NFI[[#This Row],[Kitchen Set]],Table_NFI[Kitchen Set])</f>
        <v>0</v>
      </c>
      <c r="AF1190" s="352">
        <f>IF(NFI_Expiration=1,IF($A1190&lt;VLOOKUP(O$5,NFI,5,0),1,0)*Table_NFI[[#This Row],[Clothes Kit]],Table_NFI[Clothes Kit])</f>
        <v>0</v>
      </c>
      <c r="AG1190" s="352">
        <f>IF(NFI_Expiration=1,IF($A1190&lt;VLOOKUP(P$5,NFI,5,0),1,0)*Table_NFI[[#This Row],[Plastic Bucket]],Table_NFI[Plastic Bucket])</f>
        <v>0</v>
      </c>
      <c r="AH1190" s="352">
        <f>IF(NFI_Expiration=1,IF($A1190&lt;VLOOKUP(Q$5,NFI,5,0),1,0)*Table_NFI[[#This Row],[Plastic Mat]],Table_NFI[Plastic Mat])*IF(Table_NFI[[#This Row],[Distribution Date]]&gt;"2014-04-01",1,2.5)</f>
        <v>0</v>
      </c>
      <c r="AI1190" s="352">
        <f>IF(NFI_Expiration=1,IF($A1190&lt;VLOOKUP(R$5,NFI,5,0),1,0)*Table_NFI[[#This Row],[Winter Clothes Adult]],Table_NFI[Winter Clothes Adult])</f>
        <v>0</v>
      </c>
      <c r="AJ1190" s="352">
        <f>IF(NFI_Expiration=1,IF($A1190&lt;VLOOKUP(S$5,NFI,5,0),1,0)*Table_NFI[[#This Row],[Winter Clothes Children]],Table_NFI[Winter Clothes Children])</f>
        <v>0</v>
      </c>
      <c r="AK1190" s="352">
        <f>IF(NFI_Expiration=1,IF($A1190&lt;VLOOKUP(T$5,NFI,5,0),1,0)*Table_NFI[[#This Row],[Winter Items Other]],Table_NFI[Winter Items Other])</f>
        <v>0</v>
      </c>
      <c r="AL1190" s="352">
        <f>IF(NFI_Expiration=1,IF($A1190&lt;VLOOKUP(M$5,NFI,5,0),1,0)*Table_NFI[[#This Row],[Winter Blanket]],Table_NFI[[#This Row],[Winter Blanket]])</f>
        <v>0</v>
      </c>
      <c r="AM1190" s="352">
        <f>IF(Table_NFI[[#This Row],[Winter Clothes Adult]]+Table_NFI[[#This Row],[Winter Clothes Children]]+Table_NFI[[#This Row],[Winter Items Other]]+Table_NFI[[#This Row],[Winter Blanket]]&gt;0,1,0)</f>
        <v>0</v>
      </c>
      <c r="AN1190" s="392">
        <f>IF(NFI_Expiration=1,IF($A1190&lt;VLOOKUP(V$5,NFI,5,0),1,0)*Table_NFI[[#This Row],[Jerry Can]],Table_NFI[Jerry Can])</f>
        <v>0</v>
      </c>
      <c r="AO1190" s="540" t="str">
        <f>IFERROR(VLOOKUP(Table_NFI[[#This Row],[Camp Name]],CL,2,0),"")</f>
        <v/>
      </c>
      <c r="AP1190" s="535" t="str">
        <f ca="1">IF(Table_NFI[[#This Row],[Pcode]]="","",IF(OFFSET(CampList[Opening Date],MATCH(Table_NFI[[#This Row],[Pcode]],CampList[CP_Pcode],0)-1,0,1,1)&gt;=NFI_Monitor_Date,1,0))</f>
        <v/>
      </c>
      <c r="AQ1190" s="540" t="str">
        <f>IFERROR(VLOOKUP(Table_NFI[[#This Row],[Camp Name]],CL,3,0),"")</f>
        <v/>
      </c>
      <c r="AR1190" s="352" t="str">
        <f ca="1">IF(Table_NFI[[#This Row],[Pcode]]="","",OFFSET(CampList[Priority],MATCH(Table_NFI[[#This Row],[Pcode]],CampList[CP_Pcode],0)-1,0,1,1))</f>
        <v/>
      </c>
      <c r="AS1190" s="351" t="str">
        <f>IFERROR(Table_NFI[[#This Row],[Kitchen Set]]/VLOOKUP(Table_NFI[[#This Row],[Camp Name]],CL,4,0),"")</f>
        <v/>
      </c>
      <c r="AT1190" s="533"/>
      <c r="AU1190" s="536"/>
    </row>
    <row r="1191" spans="1:47" ht="14.45" hidden="1" customHeight="1" x14ac:dyDescent="0.25">
      <c r="A1191" s="355" t="str">
        <f t="shared" si="19"/>
        <v/>
      </c>
      <c r="B1191" s="532"/>
      <c r="C1191" s="533"/>
      <c r="D1191" s="533"/>
      <c r="E1191" s="533"/>
      <c r="F1191" s="533"/>
      <c r="G1191" s="533"/>
      <c r="H1191" s="349"/>
      <c r="I1191" s="352"/>
      <c r="J1191" s="349"/>
      <c r="K1191" s="349"/>
      <c r="L1191" s="350"/>
      <c r="M1191" s="350"/>
      <c r="N1191" s="350"/>
      <c r="O1191" s="350"/>
      <c r="P1191" s="352"/>
      <c r="Q1191" s="392"/>
      <c r="R1191" s="392"/>
      <c r="S1191" s="392"/>
      <c r="T1191" s="392"/>
      <c r="U1191" s="392"/>
      <c r="V1191" s="497"/>
      <c r="W1191" s="392"/>
      <c r="X1191" s="392"/>
      <c r="Y1191" s="352">
        <f>IF(NFI_Expiration=1,IF($A1191&lt;VLOOKUP(H$5,NFI,5,0),1,0)*Table_NFI[[#This Row],[Hygiene Kit]],Table_NFI[Hygiene Kit])</f>
        <v>0</v>
      </c>
      <c r="Z1191" s="352">
        <f>IF(NFI_Expiration=1,IF($A1191&lt;VLOOKUP(I$5,NFI,5,0),1,0)*Table_NFI[[#This Row],[NFI Core Kit]],Table_NFI[NFI Core Kit])</f>
        <v>0</v>
      </c>
      <c r="AA1191" s="352">
        <f>IF(NFI_Expiration=1,IF($A1191&lt;VLOOKUP(J$5,NFI,5,0),1,0)*Table_NFI[[#This Row],[Sanitary Kit]],Table_NFI[Sanitary Kit])</f>
        <v>0</v>
      </c>
      <c r="AB1191" s="352">
        <f>IF(NFI_Expiration=1,IF($A1191&lt;VLOOKUP(K$5,NFI,5,0),1,0)*Table_NFI[[#This Row],[Mosquito net]],Table_NFI[Mosquito net])</f>
        <v>0</v>
      </c>
      <c r="AC1191" s="352">
        <f>IF(NFI_Expiration=1,IF($A1191&lt;VLOOKUP(L$5,NFI,5,0),1,0)*Table_NFI[[#This Row],[Tarpaulin]],Table_NFI[[#This Row],[Tarpaulin]])</f>
        <v>0</v>
      </c>
      <c r="AD1191" s="352">
        <f>IF(NFI_Expiration=1,IF($A1191&lt;VLOOKUP(M$5,NFI,5,0),1,0)*Table_NFI[[#This Row],[Blanket]],Table_NFI[[#This Row],[Blanket]])</f>
        <v>0</v>
      </c>
      <c r="AE1191" s="352">
        <f>IF(NFI_Expiration=1,IF($A1191&lt;VLOOKUP(N$5,NFI,5,0),1,0)*Table_NFI[[#This Row],[Kitchen Set]],Table_NFI[Kitchen Set])</f>
        <v>0</v>
      </c>
      <c r="AF1191" s="352">
        <f>IF(NFI_Expiration=1,IF($A1191&lt;VLOOKUP(O$5,NFI,5,0),1,0)*Table_NFI[[#This Row],[Clothes Kit]],Table_NFI[Clothes Kit])</f>
        <v>0</v>
      </c>
      <c r="AG1191" s="352">
        <f>IF(NFI_Expiration=1,IF($A1191&lt;VLOOKUP(P$5,NFI,5,0),1,0)*Table_NFI[[#This Row],[Plastic Bucket]],Table_NFI[Plastic Bucket])</f>
        <v>0</v>
      </c>
      <c r="AH1191" s="352">
        <f>IF(NFI_Expiration=1,IF($A1191&lt;VLOOKUP(Q$5,NFI,5,0),1,0)*Table_NFI[[#This Row],[Plastic Mat]],Table_NFI[Plastic Mat])*IF(Table_NFI[[#This Row],[Distribution Date]]&gt;"2014-04-01",1,2.5)</f>
        <v>0</v>
      </c>
      <c r="AI1191" s="352">
        <f>IF(NFI_Expiration=1,IF($A1191&lt;VLOOKUP(R$5,NFI,5,0),1,0)*Table_NFI[[#This Row],[Winter Clothes Adult]],Table_NFI[Winter Clothes Adult])</f>
        <v>0</v>
      </c>
      <c r="AJ1191" s="352">
        <f>IF(NFI_Expiration=1,IF($A1191&lt;VLOOKUP(S$5,NFI,5,0),1,0)*Table_NFI[[#This Row],[Winter Clothes Children]],Table_NFI[Winter Clothes Children])</f>
        <v>0</v>
      </c>
      <c r="AK1191" s="352">
        <f>IF(NFI_Expiration=1,IF($A1191&lt;VLOOKUP(T$5,NFI,5,0),1,0)*Table_NFI[[#This Row],[Winter Items Other]],Table_NFI[Winter Items Other])</f>
        <v>0</v>
      </c>
      <c r="AL1191" s="352">
        <f>IF(NFI_Expiration=1,IF($A1191&lt;VLOOKUP(M$5,NFI,5,0),1,0)*Table_NFI[[#This Row],[Winter Blanket]],Table_NFI[[#This Row],[Winter Blanket]])</f>
        <v>0</v>
      </c>
      <c r="AM1191" s="352">
        <f>IF(Table_NFI[[#This Row],[Winter Clothes Adult]]+Table_NFI[[#This Row],[Winter Clothes Children]]+Table_NFI[[#This Row],[Winter Items Other]]+Table_NFI[[#This Row],[Winter Blanket]]&gt;0,1,0)</f>
        <v>0</v>
      </c>
      <c r="AN1191" s="392">
        <f>IF(NFI_Expiration=1,IF($A1191&lt;VLOOKUP(V$5,NFI,5,0),1,0)*Table_NFI[[#This Row],[Jerry Can]],Table_NFI[Jerry Can])</f>
        <v>0</v>
      </c>
      <c r="AO1191" s="540" t="str">
        <f>IFERROR(VLOOKUP(Table_NFI[[#This Row],[Camp Name]],CL,2,0),"")</f>
        <v/>
      </c>
      <c r="AP1191" s="535" t="str">
        <f ca="1">IF(Table_NFI[[#This Row],[Pcode]]="","",IF(OFFSET(CampList[Opening Date],MATCH(Table_NFI[[#This Row],[Pcode]],CampList[CP_Pcode],0)-1,0,1,1)&gt;=NFI_Monitor_Date,1,0))</f>
        <v/>
      </c>
      <c r="AQ1191" s="540" t="str">
        <f>IFERROR(VLOOKUP(Table_NFI[[#This Row],[Camp Name]],CL,3,0),"")</f>
        <v/>
      </c>
      <c r="AR1191" s="352" t="str">
        <f ca="1">IF(Table_NFI[[#This Row],[Pcode]]="","",OFFSET(CampList[Priority],MATCH(Table_NFI[[#This Row],[Pcode]],CampList[CP_Pcode],0)-1,0,1,1))</f>
        <v/>
      </c>
      <c r="AS1191" s="351" t="str">
        <f>IFERROR(Table_NFI[[#This Row],[Kitchen Set]]/VLOOKUP(Table_NFI[[#This Row],[Camp Name]],CL,4,0),"")</f>
        <v/>
      </c>
      <c r="AT1191" s="538"/>
      <c r="AU1191" s="553"/>
    </row>
    <row r="1192" spans="1:47" ht="14.45" hidden="1" customHeight="1" x14ac:dyDescent="0.25">
      <c r="A1192" s="355" t="str">
        <f t="shared" si="19"/>
        <v/>
      </c>
      <c r="B1192" s="532"/>
      <c r="C1192" s="533"/>
      <c r="D1192" s="533"/>
      <c r="E1192" s="533"/>
      <c r="F1192" s="533"/>
      <c r="G1192" s="533"/>
      <c r="H1192" s="349"/>
      <c r="I1192" s="352"/>
      <c r="J1192" s="349"/>
      <c r="K1192" s="349"/>
      <c r="L1192" s="350"/>
      <c r="M1192" s="350"/>
      <c r="N1192" s="350"/>
      <c r="O1192" s="350"/>
      <c r="P1192" s="352"/>
      <c r="Q1192" s="392"/>
      <c r="R1192" s="392"/>
      <c r="S1192" s="392"/>
      <c r="T1192" s="392"/>
      <c r="U1192" s="392"/>
      <c r="V1192" s="497"/>
      <c r="W1192" s="392"/>
      <c r="X1192" s="392"/>
      <c r="Y1192" s="352">
        <f>IF(NFI_Expiration=1,IF($A1192&lt;VLOOKUP(H$5,NFI,5,0),1,0)*Table_NFI[[#This Row],[Hygiene Kit]],Table_NFI[Hygiene Kit])</f>
        <v>0</v>
      </c>
      <c r="Z1192" s="352">
        <f>IF(NFI_Expiration=1,IF($A1192&lt;VLOOKUP(I$5,NFI,5,0),1,0)*Table_NFI[[#This Row],[NFI Core Kit]],Table_NFI[NFI Core Kit])</f>
        <v>0</v>
      </c>
      <c r="AA1192" s="352">
        <f>IF(NFI_Expiration=1,IF($A1192&lt;VLOOKUP(J$5,NFI,5,0),1,0)*Table_NFI[[#This Row],[Sanitary Kit]],Table_NFI[Sanitary Kit])</f>
        <v>0</v>
      </c>
      <c r="AB1192" s="352">
        <f>IF(NFI_Expiration=1,IF($A1192&lt;VLOOKUP(K$5,NFI,5,0),1,0)*Table_NFI[[#This Row],[Mosquito net]],Table_NFI[Mosquito net])</f>
        <v>0</v>
      </c>
      <c r="AC1192" s="352">
        <f>IF(NFI_Expiration=1,IF($A1192&lt;VLOOKUP(L$5,NFI,5,0),1,0)*Table_NFI[[#This Row],[Tarpaulin]],Table_NFI[[#This Row],[Tarpaulin]])</f>
        <v>0</v>
      </c>
      <c r="AD1192" s="352">
        <f>IF(NFI_Expiration=1,IF($A1192&lt;VLOOKUP(M$5,NFI,5,0),1,0)*Table_NFI[[#This Row],[Blanket]],Table_NFI[[#This Row],[Blanket]])</f>
        <v>0</v>
      </c>
      <c r="AE1192" s="352">
        <f>IF(NFI_Expiration=1,IF($A1192&lt;VLOOKUP(N$5,NFI,5,0),1,0)*Table_NFI[[#This Row],[Kitchen Set]],Table_NFI[Kitchen Set])</f>
        <v>0</v>
      </c>
      <c r="AF1192" s="352">
        <f>IF(NFI_Expiration=1,IF($A1192&lt;VLOOKUP(O$5,NFI,5,0),1,0)*Table_NFI[[#This Row],[Clothes Kit]],Table_NFI[Clothes Kit])</f>
        <v>0</v>
      </c>
      <c r="AG1192" s="352">
        <f>IF(NFI_Expiration=1,IF($A1192&lt;VLOOKUP(P$5,NFI,5,0),1,0)*Table_NFI[[#This Row],[Plastic Bucket]],Table_NFI[Plastic Bucket])</f>
        <v>0</v>
      </c>
      <c r="AH1192" s="352">
        <f>IF(NFI_Expiration=1,IF($A1192&lt;VLOOKUP(Q$5,NFI,5,0),1,0)*Table_NFI[[#This Row],[Plastic Mat]],Table_NFI[Plastic Mat])*IF(Table_NFI[[#This Row],[Distribution Date]]&gt;"2014-04-01",1,2.5)</f>
        <v>0</v>
      </c>
      <c r="AI1192" s="352">
        <f>IF(NFI_Expiration=1,IF($A1192&lt;VLOOKUP(R$5,NFI,5,0),1,0)*Table_NFI[[#This Row],[Winter Clothes Adult]],Table_NFI[Winter Clothes Adult])</f>
        <v>0</v>
      </c>
      <c r="AJ1192" s="352">
        <f>IF(NFI_Expiration=1,IF($A1192&lt;VLOOKUP(S$5,NFI,5,0),1,0)*Table_NFI[[#This Row],[Winter Clothes Children]],Table_NFI[Winter Clothes Children])</f>
        <v>0</v>
      </c>
      <c r="AK1192" s="352">
        <f>IF(NFI_Expiration=1,IF($A1192&lt;VLOOKUP(T$5,NFI,5,0),1,0)*Table_NFI[[#This Row],[Winter Items Other]],Table_NFI[Winter Items Other])</f>
        <v>0</v>
      </c>
      <c r="AL1192" s="352">
        <f>IF(NFI_Expiration=1,IF($A1192&lt;VLOOKUP(M$5,NFI,5,0),1,0)*Table_NFI[[#This Row],[Winter Blanket]],Table_NFI[[#This Row],[Winter Blanket]])</f>
        <v>0</v>
      </c>
      <c r="AM1192" s="352">
        <f>IF(Table_NFI[[#This Row],[Winter Clothes Adult]]+Table_NFI[[#This Row],[Winter Clothes Children]]+Table_NFI[[#This Row],[Winter Items Other]]+Table_NFI[[#This Row],[Winter Blanket]]&gt;0,1,0)</f>
        <v>0</v>
      </c>
      <c r="AN1192" s="392">
        <f>IF(NFI_Expiration=1,IF($A1192&lt;VLOOKUP(V$5,NFI,5,0),1,0)*Table_NFI[[#This Row],[Jerry Can]],Table_NFI[Jerry Can])</f>
        <v>0</v>
      </c>
      <c r="AO1192" s="540" t="str">
        <f>IFERROR(VLOOKUP(Table_NFI[[#This Row],[Camp Name]],CL,2,0),"")</f>
        <v/>
      </c>
      <c r="AP1192" s="535" t="str">
        <f ca="1">IF(Table_NFI[[#This Row],[Pcode]]="","",IF(OFFSET(CampList[Opening Date],MATCH(Table_NFI[[#This Row],[Pcode]],CampList[CP_Pcode],0)-1,0,1,1)&gt;=NFI_Monitor_Date,1,0))</f>
        <v/>
      </c>
      <c r="AQ1192" s="540" t="str">
        <f>IFERROR(VLOOKUP(Table_NFI[[#This Row],[Camp Name]],CL,3,0),"")</f>
        <v/>
      </c>
      <c r="AR1192" s="352" t="str">
        <f ca="1">IF(Table_NFI[[#This Row],[Pcode]]="","",OFFSET(CampList[Priority],MATCH(Table_NFI[[#This Row],[Pcode]],CampList[CP_Pcode],0)-1,0,1,1))</f>
        <v/>
      </c>
      <c r="AS1192" s="351" t="str">
        <f>IFERROR(Table_NFI[[#This Row],[Kitchen Set]]/VLOOKUP(Table_NFI[[#This Row],[Camp Name]],CL,4,0),"")</f>
        <v/>
      </c>
      <c r="AT1192" s="533"/>
      <c r="AU1192" s="553"/>
    </row>
    <row r="1193" spans="1:47" ht="14.45" hidden="1" customHeight="1" x14ac:dyDescent="0.25">
      <c r="A1193" s="355" t="str">
        <f t="shared" si="19"/>
        <v/>
      </c>
      <c r="B1193" s="532"/>
      <c r="C1193" s="533"/>
      <c r="D1193" s="533"/>
      <c r="E1193" s="533"/>
      <c r="F1193" s="533"/>
      <c r="G1193" s="533"/>
      <c r="H1193" s="349"/>
      <c r="I1193" s="349"/>
      <c r="J1193" s="349"/>
      <c r="K1193" s="349"/>
      <c r="L1193" s="350"/>
      <c r="M1193" s="350"/>
      <c r="N1193" s="350"/>
      <c r="O1193" s="350"/>
      <c r="P1193" s="352"/>
      <c r="Q1193" s="392"/>
      <c r="R1193" s="392"/>
      <c r="S1193" s="392"/>
      <c r="T1193" s="392"/>
      <c r="U1193" s="392"/>
      <c r="V1193" s="497"/>
      <c r="W1193" s="392"/>
      <c r="X1193" s="392"/>
      <c r="Y1193" s="352">
        <f>IF(NFI_Expiration=1,IF($A1193&lt;VLOOKUP(H$5,NFI,5,0),1,0)*Table_NFI[[#This Row],[Hygiene Kit]],Table_NFI[Hygiene Kit])</f>
        <v>0</v>
      </c>
      <c r="Z1193" s="352">
        <f>IF(NFI_Expiration=1,IF($A1193&lt;VLOOKUP(I$5,NFI,5,0),1,0)*Table_NFI[[#This Row],[NFI Core Kit]],Table_NFI[NFI Core Kit])</f>
        <v>0</v>
      </c>
      <c r="AA1193" s="352">
        <f>IF(NFI_Expiration=1,IF($A1193&lt;VLOOKUP(J$5,NFI,5,0),1,0)*Table_NFI[[#This Row],[Sanitary Kit]],Table_NFI[Sanitary Kit])</f>
        <v>0</v>
      </c>
      <c r="AB1193" s="352">
        <f>IF(NFI_Expiration=1,IF($A1193&lt;VLOOKUP(K$5,NFI,5,0),1,0)*Table_NFI[[#This Row],[Mosquito net]],Table_NFI[Mosquito net])</f>
        <v>0</v>
      </c>
      <c r="AC1193" s="352">
        <f>IF(NFI_Expiration=1,IF($A1193&lt;VLOOKUP(L$5,NFI,5,0),1,0)*Table_NFI[[#This Row],[Tarpaulin]],Table_NFI[[#This Row],[Tarpaulin]])</f>
        <v>0</v>
      </c>
      <c r="AD1193" s="352">
        <f>IF(NFI_Expiration=1,IF($A1193&lt;VLOOKUP(M$5,NFI,5,0),1,0)*Table_NFI[[#This Row],[Blanket]],Table_NFI[[#This Row],[Blanket]])</f>
        <v>0</v>
      </c>
      <c r="AE1193" s="352">
        <f>IF(NFI_Expiration=1,IF($A1193&lt;VLOOKUP(N$5,NFI,5,0),1,0)*Table_NFI[[#This Row],[Kitchen Set]],Table_NFI[Kitchen Set])</f>
        <v>0</v>
      </c>
      <c r="AF1193" s="352">
        <f>IF(NFI_Expiration=1,IF($A1193&lt;VLOOKUP(O$5,NFI,5,0),1,0)*Table_NFI[[#This Row],[Clothes Kit]],Table_NFI[Clothes Kit])</f>
        <v>0</v>
      </c>
      <c r="AG1193" s="352">
        <f>IF(NFI_Expiration=1,IF($A1193&lt;VLOOKUP(P$5,NFI,5,0),1,0)*Table_NFI[[#This Row],[Plastic Bucket]],Table_NFI[Plastic Bucket])</f>
        <v>0</v>
      </c>
      <c r="AH1193" s="352">
        <f>IF(NFI_Expiration=1,IF($A1193&lt;VLOOKUP(Q$5,NFI,5,0),1,0)*Table_NFI[[#This Row],[Plastic Mat]],Table_NFI[Plastic Mat])*IF(Table_NFI[[#This Row],[Distribution Date]]&gt;"2014-04-01",1,2.5)</f>
        <v>0</v>
      </c>
      <c r="AI1193" s="352">
        <f>IF(NFI_Expiration=1,IF($A1193&lt;VLOOKUP(R$5,NFI,5,0),1,0)*Table_NFI[[#This Row],[Winter Clothes Adult]],Table_NFI[Winter Clothes Adult])</f>
        <v>0</v>
      </c>
      <c r="AJ1193" s="352">
        <f>IF(NFI_Expiration=1,IF($A1193&lt;VLOOKUP(S$5,NFI,5,0),1,0)*Table_NFI[[#This Row],[Winter Clothes Children]],Table_NFI[Winter Clothes Children])</f>
        <v>0</v>
      </c>
      <c r="AK1193" s="352">
        <f>IF(NFI_Expiration=1,IF($A1193&lt;VLOOKUP(T$5,NFI,5,0),1,0)*Table_NFI[[#This Row],[Winter Items Other]],Table_NFI[Winter Items Other])</f>
        <v>0</v>
      </c>
      <c r="AL1193" s="352">
        <f>IF(NFI_Expiration=1,IF($A1193&lt;VLOOKUP(M$5,NFI,5,0),1,0)*Table_NFI[[#This Row],[Winter Blanket]],Table_NFI[[#This Row],[Winter Blanket]])</f>
        <v>0</v>
      </c>
      <c r="AM1193" s="352">
        <f>IF(Table_NFI[[#This Row],[Winter Clothes Adult]]+Table_NFI[[#This Row],[Winter Clothes Children]]+Table_NFI[[#This Row],[Winter Items Other]]+Table_NFI[[#This Row],[Winter Blanket]]&gt;0,1,0)</f>
        <v>0</v>
      </c>
      <c r="AN1193" s="392">
        <f>IF(NFI_Expiration=1,IF($A1193&lt;VLOOKUP(V$5,NFI,5,0),1,0)*Table_NFI[[#This Row],[Jerry Can]],Table_NFI[Jerry Can])</f>
        <v>0</v>
      </c>
      <c r="AO1193" s="540" t="str">
        <f>IFERROR(VLOOKUP(Table_NFI[[#This Row],[Camp Name]],CL,2,0),"")</f>
        <v/>
      </c>
      <c r="AP1193" s="535" t="str">
        <f ca="1">IF(Table_NFI[[#This Row],[Pcode]]="","",IF(OFFSET(CampList[Opening Date],MATCH(Table_NFI[[#This Row],[Pcode]],CampList[CP_Pcode],0)-1,0,1,1)&gt;=NFI_Monitor_Date,1,0))</f>
        <v/>
      </c>
      <c r="AQ1193" s="540" t="str">
        <f>IFERROR(VLOOKUP(Table_NFI[[#This Row],[Camp Name]],CL,3,0),"")</f>
        <v/>
      </c>
      <c r="AR1193" s="352" t="str">
        <f ca="1">IF(Table_NFI[[#This Row],[Pcode]]="","",OFFSET(CampList[Priority],MATCH(Table_NFI[[#This Row],[Pcode]],CampList[CP_Pcode],0)-1,0,1,1))</f>
        <v/>
      </c>
      <c r="AS1193" s="351" t="str">
        <f>IFERROR(Table_NFI[[#This Row],[Kitchen Set]]/VLOOKUP(Table_NFI[[#This Row],[Camp Name]],CL,4,0),"")</f>
        <v/>
      </c>
      <c r="AT1193" s="538"/>
      <c r="AU1193" s="541"/>
    </row>
    <row r="1194" spans="1:47" ht="14.45" hidden="1" customHeight="1" x14ac:dyDescent="0.25">
      <c r="A1194" s="355" t="str">
        <f t="shared" si="19"/>
        <v/>
      </c>
      <c r="B1194" s="532"/>
      <c r="C1194" s="533"/>
      <c r="D1194" s="533"/>
      <c r="E1194" s="533"/>
      <c r="F1194" s="533"/>
      <c r="G1194" s="533"/>
      <c r="H1194" s="349"/>
      <c r="I1194" s="349"/>
      <c r="J1194" s="349"/>
      <c r="K1194" s="349"/>
      <c r="L1194" s="350"/>
      <c r="M1194" s="350"/>
      <c r="N1194" s="350"/>
      <c r="O1194" s="350"/>
      <c r="P1194" s="352"/>
      <c r="Q1194" s="392"/>
      <c r="R1194" s="392"/>
      <c r="S1194" s="392"/>
      <c r="T1194" s="392"/>
      <c r="U1194" s="392"/>
      <c r="V1194" s="497"/>
      <c r="W1194" s="392"/>
      <c r="X1194" s="392"/>
      <c r="Y1194" s="352">
        <f>IF(NFI_Expiration=1,IF($A1194&lt;VLOOKUP(H$5,NFI,5,0),1,0)*Table_NFI[[#This Row],[Hygiene Kit]],Table_NFI[Hygiene Kit])</f>
        <v>0</v>
      </c>
      <c r="Z1194" s="352">
        <f>IF(NFI_Expiration=1,IF($A1194&lt;VLOOKUP(I$5,NFI,5,0),1,0)*Table_NFI[[#This Row],[NFI Core Kit]],Table_NFI[NFI Core Kit])</f>
        <v>0</v>
      </c>
      <c r="AA1194" s="352">
        <f>IF(NFI_Expiration=1,IF($A1194&lt;VLOOKUP(J$5,NFI,5,0),1,0)*Table_NFI[[#This Row],[Sanitary Kit]],Table_NFI[Sanitary Kit])</f>
        <v>0</v>
      </c>
      <c r="AB1194" s="352">
        <f>IF(NFI_Expiration=1,IF($A1194&lt;VLOOKUP(K$5,NFI,5,0),1,0)*Table_NFI[[#This Row],[Mosquito net]],Table_NFI[Mosquito net])</f>
        <v>0</v>
      </c>
      <c r="AC1194" s="352">
        <f>IF(NFI_Expiration=1,IF($A1194&lt;VLOOKUP(L$5,NFI,5,0),1,0)*Table_NFI[[#This Row],[Tarpaulin]],Table_NFI[[#This Row],[Tarpaulin]])</f>
        <v>0</v>
      </c>
      <c r="AD1194" s="352">
        <f>IF(NFI_Expiration=1,IF($A1194&lt;VLOOKUP(M$5,NFI,5,0),1,0)*Table_NFI[[#This Row],[Blanket]],Table_NFI[[#This Row],[Blanket]])</f>
        <v>0</v>
      </c>
      <c r="AE1194" s="352">
        <f>IF(NFI_Expiration=1,IF($A1194&lt;VLOOKUP(N$5,NFI,5,0),1,0)*Table_NFI[[#This Row],[Kitchen Set]],Table_NFI[Kitchen Set])</f>
        <v>0</v>
      </c>
      <c r="AF1194" s="352">
        <f>IF(NFI_Expiration=1,IF($A1194&lt;VLOOKUP(O$5,NFI,5,0),1,0)*Table_NFI[[#This Row],[Clothes Kit]],Table_NFI[Clothes Kit])</f>
        <v>0</v>
      </c>
      <c r="AG1194" s="352">
        <f>IF(NFI_Expiration=1,IF($A1194&lt;VLOOKUP(P$5,NFI,5,0),1,0)*Table_NFI[[#This Row],[Plastic Bucket]],Table_NFI[Plastic Bucket])</f>
        <v>0</v>
      </c>
      <c r="AH1194" s="352">
        <f>IF(NFI_Expiration=1,IF($A1194&lt;VLOOKUP(Q$5,NFI,5,0),1,0)*Table_NFI[[#This Row],[Plastic Mat]],Table_NFI[Plastic Mat])*IF(Table_NFI[[#This Row],[Distribution Date]]&gt;"2014-04-01",1,2.5)</f>
        <v>0</v>
      </c>
      <c r="AI1194" s="352">
        <f>IF(NFI_Expiration=1,IF($A1194&lt;VLOOKUP(R$5,NFI,5,0),1,0)*Table_NFI[[#This Row],[Winter Clothes Adult]],Table_NFI[Winter Clothes Adult])</f>
        <v>0</v>
      </c>
      <c r="AJ1194" s="352">
        <f>IF(NFI_Expiration=1,IF($A1194&lt;VLOOKUP(S$5,NFI,5,0),1,0)*Table_NFI[[#This Row],[Winter Clothes Children]],Table_NFI[Winter Clothes Children])</f>
        <v>0</v>
      </c>
      <c r="AK1194" s="352">
        <f>IF(NFI_Expiration=1,IF($A1194&lt;VLOOKUP(T$5,NFI,5,0),1,0)*Table_NFI[[#This Row],[Winter Items Other]],Table_NFI[Winter Items Other])</f>
        <v>0</v>
      </c>
      <c r="AL1194" s="352">
        <f>IF(NFI_Expiration=1,IF($A1194&lt;VLOOKUP(M$5,NFI,5,0),1,0)*Table_NFI[[#This Row],[Winter Blanket]],Table_NFI[[#This Row],[Winter Blanket]])</f>
        <v>0</v>
      </c>
      <c r="AM1194" s="352">
        <f>IF(Table_NFI[[#This Row],[Winter Clothes Adult]]+Table_NFI[[#This Row],[Winter Clothes Children]]+Table_NFI[[#This Row],[Winter Items Other]]+Table_NFI[[#This Row],[Winter Blanket]]&gt;0,1,0)</f>
        <v>0</v>
      </c>
      <c r="AN1194" s="392">
        <f>IF(NFI_Expiration=1,IF($A1194&lt;VLOOKUP(V$5,NFI,5,0),1,0)*Table_NFI[[#This Row],[Jerry Can]],Table_NFI[Jerry Can])</f>
        <v>0</v>
      </c>
      <c r="AO1194" s="540" t="str">
        <f>IFERROR(VLOOKUP(Table_NFI[[#This Row],[Camp Name]],CL,2,0),"")</f>
        <v/>
      </c>
      <c r="AP1194" s="535" t="str">
        <f ca="1">IF(Table_NFI[[#This Row],[Pcode]]="","",IF(OFFSET(CampList[Opening Date],MATCH(Table_NFI[[#This Row],[Pcode]],CampList[CP_Pcode],0)-1,0,1,1)&gt;=NFI_Monitor_Date,1,0))</f>
        <v/>
      </c>
      <c r="AQ1194" s="540" t="str">
        <f>IFERROR(VLOOKUP(Table_NFI[[#This Row],[Camp Name]],CL,3,0),"")</f>
        <v/>
      </c>
      <c r="AR1194" s="352" t="str">
        <f ca="1">IF(Table_NFI[[#This Row],[Pcode]]="","",OFFSET(CampList[Priority],MATCH(Table_NFI[[#This Row],[Pcode]],CampList[CP_Pcode],0)-1,0,1,1))</f>
        <v/>
      </c>
      <c r="AS1194" s="351" t="str">
        <f>IFERROR(Table_NFI[[#This Row],[Kitchen Set]]/VLOOKUP(Table_NFI[[#This Row],[Camp Name]],CL,4,0),"")</f>
        <v/>
      </c>
      <c r="AT1194" s="533"/>
      <c r="AU1194" s="536"/>
    </row>
    <row r="1195" spans="1:47" ht="14.45" hidden="1" customHeight="1" x14ac:dyDescent="0.25">
      <c r="A1195" s="355" t="str">
        <f t="shared" si="19"/>
        <v/>
      </c>
      <c r="B1195" s="532"/>
      <c r="C1195" s="533"/>
      <c r="D1195" s="533"/>
      <c r="E1195" s="533"/>
      <c r="F1195" s="533"/>
      <c r="G1195" s="533"/>
      <c r="H1195" s="349"/>
      <c r="I1195" s="349"/>
      <c r="J1195" s="349"/>
      <c r="K1195" s="349"/>
      <c r="L1195" s="350"/>
      <c r="M1195" s="350"/>
      <c r="N1195" s="350"/>
      <c r="O1195" s="350"/>
      <c r="P1195" s="352"/>
      <c r="Q1195" s="392"/>
      <c r="R1195" s="392"/>
      <c r="S1195" s="392"/>
      <c r="T1195" s="392"/>
      <c r="U1195" s="392"/>
      <c r="V1195" s="497"/>
      <c r="W1195" s="392"/>
      <c r="X1195" s="392"/>
      <c r="Y1195" s="352">
        <f>IF(NFI_Expiration=1,IF($A1195&lt;VLOOKUP(H$5,NFI,5,0),1,0)*Table_NFI[[#This Row],[Hygiene Kit]],Table_NFI[Hygiene Kit])</f>
        <v>0</v>
      </c>
      <c r="Z1195" s="352">
        <f>IF(NFI_Expiration=1,IF($A1195&lt;VLOOKUP(I$5,NFI,5,0),1,0)*Table_NFI[[#This Row],[NFI Core Kit]],Table_NFI[NFI Core Kit])</f>
        <v>0</v>
      </c>
      <c r="AA1195" s="352">
        <f>IF(NFI_Expiration=1,IF($A1195&lt;VLOOKUP(J$5,NFI,5,0),1,0)*Table_NFI[[#This Row],[Sanitary Kit]],Table_NFI[Sanitary Kit])</f>
        <v>0</v>
      </c>
      <c r="AB1195" s="352">
        <f>IF(NFI_Expiration=1,IF($A1195&lt;VLOOKUP(K$5,NFI,5,0),1,0)*Table_NFI[[#This Row],[Mosquito net]],Table_NFI[Mosquito net])</f>
        <v>0</v>
      </c>
      <c r="AC1195" s="352">
        <f>IF(NFI_Expiration=1,IF($A1195&lt;VLOOKUP(L$5,NFI,5,0),1,0)*Table_NFI[[#This Row],[Tarpaulin]],Table_NFI[[#This Row],[Tarpaulin]])</f>
        <v>0</v>
      </c>
      <c r="AD1195" s="352">
        <f>IF(NFI_Expiration=1,IF($A1195&lt;VLOOKUP(M$5,NFI,5,0),1,0)*Table_NFI[[#This Row],[Blanket]],Table_NFI[[#This Row],[Blanket]])</f>
        <v>0</v>
      </c>
      <c r="AE1195" s="352">
        <f>IF(NFI_Expiration=1,IF($A1195&lt;VLOOKUP(N$5,NFI,5,0),1,0)*Table_NFI[[#This Row],[Kitchen Set]],Table_NFI[Kitchen Set])</f>
        <v>0</v>
      </c>
      <c r="AF1195" s="352">
        <f>IF(NFI_Expiration=1,IF($A1195&lt;VLOOKUP(O$5,NFI,5,0),1,0)*Table_NFI[[#This Row],[Clothes Kit]],Table_NFI[Clothes Kit])</f>
        <v>0</v>
      </c>
      <c r="AG1195" s="352">
        <f>IF(NFI_Expiration=1,IF($A1195&lt;VLOOKUP(P$5,NFI,5,0),1,0)*Table_NFI[[#This Row],[Plastic Bucket]],Table_NFI[Plastic Bucket])</f>
        <v>0</v>
      </c>
      <c r="AH1195" s="352">
        <f>IF(NFI_Expiration=1,IF($A1195&lt;VLOOKUP(Q$5,NFI,5,0),1,0)*Table_NFI[[#This Row],[Plastic Mat]],Table_NFI[Plastic Mat])*IF(Table_NFI[[#This Row],[Distribution Date]]&gt;"2014-04-01",1,2.5)</f>
        <v>0</v>
      </c>
      <c r="AI1195" s="352">
        <f>IF(NFI_Expiration=1,IF($A1195&lt;VLOOKUP(R$5,NFI,5,0),1,0)*Table_NFI[[#This Row],[Winter Clothes Adult]],Table_NFI[Winter Clothes Adult])</f>
        <v>0</v>
      </c>
      <c r="AJ1195" s="352">
        <f>IF(NFI_Expiration=1,IF($A1195&lt;VLOOKUP(S$5,NFI,5,0),1,0)*Table_NFI[[#This Row],[Winter Clothes Children]],Table_NFI[Winter Clothes Children])</f>
        <v>0</v>
      </c>
      <c r="AK1195" s="352">
        <f>IF(NFI_Expiration=1,IF($A1195&lt;VLOOKUP(T$5,NFI,5,0),1,0)*Table_NFI[[#This Row],[Winter Items Other]],Table_NFI[Winter Items Other])</f>
        <v>0</v>
      </c>
      <c r="AL1195" s="352">
        <f>IF(NFI_Expiration=1,IF($A1195&lt;VLOOKUP(M$5,NFI,5,0),1,0)*Table_NFI[[#This Row],[Winter Blanket]],Table_NFI[[#This Row],[Winter Blanket]])</f>
        <v>0</v>
      </c>
      <c r="AM1195" s="352">
        <f>IF(Table_NFI[[#This Row],[Winter Clothes Adult]]+Table_NFI[[#This Row],[Winter Clothes Children]]+Table_NFI[[#This Row],[Winter Items Other]]+Table_NFI[[#This Row],[Winter Blanket]]&gt;0,1,0)</f>
        <v>0</v>
      </c>
      <c r="AN1195" s="392">
        <f>IF(NFI_Expiration=1,IF($A1195&lt;VLOOKUP(V$5,NFI,5,0),1,0)*Table_NFI[[#This Row],[Jerry Can]],Table_NFI[Jerry Can])</f>
        <v>0</v>
      </c>
      <c r="AO1195" s="540" t="str">
        <f>IFERROR(VLOOKUP(Table_NFI[[#This Row],[Camp Name]],CL,2,0),"")</f>
        <v/>
      </c>
      <c r="AP1195" s="535" t="str">
        <f ca="1">IF(Table_NFI[[#This Row],[Pcode]]="","",IF(OFFSET(CampList[Opening Date],MATCH(Table_NFI[[#This Row],[Pcode]],CampList[CP_Pcode],0)-1,0,1,1)&gt;=NFI_Monitor_Date,1,0))</f>
        <v/>
      </c>
      <c r="AQ1195" s="540" t="str">
        <f>IFERROR(VLOOKUP(Table_NFI[[#This Row],[Camp Name]],CL,3,0),"")</f>
        <v/>
      </c>
      <c r="AR1195" s="352" t="str">
        <f ca="1">IF(Table_NFI[[#This Row],[Pcode]]="","",OFFSET(CampList[Priority],MATCH(Table_NFI[[#This Row],[Pcode]],CampList[CP_Pcode],0)-1,0,1,1))</f>
        <v/>
      </c>
      <c r="AS1195" s="351" t="str">
        <f>IFERROR(Table_NFI[[#This Row],[Kitchen Set]]/VLOOKUP(Table_NFI[[#This Row],[Camp Name]],CL,4,0),"")</f>
        <v/>
      </c>
      <c r="AT1195" s="538"/>
      <c r="AU1195" s="553"/>
    </row>
    <row r="1196" spans="1:47" ht="14.45" hidden="1" customHeight="1" x14ac:dyDescent="0.25">
      <c r="A1196" s="355" t="str">
        <f t="shared" si="19"/>
        <v/>
      </c>
      <c r="B1196" s="532"/>
      <c r="C1196" s="533"/>
      <c r="D1196" s="533"/>
      <c r="E1196" s="533"/>
      <c r="F1196" s="533"/>
      <c r="G1196" s="533"/>
      <c r="H1196" s="349"/>
      <c r="I1196" s="349"/>
      <c r="J1196" s="349"/>
      <c r="K1196" s="349"/>
      <c r="L1196" s="350"/>
      <c r="M1196" s="350"/>
      <c r="N1196" s="350"/>
      <c r="O1196" s="350"/>
      <c r="P1196" s="352"/>
      <c r="Q1196" s="392"/>
      <c r="R1196" s="392"/>
      <c r="S1196" s="392"/>
      <c r="T1196" s="392"/>
      <c r="U1196" s="392"/>
      <c r="V1196" s="497"/>
      <c r="W1196" s="392"/>
      <c r="X1196" s="392"/>
      <c r="Y1196" s="352">
        <f>IF(NFI_Expiration=1,IF($A1196&lt;VLOOKUP(H$5,NFI,5,0),1,0)*Table_NFI[[#This Row],[Hygiene Kit]],Table_NFI[Hygiene Kit])</f>
        <v>0</v>
      </c>
      <c r="Z1196" s="352">
        <f>IF(NFI_Expiration=1,IF($A1196&lt;VLOOKUP(I$5,NFI,5,0),1,0)*Table_NFI[[#This Row],[NFI Core Kit]],Table_NFI[NFI Core Kit])</f>
        <v>0</v>
      </c>
      <c r="AA1196" s="352">
        <f>IF(NFI_Expiration=1,IF($A1196&lt;VLOOKUP(J$5,NFI,5,0),1,0)*Table_NFI[[#This Row],[Sanitary Kit]],Table_NFI[Sanitary Kit])</f>
        <v>0</v>
      </c>
      <c r="AB1196" s="352">
        <f>IF(NFI_Expiration=1,IF($A1196&lt;VLOOKUP(K$5,NFI,5,0),1,0)*Table_NFI[[#This Row],[Mosquito net]],Table_NFI[Mosquito net])</f>
        <v>0</v>
      </c>
      <c r="AC1196" s="352">
        <f>IF(NFI_Expiration=1,IF($A1196&lt;VLOOKUP(L$5,NFI,5,0),1,0)*Table_NFI[[#This Row],[Tarpaulin]],Table_NFI[[#This Row],[Tarpaulin]])</f>
        <v>0</v>
      </c>
      <c r="AD1196" s="352">
        <f>IF(NFI_Expiration=1,IF($A1196&lt;VLOOKUP(M$5,NFI,5,0),1,0)*Table_NFI[[#This Row],[Blanket]],Table_NFI[[#This Row],[Blanket]])</f>
        <v>0</v>
      </c>
      <c r="AE1196" s="352">
        <f>IF(NFI_Expiration=1,IF($A1196&lt;VLOOKUP(N$5,NFI,5,0),1,0)*Table_NFI[[#This Row],[Kitchen Set]],Table_NFI[Kitchen Set])</f>
        <v>0</v>
      </c>
      <c r="AF1196" s="352">
        <f>IF(NFI_Expiration=1,IF($A1196&lt;VLOOKUP(O$5,NFI,5,0),1,0)*Table_NFI[[#This Row],[Clothes Kit]],Table_NFI[Clothes Kit])</f>
        <v>0</v>
      </c>
      <c r="AG1196" s="352">
        <f>IF(NFI_Expiration=1,IF($A1196&lt;VLOOKUP(P$5,NFI,5,0),1,0)*Table_NFI[[#This Row],[Plastic Bucket]],Table_NFI[Plastic Bucket])</f>
        <v>0</v>
      </c>
      <c r="AH1196" s="352">
        <f>IF(NFI_Expiration=1,IF($A1196&lt;VLOOKUP(Q$5,NFI,5,0),1,0)*Table_NFI[[#This Row],[Plastic Mat]],Table_NFI[Plastic Mat])*IF(Table_NFI[[#This Row],[Distribution Date]]&gt;"2014-04-01",1,2.5)</f>
        <v>0</v>
      </c>
      <c r="AI1196" s="352">
        <f>IF(NFI_Expiration=1,IF($A1196&lt;VLOOKUP(R$5,NFI,5,0),1,0)*Table_NFI[[#This Row],[Winter Clothes Adult]],Table_NFI[Winter Clothes Adult])</f>
        <v>0</v>
      </c>
      <c r="AJ1196" s="352">
        <f>IF(NFI_Expiration=1,IF($A1196&lt;VLOOKUP(S$5,NFI,5,0),1,0)*Table_NFI[[#This Row],[Winter Clothes Children]],Table_NFI[Winter Clothes Children])</f>
        <v>0</v>
      </c>
      <c r="AK1196" s="352">
        <f>IF(NFI_Expiration=1,IF($A1196&lt;VLOOKUP(T$5,NFI,5,0),1,0)*Table_NFI[[#This Row],[Winter Items Other]],Table_NFI[Winter Items Other])</f>
        <v>0</v>
      </c>
      <c r="AL1196" s="352">
        <f>IF(NFI_Expiration=1,IF($A1196&lt;VLOOKUP(M$5,NFI,5,0),1,0)*Table_NFI[[#This Row],[Winter Blanket]],Table_NFI[[#This Row],[Winter Blanket]])</f>
        <v>0</v>
      </c>
      <c r="AM1196" s="352">
        <f>IF(Table_NFI[[#This Row],[Winter Clothes Adult]]+Table_NFI[[#This Row],[Winter Clothes Children]]+Table_NFI[[#This Row],[Winter Items Other]]+Table_NFI[[#This Row],[Winter Blanket]]&gt;0,1,0)</f>
        <v>0</v>
      </c>
      <c r="AN1196" s="392">
        <f>IF(NFI_Expiration=1,IF($A1196&lt;VLOOKUP(V$5,NFI,5,0),1,0)*Table_NFI[[#This Row],[Jerry Can]],Table_NFI[Jerry Can])</f>
        <v>0</v>
      </c>
      <c r="AO1196" s="540" t="str">
        <f>IFERROR(VLOOKUP(Table_NFI[[#This Row],[Camp Name]],CL,2,0),"")</f>
        <v/>
      </c>
      <c r="AP1196" s="535" t="str">
        <f ca="1">IF(Table_NFI[[#This Row],[Pcode]]="","",IF(OFFSET(CampList[Opening Date],MATCH(Table_NFI[[#This Row],[Pcode]],CampList[CP_Pcode],0)-1,0,1,1)&gt;=NFI_Monitor_Date,1,0))</f>
        <v/>
      </c>
      <c r="AQ1196" s="540" t="str">
        <f>IFERROR(VLOOKUP(Table_NFI[[#This Row],[Camp Name]],CL,3,0),"")</f>
        <v/>
      </c>
      <c r="AR1196" s="352" t="str">
        <f ca="1">IF(Table_NFI[[#This Row],[Pcode]]="","",OFFSET(CampList[Priority],MATCH(Table_NFI[[#This Row],[Pcode]],CampList[CP_Pcode],0)-1,0,1,1))</f>
        <v/>
      </c>
      <c r="AS1196" s="351" t="str">
        <f>IFERROR(Table_NFI[[#This Row],[Kitchen Set]]/VLOOKUP(Table_NFI[[#This Row],[Camp Name]],CL,4,0),"")</f>
        <v/>
      </c>
      <c r="AT1196" s="538"/>
      <c r="AU1196" s="553"/>
    </row>
    <row r="1197" spans="1:47" ht="14.45" hidden="1" customHeight="1" x14ac:dyDescent="0.25">
      <c r="A1197" s="355" t="str">
        <f t="shared" si="19"/>
        <v/>
      </c>
      <c r="B1197" s="532"/>
      <c r="C1197" s="533"/>
      <c r="D1197" s="533"/>
      <c r="E1197" s="533"/>
      <c r="F1197" s="533"/>
      <c r="G1197" s="533"/>
      <c r="H1197" s="349"/>
      <c r="I1197" s="352"/>
      <c r="J1197" s="349"/>
      <c r="K1197" s="349"/>
      <c r="L1197" s="350"/>
      <c r="M1197" s="350"/>
      <c r="N1197" s="350"/>
      <c r="O1197" s="350"/>
      <c r="P1197" s="352"/>
      <c r="Q1197" s="558"/>
      <c r="R1197" s="558"/>
      <c r="S1197" s="558"/>
      <c r="T1197" s="558"/>
      <c r="U1197" s="558"/>
      <c r="V1197" s="497"/>
      <c r="W1197" s="558"/>
      <c r="X1197" s="558"/>
      <c r="Y1197" s="352">
        <f>IF(NFI_Expiration=1,IF($A1197&lt;VLOOKUP(H$5,NFI,5,0),1,0)*Table_NFI[[#This Row],[Hygiene Kit]],Table_NFI[Hygiene Kit])</f>
        <v>0</v>
      </c>
      <c r="Z1197" s="352">
        <f>IF(NFI_Expiration=1,IF($A1197&lt;VLOOKUP(I$5,NFI,5,0),1,0)*Table_NFI[[#This Row],[NFI Core Kit]],Table_NFI[NFI Core Kit])</f>
        <v>0</v>
      </c>
      <c r="AA1197" s="352">
        <f>IF(NFI_Expiration=1,IF($A1197&lt;VLOOKUP(J$5,NFI,5,0),1,0)*Table_NFI[[#This Row],[Sanitary Kit]],Table_NFI[Sanitary Kit])</f>
        <v>0</v>
      </c>
      <c r="AB1197" s="352">
        <f>IF(NFI_Expiration=1,IF($A1197&lt;VLOOKUP(K$5,NFI,5,0),1,0)*Table_NFI[[#This Row],[Mosquito net]],Table_NFI[Mosquito net])</f>
        <v>0</v>
      </c>
      <c r="AC1197" s="352">
        <f>IF(NFI_Expiration=1,IF($A1197&lt;VLOOKUP(L$5,NFI,5,0),1,0)*Table_NFI[[#This Row],[Tarpaulin]],Table_NFI[[#This Row],[Tarpaulin]])</f>
        <v>0</v>
      </c>
      <c r="AD1197" s="352">
        <f>IF(NFI_Expiration=1,IF($A1197&lt;VLOOKUP(M$5,NFI,5,0),1,0)*Table_NFI[[#This Row],[Blanket]],Table_NFI[[#This Row],[Blanket]])</f>
        <v>0</v>
      </c>
      <c r="AE1197" s="352">
        <f>IF(NFI_Expiration=1,IF($A1197&lt;VLOOKUP(N$5,NFI,5,0),1,0)*Table_NFI[[#This Row],[Kitchen Set]],Table_NFI[Kitchen Set])</f>
        <v>0</v>
      </c>
      <c r="AF1197" s="352">
        <f>IF(NFI_Expiration=1,IF($A1197&lt;VLOOKUP(O$5,NFI,5,0),1,0)*Table_NFI[[#This Row],[Clothes Kit]],Table_NFI[Clothes Kit])</f>
        <v>0</v>
      </c>
      <c r="AG1197" s="352">
        <f>IF(NFI_Expiration=1,IF($A1197&lt;VLOOKUP(P$5,NFI,5,0),1,0)*Table_NFI[[#This Row],[Plastic Bucket]],Table_NFI[Plastic Bucket])</f>
        <v>0</v>
      </c>
      <c r="AH1197" s="352">
        <f>IF(NFI_Expiration=1,IF($A1197&lt;VLOOKUP(Q$5,NFI,5,0),1,0)*Table_NFI[[#This Row],[Plastic Mat]],Table_NFI[Plastic Mat])*IF(Table_NFI[[#This Row],[Distribution Date]]&gt;"2014-04-01",1,2.5)</f>
        <v>0</v>
      </c>
      <c r="AI1197" s="352">
        <f>IF(NFI_Expiration=1,IF($A1197&lt;VLOOKUP(R$5,NFI,5,0),1,0)*Table_NFI[[#This Row],[Winter Clothes Adult]],Table_NFI[Winter Clothes Adult])</f>
        <v>0</v>
      </c>
      <c r="AJ1197" s="352">
        <f>IF(NFI_Expiration=1,IF($A1197&lt;VLOOKUP(S$5,NFI,5,0),1,0)*Table_NFI[[#This Row],[Winter Clothes Children]],Table_NFI[Winter Clothes Children])</f>
        <v>0</v>
      </c>
      <c r="AK1197" s="352">
        <f>IF(NFI_Expiration=1,IF($A1197&lt;VLOOKUP(T$5,NFI,5,0),1,0)*Table_NFI[[#This Row],[Winter Items Other]],Table_NFI[Winter Items Other])</f>
        <v>0</v>
      </c>
      <c r="AL1197" s="352">
        <f>IF(NFI_Expiration=1,IF($A1197&lt;VLOOKUP(M$5,NFI,5,0),1,0)*Table_NFI[[#This Row],[Winter Blanket]],Table_NFI[[#This Row],[Winter Blanket]])</f>
        <v>0</v>
      </c>
      <c r="AM1197" s="352">
        <f>IF(Table_NFI[[#This Row],[Winter Clothes Adult]]+Table_NFI[[#This Row],[Winter Clothes Children]]+Table_NFI[[#This Row],[Winter Items Other]]+Table_NFI[[#This Row],[Winter Blanket]]&gt;0,1,0)</f>
        <v>0</v>
      </c>
      <c r="AN1197" s="392">
        <f>IF(NFI_Expiration=1,IF($A1197&lt;VLOOKUP(V$5,NFI,5,0),1,0)*Table_NFI[[#This Row],[Jerry Can]],Table_NFI[Jerry Can])</f>
        <v>0</v>
      </c>
      <c r="AO1197" s="540" t="str">
        <f>IFERROR(VLOOKUP(Table_NFI[[#This Row],[Camp Name]],CL,2,0),"")</f>
        <v/>
      </c>
      <c r="AP1197" s="535" t="str">
        <f ca="1">IF(Table_NFI[[#This Row],[Pcode]]="","",IF(OFFSET(CampList[Opening Date],MATCH(Table_NFI[[#This Row],[Pcode]],CampList[CP_Pcode],0)-1,0,1,1)&gt;=NFI_Monitor_Date,1,0))</f>
        <v/>
      </c>
      <c r="AQ1197" s="540" t="str">
        <f>IFERROR(VLOOKUP(Table_NFI[[#This Row],[Camp Name]],CL,3,0),"")</f>
        <v/>
      </c>
      <c r="AR1197" s="352" t="str">
        <f ca="1">IF(Table_NFI[[#This Row],[Pcode]]="","",OFFSET(CampList[Priority],MATCH(Table_NFI[[#This Row],[Pcode]],CampList[CP_Pcode],0)-1,0,1,1))</f>
        <v/>
      </c>
      <c r="AS1197" s="351" t="str">
        <f>IFERROR(Table_NFI[[#This Row],[Kitchen Set]]/VLOOKUP(Table_NFI[[#This Row],[Camp Name]],CL,4,0),"")</f>
        <v/>
      </c>
      <c r="AT1197" s="533"/>
      <c r="AU1197" s="536"/>
    </row>
    <row r="1198" spans="1:47" ht="14.45" hidden="1" customHeight="1" x14ac:dyDescent="0.25">
      <c r="A1198" s="355" t="str">
        <f t="shared" si="19"/>
        <v/>
      </c>
      <c r="B1198" s="532"/>
      <c r="C1198" s="538"/>
      <c r="D1198" s="538"/>
      <c r="E1198" s="538"/>
      <c r="F1198" s="538"/>
      <c r="G1198" s="538"/>
      <c r="H1198" s="350"/>
      <c r="I1198" s="350"/>
      <c r="J1198" s="350"/>
      <c r="K1198" s="350"/>
      <c r="L1198" s="350"/>
      <c r="M1198" s="350"/>
      <c r="N1198" s="350"/>
      <c r="O1198" s="350"/>
      <c r="P1198" s="352"/>
      <c r="Q1198" s="558"/>
      <c r="R1198" s="558"/>
      <c r="S1198" s="558"/>
      <c r="T1198" s="558"/>
      <c r="U1198" s="558"/>
      <c r="V1198" s="497"/>
      <c r="W1198" s="558"/>
      <c r="X1198" s="558"/>
      <c r="Y1198" s="352">
        <f>IF(NFI_Expiration=1,IF($A1198&lt;VLOOKUP(H$5,NFI,5,0),1,0)*Table_NFI[[#This Row],[Hygiene Kit]],Table_NFI[Hygiene Kit])</f>
        <v>0</v>
      </c>
      <c r="Z1198" s="352">
        <f>IF(NFI_Expiration=1,IF($A1198&lt;VLOOKUP(I$5,NFI,5,0),1,0)*Table_NFI[[#This Row],[NFI Core Kit]],Table_NFI[NFI Core Kit])</f>
        <v>0</v>
      </c>
      <c r="AA1198" s="352">
        <f>IF(NFI_Expiration=1,IF($A1198&lt;VLOOKUP(J$5,NFI,5,0),1,0)*Table_NFI[[#This Row],[Sanitary Kit]],Table_NFI[Sanitary Kit])</f>
        <v>0</v>
      </c>
      <c r="AB1198" s="352">
        <f>IF(NFI_Expiration=1,IF($A1198&lt;VLOOKUP(K$5,NFI,5,0),1,0)*Table_NFI[[#This Row],[Mosquito net]],Table_NFI[Mosquito net])</f>
        <v>0</v>
      </c>
      <c r="AC1198" s="352">
        <f>IF(NFI_Expiration=1,IF($A1198&lt;VLOOKUP(L$5,NFI,5,0),1,0)*Table_NFI[[#This Row],[Tarpaulin]],Table_NFI[[#This Row],[Tarpaulin]])</f>
        <v>0</v>
      </c>
      <c r="AD1198" s="352">
        <f>IF(NFI_Expiration=1,IF($A1198&lt;VLOOKUP(M$5,NFI,5,0),1,0)*Table_NFI[[#This Row],[Blanket]],Table_NFI[[#This Row],[Blanket]])</f>
        <v>0</v>
      </c>
      <c r="AE1198" s="352">
        <f>IF(NFI_Expiration=1,IF($A1198&lt;VLOOKUP(N$5,NFI,5,0),1,0)*Table_NFI[[#This Row],[Kitchen Set]],Table_NFI[Kitchen Set])</f>
        <v>0</v>
      </c>
      <c r="AF1198" s="352">
        <f>IF(NFI_Expiration=1,IF($A1198&lt;VLOOKUP(O$5,NFI,5,0),1,0)*Table_NFI[[#This Row],[Clothes Kit]],Table_NFI[Clothes Kit])</f>
        <v>0</v>
      </c>
      <c r="AG1198" s="352">
        <f>IF(NFI_Expiration=1,IF($A1198&lt;VLOOKUP(P$5,NFI,5,0),1,0)*Table_NFI[[#This Row],[Plastic Bucket]],Table_NFI[Plastic Bucket])</f>
        <v>0</v>
      </c>
      <c r="AH1198" s="352">
        <f>IF(NFI_Expiration=1,IF($A1198&lt;VLOOKUP(Q$5,NFI,5,0),1,0)*Table_NFI[[#This Row],[Plastic Mat]],Table_NFI[Plastic Mat])*IF(Table_NFI[[#This Row],[Distribution Date]]&gt;"2014-04-01",1,2.5)</f>
        <v>0</v>
      </c>
      <c r="AI1198" s="352">
        <f>IF(NFI_Expiration=1,IF($A1198&lt;VLOOKUP(R$5,NFI,5,0),1,0)*Table_NFI[[#This Row],[Winter Clothes Adult]],Table_NFI[Winter Clothes Adult])</f>
        <v>0</v>
      </c>
      <c r="AJ1198" s="352">
        <f>IF(NFI_Expiration=1,IF($A1198&lt;VLOOKUP(S$5,NFI,5,0),1,0)*Table_NFI[[#This Row],[Winter Clothes Children]],Table_NFI[Winter Clothes Children])</f>
        <v>0</v>
      </c>
      <c r="AK1198" s="352">
        <f>IF(NFI_Expiration=1,IF($A1198&lt;VLOOKUP(T$5,NFI,5,0),1,0)*Table_NFI[[#This Row],[Winter Items Other]],Table_NFI[Winter Items Other])</f>
        <v>0</v>
      </c>
      <c r="AL1198" s="352">
        <f>IF(NFI_Expiration=1,IF($A1198&lt;VLOOKUP(M$5,NFI,5,0),1,0)*Table_NFI[[#This Row],[Winter Blanket]],Table_NFI[[#This Row],[Winter Blanket]])</f>
        <v>0</v>
      </c>
      <c r="AM1198" s="352">
        <f>IF(Table_NFI[[#This Row],[Winter Clothes Adult]]+Table_NFI[[#This Row],[Winter Clothes Children]]+Table_NFI[[#This Row],[Winter Items Other]]+Table_NFI[[#This Row],[Winter Blanket]]&gt;0,1,0)</f>
        <v>0</v>
      </c>
      <c r="AN1198" s="392">
        <f>IF(NFI_Expiration=1,IF($A1198&lt;VLOOKUP(V$5,NFI,5,0),1,0)*Table_NFI[[#This Row],[Jerry Can]],Table_NFI[Jerry Can])</f>
        <v>0</v>
      </c>
      <c r="AO1198" s="540" t="str">
        <f>IFERROR(VLOOKUP(Table_NFI[[#This Row],[Camp Name]],CL,2,0),"")</f>
        <v/>
      </c>
      <c r="AP1198" s="535" t="str">
        <f ca="1">IF(Table_NFI[[#This Row],[Pcode]]="","",IF(OFFSET(CampList[Opening Date],MATCH(Table_NFI[[#This Row],[Pcode]],CampList[CP_Pcode],0)-1,0,1,1)&gt;=NFI_Monitor_Date,1,0))</f>
        <v/>
      </c>
      <c r="AQ1198" s="540" t="str">
        <f>IFERROR(VLOOKUP(Table_NFI[[#This Row],[Camp Name]],CL,3,0),"")</f>
        <v/>
      </c>
      <c r="AR1198" s="352" t="str">
        <f ca="1">IF(Table_NFI[[#This Row],[Pcode]]="","",OFFSET(CampList[Priority],MATCH(Table_NFI[[#This Row],[Pcode]],CampList[CP_Pcode],0)-1,0,1,1))</f>
        <v/>
      </c>
      <c r="AS1198" s="351" t="str">
        <f>IFERROR(Table_NFI[[#This Row],[Kitchen Set]]/VLOOKUP(Table_NFI[[#This Row],[Camp Name]],CL,4,0),"")</f>
        <v/>
      </c>
      <c r="AT1198" s="538"/>
      <c r="AU1198" s="541"/>
    </row>
    <row r="1199" spans="1:47" ht="14.45" hidden="1" customHeight="1" x14ac:dyDescent="0.25">
      <c r="A1199" s="355" t="str">
        <f t="shared" si="19"/>
        <v/>
      </c>
      <c r="B1199" s="532"/>
      <c r="C1199" s="538"/>
      <c r="D1199" s="538"/>
      <c r="E1199" s="538"/>
      <c r="F1199" s="538"/>
      <c r="G1199" s="538"/>
      <c r="H1199" s="350"/>
      <c r="I1199" s="350"/>
      <c r="J1199" s="350"/>
      <c r="K1199" s="350"/>
      <c r="L1199" s="350"/>
      <c r="M1199" s="350"/>
      <c r="N1199" s="350"/>
      <c r="O1199" s="350"/>
      <c r="P1199" s="352"/>
      <c r="Q1199" s="558"/>
      <c r="R1199" s="558"/>
      <c r="S1199" s="558"/>
      <c r="T1199" s="558"/>
      <c r="U1199" s="558"/>
      <c r="V1199" s="497"/>
      <c r="W1199" s="558"/>
      <c r="X1199" s="558"/>
      <c r="Y1199" s="352">
        <f>IF(NFI_Expiration=1,IF($A1199&lt;VLOOKUP(H$5,NFI,5,0),1,0)*Table_NFI[[#This Row],[Hygiene Kit]],Table_NFI[Hygiene Kit])</f>
        <v>0</v>
      </c>
      <c r="Z1199" s="352">
        <f>IF(NFI_Expiration=1,IF($A1199&lt;VLOOKUP(I$5,NFI,5,0),1,0)*Table_NFI[[#This Row],[NFI Core Kit]],Table_NFI[NFI Core Kit])</f>
        <v>0</v>
      </c>
      <c r="AA1199" s="352">
        <f>IF(NFI_Expiration=1,IF($A1199&lt;VLOOKUP(J$5,NFI,5,0),1,0)*Table_NFI[[#This Row],[Sanitary Kit]],Table_NFI[Sanitary Kit])</f>
        <v>0</v>
      </c>
      <c r="AB1199" s="352">
        <f>IF(NFI_Expiration=1,IF($A1199&lt;VLOOKUP(K$5,NFI,5,0),1,0)*Table_NFI[[#This Row],[Mosquito net]],Table_NFI[Mosquito net])</f>
        <v>0</v>
      </c>
      <c r="AC1199" s="352">
        <f>IF(NFI_Expiration=1,IF($A1199&lt;VLOOKUP(L$5,NFI,5,0),1,0)*Table_NFI[[#This Row],[Tarpaulin]],Table_NFI[[#This Row],[Tarpaulin]])</f>
        <v>0</v>
      </c>
      <c r="AD1199" s="352">
        <f>IF(NFI_Expiration=1,IF($A1199&lt;VLOOKUP(M$5,NFI,5,0),1,0)*Table_NFI[[#This Row],[Blanket]],Table_NFI[[#This Row],[Blanket]])</f>
        <v>0</v>
      </c>
      <c r="AE1199" s="352">
        <f>IF(NFI_Expiration=1,IF($A1199&lt;VLOOKUP(N$5,NFI,5,0),1,0)*Table_NFI[[#This Row],[Kitchen Set]],Table_NFI[Kitchen Set])</f>
        <v>0</v>
      </c>
      <c r="AF1199" s="352">
        <f>IF(NFI_Expiration=1,IF($A1199&lt;VLOOKUP(O$5,NFI,5,0),1,0)*Table_NFI[[#This Row],[Clothes Kit]],Table_NFI[Clothes Kit])</f>
        <v>0</v>
      </c>
      <c r="AG1199" s="352">
        <f>IF(NFI_Expiration=1,IF($A1199&lt;VLOOKUP(P$5,NFI,5,0),1,0)*Table_NFI[[#This Row],[Plastic Bucket]],Table_NFI[Plastic Bucket])</f>
        <v>0</v>
      </c>
      <c r="AH1199" s="352">
        <f>IF(NFI_Expiration=1,IF($A1199&lt;VLOOKUP(Q$5,NFI,5,0),1,0)*Table_NFI[[#This Row],[Plastic Mat]],Table_NFI[Plastic Mat])*IF(Table_NFI[[#This Row],[Distribution Date]]&gt;"2014-04-01",1,2.5)</f>
        <v>0</v>
      </c>
      <c r="AI1199" s="352">
        <f>IF(NFI_Expiration=1,IF($A1199&lt;VLOOKUP(R$5,NFI,5,0),1,0)*Table_NFI[[#This Row],[Winter Clothes Adult]],Table_NFI[Winter Clothes Adult])</f>
        <v>0</v>
      </c>
      <c r="AJ1199" s="352">
        <f>IF(NFI_Expiration=1,IF($A1199&lt;VLOOKUP(S$5,NFI,5,0),1,0)*Table_NFI[[#This Row],[Winter Clothes Children]],Table_NFI[Winter Clothes Children])</f>
        <v>0</v>
      </c>
      <c r="AK1199" s="352">
        <f>IF(NFI_Expiration=1,IF($A1199&lt;VLOOKUP(T$5,NFI,5,0),1,0)*Table_NFI[[#This Row],[Winter Items Other]],Table_NFI[Winter Items Other])</f>
        <v>0</v>
      </c>
      <c r="AL1199" s="352">
        <f>IF(NFI_Expiration=1,IF($A1199&lt;VLOOKUP(M$5,NFI,5,0),1,0)*Table_NFI[[#This Row],[Winter Blanket]],Table_NFI[[#This Row],[Winter Blanket]])</f>
        <v>0</v>
      </c>
      <c r="AM1199" s="352">
        <f>IF(Table_NFI[[#This Row],[Winter Clothes Adult]]+Table_NFI[[#This Row],[Winter Clothes Children]]+Table_NFI[[#This Row],[Winter Items Other]]+Table_NFI[[#This Row],[Winter Blanket]]&gt;0,1,0)</f>
        <v>0</v>
      </c>
      <c r="AN1199" s="392">
        <f>IF(NFI_Expiration=1,IF($A1199&lt;VLOOKUP(V$5,NFI,5,0),1,0)*Table_NFI[[#This Row],[Jerry Can]],Table_NFI[Jerry Can])</f>
        <v>0</v>
      </c>
      <c r="AO1199" s="540" t="str">
        <f>IFERROR(VLOOKUP(Table_NFI[[#This Row],[Camp Name]],CL,2,0),"")</f>
        <v/>
      </c>
      <c r="AP1199" s="535" t="str">
        <f ca="1">IF(Table_NFI[[#This Row],[Pcode]]="","",IF(OFFSET(CampList[Opening Date],MATCH(Table_NFI[[#This Row],[Pcode]],CampList[CP_Pcode],0)-1,0,1,1)&gt;=NFI_Monitor_Date,1,0))</f>
        <v/>
      </c>
      <c r="AQ1199" s="540" t="str">
        <f>IFERROR(VLOOKUP(Table_NFI[[#This Row],[Camp Name]],CL,3,0),"")</f>
        <v/>
      </c>
      <c r="AR1199" s="352" t="str">
        <f ca="1">IF(Table_NFI[[#This Row],[Pcode]]="","",OFFSET(CampList[Priority],MATCH(Table_NFI[[#This Row],[Pcode]],CampList[CP_Pcode],0)-1,0,1,1))</f>
        <v/>
      </c>
      <c r="AS1199" s="351" t="str">
        <f>IFERROR(Table_NFI[[#This Row],[Kitchen Set]]/VLOOKUP(Table_NFI[[#This Row],[Camp Name]],CL,4,0),"")</f>
        <v/>
      </c>
      <c r="AT1199" s="538"/>
      <c r="AU1199" s="536"/>
    </row>
    <row r="1200" spans="1:47" ht="14.45" hidden="1" customHeight="1" x14ac:dyDescent="0.25">
      <c r="A1200" s="355" t="str">
        <f t="shared" si="19"/>
        <v/>
      </c>
      <c r="B1200" s="532"/>
      <c r="C1200" s="538"/>
      <c r="D1200" s="538"/>
      <c r="E1200" s="538"/>
      <c r="F1200" s="538"/>
      <c r="G1200" s="538"/>
      <c r="H1200" s="350"/>
      <c r="I1200" s="350"/>
      <c r="J1200" s="350"/>
      <c r="K1200" s="350"/>
      <c r="L1200" s="350"/>
      <c r="M1200" s="350"/>
      <c r="N1200" s="350"/>
      <c r="O1200" s="350"/>
      <c r="P1200" s="352"/>
      <c r="Q1200" s="558"/>
      <c r="R1200" s="558"/>
      <c r="S1200" s="558"/>
      <c r="T1200" s="558"/>
      <c r="U1200" s="558"/>
      <c r="V1200" s="497"/>
      <c r="W1200" s="558"/>
      <c r="X1200" s="558"/>
      <c r="Y1200" s="352">
        <f>IF(NFI_Expiration=1,IF($A1200&lt;VLOOKUP(H$5,NFI,5,0),1,0)*Table_NFI[[#This Row],[Hygiene Kit]],Table_NFI[Hygiene Kit])</f>
        <v>0</v>
      </c>
      <c r="Z1200" s="352">
        <f>IF(NFI_Expiration=1,IF($A1200&lt;VLOOKUP(I$5,NFI,5,0),1,0)*Table_NFI[[#This Row],[NFI Core Kit]],Table_NFI[NFI Core Kit])</f>
        <v>0</v>
      </c>
      <c r="AA1200" s="352">
        <f>IF(NFI_Expiration=1,IF($A1200&lt;VLOOKUP(J$5,NFI,5,0),1,0)*Table_NFI[[#This Row],[Sanitary Kit]],Table_NFI[Sanitary Kit])</f>
        <v>0</v>
      </c>
      <c r="AB1200" s="352">
        <f>IF(NFI_Expiration=1,IF($A1200&lt;VLOOKUP(K$5,NFI,5,0),1,0)*Table_NFI[[#This Row],[Mosquito net]],Table_NFI[Mosquito net])</f>
        <v>0</v>
      </c>
      <c r="AC1200" s="352">
        <f>IF(NFI_Expiration=1,IF($A1200&lt;VLOOKUP(L$5,NFI,5,0),1,0)*Table_NFI[[#This Row],[Tarpaulin]],Table_NFI[[#This Row],[Tarpaulin]])</f>
        <v>0</v>
      </c>
      <c r="AD1200" s="352">
        <f>IF(NFI_Expiration=1,IF($A1200&lt;VLOOKUP(M$5,NFI,5,0),1,0)*Table_NFI[[#This Row],[Blanket]],Table_NFI[[#This Row],[Blanket]])</f>
        <v>0</v>
      </c>
      <c r="AE1200" s="352">
        <f>IF(NFI_Expiration=1,IF($A1200&lt;VLOOKUP(N$5,NFI,5,0),1,0)*Table_NFI[[#This Row],[Kitchen Set]],Table_NFI[Kitchen Set])</f>
        <v>0</v>
      </c>
      <c r="AF1200" s="352">
        <f>IF(NFI_Expiration=1,IF($A1200&lt;VLOOKUP(O$5,NFI,5,0),1,0)*Table_NFI[[#This Row],[Clothes Kit]],Table_NFI[Clothes Kit])</f>
        <v>0</v>
      </c>
      <c r="AG1200" s="352">
        <f>IF(NFI_Expiration=1,IF($A1200&lt;VLOOKUP(P$5,NFI,5,0),1,0)*Table_NFI[[#This Row],[Plastic Bucket]],Table_NFI[Plastic Bucket])</f>
        <v>0</v>
      </c>
      <c r="AH1200" s="352">
        <f>IF(NFI_Expiration=1,IF($A1200&lt;VLOOKUP(Q$5,NFI,5,0),1,0)*Table_NFI[[#This Row],[Plastic Mat]],Table_NFI[Plastic Mat])*IF(Table_NFI[[#This Row],[Distribution Date]]&gt;"2014-04-01",1,2.5)</f>
        <v>0</v>
      </c>
      <c r="AI1200" s="352">
        <f>IF(NFI_Expiration=1,IF($A1200&lt;VLOOKUP(R$5,NFI,5,0),1,0)*Table_NFI[[#This Row],[Winter Clothes Adult]],Table_NFI[Winter Clothes Adult])</f>
        <v>0</v>
      </c>
      <c r="AJ1200" s="352">
        <f>IF(NFI_Expiration=1,IF($A1200&lt;VLOOKUP(S$5,NFI,5,0),1,0)*Table_NFI[[#This Row],[Winter Clothes Children]],Table_NFI[Winter Clothes Children])</f>
        <v>0</v>
      </c>
      <c r="AK1200" s="352">
        <f>IF(NFI_Expiration=1,IF($A1200&lt;VLOOKUP(T$5,NFI,5,0),1,0)*Table_NFI[[#This Row],[Winter Items Other]],Table_NFI[Winter Items Other])</f>
        <v>0</v>
      </c>
      <c r="AL1200" s="352">
        <f>IF(NFI_Expiration=1,IF($A1200&lt;VLOOKUP(M$5,NFI,5,0),1,0)*Table_NFI[[#This Row],[Winter Blanket]],Table_NFI[[#This Row],[Winter Blanket]])</f>
        <v>0</v>
      </c>
      <c r="AM1200" s="352">
        <f>IF(Table_NFI[[#This Row],[Winter Clothes Adult]]+Table_NFI[[#This Row],[Winter Clothes Children]]+Table_NFI[[#This Row],[Winter Items Other]]+Table_NFI[[#This Row],[Winter Blanket]]&gt;0,1,0)</f>
        <v>0</v>
      </c>
      <c r="AN1200" s="392">
        <f>IF(NFI_Expiration=1,IF($A1200&lt;VLOOKUP(V$5,NFI,5,0),1,0)*Table_NFI[[#This Row],[Jerry Can]],Table_NFI[Jerry Can])</f>
        <v>0</v>
      </c>
      <c r="AO1200" s="540" t="str">
        <f>IFERROR(VLOOKUP(Table_NFI[[#This Row],[Camp Name]],CL,2,0),"")</f>
        <v/>
      </c>
      <c r="AP1200" s="535" t="str">
        <f ca="1">IF(Table_NFI[[#This Row],[Pcode]]="","",IF(OFFSET(CampList[Opening Date],MATCH(Table_NFI[[#This Row],[Pcode]],CampList[CP_Pcode],0)-1,0,1,1)&gt;=NFI_Monitor_Date,1,0))</f>
        <v/>
      </c>
      <c r="AQ1200" s="540" t="str">
        <f>IFERROR(VLOOKUP(Table_NFI[[#This Row],[Camp Name]],CL,3,0),"")</f>
        <v/>
      </c>
      <c r="AR1200" s="352" t="str">
        <f ca="1">IF(Table_NFI[[#This Row],[Pcode]]="","",OFFSET(CampList[Priority],MATCH(Table_NFI[[#This Row],[Pcode]],CampList[CP_Pcode],0)-1,0,1,1))</f>
        <v/>
      </c>
      <c r="AS1200" s="351" t="str">
        <f>IFERROR(Table_NFI[[#This Row],[Kitchen Set]]/VLOOKUP(Table_NFI[[#This Row],[Camp Name]],CL,4,0),"")</f>
        <v/>
      </c>
      <c r="AT1200" s="533"/>
      <c r="AU1200" s="536"/>
    </row>
    <row r="1201" spans="1:47" ht="14.45" hidden="1" customHeight="1" x14ac:dyDescent="0.25">
      <c r="A1201" s="355" t="str">
        <f t="shared" si="19"/>
        <v/>
      </c>
      <c r="B1201" s="532"/>
      <c r="C1201" s="538"/>
      <c r="D1201" s="538"/>
      <c r="E1201" s="538"/>
      <c r="F1201" s="538"/>
      <c r="G1201" s="538"/>
      <c r="H1201" s="350"/>
      <c r="I1201" s="350"/>
      <c r="J1201" s="350"/>
      <c r="K1201" s="350"/>
      <c r="L1201" s="350"/>
      <c r="M1201" s="350"/>
      <c r="N1201" s="350"/>
      <c r="O1201" s="350"/>
      <c r="P1201" s="352"/>
      <c r="Q1201" s="558"/>
      <c r="R1201" s="558"/>
      <c r="S1201" s="558"/>
      <c r="T1201" s="558"/>
      <c r="U1201" s="558"/>
      <c r="V1201" s="497"/>
      <c r="W1201" s="558"/>
      <c r="X1201" s="558"/>
      <c r="Y1201" s="352">
        <f>IF(NFI_Expiration=1,IF($A1201&lt;VLOOKUP(H$5,NFI,5,0),1,0)*Table_NFI[[#This Row],[Hygiene Kit]],Table_NFI[Hygiene Kit])</f>
        <v>0</v>
      </c>
      <c r="Z1201" s="352">
        <f>IF(NFI_Expiration=1,IF($A1201&lt;VLOOKUP(I$5,NFI,5,0),1,0)*Table_NFI[[#This Row],[NFI Core Kit]],Table_NFI[NFI Core Kit])</f>
        <v>0</v>
      </c>
      <c r="AA1201" s="352">
        <f>IF(NFI_Expiration=1,IF($A1201&lt;VLOOKUP(J$5,NFI,5,0),1,0)*Table_NFI[[#This Row],[Sanitary Kit]],Table_NFI[Sanitary Kit])</f>
        <v>0</v>
      </c>
      <c r="AB1201" s="352">
        <f>IF(NFI_Expiration=1,IF($A1201&lt;VLOOKUP(K$5,NFI,5,0),1,0)*Table_NFI[[#This Row],[Mosquito net]],Table_NFI[Mosquito net])</f>
        <v>0</v>
      </c>
      <c r="AC1201" s="352">
        <f>IF(NFI_Expiration=1,IF($A1201&lt;VLOOKUP(L$5,NFI,5,0),1,0)*Table_NFI[[#This Row],[Tarpaulin]],Table_NFI[[#This Row],[Tarpaulin]])</f>
        <v>0</v>
      </c>
      <c r="AD1201" s="352">
        <f>IF(NFI_Expiration=1,IF($A1201&lt;VLOOKUP(M$5,NFI,5,0),1,0)*Table_NFI[[#This Row],[Blanket]],Table_NFI[[#This Row],[Blanket]])</f>
        <v>0</v>
      </c>
      <c r="AE1201" s="352">
        <f>IF(NFI_Expiration=1,IF($A1201&lt;VLOOKUP(N$5,NFI,5,0),1,0)*Table_NFI[[#This Row],[Kitchen Set]],Table_NFI[Kitchen Set])</f>
        <v>0</v>
      </c>
      <c r="AF1201" s="352">
        <f>IF(NFI_Expiration=1,IF($A1201&lt;VLOOKUP(O$5,NFI,5,0),1,0)*Table_NFI[[#This Row],[Clothes Kit]],Table_NFI[Clothes Kit])</f>
        <v>0</v>
      </c>
      <c r="AG1201" s="352">
        <f>IF(NFI_Expiration=1,IF($A1201&lt;VLOOKUP(P$5,NFI,5,0),1,0)*Table_NFI[[#This Row],[Plastic Bucket]],Table_NFI[Plastic Bucket])</f>
        <v>0</v>
      </c>
      <c r="AH1201" s="352">
        <f>IF(NFI_Expiration=1,IF($A1201&lt;VLOOKUP(Q$5,NFI,5,0),1,0)*Table_NFI[[#This Row],[Plastic Mat]],Table_NFI[Plastic Mat])*IF(Table_NFI[[#This Row],[Distribution Date]]&gt;"2014-04-01",1,2.5)</f>
        <v>0</v>
      </c>
      <c r="AI1201" s="352">
        <f>IF(NFI_Expiration=1,IF($A1201&lt;VLOOKUP(R$5,NFI,5,0),1,0)*Table_NFI[[#This Row],[Winter Clothes Adult]],Table_NFI[Winter Clothes Adult])</f>
        <v>0</v>
      </c>
      <c r="AJ1201" s="352">
        <f>IF(NFI_Expiration=1,IF($A1201&lt;VLOOKUP(S$5,NFI,5,0),1,0)*Table_NFI[[#This Row],[Winter Clothes Children]],Table_NFI[Winter Clothes Children])</f>
        <v>0</v>
      </c>
      <c r="AK1201" s="352">
        <f>IF(NFI_Expiration=1,IF($A1201&lt;VLOOKUP(T$5,NFI,5,0),1,0)*Table_NFI[[#This Row],[Winter Items Other]],Table_NFI[Winter Items Other])</f>
        <v>0</v>
      </c>
      <c r="AL1201" s="352">
        <f>IF(NFI_Expiration=1,IF($A1201&lt;VLOOKUP(M$5,NFI,5,0),1,0)*Table_NFI[[#This Row],[Winter Blanket]],Table_NFI[[#This Row],[Winter Blanket]])</f>
        <v>0</v>
      </c>
      <c r="AM1201" s="352">
        <f>IF(Table_NFI[[#This Row],[Winter Clothes Adult]]+Table_NFI[[#This Row],[Winter Clothes Children]]+Table_NFI[[#This Row],[Winter Items Other]]+Table_NFI[[#This Row],[Winter Blanket]]&gt;0,1,0)</f>
        <v>0</v>
      </c>
      <c r="AN1201" s="392">
        <f>IF(NFI_Expiration=1,IF($A1201&lt;VLOOKUP(V$5,NFI,5,0),1,0)*Table_NFI[[#This Row],[Jerry Can]],Table_NFI[Jerry Can])</f>
        <v>0</v>
      </c>
      <c r="AO1201" s="540" t="str">
        <f>IFERROR(VLOOKUP(Table_NFI[[#This Row],[Camp Name]],CL,2,0),"")</f>
        <v/>
      </c>
      <c r="AP1201" s="535" t="str">
        <f ca="1">IF(Table_NFI[[#This Row],[Pcode]]="","",IF(OFFSET(CampList[Opening Date],MATCH(Table_NFI[[#This Row],[Pcode]],CampList[CP_Pcode],0)-1,0,1,1)&gt;=NFI_Monitor_Date,1,0))</f>
        <v/>
      </c>
      <c r="AQ1201" s="540" t="str">
        <f>IFERROR(VLOOKUP(Table_NFI[[#This Row],[Camp Name]],CL,3,0),"")</f>
        <v/>
      </c>
      <c r="AR1201" s="352" t="str">
        <f ca="1">IF(Table_NFI[[#This Row],[Pcode]]="","",OFFSET(CampList[Priority],MATCH(Table_NFI[[#This Row],[Pcode]],CampList[CP_Pcode],0)-1,0,1,1))</f>
        <v/>
      </c>
      <c r="AS1201" s="351" t="str">
        <f>IFERROR(Table_NFI[[#This Row],[Kitchen Set]]/VLOOKUP(Table_NFI[[#This Row],[Camp Name]],CL,4,0),"")</f>
        <v/>
      </c>
      <c r="AT1201" s="538"/>
      <c r="AU1201" s="541"/>
    </row>
    <row r="1202" spans="1:47" ht="14.45" hidden="1" customHeight="1" x14ac:dyDescent="0.25">
      <c r="A1202" s="355" t="str">
        <f t="shared" si="19"/>
        <v/>
      </c>
      <c r="B1202" s="532"/>
      <c r="C1202" s="538"/>
      <c r="D1202" s="538"/>
      <c r="E1202" s="538"/>
      <c r="F1202" s="538"/>
      <c r="G1202" s="538"/>
      <c r="H1202" s="350"/>
      <c r="I1202" s="350"/>
      <c r="J1202" s="350"/>
      <c r="K1202" s="350"/>
      <c r="L1202" s="350"/>
      <c r="M1202" s="350"/>
      <c r="N1202" s="350"/>
      <c r="O1202" s="350"/>
      <c r="P1202" s="352"/>
      <c r="Q1202" s="558"/>
      <c r="R1202" s="558"/>
      <c r="S1202" s="558"/>
      <c r="T1202" s="558"/>
      <c r="U1202" s="558"/>
      <c r="V1202" s="497"/>
      <c r="W1202" s="558"/>
      <c r="X1202" s="558"/>
      <c r="Y1202" s="352">
        <f>IF(NFI_Expiration=1,IF($A1202&lt;VLOOKUP(H$5,NFI,5,0),1,0)*Table_NFI[[#This Row],[Hygiene Kit]],Table_NFI[Hygiene Kit])</f>
        <v>0</v>
      </c>
      <c r="Z1202" s="352">
        <f>IF(NFI_Expiration=1,IF($A1202&lt;VLOOKUP(I$5,NFI,5,0),1,0)*Table_NFI[[#This Row],[NFI Core Kit]],Table_NFI[NFI Core Kit])</f>
        <v>0</v>
      </c>
      <c r="AA1202" s="352">
        <f>IF(NFI_Expiration=1,IF($A1202&lt;VLOOKUP(J$5,NFI,5,0),1,0)*Table_NFI[[#This Row],[Sanitary Kit]],Table_NFI[Sanitary Kit])</f>
        <v>0</v>
      </c>
      <c r="AB1202" s="352">
        <f>IF(NFI_Expiration=1,IF($A1202&lt;VLOOKUP(K$5,NFI,5,0),1,0)*Table_NFI[[#This Row],[Mosquito net]],Table_NFI[Mosquito net])</f>
        <v>0</v>
      </c>
      <c r="AC1202" s="352">
        <f>IF(NFI_Expiration=1,IF($A1202&lt;VLOOKUP(L$5,NFI,5,0),1,0)*Table_NFI[[#This Row],[Tarpaulin]],Table_NFI[[#This Row],[Tarpaulin]])</f>
        <v>0</v>
      </c>
      <c r="AD1202" s="352">
        <f>IF(NFI_Expiration=1,IF($A1202&lt;VLOOKUP(M$5,NFI,5,0),1,0)*Table_NFI[[#This Row],[Blanket]],Table_NFI[[#This Row],[Blanket]])</f>
        <v>0</v>
      </c>
      <c r="AE1202" s="352">
        <f>IF(NFI_Expiration=1,IF($A1202&lt;VLOOKUP(N$5,NFI,5,0),1,0)*Table_NFI[[#This Row],[Kitchen Set]],Table_NFI[Kitchen Set])</f>
        <v>0</v>
      </c>
      <c r="AF1202" s="352">
        <f>IF(NFI_Expiration=1,IF($A1202&lt;VLOOKUP(O$5,NFI,5,0),1,0)*Table_NFI[[#This Row],[Clothes Kit]],Table_NFI[Clothes Kit])</f>
        <v>0</v>
      </c>
      <c r="AG1202" s="352">
        <f>IF(NFI_Expiration=1,IF($A1202&lt;VLOOKUP(P$5,NFI,5,0),1,0)*Table_NFI[[#This Row],[Plastic Bucket]],Table_NFI[Plastic Bucket])</f>
        <v>0</v>
      </c>
      <c r="AH1202" s="352">
        <f>IF(NFI_Expiration=1,IF($A1202&lt;VLOOKUP(Q$5,NFI,5,0),1,0)*Table_NFI[[#This Row],[Plastic Mat]],Table_NFI[Plastic Mat])*IF(Table_NFI[[#This Row],[Distribution Date]]&gt;"2014-04-01",1,2.5)</f>
        <v>0</v>
      </c>
      <c r="AI1202" s="352">
        <f>IF(NFI_Expiration=1,IF($A1202&lt;VLOOKUP(R$5,NFI,5,0),1,0)*Table_NFI[[#This Row],[Winter Clothes Adult]],Table_NFI[Winter Clothes Adult])</f>
        <v>0</v>
      </c>
      <c r="AJ1202" s="352">
        <f>IF(NFI_Expiration=1,IF($A1202&lt;VLOOKUP(S$5,NFI,5,0),1,0)*Table_NFI[[#This Row],[Winter Clothes Children]],Table_NFI[Winter Clothes Children])</f>
        <v>0</v>
      </c>
      <c r="AK1202" s="352">
        <f>IF(NFI_Expiration=1,IF($A1202&lt;VLOOKUP(T$5,NFI,5,0),1,0)*Table_NFI[[#This Row],[Winter Items Other]],Table_NFI[Winter Items Other])</f>
        <v>0</v>
      </c>
      <c r="AL1202" s="352">
        <f>IF(NFI_Expiration=1,IF($A1202&lt;VLOOKUP(M$5,NFI,5,0),1,0)*Table_NFI[[#This Row],[Winter Blanket]],Table_NFI[[#This Row],[Winter Blanket]])</f>
        <v>0</v>
      </c>
      <c r="AM1202" s="352">
        <f>IF(Table_NFI[[#This Row],[Winter Clothes Adult]]+Table_NFI[[#This Row],[Winter Clothes Children]]+Table_NFI[[#This Row],[Winter Items Other]]+Table_NFI[[#This Row],[Winter Blanket]]&gt;0,1,0)</f>
        <v>0</v>
      </c>
      <c r="AN1202" s="392">
        <f>IF(NFI_Expiration=1,IF($A1202&lt;VLOOKUP(V$5,NFI,5,0),1,0)*Table_NFI[[#This Row],[Jerry Can]],Table_NFI[Jerry Can])</f>
        <v>0</v>
      </c>
      <c r="AO1202" s="540" t="str">
        <f>IFERROR(VLOOKUP(Table_NFI[[#This Row],[Camp Name]],CL,2,0),"")</f>
        <v/>
      </c>
      <c r="AP1202" s="535" t="str">
        <f ca="1">IF(Table_NFI[[#This Row],[Pcode]]="","",IF(OFFSET(CampList[Opening Date],MATCH(Table_NFI[[#This Row],[Pcode]],CampList[CP_Pcode],0)-1,0,1,1)&gt;=NFI_Monitor_Date,1,0))</f>
        <v/>
      </c>
      <c r="AQ1202" s="540" t="str">
        <f>IFERROR(VLOOKUP(Table_NFI[[#This Row],[Camp Name]],CL,3,0),"")</f>
        <v/>
      </c>
      <c r="AR1202" s="352" t="str">
        <f ca="1">IF(Table_NFI[[#This Row],[Pcode]]="","",OFFSET(CampList[Priority],MATCH(Table_NFI[[#This Row],[Pcode]],CampList[CP_Pcode],0)-1,0,1,1))</f>
        <v/>
      </c>
      <c r="AS1202" s="351" t="str">
        <f>IFERROR(Table_NFI[[#This Row],[Kitchen Set]]/VLOOKUP(Table_NFI[[#This Row],[Camp Name]],CL,4,0),"")</f>
        <v/>
      </c>
      <c r="AT1202" s="533"/>
      <c r="AU1202" s="541"/>
    </row>
    <row r="1203" spans="1:47" ht="14.45" hidden="1" customHeight="1" x14ac:dyDescent="0.25">
      <c r="A1203" s="355" t="str">
        <f t="shared" si="19"/>
        <v/>
      </c>
      <c r="B1203" s="532"/>
      <c r="C1203" s="538"/>
      <c r="D1203" s="538"/>
      <c r="E1203" s="538"/>
      <c r="F1203" s="538"/>
      <c r="G1203" s="538"/>
      <c r="H1203" s="350"/>
      <c r="I1203" s="350"/>
      <c r="J1203" s="350"/>
      <c r="K1203" s="350"/>
      <c r="L1203" s="350"/>
      <c r="M1203" s="350"/>
      <c r="N1203" s="350"/>
      <c r="O1203" s="350"/>
      <c r="P1203" s="352"/>
      <c r="Q1203" s="558"/>
      <c r="R1203" s="558"/>
      <c r="S1203" s="558"/>
      <c r="T1203" s="558"/>
      <c r="U1203" s="558"/>
      <c r="V1203" s="497"/>
      <c r="W1203" s="558"/>
      <c r="X1203" s="558"/>
      <c r="Y1203" s="352">
        <f>IF(NFI_Expiration=1,IF($A1203&lt;VLOOKUP(H$5,NFI,5,0),1,0)*Table_NFI[[#This Row],[Hygiene Kit]],Table_NFI[Hygiene Kit])</f>
        <v>0</v>
      </c>
      <c r="Z1203" s="352">
        <f>IF(NFI_Expiration=1,IF($A1203&lt;VLOOKUP(I$5,NFI,5,0),1,0)*Table_NFI[[#This Row],[NFI Core Kit]],Table_NFI[NFI Core Kit])</f>
        <v>0</v>
      </c>
      <c r="AA1203" s="352">
        <f>IF(NFI_Expiration=1,IF($A1203&lt;VLOOKUP(J$5,NFI,5,0),1,0)*Table_NFI[[#This Row],[Sanitary Kit]],Table_NFI[Sanitary Kit])</f>
        <v>0</v>
      </c>
      <c r="AB1203" s="352">
        <f>IF(NFI_Expiration=1,IF($A1203&lt;VLOOKUP(K$5,NFI,5,0),1,0)*Table_NFI[[#This Row],[Mosquito net]],Table_NFI[Mosquito net])</f>
        <v>0</v>
      </c>
      <c r="AC1203" s="352">
        <f>IF(NFI_Expiration=1,IF($A1203&lt;VLOOKUP(L$5,NFI,5,0),1,0)*Table_NFI[[#This Row],[Tarpaulin]],Table_NFI[[#This Row],[Tarpaulin]])</f>
        <v>0</v>
      </c>
      <c r="AD1203" s="352">
        <f>IF(NFI_Expiration=1,IF($A1203&lt;VLOOKUP(M$5,NFI,5,0),1,0)*Table_NFI[[#This Row],[Blanket]],Table_NFI[[#This Row],[Blanket]])</f>
        <v>0</v>
      </c>
      <c r="AE1203" s="352">
        <f>IF(NFI_Expiration=1,IF($A1203&lt;VLOOKUP(N$5,NFI,5,0),1,0)*Table_NFI[[#This Row],[Kitchen Set]],Table_NFI[Kitchen Set])</f>
        <v>0</v>
      </c>
      <c r="AF1203" s="352">
        <f>IF(NFI_Expiration=1,IF($A1203&lt;VLOOKUP(O$5,NFI,5,0),1,0)*Table_NFI[[#This Row],[Clothes Kit]],Table_NFI[Clothes Kit])</f>
        <v>0</v>
      </c>
      <c r="AG1203" s="352">
        <f>IF(NFI_Expiration=1,IF($A1203&lt;VLOOKUP(P$5,NFI,5,0),1,0)*Table_NFI[[#This Row],[Plastic Bucket]],Table_NFI[Plastic Bucket])</f>
        <v>0</v>
      </c>
      <c r="AH1203" s="352">
        <f>IF(NFI_Expiration=1,IF($A1203&lt;VLOOKUP(Q$5,NFI,5,0),1,0)*Table_NFI[[#This Row],[Plastic Mat]],Table_NFI[Plastic Mat])*IF(Table_NFI[[#This Row],[Distribution Date]]&gt;"2014-04-01",1,2.5)</f>
        <v>0</v>
      </c>
      <c r="AI1203" s="352">
        <f>IF(NFI_Expiration=1,IF($A1203&lt;VLOOKUP(R$5,NFI,5,0),1,0)*Table_NFI[[#This Row],[Winter Clothes Adult]],Table_NFI[Winter Clothes Adult])</f>
        <v>0</v>
      </c>
      <c r="AJ1203" s="352">
        <f>IF(NFI_Expiration=1,IF($A1203&lt;VLOOKUP(S$5,NFI,5,0),1,0)*Table_NFI[[#This Row],[Winter Clothes Children]],Table_NFI[Winter Clothes Children])</f>
        <v>0</v>
      </c>
      <c r="AK1203" s="352">
        <f>IF(NFI_Expiration=1,IF($A1203&lt;VLOOKUP(T$5,NFI,5,0),1,0)*Table_NFI[[#This Row],[Winter Items Other]],Table_NFI[Winter Items Other])</f>
        <v>0</v>
      </c>
      <c r="AL1203" s="352">
        <f>IF(NFI_Expiration=1,IF($A1203&lt;VLOOKUP(M$5,NFI,5,0),1,0)*Table_NFI[[#This Row],[Winter Blanket]],Table_NFI[[#This Row],[Winter Blanket]])</f>
        <v>0</v>
      </c>
      <c r="AM1203" s="352">
        <f>IF(Table_NFI[[#This Row],[Winter Clothes Adult]]+Table_NFI[[#This Row],[Winter Clothes Children]]+Table_NFI[[#This Row],[Winter Items Other]]+Table_NFI[[#This Row],[Winter Blanket]]&gt;0,1,0)</f>
        <v>0</v>
      </c>
      <c r="AN1203" s="392">
        <f>IF(NFI_Expiration=1,IF($A1203&lt;VLOOKUP(V$5,NFI,5,0),1,0)*Table_NFI[[#This Row],[Jerry Can]],Table_NFI[Jerry Can])</f>
        <v>0</v>
      </c>
      <c r="AO1203" s="540" t="str">
        <f>IFERROR(VLOOKUP(Table_NFI[[#This Row],[Camp Name]],CL,2,0),"")</f>
        <v/>
      </c>
      <c r="AP1203" s="535" t="str">
        <f ca="1">IF(Table_NFI[[#This Row],[Pcode]]="","",IF(OFFSET(CampList[Opening Date],MATCH(Table_NFI[[#This Row],[Pcode]],CampList[CP_Pcode],0)-1,0,1,1)&gt;=NFI_Monitor_Date,1,0))</f>
        <v/>
      </c>
      <c r="AQ1203" s="540" t="str">
        <f>IFERROR(VLOOKUP(Table_NFI[[#This Row],[Camp Name]],CL,3,0),"")</f>
        <v/>
      </c>
      <c r="AR1203" s="352" t="str">
        <f ca="1">IF(Table_NFI[[#This Row],[Pcode]]="","",OFFSET(CampList[Priority],MATCH(Table_NFI[[#This Row],[Pcode]],CampList[CP_Pcode],0)-1,0,1,1))</f>
        <v/>
      </c>
      <c r="AS1203" s="351" t="str">
        <f>IFERROR(Table_NFI[[#This Row],[Kitchen Set]]/VLOOKUP(Table_NFI[[#This Row],[Camp Name]],CL,4,0),"")</f>
        <v/>
      </c>
      <c r="AT1203" s="533"/>
      <c r="AU1203" s="536"/>
    </row>
    <row r="1204" spans="1:47" ht="14.45" hidden="1" customHeight="1" x14ac:dyDescent="0.25">
      <c r="A1204" s="355" t="str">
        <f t="shared" si="19"/>
        <v/>
      </c>
      <c r="B1204" s="532"/>
      <c r="C1204" s="538"/>
      <c r="D1204" s="538"/>
      <c r="E1204" s="538"/>
      <c r="F1204" s="538"/>
      <c r="G1204" s="538"/>
      <c r="H1204" s="350"/>
      <c r="I1204" s="350"/>
      <c r="J1204" s="350"/>
      <c r="K1204" s="350"/>
      <c r="L1204" s="350"/>
      <c r="M1204" s="350"/>
      <c r="N1204" s="350"/>
      <c r="O1204" s="350"/>
      <c r="P1204" s="352"/>
      <c r="Q1204" s="558"/>
      <c r="R1204" s="558"/>
      <c r="S1204" s="558"/>
      <c r="T1204" s="558"/>
      <c r="U1204" s="558"/>
      <c r="V1204" s="497"/>
      <c r="W1204" s="558"/>
      <c r="X1204" s="558"/>
      <c r="Y1204" s="352">
        <f>IF(NFI_Expiration=1,IF($A1204&lt;VLOOKUP(H$5,NFI,5,0),1,0)*Table_NFI[[#This Row],[Hygiene Kit]],Table_NFI[Hygiene Kit])</f>
        <v>0</v>
      </c>
      <c r="Z1204" s="352">
        <f>IF(NFI_Expiration=1,IF($A1204&lt;VLOOKUP(I$5,NFI,5,0),1,0)*Table_NFI[[#This Row],[NFI Core Kit]],Table_NFI[NFI Core Kit])</f>
        <v>0</v>
      </c>
      <c r="AA1204" s="352">
        <f>IF(NFI_Expiration=1,IF($A1204&lt;VLOOKUP(J$5,NFI,5,0),1,0)*Table_NFI[[#This Row],[Sanitary Kit]],Table_NFI[Sanitary Kit])</f>
        <v>0</v>
      </c>
      <c r="AB1204" s="352">
        <f>IF(NFI_Expiration=1,IF($A1204&lt;VLOOKUP(K$5,NFI,5,0),1,0)*Table_NFI[[#This Row],[Mosquito net]],Table_NFI[Mosquito net])</f>
        <v>0</v>
      </c>
      <c r="AC1204" s="352">
        <f>IF(NFI_Expiration=1,IF($A1204&lt;VLOOKUP(L$5,NFI,5,0),1,0)*Table_NFI[[#This Row],[Tarpaulin]],Table_NFI[[#This Row],[Tarpaulin]])</f>
        <v>0</v>
      </c>
      <c r="AD1204" s="352">
        <f>IF(NFI_Expiration=1,IF($A1204&lt;VLOOKUP(M$5,NFI,5,0),1,0)*Table_NFI[[#This Row],[Blanket]],Table_NFI[[#This Row],[Blanket]])</f>
        <v>0</v>
      </c>
      <c r="AE1204" s="352">
        <f>IF(NFI_Expiration=1,IF($A1204&lt;VLOOKUP(N$5,NFI,5,0),1,0)*Table_NFI[[#This Row],[Kitchen Set]],Table_NFI[Kitchen Set])</f>
        <v>0</v>
      </c>
      <c r="AF1204" s="352">
        <f>IF(NFI_Expiration=1,IF($A1204&lt;VLOOKUP(O$5,NFI,5,0),1,0)*Table_NFI[[#This Row],[Clothes Kit]],Table_NFI[Clothes Kit])</f>
        <v>0</v>
      </c>
      <c r="AG1204" s="352">
        <f>IF(NFI_Expiration=1,IF($A1204&lt;VLOOKUP(P$5,NFI,5,0),1,0)*Table_NFI[[#This Row],[Plastic Bucket]],Table_NFI[Plastic Bucket])</f>
        <v>0</v>
      </c>
      <c r="AH1204" s="352">
        <f>IF(NFI_Expiration=1,IF($A1204&lt;VLOOKUP(Q$5,NFI,5,0),1,0)*Table_NFI[[#This Row],[Plastic Mat]],Table_NFI[Plastic Mat])*IF(Table_NFI[[#This Row],[Distribution Date]]&gt;"2014-04-01",1,2.5)</f>
        <v>0</v>
      </c>
      <c r="AI1204" s="352">
        <f>IF(NFI_Expiration=1,IF($A1204&lt;VLOOKUP(R$5,NFI,5,0),1,0)*Table_NFI[[#This Row],[Winter Clothes Adult]],Table_NFI[Winter Clothes Adult])</f>
        <v>0</v>
      </c>
      <c r="AJ1204" s="352">
        <f>IF(NFI_Expiration=1,IF($A1204&lt;VLOOKUP(S$5,NFI,5,0),1,0)*Table_NFI[[#This Row],[Winter Clothes Children]],Table_NFI[Winter Clothes Children])</f>
        <v>0</v>
      </c>
      <c r="AK1204" s="352">
        <f>IF(NFI_Expiration=1,IF($A1204&lt;VLOOKUP(T$5,NFI,5,0),1,0)*Table_NFI[[#This Row],[Winter Items Other]],Table_NFI[Winter Items Other])</f>
        <v>0</v>
      </c>
      <c r="AL1204" s="352">
        <f>IF(NFI_Expiration=1,IF($A1204&lt;VLOOKUP(M$5,NFI,5,0),1,0)*Table_NFI[[#This Row],[Winter Blanket]],Table_NFI[[#This Row],[Winter Blanket]])</f>
        <v>0</v>
      </c>
      <c r="AM1204" s="352">
        <f>IF(Table_NFI[[#This Row],[Winter Clothes Adult]]+Table_NFI[[#This Row],[Winter Clothes Children]]+Table_NFI[[#This Row],[Winter Items Other]]+Table_NFI[[#This Row],[Winter Blanket]]&gt;0,1,0)</f>
        <v>0</v>
      </c>
      <c r="AN1204" s="392">
        <f>IF(NFI_Expiration=1,IF($A1204&lt;VLOOKUP(V$5,NFI,5,0),1,0)*Table_NFI[[#This Row],[Jerry Can]],Table_NFI[Jerry Can])</f>
        <v>0</v>
      </c>
      <c r="AO1204" s="540" t="str">
        <f>IFERROR(VLOOKUP(Table_NFI[[#This Row],[Camp Name]],CL,2,0),"")</f>
        <v/>
      </c>
      <c r="AP1204" s="535" t="str">
        <f ca="1">IF(Table_NFI[[#This Row],[Pcode]]="","",IF(OFFSET(CampList[Opening Date],MATCH(Table_NFI[[#This Row],[Pcode]],CampList[CP_Pcode],0)-1,0,1,1)&gt;=NFI_Monitor_Date,1,0))</f>
        <v/>
      </c>
      <c r="AQ1204" s="540" t="str">
        <f>IFERROR(VLOOKUP(Table_NFI[[#This Row],[Camp Name]],CL,3,0),"")</f>
        <v/>
      </c>
      <c r="AR1204" s="352" t="str">
        <f ca="1">IF(Table_NFI[[#This Row],[Pcode]]="","",OFFSET(CampList[Priority],MATCH(Table_NFI[[#This Row],[Pcode]],CampList[CP_Pcode],0)-1,0,1,1))</f>
        <v/>
      </c>
      <c r="AS1204" s="351" t="str">
        <f>IFERROR(Table_NFI[[#This Row],[Kitchen Set]]/VLOOKUP(Table_NFI[[#This Row],[Camp Name]],CL,4,0),"")</f>
        <v/>
      </c>
      <c r="AT1204" s="533"/>
      <c r="AU1204" s="536"/>
    </row>
    <row r="1205" spans="1:47" ht="14.45" hidden="1" customHeight="1" x14ac:dyDescent="0.25">
      <c r="A1205" s="355" t="str">
        <f t="shared" si="19"/>
        <v/>
      </c>
      <c r="B1205" s="532"/>
      <c r="C1205" s="538"/>
      <c r="D1205" s="538"/>
      <c r="E1205" s="538"/>
      <c r="F1205" s="538"/>
      <c r="G1205" s="538"/>
      <c r="H1205" s="350"/>
      <c r="I1205" s="350"/>
      <c r="J1205" s="350"/>
      <c r="K1205" s="350"/>
      <c r="L1205" s="350"/>
      <c r="M1205" s="350"/>
      <c r="N1205" s="350"/>
      <c r="O1205" s="350"/>
      <c r="P1205" s="352"/>
      <c r="Q1205" s="558"/>
      <c r="R1205" s="558"/>
      <c r="S1205" s="558"/>
      <c r="T1205" s="558"/>
      <c r="U1205" s="558"/>
      <c r="V1205" s="497"/>
      <c r="W1205" s="558"/>
      <c r="X1205" s="558"/>
      <c r="Y1205" s="352">
        <f>IF(NFI_Expiration=1,IF($A1205&lt;VLOOKUP(H$5,NFI,5,0),1,0)*Table_NFI[[#This Row],[Hygiene Kit]],Table_NFI[Hygiene Kit])</f>
        <v>0</v>
      </c>
      <c r="Z1205" s="352">
        <f>IF(NFI_Expiration=1,IF($A1205&lt;VLOOKUP(I$5,NFI,5,0),1,0)*Table_NFI[[#This Row],[NFI Core Kit]],Table_NFI[NFI Core Kit])</f>
        <v>0</v>
      </c>
      <c r="AA1205" s="352">
        <f>IF(NFI_Expiration=1,IF($A1205&lt;VLOOKUP(J$5,NFI,5,0),1,0)*Table_NFI[[#This Row],[Sanitary Kit]],Table_NFI[Sanitary Kit])</f>
        <v>0</v>
      </c>
      <c r="AB1205" s="352">
        <f>IF(NFI_Expiration=1,IF($A1205&lt;VLOOKUP(K$5,NFI,5,0),1,0)*Table_NFI[[#This Row],[Mosquito net]],Table_NFI[Mosquito net])</f>
        <v>0</v>
      </c>
      <c r="AC1205" s="352">
        <f>IF(NFI_Expiration=1,IF($A1205&lt;VLOOKUP(L$5,NFI,5,0),1,0)*Table_NFI[[#This Row],[Tarpaulin]],Table_NFI[[#This Row],[Tarpaulin]])</f>
        <v>0</v>
      </c>
      <c r="AD1205" s="352">
        <f>IF(NFI_Expiration=1,IF($A1205&lt;VLOOKUP(M$5,NFI,5,0),1,0)*Table_NFI[[#This Row],[Blanket]],Table_NFI[[#This Row],[Blanket]])</f>
        <v>0</v>
      </c>
      <c r="AE1205" s="352">
        <f>IF(NFI_Expiration=1,IF($A1205&lt;VLOOKUP(N$5,NFI,5,0),1,0)*Table_NFI[[#This Row],[Kitchen Set]],Table_NFI[Kitchen Set])</f>
        <v>0</v>
      </c>
      <c r="AF1205" s="352">
        <f>IF(NFI_Expiration=1,IF($A1205&lt;VLOOKUP(O$5,NFI,5,0),1,0)*Table_NFI[[#This Row],[Clothes Kit]],Table_NFI[Clothes Kit])</f>
        <v>0</v>
      </c>
      <c r="AG1205" s="352">
        <f>IF(NFI_Expiration=1,IF($A1205&lt;VLOOKUP(P$5,NFI,5,0),1,0)*Table_NFI[[#This Row],[Plastic Bucket]],Table_NFI[Plastic Bucket])</f>
        <v>0</v>
      </c>
      <c r="AH1205" s="352">
        <f>IF(NFI_Expiration=1,IF($A1205&lt;VLOOKUP(Q$5,NFI,5,0),1,0)*Table_NFI[[#This Row],[Plastic Mat]],Table_NFI[Plastic Mat])*IF(Table_NFI[[#This Row],[Distribution Date]]&gt;"2014-04-01",1,2.5)</f>
        <v>0</v>
      </c>
      <c r="AI1205" s="352">
        <f>IF(NFI_Expiration=1,IF($A1205&lt;VLOOKUP(R$5,NFI,5,0),1,0)*Table_NFI[[#This Row],[Winter Clothes Adult]],Table_NFI[Winter Clothes Adult])</f>
        <v>0</v>
      </c>
      <c r="AJ1205" s="352">
        <f>IF(NFI_Expiration=1,IF($A1205&lt;VLOOKUP(S$5,NFI,5,0),1,0)*Table_NFI[[#This Row],[Winter Clothes Children]],Table_NFI[Winter Clothes Children])</f>
        <v>0</v>
      </c>
      <c r="AK1205" s="352">
        <f>IF(NFI_Expiration=1,IF($A1205&lt;VLOOKUP(T$5,NFI,5,0),1,0)*Table_NFI[[#This Row],[Winter Items Other]],Table_NFI[Winter Items Other])</f>
        <v>0</v>
      </c>
      <c r="AL1205" s="352">
        <f>IF(NFI_Expiration=1,IF($A1205&lt;VLOOKUP(M$5,NFI,5,0),1,0)*Table_NFI[[#This Row],[Winter Blanket]],Table_NFI[[#This Row],[Winter Blanket]])</f>
        <v>0</v>
      </c>
      <c r="AM1205" s="352">
        <f>IF(Table_NFI[[#This Row],[Winter Clothes Adult]]+Table_NFI[[#This Row],[Winter Clothes Children]]+Table_NFI[[#This Row],[Winter Items Other]]+Table_NFI[[#This Row],[Winter Blanket]]&gt;0,1,0)</f>
        <v>0</v>
      </c>
      <c r="AN1205" s="392">
        <f>IF(NFI_Expiration=1,IF($A1205&lt;VLOOKUP(V$5,NFI,5,0),1,0)*Table_NFI[[#This Row],[Jerry Can]],Table_NFI[Jerry Can])</f>
        <v>0</v>
      </c>
      <c r="AO1205" s="540" t="str">
        <f>IFERROR(VLOOKUP(Table_NFI[[#This Row],[Camp Name]],CL,2,0),"")</f>
        <v/>
      </c>
      <c r="AP1205" s="535" t="str">
        <f ca="1">IF(Table_NFI[[#This Row],[Pcode]]="","",IF(OFFSET(CampList[Opening Date],MATCH(Table_NFI[[#This Row],[Pcode]],CampList[CP_Pcode],0)-1,0,1,1)&gt;=NFI_Monitor_Date,1,0))</f>
        <v/>
      </c>
      <c r="AQ1205" s="540" t="str">
        <f>IFERROR(VLOOKUP(Table_NFI[[#This Row],[Camp Name]],CL,3,0),"")</f>
        <v/>
      </c>
      <c r="AR1205" s="352" t="str">
        <f ca="1">IF(Table_NFI[[#This Row],[Pcode]]="","",OFFSET(CampList[Priority],MATCH(Table_NFI[[#This Row],[Pcode]],CampList[CP_Pcode],0)-1,0,1,1))</f>
        <v/>
      </c>
      <c r="AS1205" s="351" t="str">
        <f>IFERROR(Table_NFI[[#This Row],[Kitchen Set]]/VLOOKUP(Table_NFI[[#This Row],[Camp Name]],CL,4,0),"")</f>
        <v/>
      </c>
      <c r="AT1205" s="533"/>
      <c r="AU1205" s="557"/>
    </row>
    <row r="1206" spans="1:47" ht="14.45" hidden="1" customHeight="1" x14ac:dyDescent="0.25">
      <c r="A1206" s="355" t="str">
        <f t="shared" si="19"/>
        <v/>
      </c>
      <c r="B1206" s="532"/>
      <c r="C1206" s="538"/>
      <c r="D1206" s="538"/>
      <c r="E1206" s="538"/>
      <c r="F1206" s="538"/>
      <c r="G1206" s="538"/>
      <c r="H1206" s="350"/>
      <c r="I1206" s="350"/>
      <c r="J1206" s="350"/>
      <c r="K1206" s="350"/>
      <c r="L1206" s="350"/>
      <c r="M1206" s="350"/>
      <c r="N1206" s="350"/>
      <c r="O1206" s="350"/>
      <c r="P1206" s="352"/>
      <c r="Q1206" s="558"/>
      <c r="R1206" s="558"/>
      <c r="S1206" s="558"/>
      <c r="T1206" s="558"/>
      <c r="U1206" s="558"/>
      <c r="V1206" s="497"/>
      <c r="W1206" s="558"/>
      <c r="X1206" s="558"/>
      <c r="Y1206" s="352">
        <f>IF(NFI_Expiration=1,IF($A1206&lt;VLOOKUP(H$5,NFI,5,0),1,0)*Table_NFI[[#This Row],[Hygiene Kit]],Table_NFI[Hygiene Kit])</f>
        <v>0</v>
      </c>
      <c r="Z1206" s="352">
        <f>IF(NFI_Expiration=1,IF($A1206&lt;VLOOKUP(I$5,NFI,5,0),1,0)*Table_NFI[[#This Row],[NFI Core Kit]],Table_NFI[NFI Core Kit])</f>
        <v>0</v>
      </c>
      <c r="AA1206" s="352">
        <f>IF(NFI_Expiration=1,IF($A1206&lt;VLOOKUP(J$5,NFI,5,0),1,0)*Table_NFI[[#This Row],[Sanitary Kit]],Table_NFI[Sanitary Kit])</f>
        <v>0</v>
      </c>
      <c r="AB1206" s="352">
        <f>IF(NFI_Expiration=1,IF($A1206&lt;VLOOKUP(K$5,NFI,5,0),1,0)*Table_NFI[[#This Row],[Mosquito net]],Table_NFI[Mosquito net])</f>
        <v>0</v>
      </c>
      <c r="AC1206" s="352">
        <f>IF(NFI_Expiration=1,IF($A1206&lt;VLOOKUP(L$5,NFI,5,0),1,0)*Table_NFI[[#This Row],[Tarpaulin]],Table_NFI[[#This Row],[Tarpaulin]])</f>
        <v>0</v>
      </c>
      <c r="AD1206" s="352">
        <f>IF(NFI_Expiration=1,IF($A1206&lt;VLOOKUP(M$5,NFI,5,0),1,0)*Table_NFI[[#This Row],[Blanket]],Table_NFI[[#This Row],[Blanket]])</f>
        <v>0</v>
      </c>
      <c r="AE1206" s="352">
        <f>IF(NFI_Expiration=1,IF($A1206&lt;VLOOKUP(N$5,NFI,5,0),1,0)*Table_NFI[[#This Row],[Kitchen Set]],Table_NFI[Kitchen Set])</f>
        <v>0</v>
      </c>
      <c r="AF1206" s="352">
        <f>IF(NFI_Expiration=1,IF($A1206&lt;VLOOKUP(O$5,NFI,5,0),1,0)*Table_NFI[[#This Row],[Clothes Kit]],Table_NFI[Clothes Kit])</f>
        <v>0</v>
      </c>
      <c r="AG1206" s="352">
        <f>IF(NFI_Expiration=1,IF($A1206&lt;VLOOKUP(P$5,NFI,5,0),1,0)*Table_NFI[[#This Row],[Plastic Bucket]],Table_NFI[Plastic Bucket])</f>
        <v>0</v>
      </c>
      <c r="AH1206" s="352">
        <f>IF(NFI_Expiration=1,IF($A1206&lt;VLOOKUP(Q$5,NFI,5,0),1,0)*Table_NFI[[#This Row],[Plastic Mat]],Table_NFI[Plastic Mat])*IF(Table_NFI[[#This Row],[Distribution Date]]&gt;"2014-04-01",1,2.5)</f>
        <v>0</v>
      </c>
      <c r="AI1206" s="352">
        <f>IF(NFI_Expiration=1,IF($A1206&lt;VLOOKUP(R$5,NFI,5,0),1,0)*Table_NFI[[#This Row],[Winter Clothes Adult]],Table_NFI[Winter Clothes Adult])</f>
        <v>0</v>
      </c>
      <c r="AJ1206" s="352">
        <f>IF(NFI_Expiration=1,IF($A1206&lt;VLOOKUP(S$5,NFI,5,0),1,0)*Table_NFI[[#This Row],[Winter Clothes Children]],Table_NFI[Winter Clothes Children])</f>
        <v>0</v>
      </c>
      <c r="AK1206" s="352">
        <f>IF(NFI_Expiration=1,IF($A1206&lt;VLOOKUP(T$5,NFI,5,0),1,0)*Table_NFI[[#This Row],[Winter Items Other]],Table_NFI[Winter Items Other])</f>
        <v>0</v>
      </c>
      <c r="AL1206" s="352">
        <f>IF(NFI_Expiration=1,IF($A1206&lt;VLOOKUP(M$5,NFI,5,0),1,0)*Table_NFI[[#This Row],[Winter Blanket]],Table_NFI[[#This Row],[Winter Blanket]])</f>
        <v>0</v>
      </c>
      <c r="AM1206" s="352">
        <f>IF(Table_NFI[[#This Row],[Winter Clothes Adult]]+Table_NFI[[#This Row],[Winter Clothes Children]]+Table_NFI[[#This Row],[Winter Items Other]]+Table_NFI[[#This Row],[Winter Blanket]]&gt;0,1,0)</f>
        <v>0</v>
      </c>
      <c r="AN1206" s="392">
        <f>IF(NFI_Expiration=1,IF($A1206&lt;VLOOKUP(V$5,NFI,5,0),1,0)*Table_NFI[[#This Row],[Jerry Can]],Table_NFI[Jerry Can])</f>
        <v>0</v>
      </c>
      <c r="AO1206" s="540" t="str">
        <f>IFERROR(VLOOKUP(Table_NFI[[#This Row],[Camp Name]],CL,2,0),"")</f>
        <v/>
      </c>
      <c r="AP1206" s="535" t="str">
        <f ca="1">IF(Table_NFI[[#This Row],[Pcode]]="","",IF(OFFSET(CampList[Opening Date],MATCH(Table_NFI[[#This Row],[Pcode]],CampList[CP_Pcode],0)-1,0,1,1)&gt;=NFI_Monitor_Date,1,0))</f>
        <v/>
      </c>
      <c r="AQ1206" s="540" t="str">
        <f>IFERROR(VLOOKUP(Table_NFI[[#This Row],[Camp Name]],CL,3,0),"")</f>
        <v/>
      </c>
      <c r="AR1206" s="352" t="str">
        <f ca="1">IF(Table_NFI[[#This Row],[Pcode]]="","",OFFSET(CampList[Priority],MATCH(Table_NFI[[#This Row],[Pcode]],CampList[CP_Pcode],0)-1,0,1,1))</f>
        <v/>
      </c>
      <c r="AS1206" s="351" t="str">
        <f>IFERROR(Table_NFI[[#This Row],[Kitchen Set]]/VLOOKUP(Table_NFI[[#This Row],[Camp Name]],CL,4,0),"")</f>
        <v/>
      </c>
      <c r="AT1206" s="533"/>
      <c r="AU1206" s="536"/>
    </row>
    <row r="1207" spans="1:47" ht="14.45" hidden="1" customHeight="1" x14ac:dyDescent="0.25">
      <c r="A1207" s="355" t="str">
        <f t="shared" si="19"/>
        <v/>
      </c>
      <c r="B1207" s="532"/>
      <c r="C1207" s="538"/>
      <c r="D1207" s="538"/>
      <c r="E1207" s="538"/>
      <c r="F1207" s="538"/>
      <c r="G1207" s="538"/>
      <c r="H1207" s="350"/>
      <c r="I1207" s="350"/>
      <c r="J1207" s="350"/>
      <c r="K1207" s="350"/>
      <c r="L1207" s="350"/>
      <c r="M1207" s="350"/>
      <c r="N1207" s="350"/>
      <c r="O1207" s="350"/>
      <c r="P1207" s="352"/>
      <c r="Q1207" s="558"/>
      <c r="R1207" s="558"/>
      <c r="S1207" s="558"/>
      <c r="T1207" s="558"/>
      <c r="U1207" s="558"/>
      <c r="V1207" s="497"/>
      <c r="W1207" s="558"/>
      <c r="X1207" s="558"/>
      <c r="Y1207" s="352">
        <f>IF(NFI_Expiration=1,IF($A1207&lt;VLOOKUP(H$5,NFI,5,0),1,0)*Table_NFI[[#This Row],[Hygiene Kit]],Table_NFI[Hygiene Kit])</f>
        <v>0</v>
      </c>
      <c r="Z1207" s="352">
        <f>IF(NFI_Expiration=1,IF($A1207&lt;VLOOKUP(I$5,NFI,5,0),1,0)*Table_NFI[[#This Row],[NFI Core Kit]],Table_NFI[NFI Core Kit])</f>
        <v>0</v>
      </c>
      <c r="AA1207" s="352">
        <f>IF(NFI_Expiration=1,IF($A1207&lt;VLOOKUP(J$5,NFI,5,0),1,0)*Table_NFI[[#This Row],[Sanitary Kit]],Table_NFI[Sanitary Kit])</f>
        <v>0</v>
      </c>
      <c r="AB1207" s="352">
        <f>IF(NFI_Expiration=1,IF($A1207&lt;VLOOKUP(K$5,NFI,5,0),1,0)*Table_NFI[[#This Row],[Mosquito net]],Table_NFI[Mosquito net])</f>
        <v>0</v>
      </c>
      <c r="AC1207" s="352">
        <f>IF(NFI_Expiration=1,IF($A1207&lt;VLOOKUP(L$5,NFI,5,0),1,0)*Table_NFI[[#This Row],[Tarpaulin]],Table_NFI[[#This Row],[Tarpaulin]])</f>
        <v>0</v>
      </c>
      <c r="AD1207" s="352">
        <f>IF(NFI_Expiration=1,IF($A1207&lt;VLOOKUP(M$5,NFI,5,0),1,0)*Table_NFI[[#This Row],[Blanket]],Table_NFI[[#This Row],[Blanket]])</f>
        <v>0</v>
      </c>
      <c r="AE1207" s="352">
        <f>IF(NFI_Expiration=1,IF($A1207&lt;VLOOKUP(N$5,NFI,5,0),1,0)*Table_NFI[[#This Row],[Kitchen Set]],Table_NFI[Kitchen Set])</f>
        <v>0</v>
      </c>
      <c r="AF1207" s="352">
        <f>IF(NFI_Expiration=1,IF($A1207&lt;VLOOKUP(O$5,NFI,5,0),1,0)*Table_NFI[[#This Row],[Clothes Kit]],Table_NFI[Clothes Kit])</f>
        <v>0</v>
      </c>
      <c r="AG1207" s="352">
        <f>IF(NFI_Expiration=1,IF($A1207&lt;VLOOKUP(P$5,NFI,5,0),1,0)*Table_NFI[[#This Row],[Plastic Bucket]],Table_NFI[Plastic Bucket])</f>
        <v>0</v>
      </c>
      <c r="AH1207" s="352">
        <f>IF(NFI_Expiration=1,IF($A1207&lt;VLOOKUP(Q$5,NFI,5,0),1,0)*Table_NFI[[#This Row],[Plastic Mat]],Table_NFI[Plastic Mat])*IF(Table_NFI[[#This Row],[Distribution Date]]&gt;"2014-04-01",1,2.5)</f>
        <v>0</v>
      </c>
      <c r="AI1207" s="352">
        <f>IF(NFI_Expiration=1,IF($A1207&lt;VLOOKUP(R$5,NFI,5,0),1,0)*Table_NFI[[#This Row],[Winter Clothes Adult]],Table_NFI[Winter Clothes Adult])</f>
        <v>0</v>
      </c>
      <c r="AJ1207" s="352">
        <f>IF(NFI_Expiration=1,IF($A1207&lt;VLOOKUP(S$5,NFI,5,0),1,0)*Table_NFI[[#This Row],[Winter Clothes Children]],Table_NFI[Winter Clothes Children])</f>
        <v>0</v>
      </c>
      <c r="AK1207" s="352">
        <f>IF(NFI_Expiration=1,IF($A1207&lt;VLOOKUP(T$5,NFI,5,0),1,0)*Table_NFI[[#This Row],[Winter Items Other]],Table_NFI[Winter Items Other])</f>
        <v>0</v>
      </c>
      <c r="AL1207" s="352">
        <f>IF(NFI_Expiration=1,IF($A1207&lt;VLOOKUP(M$5,NFI,5,0),1,0)*Table_NFI[[#This Row],[Winter Blanket]],Table_NFI[[#This Row],[Winter Blanket]])</f>
        <v>0</v>
      </c>
      <c r="AM1207" s="352">
        <f>IF(Table_NFI[[#This Row],[Winter Clothes Adult]]+Table_NFI[[#This Row],[Winter Clothes Children]]+Table_NFI[[#This Row],[Winter Items Other]]+Table_NFI[[#This Row],[Winter Blanket]]&gt;0,1,0)</f>
        <v>0</v>
      </c>
      <c r="AN1207" s="392">
        <f>IF(NFI_Expiration=1,IF($A1207&lt;VLOOKUP(V$5,NFI,5,0),1,0)*Table_NFI[[#This Row],[Jerry Can]],Table_NFI[Jerry Can])</f>
        <v>0</v>
      </c>
      <c r="AO1207" s="540" t="str">
        <f>IFERROR(VLOOKUP(Table_NFI[[#This Row],[Camp Name]],CL,2,0),"")</f>
        <v/>
      </c>
      <c r="AP1207" s="535" t="str">
        <f ca="1">IF(Table_NFI[[#This Row],[Pcode]]="","",IF(OFFSET(CampList[Opening Date],MATCH(Table_NFI[[#This Row],[Pcode]],CampList[CP_Pcode],0)-1,0,1,1)&gt;=NFI_Monitor_Date,1,0))</f>
        <v/>
      </c>
      <c r="AQ1207" s="540" t="str">
        <f>IFERROR(VLOOKUP(Table_NFI[[#This Row],[Camp Name]],CL,3,0),"")</f>
        <v/>
      </c>
      <c r="AR1207" s="352" t="str">
        <f ca="1">IF(Table_NFI[[#This Row],[Pcode]]="","",OFFSET(CampList[Priority],MATCH(Table_NFI[[#This Row],[Pcode]],CampList[CP_Pcode],0)-1,0,1,1))</f>
        <v/>
      </c>
      <c r="AS1207" s="351" t="str">
        <f>IFERROR(Table_NFI[[#This Row],[Kitchen Set]]/VLOOKUP(Table_NFI[[#This Row],[Camp Name]],CL,4,0),"")</f>
        <v/>
      </c>
      <c r="AT1207" s="538"/>
      <c r="AU1207" s="541"/>
    </row>
    <row r="1208" spans="1:47" ht="14.45" hidden="1" customHeight="1" x14ac:dyDescent="0.25">
      <c r="A1208" s="355" t="str">
        <f t="shared" si="19"/>
        <v/>
      </c>
      <c r="B1208" s="532"/>
      <c r="C1208" s="538"/>
      <c r="D1208" s="538"/>
      <c r="E1208" s="538"/>
      <c r="F1208" s="538"/>
      <c r="G1208" s="538"/>
      <c r="H1208" s="350"/>
      <c r="I1208" s="350"/>
      <c r="J1208" s="350"/>
      <c r="K1208" s="350"/>
      <c r="L1208" s="350"/>
      <c r="M1208" s="350"/>
      <c r="N1208" s="350"/>
      <c r="O1208" s="350"/>
      <c r="P1208" s="352"/>
      <c r="Q1208" s="558"/>
      <c r="R1208" s="558"/>
      <c r="S1208" s="558"/>
      <c r="T1208" s="558"/>
      <c r="U1208" s="558"/>
      <c r="V1208" s="497"/>
      <c r="W1208" s="558"/>
      <c r="X1208" s="558"/>
      <c r="Y1208" s="352">
        <f>IF(NFI_Expiration=1,IF($A1208&lt;VLOOKUP(H$5,NFI,5,0),1,0)*Table_NFI[[#This Row],[Hygiene Kit]],Table_NFI[Hygiene Kit])</f>
        <v>0</v>
      </c>
      <c r="Z1208" s="352">
        <f>IF(NFI_Expiration=1,IF($A1208&lt;VLOOKUP(I$5,NFI,5,0),1,0)*Table_NFI[[#This Row],[NFI Core Kit]],Table_NFI[NFI Core Kit])</f>
        <v>0</v>
      </c>
      <c r="AA1208" s="352">
        <f>IF(NFI_Expiration=1,IF($A1208&lt;VLOOKUP(J$5,NFI,5,0),1,0)*Table_NFI[[#This Row],[Sanitary Kit]],Table_NFI[Sanitary Kit])</f>
        <v>0</v>
      </c>
      <c r="AB1208" s="352">
        <f>IF(NFI_Expiration=1,IF($A1208&lt;VLOOKUP(K$5,NFI,5,0),1,0)*Table_NFI[[#This Row],[Mosquito net]],Table_NFI[Mosquito net])</f>
        <v>0</v>
      </c>
      <c r="AC1208" s="352">
        <f>IF(NFI_Expiration=1,IF($A1208&lt;VLOOKUP(L$5,NFI,5,0),1,0)*Table_NFI[[#This Row],[Tarpaulin]],Table_NFI[[#This Row],[Tarpaulin]])</f>
        <v>0</v>
      </c>
      <c r="AD1208" s="352">
        <f>IF(NFI_Expiration=1,IF($A1208&lt;VLOOKUP(M$5,NFI,5,0),1,0)*Table_NFI[[#This Row],[Blanket]],Table_NFI[[#This Row],[Blanket]])</f>
        <v>0</v>
      </c>
      <c r="AE1208" s="352">
        <f>IF(NFI_Expiration=1,IF($A1208&lt;VLOOKUP(N$5,NFI,5,0),1,0)*Table_NFI[[#This Row],[Kitchen Set]],Table_NFI[Kitchen Set])</f>
        <v>0</v>
      </c>
      <c r="AF1208" s="352">
        <f>IF(NFI_Expiration=1,IF($A1208&lt;VLOOKUP(O$5,NFI,5,0),1,0)*Table_NFI[[#This Row],[Clothes Kit]],Table_NFI[Clothes Kit])</f>
        <v>0</v>
      </c>
      <c r="AG1208" s="352">
        <f>IF(NFI_Expiration=1,IF($A1208&lt;VLOOKUP(P$5,NFI,5,0),1,0)*Table_NFI[[#This Row],[Plastic Bucket]],Table_NFI[Plastic Bucket])</f>
        <v>0</v>
      </c>
      <c r="AH1208" s="352">
        <f>IF(NFI_Expiration=1,IF($A1208&lt;VLOOKUP(Q$5,NFI,5,0),1,0)*Table_NFI[[#This Row],[Plastic Mat]],Table_NFI[Plastic Mat])*IF(Table_NFI[[#This Row],[Distribution Date]]&gt;"2014-04-01",1,2.5)</f>
        <v>0</v>
      </c>
      <c r="AI1208" s="352">
        <f>IF(NFI_Expiration=1,IF($A1208&lt;VLOOKUP(R$5,NFI,5,0),1,0)*Table_NFI[[#This Row],[Winter Clothes Adult]],Table_NFI[Winter Clothes Adult])</f>
        <v>0</v>
      </c>
      <c r="AJ1208" s="352">
        <f>IF(NFI_Expiration=1,IF($A1208&lt;VLOOKUP(S$5,NFI,5,0),1,0)*Table_NFI[[#This Row],[Winter Clothes Children]],Table_NFI[Winter Clothes Children])</f>
        <v>0</v>
      </c>
      <c r="AK1208" s="352">
        <f>IF(NFI_Expiration=1,IF($A1208&lt;VLOOKUP(T$5,NFI,5,0),1,0)*Table_NFI[[#This Row],[Winter Items Other]],Table_NFI[Winter Items Other])</f>
        <v>0</v>
      </c>
      <c r="AL1208" s="352">
        <f>IF(NFI_Expiration=1,IF($A1208&lt;VLOOKUP(M$5,NFI,5,0),1,0)*Table_NFI[[#This Row],[Winter Blanket]],Table_NFI[[#This Row],[Winter Blanket]])</f>
        <v>0</v>
      </c>
      <c r="AM1208" s="352">
        <f>IF(Table_NFI[[#This Row],[Winter Clothes Adult]]+Table_NFI[[#This Row],[Winter Clothes Children]]+Table_NFI[[#This Row],[Winter Items Other]]+Table_NFI[[#This Row],[Winter Blanket]]&gt;0,1,0)</f>
        <v>0</v>
      </c>
      <c r="AN1208" s="392">
        <f>IF(NFI_Expiration=1,IF($A1208&lt;VLOOKUP(V$5,NFI,5,0),1,0)*Table_NFI[[#This Row],[Jerry Can]],Table_NFI[Jerry Can])</f>
        <v>0</v>
      </c>
      <c r="AO1208" s="540" t="str">
        <f>IFERROR(VLOOKUP(Table_NFI[[#This Row],[Camp Name]],CL,2,0),"")</f>
        <v/>
      </c>
      <c r="AP1208" s="535" t="str">
        <f ca="1">IF(Table_NFI[[#This Row],[Pcode]]="","",IF(OFFSET(CampList[Opening Date],MATCH(Table_NFI[[#This Row],[Pcode]],CampList[CP_Pcode],0)-1,0,1,1)&gt;=NFI_Monitor_Date,1,0))</f>
        <v/>
      </c>
      <c r="AQ1208" s="540" t="str">
        <f>IFERROR(VLOOKUP(Table_NFI[[#This Row],[Camp Name]],CL,3,0),"")</f>
        <v/>
      </c>
      <c r="AR1208" s="352" t="str">
        <f ca="1">IF(Table_NFI[[#This Row],[Pcode]]="","",OFFSET(CampList[Priority],MATCH(Table_NFI[[#This Row],[Pcode]],CampList[CP_Pcode],0)-1,0,1,1))</f>
        <v/>
      </c>
      <c r="AS1208" s="351" t="str">
        <f>IFERROR(Table_NFI[[#This Row],[Kitchen Set]]/VLOOKUP(Table_NFI[[#This Row],[Camp Name]],CL,4,0),"")</f>
        <v/>
      </c>
      <c r="AT1208" s="533"/>
      <c r="AU1208" s="541"/>
    </row>
    <row r="1209" spans="1:47" ht="14.45" hidden="1" customHeight="1" x14ac:dyDescent="0.25">
      <c r="A1209" s="355" t="str">
        <f t="shared" si="19"/>
        <v/>
      </c>
      <c r="B1209" s="532"/>
      <c r="C1209" s="538"/>
      <c r="D1209" s="538"/>
      <c r="E1209" s="538"/>
      <c r="F1209" s="538"/>
      <c r="G1209" s="538"/>
      <c r="H1209" s="350"/>
      <c r="I1209" s="350"/>
      <c r="J1209" s="350"/>
      <c r="K1209" s="350"/>
      <c r="L1209" s="350"/>
      <c r="M1209" s="350"/>
      <c r="N1209" s="350"/>
      <c r="O1209" s="350"/>
      <c r="P1209" s="352"/>
      <c r="Q1209" s="558"/>
      <c r="R1209" s="558"/>
      <c r="S1209" s="558"/>
      <c r="T1209" s="558"/>
      <c r="U1209" s="558"/>
      <c r="V1209" s="497"/>
      <c r="W1209" s="558"/>
      <c r="X1209" s="558"/>
      <c r="Y1209" s="352">
        <f>IF(NFI_Expiration=1,IF($A1209&lt;VLOOKUP(H$5,NFI,5,0),1,0)*Table_NFI[[#This Row],[Hygiene Kit]],Table_NFI[Hygiene Kit])</f>
        <v>0</v>
      </c>
      <c r="Z1209" s="352">
        <f>IF(NFI_Expiration=1,IF($A1209&lt;VLOOKUP(I$5,NFI,5,0),1,0)*Table_NFI[[#This Row],[NFI Core Kit]],Table_NFI[NFI Core Kit])</f>
        <v>0</v>
      </c>
      <c r="AA1209" s="352">
        <f>IF(NFI_Expiration=1,IF($A1209&lt;VLOOKUP(J$5,NFI,5,0),1,0)*Table_NFI[[#This Row],[Sanitary Kit]],Table_NFI[Sanitary Kit])</f>
        <v>0</v>
      </c>
      <c r="AB1209" s="352">
        <f>IF(NFI_Expiration=1,IF($A1209&lt;VLOOKUP(K$5,NFI,5,0),1,0)*Table_NFI[[#This Row],[Mosquito net]],Table_NFI[Mosquito net])</f>
        <v>0</v>
      </c>
      <c r="AC1209" s="352">
        <f>IF(NFI_Expiration=1,IF($A1209&lt;VLOOKUP(L$5,NFI,5,0),1,0)*Table_NFI[[#This Row],[Tarpaulin]],Table_NFI[[#This Row],[Tarpaulin]])</f>
        <v>0</v>
      </c>
      <c r="AD1209" s="352">
        <f>IF(NFI_Expiration=1,IF($A1209&lt;VLOOKUP(M$5,NFI,5,0),1,0)*Table_NFI[[#This Row],[Blanket]],Table_NFI[[#This Row],[Blanket]])</f>
        <v>0</v>
      </c>
      <c r="AE1209" s="352">
        <f>IF(NFI_Expiration=1,IF($A1209&lt;VLOOKUP(N$5,NFI,5,0),1,0)*Table_NFI[[#This Row],[Kitchen Set]],Table_NFI[Kitchen Set])</f>
        <v>0</v>
      </c>
      <c r="AF1209" s="352">
        <f>IF(NFI_Expiration=1,IF($A1209&lt;VLOOKUP(O$5,NFI,5,0),1,0)*Table_NFI[[#This Row],[Clothes Kit]],Table_NFI[Clothes Kit])</f>
        <v>0</v>
      </c>
      <c r="AG1209" s="352">
        <f>IF(NFI_Expiration=1,IF($A1209&lt;VLOOKUP(P$5,NFI,5,0),1,0)*Table_NFI[[#This Row],[Plastic Bucket]],Table_NFI[Plastic Bucket])</f>
        <v>0</v>
      </c>
      <c r="AH1209" s="352">
        <f>IF(NFI_Expiration=1,IF($A1209&lt;VLOOKUP(Q$5,NFI,5,0),1,0)*Table_NFI[[#This Row],[Plastic Mat]],Table_NFI[Plastic Mat])*IF(Table_NFI[[#This Row],[Distribution Date]]&gt;"2014-04-01",1,2.5)</f>
        <v>0</v>
      </c>
      <c r="AI1209" s="352">
        <f>IF(NFI_Expiration=1,IF($A1209&lt;VLOOKUP(R$5,NFI,5,0),1,0)*Table_NFI[[#This Row],[Winter Clothes Adult]],Table_NFI[Winter Clothes Adult])</f>
        <v>0</v>
      </c>
      <c r="AJ1209" s="352">
        <f>IF(NFI_Expiration=1,IF($A1209&lt;VLOOKUP(S$5,NFI,5,0),1,0)*Table_NFI[[#This Row],[Winter Clothes Children]],Table_NFI[Winter Clothes Children])</f>
        <v>0</v>
      </c>
      <c r="AK1209" s="352">
        <f>IF(NFI_Expiration=1,IF($A1209&lt;VLOOKUP(T$5,NFI,5,0),1,0)*Table_NFI[[#This Row],[Winter Items Other]],Table_NFI[Winter Items Other])</f>
        <v>0</v>
      </c>
      <c r="AL1209" s="352">
        <f>IF(NFI_Expiration=1,IF($A1209&lt;VLOOKUP(M$5,NFI,5,0),1,0)*Table_NFI[[#This Row],[Winter Blanket]],Table_NFI[[#This Row],[Winter Blanket]])</f>
        <v>0</v>
      </c>
      <c r="AM1209" s="352">
        <f>IF(Table_NFI[[#This Row],[Winter Clothes Adult]]+Table_NFI[[#This Row],[Winter Clothes Children]]+Table_NFI[[#This Row],[Winter Items Other]]+Table_NFI[[#This Row],[Winter Blanket]]&gt;0,1,0)</f>
        <v>0</v>
      </c>
      <c r="AN1209" s="392">
        <f>IF(NFI_Expiration=1,IF($A1209&lt;VLOOKUP(V$5,NFI,5,0),1,0)*Table_NFI[[#This Row],[Jerry Can]],Table_NFI[Jerry Can])</f>
        <v>0</v>
      </c>
      <c r="AO1209" s="540" t="str">
        <f>IFERROR(VLOOKUP(Table_NFI[[#This Row],[Camp Name]],CL,2,0),"")</f>
        <v/>
      </c>
      <c r="AP1209" s="535" t="str">
        <f ca="1">IF(Table_NFI[[#This Row],[Pcode]]="","",IF(OFFSET(CampList[Opening Date],MATCH(Table_NFI[[#This Row],[Pcode]],CampList[CP_Pcode],0)-1,0,1,1)&gt;=NFI_Monitor_Date,1,0))</f>
        <v/>
      </c>
      <c r="AQ1209" s="540" t="str">
        <f>IFERROR(VLOOKUP(Table_NFI[[#This Row],[Camp Name]],CL,3,0),"")</f>
        <v/>
      </c>
      <c r="AR1209" s="352" t="str">
        <f ca="1">IF(Table_NFI[[#This Row],[Pcode]]="","",OFFSET(CampList[Priority],MATCH(Table_NFI[[#This Row],[Pcode]],CampList[CP_Pcode],0)-1,0,1,1))</f>
        <v/>
      </c>
      <c r="AS1209" s="351" t="str">
        <f>IFERROR(Table_NFI[[#This Row],[Kitchen Set]]/VLOOKUP(Table_NFI[[#This Row],[Camp Name]],CL,4,0),"")</f>
        <v/>
      </c>
      <c r="AT1209" s="533"/>
      <c r="AU1209" s="536"/>
    </row>
    <row r="1210" spans="1:47" ht="14.45" hidden="1" customHeight="1" x14ac:dyDescent="0.25">
      <c r="A1210" s="355" t="str">
        <f t="shared" si="19"/>
        <v/>
      </c>
      <c r="B1210" s="532"/>
      <c r="C1210" s="538"/>
      <c r="D1210" s="538"/>
      <c r="E1210" s="538"/>
      <c r="F1210" s="538"/>
      <c r="G1210" s="538"/>
      <c r="H1210" s="350"/>
      <c r="I1210" s="350"/>
      <c r="J1210" s="350"/>
      <c r="K1210" s="350"/>
      <c r="L1210" s="350"/>
      <c r="M1210" s="350"/>
      <c r="N1210" s="350"/>
      <c r="O1210" s="350"/>
      <c r="P1210" s="352"/>
      <c r="Q1210" s="558"/>
      <c r="R1210" s="558"/>
      <c r="S1210" s="558"/>
      <c r="T1210" s="558"/>
      <c r="U1210" s="558"/>
      <c r="V1210" s="497"/>
      <c r="W1210" s="558"/>
      <c r="X1210" s="558"/>
      <c r="Y1210" s="352">
        <f>IF(NFI_Expiration=1,IF($A1210&lt;VLOOKUP(H$5,NFI,5,0),1,0)*Table_NFI[[#This Row],[Hygiene Kit]],Table_NFI[Hygiene Kit])</f>
        <v>0</v>
      </c>
      <c r="Z1210" s="352">
        <f>IF(NFI_Expiration=1,IF($A1210&lt;VLOOKUP(I$5,NFI,5,0),1,0)*Table_NFI[[#This Row],[NFI Core Kit]],Table_NFI[NFI Core Kit])</f>
        <v>0</v>
      </c>
      <c r="AA1210" s="352">
        <f>IF(NFI_Expiration=1,IF($A1210&lt;VLOOKUP(J$5,NFI,5,0),1,0)*Table_NFI[[#This Row],[Sanitary Kit]],Table_NFI[Sanitary Kit])</f>
        <v>0</v>
      </c>
      <c r="AB1210" s="352">
        <f>IF(NFI_Expiration=1,IF($A1210&lt;VLOOKUP(K$5,NFI,5,0),1,0)*Table_NFI[[#This Row],[Mosquito net]],Table_NFI[Mosquito net])</f>
        <v>0</v>
      </c>
      <c r="AC1210" s="352">
        <f>IF(NFI_Expiration=1,IF($A1210&lt;VLOOKUP(L$5,NFI,5,0),1,0)*Table_NFI[[#This Row],[Tarpaulin]],Table_NFI[[#This Row],[Tarpaulin]])</f>
        <v>0</v>
      </c>
      <c r="AD1210" s="352">
        <f>IF(NFI_Expiration=1,IF($A1210&lt;VLOOKUP(M$5,NFI,5,0),1,0)*Table_NFI[[#This Row],[Blanket]],Table_NFI[[#This Row],[Blanket]])</f>
        <v>0</v>
      </c>
      <c r="AE1210" s="352">
        <f>IF(NFI_Expiration=1,IF($A1210&lt;VLOOKUP(N$5,NFI,5,0),1,0)*Table_NFI[[#This Row],[Kitchen Set]],Table_NFI[Kitchen Set])</f>
        <v>0</v>
      </c>
      <c r="AF1210" s="352">
        <f>IF(NFI_Expiration=1,IF($A1210&lt;VLOOKUP(O$5,NFI,5,0),1,0)*Table_NFI[[#This Row],[Clothes Kit]],Table_NFI[Clothes Kit])</f>
        <v>0</v>
      </c>
      <c r="AG1210" s="352">
        <f>IF(NFI_Expiration=1,IF($A1210&lt;VLOOKUP(P$5,NFI,5,0),1,0)*Table_NFI[[#This Row],[Plastic Bucket]],Table_NFI[Plastic Bucket])</f>
        <v>0</v>
      </c>
      <c r="AH1210" s="352">
        <f>IF(NFI_Expiration=1,IF($A1210&lt;VLOOKUP(Q$5,NFI,5,0),1,0)*Table_NFI[[#This Row],[Plastic Mat]],Table_NFI[Plastic Mat])*IF(Table_NFI[[#This Row],[Distribution Date]]&gt;"2014-04-01",1,2.5)</f>
        <v>0</v>
      </c>
      <c r="AI1210" s="352">
        <f>IF(NFI_Expiration=1,IF($A1210&lt;VLOOKUP(R$5,NFI,5,0),1,0)*Table_NFI[[#This Row],[Winter Clothes Adult]],Table_NFI[Winter Clothes Adult])</f>
        <v>0</v>
      </c>
      <c r="AJ1210" s="352">
        <f>IF(NFI_Expiration=1,IF($A1210&lt;VLOOKUP(S$5,NFI,5,0),1,0)*Table_NFI[[#This Row],[Winter Clothes Children]],Table_NFI[Winter Clothes Children])</f>
        <v>0</v>
      </c>
      <c r="AK1210" s="352">
        <f>IF(NFI_Expiration=1,IF($A1210&lt;VLOOKUP(T$5,NFI,5,0),1,0)*Table_NFI[[#This Row],[Winter Items Other]],Table_NFI[Winter Items Other])</f>
        <v>0</v>
      </c>
      <c r="AL1210" s="352">
        <f>IF(NFI_Expiration=1,IF($A1210&lt;VLOOKUP(M$5,NFI,5,0),1,0)*Table_NFI[[#This Row],[Winter Blanket]],Table_NFI[[#This Row],[Winter Blanket]])</f>
        <v>0</v>
      </c>
      <c r="AM1210" s="352">
        <f>IF(Table_NFI[[#This Row],[Winter Clothes Adult]]+Table_NFI[[#This Row],[Winter Clothes Children]]+Table_NFI[[#This Row],[Winter Items Other]]+Table_NFI[[#This Row],[Winter Blanket]]&gt;0,1,0)</f>
        <v>0</v>
      </c>
      <c r="AN1210" s="392">
        <f>IF(NFI_Expiration=1,IF($A1210&lt;VLOOKUP(V$5,NFI,5,0),1,0)*Table_NFI[[#This Row],[Jerry Can]],Table_NFI[Jerry Can])</f>
        <v>0</v>
      </c>
      <c r="AO1210" s="540" t="str">
        <f>IFERROR(VLOOKUP(Table_NFI[[#This Row],[Camp Name]],CL,2,0),"")</f>
        <v/>
      </c>
      <c r="AP1210" s="535" t="str">
        <f ca="1">IF(Table_NFI[[#This Row],[Pcode]]="","",IF(OFFSET(CampList[Opening Date],MATCH(Table_NFI[[#This Row],[Pcode]],CampList[CP_Pcode],0)-1,0,1,1)&gt;=NFI_Monitor_Date,1,0))</f>
        <v/>
      </c>
      <c r="AQ1210" s="540" t="str">
        <f>IFERROR(VLOOKUP(Table_NFI[[#This Row],[Camp Name]],CL,3,0),"")</f>
        <v/>
      </c>
      <c r="AR1210" s="352" t="str">
        <f ca="1">IF(Table_NFI[[#This Row],[Pcode]]="","",OFFSET(CampList[Priority],MATCH(Table_NFI[[#This Row],[Pcode]],CampList[CP_Pcode],0)-1,0,1,1))</f>
        <v/>
      </c>
      <c r="AS1210" s="351" t="str">
        <f>IFERROR(Table_NFI[[#This Row],[Kitchen Set]]/VLOOKUP(Table_NFI[[#This Row],[Camp Name]],CL,4,0),"")</f>
        <v/>
      </c>
      <c r="AT1210" s="538"/>
      <c r="AU1210" s="541"/>
    </row>
    <row r="1211" spans="1:47" ht="14.45" hidden="1" customHeight="1" x14ac:dyDescent="0.25">
      <c r="A1211" s="355" t="str">
        <f t="shared" si="19"/>
        <v/>
      </c>
      <c r="B1211" s="532"/>
      <c r="C1211" s="538"/>
      <c r="D1211" s="538"/>
      <c r="E1211" s="538"/>
      <c r="F1211" s="538"/>
      <c r="G1211" s="538"/>
      <c r="H1211" s="350"/>
      <c r="I1211" s="350"/>
      <c r="J1211" s="350"/>
      <c r="K1211" s="350"/>
      <c r="L1211" s="350"/>
      <c r="M1211" s="350"/>
      <c r="N1211" s="350"/>
      <c r="O1211" s="350"/>
      <c r="P1211" s="352"/>
      <c r="Q1211" s="558"/>
      <c r="R1211" s="558"/>
      <c r="S1211" s="558"/>
      <c r="T1211" s="558"/>
      <c r="U1211" s="558"/>
      <c r="V1211" s="497"/>
      <c r="W1211" s="558"/>
      <c r="X1211" s="558"/>
      <c r="Y1211" s="352">
        <f>IF(NFI_Expiration=1,IF($A1211&lt;VLOOKUP(H$5,NFI,5,0),1,0)*Table_NFI[[#This Row],[Hygiene Kit]],Table_NFI[Hygiene Kit])</f>
        <v>0</v>
      </c>
      <c r="Z1211" s="352">
        <f>IF(NFI_Expiration=1,IF($A1211&lt;VLOOKUP(I$5,NFI,5,0),1,0)*Table_NFI[[#This Row],[NFI Core Kit]],Table_NFI[NFI Core Kit])</f>
        <v>0</v>
      </c>
      <c r="AA1211" s="352">
        <f>IF(NFI_Expiration=1,IF($A1211&lt;VLOOKUP(J$5,NFI,5,0),1,0)*Table_NFI[[#This Row],[Sanitary Kit]],Table_NFI[Sanitary Kit])</f>
        <v>0</v>
      </c>
      <c r="AB1211" s="352">
        <f>IF(NFI_Expiration=1,IF($A1211&lt;VLOOKUP(K$5,NFI,5,0),1,0)*Table_NFI[[#This Row],[Mosquito net]],Table_NFI[Mosquito net])</f>
        <v>0</v>
      </c>
      <c r="AC1211" s="352">
        <f>IF(NFI_Expiration=1,IF($A1211&lt;VLOOKUP(L$5,NFI,5,0),1,0)*Table_NFI[[#This Row],[Tarpaulin]],Table_NFI[[#This Row],[Tarpaulin]])</f>
        <v>0</v>
      </c>
      <c r="AD1211" s="352">
        <f>IF(NFI_Expiration=1,IF($A1211&lt;VLOOKUP(M$5,NFI,5,0),1,0)*Table_NFI[[#This Row],[Blanket]],Table_NFI[[#This Row],[Blanket]])</f>
        <v>0</v>
      </c>
      <c r="AE1211" s="352">
        <f>IF(NFI_Expiration=1,IF($A1211&lt;VLOOKUP(N$5,NFI,5,0),1,0)*Table_NFI[[#This Row],[Kitchen Set]],Table_NFI[Kitchen Set])</f>
        <v>0</v>
      </c>
      <c r="AF1211" s="352">
        <f>IF(NFI_Expiration=1,IF($A1211&lt;VLOOKUP(O$5,NFI,5,0),1,0)*Table_NFI[[#This Row],[Clothes Kit]],Table_NFI[Clothes Kit])</f>
        <v>0</v>
      </c>
      <c r="AG1211" s="352">
        <f>IF(NFI_Expiration=1,IF($A1211&lt;VLOOKUP(P$5,NFI,5,0),1,0)*Table_NFI[[#This Row],[Plastic Bucket]],Table_NFI[Plastic Bucket])</f>
        <v>0</v>
      </c>
      <c r="AH1211" s="352">
        <f>IF(NFI_Expiration=1,IF($A1211&lt;VLOOKUP(Q$5,NFI,5,0),1,0)*Table_NFI[[#This Row],[Plastic Mat]],Table_NFI[Plastic Mat])*IF(Table_NFI[[#This Row],[Distribution Date]]&gt;"2014-04-01",1,2.5)</f>
        <v>0</v>
      </c>
      <c r="AI1211" s="352">
        <f>IF(NFI_Expiration=1,IF($A1211&lt;VLOOKUP(R$5,NFI,5,0),1,0)*Table_NFI[[#This Row],[Winter Clothes Adult]],Table_NFI[Winter Clothes Adult])</f>
        <v>0</v>
      </c>
      <c r="AJ1211" s="352">
        <f>IF(NFI_Expiration=1,IF($A1211&lt;VLOOKUP(S$5,NFI,5,0),1,0)*Table_NFI[[#This Row],[Winter Clothes Children]],Table_NFI[Winter Clothes Children])</f>
        <v>0</v>
      </c>
      <c r="AK1211" s="352">
        <f>IF(NFI_Expiration=1,IF($A1211&lt;VLOOKUP(T$5,NFI,5,0),1,0)*Table_NFI[[#This Row],[Winter Items Other]],Table_NFI[Winter Items Other])</f>
        <v>0</v>
      </c>
      <c r="AL1211" s="352">
        <f>IF(NFI_Expiration=1,IF($A1211&lt;VLOOKUP(M$5,NFI,5,0),1,0)*Table_NFI[[#This Row],[Winter Blanket]],Table_NFI[[#This Row],[Winter Blanket]])</f>
        <v>0</v>
      </c>
      <c r="AM1211" s="352">
        <f>IF(Table_NFI[[#This Row],[Winter Clothes Adult]]+Table_NFI[[#This Row],[Winter Clothes Children]]+Table_NFI[[#This Row],[Winter Items Other]]+Table_NFI[[#This Row],[Winter Blanket]]&gt;0,1,0)</f>
        <v>0</v>
      </c>
      <c r="AN1211" s="392">
        <f>IF(NFI_Expiration=1,IF($A1211&lt;VLOOKUP(V$5,NFI,5,0),1,0)*Table_NFI[[#This Row],[Jerry Can]],Table_NFI[Jerry Can])</f>
        <v>0</v>
      </c>
      <c r="AO1211" s="540" t="str">
        <f>IFERROR(VLOOKUP(Table_NFI[[#This Row],[Camp Name]],CL,2,0),"")</f>
        <v/>
      </c>
      <c r="AP1211" s="535" t="str">
        <f ca="1">IF(Table_NFI[[#This Row],[Pcode]]="","",IF(OFFSET(CampList[Opening Date],MATCH(Table_NFI[[#This Row],[Pcode]],CampList[CP_Pcode],0)-1,0,1,1)&gt;=NFI_Monitor_Date,1,0))</f>
        <v/>
      </c>
      <c r="AQ1211" s="540" t="str">
        <f>IFERROR(VLOOKUP(Table_NFI[[#This Row],[Camp Name]],CL,3,0),"")</f>
        <v/>
      </c>
      <c r="AR1211" s="352" t="str">
        <f ca="1">IF(Table_NFI[[#This Row],[Pcode]]="","",OFFSET(CampList[Priority],MATCH(Table_NFI[[#This Row],[Pcode]],CampList[CP_Pcode],0)-1,0,1,1))</f>
        <v/>
      </c>
      <c r="AS1211" s="351" t="str">
        <f>IFERROR(Table_NFI[[#This Row],[Kitchen Set]]/VLOOKUP(Table_NFI[[#This Row],[Camp Name]],CL,4,0),"")</f>
        <v/>
      </c>
      <c r="AT1211" s="533"/>
      <c r="AU1211" s="536"/>
    </row>
    <row r="1212" spans="1:47" ht="14.45" hidden="1" customHeight="1" x14ac:dyDescent="0.25">
      <c r="A1212" s="355" t="str">
        <f t="shared" si="19"/>
        <v/>
      </c>
      <c r="B1212" s="532"/>
      <c r="C1212" s="538"/>
      <c r="D1212" s="538"/>
      <c r="E1212" s="538"/>
      <c r="F1212" s="538"/>
      <c r="G1212" s="538"/>
      <c r="H1212" s="350"/>
      <c r="I1212" s="350"/>
      <c r="J1212" s="350"/>
      <c r="K1212" s="350"/>
      <c r="L1212" s="350"/>
      <c r="M1212" s="350"/>
      <c r="N1212" s="350"/>
      <c r="O1212" s="350"/>
      <c r="P1212" s="352"/>
      <c r="Q1212" s="558"/>
      <c r="R1212" s="558"/>
      <c r="S1212" s="558"/>
      <c r="T1212" s="558"/>
      <c r="U1212" s="558"/>
      <c r="V1212" s="497"/>
      <c r="W1212" s="558"/>
      <c r="X1212" s="558"/>
      <c r="Y1212" s="352">
        <f>IF(NFI_Expiration=1,IF($A1212&lt;VLOOKUP(H$5,NFI,5,0),1,0)*Table_NFI[[#This Row],[Hygiene Kit]],Table_NFI[Hygiene Kit])</f>
        <v>0</v>
      </c>
      <c r="Z1212" s="352">
        <f>IF(NFI_Expiration=1,IF($A1212&lt;VLOOKUP(I$5,NFI,5,0),1,0)*Table_NFI[[#This Row],[NFI Core Kit]],Table_NFI[NFI Core Kit])</f>
        <v>0</v>
      </c>
      <c r="AA1212" s="352">
        <f>IF(NFI_Expiration=1,IF($A1212&lt;VLOOKUP(J$5,NFI,5,0),1,0)*Table_NFI[[#This Row],[Sanitary Kit]],Table_NFI[Sanitary Kit])</f>
        <v>0</v>
      </c>
      <c r="AB1212" s="352">
        <f>IF(NFI_Expiration=1,IF($A1212&lt;VLOOKUP(K$5,NFI,5,0),1,0)*Table_NFI[[#This Row],[Mosquito net]],Table_NFI[Mosquito net])</f>
        <v>0</v>
      </c>
      <c r="AC1212" s="352">
        <f>IF(NFI_Expiration=1,IF($A1212&lt;VLOOKUP(L$5,NFI,5,0),1,0)*Table_NFI[[#This Row],[Tarpaulin]],Table_NFI[[#This Row],[Tarpaulin]])</f>
        <v>0</v>
      </c>
      <c r="AD1212" s="352">
        <f>IF(NFI_Expiration=1,IF($A1212&lt;VLOOKUP(M$5,NFI,5,0),1,0)*Table_NFI[[#This Row],[Blanket]],Table_NFI[[#This Row],[Blanket]])</f>
        <v>0</v>
      </c>
      <c r="AE1212" s="352">
        <f>IF(NFI_Expiration=1,IF($A1212&lt;VLOOKUP(N$5,NFI,5,0),1,0)*Table_NFI[[#This Row],[Kitchen Set]],Table_NFI[Kitchen Set])</f>
        <v>0</v>
      </c>
      <c r="AF1212" s="352">
        <f>IF(NFI_Expiration=1,IF($A1212&lt;VLOOKUP(O$5,NFI,5,0),1,0)*Table_NFI[[#This Row],[Clothes Kit]],Table_NFI[Clothes Kit])</f>
        <v>0</v>
      </c>
      <c r="AG1212" s="352">
        <f>IF(NFI_Expiration=1,IF($A1212&lt;VLOOKUP(P$5,NFI,5,0),1,0)*Table_NFI[[#This Row],[Plastic Bucket]],Table_NFI[Plastic Bucket])</f>
        <v>0</v>
      </c>
      <c r="AH1212" s="352">
        <f>IF(NFI_Expiration=1,IF($A1212&lt;VLOOKUP(Q$5,NFI,5,0),1,0)*Table_NFI[[#This Row],[Plastic Mat]],Table_NFI[Plastic Mat])*IF(Table_NFI[[#This Row],[Distribution Date]]&gt;"2014-04-01",1,2.5)</f>
        <v>0</v>
      </c>
      <c r="AI1212" s="352">
        <f>IF(NFI_Expiration=1,IF($A1212&lt;VLOOKUP(R$5,NFI,5,0),1,0)*Table_NFI[[#This Row],[Winter Clothes Adult]],Table_NFI[Winter Clothes Adult])</f>
        <v>0</v>
      </c>
      <c r="AJ1212" s="352">
        <f>IF(NFI_Expiration=1,IF($A1212&lt;VLOOKUP(S$5,NFI,5,0),1,0)*Table_NFI[[#This Row],[Winter Clothes Children]],Table_NFI[Winter Clothes Children])</f>
        <v>0</v>
      </c>
      <c r="AK1212" s="352">
        <f>IF(NFI_Expiration=1,IF($A1212&lt;VLOOKUP(T$5,NFI,5,0),1,0)*Table_NFI[[#This Row],[Winter Items Other]],Table_NFI[Winter Items Other])</f>
        <v>0</v>
      </c>
      <c r="AL1212" s="352">
        <f>IF(NFI_Expiration=1,IF($A1212&lt;VLOOKUP(M$5,NFI,5,0),1,0)*Table_NFI[[#This Row],[Winter Blanket]],Table_NFI[[#This Row],[Winter Blanket]])</f>
        <v>0</v>
      </c>
      <c r="AM1212" s="352">
        <f>IF(Table_NFI[[#This Row],[Winter Clothes Adult]]+Table_NFI[[#This Row],[Winter Clothes Children]]+Table_NFI[[#This Row],[Winter Items Other]]+Table_NFI[[#This Row],[Winter Blanket]]&gt;0,1,0)</f>
        <v>0</v>
      </c>
      <c r="AN1212" s="392">
        <f>IF(NFI_Expiration=1,IF($A1212&lt;VLOOKUP(V$5,NFI,5,0),1,0)*Table_NFI[[#This Row],[Jerry Can]],Table_NFI[Jerry Can])</f>
        <v>0</v>
      </c>
      <c r="AO1212" s="540" t="str">
        <f>IFERROR(VLOOKUP(Table_NFI[[#This Row],[Camp Name]],CL,2,0),"")</f>
        <v/>
      </c>
      <c r="AP1212" s="535" t="str">
        <f ca="1">IF(Table_NFI[[#This Row],[Pcode]]="","",IF(OFFSET(CampList[Opening Date],MATCH(Table_NFI[[#This Row],[Pcode]],CampList[CP_Pcode],0)-1,0,1,1)&gt;=NFI_Monitor_Date,1,0))</f>
        <v/>
      </c>
      <c r="AQ1212" s="540" t="str">
        <f>IFERROR(VLOOKUP(Table_NFI[[#This Row],[Camp Name]],CL,3,0),"")</f>
        <v/>
      </c>
      <c r="AR1212" s="352" t="str">
        <f ca="1">IF(Table_NFI[[#This Row],[Pcode]]="","",OFFSET(CampList[Priority],MATCH(Table_NFI[[#This Row],[Pcode]],CampList[CP_Pcode],0)-1,0,1,1))</f>
        <v/>
      </c>
      <c r="AS1212" s="351" t="str">
        <f>IFERROR(Table_NFI[[#This Row],[Kitchen Set]]/VLOOKUP(Table_NFI[[#This Row],[Camp Name]],CL,4,0),"")</f>
        <v/>
      </c>
      <c r="AT1212" s="533"/>
      <c r="AU1212" s="536"/>
    </row>
    <row r="1213" spans="1:47" ht="14.45" hidden="1" customHeight="1" x14ac:dyDescent="0.25">
      <c r="A1213" s="355" t="str">
        <f t="shared" si="19"/>
        <v/>
      </c>
      <c r="B1213" s="532"/>
      <c r="C1213" s="538"/>
      <c r="D1213" s="538"/>
      <c r="E1213" s="538"/>
      <c r="F1213" s="538"/>
      <c r="G1213" s="538"/>
      <c r="H1213" s="350"/>
      <c r="I1213" s="350"/>
      <c r="J1213" s="350"/>
      <c r="K1213" s="350"/>
      <c r="L1213" s="350"/>
      <c r="M1213" s="350"/>
      <c r="N1213" s="350"/>
      <c r="O1213" s="350"/>
      <c r="P1213" s="352"/>
      <c r="Q1213" s="558"/>
      <c r="R1213" s="558"/>
      <c r="S1213" s="558"/>
      <c r="T1213" s="558"/>
      <c r="U1213" s="558"/>
      <c r="V1213" s="497"/>
      <c r="W1213" s="558"/>
      <c r="X1213" s="558"/>
      <c r="Y1213" s="352">
        <f>IF(NFI_Expiration=1,IF($A1213&lt;VLOOKUP(H$5,NFI,5,0),1,0)*Table_NFI[[#This Row],[Hygiene Kit]],Table_NFI[Hygiene Kit])</f>
        <v>0</v>
      </c>
      <c r="Z1213" s="352">
        <f>IF(NFI_Expiration=1,IF($A1213&lt;VLOOKUP(I$5,NFI,5,0),1,0)*Table_NFI[[#This Row],[NFI Core Kit]],Table_NFI[NFI Core Kit])</f>
        <v>0</v>
      </c>
      <c r="AA1213" s="352">
        <f>IF(NFI_Expiration=1,IF($A1213&lt;VLOOKUP(J$5,NFI,5,0),1,0)*Table_NFI[[#This Row],[Sanitary Kit]],Table_NFI[Sanitary Kit])</f>
        <v>0</v>
      </c>
      <c r="AB1213" s="352">
        <f>IF(NFI_Expiration=1,IF($A1213&lt;VLOOKUP(K$5,NFI,5,0),1,0)*Table_NFI[[#This Row],[Mosquito net]],Table_NFI[Mosquito net])</f>
        <v>0</v>
      </c>
      <c r="AC1213" s="352">
        <f>IF(NFI_Expiration=1,IF($A1213&lt;VLOOKUP(L$5,NFI,5,0),1,0)*Table_NFI[[#This Row],[Tarpaulin]],Table_NFI[[#This Row],[Tarpaulin]])</f>
        <v>0</v>
      </c>
      <c r="AD1213" s="352">
        <f>IF(NFI_Expiration=1,IF($A1213&lt;VLOOKUP(M$5,NFI,5,0),1,0)*Table_NFI[[#This Row],[Blanket]],Table_NFI[[#This Row],[Blanket]])</f>
        <v>0</v>
      </c>
      <c r="AE1213" s="352">
        <f>IF(NFI_Expiration=1,IF($A1213&lt;VLOOKUP(N$5,NFI,5,0),1,0)*Table_NFI[[#This Row],[Kitchen Set]],Table_NFI[Kitchen Set])</f>
        <v>0</v>
      </c>
      <c r="AF1213" s="352">
        <f>IF(NFI_Expiration=1,IF($A1213&lt;VLOOKUP(O$5,NFI,5,0),1,0)*Table_NFI[[#This Row],[Clothes Kit]],Table_NFI[Clothes Kit])</f>
        <v>0</v>
      </c>
      <c r="AG1213" s="352">
        <f>IF(NFI_Expiration=1,IF($A1213&lt;VLOOKUP(P$5,NFI,5,0),1,0)*Table_NFI[[#This Row],[Plastic Bucket]],Table_NFI[Plastic Bucket])</f>
        <v>0</v>
      </c>
      <c r="AH1213" s="352">
        <f>IF(NFI_Expiration=1,IF($A1213&lt;VLOOKUP(Q$5,NFI,5,0),1,0)*Table_NFI[[#This Row],[Plastic Mat]],Table_NFI[Plastic Mat])*IF(Table_NFI[[#This Row],[Distribution Date]]&gt;"2014-04-01",1,2.5)</f>
        <v>0</v>
      </c>
      <c r="AI1213" s="352">
        <f>IF(NFI_Expiration=1,IF($A1213&lt;VLOOKUP(R$5,NFI,5,0),1,0)*Table_NFI[[#This Row],[Winter Clothes Adult]],Table_NFI[Winter Clothes Adult])</f>
        <v>0</v>
      </c>
      <c r="AJ1213" s="352">
        <f>IF(NFI_Expiration=1,IF($A1213&lt;VLOOKUP(S$5,NFI,5,0),1,0)*Table_NFI[[#This Row],[Winter Clothes Children]],Table_NFI[Winter Clothes Children])</f>
        <v>0</v>
      </c>
      <c r="AK1213" s="352">
        <f>IF(NFI_Expiration=1,IF($A1213&lt;VLOOKUP(T$5,NFI,5,0),1,0)*Table_NFI[[#This Row],[Winter Items Other]],Table_NFI[Winter Items Other])</f>
        <v>0</v>
      </c>
      <c r="AL1213" s="352">
        <f>IF(NFI_Expiration=1,IF($A1213&lt;VLOOKUP(M$5,NFI,5,0),1,0)*Table_NFI[[#This Row],[Winter Blanket]],Table_NFI[[#This Row],[Winter Blanket]])</f>
        <v>0</v>
      </c>
      <c r="AM1213" s="352">
        <f>IF(Table_NFI[[#This Row],[Winter Clothes Adult]]+Table_NFI[[#This Row],[Winter Clothes Children]]+Table_NFI[[#This Row],[Winter Items Other]]+Table_NFI[[#This Row],[Winter Blanket]]&gt;0,1,0)</f>
        <v>0</v>
      </c>
      <c r="AN1213" s="392">
        <f>IF(NFI_Expiration=1,IF($A1213&lt;VLOOKUP(V$5,NFI,5,0),1,0)*Table_NFI[[#This Row],[Jerry Can]],Table_NFI[Jerry Can])</f>
        <v>0</v>
      </c>
      <c r="AO1213" s="540" t="str">
        <f>IFERROR(VLOOKUP(Table_NFI[[#This Row],[Camp Name]],CL,2,0),"")</f>
        <v/>
      </c>
      <c r="AP1213" s="535" t="str">
        <f ca="1">IF(Table_NFI[[#This Row],[Pcode]]="","",IF(OFFSET(CampList[Opening Date],MATCH(Table_NFI[[#This Row],[Pcode]],CampList[CP_Pcode],0)-1,0,1,1)&gt;=NFI_Monitor_Date,1,0))</f>
        <v/>
      </c>
      <c r="AQ1213" s="540" t="str">
        <f>IFERROR(VLOOKUP(Table_NFI[[#This Row],[Camp Name]],CL,3,0),"")</f>
        <v/>
      </c>
      <c r="AR1213" s="352" t="str">
        <f ca="1">IF(Table_NFI[[#This Row],[Pcode]]="","",OFFSET(CampList[Priority],MATCH(Table_NFI[[#This Row],[Pcode]],CampList[CP_Pcode],0)-1,0,1,1))</f>
        <v/>
      </c>
      <c r="AS1213" s="351" t="str">
        <f>IFERROR(Table_NFI[[#This Row],[Kitchen Set]]/VLOOKUP(Table_NFI[[#This Row],[Camp Name]],CL,4,0),"")</f>
        <v/>
      </c>
      <c r="AT1213" s="533"/>
      <c r="AU1213" s="536"/>
    </row>
    <row r="1214" spans="1:47" ht="14.45" hidden="1" customHeight="1" x14ac:dyDescent="0.25">
      <c r="A1214" s="355" t="str">
        <f t="shared" si="19"/>
        <v/>
      </c>
      <c r="B1214" s="532"/>
      <c r="C1214" s="538"/>
      <c r="D1214" s="538"/>
      <c r="E1214" s="538"/>
      <c r="F1214" s="538"/>
      <c r="G1214" s="538"/>
      <c r="H1214" s="350"/>
      <c r="I1214" s="350"/>
      <c r="J1214" s="350"/>
      <c r="K1214" s="350"/>
      <c r="L1214" s="350"/>
      <c r="M1214" s="350"/>
      <c r="N1214" s="350"/>
      <c r="O1214" s="350"/>
      <c r="P1214" s="352"/>
      <c r="Q1214" s="558"/>
      <c r="R1214" s="558"/>
      <c r="S1214" s="558"/>
      <c r="T1214" s="558"/>
      <c r="U1214" s="558"/>
      <c r="V1214" s="497"/>
      <c r="W1214" s="558"/>
      <c r="X1214" s="558"/>
      <c r="Y1214" s="352">
        <f>IF(NFI_Expiration=1,IF($A1214&lt;VLOOKUP(H$5,NFI,5,0),1,0)*Table_NFI[[#This Row],[Hygiene Kit]],Table_NFI[Hygiene Kit])</f>
        <v>0</v>
      </c>
      <c r="Z1214" s="352">
        <f>IF(NFI_Expiration=1,IF($A1214&lt;VLOOKUP(I$5,NFI,5,0),1,0)*Table_NFI[[#This Row],[NFI Core Kit]],Table_NFI[NFI Core Kit])</f>
        <v>0</v>
      </c>
      <c r="AA1214" s="352">
        <f>IF(NFI_Expiration=1,IF($A1214&lt;VLOOKUP(J$5,NFI,5,0),1,0)*Table_NFI[[#This Row],[Sanitary Kit]],Table_NFI[Sanitary Kit])</f>
        <v>0</v>
      </c>
      <c r="AB1214" s="352">
        <f>IF(NFI_Expiration=1,IF($A1214&lt;VLOOKUP(K$5,NFI,5,0),1,0)*Table_NFI[[#This Row],[Mosquito net]],Table_NFI[Mosquito net])</f>
        <v>0</v>
      </c>
      <c r="AC1214" s="352">
        <f>IF(NFI_Expiration=1,IF($A1214&lt;VLOOKUP(L$5,NFI,5,0),1,0)*Table_NFI[[#This Row],[Tarpaulin]],Table_NFI[[#This Row],[Tarpaulin]])</f>
        <v>0</v>
      </c>
      <c r="AD1214" s="352">
        <f>IF(NFI_Expiration=1,IF($A1214&lt;VLOOKUP(M$5,NFI,5,0),1,0)*Table_NFI[[#This Row],[Blanket]],Table_NFI[[#This Row],[Blanket]])</f>
        <v>0</v>
      </c>
      <c r="AE1214" s="352">
        <f>IF(NFI_Expiration=1,IF($A1214&lt;VLOOKUP(N$5,NFI,5,0),1,0)*Table_NFI[[#This Row],[Kitchen Set]],Table_NFI[Kitchen Set])</f>
        <v>0</v>
      </c>
      <c r="AF1214" s="352">
        <f>IF(NFI_Expiration=1,IF($A1214&lt;VLOOKUP(O$5,NFI,5,0),1,0)*Table_NFI[[#This Row],[Clothes Kit]],Table_NFI[Clothes Kit])</f>
        <v>0</v>
      </c>
      <c r="AG1214" s="352">
        <f>IF(NFI_Expiration=1,IF($A1214&lt;VLOOKUP(P$5,NFI,5,0),1,0)*Table_NFI[[#This Row],[Plastic Bucket]],Table_NFI[Plastic Bucket])</f>
        <v>0</v>
      </c>
      <c r="AH1214" s="352">
        <f>IF(NFI_Expiration=1,IF($A1214&lt;VLOOKUP(Q$5,NFI,5,0),1,0)*Table_NFI[[#This Row],[Plastic Mat]],Table_NFI[Plastic Mat])*IF(Table_NFI[[#This Row],[Distribution Date]]&gt;"2014-04-01",1,2.5)</f>
        <v>0</v>
      </c>
      <c r="AI1214" s="352">
        <f>IF(NFI_Expiration=1,IF($A1214&lt;VLOOKUP(R$5,NFI,5,0),1,0)*Table_NFI[[#This Row],[Winter Clothes Adult]],Table_NFI[Winter Clothes Adult])</f>
        <v>0</v>
      </c>
      <c r="AJ1214" s="352">
        <f>IF(NFI_Expiration=1,IF($A1214&lt;VLOOKUP(S$5,NFI,5,0),1,0)*Table_NFI[[#This Row],[Winter Clothes Children]],Table_NFI[Winter Clothes Children])</f>
        <v>0</v>
      </c>
      <c r="AK1214" s="352">
        <f>IF(NFI_Expiration=1,IF($A1214&lt;VLOOKUP(T$5,NFI,5,0),1,0)*Table_NFI[[#This Row],[Winter Items Other]],Table_NFI[Winter Items Other])</f>
        <v>0</v>
      </c>
      <c r="AL1214" s="352">
        <f>IF(NFI_Expiration=1,IF($A1214&lt;VLOOKUP(M$5,NFI,5,0),1,0)*Table_NFI[[#This Row],[Winter Blanket]],Table_NFI[[#This Row],[Winter Blanket]])</f>
        <v>0</v>
      </c>
      <c r="AM1214" s="352">
        <f>IF(Table_NFI[[#This Row],[Winter Clothes Adult]]+Table_NFI[[#This Row],[Winter Clothes Children]]+Table_NFI[[#This Row],[Winter Items Other]]+Table_NFI[[#This Row],[Winter Blanket]]&gt;0,1,0)</f>
        <v>0</v>
      </c>
      <c r="AN1214" s="392">
        <f>IF(NFI_Expiration=1,IF($A1214&lt;VLOOKUP(V$5,NFI,5,0),1,0)*Table_NFI[[#This Row],[Jerry Can]],Table_NFI[Jerry Can])</f>
        <v>0</v>
      </c>
      <c r="AO1214" s="540" t="str">
        <f>IFERROR(VLOOKUP(Table_NFI[[#This Row],[Camp Name]],CL,2,0),"")</f>
        <v/>
      </c>
      <c r="AP1214" s="535" t="str">
        <f ca="1">IF(Table_NFI[[#This Row],[Pcode]]="","",IF(OFFSET(CampList[Opening Date],MATCH(Table_NFI[[#This Row],[Pcode]],CampList[CP_Pcode],0)-1,0,1,1)&gt;=NFI_Monitor_Date,1,0))</f>
        <v/>
      </c>
      <c r="AQ1214" s="540" t="str">
        <f>IFERROR(VLOOKUP(Table_NFI[[#This Row],[Camp Name]],CL,3,0),"")</f>
        <v/>
      </c>
      <c r="AR1214" s="352" t="str">
        <f ca="1">IF(Table_NFI[[#This Row],[Pcode]]="","",OFFSET(CampList[Priority],MATCH(Table_NFI[[#This Row],[Pcode]],CampList[CP_Pcode],0)-1,0,1,1))</f>
        <v/>
      </c>
      <c r="AS1214" s="351" t="str">
        <f>IFERROR(Table_NFI[[#This Row],[Kitchen Set]]/VLOOKUP(Table_NFI[[#This Row],[Camp Name]],CL,4,0),"")</f>
        <v/>
      </c>
      <c r="AT1214" s="533"/>
      <c r="AU1214" s="536"/>
    </row>
    <row r="1215" spans="1:47" ht="14.45" hidden="1" customHeight="1" x14ac:dyDescent="0.25">
      <c r="A1215" s="355" t="str">
        <f t="shared" si="19"/>
        <v/>
      </c>
      <c r="B1215" s="532"/>
      <c r="C1215" s="538"/>
      <c r="D1215" s="538"/>
      <c r="E1215" s="538"/>
      <c r="F1215" s="538"/>
      <c r="G1215" s="538"/>
      <c r="H1215" s="350"/>
      <c r="I1215" s="350"/>
      <c r="J1215" s="350"/>
      <c r="K1215" s="350"/>
      <c r="L1215" s="350"/>
      <c r="M1215" s="350"/>
      <c r="N1215" s="350"/>
      <c r="O1215" s="350"/>
      <c r="P1215" s="352"/>
      <c r="Q1215" s="558"/>
      <c r="R1215" s="558"/>
      <c r="S1215" s="558"/>
      <c r="T1215" s="558"/>
      <c r="U1215" s="558"/>
      <c r="V1215" s="497"/>
      <c r="W1215" s="558"/>
      <c r="X1215" s="558"/>
      <c r="Y1215" s="352">
        <f>IF(NFI_Expiration=1,IF($A1215&lt;VLOOKUP(H$5,NFI,5,0),1,0)*Table_NFI[[#This Row],[Hygiene Kit]],Table_NFI[Hygiene Kit])</f>
        <v>0</v>
      </c>
      <c r="Z1215" s="352">
        <f>IF(NFI_Expiration=1,IF($A1215&lt;VLOOKUP(I$5,NFI,5,0),1,0)*Table_NFI[[#This Row],[NFI Core Kit]],Table_NFI[NFI Core Kit])</f>
        <v>0</v>
      </c>
      <c r="AA1215" s="352">
        <f>IF(NFI_Expiration=1,IF($A1215&lt;VLOOKUP(J$5,NFI,5,0),1,0)*Table_NFI[[#This Row],[Sanitary Kit]],Table_NFI[Sanitary Kit])</f>
        <v>0</v>
      </c>
      <c r="AB1215" s="352">
        <f>IF(NFI_Expiration=1,IF($A1215&lt;VLOOKUP(K$5,NFI,5,0),1,0)*Table_NFI[[#This Row],[Mosquito net]],Table_NFI[Mosquito net])</f>
        <v>0</v>
      </c>
      <c r="AC1215" s="352">
        <f>IF(NFI_Expiration=1,IF($A1215&lt;VLOOKUP(L$5,NFI,5,0),1,0)*Table_NFI[[#This Row],[Tarpaulin]],Table_NFI[[#This Row],[Tarpaulin]])</f>
        <v>0</v>
      </c>
      <c r="AD1215" s="352">
        <f>IF(NFI_Expiration=1,IF($A1215&lt;VLOOKUP(M$5,NFI,5,0),1,0)*Table_NFI[[#This Row],[Blanket]],Table_NFI[[#This Row],[Blanket]])</f>
        <v>0</v>
      </c>
      <c r="AE1215" s="352">
        <f>IF(NFI_Expiration=1,IF($A1215&lt;VLOOKUP(N$5,NFI,5,0),1,0)*Table_NFI[[#This Row],[Kitchen Set]],Table_NFI[Kitchen Set])</f>
        <v>0</v>
      </c>
      <c r="AF1215" s="352">
        <f>IF(NFI_Expiration=1,IF($A1215&lt;VLOOKUP(O$5,NFI,5,0),1,0)*Table_NFI[[#This Row],[Clothes Kit]],Table_NFI[Clothes Kit])</f>
        <v>0</v>
      </c>
      <c r="AG1215" s="352">
        <f>IF(NFI_Expiration=1,IF($A1215&lt;VLOOKUP(P$5,NFI,5,0),1,0)*Table_NFI[[#This Row],[Plastic Bucket]],Table_NFI[Plastic Bucket])</f>
        <v>0</v>
      </c>
      <c r="AH1215" s="352">
        <f>IF(NFI_Expiration=1,IF($A1215&lt;VLOOKUP(Q$5,NFI,5,0),1,0)*Table_NFI[[#This Row],[Plastic Mat]],Table_NFI[Plastic Mat])*IF(Table_NFI[[#This Row],[Distribution Date]]&gt;"2014-04-01",1,2.5)</f>
        <v>0</v>
      </c>
      <c r="AI1215" s="352">
        <f>IF(NFI_Expiration=1,IF($A1215&lt;VLOOKUP(R$5,NFI,5,0),1,0)*Table_NFI[[#This Row],[Winter Clothes Adult]],Table_NFI[Winter Clothes Adult])</f>
        <v>0</v>
      </c>
      <c r="AJ1215" s="352">
        <f>IF(NFI_Expiration=1,IF($A1215&lt;VLOOKUP(S$5,NFI,5,0),1,0)*Table_NFI[[#This Row],[Winter Clothes Children]],Table_NFI[Winter Clothes Children])</f>
        <v>0</v>
      </c>
      <c r="AK1215" s="352">
        <f>IF(NFI_Expiration=1,IF($A1215&lt;VLOOKUP(T$5,NFI,5,0),1,0)*Table_NFI[[#This Row],[Winter Items Other]],Table_NFI[Winter Items Other])</f>
        <v>0</v>
      </c>
      <c r="AL1215" s="352">
        <f>IF(NFI_Expiration=1,IF($A1215&lt;VLOOKUP(M$5,NFI,5,0),1,0)*Table_NFI[[#This Row],[Winter Blanket]],Table_NFI[[#This Row],[Winter Blanket]])</f>
        <v>0</v>
      </c>
      <c r="AM1215" s="352">
        <f>IF(Table_NFI[[#This Row],[Winter Clothes Adult]]+Table_NFI[[#This Row],[Winter Clothes Children]]+Table_NFI[[#This Row],[Winter Items Other]]+Table_NFI[[#This Row],[Winter Blanket]]&gt;0,1,0)</f>
        <v>0</v>
      </c>
      <c r="AN1215" s="392">
        <f>IF(NFI_Expiration=1,IF($A1215&lt;VLOOKUP(V$5,NFI,5,0),1,0)*Table_NFI[[#This Row],[Jerry Can]],Table_NFI[Jerry Can])</f>
        <v>0</v>
      </c>
      <c r="AO1215" s="540" t="str">
        <f>IFERROR(VLOOKUP(Table_NFI[[#This Row],[Camp Name]],CL,2,0),"")</f>
        <v/>
      </c>
      <c r="AP1215" s="535" t="str">
        <f ca="1">IF(Table_NFI[[#This Row],[Pcode]]="","",IF(OFFSET(CampList[Opening Date],MATCH(Table_NFI[[#This Row],[Pcode]],CampList[CP_Pcode],0)-1,0,1,1)&gt;=NFI_Monitor_Date,1,0))</f>
        <v/>
      </c>
      <c r="AQ1215" s="540" t="str">
        <f>IFERROR(VLOOKUP(Table_NFI[[#This Row],[Camp Name]],CL,3,0),"")</f>
        <v/>
      </c>
      <c r="AR1215" s="352" t="str">
        <f ca="1">IF(Table_NFI[[#This Row],[Pcode]]="","",OFFSET(CampList[Priority],MATCH(Table_NFI[[#This Row],[Pcode]],CampList[CP_Pcode],0)-1,0,1,1))</f>
        <v/>
      </c>
      <c r="AS1215" s="351" t="str">
        <f>IFERROR(Table_NFI[[#This Row],[Kitchen Set]]/VLOOKUP(Table_NFI[[#This Row],[Camp Name]],CL,4,0),"")</f>
        <v/>
      </c>
      <c r="AT1215" s="533"/>
      <c r="AU1215" s="536"/>
    </row>
    <row r="1216" spans="1:47" ht="14.45" hidden="1" customHeight="1" x14ac:dyDescent="0.25">
      <c r="A1216" s="355" t="str">
        <f t="shared" si="19"/>
        <v/>
      </c>
      <c r="B1216" s="532"/>
      <c r="C1216" s="538"/>
      <c r="D1216" s="538"/>
      <c r="E1216" s="538"/>
      <c r="F1216" s="538"/>
      <c r="G1216" s="538"/>
      <c r="H1216" s="350"/>
      <c r="I1216" s="350"/>
      <c r="J1216" s="350"/>
      <c r="K1216" s="350"/>
      <c r="L1216" s="350"/>
      <c r="M1216" s="350"/>
      <c r="N1216" s="350"/>
      <c r="O1216" s="350"/>
      <c r="P1216" s="352"/>
      <c r="Q1216" s="558"/>
      <c r="R1216" s="558"/>
      <c r="S1216" s="558"/>
      <c r="T1216" s="558"/>
      <c r="U1216" s="558"/>
      <c r="V1216" s="497"/>
      <c r="W1216" s="558"/>
      <c r="X1216" s="558"/>
      <c r="Y1216" s="352">
        <f>IF(NFI_Expiration=1,IF($A1216&lt;VLOOKUP(H$5,NFI,5,0),1,0)*Table_NFI[[#This Row],[Hygiene Kit]],Table_NFI[Hygiene Kit])</f>
        <v>0</v>
      </c>
      <c r="Z1216" s="352">
        <f>IF(NFI_Expiration=1,IF($A1216&lt;VLOOKUP(I$5,NFI,5,0),1,0)*Table_NFI[[#This Row],[NFI Core Kit]],Table_NFI[NFI Core Kit])</f>
        <v>0</v>
      </c>
      <c r="AA1216" s="352">
        <f>IF(NFI_Expiration=1,IF($A1216&lt;VLOOKUP(J$5,NFI,5,0),1,0)*Table_NFI[[#This Row],[Sanitary Kit]],Table_NFI[Sanitary Kit])</f>
        <v>0</v>
      </c>
      <c r="AB1216" s="352">
        <f>IF(NFI_Expiration=1,IF($A1216&lt;VLOOKUP(K$5,NFI,5,0),1,0)*Table_NFI[[#This Row],[Mosquito net]],Table_NFI[Mosquito net])</f>
        <v>0</v>
      </c>
      <c r="AC1216" s="352">
        <f>IF(NFI_Expiration=1,IF($A1216&lt;VLOOKUP(L$5,NFI,5,0),1,0)*Table_NFI[[#This Row],[Tarpaulin]],Table_NFI[[#This Row],[Tarpaulin]])</f>
        <v>0</v>
      </c>
      <c r="AD1216" s="352">
        <f>IF(NFI_Expiration=1,IF($A1216&lt;VLOOKUP(M$5,NFI,5,0),1,0)*Table_NFI[[#This Row],[Blanket]],Table_NFI[[#This Row],[Blanket]])</f>
        <v>0</v>
      </c>
      <c r="AE1216" s="352">
        <f>IF(NFI_Expiration=1,IF($A1216&lt;VLOOKUP(N$5,NFI,5,0),1,0)*Table_NFI[[#This Row],[Kitchen Set]],Table_NFI[Kitchen Set])</f>
        <v>0</v>
      </c>
      <c r="AF1216" s="352">
        <f>IF(NFI_Expiration=1,IF($A1216&lt;VLOOKUP(O$5,NFI,5,0),1,0)*Table_NFI[[#This Row],[Clothes Kit]],Table_NFI[Clothes Kit])</f>
        <v>0</v>
      </c>
      <c r="AG1216" s="352">
        <f>IF(NFI_Expiration=1,IF($A1216&lt;VLOOKUP(P$5,NFI,5,0),1,0)*Table_NFI[[#This Row],[Plastic Bucket]],Table_NFI[Plastic Bucket])</f>
        <v>0</v>
      </c>
      <c r="AH1216" s="352">
        <f>IF(NFI_Expiration=1,IF($A1216&lt;VLOOKUP(Q$5,NFI,5,0),1,0)*Table_NFI[[#This Row],[Plastic Mat]],Table_NFI[Plastic Mat])*IF(Table_NFI[[#This Row],[Distribution Date]]&gt;"2014-04-01",1,2.5)</f>
        <v>0</v>
      </c>
      <c r="AI1216" s="352">
        <f>IF(NFI_Expiration=1,IF($A1216&lt;VLOOKUP(R$5,NFI,5,0),1,0)*Table_NFI[[#This Row],[Winter Clothes Adult]],Table_NFI[Winter Clothes Adult])</f>
        <v>0</v>
      </c>
      <c r="AJ1216" s="352">
        <f>IF(NFI_Expiration=1,IF($A1216&lt;VLOOKUP(S$5,NFI,5,0),1,0)*Table_NFI[[#This Row],[Winter Clothes Children]],Table_NFI[Winter Clothes Children])</f>
        <v>0</v>
      </c>
      <c r="AK1216" s="352">
        <f>IF(NFI_Expiration=1,IF($A1216&lt;VLOOKUP(T$5,NFI,5,0),1,0)*Table_NFI[[#This Row],[Winter Items Other]],Table_NFI[Winter Items Other])</f>
        <v>0</v>
      </c>
      <c r="AL1216" s="352">
        <f>IF(NFI_Expiration=1,IF($A1216&lt;VLOOKUP(M$5,NFI,5,0),1,0)*Table_NFI[[#This Row],[Winter Blanket]],Table_NFI[[#This Row],[Winter Blanket]])</f>
        <v>0</v>
      </c>
      <c r="AM1216" s="352">
        <f>IF(Table_NFI[[#This Row],[Winter Clothes Adult]]+Table_NFI[[#This Row],[Winter Clothes Children]]+Table_NFI[[#This Row],[Winter Items Other]]+Table_NFI[[#This Row],[Winter Blanket]]&gt;0,1,0)</f>
        <v>0</v>
      </c>
      <c r="AN1216" s="392">
        <f>IF(NFI_Expiration=1,IF($A1216&lt;VLOOKUP(V$5,NFI,5,0),1,0)*Table_NFI[[#This Row],[Jerry Can]],Table_NFI[Jerry Can])</f>
        <v>0</v>
      </c>
      <c r="AO1216" s="540" t="str">
        <f>IFERROR(VLOOKUP(Table_NFI[[#This Row],[Camp Name]],CL,2,0),"")</f>
        <v/>
      </c>
      <c r="AP1216" s="535" t="str">
        <f ca="1">IF(Table_NFI[[#This Row],[Pcode]]="","",IF(OFFSET(CampList[Opening Date],MATCH(Table_NFI[[#This Row],[Pcode]],CampList[CP_Pcode],0)-1,0,1,1)&gt;=NFI_Monitor_Date,1,0))</f>
        <v/>
      </c>
      <c r="AQ1216" s="540" t="str">
        <f>IFERROR(VLOOKUP(Table_NFI[[#This Row],[Camp Name]],CL,3,0),"")</f>
        <v/>
      </c>
      <c r="AR1216" s="352" t="str">
        <f ca="1">IF(Table_NFI[[#This Row],[Pcode]]="","",OFFSET(CampList[Priority],MATCH(Table_NFI[[#This Row],[Pcode]],CampList[CP_Pcode],0)-1,0,1,1))</f>
        <v/>
      </c>
      <c r="AS1216" s="351" t="str">
        <f>IFERROR(Table_NFI[[#This Row],[Kitchen Set]]/VLOOKUP(Table_NFI[[#This Row],[Camp Name]],CL,4,0),"")</f>
        <v/>
      </c>
      <c r="AT1216" s="533"/>
      <c r="AU1216" s="536"/>
    </row>
    <row r="1217" spans="1:47" ht="14.45" hidden="1" customHeight="1" x14ac:dyDescent="0.25">
      <c r="A1217" s="355" t="str">
        <f t="shared" si="19"/>
        <v/>
      </c>
      <c r="B1217" s="532"/>
      <c r="C1217" s="538"/>
      <c r="D1217" s="538"/>
      <c r="E1217" s="538"/>
      <c r="F1217" s="538"/>
      <c r="G1217" s="538"/>
      <c r="H1217" s="350"/>
      <c r="I1217" s="350"/>
      <c r="J1217" s="350"/>
      <c r="K1217" s="350"/>
      <c r="L1217" s="350"/>
      <c r="M1217" s="350"/>
      <c r="N1217" s="350"/>
      <c r="O1217" s="350"/>
      <c r="P1217" s="352"/>
      <c r="Q1217" s="558"/>
      <c r="R1217" s="558"/>
      <c r="S1217" s="558"/>
      <c r="T1217" s="558"/>
      <c r="U1217" s="558"/>
      <c r="V1217" s="497"/>
      <c r="W1217" s="558"/>
      <c r="X1217" s="558"/>
      <c r="Y1217" s="352">
        <f>IF(NFI_Expiration=1,IF($A1217&lt;VLOOKUP(H$5,NFI,5,0),1,0)*Table_NFI[[#This Row],[Hygiene Kit]],Table_NFI[Hygiene Kit])</f>
        <v>0</v>
      </c>
      <c r="Z1217" s="352">
        <f>IF(NFI_Expiration=1,IF($A1217&lt;VLOOKUP(I$5,NFI,5,0),1,0)*Table_NFI[[#This Row],[NFI Core Kit]],Table_NFI[NFI Core Kit])</f>
        <v>0</v>
      </c>
      <c r="AA1217" s="352">
        <f>IF(NFI_Expiration=1,IF($A1217&lt;VLOOKUP(J$5,NFI,5,0),1,0)*Table_NFI[[#This Row],[Sanitary Kit]],Table_NFI[Sanitary Kit])</f>
        <v>0</v>
      </c>
      <c r="AB1217" s="352">
        <f>IF(NFI_Expiration=1,IF($A1217&lt;VLOOKUP(K$5,NFI,5,0),1,0)*Table_NFI[[#This Row],[Mosquito net]],Table_NFI[Mosquito net])</f>
        <v>0</v>
      </c>
      <c r="AC1217" s="352">
        <f>IF(NFI_Expiration=1,IF($A1217&lt;VLOOKUP(L$5,NFI,5,0),1,0)*Table_NFI[[#This Row],[Tarpaulin]],Table_NFI[[#This Row],[Tarpaulin]])</f>
        <v>0</v>
      </c>
      <c r="AD1217" s="352">
        <f>IF(NFI_Expiration=1,IF($A1217&lt;VLOOKUP(M$5,NFI,5,0),1,0)*Table_NFI[[#This Row],[Blanket]],Table_NFI[[#This Row],[Blanket]])</f>
        <v>0</v>
      </c>
      <c r="AE1217" s="352">
        <f>IF(NFI_Expiration=1,IF($A1217&lt;VLOOKUP(N$5,NFI,5,0),1,0)*Table_NFI[[#This Row],[Kitchen Set]],Table_NFI[Kitchen Set])</f>
        <v>0</v>
      </c>
      <c r="AF1217" s="352">
        <f>IF(NFI_Expiration=1,IF($A1217&lt;VLOOKUP(O$5,NFI,5,0),1,0)*Table_NFI[[#This Row],[Clothes Kit]],Table_NFI[Clothes Kit])</f>
        <v>0</v>
      </c>
      <c r="AG1217" s="352">
        <f>IF(NFI_Expiration=1,IF($A1217&lt;VLOOKUP(P$5,NFI,5,0),1,0)*Table_NFI[[#This Row],[Plastic Bucket]],Table_NFI[Plastic Bucket])</f>
        <v>0</v>
      </c>
      <c r="AH1217" s="352">
        <f>IF(NFI_Expiration=1,IF($A1217&lt;VLOOKUP(Q$5,NFI,5,0),1,0)*Table_NFI[[#This Row],[Plastic Mat]],Table_NFI[Plastic Mat])*IF(Table_NFI[[#This Row],[Distribution Date]]&gt;"2014-04-01",1,2.5)</f>
        <v>0</v>
      </c>
      <c r="AI1217" s="352">
        <f>IF(NFI_Expiration=1,IF($A1217&lt;VLOOKUP(R$5,NFI,5,0),1,0)*Table_NFI[[#This Row],[Winter Clothes Adult]],Table_NFI[Winter Clothes Adult])</f>
        <v>0</v>
      </c>
      <c r="AJ1217" s="352">
        <f>IF(NFI_Expiration=1,IF($A1217&lt;VLOOKUP(S$5,NFI,5,0),1,0)*Table_NFI[[#This Row],[Winter Clothes Children]],Table_NFI[Winter Clothes Children])</f>
        <v>0</v>
      </c>
      <c r="AK1217" s="352">
        <f>IF(NFI_Expiration=1,IF($A1217&lt;VLOOKUP(T$5,NFI,5,0),1,0)*Table_NFI[[#This Row],[Winter Items Other]],Table_NFI[Winter Items Other])</f>
        <v>0</v>
      </c>
      <c r="AL1217" s="352">
        <f>IF(NFI_Expiration=1,IF($A1217&lt;VLOOKUP(M$5,NFI,5,0),1,0)*Table_NFI[[#This Row],[Winter Blanket]],Table_NFI[[#This Row],[Winter Blanket]])</f>
        <v>0</v>
      </c>
      <c r="AM1217" s="352">
        <f>IF(Table_NFI[[#This Row],[Winter Clothes Adult]]+Table_NFI[[#This Row],[Winter Clothes Children]]+Table_NFI[[#This Row],[Winter Items Other]]+Table_NFI[[#This Row],[Winter Blanket]]&gt;0,1,0)</f>
        <v>0</v>
      </c>
      <c r="AN1217" s="392">
        <f>IF(NFI_Expiration=1,IF($A1217&lt;VLOOKUP(V$5,NFI,5,0),1,0)*Table_NFI[[#This Row],[Jerry Can]],Table_NFI[Jerry Can])</f>
        <v>0</v>
      </c>
      <c r="AO1217" s="540" t="str">
        <f>IFERROR(VLOOKUP(Table_NFI[[#This Row],[Camp Name]],CL,2,0),"")</f>
        <v/>
      </c>
      <c r="AP1217" s="535" t="str">
        <f ca="1">IF(Table_NFI[[#This Row],[Pcode]]="","",IF(OFFSET(CampList[Opening Date],MATCH(Table_NFI[[#This Row],[Pcode]],CampList[CP_Pcode],0)-1,0,1,1)&gt;=NFI_Monitor_Date,1,0))</f>
        <v/>
      </c>
      <c r="AQ1217" s="540" t="str">
        <f>IFERROR(VLOOKUP(Table_NFI[[#This Row],[Camp Name]],CL,3,0),"")</f>
        <v/>
      </c>
      <c r="AR1217" s="352" t="str">
        <f ca="1">IF(Table_NFI[[#This Row],[Pcode]]="","",OFFSET(CampList[Priority],MATCH(Table_NFI[[#This Row],[Pcode]],CampList[CP_Pcode],0)-1,0,1,1))</f>
        <v/>
      </c>
      <c r="AS1217" s="351" t="str">
        <f>IFERROR(Table_NFI[[#This Row],[Kitchen Set]]/VLOOKUP(Table_NFI[[#This Row],[Camp Name]],CL,4,0),"")</f>
        <v/>
      </c>
      <c r="AT1217" s="533"/>
      <c r="AU1217" s="536"/>
    </row>
    <row r="1218" spans="1:47" ht="14.45" hidden="1" customHeight="1" x14ac:dyDescent="0.25">
      <c r="A1218" s="355" t="str">
        <f t="shared" si="19"/>
        <v/>
      </c>
      <c r="B1218" s="532"/>
      <c r="C1218" s="538"/>
      <c r="D1218" s="538"/>
      <c r="E1218" s="538"/>
      <c r="F1218" s="538"/>
      <c r="G1218" s="538"/>
      <c r="H1218" s="350"/>
      <c r="I1218" s="350"/>
      <c r="J1218" s="350"/>
      <c r="K1218" s="350"/>
      <c r="L1218" s="350"/>
      <c r="M1218" s="350"/>
      <c r="N1218" s="350"/>
      <c r="O1218" s="350"/>
      <c r="P1218" s="352"/>
      <c r="Q1218" s="558"/>
      <c r="R1218" s="558"/>
      <c r="S1218" s="558"/>
      <c r="T1218" s="558"/>
      <c r="U1218" s="558"/>
      <c r="V1218" s="497"/>
      <c r="W1218" s="558"/>
      <c r="X1218" s="558"/>
      <c r="Y1218" s="352">
        <f>IF(NFI_Expiration=1,IF($A1218&lt;VLOOKUP(H$5,NFI,5,0),1,0)*Table_NFI[[#This Row],[Hygiene Kit]],Table_NFI[Hygiene Kit])</f>
        <v>0</v>
      </c>
      <c r="Z1218" s="352">
        <f>IF(NFI_Expiration=1,IF($A1218&lt;VLOOKUP(I$5,NFI,5,0),1,0)*Table_NFI[[#This Row],[NFI Core Kit]],Table_NFI[NFI Core Kit])</f>
        <v>0</v>
      </c>
      <c r="AA1218" s="352">
        <f>IF(NFI_Expiration=1,IF($A1218&lt;VLOOKUP(J$5,NFI,5,0),1,0)*Table_NFI[[#This Row],[Sanitary Kit]],Table_NFI[Sanitary Kit])</f>
        <v>0</v>
      </c>
      <c r="AB1218" s="352">
        <f>IF(NFI_Expiration=1,IF($A1218&lt;VLOOKUP(K$5,NFI,5,0),1,0)*Table_NFI[[#This Row],[Mosquito net]],Table_NFI[Mosquito net])</f>
        <v>0</v>
      </c>
      <c r="AC1218" s="352">
        <f>IF(NFI_Expiration=1,IF($A1218&lt;VLOOKUP(L$5,NFI,5,0),1,0)*Table_NFI[[#This Row],[Tarpaulin]],Table_NFI[[#This Row],[Tarpaulin]])</f>
        <v>0</v>
      </c>
      <c r="AD1218" s="352">
        <f>IF(NFI_Expiration=1,IF($A1218&lt;VLOOKUP(M$5,NFI,5,0),1,0)*Table_NFI[[#This Row],[Blanket]],Table_NFI[[#This Row],[Blanket]])</f>
        <v>0</v>
      </c>
      <c r="AE1218" s="352">
        <f>IF(NFI_Expiration=1,IF($A1218&lt;VLOOKUP(N$5,NFI,5,0),1,0)*Table_NFI[[#This Row],[Kitchen Set]],Table_NFI[Kitchen Set])</f>
        <v>0</v>
      </c>
      <c r="AF1218" s="352">
        <f>IF(NFI_Expiration=1,IF($A1218&lt;VLOOKUP(O$5,NFI,5,0),1,0)*Table_NFI[[#This Row],[Clothes Kit]],Table_NFI[Clothes Kit])</f>
        <v>0</v>
      </c>
      <c r="AG1218" s="352">
        <f>IF(NFI_Expiration=1,IF($A1218&lt;VLOOKUP(P$5,NFI,5,0),1,0)*Table_NFI[[#This Row],[Plastic Bucket]],Table_NFI[Plastic Bucket])</f>
        <v>0</v>
      </c>
      <c r="AH1218" s="352">
        <f>IF(NFI_Expiration=1,IF($A1218&lt;VLOOKUP(Q$5,NFI,5,0),1,0)*Table_NFI[[#This Row],[Plastic Mat]],Table_NFI[Plastic Mat])*IF(Table_NFI[[#This Row],[Distribution Date]]&gt;"2014-04-01",1,2.5)</f>
        <v>0</v>
      </c>
      <c r="AI1218" s="352">
        <f>IF(NFI_Expiration=1,IF($A1218&lt;VLOOKUP(R$5,NFI,5,0),1,0)*Table_NFI[[#This Row],[Winter Clothes Adult]],Table_NFI[Winter Clothes Adult])</f>
        <v>0</v>
      </c>
      <c r="AJ1218" s="352">
        <f>IF(NFI_Expiration=1,IF($A1218&lt;VLOOKUP(S$5,NFI,5,0),1,0)*Table_NFI[[#This Row],[Winter Clothes Children]],Table_NFI[Winter Clothes Children])</f>
        <v>0</v>
      </c>
      <c r="AK1218" s="352">
        <f>IF(NFI_Expiration=1,IF($A1218&lt;VLOOKUP(T$5,NFI,5,0),1,0)*Table_NFI[[#This Row],[Winter Items Other]],Table_NFI[Winter Items Other])</f>
        <v>0</v>
      </c>
      <c r="AL1218" s="352">
        <f>IF(NFI_Expiration=1,IF($A1218&lt;VLOOKUP(M$5,NFI,5,0),1,0)*Table_NFI[[#This Row],[Winter Blanket]],Table_NFI[[#This Row],[Winter Blanket]])</f>
        <v>0</v>
      </c>
      <c r="AM1218" s="352">
        <f>IF(Table_NFI[[#This Row],[Winter Clothes Adult]]+Table_NFI[[#This Row],[Winter Clothes Children]]+Table_NFI[[#This Row],[Winter Items Other]]+Table_NFI[[#This Row],[Winter Blanket]]&gt;0,1,0)</f>
        <v>0</v>
      </c>
      <c r="AN1218" s="392">
        <f>IF(NFI_Expiration=1,IF($A1218&lt;VLOOKUP(V$5,NFI,5,0),1,0)*Table_NFI[[#This Row],[Jerry Can]],Table_NFI[Jerry Can])</f>
        <v>0</v>
      </c>
      <c r="AO1218" s="540" t="str">
        <f>IFERROR(VLOOKUP(Table_NFI[[#This Row],[Camp Name]],CL,2,0),"")</f>
        <v/>
      </c>
      <c r="AP1218" s="535" t="str">
        <f ca="1">IF(Table_NFI[[#This Row],[Pcode]]="","",IF(OFFSET(CampList[Opening Date],MATCH(Table_NFI[[#This Row],[Pcode]],CampList[CP_Pcode],0)-1,0,1,1)&gt;=NFI_Monitor_Date,1,0))</f>
        <v/>
      </c>
      <c r="AQ1218" s="540" t="str">
        <f>IFERROR(VLOOKUP(Table_NFI[[#This Row],[Camp Name]],CL,3,0),"")</f>
        <v/>
      </c>
      <c r="AR1218" s="352" t="str">
        <f ca="1">IF(Table_NFI[[#This Row],[Pcode]]="","",OFFSET(CampList[Priority],MATCH(Table_NFI[[#This Row],[Pcode]],CampList[CP_Pcode],0)-1,0,1,1))</f>
        <v/>
      </c>
      <c r="AS1218" s="351" t="str">
        <f>IFERROR(Table_NFI[[#This Row],[Kitchen Set]]/VLOOKUP(Table_NFI[[#This Row],[Camp Name]],CL,4,0),"")</f>
        <v/>
      </c>
      <c r="AT1218" s="533"/>
      <c r="AU1218" s="536"/>
    </row>
    <row r="1219" spans="1:47" ht="14.45" hidden="1" customHeight="1" x14ac:dyDescent="0.25">
      <c r="A1219" s="355" t="str">
        <f t="shared" si="19"/>
        <v/>
      </c>
      <c r="B1219" s="532"/>
      <c r="C1219" s="538"/>
      <c r="D1219" s="538"/>
      <c r="E1219" s="538"/>
      <c r="F1219" s="538"/>
      <c r="G1219" s="538"/>
      <c r="H1219" s="350"/>
      <c r="I1219" s="350"/>
      <c r="J1219" s="350"/>
      <c r="K1219" s="350"/>
      <c r="L1219" s="350"/>
      <c r="M1219" s="350"/>
      <c r="N1219" s="350"/>
      <c r="O1219" s="350"/>
      <c r="P1219" s="352"/>
      <c r="Q1219" s="558"/>
      <c r="R1219" s="558"/>
      <c r="S1219" s="558"/>
      <c r="T1219" s="558"/>
      <c r="U1219" s="558"/>
      <c r="V1219" s="497"/>
      <c r="W1219" s="558"/>
      <c r="X1219" s="558"/>
      <c r="Y1219" s="352">
        <f>IF(NFI_Expiration=1,IF($A1219&lt;VLOOKUP(H$5,NFI,5,0),1,0)*Table_NFI[[#This Row],[Hygiene Kit]],Table_NFI[Hygiene Kit])</f>
        <v>0</v>
      </c>
      <c r="Z1219" s="352">
        <f>IF(NFI_Expiration=1,IF($A1219&lt;VLOOKUP(I$5,NFI,5,0),1,0)*Table_NFI[[#This Row],[NFI Core Kit]],Table_NFI[NFI Core Kit])</f>
        <v>0</v>
      </c>
      <c r="AA1219" s="352">
        <f>IF(NFI_Expiration=1,IF($A1219&lt;VLOOKUP(J$5,NFI,5,0),1,0)*Table_NFI[[#This Row],[Sanitary Kit]],Table_NFI[Sanitary Kit])</f>
        <v>0</v>
      </c>
      <c r="AB1219" s="352">
        <f>IF(NFI_Expiration=1,IF($A1219&lt;VLOOKUP(K$5,NFI,5,0),1,0)*Table_NFI[[#This Row],[Mosquito net]],Table_NFI[Mosquito net])</f>
        <v>0</v>
      </c>
      <c r="AC1219" s="352">
        <f>IF(NFI_Expiration=1,IF($A1219&lt;VLOOKUP(L$5,NFI,5,0),1,0)*Table_NFI[[#This Row],[Tarpaulin]],Table_NFI[[#This Row],[Tarpaulin]])</f>
        <v>0</v>
      </c>
      <c r="AD1219" s="352">
        <f>IF(NFI_Expiration=1,IF($A1219&lt;VLOOKUP(M$5,NFI,5,0),1,0)*Table_NFI[[#This Row],[Blanket]],Table_NFI[[#This Row],[Blanket]])</f>
        <v>0</v>
      </c>
      <c r="AE1219" s="352">
        <f>IF(NFI_Expiration=1,IF($A1219&lt;VLOOKUP(N$5,NFI,5,0),1,0)*Table_NFI[[#This Row],[Kitchen Set]],Table_NFI[Kitchen Set])</f>
        <v>0</v>
      </c>
      <c r="AF1219" s="352">
        <f>IF(NFI_Expiration=1,IF($A1219&lt;VLOOKUP(O$5,NFI,5,0),1,0)*Table_NFI[[#This Row],[Clothes Kit]],Table_NFI[Clothes Kit])</f>
        <v>0</v>
      </c>
      <c r="AG1219" s="352">
        <f>IF(NFI_Expiration=1,IF($A1219&lt;VLOOKUP(P$5,NFI,5,0),1,0)*Table_NFI[[#This Row],[Plastic Bucket]],Table_NFI[Plastic Bucket])</f>
        <v>0</v>
      </c>
      <c r="AH1219" s="352">
        <f>IF(NFI_Expiration=1,IF($A1219&lt;VLOOKUP(Q$5,NFI,5,0),1,0)*Table_NFI[[#This Row],[Plastic Mat]],Table_NFI[Plastic Mat])*IF(Table_NFI[[#This Row],[Distribution Date]]&gt;"2014-04-01",1,2.5)</f>
        <v>0</v>
      </c>
      <c r="AI1219" s="352">
        <f>IF(NFI_Expiration=1,IF($A1219&lt;VLOOKUP(R$5,NFI,5,0),1,0)*Table_NFI[[#This Row],[Winter Clothes Adult]],Table_NFI[Winter Clothes Adult])</f>
        <v>0</v>
      </c>
      <c r="AJ1219" s="352">
        <f>IF(NFI_Expiration=1,IF($A1219&lt;VLOOKUP(S$5,NFI,5,0),1,0)*Table_NFI[[#This Row],[Winter Clothes Children]],Table_NFI[Winter Clothes Children])</f>
        <v>0</v>
      </c>
      <c r="AK1219" s="352">
        <f>IF(NFI_Expiration=1,IF($A1219&lt;VLOOKUP(T$5,NFI,5,0),1,0)*Table_NFI[[#This Row],[Winter Items Other]],Table_NFI[Winter Items Other])</f>
        <v>0</v>
      </c>
      <c r="AL1219" s="352">
        <f>IF(NFI_Expiration=1,IF($A1219&lt;VLOOKUP(M$5,NFI,5,0),1,0)*Table_NFI[[#This Row],[Winter Blanket]],Table_NFI[[#This Row],[Winter Blanket]])</f>
        <v>0</v>
      </c>
      <c r="AM1219" s="352">
        <f>IF(Table_NFI[[#This Row],[Winter Clothes Adult]]+Table_NFI[[#This Row],[Winter Clothes Children]]+Table_NFI[[#This Row],[Winter Items Other]]+Table_NFI[[#This Row],[Winter Blanket]]&gt;0,1,0)</f>
        <v>0</v>
      </c>
      <c r="AN1219" s="392">
        <f>IF(NFI_Expiration=1,IF($A1219&lt;VLOOKUP(V$5,NFI,5,0),1,0)*Table_NFI[[#This Row],[Jerry Can]],Table_NFI[Jerry Can])</f>
        <v>0</v>
      </c>
      <c r="AO1219" s="540" t="str">
        <f>IFERROR(VLOOKUP(Table_NFI[[#This Row],[Camp Name]],CL,2,0),"")</f>
        <v/>
      </c>
      <c r="AP1219" s="535" t="str">
        <f ca="1">IF(Table_NFI[[#This Row],[Pcode]]="","",IF(OFFSET(CampList[Opening Date],MATCH(Table_NFI[[#This Row],[Pcode]],CampList[CP_Pcode],0)-1,0,1,1)&gt;=NFI_Monitor_Date,1,0))</f>
        <v/>
      </c>
      <c r="AQ1219" s="540" t="str">
        <f>IFERROR(VLOOKUP(Table_NFI[[#This Row],[Camp Name]],CL,3,0),"")</f>
        <v/>
      </c>
      <c r="AR1219" s="352" t="str">
        <f ca="1">IF(Table_NFI[[#This Row],[Pcode]]="","",OFFSET(CampList[Priority],MATCH(Table_NFI[[#This Row],[Pcode]],CampList[CP_Pcode],0)-1,0,1,1))</f>
        <v/>
      </c>
      <c r="AS1219" s="351" t="str">
        <f>IFERROR(Table_NFI[[#This Row],[Kitchen Set]]/VLOOKUP(Table_NFI[[#This Row],[Camp Name]],CL,4,0),"")</f>
        <v/>
      </c>
      <c r="AT1219" s="538"/>
      <c r="AU1219" s="541"/>
    </row>
    <row r="1220" spans="1:47" ht="14.45" hidden="1" customHeight="1" x14ac:dyDescent="0.25">
      <c r="A1220" s="355" t="str">
        <f t="shared" si="19"/>
        <v/>
      </c>
      <c r="B1220" s="532"/>
      <c r="C1220" s="538"/>
      <c r="D1220" s="538"/>
      <c r="E1220" s="538"/>
      <c r="F1220" s="538"/>
      <c r="G1220" s="538"/>
      <c r="H1220" s="350"/>
      <c r="I1220" s="350"/>
      <c r="J1220" s="350"/>
      <c r="K1220" s="350"/>
      <c r="L1220" s="350"/>
      <c r="M1220" s="350"/>
      <c r="N1220" s="350"/>
      <c r="O1220" s="350"/>
      <c r="P1220" s="352"/>
      <c r="Q1220" s="558"/>
      <c r="R1220" s="558"/>
      <c r="S1220" s="558"/>
      <c r="T1220" s="558"/>
      <c r="U1220" s="558"/>
      <c r="V1220" s="497"/>
      <c r="W1220" s="558"/>
      <c r="X1220" s="558"/>
      <c r="Y1220" s="352">
        <f>IF(NFI_Expiration=1,IF($A1220&lt;VLOOKUP(H$5,NFI,5,0),1,0)*Table_NFI[[#This Row],[Hygiene Kit]],Table_NFI[Hygiene Kit])</f>
        <v>0</v>
      </c>
      <c r="Z1220" s="352">
        <f>IF(NFI_Expiration=1,IF($A1220&lt;VLOOKUP(I$5,NFI,5,0),1,0)*Table_NFI[[#This Row],[NFI Core Kit]],Table_NFI[NFI Core Kit])</f>
        <v>0</v>
      </c>
      <c r="AA1220" s="352">
        <f>IF(NFI_Expiration=1,IF($A1220&lt;VLOOKUP(J$5,NFI,5,0),1,0)*Table_NFI[[#This Row],[Sanitary Kit]],Table_NFI[Sanitary Kit])</f>
        <v>0</v>
      </c>
      <c r="AB1220" s="352">
        <f>IF(NFI_Expiration=1,IF($A1220&lt;VLOOKUP(K$5,NFI,5,0),1,0)*Table_NFI[[#This Row],[Mosquito net]],Table_NFI[Mosquito net])</f>
        <v>0</v>
      </c>
      <c r="AC1220" s="352">
        <f>IF(NFI_Expiration=1,IF($A1220&lt;VLOOKUP(L$5,NFI,5,0),1,0)*Table_NFI[[#This Row],[Tarpaulin]],Table_NFI[[#This Row],[Tarpaulin]])</f>
        <v>0</v>
      </c>
      <c r="AD1220" s="352">
        <f>IF(NFI_Expiration=1,IF($A1220&lt;VLOOKUP(M$5,NFI,5,0),1,0)*Table_NFI[[#This Row],[Blanket]],Table_NFI[[#This Row],[Blanket]])</f>
        <v>0</v>
      </c>
      <c r="AE1220" s="352">
        <f>IF(NFI_Expiration=1,IF($A1220&lt;VLOOKUP(N$5,NFI,5,0),1,0)*Table_NFI[[#This Row],[Kitchen Set]],Table_NFI[Kitchen Set])</f>
        <v>0</v>
      </c>
      <c r="AF1220" s="352">
        <f>IF(NFI_Expiration=1,IF($A1220&lt;VLOOKUP(O$5,NFI,5,0),1,0)*Table_NFI[[#This Row],[Clothes Kit]],Table_NFI[Clothes Kit])</f>
        <v>0</v>
      </c>
      <c r="AG1220" s="352">
        <f>IF(NFI_Expiration=1,IF($A1220&lt;VLOOKUP(P$5,NFI,5,0),1,0)*Table_NFI[[#This Row],[Plastic Bucket]],Table_NFI[Plastic Bucket])</f>
        <v>0</v>
      </c>
      <c r="AH1220" s="352">
        <f>IF(NFI_Expiration=1,IF($A1220&lt;VLOOKUP(Q$5,NFI,5,0),1,0)*Table_NFI[[#This Row],[Plastic Mat]],Table_NFI[Plastic Mat])*IF(Table_NFI[[#This Row],[Distribution Date]]&gt;"2014-04-01",1,2.5)</f>
        <v>0</v>
      </c>
      <c r="AI1220" s="352">
        <f>IF(NFI_Expiration=1,IF($A1220&lt;VLOOKUP(R$5,NFI,5,0),1,0)*Table_NFI[[#This Row],[Winter Clothes Adult]],Table_NFI[Winter Clothes Adult])</f>
        <v>0</v>
      </c>
      <c r="AJ1220" s="352">
        <f>IF(NFI_Expiration=1,IF($A1220&lt;VLOOKUP(S$5,NFI,5,0),1,0)*Table_NFI[[#This Row],[Winter Clothes Children]],Table_NFI[Winter Clothes Children])</f>
        <v>0</v>
      </c>
      <c r="AK1220" s="352">
        <f>IF(NFI_Expiration=1,IF($A1220&lt;VLOOKUP(T$5,NFI,5,0),1,0)*Table_NFI[[#This Row],[Winter Items Other]],Table_NFI[Winter Items Other])</f>
        <v>0</v>
      </c>
      <c r="AL1220" s="352">
        <f>IF(NFI_Expiration=1,IF($A1220&lt;VLOOKUP(M$5,NFI,5,0),1,0)*Table_NFI[[#This Row],[Winter Blanket]],Table_NFI[[#This Row],[Winter Blanket]])</f>
        <v>0</v>
      </c>
      <c r="AM1220" s="352">
        <f>IF(Table_NFI[[#This Row],[Winter Clothes Adult]]+Table_NFI[[#This Row],[Winter Clothes Children]]+Table_NFI[[#This Row],[Winter Items Other]]+Table_NFI[[#This Row],[Winter Blanket]]&gt;0,1,0)</f>
        <v>0</v>
      </c>
      <c r="AN1220" s="392">
        <f>IF(NFI_Expiration=1,IF($A1220&lt;VLOOKUP(V$5,NFI,5,0),1,0)*Table_NFI[[#This Row],[Jerry Can]],Table_NFI[Jerry Can])</f>
        <v>0</v>
      </c>
      <c r="AO1220" s="540" t="str">
        <f>IFERROR(VLOOKUP(Table_NFI[[#This Row],[Camp Name]],CL,2,0),"")</f>
        <v/>
      </c>
      <c r="AP1220" s="535" t="str">
        <f ca="1">IF(Table_NFI[[#This Row],[Pcode]]="","",IF(OFFSET(CampList[Opening Date],MATCH(Table_NFI[[#This Row],[Pcode]],CampList[CP_Pcode],0)-1,0,1,1)&gt;=NFI_Monitor_Date,1,0))</f>
        <v/>
      </c>
      <c r="AQ1220" s="540" t="str">
        <f>IFERROR(VLOOKUP(Table_NFI[[#This Row],[Camp Name]],CL,3,0),"")</f>
        <v/>
      </c>
      <c r="AR1220" s="352" t="str">
        <f ca="1">IF(Table_NFI[[#This Row],[Pcode]]="","",OFFSET(CampList[Priority],MATCH(Table_NFI[[#This Row],[Pcode]],CampList[CP_Pcode],0)-1,0,1,1))</f>
        <v/>
      </c>
      <c r="AS1220" s="351" t="str">
        <f>IFERROR(Table_NFI[[#This Row],[Kitchen Set]]/VLOOKUP(Table_NFI[[#This Row],[Camp Name]],CL,4,0),"")</f>
        <v/>
      </c>
      <c r="AT1220" s="538"/>
      <c r="AU1220" s="541"/>
    </row>
    <row r="1221" spans="1:47" ht="14.45" hidden="1" customHeight="1" x14ac:dyDescent="0.25">
      <c r="A1221" s="355" t="str">
        <f t="shared" si="19"/>
        <v/>
      </c>
      <c r="B1221" s="532"/>
      <c r="C1221" s="538"/>
      <c r="D1221" s="538"/>
      <c r="E1221" s="538"/>
      <c r="F1221" s="538"/>
      <c r="G1221" s="538"/>
      <c r="H1221" s="350"/>
      <c r="I1221" s="350"/>
      <c r="J1221" s="350"/>
      <c r="K1221" s="350"/>
      <c r="L1221" s="350"/>
      <c r="M1221" s="350"/>
      <c r="N1221" s="350"/>
      <c r="O1221" s="350"/>
      <c r="P1221" s="352"/>
      <c r="Q1221" s="558"/>
      <c r="R1221" s="558"/>
      <c r="S1221" s="558"/>
      <c r="T1221" s="558"/>
      <c r="U1221" s="558"/>
      <c r="V1221" s="497"/>
      <c r="W1221" s="558"/>
      <c r="X1221" s="558"/>
      <c r="Y1221" s="352">
        <f>IF(NFI_Expiration=1,IF($A1221&lt;VLOOKUP(H$5,NFI,5,0),1,0)*Table_NFI[[#This Row],[Hygiene Kit]],Table_NFI[Hygiene Kit])</f>
        <v>0</v>
      </c>
      <c r="Z1221" s="352">
        <f>IF(NFI_Expiration=1,IF($A1221&lt;VLOOKUP(I$5,NFI,5,0),1,0)*Table_NFI[[#This Row],[NFI Core Kit]],Table_NFI[NFI Core Kit])</f>
        <v>0</v>
      </c>
      <c r="AA1221" s="352">
        <f>IF(NFI_Expiration=1,IF($A1221&lt;VLOOKUP(J$5,NFI,5,0),1,0)*Table_NFI[[#This Row],[Sanitary Kit]],Table_NFI[Sanitary Kit])</f>
        <v>0</v>
      </c>
      <c r="AB1221" s="352">
        <f>IF(NFI_Expiration=1,IF($A1221&lt;VLOOKUP(K$5,NFI,5,0),1,0)*Table_NFI[[#This Row],[Mosquito net]],Table_NFI[Mosquito net])</f>
        <v>0</v>
      </c>
      <c r="AC1221" s="352">
        <f>IF(NFI_Expiration=1,IF($A1221&lt;VLOOKUP(L$5,NFI,5,0),1,0)*Table_NFI[[#This Row],[Tarpaulin]],Table_NFI[[#This Row],[Tarpaulin]])</f>
        <v>0</v>
      </c>
      <c r="AD1221" s="352">
        <f>IF(NFI_Expiration=1,IF($A1221&lt;VLOOKUP(M$5,NFI,5,0),1,0)*Table_NFI[[#This Row],[Blanket]],Table_NFI[[#This Row],[Blanket]])</f>
        <v>0</v>
      </c>
      <c r="AE1221" s="352">
        <f>IF(NFI_Expiration=1,IF($A1221&lt;VLOOKUP(N$5,NFI,5,0),1,0)*Table_NFI[[#This Row],[Kitchen Set]],Table_NFI[Kitchen Set])</f>
        <v>0</v>
      </c>
      <c r="AF1221" s="352">
        <f>IF(NFI_Expiration=1,IF($A1221&lt;VLOOKUP(O$5,NFI,5,0),1,0)*Table_NFI[[#This Row],[Clothes Kit]],Table_NFI[Clothes Kit])</f>
        <v>0</v>
      </c>
      <c r="AG1221" s="352">
        <f>IF(NFI_Expiration=1,IF($A1221&lt;VLOOKUP(P$5,NFI,5,0),1,0)*Table_NFI[[#This Row],[Plastic Bucket]],Table_NFI[Plastic Bucket])</f>
        <v>0</v>
      </c>
      <c r="AH1221" s="352">
        <f>IF(NFI_Expiration=1,IF($A1221&lt;VLOOKUP(Q$5,NFI,5,0),1,0)*Table_NFI[[#This Row],[Plastic Mat]],Table_NFI[Plastic Mat])*IF(Table_NFI[[#This Row],[Distribution Date]]&gt;"2014-04-01",1,2.5)</f>
        <v>0</v>
      </c>
      <c r="AI1221" s="352">
        <f>IF(NFI_Expiration=1,IF($A1221&lt;VLOOKUP(R$5,NFI,5,0),1,0)*Table_NFI[[#This Row],[Winter Clothes Adult]],Table_NFI[Winter Clothes Adult])</f>
        <v>0</v>
      </c>
      <c r="AJ1221" s="352">
        <f>IF(NFI_Expiration=1,IF($A1221&lt;VLOOKUP(S$5,NFI,5,0),1,0)*Table_NFI[[#This Row],[Winter Clothes Children]],Table_NFI[Winter Clothes Children])</f>
        <v>0</v>
      </c>
      <c r="AK1221" s="352">
        <f>IF(NFI_Expiration=1,IF($A1221&lt;VLOOKUP(T$5,NFI,5,0),1,0)*Table_NFI[[#This Row],[Winter Items Other]],Table_NFI[Winter Items Other])</f>
        <v>0</v>
      </c>
      <c r="AL1221" s="352">
        <f>IF(NFI_Expiration=1,IF($A1221&lt;VLOOKUP(M$5,NFI,5,0),1,0)*Table_NFI[[#This Row],[Winter Blanket]],Table_NFI[[#This Row],[Winter Blanket]])</f>
        <v>0</v>
      </c>
      <c r="AM1221" s="352">
        <f>IF(Table_NFI[[#This Row],[Winter Clothes Adult]]+Table_NFI[[#This Row],[Winter Clothes Children]]+Table_NFI[[#This Row],[Winter Items Other]]+Table_NFI[[#This Row],[Winter Blanket]]&gt;0,1,0)</f>
        <v>0</v>
      </c>
      <c r="AN1221" s="392">
        <f>IF(NFI_Expiration=1,IF($A1221&lt;VLOOKUP(V$5,NFI,5,0),1,0)*Table_NFI[[#This Row],[Jerry Can]],Table_NFI[Jerry Can])</f>
        <v>0</v>
      </c>
      <c r="AO1221" s="540" t="str">
        <f>IFERROR(VLOOKUP(Table_NFI[[#This Row],[Camp Name]],CL,2,0),"")</f>
        <v/>
      </c>
      <c r="AP1221" s="535" t="str">
        <f ca="1">IF(Table_NFI[[#This Row],[Pcode]]="","",IF(OFFSET(CampList[Opening Date],MATCH(Table_NFI[[#This Row],[Pcode]],CampList[CP_Pcode],0)-1,0,1,1)&gt;=NFI_Monitor_Date,1,0))</f>
        <v/>
      </c>
      <c r="AQ1221" s="540" t="str">
        <f>IFERROR(VLOOKUP(Table_NFI[[#This Row],[Camp Name]],CL,3,0),"")</f>
        <v/>
      </c>
      <c r="AR1221" s="352" t="str">
        <f ca="1">IF(Table_NFI[[#This Row],[Pcode]]="","",OFFSET(CampList[Priority],MATCH(Table_NFI[[#This Row],[Pcode]],CampList[CP_Pcode],0)-1,0,1,1))</f>
        <v/>
      </c>
      <c r="AS1221" s="351" t="str">
        <f>IFERROR(Table_NFI[[#This Row],[Kitchen Set]]/VLOOKUP(Table_NFI[[#This Row],[Camp Name]],CL,4,0),"")</f>
        <v/>
      </c>
      <c r="AT1221" s="538"/>
      <c r="AU1221" s="541"/>
    </row>
    <row r="1222" spans="1:47" ht="14.45" hidden="1" customHeight="1" x14ac:dyDescent="0.25">
      <c r="A1222" s="355" t="str">
        <f t="shared" si="19"/>
        <v/>
      </c>
      <c r="B1222" s="532"/>
      <c r="C1222" s="538"/>
      <c r="D1222" s="538"/>
      <c r="E1222" s="538"/>
      <c r="F1222" s="538"/>
      <c r="G1222" s="538"/>
      <c r="H1222" s="350"/>
      <c r="I1222" s="350"/>
      <c r="J1222" s="350"/>
      <c r="K1222" s="350"/>
      <c r="L1222" s="350"/>
      <c r="M1222" s="350"/>
      <c r="N1222" s="350"/>
      <c r="O1222" s="350"/>
      <c r="P1222" s="352"/>
      <c r="Q1222" s="558"/>
      <c r="R1222" s="558"/>
      <c r="S1222" s="558"/>
      <c r="T1222" s="558"/>
      <c r="U1222" s="558"/>
      <c r="V1222" s="497"/>
      <c r="W1222" s="558"/>
      <c r="X1222" s="558"/>
      <c r="Y1222" s="352">
        <f>IF(NFI_Expiration=1,IF($A1222&lt;VLOOKUP(H$5,NFI,5,0),1,0)*Table_NFI[[#This Row],[Hygiene Kit]],Table_NFI[Hygiene Kit])</f>
        <v>0</v>
      </c>
      <c r="Z1222" s="352">
        <f>IF(NFI_Expiration=1,IF($A1222&lt;VLOOKUP(I$5,NFI,5,0),1,0)*Table_NFI[[#This Row],[NFI Core Kit]],Table_NFI[NFI Core Kit])</f>
        <v>0</v>
      </c>
      <c r="AA1222" s="352">
        <f>IF(NFI_Expiration=1,IF($A1222&lt;VLOOKUP(J$5,NFI,5,0),1,0)*Table_NFI[[#This Row],[Sanitary Kit]],Table_NFI[Sanitary Kit])</f>
        <v>0</v>
      </c>
      <c r="AB1222" s="352">
        <f>IF(NFI_Expiration=1,IF($A1222&lt;VLOOKUP(K$5,NFI,5,0),1,0)*Table_NFI[[#This Row],[Mosquito net]],Table_NFI[Mosquito net])</f>
        <v>0</v>
      </c>
      <c r="AC1222" s="352">
        <f>IF(NFI_Expiration=1,IF($A1222&lt;VLOOKUP(L$5,NFI,5,0),1,0)*Table_NFI[[#This Row],[Tarpaulin]],Table_NFI[[#This Row],[Tarpaulin]])</f>
        <v>0</v>
      </c>
      <c r="AD1222" s="352">
        <f>IF(NFI_Expiration=1,IF($A1222&lt;VLOOKUP(M$5,NFI,5,0),1,0)*Table_NFI[[#This Row],[Blanket]],Table_NFI[[#This Row],[Blanket]])</f>
        <v>0</v>
      </c>
      <c r="AE1222" s="352">
        <f>IF(NFI_Expiration=1,IF($A1222&lt;VLOOKUP(N$5,NFI,5,0),1,0)*Table_NFI[[#This Row],[Kitchen Set]],Table_NFI[Kitchen Set])</f>
        <v>0</v>
      </c>
      <c r="AF1222" s="352">
        <f>IF(NFI_Expiration=1,IF($A1222&lt;VLOOKUP(O$5,NFI,5,0),1,0)*Table_NFI[[#This Row],[Clothes Kit]],Table_NFI[Clothes Kit])</f>
        <v>0</v>
      </c>
      <c r="AG1222" s="352">
        <f>IF(NFI_Expiration=1,IF($A1222&lt;VLOOKUP(P$5,NFI,5,0),1,0)*Table_NFI[[#This Row],[Plastic Bucket]],Table_NFI[Plastic Bucket])</f>
        <v>0</v>
      </c>
      <c r="AH1222" s="352">
        <f>IF(NFI_Expiration=1,IF($A1222&lt;VLOOKUP(Q$5,NFI,5,0),1,0)*Table_NFI[[#This Row],[Plastic Mat]],Table_NFI[Plastic Mat])*IF(Table_NFI[[#This Row],[Distribution Date]]&gt;"2014-04-01",1,2.5)</f>
        <v>0</v>
      </c>
      <c r="AI1222" s="352">
        <f>IF(NFI_Expiration=1,IF($A1222&lt;VLOOKUP(R$5,NFI,5,0),1,0)*Table_NFI[[#This Row],[Winter Clothes Adult]],Table_NFI[Winter Clothes Adult])</f>
        <v>0</v>
      </c>
      <c r="AJ1222" s="352">
        <f>IF(NFI_Expiration=1,IF($A1222&lt;VLOOKUP(S$5,NFI,5,0),1,0)*Table_NFI[[#This Row],[Winter Clothes Children]],Table_NFI[Winter Clothes Children])</f>
        <v>0</v>
      </c>
      <c r="AK1222" s="352">
        <f>IF(NFI_Expiration=1,IF($A1222&lt;VLOOKUP(T$5,NFI,5,0),1,0)*Table_NFI[[#This Row],[Winter Items Other]],Table_NFI[Winter Items Other])</f>
        <v>0</v>
      </c>
      <c r="AL1222" s="352">
        <f>IF(NFI_Expiration=1,IF($A1222&lt;VLOOKUP(M$5,NFI,5,0),1,0)*Table_NFI[[#This Row],[Winter Blanket]],Table_NFI[[#This Row],[Winter Blanket]])</f>
        <v>0</v>
      </c>
      <c r="AM1222" s="352">
        <f>IF(Table_NFI[[#This Row],[Winter Clothes Adult]]+Table_NFI[[#This Row],[Winter Clothes Children]]+Table_NFI[[#This Row],[Winter Items Other]]+Table_NFI[[#This Row],[Winter Blanket]]&gt;0,1,0)</f>
        <v>0</v>
      </c>
      <c r="AN1222" s="392">
        <f>IF(NFI_Expiration=1,IF($A1222&lt;VLOOKUP(V$5,NFI,5,0),1,0)*Table_NFI[[#This Row],[Jerry Can]],Table_NFI[Jerry Can])</f>
        <v>0</v>
      </c>
      <c r="AO1222" s="540" t="str">
        <f>IFERROR(VLOOKUP(Table_NFI[[#This Row],[Camp Name]],CL,2,0),"")</f>
        <v/>
      </c>
      <c r="AP1222" s="535" t="str">
        <f ca="1">IF(Table_NFI[[#This Row],[Pcode]]="","",IF(OFFSET(CampList[Opening Date],MATCH(Table_NFI[[#This Row],[Pcode]],CampList[CP_Pcode],0)-1,0,1,1)&gt;=NFI_Monitor_Date,1,0))</f>
        <v/>
      </c>
      <c r="AQ1222" s="540" t="str">
        <f>IFERROR(VLOOKUP(Table_NFI[[#This Row],[Camp Name]],CL,3,0),"")</f>
        <v/>
      </c>
      <c r="AR1222" s="352" t="str">
        <f ca="1">IF(Table_NFI[[#This Row],[Pcode]]="","",OFFSET(CampList[Priority],MATCH(Table_NFI[[#This Row],[Pcode]],CampList[CP_Pcode],0)-1,0,1,1))</f>
        <v/>
      </c>
      <c r="AS1222" s="351" t="str">
        <f>IFERROR(Table_NFI[[#This Row],[Kitchen Set]]/VLOOKUP(Table_NFI[[#This Row],[Camp Name]],CL,4,0),"")</f>
        <v/>
      </c>
      <c r="AT1222" s="538"/>
      <c r="AU1222" s="541"/>
    </row>
    <row r="1223" spans="1:47" ht="14.45" hidden="1" customHeight="1" x14ac:dyDescent="0.25">
      <c r="A1223" s="355" t="str">
        <f t="shared" si="19"/>
        <v/>
      </c>
      <c r="B1223" s="532"/>
      <c r="C1223" s="538"/>
      <c r="D1223" s="538"/>
      <c r="E1223" s="538"/>
      <c r="F1223" s="538"/>
      <c r="G1223" s="538"/>
      <c r="H1223" s="350"/>
      <c r="I1223" s="350"/>
      <c r="J1223" s="350"/>
      <c r="K1223" s="350"/>
      <c r="L1223" s="350"/>
      <c r="M1223" s="350"/>
      <c r="N1223" s="350"/>
      <c r="O1223" s="350"/>
      <c r="P1223" s="352"/>
      <c r="Q1223" s="558"/>
      <c r="R1223" s="558"/>
      <c r="S1223" s="558"/>
      <c r="T1223" s="558"/>
      <c r="U1223" s="558"/>
      <c r="V1223" s="497"/>
      <c r="W1223" s="558"/>
      <c r="X1223" s="558"/>
      <c r="Y1223" s="352">
        <f>IF(NFI_Expiration=1,IF($A1223&lt;VLOOKUP(H$5,NFI,5,0),1,0)*Table_NFI[[#This Row],[Hygiene Kit]],Table_NFI[Hygiene Kit])</f>
        <v>0</v>
      </c>
      <c r="Z1223" s="352">
        <f>IF(NFI_Expiration=1,IF($A1223&lt;VLOOKUP(I$5,NFI,5,0),1,0)*Table_NFI[[#This Row],[NFI Core Kit]],Table_NFI[NFI Core Kit])</f>
        <v>0</v>
      </c>
      <c r="AA1223" s="352">
        <f>IF(NFI_Expiration=1,IF($A1223&lt;VLOOKUP(J$5,NFI,5,0),1,0)*Table_NFI[[#This Row],[Sanitary Kit]],Table_NFI[Sanitary Kit])</f>
        <v>0</v>
      </c>
      <c r="AB1223" s="352">
        <f>IF(NFI_Expiration=1,IF($A1223&lt;VLOOKUP(K$5,NFI,5,0),1,0)*Table_NFI[[#This Row],[Mosquito net]],Table_NFI[Mosquito net])</f>
        <v>0</v>
      </c>
      <c r="AC1223" s="352">
        <f>IF(NFI_Expiration=1,IF($A1223&lt;VLOOKUP(L$5,NFI,5,0),1,0)*Table_NFI[[#This Row],[Tarpaulin]],Table_NFI[[#This Row],[Tarpaulin]])</f>
        <v>0</v>
      </c>
      <c r="AD1223" s="352">
        <f>IF(NFI_Expiration=1,IF($A1223&lt;VLOOKUP(M$5,NFI,5,0),1,0)*Table_NFI[[#This Row],[Blanket]],Table_NFI[[#This Row],[Blanket]])</f>
        <v>0</v>
      </c>
      <c r="AE1223" s="352">
        <f>IF(NFI_Expiration=1,IF($A1223&lt;VLOOKUP(N$5,NFI,5,0),1,0)*Table_NFI[[#This Row],[Kitchen Set]],Table_NFI[Kitchen Set])</f>
        <v>0</v>
      </c>
      <c r="AF1223" s="352">
        <f>IF(NFI_Expiration=1,IF($A1223&lt;VLOOKUP(O$5,NFI,5,0),1,0)*Table_NFI[[#This Row],[Clothes Kit]],Table_NFI[Clothes Kit])</f>
        <v>0</v>
      </c>
      <c r="AG1223" s="352">
        <f>IF(NFI_Expiration=1,IF($A1223&lt;VLOOKUP(P$5,NFI,5,0),1,0)*Table_NFI[[#This Row],[Plastic Bucket]],Table_NFI[Plastic Bucket])</f>
        <v>0</v>
      </c>
      <c r="AH1223" s="352">
        <f>IF(NFI_Expiration=1,IF($A1223&lt;VLOOKUP(Q$5,NFI,5,0),1,0)*Table_NFI[[#This Row],[Plastic Mat]],Table_NFI[Plastic Mat])*IF(Table_NFI[[#This Row],[Distribution Date]]&gt;"2014-04-01",1,2.5)</f>
        <v>0</v>
      </c>
      <c r="AI1223" s="352">
        <f>IF(NFI_Expiration=1,IF($A1223&lt;VLOOKUP(R$5,NFI,5,0),1,0)*Table_NFI[[#This Row],[Winter Clothes Adult]],Table_NFI[Winter Clothes Adult])</f>
        <v>0</v>
      </c>
      <c r="AJ1223" s="352">
        <f>IF(NFI_Expiration=1,IF($A1223&lt;VLOOKUP(S$5,NFI,5,0),1,0)*Table_NFI[[#This Row],[Winter Clothes Children]],Table_NFI[Winter Clothes Children])</f>
        <v>0</v>
      </c>
      <c r="AK1223" s="352">
        <f>IF(NFI_Expiration=1,IF($A1223&lt;VLOOKUP(T$5,NFI,5,0),1,0)*Table_NFI[[#This Row],[Winter Items Other]],Table_NFI[Winter Items Other])</f>
        <v>0</v>
      </c>
      <c r="AL1223" s="352">
        <f>IF(NFI_Expiration=1,IF($A1223&lt;VLOOKUP(M$5,NFI,5,0),1,0)*Table_NFI[[#This Row],[Winter Blanket]],Table_NFI[[#This Row],[Winter Blanket]])</f>
        <v>0</v>
      </c>
      <c r="AM1223" s="352">
        <f>IF(Table_NFI[[#This Row],[Winter Clothes Adult]]+Table_NFI[[#This Row],[Winter Clothes Children]]+Table_NFI[[#This Row],[Winter Items Other]]+Table_NFI[[#This Row],[Winter Blanket]]&gt;0,1,0)</f>
        <v>0</v>
      </c>
      <c r="AN1223" s="392">
        <f>IF(NFI_Expiration=1,IF($A1223&lt;VLOOKUP(V$5,NFI,5,0),1,0)*Table_NFI[[#This Row],[Jerry Can]],Table_NFI[Jerry Can])</f>
        <v>0</v>
      </c>
      <c r="AO1223" s="540" t="str">
        <f>IFERROR(VLOOKUP(Table_NFI[[#This Row],[Camp Name]],CL,2,0),"")</f>
        <v/>
      </c>
      <c r="AP1223" s="535" t="str">
        <f ca="1">IF(Table_NFI[[#This Row],[Pcode]]="","",IF(OFFSET(CampList[Opening Date],MATCH(Table_NFI[[#This Row],[Pcode]],CampList[CP_Pcode],0)-1,0,1,1)&gt;=NFI_Monitor_Date,1,0))</f>
        <v/>
      </c>
      <c r="AQ1223" s="540" t="str">
        <f>IFERROR(VLOOKUP(Table_NFI[[#This Row],[Camp Name]],CL,3,0),"")</f>
        <v/>
      </c>
      <c r="AR1223" s="352" t="str">
        <f ca="1">IF(Table_NFI[[#This Row],[Pcode]]="","",OFFSET(CampList[Priority],MATCH(Table_NFI[[#This Row],[Pcode]],CampList[CP_Pcode],0)-1,0,1,1))</f>
        <v/>
      </c>
      <c r="AS1223" s="351" t="str">
        <f>IFERROR(Table_NFI[[#This Row],[Kitchen Set]]/VLOOKUP(Table_NFI[[#This Row],[Camp Name]],CL,4,0),"")</f>
        <v/>
      </c>
      <c r="AT1223" s="538"/>
      <c r="AU1223" s="541"/>
    </row>
    <row r="1224" spans="1:47" ht="14.45" hidden="1" customHeight="1" x14ac:dyDescent="0.25">
      <c r="A1224" s="355" t="str">
        <f t="shared" si="19"/>
        <v/>
      </c>
      <c r="B1224" s="532"/>
      <c r="C1224" s="538"/>
      <c r="D1224" s="538"/>
      <c r="E1224" s="538"/>
      <c r="F1224" s="538"/>
      <c r="G1224" s="538"/>
      <c r="H1224" s="350"/>
      <c r="I1224" s="350"/>
      <c r="J1224" s="350"/>
      <c r="K1224" s="350"/>
      <c r="L1224" s="350"/>
      <c r="M1224" s="350"/>
      <c r="N1224" s="350"/>
      <c r="O1224" s="350"/>
      <c r="P1224" s="352"/>
      <c r="Q1224" s="558"/>
      <c r="R1224" s="558"/>
      <c r="S1224" s="558"/>
      <c r="T1224" s="558"/>
      <c r="U1224" s="558"/>
      <c r="V1224" s="497"/>
      <c r="W1224" s="558"/>
      <c r="X1224" s="558"/>
      <c r="Y1224" s="352">
        <f>IF(NFI_Expiration=1,IF($A1224&lt;VLOOKUP(H$5,NFI,5,0),1,0)*Table_NFI[[#This Row],[Hygiene Kit]],Table_NFI[Hygiene Kit])</f>
        <v>0</v>
      </c>
      <c r="Z1224" s="352">
        <f>IF(NFI_Expiration=1,IF($A1224&lt;VLOOKUP(I$5,NFI,5,0),1,0)*Table_NFI[[#This Row],[NFI Core Kit]],Table_NFI[NFI Core Kit])</f>
        <v>0</v>
      </c>
      <c r="AA1224" s="352">
        <f>IF(NFI_Expiration=1,IF($A1224&lt;VLOOKUP(J$5,NFI,5,0),1,0)*Table_NFI[[#This Row],[Sanitary Kit]],Table_NFI[Sanitary Kit])</f>
        <v>0</v>
      </c>
      <c r="AB1224" s="352">
        <f>IF(NFI_Expiration=1,IF($A1224&lt;VLOOKUP(K$5,NFI,5,0),1,0)*Table_NFI[[#This Row],[Mosquito net]],Table_NFI[Mosquito net])</f>
        <v>0</v>
      </c>
      <c r="AC1224" s="352">
        <f>IF(NFI_Expiration=1,IF($A1224&lt;VLOOKUP(L$5,NFI,5,0),1,0)*Table_NFI[[#This Row],[Tarpaulin]],Table_NFI[[#This Row],[Tarpaulin]])</f>
        <v>0</v>
      </c>
      <c r="AD1224" s="352">
        <f>IF(NFI_Expiration=1,IF($A1224&lt;VLOOKUP(M$5,NFI,5,0),1,0)*Table_NFI[[#This Row],[Blanket]],Table_NFI[[#This Row],[Blanket]])</f>
        <v>0</v>
      </c>
      <c r="AE1224" s="352">
        <f>IF(NFI_Expiration=1,IF($A1224&lt;VLOOKUP(N$5,NFI,5,0),1,0)*Table_NFI[[#This Row],[Kitchen Set]],Table_NFI[Kitchen Set])</f>
        <v>0</v>
      </c>
      <c r="AF1224" s="352">
        <f>IF(NFI_Expiration=1,IF($A1224&lt;VLOOKUP(O$5,NFI,5,0),1,0)*Table_NFI[[#This Row],[Clothes Kit]],Table_NFI[Clothes Kit])</f>
        <v>0</v>
      </c>
      <c r="AG1224" s="352">
        <f>IF(NFI_Expiration=1,IF($A1224&lt;VLOOKUP(P$5,NFI,5,0),1,0)*Table_NFI[[#This Row],[Plastic Bucket]],Table_NFI[Plastic Bucket])</f>
        <v>0</v>
      </c>
      <c r="AH1224" s="352">
        <f>IF(NFI_Expiration=1,IF($A1224&lt;VLOOKUP(Q$5,NFI,5,0),1,0)*Table_NFI[[#This Row],[Plastic Mat]],Table_NFI[Plastic Mat])*IF(Table_NFI[[#This Row],[Distribution Date]]&gt;"2014-04-01",1,2.5)</f>
        <v>0</v>
      </c>
      <c r="AI1224" s="352">
        <f>IF(NFI_Expiration=1,IF($A1224&lt;VLOOKUP(R$5,NFI,5,0),1,0)*Table_NFI[[#This Row],[Winter Clothes Adult]],Table_NFI[Winter Clothes Adult])</f>
        <v>0</v>
      </c>
      <c r="AJ1224" s="352">
        <f>IF(NFI_Expiration=1,IF($A1224&lt;VLOOKUP(S$5,NFI,5,0),1,0)*Table_NFI[[#This Row],[Winter Clothes Children]],Table_NFI[Winter Clothes Children])</f>
        <v>0</v>
      </c>
      <c r="AK1224" s="352">
        <f>IF(NFI_Expiration=1,IF($A1224&lt;VLOOKUP(T$5,NFI,5,0),1,0)*Table_NFI[[#This Row],[Winter Items Other]],Table_NFI[Winter Items Other])</f>
        <v>0</v>
      </c>
      <c r="AL1224" s="352">
        <f>IF(NFI_Expiration=1,IF($A1224&lt;VLOOKUP(M$5,NFI,5,0),1,0)*Table_NFI[[#This Row],[Winter Blanket]],Table_NFI[[#This Row],[Winter Blanket]])</f>
        <v>0</v>
      </c>
      <c r="AM1224" s="352">
        <f>IF(Table_NFI[[#This Row],[Winter Clothes Adult]]+Table_NFI[[#This Row],[Winter Clothes Children]]+Table_NFI[[#This Row],[Winter Items Other]]+Table_NFI[[#This Row],[Winter Blanket]]&gt;0,1,0)</f>
        <v>0</v>
      </c>
      <c r="AN1224" s="392">
        <f>IF(NFI_Expiration=1,IF($A1224&lt;VLOOKUP(V$5,NFI,5,0),1,0)*Table_NFI[[#This Row],[Jerry Can]],Table_NFI[Jerry Can])</f>
        <v>0</v>
      </c>
      <c r="AO1224" s="540" t="str">
        <f>IFERROR(VLOOKUP(Table_NFI[[#This Row],[Camp Name]],CL,2,0),"")</f>
        <v/>
      </c>
      <c r="AP1224" s="535" t="str">
        <f ca="1">IF(Table_NFI[[#This Row],[Pcode]]="","",IF(OFFSET(CampList[Opening Date],MATCH(Table_NFI[[#This Row],[Pcode]],CampList[CP_Pcode],0)-1,0,1,1)&gt;=NFI_Monitor_Date,1,0))</f>
        <v/>
      </c>
      <c r="AQ1224" s="540" t="str">
        <f>IFERROR(VLOOKUP(Table_NFI[[#This Row],[Camp Name]],CL,3,0),"")</f>
        <v/>
      </c>
      <c r="AR1224" s="352" t="str">
        <f ca="1">IF(Table_NFI[[#This Row],[Pcode]]="","",OFFSET(CampList[Priority],MATCH(Table_NFI[[#This Row],[Pcode]],CampList[CP_Pcode],0)-1,0,1,1))</f>
        <v/>
      </c>
      <c r="AS1224" s="351" t="str">
        <f>IFERROR(Table_NFI[[#This Row],[Kitchen Set]]/VLOOKUP(Table_NFI[[#This Row],[Camp Name]],CL,4,0),"")</f>
        <v/>
      </c>
      <c r="AT1224" s="538"/>
      <c r="AU1224" s="541"/>
    </row>
    <row r="1225" spans="1:47" ht="14.45" hidden="1" customHeight="1" x14ac:dyDescent="0.25">
      <c r="A1225" s="355" t="str">
        <f t="shared" si="19"/>
        <v/>
      </c>
      <c r="B1225" s="532"/>
      <c r="C1225" s="538"/>
      <c r="D1225" s="538"/>
      <c r="E1225" s="538"/>
      <c r="F1225" s="538"/>
      <c r="G1225" s="538"/>
      <c r="H1225" s="350"/>
      <c r="I1225" s="350"/>
      <c r="J1225" s="350"/>
      <c r="K1225" s="350"/>
      <c r="L1225" s="350"/>
      <c r="M1225" s="350"/>
      <c r="N1225" s="350"/>
      <c r="O1225" s="350"/>
      <c r="P1225" s="352"/>
      <c r="Q1225" s="558"/>
      <c r="R1225" s="558"/>
      <c r="S1225" s="558"/>
      <c r="T1225" s="558"/>
      <c r="U1225" s="558"/>
      <c r="V1225" s="497"/>
      <c r="W1225" s="558"/>
      <c r="X1225" s="558"/>
      <c r="Y1225" s="352">
        <f>IF(NFI_Expiration=1,IF($A1225&lt;VLOOKUP(H$5,NFI,5,0),1,0)*Table_NFI[[#This Row],[Hygiene Kit]],Table_NFI[Hygiene Kit])</f>
        <v>0</v>
      </c>
      <c r="Z1225" s="352">
        <f>IF(NFI_Expiration=1,IF($A1225&lt;VLOOKUP(I$5,NFI,5,0),1,0)*Table_NFI[[#This Row],[NFI Core Kit]],Table_NFI[NFI Core Kit])</f>
        <v>0</v>
      </c>
      <c r="AA1225" s="352">
        <f>IF(NFI_Expiration=1,IF($A1225&lt;VLOOKUP(J$5,NFI,5,0),1,0)*Table_NFI[[#This Row],[Sanitary Kit]],Table_NFI[Sanitary Kit])</f>
        <v>0</v>
      </c>
      <c r="AB1225" s="352">
        <f>IF(NFI_Expiration=1,IF($A1225&lt;VLOOKUP(K$5,NFI,5,0),1,0)*Table_NFI[[#This Row],[Mosquito net]],Table_NFI[Mosquito net])</f>
        <v>0</v>
      </c>
      <c r="AC1225" s="352">
        <f>IF(NFI_Expiration=1,IF($A1225&lt;VLOOKUP(L$5,NFI,5,0),1,0)*Table_NFI[[#This Row],[Tarpaulin]],Table_NFI[[#This Row],[Tarpaulin]])</f>
        <v>0</v>
      </c>
      <c r="AD1225" s="352">
        <f>IF(NFI_Expiration=1,IF($A1225&lt;VLOOKUP(M$5,NFI,5,0),1,0)*Table_NFI[[#This Row],[Blanket]],Table_NFI[[#This Row],[Blanket]])</f>
        <v>0</v>
      </c>
      <c r="AE1225" s="352">
        <f>IF(NFI_Expiration=1,IF($A1225&lt;VLOOKUP(N$5,NFI,5,0),1,0)*Table_NFI[[#This Row],[Kitchen Set]],Table_NFI[Kitchen Set])</f>
        <v>0</v>
      </c>
      <c r="AF1225" s="352">
        <f>IF(NFI_Expiration=1,IF($A1225&lt;VLOOKUP(O$5,NFI,5,0),1,0)*Table_NFI[[#This Row],[Clothes Kit]],Table_NFI[Clothes Kit])</f>
        <v>0</v>
      </c>
      <c r="AG1225" s="352">
        <f>IF(NFI_Expiration=1,IF($A1225&lt;VLOOKUP(P$5,NFI,5,0),1,0)*Table_NFI[[#This Row],[Plastic Bucket]],Table_NFI[Plastic Bucket])</f>
        <v>0</v>
      </c>
      <c r="AH1225" s="352">
        <f>IF(NFI_Expiration=1,IF($A1225&lt;VLOOKUP(Q$5,NFI,5,0),1,0)*Table_NFI[[#This Row],[Plastic Mat]],Table_NFI[Plastic Mat])*IF(Table_NFI[[#This Row],[Distribution Date]]&gt;"2014-04-01",1,2.5)</f>
        <v>0</v>
      </c>
      <c r="AI1225" s="352">
        <f>IF(NFI_Expiration=1,IF($A1225&lt;VLOOKUP(R$5,NFI,5,0),1,0)*Table_NFI[[#This Row],[Winter Clothes Adult]],Table_NFI[Winter Clothes Adult])</f>
        <v>0</v>
      </c>
      <c r="AJ1225" s="352">
        <f>IF(NFI_Expiration=1,IF($A1225&lt;VLOOKUP(S$5,NFI,5,0),1,0)*Table_NFI[[#This Row],[Winter Clothes Children]],Table_NFI[Winter Clothes Children])</f>
        <v>0</v>
      </c>
      <c r="AK1225" s="352">
        <f>IF(NFI_Expiration=1,IF($A1225&lt;VLOOKUP(T$5,NFI,5,0),1,0)*Table_NFI[[#This Row],[Winter Items Other]],Table_NFI[Winter Items Other])</f>
        <v>0</v>
      </c>
      <c r="AL1225" s="352">
        <f>IF(NFI_Expiration=1,IF($A1225&lt;VLOOKUP(M$5,NFI,5,0),1,0)*Table_NFI[[#This Row],[Winter Blanket]],Table_NFI[[#This Row],[Winter Blanket]])</f>
        <v>0</v>
      </c>
      <c r="AM1225" s="352">
        <f>IF(Table_NFI[[#This Row],[Winter Clothes Adult]]+Table_NFI[[#This Row],[Winter Clothes Children]]+Table_NFI[[#This Row],[Winter Items Other]]+Table_NFI[[#This Row],[Winter Blanket]]&gt;0,1,0)</f>
        <v>0</v>
      </c>
      <c r="AN1225" s="392">
        <f>IF(NFI_Expiration=1,IF($A1225&lt;VLOOKUP(V$5,NFI,5,0),1,0)*Table_NFI[[#This Row],[Jerry Can]],Table_NFI[Jerry Can])</f>
        <v>0</v>
      </c>
      <c r="AO1225" s="540" t="str">
        <f>IFERROR(VLOOKUP(Table_NFI[[#This Row],[Camp Name]],CL,2,0),"")</f>
        <v/>
      </c>
      <c r="AP1225" s="535" t="str">
        <f ca="1">IF(Table_NFI[[#This Row],[Pcode]]="","",IF(OFFSET(CampList[Opening Date],MATCH(Table_NFI[[#This Row],[Pcode]],CampList[CP_Pcode],0)-1,0,1,1)&gt;=NFI_Monitor_Date,1,0))</f>
        <v/>
      </c>
      <c r="AQ1225" s="540" t="str">
        <f>IFERROR(VLOOKUP(Table_NFI[[#This Row],[Camp Name]],CL,3,0),"")</f>
        <v/>
      </c>
      <c r="AR1225" s="352" t="str">
        <f ca="1">IF(Table_NFI[[#This Row],[Pcode]]="","",OFFSET(CampList[Priority],MATCH(Table_NFI[[#This Row],[Pcode]],CampList[CP_Pcode],0)-1,0,1,1))</f>
        <v/>
      </c>
      <c r="AS1225" s="351" t="str">
        <f>IFERROR(Table_NFI[[#This Row],[Kitchen Set]]/VLOOKUP(Table_NFI[[#This Row],[Camp Name]],CL,4,0),"")</f>
        <v/>
      </c>
      <c r="AT1225" s="538"/>
      <c r="AU1225" s="541"/>
    </row>
    <row r="1226" spans="1:47" ht="14.45" hidden="1" customHeight="1" x14ac:dyDescent="0.25">
      <c r="A1226" s="355" t="str">
        <f t="shared" si="19"/>
        <v/>
      </c>
      <c r="B1226" s="532"/>
      <c r="C1226" s="538"/>
      <c r="D1226" s="538"/>
      <c r="E1226" s="538"/>
      <c r="F1226" s="538"/>
      <c r="G1226" s="538"/>
      <c r="H1226" s="350"/>
      <c r="I1226" s="350"/>
      <c r="J1226" s="350"/>
      <c r="K1226" s="350"/>
      <c r="L1226" s="350"/>
      <c r="M1226" s="350"/>
      <c r="N1226" s="350"/>
      <c r="O1226" s="350"/>
      <c r="P1226" s="352"/>
      <c r="Q1226" s="558"/>
      <c r="R1226" s="558"/>
      <c r="S1226" s="558"/>
      <c r="T1226" s="558"/>
      <c r="U1226" s="558"/>
      <c r="V1226" s="497"/>
      <c r="W1226" s="558"/>
      <c r="X1226" s="558"/>
      <c r="Y1226" s="352">
        <f>IF(NFI_Expiration=1,IF($A1226&lt;VLOOKUP(H$5,NFI,5,0),1,0)*Table_NFI[[#This Row],[Hygiene Kit]],Table_NFI[Hygiene Kit])</f>
        <v>0</v>
      </c>
      <c r="Z1226" s="352">
        <f>IF(NFI_Expiration=1,IF($A1226&lt;VLOOKUP(I$5,NFI,5,0),1,0)*Table_NFI[[#This Row],[NFI Core Kit]],Table_NFI[NFI Core Kit])</f>
        <v>0</v>
      </c>
      <c r="AA1226" s="352">
        <f>IF(NFI_Expiration=1,IF($A1226&lt;VLOOKUP(J$5,NFI,5,0),1,0)*Table_NFI[[#This Row],[Sanitary Kit]],Table_NFI[Sanitary Kit])</f>
        <v>0</v>
      </c>
      <c r="AB1226" s="352">
        <f>IF(NFI_Expiration=1,IF($A1226&lt;VLOOKUP(K$5,NFI,5,0),1,0)*Table_NFI[[#This Row],[Mosquito net]],Table_NFI[Mosquito net])</f>
        <v>0</v>
      </c>
      <c r="AC1226" s="352">
        <f>IF(NFI_Expiration=1,IF($A1226&lt;VLOOKUP(L$5,NFI,5,0),1,0)*Table_NFI[[#This Row],[Tarpaulin]],Table_NFI[[#This Row],[Tarpaulin]])</f>
        <v>0</v>
      </c>
      <c r="AD1226" s="352">
        <f>IF(NFI_Expiration=1,IF($A1226&lt;VLOOKUP(M$5,NFI,5,0),1,0)*Table_NFI[[#This Row],[Blanket]],Table_NFI[[#This Row],[Blanket]])</f>
        <v>0</v>
      </c>
      <c r="AE1226" s="352">
        <f>IF(NFI_Expiration=1,IF($A1226&lt;VLOOKUP(N$5,NFI,5,0),1,0)*Table_NFI[[#This Row],[Kitchen Set]],Table_NFI[Kitchen Set])</f>
        <v>0</v>
      </c>
      <c r="AF1226" s="352">
        <f>IF(NFI_Expiration=1,IF($A1226&lt;VLOOKUP(O$5,NFI,5,0),1,0)*Table_NFI[[#This Row],[Clothes Kit]],Table_NFI[Clothes Kit])</f>
        <v>0</v>
      </c>
      <c r="AG1226" s="352">
        <f>IF(NFI_Expiration=1,IF($A1226&lt;VLOOKUP(P$5,NFI,5,0),1,0)*Table_NFI[[#This Row],[Plastic Bucket]],Table_NFI[Plastic Bucket])</f>
        <v>0</v>
      </c>
      <c r="AH1226" s="352">
        <f>IF(NFI_Expiration=1,IF($A1226&lt;VLOOKUP(Q$5,NFI,5,0),1,0)*Table_NFI[[#This Row],[Plastic Mat]],Table_NFI[Plastic Mat])*IF(Table_NFI[[#This Row],[Distribution Date]]&gt;"2014-04-01",1,2.5)</f>
        <v>0</v>
      </c>
      <c r="AI1226" s="352">
        <f>IF(NFI_Expiration=1,IF($A1226&lt;VLOOKUP(R$5,NFI,5,0),1,0)*Table_NFI[[#This Row],[Winter Clothes Adult]],Table_NFI[Winter Clothes Adult])</f>
        <v>0</v>
      </c>
      <c r="AJ1226" s="352">
        <f>IF(NFI_Expiration=1,IF($A1226&lt;VLOOKUP(S$5,NFI,5,0),1,0)*Table_NFI[[#This Row],[Winter Clothes Children]],Table_NFI[Winter Clothes Children])</f>
        <v>0</v>
      </c>
      <c r="AK1226" s="352">
        <f>IF(NFI_Expiration=1,IF($A1226&lt;VLOOKUP(T$5,NFI,5,0),1,0)*Table_NFI[[#This Row],[Winter Items Other]],Table_NFI[Winter Items Other])</f>
        <v>0</v>
      </c>
      <c r="AL1226" s="352">
        <f>IF(NFI_Expiration=1,IF($A1226&lt;VLOOKUP(M$5,NFI,5,0),1,0)*Table_NFI[[#This Row],[Winter Blanket]],Table_NFI[[#This Row],[Winter Blanket]])</f>
        <v>0</v>
      </c>
      <c r="AM1226" s="352">
        <f>IF(Table_NFI[[#This Row],[Winter Clothes Adult]]+Table_NFI[[#This Row],[Winter Clothes Children]]+Table_NFI[[#This Row],[Winter Items Other]]+Table_NFI[[#This Row],[Winter Blanket]]&gt;0,1,0)</f>
        <v>0</v>
      </c>
      <c r="AN1226" s="392">
        <f>IF(NFI_Expiration=1,IF($A1226&lt;VLOOKUP(V$5,NFI,5,0),1,0)*Table_NFI[[#This Row],[Jerry Can]],Table_NFI[Jerry Can])</f>
        <v>0</v>
      </c>
      <c r="AO1226" s="540" t="str">
        <f>IFERROR(VLOOKUP(Table_NFI[[#This Row],[Camp Name]],CL,2,0),"")</f>
        <v/>
      </c>
      <c r="AP1226" s="535" t="str">
        <f ca="1">IF(Table_NFI[[#This Row],[Pcode]]="","",IF(OFFSET(CampList[Opening Date],MATCH(Table_NFI[[#This Row],[Pcode]],CampList[CP_Pcode],0)-1,0,1,1)&gt;=NFI_Monitor_Date,1,0))</f>
        <v/>
      </c>
      <c r="AQ1226" s="540" t="str">
        <f>IFERROR(VLOOKUP(Table_NFI[[#This Row],[Camp Name]],CL,3,0),"")</f>
        <v/>
      </c>
      <c r="AR1226" s="352" t="str">
        <f ca="1">IF(Table_NFI[[#This Row],[Pcode]]="","",OFFSET(CampList[Priority],MATCH(Table_NFI[[#This Row],[Pcode]],CampList[CP_Pcode],0)-1,0,1,1))</f>
        <v/>
      </c>
      <c r="AS1226" s="351" t="str">
        <f>IFERROR(Table_NFI[[#This Row],[Kitchen Set]]/VLOOKUP(Table_NFI[[#This Row],[Camp Name]],CL,4,0),"")</f>
        <v/>
      </c>
      <c r="AT1226" s="538"/>
      <c r="AU1226" s="541"/>
    </row>
    <row r="1227" spans="1:47" ht="14.45" hidden="1" customHeight="1" x14ac:dyDescent="0.25">
      <c r="A1227" s="355" t="str">
        <f t="shared" si="19"/>
        <v/>
      </c>
      <c r="B1227" s="532"/>
      <c r="C1227" s="538"/>
      <c r="D1227" s="538"/>
      <c r="E1227" s="538"/>
      <c r="F1227" s="538"/>
      <c r="G1227" s="538"/>
      <c r="H1227" s="350"/>
      <c r="I1227" s="350"/>
      <c r="J1227" s="350"/>
      <c r="K1227" s="350"/>
      <c r="L1227" s="350"/>
      <c r="M1227" s="350"/>
      <c r="N1227" s="350"/>
      <c r="O1227" s="350"/>
      <c r="P1227" s="352"/>
      <c r="Q1227" s="558"/>
      <c r="R1227" s="558"/>
      <c r="S1227" s="558"/>
      <c r="T1227" s="558"/>
      <c r="U1227" s="558"/>
      <c r="V1227" s="497"/>
      <c r="W1227" s="558"/>
      <c r="X1227" s="558"/>
      <c r="Y1227" s="352">
        <f>IF(NFI_Expiration=1,IF($A1227&lt;VLOOKUP(H$5,NFI,5,0),1,0)*Table_NFI[[#This Row],[Hygiene Kit]],Table_NFI[Hygiene Kit])</f>
        <v>0</v>
      </c>
      <c r="Z1227" s="352">
        <f>IF(NFI_Expiration=1,IF($A1227&lt;VLOOKUP(I$5,NFI,5,0),1,0)*Table_NFI[[#This Row],[NFI Core Kit]],Table_NFI[NFI Core Kit])</f>
        <v>0</v>
      </c>
      <c r="AA1227" s="352">
        <f>IF(NFI_Expiration=1,IF($A1227&lt;VLOOKUP(J$5,NFI,5,0),1,0)*Table_NFI[[#This Row],[Sanitary Kit]],Table_NFI[Sanitary Kit])</f>
        <v>0</v>
      </c>
      <c r="AB1227" s="352">
        <f>IF(NFI_Expiration=1,IF($A1227&lt;VLOOKUP(K$5,NFI,5,0),1,0)*Table_NFI[[#This Row],[Mosquito net]],Table_NFI[Mosquito net])</f>
        <v>0</v>
      </c>
      <c r="AC1227" s="352">
        <f>IF(NFI_Expiration=1,IF($A1227&lt;VLOOKUP(L$5,NFI,5,0),1,0)*Table_NFI[[#This Row],[Tarpaulin]],Table_NFI[[#This Row],[Tarpaulin]])</f>
        <v>0</v>
      </c>
      <c r="AD1227" s="352">
        <f>IF(NFI_Expiration=1,IF($A1227&lt;VLOOKUP(M$5,NFI,5,0),1,0)*Table_NFI[[#This Row],[Blanket]],Table_NFI[[#This Row],[Blanket]])</f>
        <v>0</v>
      </c>
      <c r="AE1227" s="352">
        <f>IF(NFI_Expiration=1,IF($A1227&lt;VLOOKUP(N$5,NFI,5,0),1,0)*Table_NFI[[#This Row],[Kitchen Set]],Table_NFI[Kitchen Set])</f>
        <v>0</v>
      </c>
      <c r="AF1227" s="352">
        <f>IF(NFI_Expiration=1,IF($A1227&lt;VLOOKUP(O$5,NFI,5,0),1,0)*Table_NFI[[#This Row],[Clothes Kit]],Table_NFI[Clothes Kit])</f>
        <v>0</v>
      </c>
      <c r="AG1227" s="352">
        <f>IF(NFI_Expiration=1,IF($A1227&lt;VLOOKUP(P$5,NFI,5,0),1,0)*Table_NFI[[#This Row],[Plastic Bucket]],Table_NFI[Plastic Bucket])</f>
        <v>0</v>
      </c>
      <c r="AH1227" s="352">
        <f>IF(NFI_Expiration=1,IF($A1227&lt;VLOOKUP(Q$5,NFI,5,0),1,0)*Table_NFI[[#This Row],[Plastic Mat]],Table_NFI[Plastic Mat])*IF(Table_NFI[[#This Row],[Distribution Date]]&gt;"2014-04-01",1,2.5)</f>
        <v>0</v>
      </c>
      <c r="AI1227" s="352">
        <f>IF(NFI_Expiration=1,IF($A1227&lt;VLOOKUP(R$5,NFI,5,0),1,0)*Table_NFI[[#This Row],[Winter Clothes Adult]],Table_NFI[Winter Clothes Adult])</f>
        <v>0</v>
      </c>
      <c r="AJ1227" s="352">
        <f>IF(NFI_Expiration=1,IF($A1227&lt;VLOOKUP(S$5,NFI,5,0),1,0)*Table_NFI[[#This Row],[Winter Clothes Children]],Table_NFI[Winter Clothes Children])</f>
        <v>0</v>
      </c>
      <c r="AK1227" s="352">
        <f>IF(NFI_Expiration=1,IF($A1227&lt;VLOOKUP(T$5,NFI,5,0),1,0)*Table_NFI[[#This Row],[Winter Items Other]],Table_NFI[Winter Items Other])</f>
        <v>0</v>
      </c>
      <c r="AL1227" s="352">
        <f>IF(NFI_Expiration=1,IF($A1227&lt;VLOOKUP(M$5,NFI,5,0),1,0)*Table_NFI[[#This Row],[Winter Blanket]],Table_NFI[[#This Row],[Winter Blanket]])</f>
        <v>0</v>
      </c>
      <c r="AM1227" s="352">
        <f>IF(Table_NFI[[#This Row],[Winter Clothes Adult]]+Table_NFI[[#This Row],[Winter Clothes Children]]+Table_NFI[[#This Row],[Winter Items Other]]+Table_NFI[[#This Row],[Winter Blanket]]&gt;0,1,0)</f>
        <v>0</v>
      </c>
      <c r="AN1227" s="392">
        <f>IF(NFI_Expiration=1,IF($A1227&lt;VLOOKUP(V$5,NFI,5,0),1,0)*Table_NFI[[#This Row],[Jerry Can]],Table_NFI[Jerry Can])</f>
        <v>0</v>
      </c>
      <c r="AO1227" s="540" t="str">
        <f>IFERROR(VLOOKUP(Table_NFI[[#This Row],[Camp Name]],CL,2,0),"")</f>
        <v/>
      </c>
      <c r="AP1227" s="535" t="str">
        <f ca="1">IF(Table_NFI[[#This Row],[Pcode]]="","",IF(OFFSET(CampList[Opening Date],MATCH(Table_NFI[[#This Row],[Pcode]],CampList[CP_Pcode],0)-1,0,1,1)&gt;=NFI_Monitor_Date,1,0))</f>
        <v/>
      </c>
      <c r="AQ1227" s="540" t="str">
        <f>IFERROR(VLOOKUP(Table_NFI[[#This Row],[Camp Name]],CL,3,0),"")</f>
        <v/>
      </c>
      <c r="AR1227" s="352" t="str">
        <f ca="1">IF(Table_NFI[[#This Row],[Pcode]]="","",OFFSET(CampList[Priority],MATCH(Table_NFI[[#This Row],[Pcode]],CampList[CP_Pcode],0)-1,0,1,1))</f>
        <v/>
      </c>
      <c r="AS1227" s="351" t="str">
        <f>IFERROR(Table_NFI[[#This Row],[Kitchen Set]]/VLOOKUP(Table_NFI[[#This Row],[Camp Name]],CL,4,0),"")</f>
        <v/>
      </c>
      <c r="AT1227" s="538"/>
      <c r="AU1227" s="541"/>
    </row>
    <row r="1228" spans="1:47" ht="14.45" hidden="1" customHeight="1" x14ac:dyDescent="0.25">
      <c r="A1228" s="355" t="str">
        <f t="shared" si="19"/>
        <v/>
      </c>
      <c r="B1228" s="532"/>
      <c r="C1228" s="538"/>
      <c r="D1228" s="538"/>
      <c r="E1228" s="538"/>
      <c r="F1228" s="538"/>
      <c r="G1228" s="538"/>
      <c r="H1228" s="350"/>
      <c r="I1228" s="350"/>
      <c r="J1228" s="350"/>
      <c r="K1228" s="350"/>
      <c r="L1228" s="350"/>
      <c r="M1228" s="350"/>
      <c r="N1228" s="350"/>
      <c r="O1228" s="350"/>
      <c r="P1228" s="352"/>
      <c r="Q1228" s="558"/>
      <c r="R1228" s="558"/>
      <c r="S1228" s="558"/>
      <c r="T1228" s="558"/>
      <c r="U1228" s="558"/>
      <c r="V1228" s="497"/>
      <c r="W1228" s="558"/>
      <c r="X1228" s="558"/>
      <c r="Y1228" s="352">
        <f>IF(NFI_Expiration=1,IF($A1228&lt;VLOOKUP(H$5,NFI,5,0),1,0)*Table_NFI[[#This Row],[Hygiene Kit]],Table_NFI[Hygiene Kit])</f>
        <v>0</v>
      </c>
      <c r="Z1228" s="352">
        <f>IF(NFI_Expiration=1,IF($A1228&lt;VLOOKUP(I$5,NFI,5,0),1,0)*Table_NFI[[#This Row],[NFI Core Kit]],Table_NFI[NFI Core Kit])</f>
        <v>0</v>
      </c>
      <c r="AA1228" s="352">
        <f>IF(NFI_Expiration=1,IF($A1228&lt;VLOOKUP(J$5,NFI,5,0),1,0)*Table_NFI[[#This Row],[Sanitary Kit]],Table_NFI[Sanitary Kit])</f>
        <v>0</v>
      </c>
      <c r="AB1228" s="352">
        <f>IF(NFI_Expiration=1,IF($A1228&lt;VLOOKUP(K$5,NFI,5,0),1,0)*Table_NFI[[#This Row],[Mosquito net]],Table_NFI[Mosquito net])</f>
        <v>0</v>
      </c>
      <c r="AC1228" s="352">
        <f>IF(NFI_Expiration=1,IF($A1228&lt;VLOOKUP(L$5,NFI,5,0),1,0)*Table_NFI[[#This Row],[Tarpaulin]],Table_NFI[[#This Row],[Tarpaulin]])</f>
        <v>0</v>
      </c>
      <c r="AD1228" s="352">
        <f>IF(NFI_Expiration=1,IF($A1228&lt;VLOOKUP(M$5,NFI,5,0),1,0)*Table_NFI[[#This Row],[Blanket]],Table_NFI[[#This Row],[Blanket]])</f>
        <v>0</v>
      </c>
      <c r="AE1228" s="352">
        <f>IF(NFI_Expiration=1,IF($A1228&lt;VLOOKUP(N$5,NFI,5,0),1,0)*Table_NFI[[#This Row],[Kitchen Set]],Table_NFI[Kitchen Set])</f>
        <v>0</v>
      </c>
      <c r="AF1228" s="352">
        <f>IF(NFI_Expiration=1,IF($A1228&lt;VLOOKUP(O$5,NFI,5,0),1,0)*Table_NFI[[#This Row],[Clothes Kit]],Table_NFI[Clothes Kit])</f>
        <v>0</v>
      </c>
      <c r="AG1228" s="352">
        <f>IF(NFI_Expiration=1,IF($A1228&lt;VLOOKUP(P$5,NFI,5,0),1,0)*Table_NFI[[#This Row],[Plastic Bucket]],Table_NFI[Plastic Bucket])</f>
        <v>0</v>
      </c>
      <c r="AH1228" s="352">
        <f>IF(NFI_Expiration=1,IF($A1228&lt;VLOOKUP(Q$5,NFI,5,0),1,0)*Table_NFI[[#This Row],[Plastic Mat]],Table_NFI[Plastic Mat])*IF(Table_NFI[[#This Row],[Distribution Date]]&gt;"2014-04-01",1,2.5)</f>
        <v>0</v>
      </c>
      <c r="AI1228" s="352">
        <f>IF(NFI_Expiration=1,IF($A1228&lt;VLOOKUP(R$5,NFI,5,0),1,0)*Table_NFI[[#This Row],[Winter Clothes Adult]],Table_NFI[Winter Clothes Adult])</f>
        <v>0</v>
      </c>
      <c r="AJ1228" s="352">
        <f>IF(NFI_Expiration=1,IF($A1228&lt;VLOOKUP(S$5,NFI,5,0),1,0)*Table_NFI[[#This Row],[Winter Clothes Children]],Table_NFI[Winter Clothes Children])</f>
        <v>0</v>
      </c>
      <c r="AK1228" s="352">
        <f>IF(NFI_Expiration=1,IF($A1228&lt;VLOOKUP(T$5,NFI,5,0),1,0)*Table_NFI[[#This Row],[Winter Items Other]],Table_NFI[Winter Items Other])</f>
        <v>0</v>
      </c>
      <c r="AL1228" s="352">
        <f>IF(NFI_Expiration=1,IF($A1228&lt;VLOOKUP(M$5,NFI,5,0),1,0)*Table_NFI[[#This Row],[Winter Blanket]],Table_NFI[[#This Row],[Winter Blanket]])</f>
        <v>0</v>
      </c>
      <c r="AM1228" s="352">
        <f>IF(Table_NFI[[#This Row],[Winter Clothes Adult]]+Table_NFI[[#This Row],[Winter Clothes Children]]+Table_NFI[[#This Row],[Winter Items Other]]+Table_NFI[[#This Row],[Winter Blanket]]&gt;0,1,0)</f>
        <v>0</v>
      </c>
      <c r="AN1228" s="392">
        <f>IF(NFI_Expiration=1,IF($A1228&lt;VLOOKUP(V$5,NFI,5,0),1,0)*Table_NFI[[#This Row],[Jerry Can]],Table_NFI[Jerry Can])</f>
        <v>0</v>
      </c>
      <c r="AO1228" s="540" t="str">
        <f>IFERROR(VLOOKUP(Table_NFI[[#This Row],[Camp Name]],CL,2,0),"")</f>
        <v/>
      </c>
      <c r="AP1228" s="535" t="str">
        <f ca="1">IF(Table_NFI[[#This Row],[Pcode]]="","",IF(OFFSET(CampList[Opening Date],MATCH(Table_NFI[[#This Row],[Pcode]],CampList[CP_Pcode],0)-1,0,1,1)&gt;=NFI_Monitor_Date,1,0))</f>
        <v/>
      </c>
      <c r="AQ1228" s="540" t="str">
        <f>IFERROR(VLOOKUP(Table_NFI[[#This Row],[Camp Name]],CL,3,0),"")</f>
        <v/>
      </c>
      <c r="AR1228" s="352" t="str">
        <f ca="1">IF(Table_NFI[[#This Row],[Pcode]]="","",OFFSET(CampList[Priority],MATCH(Table_NFI[[#This Row],[Pcode]],CampList[CP_Pcode],0)-1,0,1,1))</f>
        <v/>
      </c>
      <c r="AS1228" s="351" t="str">
        <f>IFERROR(Table_NFI[[#This Row],[Kitchen Set]]/VLOOKUP(Table_NFI[[#This Row],[Camp Name]],CL,4,0),"")</f>
        <v/>
      </c>
      <c r="AT1228" s="538"/>
      <c r="AU1228" s="541"/>
    </row>
    <row r="1229" spans="1:47" ht="14.45" hidden="1" customHeight="1" x14ac:dyDescent="0.25">
      <c r="A1229" s="355" t="str">
        <f t="shared" si="19"/>
        <v/>
      </c>
      <c r="B1229" s="532"/>
      <c r="C1229" s="538"/>
      <c r="D1229" s="538"/>
      <c r="E1229" s="538"/>
      <c r="F1229" s="538"/>
      <c r="G1229" s="538"/>
      <c r="H1229" s="350"/>
      <c r="I1229" s="350"/>
      <c r="J1229" s="350"/>
      <c r="K1229" s="350"/>
      <c r="L1229" s="350"/>
      <c r="M1229" s="350"/>
      <c r="N1229" s="350"/>
      <c r="O1229" s="350"/>
      <c r="P1229" s="352"/>
      <c r="Q1229" s="558"/>
      <c r="R1229" s="558"/>
      <c r="S1229" s="558"/>
      <c r="T1229" s="558"/>
      <c r="U1229" s="558"/>
      <c r="V1229" s="497"/>
      <c r="W1229" s="558"/>
      <c r="X1229" s="558"/>
      <c r="Y1229" s="352">
        <f>IF(NFI_Expiration=1,IF($A1229&lt;VLOOKUP(H$5,NFI,5,0),1,0)*Table_NFI[[#This Row],[Hygiene Kit]],Table_NFI[Hygiene Kit])</f>
        <v>0</v>
      </c>
      <c r="Z1229" s="352">
        <f>IF(NFI_Expiration=1,IF($A1229&lt;VLOOKUP(I$5,NFI,5,0),1,0)*Table_NFI[[#This Row],[NFI Core Kit]],Table_NFI[NFI Core Kit])</f>
        <v>0</v>
      </c>
      <c r="AA1229" s="352">
        <f>IF(NFI_Expiration=1,IF($A1229&lt;VLOOKUP(J$5,NFI,5,0),1,0)*Table_NFI[[#This Row],[Sanitary Kit]],Table_NFI[Sanitary Kit])</f>
        <v>0</v>
      </c>
      <c r="AB1229" s="352">
        <f>IF(NFI_Expiration=1,IF($A1229&lt;VLOOKUP(K$5,NFI,5,0),1,0)*Table_NFI[[#This Row],[Mosquito net]],Table_NFI[Mosquito net])</f>
        <v>0</v>
      </c>
      <c r="AC1229" s="352">
        <f>IF(NFI_Expiration=1,IF($A1229&lt;VLOOKUP(L$5,NFI,5,0),1,0)*Table_NFI[[#This Row],[Tarpaulin]],Table_NFI[[#This Row],[Tarpaulin]])</f>
        <v>0</v>
      </c>
      <c r="AD1229" s="352">
        <f>IF(NFI_Expiration=1,IF($A1229&lt;VLOOKUP(M$5,NFI,5,0),1,0)*Table_NFI[[#This Row],[Blanket]],Table_NFI[[#This Row],[Blanket]])</f>
        <v>0</v>
      </c>
      <c r="AE1229" s="352">
        <f>IF(NFI_Expiration=1,IF($A1229&lt;VLOOKUP(N$5,NFI,5,0),1,0)*Table_NFI[[#This Row],[Kitchen Set]],Table_NFI[Kitchen Set])</f>
        <v>0</v>
      </c>
      <c r="AF1229" s="352">
        <f>IF(NFI_Expiration=1,IF($A1229&lt;VLOOKUP(O$5,NFI,5,0),1,0)*Table_NFI[[#This Row],[Clothes Kit]],Table_NFI[Clothes Kit])</f>
        <v>0</v>
      </c>
      <c r="AG1229" s="352">
        <f>IF(NFI_Expiration=1,IF($A1229&lt;VLOOKUP(P$5,NFI,5,0),1,0)*Table_NFI[[#This Row],[Plastic Bucket]],Table_NFI[Plastic Bucket])</f>
        <v>0</v>
      </c>
      <c r="AH1229" s="352">
        <f>IF(NFI_Expiration=1,IF($A1229&lt;VLOOKUP(Q$5,NFI,5,0),1,0)*Table_NFI[[#This Row],[Plastic Mat]],Table_NFI[Plastic Mat])*IF(Table_NFI[[#This Row],[Distribution Date]]&gt;"2014-04-01",1,2.5)</f>
        <v>0</v>
      </c>
      <c r="AI1229" s="352">
        <f>IF(NFI_Expiration=1,IF($A1229&lt;VLOOKUP(R$5,NFI,5,0),1,0)*Table_NFI[[#This Row],[Winter Clothes Adult]],Table_NFI[Winter Clothes Adult])</f>
        <v>0</v>
      </c>
      <c r="AJ1229" s="352">
        <f>IF(NFI_Expiration=1,IF($A1229&lt;VLOOKUP(S$5,NFI,5,0),1,0)*Table_NFI[[#This Row],[Winter Clothes Children]],Table_NFI[Winter Clothes Children])</f>
        <v>0</v>
      </c>
      <c r="AK1229" s="352">
        <f>IF(NFI_Expiration=1,IF($A1229&lt;VLOOKUP(T$5,NFI,5,0),1,0)*Table_NFI[[#This Row],[Winter Items Other]],Table_NFI[Winter Items Other])</f>
        <v>0</v>
      </c>
      <c r="AL1229" s="352">
        <f>IF(NFI_Expiration=1,IF($A1229&lt;VLOOKUP(M$5,NFI,5,0),1,0)*Table_NFI[[#This Row],[Winter Blanket]],Table_NFI[[#This Row],[Winter Blanket]])</f>
        <v>0</v>
      </c>
      <c r="AM1229" s="352">
        <f>IF(Table_NFI[[#This Row],[Winter Clothes Adult]]+Table_NFI[[#This Row],[Winter Clothes Children]]+Table_NFI[[#This Row],[Winter Items Other]]+Table_NFI[[#This Row],[Winter Blanket]]&gt;0,1,0)</f>
        <v>0</v>
      </c>
      <c r="AN1229" s="392">
        <f>IF(NFI_Expiration=1,IF($A1229&lt;VLOOKUP(V$5,NFI,5,0),1,0)*Table_NFI[[#This Row],[Jerry Can]],Table_NFI[Jerry Can])</f>
        <v>0</v>
      </c>
      <c r="AO1229" s="540" t="str">
        <f>IFERROR(VLOOKUP(Table_NFI[[#This Row],[Camp Name]],CL,2,0),"")</f>
        <v/>
      </c>
      <c r="AP1229" s="535" t="str">
        <f ca="1">IF(Table_NFI[[#This Row],[Pcode]]="","",IF(OFFSET(CampList[Opening Date],MATCH(Table_NFI[[#This Row],[Pcode]],CampList[CP_Pcode],0)-1,0,1,1)&gt;=NFI_Monitor_Date,1,0))</f>
        <v/>
      </c>
      <c r="AQ1229" s="540" t="str">
        <f>IFERROR(VLOOKUP(Table_NFI[[#This Row],[Camp Name]],CL,3,0),"")</f>
        <v/>
      </c>
      <c r="AR1229" s="352" t="str">
        <f ca="1">IF(Table_NFI[[#This Row],[Pcode]]="","",OFFSET(CampList[Priority],MATCH(Table_NFI[[#This Row],[Pcode]],CampList[CP_Pcode],0)-1,0,1,1))</f>
        <v/>
      </c>
      <c r="AS1229" s="351" t="str">
        <f>IFERROR(Table_NFI[[#This Row],[Kitchen Set]]/VLOOKUP(Table_NFI[[#This Row],[Camp Name]],CL,4,0),"")</f>
        <v/>
      </c>
      <c r="AT1229" s="538"/>
      <c r="AU1229" s="541"/>
    </row>
    <row r="1230" spans="1:47" ht="14.45" hidden="1" customHeight="1" x14ac:dyDescent="0.25">
      <c r="A1230" s="355" t="str">
        <f t="shared" si="19"/>
        <v/>
      </c>
      <c r="B1230" s="532"/>
      <c r="C1230" s="538"/>
      <c r="D1230" s="538"/>
      <c r="E1230" s="538"/>
      <c r="F1230" s="538"/>
      <c r="G1230" s="538"/>
      <c r="H1230" s="350"/>
      <c r="I1230" s="350"/>
      <c r="J1230" s="350"/>
      <c r="K1230" s="350"/>
      <c r="L1230" s="350"/>
      <c r="M1230" s="350"/>
      <c r="N1230" s="350"/>
      <c r="O1230" s="350"/>
      <c r="P1230" s="352"/>
      <c r="Q1230" s="558"/>
      <c r="R1230" s="558"/>
      <c r="S1230" s="558"/>
      <c r="T1230" s="558"/>
      <c r="U1230" s="558"/>
      <c r="V1230" s="497"/>
      <c r="W1230" s="558"/>
      <c r="X1230" s="558"/>
      <c r="Y1230" s="352">
        <f>IF(NFI_Expiration=1,IF($A1230&lt;VLOOKUP(H$5,NFI,5,0),1,0)*Table_NFI[[#This Row],[Hygiene Kit]],Table_NFI[Hygiene Kit])</f>
        <v>0</v>
      </c>
      <c r="Z1230" s="352">
        <f>IF(NFI_Expiration=1,IF($A1230&lt;VLOOKUP(I$5,NFI,5,0),1,0)*Table_NFI[[#This Row],[NFI Core Kit]],Table_NFI[NFI Core Kit])</f>
        <v>0</v>
      </c>
      <c r="AA1230" s="352">
        <f>IF(NFI_Expiration=1,IF($A1230&lt;VLOOKUP(J$5,NFI,5,0),1,0)*Table_NFI[[#This Row],[Sanitary Kit]],Table_NFI[Sanitary Kit])</f>
        <v>0</v>
      </c>
      <c r="AB1230" s="352">
        <f>IF(NFI_Expiration=1,IF($A1230&lt;VLOOKUP(K$5,NFI,5,0),1,0)*Table_NFI[[#This Row],[Mosquito net]],Table_NFI[Mosquito net])</f>
        <v>0</v>
      </c>
      <c r="AC1230" s="352">
        <f>IF(NFI_Expiration=1,IF($A1230&lt;VLOOKUP(L$5,NFI,5,0),1,0)*Table_NFI[[#This Row],[Tarpaulin]],Table_NFI[[#This Row],[Tarpaulin]])</f>
        <v>0</v>
      </c>
      <c r="AD1230" s="352">
        <f>IF(NFI_Expiration=1,IF($A1230&lt;VLOOKUP(M$5,NFI,5,0),1,0)*Table_NFI[[#This Row],[Blanket]],Table_NFI[[#This Row],[Blanket]])</f>
        <v>0</v>
      </c>
      <c r="AE1230" s="352">
        <f>IF(NFI_Expiration=1,IF($A1230&lt;VLOOKUP(N$5,NFI,5,0),1,0)*Table_NFI[[#This Row],[Kitchen Set]],Table_NFI[Kitchen Set])</f>
        <v>0</v>
      </c>
      <c r="AF1230" s="352">
        <f>IF(NFI_Expiration=1,IF($A1230&lt;VLOOKUP(O$5,NFI,5,0),1,0)*Table_NFI[[#This Row],[Clothes Kit]],Table_NFI[Clothes Kit])</f>
        <v>0</v>
      </c>
      <c r="AG1230" s="352">
        <f>IF(NFI_Expiration=1,IF($A1230&lt;VLOOKUP(P$5,NFI,5,0),1,0)*Table_NFI[[#This Row],[Plastic Bucket]],Table_NFI[Plastic Bucket])</f>
        <v>0</v>
      </c>
      <c r="AH1230" s="352">
        <f>IF(NFI_Expiration=1,IF($A1230&lt;VLOOKUP(Q$5,NFI,5,0),1,0)*Table_NFI[[#This Row],[Plastic Mat]],Table_NFI[Plastic Mat])*IF(Table_NFI[[#This Row],[Distribution Date]]&gt;"2014-04-01",1,2.5)</f>
        <v>0</v>
      </c>
      <c r="AI1230" s="352">
        <f>IF(NFI_Expiration=1,IF($A1230&lt;VLOOKUP(R$5,NFI,5,0),1,0)*Table_NFI[[#This Row],[Winter Clothes Adult]],Table_NFI[Winter Clothes Adult])</f>
        <v>0</v>
      </c>
      <c r="AJ1230" s="352">
        <f>IF(NFI_Expiration=1,IF($A1230&lt;VLOOKUP(S$5,NFI,5,0),1,0)*Table_NFI[[#This Row],[Winter Clothes Children]],Table_NFI[Winter Clothes Children])</f>
        <v>0</v>
      </c>
      <c r="AK1230" s="352">
        <f>IF(NFI_Expiration=1,IF($A1230&lt;VLOOKUP(T$5,NFI,5,0),1,0)*Table_NFI[[#This Row],[Winter Items Other]],Table_NFI[Winter Items Other])</f>
        <v>0</v>
      </c>
      <c r="AL1230" s="352">
        <f>IF(NFI_Expiration=1,IF($A1230&lt;VLOOKUP(M$5,NFI,5,0),1,0)*Table_NFI[[#This Row],[Winter Blanket]],Table_NFI[[#This Row],[Winter Blanket]])</f>
        <v>0</v>
      </c>
      <c r="AM1230" s="352">
        <f>IF(Table_NFI[[#This Row],[Winter Clothes Adult]]+Table_NFI[[#This Row],[Winter Clothes Children]]+Table_NFI[[#This Row],[Winter Items Other]]+Table_NFI[[#This Row],[Winter Blanket]]&gt;0,1,0)</f>
        <v>0</v>
      </c>
      <c r="AN1230" s="392">
        <f>IF(NFI_Expiration=1,IF($A1230&lt;VLOOKUP(V$5,NFI,5,0),1,0)*Table_NFI[[#This Row],[Jerry Can]],Table_NFI[Jerry Can])</f>
        <v>0</v>
      </c>
      <c r="AO1230" s="540" t="str">
        <f>IFERROR(VLOOKUP(Table_NFI[[#This Row],[Camp Name]],CL,2,0),"")</f>
        <v/>
      </c>
      <c r="AP1230" s="535" t="str">
        <f ca="1">IF(Table_NFI[[#This Row],[Pcode]]="","",IF(OFFSET(CampList[Opening Date],MATCH(Table_NFI[[#This Row],[Pcode]],CampList[CP_Pcode],0)-1,0,1,1)&gt;=NFI_Monitor_Date,1,0))</f>
        <v/>
      </c>
      <c r="AQ1230" s="540" t="str">
        <f>IFERROR(VLOOKUP(Table_NFI[[#This Row],[Camp Name]],CL,3,0),"")</f>
        <v/>
      </c>
      <c r="AR1230" s="352" t="str">
        <f ca="1">IF(Table_NFI[[#This Row],[Pcode]]="","",OFFSET(CampList[Priority],MATCH(Table_NFI[[#This Row],[Pcode]],CampList[CP_Pcode],0)-1,0,1,1))</f>
        <v/>
      </c>
      <c r="AS1230" s="351" t="str">
        <f>IFERROR(Table_NFI[[#This Row],[Kitchen Set]]/VLOOKUP(Table_NFI[[#This Row],[Camp Name]],CL,4,0),"")</f>
        <v/>
      </c>
      <c r="AT1230" s="538"/>
      <c r="AU1230" s="541"/>
    </row>
    <row r="1231" spans="1:47" ht="14.45" hidden="1" customHeight="1" x14ac:dyDescent="0.25">
      <c r="A1231" s="355" t="str">
        <f t="shared" si="19"/>
        <v/>
      </c>
      <c r="B1231" s="532"/>
      <c r="C1231" s="538"/>
      <c r="D1231" s="538"/>
      <c r="E1231" s="538"/>
      <c r="F1231" s="538"/>
      <c r="G1231" s="538"/>
      <c r="H1231" s="350"/>
      <c r="I1231" s="350"/>
      <c r="J1231" s="350"/>
      <c r="K1231" s="350"/>
      <c r="L1231" s="350"/>
      <c r="M1231" s="350"/>
      <c r="N1231" s="350"/>
      <c r="O1231" s="350"/>
      <c r="P1231" s="352"/>
      <c r="Q1231" s="558"/>
      <c r="R1231" s="558"/>
      <c r="S1231" s="558"/>
      <c r="T1231" s="558"/>
      <c r="U1231" s="558"/>
      <c r="V1231" s="497"/>
      <c r="W1231" s="558"/>
      <c r="X1231" s="558"/>
      <c r="Y1231" s="352">
        <f>IF(NFI_Expiration=1,IF($A1231&lt;VLOOKUP(H$5,NFI,5,0),1,0)*Table_NFI[[#This Row],[Hygiene Kit]],Table_NFI[Hygiene Kit])</f>
        <v>0</v>
      </c>
      <c r="Z1231" s="352">
        <f>IF(NFI_Expiration=1,IF($A1231&lt;VLOOKUP(I$5,NFI,5,0),1,0)*Table_NFI[[#This Row],[NFI Core Kit]],Table_NFI[NFI Core Kit])</f>
        <v>0</v>
      </c>
      <c r="AA1231" s="352">
        <f>IF(NFI_Expiration=1,IF($A1231&lt;VLOOKUP(J$5,NFI,5,0),1,0)*Table_NFI[[#This Row],[Sanitary Kit]],Table_NFI[Sanitary Kit])</f>
        <v>0</v>
      </c>
      <c r="AB1231" s="352">
        <f>IF(NFI_Expiration=1,IF($A1231&lt;VLOOKUP(K$5,NFI,5,0),1,0)*Table_NFI[[#This Row],[Mosquito net]],Table_NFI[Mosquito net])</f>
        <v>0</v>
      </c>
      <c r="AC1231" s="352">
        <f>IF(NFI_Expiration=1,IF($A1231&lt;VLOOKUP(L$5,NFI,5,0),1,0)*Table_NFI[[#This Row],[Tarpaulin]],Table_NFI[[#This Row],[Tarpaulin]])</f>
        <v>0</v>
      </c>
      <c r="AD1231" s="352">
        <f>IF(NFI_Expiration=1,IF($A1231&lt;VLOOKUP(M$5,NFI,5,0),1,0)*Table_NFI[[#This Row],[Blanket]],Table_NFI[[#This Row],[Blanket]])</f>
        <v>0</v>
      </c>
      <c r="AE1231" s="352">
        <f>IF(NFI_Expiration=1,IF($A1231&lt;VLOOKUP(N$5,NFI,5,0),1,0)*Table_NFI[[#This Row],[Kitchen Set]],Table_NFI[Kitchen Set])</f>
        <v>0</v>
      </c>
      <c r="AF1231" s="352">
        <f>IF(NFI_Expiration=1,IF($A1231&lt;VLOOKUP(O$5,NFI,5,0),1,0)*Table_NFI[[#This Row],[Clothes Kit]],Table_NFI[Clothes Kit])</f>
        <v>0</v>
      </c>
      <c r="AG1231" s="352">
        <f>IF(NFI_Expiration=1,IF($A1231&lt;VLOOKUP(P$5,NFI,5,0),1,0)*Table_NFI[[#This Row],[Plastic Bucket]],Table_NFI[Plastic Bucket])</f>
        <v>0</v>
      </c>
      <c r="AH1231" s="352">
        <f>IF(NFI_Expiration=1,IF($A1231&lt;VLOOKUP(Q$5,NFI,5,0),1,0)*Table_NFI[[#This Row],[Plastic Mat]],Table_NFI[Plastic Mat])*IF(Table_NFI[[#This Row],[Distribution Date]]&gt;"2014-04-01",1,2.5)</f>
        <v>0</v>
      </c>
      <c r="AI1231" s="352">
        <f>IF(NFI_Expiration=1,IF($A1231&lt;VLOOKUP(R$5,NFI,5,0),1,0)*Table_NFI[[#This Row],[Winter Clothes Adult]],Table_NFI[Winter Clothes Adult])</f>
        <v>0</v>
      </c>
      <c r="AJ1231" s="352">
        <f>IF(NFI_Expiration=1,IF($A1231&lt;VLOOKUP(S$5,NFI,5,0),1,0)*Table_NFI[[#This Row],[Winter Clothes Children]],Table_NFI[Winter Clothes Children])</f>
        <v>0</v>
      </c>
      <c r="AK1231" s="352">
        <f>IF(NFI_Expiration=1,IF($A1231&lt;VLOOKUP(T$5,NFI,5,0),1,0)*Table_NFI[[#This Row],[Winter Items Other]],Table_NFI[Winter Items Other])</f>
        <v>0</v>
      </c>
      <c r="AL1231" s="352">
        <f>IF(NFI_Expiration=1,IF($A1231&lt;VLOOKUP(M$5,NFI,5,0),1,0)*Table_NFI[[#This Row],[Winter Blanket]],Table_NFI[[#This Row],[Winter Blanket]])</f>
        <v>0</v>
      </c>
      <c r="AM1231" s="352">
        <f>IF(Table_NFI[[#This Row],[Winter Clothes Adult]]+Table_NFI[[#This Row],[Winter Clothes Children]]+Table_NFI[[#This Row],[Winter Items Other]]+Table_NFI[[#This Row],[Winter Blanket]]&gt;0,1,0)</f>
        <v>0</v>
      </c>
      <c r="AN1231" s="392">
        <f>IF(NFI_Expiration=1,IF($A1231&lt;VLOOKUP(V$5,NFI,5,0),1,0)*Table_NFI[[#This Row],[Jerry Can]],Table_NFI[Jerry Can])</f>
        <v>0</v>
      </c>
      <c r="AO1231" s="540" t="str">
        <f>IFERROR(VLOOKUP(Table_NFI[[#This Row],[Camp Name]],CL,2,0),"")</f>
        <v/>
      </c>
      <c r="AP1231" s="535" t="str">
        <f ca="1">IF(Table_NFI[[#This Row],[Pcode]]="","",IF(OFFSET(CampList[Opening Date],MATCH(Table_NFI[[#This Row],[Pcode]],CampList[CP_Pcode],0)-1,0,1,1)&gt;=NFI_Monitor_Date,1,0))</f>
        <v/>
      </c>
      <c r="AQ1231" s="540" t="str">
        <f>IFERROR(VLOOKUP(Table_NFI[[#This Row],[Camp Name]],CL,3,0),"")</f>
        <v/>
      </c>
      <c r="AR1231" s="352" t="str">
        <f ca="1">IF(Table_NFI[[#This Row],[Pcode]]="","",OFFSET(CampList[Priority],MATCH(Table_NFI[[#This Row],[Pcode]],CampList[CP_Pcode],0)-1,0,1,1))</f>
        <v/>
      </c>
      <c r="AS1231" s="351" t="str">
        <f>IFERROR(Table_NFI[[#This Row],[Kitchen Set]]/VLOOKUP(Table_NFI[[#This Row],[Camp Name]],CL,4,0),"")</f>
        <v/>
      </c>
      <c r="AT1231" s="538"/>
      <c r="AU1231" s="541"/>
    </row>
    <row r="1232" spans="1:47" ht="14.45" hidden="1" customHeight="1" x14ac:dyDescent="0.25">
      <c r="A1232" s="355" t="str">
        <f t="shared" si="19"/>
        <v/>
      </c>
      <c r="B1232" s="532"/>
      <c r="C1232" s="538"/>
      <c r="D1232" s="538"/>
      <c r="E1232" s="538"/>
      <c r="F1232" s="538"/>
      <c r="G1232" s="538"/>
      <c r="H1232" s="350"/>
      <c r="I1232" s="350"/>
      <c r="J1232" s="350"/>
      <c r="K1232" s="350"/>
      <c r="L1232" s="350"/>
      <c r="M1232" s="350"/>
      <c r="N1232" s="350"/>
      <c r="O1232" s="350"/>
      <c r="P1232" s="352"/>
      <c r="Q1232" s="558"/>
      <c r="R1232" s="558"/>
      <c r="S1232" s="558"/>
      <c r="T1232" s="558"/>
      <c r="U1232" s="558"/>
      <c r="V1232" s="497"/>
      <c r="W1232" s="558"/>
      <c r="X1232" s="558"/>
      <c r="Y1232" s="352">
        <f>IF(NFI_Expiration=1,IF($A1232&lt;VLOOKUP(H$5,NFI,5,0),1,0)*Table_NFI[[#This Row],[Hygiene Kit]],Table_NFI[Hygiene Kit])</f>
        <v>0</v>
      </c>
      <c r="Z1232" s="352">
        <f>IF(NFI_Expiration=1,IF($A1232&lt;VLOOKUP(I$5,NFI,5,0),1,0)*Table_NFI[[#This Row],[NFI Core Kit]],Table_NFI[NFI Core Kit])</f>
        <v>0</v>
      </c>
      <c r="AA1232" s="352">
        <f>IF(NFI_Expiration=1,IF($A1232&lt;VLOOKUP(J$5,NFI,5,0),1,0)*Table_NFI[[#This Row],[Sanitary Kit]],Table_NFI[Sanitary Kit])</f>
        <v>0</v>
      </c>
      <c r="AB1232" s="352">
        <f>IF(NFI_Expiration=1,IF($A1232&lt;VLOOKUP(K$5,NFI,5,0),1,0)*Table_NFI[[#This Row],[Mosquito net]],Table_NFI[Mosquito net])</f>
        <v>0</v>
      </c>
      <c r="AC1232" s="352">
        <f>IF(NFI_Expiration=1,IF($A1232&lt;VLOOKUP(L$5,NFI,5,0),1,0)*Table_NFI[[#This Row],[Tarpaulin]],Table_NFI[[#This Row],[Tarpaulin]])</f>
        <v>0</v>
      </c>
      <c r="AD1232" s="352">
        <f>IF(NFI_Expiration=1,IF($A1232&lt;VLOOKUP(M$5,NFI,5,0),1,0)*Table_NFI[[#This Row],[Blanket]],Table_NFI[[#This Row],[Blanket]])</f>
        <v>0</v>
      </c>
      <c r="AE1232" s="352">
        <f>IF(NFI_Expiration=1,IF($A1232&lt;VLOOKUP(N$5,NFI,5,0),1,0)*Table_NFI[[#This Row],[Kitchen Set]],Table_NFI[Kitchen Set])</f>
        <v>0</v>
      </c>
      <c r="AF1232" s="352">
        <f>IF(NFI_Expiration=1,IF($A1232&lt;VLOOKUP(O$5,NFI,5,0),1,0)*Table_NFI[[#This Row],[Clothes Kit]],Table_NFI[Clothes Kit])</f>
        <v>0</v>
      </c>
      <c r="AG1232" s="352">
        <f>IF(NFI_Expiration=1,IF($A1232&lt;VLOOKUP(P$5,NFI,5,0),1,0)*Table_NFI[[#This Row],[Plastic Bucket]],Table_NFI[Plastic Bucket])</f>
        <v>0</v>
      </c>
      <c r="AH1232" s="352">
        <f>IF(NFI_Expiration=1,IF($A1232&lt;VLOOKUP(Q$5,NFI,5,0),1,0)*Table_NFI[[#This Row],[Plastic Mat]],Table_NFI[Plastic Mat])*IF(Table_NFI[[#This Row],[Distribution Date]]&gt;"2014-04-01",1,2.5)</f>
        <v>0</v>
      </c>
      <c r="AI1232" s="352">
        <f>IF(NFI_Expiration=1,IF($A1232&lt;VLOOKUP(R$5,NFI,5,0),1,0)*Table_NFI[[#This Row],[Winter Clothes Adult]],Table_NFI[Winter Clothes Adult])</f>
        <v>0</v>
      </c>
      <c r="AJ1232" s="352">
        <f>IF(NFI_Expiration=1,IF($A1232&lt;VLOOKUP(S$5,NFI,5,0),1,0)*Table_NFI[[#This Row],[Winter Clothes Children]],Table_NFI[Winter Clothes Children])</f>
        <v>0</v>
      </c>
      <c r="AK1232" s="352">
        <f>IF(NFI_Expiration=1,IF($A1232&lt;VLOOKUP(T$5,NFI,5,0),1,0)*Table_NFI[[#This Row],[Winter Items Other]],Table_NFI[Winter Items Other])</f>
        <v>0</v>
      </c>
      <c r="AL1232" s="352">
        <f>IF(NFI_Expiration=1,IF($A1232&lt;VLOOKUP(M$5,NFI,5,0),1,0)*Table_NFI[[#This Row],[Winter Blanket]],Table_NFI[[#This Row],[Winter Blanket]])</f>
        <v>0</v>
      </c>
      <c r="AM1232" s="352">
        <f>IF(Table_NFI[[#This Row],[Winter Clothes Adult]]+Table_NFI[[#This Row],[Winter Clothes Children]]+Table_NFI[[#This Row],[Winter Items Other]]+Table_NFI[[#This Row],[Winter Blanket]]&gt;0,1,0)</f>
        <v>0</v>
      </c>
      <c r="AN1232" s="392">
        <f>IF(NFI_Expiration=1,IF($A1232&lt;VLOOKUP(V$5,NFI,5,0),1,0)*Table_NFI[[#This Row],[Jerry Can]],Table_NFI[Jerry Can])</f>
        <v>0</v>
      </c>
      <c r="AO1232" s="540" t="str">
        <f>IFERROR(VLOOKUP(Table_NFI[[#This Row],[Camp Name]],CL,2,0),"")</f>
        <v/>
      </c>
      <c r="AP1232" s="535" t="str">
        <f ca="1">IF(Table_NFI[[#This Row],[Pcode]]="","",IF(OFFSET(CampList[Opening Date],MATCH(Table_NFI[[#This Row],[Pcode]],CampList[CP_Pcode],0)-1,0,1,1)&gt;=NFI_Monitor_Date,1,0))</f>
        <v/>
      </c>
      <c r="AQ1232" s="540" t="str">
        <f>IFERROR(VLOOKUP(Table_NFI[[#This Row],[Camp Name]],CL,3,0),"")</f>
        <v/>
      </c>
      <c r="AR1232" s="352" t="str">
        <f ca="1">IF(Table_NFI[[#This Row],[Pcode]]="","",OFFSET(CampList[Priority],MATCH(Table_NFI[[#This Row],[Pcode]],CampList[CP_Pcode],0)-1,0,1,1))</f>
        <v/>
      </c>
      <c r="AS1232" s="351" t="str">
        <f>IFERROR(Table_NFI[[#This Row],[Kitchen Set]]/VLOOKUP(Table_NFI[[#This Row],[Camp Name]],CL,4,0),"")</f>
        <v/>
      </c>
      <c r="AT1232" s="538"/>
      <c r="AU1232" s="541"/>
    </row>
    <row r="1233" spans="1:47" ht="14.45" hidden="1" customHeight="1" x14ac:dyDescent="0.25">
      <c r="A1233" s="355" t="str">
        <f t="shared" si="19"/>
        <v/>
      </c>
      <c r="B1233" s="532"/>
      <c r="C1233" s="538"/>
      <c r="D1233" s="538"/>
      <c r="E1233" s="538"/>
      <c r="F1233" s="538"/>
      <c r="G1233" s="538"/>
      <c r="H1233" s="350"/>
      <c r="I1233" s="350"/>
      <c r="J1233" s="350"/>
      <c r="K1233" s="350"/>
      <c r="L1233" s="350"/>
      <c r="M1233" s="350"/>
      <c r="N1233" s="350"/>
      <c r="O1233" s="350"/>
      <c r="P1233" s="352"/>
      <c r="Q1233" s="558"/>
      <c r="R1233" s="558"/>
      <c r="S1233" s="558"/>
      <c r="T1233" s="558"/>
      <c r="U1233" s="558"/>
      <c r="V1233" s="497"/>
      <c r="W1233" s="558"/>
      <c r="X1233" s="558"/>
      <c r="Y1233" s="352">
        <f>IF(NFI_Expiration=1,IF($A1233&lt;VLOOKUP(H$5,NFI,5,0),1,0)*Table_NFI[[#This Row],[Hygiene Kit]],Table_NFI[Hygiene Kit])</f>
        <v>0</v>
      </c>
      <c r="Z1233" s="352">
        <f>IF(NFI_Expiration=1,IF($A1233&lt;VLOOKUP(I$5,NFI,5,0),1,0)*Table_NFI[[#This Row],[NFI Core Kit]],Table_NFI[NFI Core Kit])</f>
        <v>0</v>
      </c>
      <c r="AA1233" s="352">
        <f>IF(NFI_Expiration=1,IF($A1233&lt;VLOOKUP(J$5,NFI,5,0),1,0)*Table_NFI[[#This Row],[Sanitary Kit]],Table_NFI[Sanitary Kit])</f>
        <v>0</v>
      </c>
      <c r="AB1233" s="352">
        <f>IF(NFI_Expiration=1,IF($A1233&lt;VLOOKUP(K$5,NFI,5,0),1,0)*Table_NFI[[#This Row],[Mosquito net]],Table_NFI[Mosquito net])</f>
        <v>0</v>
      </c>
      <c r="AC1233" s="352">
        <f>IF(NFI_Expiration=1,IF($A1233&lt;VLOOKUP(L$5,NFI,5,0),1,0)*Table_NFI[[#This Row],[Tarpaulin]],Table_NFI[[#This Row],[Tarpaulin]])</f>
        <v>0</v>
      </c>
      <c r="AD1233" s="352">
        <f>IF(NFI_Expiration=1,IF($A1233&lt;VLOOKUP(M$5,NFI,5,0),1,0)*Table_NFI[[#This Row],[Blanket]],Table_NFI[[#This Row],[Blanket]])</f>
        <v>0</v>
      </c>
      <c r="AE1233" s="352">
        <f>IF(NFI_Expiration=1,IF($A1233&lt;VLOOKUP(N$5,NFI,5,0),1,0)*Table_NFI[[#This Row],[Kitchen Set]],Table_NFI[Kitchen Set])</f>
        <v>0</v>
      </c>
      <c r="AF1233" s="352">
        <f>IF(NFI_Expiration=1,IF($A1233&lt;VLOOKUP(O$5,NFI,5,0),1,0)*Table_NFI[[#This Row],[Clothes Kit]],Table_NFI[Clothes Kit])</f>
        <v>0</v>
      </c>
      <c r="AG1233" s="352">
        <f>IF(NFI_Expiration=1,IF($A1233&lt;VLOOKUP(P$5,NFI,5,0),1,0)*Table_NFI[[#This Row],[Plastic Bucket]],Table_NFI[Plastic Bucket])</f>
        <v>0</v>
      </c>
      <c r="AH1233" s="352">
        <f>IF(NFI_Expiration=1,IF($A1233&lt;VLOOKUP(Q$5,NFI,5,0),1,0)*Table_NFI[[#This Row],[Plastic Mat]],Table_NFI[Plastic Mat])*IF(Table_NFI[[#This Row],[Distribution Date]]&gt;"2014-04-01",1,2.5)</f>
        <v>0</v>
      </c>
      <c r="AI1233" s="352">
        <f>IF(NFI_Expiration=1,IF($A1233&lt;VLOOKUP(R$5,NFI,5,0),1,0)*Table_NFI[[#This Row],[Winter Clothes Adult]],Table_NFI[Winter Clothes Adult])</f>
        <v>0</v>
      </c>
      <c r="AJ1233" s="352">
        <f>IF(NFI_Expiration=1,IF($A1233&lt;VLOOKUP(S$5,NFI,5,0),1,0)*Table_NFI[[#This Row],[Winter Clothes Children]],Table_NFI[Winter Clothes Children])</f>
        <v>0</v>
      </c>
      <c r="AK1233" s="352">
        <f>IF(NFI_Expiration=1,IF($A1233&lt;VLOOKUP(T$5,NFI,5,0),1,0)*Table_NFI[[#This Row],[Winter Items Other]],Table_NFI[Winter Items Other])</f>
        <v>0</v>
      </c>
      <c r="AL1233" s="352">
        <f>IF(NFI_Expiration=1,IF($A1233&lt;VLOOKUP(M$5,NFI,5,0),1,0)*Table_NFI[[#This Row],[Winter Blanket]],Table_NFI[[#This Row],[Winter Blanket]])</f>
        <v>0</v>
      </c>
      <c r="AM1233" s="352">
        <f>IF(Table_NFI[[#This Row],[Winter Clothes Adult]]+Table_NFI[[#This Row],[Winter Clothes Children]]+Table_NFI[[#This Row],[Winter Items Other]]+Table_NFI[[#This Row],[Winter Blanket]]&gt;0,1,0)</f>
        <v>0</v>
      </c>
      <c r="AN1233" s="392">
        <f>IF(NFI_Expiration=1,IF($A1233&lt;VLOOKUP(V$5,NFI,5,0),1,0)*Table_NFI[[#This Row],[Jerry Can]],Table_NFI[Jerry Can])</f>
        <v>0</v>
      </c>
      <c r="AO1233" s="540" t="str">
        <f>IFERROR(VLOOKUP(Table_NFI[[#This Row],[Camp Name]],CL,2,0),"")</f>
        <v/>
      </c>
      <c r="AP1233" s="535" t="str">
        <f ca="1">IF(Table_NFI[[#This Row],[Pcode]]="","",IF(OFFSET(CampList[Opening Date],MATCH(Table_NFI[[#This Row],[Pcode]],CampList[CP_Pcode],0)-1,0,1,1)&gt;=NFI_Monitor_Date,1,0))</f>
        <v/>
      </c>
      <c r="AQ1233" s="540" t="str">
        <f>IFERROR(VLOOKUP(Table_NFI[[#This Row],[Camp Name]],CL,3,0),"")</f>
        <v/>
      </c>
      <c r="AR1233" s="352" t="str">
        <f ca="1">IF(Table_NFI[[#This Row],[Pcode]]="","",OFFSET(CampList[Priority],MATCH(Table_NFI[[#This Row],[Pcode]],CampList[CP_Pcode],0)-1,0,1,1))</f>
        <v/>
      </c>
      <c r="AS1233" s="351" t="str">
        <f>IFERROR(Table_NFI[[#This Row],[Kitchen Set]]/VLOOKUP(Table_NFI[[#This Row],[Camp Name]],CL,4,0),"")</f>
        <v/>
      </c>
      <c r="AT1233" s="538"/>
      <c r="AU1233" s="541"/>
    </row>
    <row r="1234" spans="1:47" ht="14.45" hidden="1" customHeight="1" x14ac:dyDescent="0.25">
      <c r="A1234" s="355" t="str">
        <f t="shared" si="19"/>
        <v/>
      </c>
      <c r="B1234" s="532"/>
      <c r="C1234" s="538"/>
      <c r="D1234" s="538"/>
      <c r="E1234" s="538"/>
      <c r="F1234" s="538"/>
      <c r="G1234" s="538"/>
      <c r="H1234" s="350"/>
      <c r="I1234" s="350"/>
      <c r="J1234" s="350"/>
      <c r="K1234" s="350"/>
      <c r="L1234" s="350"/>
      <c r="M1234" s="350"/>
      <c r="N1234" s="350"/>
      <c r="O1234" s="350"/>
      <c r="P1234" s="352"/>
      <c r="Q1234" s="558"/>
      <c r="R1234" s="558"/>
      <c r="S1234" s="558"/>
      <c r="T1234" s="558"/>
      <c r="U1234" s="558"/>
      <c r="V1234" s="497"/>
      <c r="W1234" s="558"/>
      <c r="X1234" s="558"/>
      <c r="Y1234" s="352">
        <f>IF(NFI_Expiration=1,IF($A1234&lt;VLOOKUP(H$5,NFI,5,0),1,0)*Table_NFI[[#This Row],[Hygiene Kit]],Table_NFI[Hygiene Kit])</f>
        <v>0</v>
      </c>
      <c r="Z1234" s="352">
        <f>IF(NFI_Expiration=1,IF($A1234&lt;VLOOKUP(I$5,NFI,5,0),1,0)*Table_NFI[[#This Row],[NFI Core Kit]],Table_NFI[NFI Core Kit])</f>
        <v>0</v>
      </c>
      <c r="AA1234" s="352">
        <f>IF(NFI_Expiration=1,IF($A1234&lt;VLOOKUP(J$5,NFI,5,0),1,0)*Table_NFI[[#This Row],[Sanitary Kit]],Table_NFI[Sanitary Kit])</f>
        <v>0</v>
      </c>
      <c r="AB1234" s="352">
        <f>IF(NFI_Expiration=1,IF($A1234&lt;VLOOKUP(K$5,NFI,5,0),1,0)*Table_NFI[[#This Row],[Mosquito net]],Table_NFI[Mosquito net])</f>
        <v>0</v>
      </c>
      <c r="AC1234" s="352">
        <f>IF(NFI_Expiration=1,IF($A1234&lt;VLOOKUP(L$5,NFI,5,0),1,0)*Table_NFI[[#This Row],[Tarpaulin]],Table_NFI[[#This Row],[Tarpaulin]])</f>
        <v>0</v>
      </c>
      <c r="AD1234" s="352">
        <f>IF(NFI_Expiration=1,IF($A1234&lt;VLOOKUP(M$5,NFI,5,0),1,0)*Table_NFI[[#This Row],[Blanket]],Table_NFI[[#This Row],[Blanket]])</f>
        <v>0</v>
      </c>
      <c r="AE1234" s="352">
        <f>IF(NFI_Expiration=1,IF($A1234&lt;VLOOKUP(N$5,NFI,5,0),1,0)*Table_NFI[[#This Row],[Kitchen Set]],Table_NFI[Kitchen Set])</f>
        <v>0</v>
      </c>
      <c r="AF1234" s="352">
        <f>IF(NFI_Expiration=1,IF($A1234&lt;VLOOKUP(O$5,NFI,5,0),1,0)*Table_NFI[[#This Row],[Clothes Kit]],Table_NFI[Clothes Kit])</f>
        <v>0</v>
      </c>
      <c r="AG1234" s="352">
        <f>IF(NFI_Expiration=1,IF($A1234&lt;VLOOKUP(P$5,NFI,5,0),1,0)*Table_NFI[[#This Row],[Plastic Bucket]],Table_NFI[Plastic Bucket])</f>
        <v>0</v>
      </c>
      <c r="AH1234" s="352">
        <f>IF(NFI_Expiration=1,IF($A1234&lt;VLOOKUP(Q$5,NFI,5,0),1,0)*Table_NFI[[#This Row],[Plastic Mat]],Table_NFI[Plastic Mat])*IF(Table_NFI[[#This Row],[Distribution Date]]&gt;"2014-04-01",1,2.5)</f>
        <v>0</v>
      </c>
      <c r="AI1234" s="352">
        <f>IF(NFI_Expiration=1,IF($A1234&lt;VLOOKUP(R$5,NFI,5,0),1,0)*Table_NFI[[#This Row],[Winter Clothes Adult]],Table_NFI[Winter Clothes Adult])</f>
        <v>0</v>
      </c>
      <c r="AJ1234" s="352">
        <f>IF(NFI_Expiration=1,IF($A1234&lt;VLOOKUP(S$5,NFI,5,0),1,0)*Table_NFI[[#This Row],[Winter Clothes Children]],Table_NFI[Winter Clothes Children])</f>
        <v>0</v>
      </c>
      <c r="AK1234" s="352">
        <f>IF(NFI_Expiration=1,IF($A1234&lt;VLOOKUP(T$5,NFI,5,0),1,0)*Table_NFI[[#This Row],[Winter Items Other]],Table_NFI[Winter Items Other])</f>
        <v>0</v>
      </c>
      <c r="AL1234" s="352">
        <f>IF(NFI_Expiration=1,IF($A1234&lt;VLOOKUP(M$5,NFI,5,0),1,0)*Table_NFI[[#This Row],[Winter Blanket]],Table_NFI[[#This Row],[Winter Blanket]])</f>
        <v>0</v>
      </c>
      <c r="AM1234" s="352">
        <f>IF(Table_NFI[[#This Row],[Winter Clothes Adult]]+Table_NFI[[#This Row],[Winter Clothes Children]]+Table_NFI[[#This Row],[Winter Items Other]]+Table_NFI[[#This Row],[Winter Blanket]]&gt;0,1,0)</f>
        <v>0</v>
      </c>
      <c r="AN1234" s="392">
        <f>IF(NFI_Expiration=1,IF($A1234&lt;VLOOKUP(V$5,NFI,5,0),1,0)*Table_NFI[[#This Row],[Jerry Can]],Table_NFI[Jerry Can])</f>
        <v>0</v>
      </c>
      <c r="AO1234" s="540" t="str">
        <f>IFERROR(VLOOKUP(Table_NFI[[#This Row],[Camp Name]],CL,2,0),"")</f>
        <v/>
      </c>
      <c r="AP1234" s="535" t="str">
        <f ca="1">IF(Table_NFI[[#This Row],[Pcode]]="","",IF(OFFSET(CampList[Opening Date],MATCH(Table_NFI[[#This Row],[Pcode]],CampList[CP_Pcode],0)-1,0,1,1)&gt;=NFI_Monitor_Date,1,0))</f>
        <v/>
      </c>
      <c r="AQ1234" s="540" t="str">
        <f>IFERROR(VLOOKUP(Table_NFI[[#This Row],[Camp Name]],CL,3,0),"")</f>
        <v/>
      </c>
      <c r="AR1234" s="352" t="str">
        <f ca="1">IF(Table_NFI[[#This Row],[Pcode]]="","",OFFSET(CampList[Priority],MATCH(Table_NFI[[#This Row],[Pcode]],CampList[CP_Pcode],0)-1,0,1,1))</f>
        <v/>
      </c>
      <c r="AS1234" s="351" t="str">
        <f>IFERROR(Table_NFI[[#This Row],[Kitchen Set]]/VLOOKUP(Table_NFI[[#This Row],[Camp Name]],CL,4,0),"")</f>
        <v/>
      </c>
      <c r="AT1234" s="538"/>
      <c r="AU1234" s="541"/>
    </row>
    <row r="1235" spans="1:47" ht="14.45" hidden="1" customHeight="1" x14ac:dyDescent="0.25">
      <c r="A1235" s="355" t="str">
        <f t="shared" si="19"/>
        <v/>
      </c>
      <c r="B1235" s="532"/>
      <c r="C1235" s="538"/>
      <c r="D1235" s="538"/>
      <c r="E1235" s="538"/>
      <c r="F1235" s="538"/>
      <c r="G1235" s="538"/>
      <c r="H1235" s="350"/>
      <c r="I1235" s="350"/>
      <c r="J1235" s="350"/>
      <c r="K1235" s="350"/>
      <c r="L1235" s="350"/>
      <c r="M1235" s="350"/>
      <c r="N1235" s="350"/>
      <c r="O1235" s="350"/>
      <c r="P1235" s="352"/>
      <c r="Q1235" s="558"/>
      <c r="R1235" s="558"/>
      <c r="S1235" s="558"/>
      <c r="T1235" s="558"/>
      <c r="U1235" s="558"/>
      <c r="V1235" s="497"/>
      <c r="W1235" s="558"/>
      <c r="X1235" s="558"/>
      <c r="Y1235" s="352">
        <f>IF(NFI_Expiration=1,IF($A1235&lt;VLOOKUP(H$5,NFI,5,0),1,0)*Table_NFI[[#This Row],[Hygiene Kit]],Table_NFI[Hygiene Kit])</f>
        <v>0</v>
      </c>
      <c r="Z1235" s="352">
        <f>IF(NFI_Expiration=1,IF($A1235&lt;VLOOKUP(I$5,NFI,5,0),1,0)*Table_NFI[[#This Row],[NFI Core Kit]],Table_NFI[NFI Core Kit])</f>
        <v>0</v>
      </c>
      <c r="AA1235" s="352">
        <f>IF(NFI_Expiration=1,IF($A1235&lt;VLOOKUP(J$5,NFI,5,0),1,0)*Table_NFI[[#This Row],[Sanitary Kit]],Table_NFI[Sanitary Kit])</f>
        <v>0</v>
      </c>
      <c r="AB1235" s="352">
        <f>IF(NFI_Expiration=1,IF($A1235&lt;VLOOKUP(K$5,NFI,5,0),1,0)*Table_NFI[[#This Row],[Mosquito net]],Table_NFI[Mosquito net])</f>
        <v>0</v>
      </c>
      <c r="AC1235" s="352">
        <f>IF(NFI_Expiration=1,IF($A1235&lt;VLOOKUP(L$5,NFI,5,0),1,0)*Table_NFI[[#This Row],[Tarpaulin]],Table_NFI[[#This Row],[Tarpaulin]])</f>
        <v>0</v>
      </c>
      <c r="AD1235" s="352">
        <f>IF(NFI_Expiration=1,IF($A1235&lt;VLOOKUP(M$5,NFI,5,0),1,0)*Table_NFI[[#This Row],[Blanket]],Table_NFI[[#This Row],[Blanket]])</f>
        <v>0</v>
      </c>
      <c r="AE1235" s="352">
        <f>IF(NFI_Expiration=1,IF($A1235&lt;VLOOKUP(N$5,NFI,5,0),1,0)*Table_NFI[[#This Row],[Kitchen Set]],Table_NFI[Kitchen Set])</f>
        <v>0</v>
      </c>
      <c r="AF1235" s="352">
        <f>IF(NFI_Expiration=1,IF($A1235&lt;VLOOKUP(O$5,NFI,5,0),1,0)*Table_NFI[[#This Row],[Clothes Kit]],Table_NFI[Clothes Kit])</f>
        <v>0</v>
      </c>
      <c r="AG1235" s="352">
        <f>IF(NFI_Expiration=1,IF($A1235&lt;VLOOKUP(P$5,NFI,5,0),1,0)*Table_NFI[[#This Row],[Plastic Bucket]],Table_NFI[Plastic Bucket])</f>
        <v>0</v>
      </c>
      <c r="AH1235" s="352">
        <f>IF(NFI_Expiration=1,IF($A1235&lt;VLOOKUP(Q$5,NFI,5,0),1,0)*Table_NFI[[#This Row],[Plastic Mat]],Table_NFI[Plastic Mat])*IF(Table_NFI[[#This Row],[Distribution Date]]&gt;"2014-04-01",1,2.5)</f>
        <v>0</v>
      </c>
      <c r="AI1235" s="352">
        <f>IF(NFI_Expiration=1,IF($A1235&lt;VLOOKUP(R$5,NFI,5,0),1,0)*Table_NFI[[#This Row],[Winter Clothes Adult]],Table_NFI[Winter Clothes Adult])</f>
        <v>0</v>
      </c>
      <c r="AJ1235" s="352">
        <f>IF(NFI_Expiration=1,IF($A1235&lt;VLOOKUP(S$5,NFI,5,0),1,0)*Table_NFI[[#This Row],[Winter Clothes Children]],Table_NFI[Winter Clothes Children])</f>
        <v>0</v>
      </c>
      <c r="AK1235" s="352">
        <f>IF(NFI_Expiration=1,IF($A1235&lt;VLOOKUP(T$5,NFI,5,0),1,0)*Table_NFI[[#This Row],[Winter Items Other]],Table_NFI[Winter Items Other])</f>
        <v>0</v>
      </c>
      <c r="AL1235" s="352">
        <f>IF(NFI_Expiration=1,IF($A1235&lt;VLOOKUP(M$5,NFI,5,0),1,0)*Table_NFI[[#This Row],[Winter Blanket]],Table_NFI[[#This Row],[Winter Blanket]])</f>
        <v>0</v>
      </c>
      <c r="AM1235" s="352">
        <f>IF(Table_NFI[[#This Row],[Winter Clothes Adult]]+Table_NFI[[#This Row],[Winter Clothes Children]]+Table_NFI[[#This Row],[Winter Items Other]]+Table_NFI[[#This Row],[Winter Blanket]]&gt;0,1,0)</f>
        <v>0</v>
      </c>
      <c r="AN1235" s="392">
        <f>IF(NFI_Expiration=1,IF($A1235&lt;VLOOKUP(V$5,NFI,5,0),1,0)*Table_NFI[[#This Row],[Jerry Can]],Table_NFI[Jerry Can])</f>
        <v>0</v>
      </c>
      <c r="AO1235" s="540" t="str">
        <f>IFERROR(VLOOKUP(Table_NFI[[#This Row],[Camp Name]],CL,2,0),"")</f>
        <v/>
      </c>
      <c r="AP1235" s="535" t="str">
        <f ca="1">IF(Table_NFI[[#This Row],[Pcode]]="","",IF(OFFSET(CampList[Opening Date],MATCH(Table_NFI[[#This Row],[Pcode]],CampList[CP_Pcode],0)-1,0,1,1)&gt;=NFI_Monitor_Date,1,0))</f>
        <v/>
      </c>
      <c r="AQ1235" s="540" t="str">
        <f>IFERROR(VLOOKUP(Table_NFI[[#This Row],[Camp Name]],CL,3,0),"")</f>
        <v/>
      </c>
      <c r="AR1235" s="352" t="str">
        <f ca="1">IF(Table_NFI[[#This Row],[Pcode]]="","",OFFSET(CampList[Priority],MATCH(Table_NFI[[#This Row],[Pcode]],CampList[CP_Pcode],0)-1,0,1,1))</f>
        <v/>
      </c>
      <c r="AS1235" s="351" t="str">
        <f>IFERROR(Table_NFI[[#This Row],[Kitchen Set]]/VLOOKUP(Table_NFI[[#This Row],[Camp Name]],CL,4,0),"")</f>
        <v/>
      </c>
      <c r="AT1235" s="538"/>
      <c r="AU1235" s="541"/>
    </row>
    <row r="1236" spans="1:47" ht="14.45" hidden="1" customHeight="1" x14ac:dyDescent="0.25">
      <c r="A1236" s="355" t="str">
        <f t="shared" si="19"/>
        <v/>
      </c>
      <c r="B1236" s="532"/>
      <c r="C1236" s="538"/>
      <c r="D1236" s="538"/>
      <c r="E1236" s="538"/>
      <c r="F1236" s="538"/>
      <c r="G1236" s="538"/>
      <c r="H1236" s="350"/>
      <c r="I1236" s="350"/>
      <c r="J1236" s="350"/>
      <c r="K1236" s="350"/>
      <c r="L1236" s="350"/>
      <c r="M1236" s="350"/>
      <c r="N1236" s="350"/>
      <c r="O1236" s="350"/>
      <c r="P1236" s="352"/>
      <c r="Q1236" s="558"/>
      <c r="R1236" s="558"/>
      <c r="S1236" s="558"/>
      <c r="T1236" s="558"/>
      <c r="U1236" s="558"/>
      <c r="V1236" s="497"/>
      <c r="W1236" s="558"/>
      <c r="X1236" s="558"/>
      <c r="Y1236" s="352">
        <f>IF(NFI_Expiration=1,IF($A1236&lt;VLOOKUP(H$5,NFI,5,0),1,0)*Table_NFI[[#This Row],[Hygiene Kit]],Table_NFI[Hygiene Kit])</f>
        <v>0</v>
      </c>
      <c r="Z1236" s="352">
        <f>IF(NFI_Expiration=1,IF($A1236&lt;VLOOKUP(I$5,NFI,5,0),1,0)*Table_NFI[[#This Row],[NFI Core Kit]],Table_NFI[NFI Core Kit])</f>
        <v>0</v>
      </c>
      <c r="AA1236" s="352">
        <f>IF(NFI_Expiration=1,IF($A1236&lt;VLOOKUP(J$5,NFI,5,0),1,0)*Table_NFI[[#This Row],[Sanitary Kit]],Table_NFI[Sanitary Kit])</f>
        <v>0</v>
      </c>
      <c r="AB1236" s="352">
        <f>IF(NFI_Expiration=1,IF($A1236&lt;VLOOKUP(K$5,NFI,5,0),1,0)*Table_NFI[[#This Row],[Mosquito net]],Table_NFI[Mosquito net])</f>
        <v>0</v>
      </c>
      <c r="AC1236" s="352">
        <f>IF(NFI_Expiration=1,IF($A1236&lt;VLOOKUP(L$5,NFI,5,0),1,0)*Table_NFI[[#This Row],[Tarpaulin]],Table_NFI[[#This Row],[Tarpaulin]])</f>
        <v>0</v>
      </c>
      <c r="AD1236" s="352">
        <f>IF(NFI_Expiration=1,IF($A1236&lt;VLOOKUP(M$5,NFI,5,0),1,0)*Table_NFI[[#This Row],[Blanket]],Table_NFI[[#This Row],[Blanket]])</f>
        <v>0</v>
      </c>
      <c r="AE1236" s="352">
        <f>IF(NFI_Expiration=1,IF($A1236&lt;VLOOKUP(N$5,NFI,5,0),1,0)*Table_NFI[[#This Row],[Kitchen Set]],Table_NFI[Kitchen Set])</f>
        <v>0</v>
      </c>
      <c r="AF1236" s="352">
        <f>IF(NFI_Expiration=1,IF($A1236&lt;VLOOKUP(O$5,NFI,5,0),1,0)*Table_NFI[[#This Row],[Clothes Kit]],Table_NFI[Clothes Kit])</f>
        <v>0</v>
      </c>
      <c r="AG1236" s="352">
        <f>IF(NFI_Expiration=1,IF($A1236&lt;VLOOKUP(P$5,NFI,5,0),1,0)*Table_NFI[[#This Row],[Plastic Bucket]],Table_NFI[Plastic Bucket])</f>
        <v>0</v>
      </c>
      <c r="AH1236" s="352">
        <f>IF(NFI_Expiration=1,IF($A1236&lt;VLOOKUP(Q$5,NFI,5,0),1,0)*Table_NFI[[#This Row],[Plastic Mat]],Table_NFI[Plastic Mat])*IF(Table_NFI[[#This Row],[Distribution Date]]&gt;"2014-04-01",1,2.5)</f>
        <v>0</v>
      </c>
      <c r="AI1236" s="352">
        <f>IF(NFI_Expiration=1,IF($A1236&lt;VLOOKUP(R$5,NFI,5,0),1,0)*Table_NFI[[#This Row],[Winter Clothes Adult]],Table_NFI[Winter Clothes Adult])</f>
        <v>0</v>
      </c>
      <c r="AJ1236" s="352">
        <f>IF(NFI_Expiration=1,IF($A1236&lt;VLOOKUP(S$5,NFI,5,0),1,0)*Table_NFI[[#This Row],[Winter Clothes Children]],Table_NFI[Winter Clothes Children])</f>
        <v>0</v>
      </c>
      <c r="AK1236" s="352">
        <f>IF(NFI_Expiration=1,IF($A1236&lt;VLOOKUP(T$5,NFI,5,0),1,0)*Table_NFI[[#This Row],[Winter Items Other]],Table_NFI[Winter Items Other])</f>
        <v>0</v>
      </c>
      <c r="AL1236" s="352">
        <f>IF(NFI_Expiration=1,IF($A1236&lt;VLOOKUP(M$5,NFI,5,0),1,0)*Table_NFI[[#This Row],[Winter Blanket]],Table_NFI[[#This Row],[Winter Blanket]])</f>
        <v>0</v>
      </c>
      <c r="AM1236" s="352">
        <f>IF(Table_NFI[[#This Row],[Winter Clothes Adult]]+Table_NFI[[#This Row],[Winter Clothes Children]]+Table_NFI[[#This Row],[Winter Items Other]]+Table_NFI[[#This Row],[Winter Blanket]]&gt;0,1,0)</f>
        <v>0</v>
      </c>
      <c r="AN1236" s="392">
        <f>IF(NFI_Expiration=1,IF($A1236&lt;VLOOKUP(V$5,NFI,5,0),1,0)*Table_NFI[[#This Row],[Jerry Can]],Table_NFI[Jerry Can])</f>
        <v>0</v>
      </c>
      <c r="AO1236" s="540" t="str">
        <f>IFERROR(VLOOKUP(Table_NFI[[#This Row],[Camp Name]],CL,2,0),"")</f>
        <v/>
      </c>
      <c r="AP1236" s="535" t="str">
        <f ca="1">IF(Table_NFI[[#This Row],[Pcode]]="","",IF(OFFSET(CampList[Opening Date],MATCH(Table_NFI[[#This Row],[Pcode]],CampList[CP_Pcode],0)-1,0,1,1)&gt;=NFI_Monitor_Date,1,0))</f>
        <v/>
      </c>
      <c r="AQ1236" s="540" t="str">
        <f>IFERROR(VLOOKUP(Table_NFI[[#This Row],[Camp Name]],CL,3,0),"")</f>
        <v/>
      </c>
      <c r="AR1236" s="352" t="str">
        <f ca="1">IF(Table_NFI[[#This Row],[Pcode]]="","",OFFSET(CampList[Priority],MATCH(Table_NFI[[#This Row],[Pcode]],CampList[CP_Pcode],0)-1,0,1,1))</f>
        <v/>
      </c>
      <c r="AS1236" s="351" t="str">
        <f>IFERROR(Table_NFI[[#This Row],[Kitchen Set]]/VLOOKUP(Table_NFI[[#This Row],[Camp Name]],CL,4,0),"")</f>
        <v/>
      </c>
      <c r="AT1236" s="538"/>
      <c r="AU1236" s="541"/>
    </row>
    <row r="1237" spans="1:47" ht="14.45" hidden="1" customHeight="1" x14ac:dyDescent="0.25">
      <c r="A1237" s="355" t="str">
        <f t="shared" si="19"/>
        <v/>
      </c>
      <c r="B1237" s="532"/>
      <c r="C1237" s="538"/>
      <c r="D1237" s="538"/>
      <c r="E1237" s="538"/>
      <c r="F1237" s="538"/>
      <c r="G1237" s="538"/>
      <c r="H1237" s="350"/>
      <c r="I1237" s="350"/>
      <c r="J1237" s="350"/>
      <c r="K1237" s="350"/>
      <c r="L1237" s="350"/>
      <c r="M1237" s="350"/>
      <c r="N1237" s="350"/>
      <c r="O1237" s="350"/>
      <c r="P1237" s="352"/>
      <c r="Q1237" s="558"/>
      <c r="R1237" s="558"/>
      <c r="S1237" s="558"/>
      <c r="T1237" s="558"/>
      <c r="U1237" s="558"/>
      <c r="V1237" s="497"/>
      <c r="W1237" s="558"/>
      <c r="X1237" s="558"/>
      <c r="Y1237" s="352">
        <f>IF(NFI_Expiration=1,IF($A1237&lt;VLOOKUP(H$5,NFI,5,0),1,0)*Table_NFI[[#This Row],[Hygiene Kit]],Table_NFI[Hygiene Kit])</f>
        <v>0</v>
      </c>
      <c r="Z1237" s="352">
        <f>IF(NFI_Expiration=1,IF($A1237&lt;VLOOKUP(I$5,NFI,5,0),1,0)*Table_NFI[[#This Row],[NFI Core Kit]],Table_NFI[NFI Core Kit])</f>
        <v>0</v>
      </c>
      <c r="AA1237" s="352">
        <f>IF(NFI_Expiration=1,IF($A1237&lt;VLOOKUP(J$5,NFI,5,0),1,0)*Table_NFI[[#This Row],[Sanitary Kit]],Table_NFI[Sanitary Kit])</f>
        <v>0</v>
      </c>
      <c r="AB1237" s="352">
        <f>IF(NFI_Expiration=1,IF($A1237&lt;VLOOKUP(K$5,NFI,5,0),1,0)*Table_NFI[[#This Row],[Mosquito net]],Table_NFI[Mosquito net])</f>
        <v>0</v>
      </c>
      <c r="AC1237" s="352">
        <f>IF(NFI_Expiration=1,IF($A1237&lt;VLOOKUP(L$5,NFI,5,0),1,0)*Table_NFI[[#This Row],[Tarpaulin]],Table_NFI[[#This Row],[Tarpaulin]])</f>
        <v>0</v>
      </c>
      <c r="AD1237" s="352">
        <f>IF(NFI_Expiration=1,IF($A1237&lt;VLOOKUP(M$5,NFI,5,0),1,0)*Table_NFI[[#This Row],[Blanket]],Table_NFI[[#This Row],[Blanket]])</f>
        <v>0</v>
      </c>
      <c r="AE1237" s="352">
        <f>IF(NFI_Expiration=1,IF($A1237&lt;VLOOKUP(N$5,NFI,5,0),1,0)*Table_NFI[[#This Row],[Kitchen Set]],Table_NFI[Kitchen Set])</f>
        <v>0</v>
      </c>
      <c r="AF1237" s="352">
        <f>IF(NFI_Expiration=1,IF($A1237&lt;VLOOKUP(O$5,NFI,5,0),1,0)*Table_NFI[[#This Row],[Clothes Kit]],Table_NFI[Clothes Kit])</f>
        <v>0</v>
      </c>
      <c r="AG1237" s="352">
        <f>IF(NFI_Expiration=1,IF($A1237&lt;VLOOKUP(P$5,NFI,5,0),1,0)*Table_NFI[[#This Row],[Plastic Bucket]],Table_NFI[Plastic Bucket])</f>
        <v>0</v>
      </c>
      <c r="AH1237" s="352">
        <f>IF(NFI_Expiration=1,IF($A1237&lt;VLOOKUP(Q$5,NFI,5,0),1,0)*Table_NFI[[#This Row],[Plastic Mat]],Table_NFI[Plastic Mat])*IF(Table_NFI[[#This Row],[Distribution Date]]&gt;"2014-04-01",1,2.5)</f>
        <v>0</v>
      </c>
      <c r="AI1237" s="352">
        <f>IF(NFI_Expiration=1,IF($A1237&lt;VLOOKUP(R$5,NFI,5,0),1,0)*Table_NFI[[#This Row],[Winter Clothes Adult]],Table_NFI[Winter Clothes Adult])</f>
        <v>0</v>
      </c>
      <c r="AJ1237" s="352">
        <f>IF(NFI_Expiration=1,IF($A1237&lt;VLOOKUP(S$5,NFI,5,0),1,0)*Table_NFI[[#This Row],[Winter Clothes Children]],Table_NFI[Winter Clothes Children])</f>
        <v>0</v>
      </c>
      <c r="AK1237" s="352">
        <f>IF(NFI_Expiration=1,IF($A1237&lt;VLOOKUP(T$5,NFI,5,0),1,0)*Table_NFI[[#This Row],[Winter Items Other]],Table_NFI[Winter Items Other])</f>
        <v>0</v>
      </c>
      <c r="AL1237" s="352">
        <f>IF(NFI_Expiration=1,IF($A1237&lt;VLOOKUP(M$5,NFI,5,0),1,0)*Table_NFI[[#This Row],[Winter Blanket]],Table_NFI[[#This Row],[Winter Blanket]])</f>
        <v>0</v>
      </c>
      <c r="AM1237" s="352">
        <f>IF(Table_NFI[[#This Row],[Winter Clothes Adult]]+Table_NFI[[#This Row],[Winter Clothes Children]]+Table_NFI[[#This Row],[Winter Items Other]]+Table_NFI[[#This Row],[Winter Blanket]]&gt;0,1,0)</f>
        <v>0</v>
      </c>
      <c r="AN1237" s="392">
        <f>IF(NFI_Expiration=1,IF($A1237&lt;VLOOKUP(V$5,NFI,5,0),1,0)*Table_NFI[[#This Row],[Jerry Can]],Table_NFI[Jerry Can])</f>
        <v>0</v>
      </c>
      <c r="AO1237" s="540" t="str">
        <f>IFERROR(VLOOKUP(Table_NFI[[#This Row],[Camp Name]],CL,2,0),"")</f>
        <v/>
      </c>
      <c r="AP1237" s="535" t="str">
        <f ca="1">IF(Table_NFI[[#This Row],[Pcode]]="","",IF(OFFSET(CampList[Opening Date],MATCH(Table_NFI[[#This Row],[Pcode]],CampList[CP_Pcode],0)-1,0,1,1)&gt;=NFI_Monitor_Date,1,0))</f>
        <v/>
      </c>
      <c r="AQ1237" s="540" t="str">
        <f>IFERROR(VLOOKUP(Table_NFI[[#This Row],[Camp Name]],CL,3,0),"")</f>
        <v/>
      </c>
      <c r="AR1237" s="352" t="str">
        <f ca="1">IF(Table_NFI[[#This Row],[Pcode]]="","",OFFSET(CampList[Priority],MATCH(Table_NFI[[#This Row],[Pcode]],CampList[CP_Pcode],0)-1,0,1,1))</f>
        <v/>
      </c>
      <c r="AS1237" s="351" t="str">
        <f>IFERROR(Table_NFI[[#This Row],[Kitchen Set]]/VLOOKUP(Table_NFI[[#This Row],[Camp Name]],CL,4,0),"")</f>
        <v/>
      </c>
      <c r="AT1237" s="538"/>
      <c r="AU1237" s="541"/>
    </row>
    <row r="1238" spans="1:47" ht="14.45" hidden="1" customHeight="1" x14ac:dyDescent="0.25">
      <c r="A1238" s="355" t="str">
        <f t="shared" si="19"/>
        <v/>
      </c>
      <c r="B1238" s="532"/>
      <c r="C1238" s="538"/>
      <c r="D1238" s="538"/>
      <c r="E1238" s="538"/>
      <c r="F1238" s="538"/>
      <c r="G1238" s="538"/>
      <c r="H1238" s="350"/>
      <c r="I1238" s="350"/>
      <c r="J1238" s="350"/>
      <c r="K1238" s="350"/>
      <c r="L1238" s="350"/>
      <c r="M1238" s="350"/>
      <c r="N1238" s="350"/>
      <c r="O1238" s="350"/>
      <c r="P1238" s="352"/>
      <c r="Q1238" s="558"/>
      <c r="R1238" s="558"/>
      <c r="S1238" s="558"/>
      <c r="T1238" s="558"/>
      <c r="U1238" s="558"/>
      <c r="V1238" s="497"/>
      <c r="W1238" s="558"/>
      <c r="X1238" s="558"/>
      <c r="Y1238" s="352">
        <f>IF(NFI_Expiration=1,IF($A1238&lt;VLOOKUP(H$5,NFI,5,0),1,0)*Table_NFI[[#This Row],[Hygiene Kit]],Table_NFI[Hygiene Kit])</f>
        <v>0</v>
      </c>
      <c r="Z1238" s="352">
        <f>IF(NFI_Expiration=1,IF($A1238&lt;VLOOKUP(I$5,NFI,5,0),1,0)*Table_NFI[[#This Row],[NFI Core Kit]],Table_NFI[NFI Core Kit])</f>
        <v>0</v>
      </c>
      <c r="AA1238" s="352">
        <f>IF(NFI_Expiration=1,IF($A1238&lt;VLOOKUP(J$5,NFI,5,0),1,0)*Table_NFI[[#This Row],[Sanitary Kit]],Table_NFI[Sanitary Kit])</f>
        <v>0</v>
      </c>
      <c r="AB1238" s="352">
        <f>IF(NFI_Expiration=1,IF($A1238&lt;VLOOKUP(K$5,NFI,5,0),1,0)*Table_NFI[[#This Row],[Mosquito net]],Table_NFI[Mosquito net])</f>
        <v>0</v>
      </c>
      <c r="AC1238" s="352">
        <f>IF(NFI_Expiration=1,IF($A1238&lt;VLOOKUP(L$5,NFI,5,0),1,0)*Table_NFI[[#This Row],[Tarpaulin]],Table_NFI[[#This Row],[Tarpaulin]])</f>
        <v>0</v>
      </c>
      <c r="AD1238" s="352">
        <f>IF(NFI_Expiration=1,IF($A1238&lt;VLOOKUP(M$5,NFI,5,0),1,0)*Table_NFI[[#This Row],[Blanket]],Table_NFI[[#This Row],[Blanket]])</f>
        <v>0</v>
      </c>
      <c r="AE1238" s="352">
        <f>IF(NFI_Expiration=1,IF($A1238&lt;VLOOKUP(N$5,NFI,5,0),1,0)*Table_NFI[[#This Row],[Kitchen Set]],Table_NFI[Kitchen Set])</f>
        <v>0</v>
      </c>
      <c r="AF1238" s="352">
        <f>IF(NFI_Expiration=1,IF($A1238&lt;VLOOKUP(O$5,NFI,5,0),1,0)*Table_NFI[[#This Row],[Clothes Kit]],Table_NFI[Clothes Kit])</f>
        <v>0</v>
      </c>
      <c r="AG1238" s="352">
        <f>IF(NFI_Expiration=1,IF($A1238&lt;VLOOKUP(P$5,NFI,5,0),1,0)*Table_NFI[[#This Row],[Plastic Bucket]],Table_NFI[Plastic Bucket])</f>
        <v>0</v>
      </c>
      <c r="AH1238" s="352">
        <f>IF(NFI_Expiration=1,IF($A1238&lt;VLOOKUP(Q$5,NFI,5,0),1,0)*Table_NFI[[#This Row],[Plastic Mat]],Table_NFI[Plastic Mat])*IF(Table_NFI[[#This Row],[Distribution Date]]&gt;"2014-04-01",1,2.5)</f>
        <v>0</v>
      </c>
      <c r="AI1238" s="352">
        <f>IF(NFI_Expiration=1,IF($A1238&lt;VLOOKUP(R$5,NFI,5,0),1,0)*Table_NFI[[#This Row],[Winter Clothes Adult]],Table_NFI[Winter Clothes Adult])</f>
        <v>0</v>
      </c>
      <c r="AJ1238" s="352">
        <f>IF(NFI_Expiration=1,IF($A1238&lt;VLOOKUP(S$5,NFI,5,0),1,0)*Table_NFI[[#This Row],[Winter Clothes Children]],Table_NFI[Winter Clothes Children])</f>
        <v>0</v>
      </c>
      <c r="AK1238" s="352">
        <f>IF(NFI_Expiration=1,IF($A1238&lt;VLOOKUP(T$5,NFI,5,0),1,0)*Table_NFI[[#This Row],[Winter Items Other]],Table_NFI[Winter Items Other])</f>
        <v>0</v>
      </c>
      <c r="AL1238" s="352">
        <f>IF(NFI_Expiration=1,IF($A1238&lt;VLOOKUP(M$5,NFI,5,0),1,0)*Table_NFI[[#This Row],[Winter Blanket]],Table_NFI[[#This Row],[Winter Blanket]])</f>
        <v>0</v>
      </c>
      <c r="AM1238" s="352">
        <f>IF(Table_NFI[[#This Row],[Winter Clothes Adult]]+Table_NFI[[#This Row],[Winter Clothes Children]]+Table_NFI[[#This Row],[Winter Items Other]]+Table_NFI[[#This Row],[Winter Blanket]]&gt;0,1,0)</f>
        <v>0</v>
      </c>
      <c r="AN1238" s="392">
        <f>IF(NFI_Expiration=1,IF($A1238&lt;VLOOKUP(V$5,NFI,5,0),1,0)*Table_NFI[[#This Row],[Jerry Can]],Table_NFI[Jerry Can])</f>
        <v>0</v>
      </c>
      <c r="AO1238" s="540" t="str">
        <f>IFERROR(VLOOKUP(Table_NFI[[#This Row],[Camp Name]],CL,2,0),"")</f>
        <v/>
      </c>
      <c r="AP1238" s="535" t="str">
        <f ca="1">IF(Table_NFI[[#This Row],[Pcode]]="","",IF(OFFSET(CampList[Opening Date],MATCH(Table_NFI[[#This Row],[Pcode]],CampList[CP_Pcode],0)-1,0,1,1)&gt;=NFI_Monitor_Date,1,0))</f>
        <v/>
      </c>
      <c r="AQ1238" s="540" t="str">
        <f>IFERROR(VLOOKUP(Table_NFI[[#This Row],[Camp Name]],CL,3,0),"")</f>
        <v/>
      </c>
      <c r="AR1238" s="352" t="str">
        <f ca="1">IF(Table_NFI[[#This Row],[Pcode]]="","",OFFSET(CampList[Priority],MATCH(Table_NFI[[#This Row],[Pcode]],CampList[CP_Pcode],0)-1,0,1,1))</f>
        <v/>
      </c>
      <c r="AS1238" s="351" t="str">
        <f>IFERROR(Table_NFI[[#This Row],[Kitchen Set]]/VLOOKUP(Table_NFI[[#This Row],[Camp Name]],CL,4,0),"")</f>
        <v/>
      </c>
      <c r="AT1238" s="538"/>
      <c r="AU1238" s="541"/>
    </row>
    <row r="1239" spans="1:47" ht="14.45" hidden="1" customHeight="1" x14ac:dyDescent="0.25">
      <c r="A1239" s="355" t="str">
        <f t="shared" si="19"/>
        <v/>
      </c>
      <c r="B1239" s="532"/>
      <c r="C1239" s="538"/>
      <c r="D1239" s="538"/>
      <c r="E1239" s="538"/>
      <c r="F1239" s="538"/>
      <c r="G1239" s="538"/>
      <c r="H1239" s="350"/>
      <c r="I1239" s="350"/>
      <c r="J1239" s="350"/>
      <c r="K1239" s="350"/>
      <c r="L1239" s="350"/>
      <c r="M1239" s="350"/>
      <c r="N1239" s="350"/>
      <c r="O1239" s="350"/>
      <c r="P1239" s="352"/>
      <c r="Q1239" s="558"/>
      <c r="R1239" s="558"/>
      <c r="S1239" s="558"/>
      <c r="T1239" s="558"/>
      <c r="U1239" s="558"/>
      <c r="V1239" s="497"/>
      <c r="W1239" s="558"/>
      <c r="X1239" s="558"/>
      <c r="Y1239" s="352">
        <f>IF(NFI_Expiration=1,IF($A1239&lt;VLOOKUP(H$5,NFI,5,0),1,0)*Table_NFI[[#This Row],[Hygiene Kit]],Table_NFI[Hygiene Kit])</f>
        <v>0</v>
      </c>
      <c r="Z1239" s="352">
        <f>IF(NFI_Expiration=1,IF($A1239&lt;VLOOKUP(I$5,NFI,5,0),1,0)*Table_NFI[[#This Row],[NFI Core Kit]],Table_NFI[NFI Core Kit])</f>
        <v>0</v>
      </c>
      <c r="AA1239" s="352">
        <f>IF(NFI_Expiration=1,IF($A1239&lt;VLOOKUP(J$5,NFI,5,0),1,0)*Table_NFI[[#This Row],[Sanitary Kit]],Table_NFI[Sanitary Kit])</f>
        <v>0</v>
      </c>
      <c r="AB1239" s="352">
        <f>IF(NFI_Expiration=1,IF($A1239&lt;VLOOKUP(K$5,NFI,5,0),1,0)*Table_NFI[[#This Row],[Mosquito net]],Table_NFI[Mosquito net])</f>
        <v>0</v>
      </c>
      <c r="AC1239" s="352">
        <f>IF(NFI_Expiration=1,IF($A1239&lt;VLOOKUP(L$5,NFI,5,0),1,0)*Table_NFI[[#This Row],[Tarpaulin]],Table_NFI[[#This Row],[Tarpaulin]])</f>
        <v>0</v>
      </c>
      <c r="AD1239" s="352">
        <f>IF(NFI_Expiration=1,IF($A1239&lt;VLOOKUP(M$5,NFI,5,0),1,0)*Table_NFI[[#This Row],[Blanket]],Table_NFI[[#This Row],[Blanket]])</f>
        <v>0</v>
      </c>
      <c r="AE1239" s="352">
        <f>IF(NFI_Expiration=1,IF($A1239&lt;VLOOKUP(N$5,NFI,5,0),1,0)*Table_NFI[[#This Row],[Kitchen Set]],Table_NFI[Kitchen Set])</f>
        <v>0</v>
      </c>
      <c r="AF1239" s="352">
        <f>IF(NFI_Expiration=1,IF($A1239&lt;VLOOKUP(O$5,NFI,5,0),1,0)*Table_NFI[[#This Row],[Clothes Kit]],Table_NFI[Clothes Kit])</f>
        <v>0</v>
      </c>
      <c r="AG1239" s="352">
        <f>IF(NFI_Expiration=1,IF($A1239&lt;VLOOKUP(P$5,NFI,5,0),1,0)*Table_NFI[[#This Row],[Plastic Bucket]],Table_NFI[Plastic Bucket])</f>
        <v>0</v>
      </c>
      <c r="AH1239" s="352">
        <f>IF(NFI_Expiration=1,IF($A1239&lt;VLOOKUP(Q$5,NFI,5,0),1,0)*Table_NFI[[#This Row],[Plastic Mat]],Table_NFI[Plastic Mat])*IF(Table_NFI[[#This Row],[Distribution Date]]&gt;"2014-04-01",1,2.5)</f>
        <v>0</v>
      </c>
      <c r="AI1239" s="352">
        <f>IF(NFI_Expiration=1,IF($A1239&lt;VLOOKUP(R$5,NFI,5,0),1,0)*Table_NFI[[#This Row],[Winter Clothes Adult]],Table_NFI[Winter Clothes Adult])</f>
        <v>0</v>
      </c>
      <c r="AJ1239" s="352">
        <f>IF(NFI_Expiration=1,IF($A1239&lt;VLOOKUP(S$5,NFI,5,0),1,0)*Table_NFI[[#This Row],[Winter Clothes Children]],Table_NFI[Winter Clothes Children])</f>
        <v>0</v>
      </c>
      <c r="AK1239" s="352">
        <f>IF(NFI_Expiration=1,IF($A1239&lt;VLOOKUP(T$5,NFI,5,0),1,0)*Table_NFI[[#This Row],[Winter Items Other]],Table_NFI[Winter Items Other])</f>
        <v>0</v>
      </c>
      <c r="AL1239" s="352">
        <f>IF(NFI_Expiration=1,IF($A1239&lt;VLOOKUP(M$5,NFI,5,0),1,0)*Table_NFI[[#This Row],[Winter Blanket]],Table_NFI[[#This Row],[Winter Blanket]])</f>
        <v>0</v>
      </c>
      <c r="AM1239" s="352">
        <f>IF(Table_NFI[[#This Row],[Winter Clothes Adult]]+Table_NFI[[#This Row],[Winter Clothes Children]]+Table_NFI[[#This Row],[Winter Items Other]]+Table_NFI[[#This Row],[Winter Blanket]]&gt;0,1,0)</f>
        <v>0</v>
      </c>
      <c r="AN1239" s="392">
        <f>IF(NFI_Expiration=1,IF($A1239&lt;VLOOKUP(V$5,NFI,5,0),1,0)*Table_NFI[[#This Row],[Jerry Can]],Table_NFI[Jerry Can])</f>
        <v>0</v>
      </c>
      <c r="AO1239" s="540" t="str">
        <f>IFERROR(VLOOKUP(Table_NFI[[#This Row],[Camp Name]],CL,2,0),"")</f>
        <v/>
      </c>
      <c r="AP1239" s="535" t="str">
        <f ca="1">IF(Table_NFI[[#This Row],[Pcode]]="","",IF(OFFSET(CampList[Opening Date],MATCH(Table_NFI[[#This Row],[Pcode]],CampList[CP_Pcode],0)-1,0,1,1)&gt;=NFI_Monitor_Date,1,0))</f>
        <v/>
      </c>
      <c r="AQ1239" s="540" t="str">
        <f>IFERROR(VLOOKUP(Table_NFI[[#This Row],[Camp Name]],CL,3,0),"")</f>
        <v/>
      </c>
      <c r="AR1239" s="352" t="str">
        <f ca="1">IF(Table_NFI[[#This Row],[Pcode]]="","",OFFSET(CampList[Priority],MATCH(Table_NFI[[#This Row],[Pcode]],CampList[CP_Pcode],0)-1,0,1,1))</f>
        <v/>
      </c>
      <c r="AS1239" s="351" t="str">
        <f>IFERROR(Table_NFI[[#This Row],[Kitchen Set]]/VLOOKUP(Table_NFI[[#This Row],[Camp Name]],CL,4,0),"")</f>
        <v/>
      </c>
      <c r="AT1239" s="538"/>
      <c r="AU1239" s="541"/>
    </row>
    <row r="1240" spans="1:47" ht="14.45" hidden="1" customHeight="1" x14ac:dyDescent="0.25">
      <c r="A1240" s="355" t="str">
        <f t="shared" ref="A1240:A1303" si="20">IF(ISBLANK(B1240),"",(Report_Date-B1240)/30)</f>
        <v/>
      </c>
      <c r="B1240" s="532"/>
      <c r="C1240" s="538"/>
      <c r="D1240" s="538"/>
      <c r="E1240" s="538"/>
      <c r="F1240" s="538"/>
      <c r="G1240" s="538"/>
      <c r="H1240" s="350"/>
      <c r="I1240" s="350"/>
      <c r="J1240" s="350"/>
      <c r="K1240" s="350"/>
      <c r="L1240" s="350"/>
      <c r="M1240" s="350"/>
      <c r="N1240" s="350"/>
      <c r="O1240" s="350"/>
      <c r="P1240" s="352"/>
      <c r="Q1240" s="558"/>
      <c r="R1240" s="558"/>
      <c r="S1240" s="558"/>
      <c r="T1240" s="558"/>
      <c r="U1240" s="558"/>
      <c r="V1240" s="497"/>
      <c r="W1240" s="558"/>
      <c r="X1240" s="558"/>
      <c r="Y1240" s="352">
        <f>IF(NFI_Expiration=1,IF($A1240&lt;VLOOKUP(H$5,NFI,5,0),1,0)*Table_NFI[[#This Row],[Hygiene Kit]],Table_NFI[Hygiene Kit])</f>
        <v>0</v>
      </c>
      <c r="Z1240" s="352">
        <f>IF(NFI_Expiration=1,IF($A1240&lt;VLOOKUP(I$5,NFI,5,0),1,0)*Table_NFI[[#This Row],[NFI Core Kit]],Table_NFI[NFI Core Kit])</f>
        <v>0</v>
      </c>
      <c r="AA1240" s="352">
        <f>IF(NFI_Expiration=1,IF($A1240&lt;VLOOKUP(J$5,NFI,5,0),1,0)*Table_NFI[[#This Row],[Sanitary Kit]],Table_NFI[Sanitary Kit])</f>
        <v>0</v>
      </c>
      <c r="AB1240" s="352">
        <f>IF(NFI_Expiration=1,IF($A1240&lt;VLOOKUP(K$5,NFI,5,0),1,0)*Table_NFI[[#This Row],[Mosquito net]],Table_NFI[Mosquito net])</f>
        <v>0</v>
      </c>
      <c r="AC1240" s="352">
        <f>IF(NFI_Expiration=1,IF($A1240&lt;VLOOKUP(L$5,NFI,5,0),1,0)*Table_NFI[[#This Row],[Tarpaulin]],Table_NFI[[#This Row],[Tarpaulin]])</f>
        <v>0</v>
      </c>
      <c r="AD1240" s="352">
        <f>IF(NFI_Expiration=1,IF($A1240&lt;VLOOKUP(M$5,NFI,5,0),1,0)*Table_NFI[[#This Row],[Blanket]],Table_NFI[[#This Row],[Blanket]])</f>
        <v>0</v>
      </c>
      <c r="AE1240" s="352">
        <f>IF(NFI_Expiration=1,IF($A1240&lt;VLOOKUP(N$5,NFI,5,0),1,0)*Table_NFI[[#This Row],[Kitchen Set]],Table_NFI[Kitchen Set])</f>
        <v>0</v>
      </c>
      <c r="AF1240" s="352">
        <f>IF(NFI_Expiration=1,IF($A1240&lt;VLOOKUP(O$5,NFI,5,0),1,0)*Table_NFI[[#This Row],[Clothes Kit]],Table_NFI[Clothes Kit])</f>
        <v>0</v>
      </c>
      <c r="AG1240" s="352">
        <f>IF(NFI_Expiration=1,IF($A1240&lt;VLOOKUP(P$5,NFI,5,0),1,0)*Table_NFI[[#This Row],[Plastic Bucket]],Table_NFI[Plastic Bucket])</f>
        <v>0</v>
      </c>
      <c r="AH1240" s="352">
        <f>IF(NFI_Expiration=1,IF($A1240&lt;VLOOKUP(Q$5,NFI,5,0),1,0)*Table_NFI[[#This Row],[Plastic Mat]],Table_NFI[Plastic Mat])*IF(Table_NFI[[#This Row],[Distribution Date]]&gt;"2014-04-01",1,2.5)</f>
        <v>0</v>
      </c>
      <c r="AI1240" s="352">
        <f>IF(NFI_Expiration=1,IF($A1240&lt;VLOOKUP(R$5,NFI,5,0),1,0)*Table_NFI[[#This Row],[Winter Clothes Adult]],Table_NFI[Winter Clothes Adult])</f>
        <v>0</v>
      </c>
      <c r="AJ1240" s="352">
        <f>IF(NFI_Expiration=1,IF($A1240&lt;VLOOKUP(S$5,NFI,5,0),1,0)*Table_NFI[[#This Row],[Winter Clothes Children]],Table_NFI[Winter Clothes Children])</f>
        <v>0</v>
      </c>
      <c r="AK1240" s="352">
        <f>IF(NFI_Expiration=1,IF($A1240&lt;VLOOKUP(T$5,NFI,5,0),1,0)*Table_NFI[[#This Row],[Winter Items Other]],Table_NFI[Winter Items Other])</f>
        <v>0</v>
      </c>
      <c r="AL1240" s="352">
        <f>IF(NFI_Expiration=1,IF($A1240&lt;VLOOKUP(M$5,NFI,5,0),1,0)*Table_NFI[[#This Row],[Winter Blanket]],Table_NFI[[#This Row],[Winter Blanket]])</f>
        <v>0</v>
      </c>
      <c r="AM1240" s="352">
        <f>IF(Table_NFI[[#This Row],[Winter Clothes Adult]]+Table_NFI[[#This Row],[Winter Clothes Children]]+Table_NFI[[#This Row],[Winter Items Other]]+Table_NFI[[#This Row],[Winter Blanket]]&gt;0,1,0)</f>
        <v>0</v>
      </c>
      <c r="AN1240" s="392">
        <f>IF(NFI_Expiration=1,IF($A1240&lt;VLOOKUP(V$5,NFI,5,0),1,0)*Table_NFI[[#This Row],[Jerry Can]],Table_NFI[Jerry Can])</f>
        <v>0</v>
      </c>
      <c r="AO1240" s="540" t="str">
        <f>IFERROR(VLOOKUP(Table_NFI[[#This Row],[Camp Name]],CL,2,0),"")</f>
        <v/>
      </c>
      <c r="AP1240" s="535" t="str">
        <f ca="1">IF(Table_NFI[[#This Row],[Pcode]]="","",IF(OFFSET(CampList[Opening Date],MATCH(Table_NFI[[#This Row],[Pcode]],CampList[CP_Pcode],0)-1,0,1,1)&gt;=NFI_Monitor_Date,1,0))</f>
        <v/>
      </c>
      <c r="AQ1240" s="540" t="str">
        <f>IFERROR(VLOOKUP(Table_NFI[[#This Row],[Camp Name]],CL,3,0),"")</f>
        <v/>
      </c>
      <c r="AR1240" s="352" t="str">
        <f ca="1">IF(Table_NFI[[#This Row],[Pcode]]="","",OFFSET(CampList[Priority],MATCH(Table_NFI[[#This Row],[Pcode]],CampList[CP_Pcode],0)-1,0,1,1))</f>
        <v/>
      </c>
      <c r="AS1240" s="351" t="str">
        <f>IFERROR(Table_NFI[[#This Row],[Kitchen Set]]/VLOOKUP(Table_NFI[[#This Row],[Camp Name]],CL,4,0),"")</f>
        <v/>
      </c>
      <c r="AT1240" s="538"/>
      <c r="AU1240" s="541"/>
    </row>
    <row r="1241" spans="1:47" ht="14.45" hidden="1" customHeight="1" x14ac:dyDescent="0.25">
      <c r="A1241" s="355" t="str">
        <f t="shared" si="20"/>
        <v/>
      </c>
      <c r="B1241" s="532"/>
      <c r="C1241" s="538"/>
      <c r="D1241" s="538"/>
      <c r="E1241" s="538"/>
      <c r="F1241" s="538"/>
      <c r="G1241" s="538"/>
      <c r="H1241" s="350"/>
      <c r="I1241" s="350"/>
      <c r="J1241" s="350"/>
      <c r="K1241" s="350"/>
      <c r="L1241" s="350"/>
      <c r="M1241" s="350"/>
      <c r="N1241" s="350"/>
      <c r="O1241" s="350"/>
      <c r="P1241" s="352"/>
      <c r="Q1241" s="558"/>
      <c r="R1241" s="558"/>
      <c r="S1241" s="558"/>
      <c r="T1241" s="558"/>
      <c r="U1241" s="558"/>
      <c r="V1241" s="497"/>
      <c r="W1241" s="558"/>
      <c r="X1241" s="558"/>
      <c r="Y1241" s="352">
        <f>IF(NFI_Expiration=1,IF($A1241&lt;VLOOKUP(H$5,NFI,5,0),1,0)*Table_NFI[[#This Row],[Hygiene Kit]],Table_NFI[Hygiene Kit])</f>
        <v>0</v>
      </c>
      <c r="Z1241" s="352">
        <f>IF(NFI_Expiration=1,IF($A1241&lt;VLOOKUP(I$5,NFI,5,0),1,0)*Table_NFI[[#This Row],[NFI Core Kit]],Table_NFI[NFI Core Kit])</f>
        <v>0</v>
      </c>
      <c r="AA1241" s="352">
        <f>IF(NFI_Expiration=1,IF($A1241&lt;VLOOKUP(J$5,NFI,5,0),1,0)*Table_NFI[[#This Row],[Sanitary Kit]],Table_NFI[Sanitary Kit])</f>
        <v>0</v>
      </c>
      <c r="AB1241" s="352">
        <f>IF(NFI_Expiration=1,IF($A1241&lt;VLOOKUP(K$5,NFI,5,0),1,0)*Table_NFI[[#This Row],[Mosquito net]],Table_NFI[Mosquito net])</f>
        <v>0</v>
      </c>
      <c r="AC1241" s="352">
        <f>IF(NFI_Expiration=1,IF($A1241&lt;VLOOKUP(L$5,NFI,5,0),1,0)*Table_NFI[[#This Row],[Tarpaulin]],Table_NFI[[#This Row],[Tarpaulin]])</f>
        <v>0</v>
      </c>
      <c r="AD1241" s="352">
        <f>IF(NFI_Expiration=1,IF($A1241&lt;VLOOKUP(M$5,NFI,5,0),1,0)*Table_NFI[[#This Row],[Blanket]],Table_NFI[[#This Row],[Blanket]])</f>
        <v>0</v>
      </c>
      <c r="AE1241" s="352">
        <f>IF(NFI_Expiration=1,IF($A1241&lt;VLOOKUP(N$5,NFI,5,0),1,0)*Table_NFI[[#This Row],[Kitchen Set]],Table_NFI[Kitchen Set])</f>
        <v>0</v>
      </c>
      <c r="AF1241" s="352">
        <f>IF(NFI_Expiration=1,IF($A1241&lt;VLOOKUP(O$5,NFI,5,0),1,0)*Table_NFI[[#This Row],[Clothes Kit]],Table_NFI[Clothes Kit])</f>
        <v>0</v>
      </c>
      <c r="AG1241" s="352">
        <f>IF(NFI_Expiration=1,IF($A1241&lt;VLOOKUP(P$5,NFI,5,0),1,0)*Table_NFI[[#This Row],[Plastic Bucket]],Table_NFI[Plastic Bucket])</f>
        <v>0</v>
      </c>
      <c r="AH1241" s="352">
        <f>IF(NFI_Expiration=1,IF($A1241&lt;VLOOKUP(Q$5,NFI,5,0),1,0)*Table_NFI[[#This Row],[Plastic Mat]],Table_NFI[Plastic Mat])*IF(Table_NFI[[#This Row],[Distribution Date]]&gt;"2014-04-01",1,2.5)</f>
        <v>0</v>
      </c>
      <c r="AI1241" s="352">
        <f>IF(NFI_Expiration=1,IF($A1241&lt;VLOOKUP(R$5,NFI,5,0),1,0)*Table_NFI[[#This Row],[Winter Clothes Adult]],Table_NFI[Winter Clothes Adult])</f>
        <v>0</v>
      </c>
      <c r="AJ1241" s="352">
        <f>IF(NFI_Expiration=1,IF($A1241&lt;VLOOKUP(S$5,NFI,5,0),1,0)*Table_NFI[[#This Row],[Winter Clothes Children]],Table_NFI[Winter Clothes Children])</f>
        <v>0</v>
      </c>
      <c r="AK1241" s="352">
        <f>IF(NFI_Expiration=1,IF($A1241&lt;VLOOKUP(T$5,NFI,5,0),1,0)*Table_NFI[[#This Row],[Winter Items Other]],Table_NFI[Winter Items Other])</f>
        <v>0</v>
      </c>
      <c r="AL1241" s="352">
        <f>IF(NFI_Expiration=1,IF($A1241&lt;VLOOKUP(M$5,NFI,5,0),1,0)*Table_NFI[[#This Row],[Winter Blanket]],Table_NFI[[#This Row],[Winter Blanket]])</f>
        <v>0</v>
      </c>
      <c r="AM1241" s="352">
        <f>IF(Table_NFI[[#This Row],[Winter Clothes Adult]]+Table_NFI[[#This Row],[Winter Clothes Children]]+Table_NFI[[#This Row],[Winter Items Other]]+Table_NFI[[#This Row],[Winter Blanket]]&gt;0,1,0)</f>
        <v>0</v>
      </c>
      <c r="AN1241" s="392">
        <f>IF(NFI_Expiration=1,IF($A1241&lt;VLOOKUP(V$5,NFI,5,0),1,0)*Table_NFI[[#This Row],[Jerry Can]],Table_NFI[Jerry Can])</f>
        <v>0</v>
      </c>
      <c r="AO1241" s="540" t="str">
        <f>IFERROR(VLOOKUP(Table_NFI[[#This Row],[Camp Name]],CL,2,0),"")</f>
        <v/>
      </c>
      <c r="AP1241" s="535" t="str">
        <f ca="1">IF(Table_NFI[[#This Row],[Pcode]]="","",IF(OFFSET(CampList[Opening Date],MATCH(Table_NFI[[#This Row],[Pcode]],CampList[CP_Pcode],0)-1,0,1,1)&gt;=NFI_Monitor_Date,1,0))</f>
        <v/>
      </c>
      <c r="AQ1241" s="540" t="str">
        <f>IFERROR(VLOOKUP(Table_NFI[[#This Row],[Camp Name]],CL,3,0),"")</f>
        <v/>
      </c>
      <c r="AR1241" s="352" t="str">
        <f ca="1">IF(Table_NFI[[#This Row],[Pcode]]="","",OFFSET(CampList[Priority],MATCH(Table_NFI[[#This Row],[Pcode]],CampList[CP_Pcode],0)-1,0,1,1))</f>
        <v/>
      </c>
      <c r="AS1241" s="351" t="str">
        <f>IFERROR(Table_NFI[[#This Row],[Kitchen Set]]/VLOOKUP(Table_NFI[[#This Row],[Camp Name]],CL,4,0),"")</f>
        <v/>
      </c>
      <c r="AT1241" s="538"/>
      <c r="AU1241" s="541"/>
    </row>
    <row r="1242" spans="1:47" ht="14.45" hidden="1" customHeight="1" x14ac:dyDescent="0.25">
      <c r="A1242" s="355" t="str">
        <f t="shared" si="20"/>
        <v/>
      </c>
      <c r="B1242" s="532"/>
      <c r="C1242" s="538"/>
      <c r="D1242" s="538"/>
      <c r="E1242" s="538"/>
      <c r="F1242" s="538"/>
      <c r="G1242" s="538"/>
      <c r="H1242" s="350"/>
      <c r="I1242" s="350"/>
      <c r="J1242" s="350"/>
      <c r="K1242" s="350"/>
      <c r="L1242" s="350"/>
      <c r="M1242" s="350"/>
      <c r="N1242" s="350"/>
      <c r="O1242" s="350"/>
      <c r="P1242" s="352"/>
      <c r="Q1242" s="558"/>
      <c r="R1242" s="558"/>
      <c r="S1242" s="558"/>
      <c r="T1242" s="558"/>
      <c r="U1242" s="558"/>
      <c r="V1242" s="497"/>
      <c r="W1242" s="558"/>
      <c r="X1242" s="558"/>
      <c r="Y1242" s="352">
        <f>IF(NFI_Expiration=1,IF($A1242&lt;VLOOKUP(H$5,NFI,5,0),1,0)*Table_NFI[[#This Row],[Hygiene Kit]],Table_NFI[Hygiene Kit])</f>
        <v>0</v>
      </c>
      <c r="Z1242" s="352">
        <f>IF(NFI_Expiration=1,IF($A1242&lt;VLOOKUP(I$5,NFI,5,0),1,0)*Table_NFI[[#This Row],[NFI Core Kit]],Table_NFI[NFI Core Kit])</f>
        <v>0</v>
      </c>
      <c r="AA1242" s="352">
        <f>IF(NFI_Expiration=1,IF($A1242&lt;VLOOKUP(J$5,NFI,5,0),1,0)*Table_NFI[[#This Row],[Sanitary Kit]],Table_NFI[Sanitary Kit])</f>
        <v>0</v>
      </c>
      <c r="AB1242" s="352">
        <f>IF(NFI_Expiration=1,IF($A1242&lt;VLOOKUP(K$5,NFI,5,0),1,0)*Table_NFI[[#This Row],[Mosquito net]],Table_NFI[Mosquito net])</f>
        <v>0</v>
      </c>
      <c r="AC1242" s="352">
        <f>IF(NFI_Expiration=1,IF($A1242&lt;VLOOKUP(L$5,NFI,5,0),1,0)*Table_NFI[[#This Row],[Tarpaulin]],Table_NFI[[#This Row],[Tarpaulin]])</f>
        <v>0</v>
      </c>
      <c r="AD1242" s="352">
        <f>IF(NFI_Expiration=1,IF($A1242&lt;VLOOKUP(M$5,NFI,5,0),1,0)*Table_NFI[[#This Row],[Blanket]],Table_NFI[[#This Row],[Blanket]])</f>
        <v>0</v>
      </c>
      <c r="AE1242" s="352">
        <f>IF(NFI_Expiration=1,IF($A1242&lt;VLOOKUP(N$5,NFI,5,0),1,0)*Table_NFI[[#This Row],[Kitchen Set]],Table_NFI[Kitchen Set])</f>
        <v>0</v>
      </c>
      <c r="AF1242" s="352">
        <f>IF(NFI_Expiration=1,IF($A1242&lt;VLOOKUP(O$5,NFI,5,0),1,0)*Table_NFI[[#This Row],[Clothes Kit]],Table_NFI[Clothes Kit])</f>
        <v>0</v>
      </c>
      <c r="AG1242" s="352">
        <f>IF(NFI_Expiration=1,IF($A1242&lt;VLOOKUP(P$5,NFI,5,0),1,0)*Table_NFI[[#This Row],[Plastic Bucket]],Table_NFI[Plastic Bucket])</f>
        <v>0</v>
      </c>
      <c r="AH1242" s="352">
        <f>IF(NFI_Expiration=1,IF($A1242&lt;VLOOKUP(Q$5,NFI,5,0),1,0)*Table_NFI[[#This Row],[Plastic Mat]],Table_NFI[Plastic Mat])*IF(Table_NFI[[#This Row],[Distribution Date]]&gt;"2014-04-01",1,2.5)</f>
        <v>0</v>
      </c>
      <c r="AI1242" s="352">
        <f>IF(NFI_Expiration=1,IF($A1242&lt;VLOOKUP(R$5,NFI,5,0),1,0)*Table_NFI[[#This Row],[Winter Clothes Adult]],Table_NFI[Winter Clothes Adult])</f>
        <v>0</v>
      </c>
      <c r="AJ1242" s="352">
        <f>IF(NFI_Expiration=1,IF($A1242&lt;VLOOKUP(S$5,NFI,5,0),1,0)*Table_NFI[[#This Row],[Winter Clothes Children]],Table_NFI[Winter Clothes Children])</f>
        <v>0</v>
      </c>
      <c r="AK1242" s="352">
        <f>IF(NFI_Expiration=1,IF($A1242&lt;VLOOKUP(T$5,NFI,5,0),1,0)*Table_NFI[[#This Row],[Winter Items Other]],Table_NFI[Winter Items Other])</f>
        <v>0</v>
      </c>
      <c r="AL1242" s="352">
        <f>IF(NFI_Expiration=1,IF($A1242&lt;VLOOKUP(M$5,NFI,5,0),1,0)*Table_NFI[[#This Row],[Winter Blanket]],Table_NFI[[#This Row],[Winter Blanket]])</f>
        <v>0</v>
      </c>
      <c r="AM1242" s="352">
        <f>IF(Table_NFI[[#This Row],[Winter Clothes Adult]]+Table_NFI[[#This Row],[Winter Clothes Children]]+Table_NFI[[#This Row],[Winter Items Other]]+Table_NFI[[#This Row],[Winter Blanket]]&gt;0,1,0)</f>
        <v>0</v>
      </c>
      <c r="AN1242" s="392">
        <f>IF(NFI_Expiration=1,IF($A1242&lt;VLOOKUP(V$5,NFI,5,0),1,0)*Table_NFI[[#This Row],[Jerry Can]],Table_NFI[Jerry Can])</f>
        <v>0</v>
      </c>
      <c r="AO1242" s="540" t="str">
        <f>IFERROR(VLOOKUP(Table_NFI[[#This Row],[Camp Name]],CL,2,0),"")</f>
        <v/>
      </c>
      <c r="AP1242" s="535" t="str">
        <f ca="1">IF(Table_NFI[[#This Row],[Pcode]]="","",IF(OFFSET(CampList[Opening Date],MATCH(Table_NFI[[#This Row],[Pcode]],CampList[CP_Pcode],0)-1,0,1,1)&gt;=NFI_Monitor_Date,1,0))</f>
        <v/>
      </c>
      <c r="AQ1242" s="540" t="str">
        <f>IFERROR(VLOOKUP(Table_NFI[[#This Row],[Camp Name]],CL,3,0),"")</f>
        <v/>
      </c>
      <c r="AR1242" s="352" t="str">
        <f ca="1">IF(Table_NFI[[#This Row],[Pcode]]="","",OFFSET(CampList[Priority],MATCH(Table_NFI[[#This Row],[Pcode]],CampList[CP_Pcode],0)-1,0,1,1))</f>
        <v/>
      </c>
      <c r="AS1242" s="351" t="str">
        <f>IFERROR(Table_NFI[[#This Row],[Kitchen Set]]/VLOOKUP(Table_NFI[[#This Row],[Camp Name]],CL,4,0),"")</f>
        <v/>
      </c>
      <c r="AT1242" s="538"/>
      <c r="AU1242" s="541"/>
    </row>
    <row r="1243" spans="1:47" ht="14.45" hidden="1" customHeight="1" x14ac:dyDescent="0.25">
      <c r="A1243" s="355" t="str">
        <f t="shared" si="20"/>
        <v/>
      </c>
      <c r="B1243" s="532"/>
      <c r="C1243" s="538"/>
      <c r="D1243" s="538"/>
      <c r="E1243" s="538"/>
      <c r="F1243" s="538"/>
      <c r="G1243" s="538"/>
      <c r="H1243" s="350"/>
      <c r="I1243" s="350"/>
      <c r="J1243" s="350"/>
      <c r="K1243" s="350"/>
      <c r="L1243" s="350"/>
      <c r="M1243" s="350"/>
      <c r="N1243" s="350"/>
      <c r="O1243" s="350"/>
      <c r="P1243" s="352"/>
      <c r="Q1243" s="558"/>
      <c r="R1243" s="558"/>
      <c r="S1243" s="558"/>
      <c r="T1243" s="558"/>
      <c r="U1243" s="558"/>
      <c r="V1243" s="497"/>
      <c r="W1243" s="558"/>
      <c r="X1243" s="558"/>
      <c r="Y1243" s="352">
        <f>IF(NFI_Expiration=1,IF($A1243&lt;VLOOKUP(H$5,NFI,5,0),1,0)*Table_NFI[[#This Row],[Hygiene Kit]],Table_NFI[Hygiene Kit])</f>
        <v>0</v>
      </c>
      <c r="Z1243" s="352">
        <f>IF(NFI_Expiration=1,IF($A1243&lt;VLOOKUP(I$5,NFI,5,0),1,0)*Table_NFI[[#This Row],[NFI Core Kit]],Table_NFI[NFI Core Kit])</f>
        <v>0</v>
      </c>
      <c r="AA1243" s="352">
        <f>IF(NFI_Expiration=1,IF($A1243&lt;VLOOKUP(J$5,NFI,5,0),1,0)*Table_NFI[[#This Row],[Sanitary Kit]],Table_NFI[Sanitary Kit])</f>
        <v>0</v>
      </c>
      <c r="AB1243" s="352">
        <f>IF(NFI_Expiration=1,IF($A1243&lt;VLOOKUP(K$5,NFI,5,0),1,0)*Table_NFI[[#This Row],[Mosquito net]],Table_NFI[Mosquito net])</f>
        <v>0</v>
      </c>
      <c r="AC1243" s="352">
        <f>IF(NFI_Expiration=1,IF($A1243&lt;VLOOKUP(L$5,NFI,5,0),1,0)*Table_NFI[[#This Row],[Tarpaulin]],Table_NFI[[#This Row],[Tarpaulin]])</f>
        <v>0</v>
      </c>
      <c r="AD1243" s="352">
        <f>IF(NFI_Expiration=1,IF($A1243&lt;VLOOKUP(M$5,NFI,5,0),1,0)*Table_NFI[[#This Row],[Blanket]],Table_NFI[[#This Row],[Blanket]])</f>
        <v>0</v>
      </c>
      <c r="AE1243" s="352">
        <f>IF(NFI_Expiration=1,IF($A1243&lt;VLOOKUP(N$5,NFI,5,0),1,0)*Table_NFI[[#This Row],[Kitchen Set]],Table_NFI[Kitchen Set])</f>
        <v>0</v>
      </c>
      <c r="AF1243" s="352">
        <f>IF(NFI_Expiration=1,IF($A1243&lt;VLOOKUP(O$5,NFI,5,0),1,0)*Table_NFI[[#This Row],[Clothes Kit]],Table_NFI[Clothes Kit])</f>
        <v>0</v>
      </c>
      <c r="AG1243" s="352">
        <f>IF(NFI_Expiration=1,IF($A1243&lt;VLOOKUP(P$5,NFI,5,0),1,0)*Table_NFI[[#This Row],[Plastic Bucket]],Table_NFI[Plastic Bucket])</f>
        <v>0</v>
      </c>
      <c r="AH1243" s="352">
        <f>IF(NFI_Expiration=1,IF($A1243&lt;VLOOKUP(Q$5,NFI,5,0),1,0)*Table_NFI[[#This Row],[Plastic Mat]],Table_NFI[Plastic Mat])*IF(Table_NFI[[#This Row],[Distribution Date]]&gt;"2014-04-01",1,2.5)</f>
        <v>0</v>
      </c>
      <c r="AI1243" s="352">
        <f>IF(NFI_Expiration=1,IF($A1243&lt;VLOOKUP(R$5,NFI,5,0),1,0)*Table_NFI[[#This Row],[Winter Clothes Adult]],Table_NFI[Winter Clothes Adult])</f>
        <v>0</v>
      </c>
      <c r="AJ1243" s="352">
        <f>IF(NFI_Expiration=1,IF($A1243&lt;VLOOKUP(S$5,NFI,5,0),1,0)*Table_NFI[[#This Row],[Winter Clothes Children]],Table_NFI[Winter Clothes Children])</f>
        <v>0</v>
      </c>
      <c r="AK1243" s="352">
        <f>IF(NFI_Expiration=1,IF($A1243&lt;VLOOKUP(T$5,NFI,5,0),1,0)*Table_NFI[[#This Row],[Winter Items Other]],Table_NFI[Winter Items Other])</f>
        <v>0</v>
      </c>
      <c r="AL1243" s="352">
        <f>IF(NFI_Expiration=1,IF($A1243&lt;VLOOKUP(M$5,NFI,5,0),1,0)*Table_NFI[[#This Row],[Winter Blanket]],Table_NFI[[#This Row],[Winter Blanket]])</f>
        <v>0</v>
      </c>
      <c r="AM1243" s="352">
        <f>IF(Table_NFI[[#This Row],[Winter Clothes Adult]]+Table_NFI[[#This Row],[Winter Clothes Children]]+Table_NFI[[#This Row],[Winter Items Other]]+Table_NFI[[#This Row],[Winter Blanket]]&gt;0,1,0)</f>
        <v>0</v>
      </c>
      <c r="AN1243" s="392">
        <f>IF(NFI_Expiration=1,IF($A1243&lt;VLOOKUP(V$5,NFI,5,0),1,0)*Table_NFI[[#This Row],[Jerry Can]],Table_NFI[Jerry Can])</f>
        <v>0</v>
      </c>
      <c r="AO1243" s="540" t="str">
        <f>IFERROR(VLOOKUP(Table_NFI[[#This Row],[Camp Name]],CL,2,0),"")</f>
        <v/>
      </c>
      <c r="AP1243" s="535" t="str">
        <f ca="1">IF(Table_NFI[[#This Row],[Pcode]]="","",IF(OFFSET(CampList[Opening Date],MATCH(Table_NFI[[#This Row],[Pcode]],CampList[CP_Pcode],0)-1,0,1,1)&gt;=NFI_Monitor_Date,1,0))</f>
        <v/>
      </c>
      <c r="AQ1243" s="540" t="str">
        <f>IFERROR(VLOOKUP(Table_NFI[[#This Row],[Camp Name]],CL,3,0),"")</f>
        <v/>
      </c>
      <c r="AR1243" s="352" t="str">
        <f ca="1">IF(Table_NFI[[#This Row],[Pcode]]="","",OFFSET(CampList[Priority],MATCH(Table_NFI[[#This Row],[Pcode]],CampList[CP_Pcode],0)-1,0,1,1))</f>
        <v/>
      </c>
      <c r="AS1243" s="351" t="str">
        <f>IFERROR(Table_NFI[[#This Row],[Kitchen Set]]/VLOOKUP(Table_NFI[[#This Row],[Camp Name]],CL,4,0),"")</f>
        <v/>
      </c>
      <c r="AT1243" s="538"/>
      <c r="AU1243" s="541"/>
    </row>
    <row r="1244" spans="1:47" ht="14.45" hidden="1" customHeight="1" x14ac:dyDescent="0.25">
      <c r="A1244" s="355" t="str">
        <f t="shared" si="20"/>
        <v/>
      </c>
      <c r="B1244" s="532"/>
      <c r="C1244" s="538"/>
      <c r="D1244" s="538"/>
      <c r="E1244" s="538"/>
      <c r="F1244" s="538"/>
      <c r="G1244" s="538"/>
      <c r="H1244" s="350"/>
      <c r="I1244" s="350"/>
      <c r="J1244" s="350"/>
      <c r="K1244" s="350"/>
      <c r="L1244" s="350"/>
      <c r="M1244" s="350"/>
      <c r="N1244" s="350"/>
      <c r="O1244" s="350"/>
      <c r="P1244" s="352"/>
      <c r="Q1244" s="558"/>
      <c r="R1244" s="558"/>
      <c r="S1244" s="558"/>
      <c r="T1244" s="558"/>
      <c r="U1244" s="558"/>
      <c r="V1244" s="497"/>
      <c r="W1244" s="558"/>
      <c r="X1244" s="558"/>
      <c r="Y1244" s="352">
        <f>IF(NFI_Expiration=1,IF($A1244&lt;VLOOKUP(H$5,NFI,5,0),1,0)*Table_NFI[[#This Row],[Hygiene Kit]],Table_NFI[Hygiene Kit])</f>
        <v>0</v>
      </c>
      <c r="Z1244" s="352">
        <f>IF(NFI_Expiration=1,IF($A1244&lt;VLOOKUP(I$5,NFI,5,0),1,0)*Table_NFI[[#This Row],[NFI Core Kit]],Table_NFI[NFI Core Kit])</f>
        <v>0</v>
      </c>
      <c r="AA1244" s="352">
        <f>IF(NFI_Expiration=1,IF($A1244&lt;VLOOKUP(J$5,NFI,5,0),1,0)*Table_NFI[[#This Row],[Sanitary Kit]],Table_NFI[Sanitary Kit])</f>
        <v>0</v>
      </c>
      <c r="AB1244" s="352">
        <f>IF(NFI_Expiration=1,IF($A1244&lt;VLOOKUP(K$5,NFI,5,0),1,0)*Table_NFI[[#This Row],[Mosquito net]],Table_NFI[Mosquito net])</f>
        <v>0</v>
      </c>
      <c r="AC1244" s="352">
        <f>IF(NFI_Expiration=1,IF($A1244&lt;VLOOKUP(L$5,NFI,5,0),1,0)*Table_NFI[[#This Row],[Tarpaulin]],Table_NFI[[#This Row],[Tarpaulin]])</f>
        <v>0</v>
      </c>
      <c r="AD1244" s="352">
        <f>IF(NFI_Expiration=1,IF($A1244&lt;VLOOKUP(M$5,NFI,5,0),1,0)*Table_NFI[[#This Row],[Blanket]],Table_NFI[[#This Row],[Blanket]])</f>
        <v>0</v>
      </c>
      <c r="AE1244" s="352">
        <f>IF(NFI_Expiration=1,IF($A1244&lt;VLOOKUP(N$5,NFI,5,0),1,0)*Table_NFI[[#This Row],[Kitchen Set]],Table_NFI[Kitchen Set])</f>
        <v>0</v>
      </c>
      <c r="AF1244" s="352">
        <f>IF(NFI_Expiration=1,IF($A1244&lt;VLOOKUP(O$5,NFI,5,0),1,0)*Table_NFI[[#This Row],[Clothes Kit]],Table_NFI[Clothes Kit])</f>
        <v>0</v>
      </c>
      <c r="AG1244" s="352">
        <f>IF(NFI_Expiration=1,IF($A1244&lt;VLOOKUP(P$5,NFI,5,0),1,0)*Table_NFI[[#This Row],[Plastic Bucket]],Table_NFI[Plastic Bucket])</f>
        <v>0</v>
      </c>
      <c r="AH1244" s="352">
        <f>IF(NFI_Expiration=1,IF($A1244&lt;VLOOKUP(Q$5,NFI,5,0),1,0)*Table_NFI[[#This Row],[Plastic Mat]],Table_NFI[Plastic Mat])*IF(Table_NFI[[#This Row],[Distribution Date]]&gt;"2014-04-01",1,2.5)</f>
        <v>0</v>
      </c>
      <c r="AI1244" s="352">
        <f>IF(NFI_Expiration=1,IF($A1244&lt;VLOOKUP(R$5,NFI,5,0),1,0)*Table_NFI[[#This Row],[Winter Clothes Adult]],Table_NFI[Winter Clothes Adult])</f>
        <v>0</v>
      </c>
      <c r="AJ1244" s="352">
        <f>IF(NFI_Expiration=1,IF($A1244&lt;VLOOKUP(S$5,NFI,5,0),1,0)*Table_NFI[[#This Row],[Winter Clothes Children]],Table_NFI[Winter Clothes Children])</f>
        <v>0</v>
      </c>
      <c r="AK1244" s="352">
        <f>IF(NFI_Expiration=1,IF($A1244&lt;VLOOKUP(T$5,NFI,5,0),1,0)*Table_NFI[[#This Row],[Winter Items Other]],Table_NFI[Winter Items Other])</f>
        <v>0</v>
      </c>
      <c r="AL1244" s="352">
        <f>IF(NFI_Expiration=1,IF($A1244&lt;VLOOKUP(M$5,NFI,5,0),1,0)*Table_NFI[[#This Row],[Winter Blanket]],Table_NFI[[#This Row],[Winter Blanket]])</f>
        <v>0</v>
      </c>
      <c r="AM1244" s="352">
        <f>IF(Table_NFI[[#This Row],[Winter Clothes Adult]]+Table_NFI[[#This Row],[Winter Clothes Children]]+Table_NFI[[#This Row],[Winter Items Other]]+Table_NFI[[#This Row],[Winter Blanket]]&gt;0,1,0)</f>
        <v>0</v>
      </c>
      <c r="AN1244" s="392">
        <f>IF(NFI_Expiration=1,IF($A1244&lt;VLOOKUP(V$5,NFI,5,0),1,0)*Table_NFI[[#This Row],[Jerry Can]],Table_NFI[Jerry Can])</f>
        <v>0</v>
      </c>
      <c r="AO1244" s="540" t="str">
        <f>IFERROR(VLOOKUP(Table_NFI[[#This Row],[Camp Name]],CL,2,0),"")</f>
        <v/>
      </c>
      <c r="AP1244" s="535" t="str">
        <f ca="1">IF(Table_NFI[[#This Row],[Pcode]]="","",IF(OFFSET(CampList[Opening Date],MATCH(Table_NFI[[#This Row],[Pcode]],CampList[CP_Pcode],0)-1,0,1,1)&gt;=NFI_Monitor_Date,1,0))</f>
        <v/>
      </c>
      <c r="AQ1244" s="540" t="str">
        <f>IFERROR(VLOOKUP(Table_NFI[[#This Row],[Camp Name]],CL,3,0),"")</f>
        <v/>
      </c>
      <c r="AR1244" s="352" t="str">
        <f ca="1">IF(Table_NFI[[#This Row],[Pcode]]="","",OFFSET(CampList[Priority],MATCH(Table_NFI[[#This Row],[Pcode]],CampList[CP_Pcode],0)-1,0,1,1))</f>
        <v/>
      </c>
      <c r="AS1244" s="351" t="str">
        <f>IFERROR(Table_NFI[[#This Row],[Kitchen Set]]/VLOOKUP(Table_NFI[[#This Row],[Camp Name]],CL,4,0),"")</f>
        <v/>
      </c>
      <c r="AT1244" s="538"/>
      <c r="AU1244" s="541"/>
    </row>
    <row r="1245" spans="1:47" ht="14.45" hidden="1" customHeight="1" x14ac:dyDescent="0.25">
      <c r="A1245" s="355" t="str">
        <f t="shared" si="20"/>
        <v/>
      </c>
      <c r="B1245" s="532"/>
      <c r="C1245" s="538"/>
      <c r="D1245" s="538"/>
      <c r="E1245" s="538"/>
      <c r="F1245" s="538"/>
      <c r="G1245" s="538"/>
      <c r="H1245" s="350"/>
      <c r="I1245" s="350"/>
      <c r="J1245" s="350"/>
      <c r="K1245" s="350"/>
      <c r="L1245" s="350"/>
      <c r="M1245" s="350"/>
      <c r="N1245" s="350"/>
      <c r="O1245" s="350"/>
      <c r="P1245" s="352"/>
      <c r="Q1245" s="558"/>
      <c r="R1245" s="558"/>
      <c r="S1245" s="558"/>
      <c r="T1245" s="558"/>
      <c r="U1245" s="558"/>
      <c r="V1245" s="497"/>
      <c r="W1245" s="558"/>
      <c r="X1245" s="558"/>
      <c r="Y1245" s="352">
        <f>IF(NFI_Expiration=1,IF($A1245&lt;VLOOKUP(H$5,NFI,5,0),1,0)*Table_NFI[[#This Row],[Hygiene Kit]],Table_NFI[Hygiene Kit])</f>
        <v>0</v>
      </c>
      <c r="Z1245" s="352">
        <f>IF(NFI_Expiration=1,IF($A1245&lt;VLOOKUP(I$5,NFI,5,0),1,0)*Table_NFI[[#This Row],[NFI Core Kit]],Table_NFI[NFI Core Kit])</f>
        <v>0</v>
      </c>
      <c r="AA1245" s="352">
        <f>IF(NFI_Expiration=1,IF($A1245&lt;VLOOKUP(J$5,NFI,5,0),1,0)*Table_NFI[[#This Row],[Sanitary Kit]],Table_NFI[Sanitary Kit])</f>
        <v>0</v>
      </c>
      <c r="AB1245" s="352">
        <f>IF(NFI_Expiration=1,IF($A1245&lt;VLOOKUP(K$5,NFI,5,0),1,0)*Table_NFI[[#This Row],[Mosquito net]],Table_NFI[Mosquito net])</f>
        <v>0</v>
      </c>
      <c r="AC1245" s="352">
        <f>IF(NFI_Expiration=1,IF($A1245&lt;VLOOKUP(L$5,NFI,5,0),1,0)*Table_NFI[[#This Row],[Tarpaulin]],Table_NFI[[#This Row],[Tarpaulin]])</f>
        <v>0</v>
      </c>
      <c r="AD1245" s="352">
        <f>IF(NFI_Expiration=1,IF($A1245&lt;VLOOKUP(M$5,NFI,5,0),1,0)*Table_NFI[[#This Row],[Blanket]],Table_NFI[[#This Row],[Blanket]])</f>
        <v>0</v>
      </c>
      <c r="AE1245" s="352">
        <f>IF(NFI_Expiration=1,IF($A1245&lt;VLOOKUP(N$5,NFI,5,0),1,0)*Table_NFI[[#This Row],[Kitchen Set]],Table_NFI[Kitchen Set])</f>
        <v>0</v>
      </c>
      <c r="AF1245" s="352">
        <f>IF(NFI_Expiration=1,IF($A1245&lt;VLOOKUP(O$5,NFI,5,0),1,0)*Table_NFI[[#This Row],[Clothes Kit]],Table_NFI[Clothes Kit])</f>
        <v>0</v>
      </c>
      <c r="AG1245" s="352">
        <f>IF(NFI_Expiration=1,IF($A1245&lt;VLOOKUP(P$5,NFI,5,0),1,0)*Table_NFI[[#This Row],[Plastic Bucket]],Table_NFI[Plastic Bucket])</f>
        <v>0</v>
      </c>
      <c r="AH1245" s="352">
        <f>IF(NFI_Expiration=1,IF($A1245&lt;VLOOKUP(Q$5,NFI,5,0),1,0)*Table_NFI[[#This Row],[Plastic Mat]],Table_NFI[Plastic Mat])*IF(Table_NFI[[#This Row],[Distribution Date]]&gt;"2014-04-01",1,2.5)</f>
        <v>0</v>
      </c>
      <c r="AI1245" s="352">
        <f>IF(NFI_Expiration=1,IF($A1245&lt;VLOOKUP(R$5,NFI,5,0),1,0)*Table_NFI[[#This Row],[Winter Clothes Adult]],Table_NFI[Winter Clothes Adult])</f>
        <v>0</v>
      </c>
      <c r="AJ1245" s="352">
        <f>IF(NFI_Expiration=1,IF($A1245&lt;VLOOKUP(S$5,NFI,5,0),1,0)*Table_NFI[[#This Row],[Winter Clothes Children]],Table_NFI[Winter Clothes Children])</f>
        <v>0</v>
      </c>
      <c r="AK1245" s="352">
        <f>IF(NFI_Expiration=1,IF($A1245&lt;VLOOKUP(T$5,NFI,5,0),1,0)*Table_NFI[[#This Row],[Winter Items Other]],Table_NFI[Winter Items Other])</f>
        <v>0</v>
      </c>
      <c r="AL1245" s="352">
        <f>IF(NFI_Expiration=1,IF($A1245&lt;VLOOKUP(M$5,NFI,5,0),1,0)*Table_NFI[[#This Row],[Winter Blanket]],Table_NFI[[#This Row],[Winter Blanket]])</f>
        <v>0</v>
      </c>
      <c r="AM1245" s="352">
        <f>IF(Table_NFI[[#This Row],[Winter Clothes Adult]]+Table_NFI[[#This Row],[Winter Clothes Children]]+Table_NFI[[#This Row],[Winter Items Other]]+Table_NFI[[#This Row],[Winter Blanket]]&gt;0,1,0)</f>
        <v>0</v>
      </c>
      <c r="AN1245" s="392">
        <f>IF(NFI_Expiration=1,IF($A1245&lt;VLOOKUP(V$5,NFI,5,0),1,0)*Table_NFI[[#This Row],[Jerry Can]],Table_NFI[Jerry Can])</f>
        <v>0</v>
      </c>
      <c r="AO1245" s="540" t="str">
        <f>IFERROR(VLOOKUP(Table_NFI[[#This Row],[Camp Name]],CL,2,0),"")</f>
        <v/>
      </c>
      <c r="AP1245" s="535" t="str">
        <f ca="1">IF(Table_NFI[[#This Row],[Pcode]]="","",IF(OFFSET(CampList[Opening Date],MATCH(Table_NFI[[#This Row],[Pcode]],CampList[CP_Pcode],0)-1,0,1,1)&gt;=NFI_Monitor_Date,1,0))</f>
        <v/>
      </c>
      <c r="AQ1245" s="540" t="str">
        <f>IFERROR(VLOOKUP(Table_NFI[[#This Row],[Camp Name]],CL,3,0),"")</f>
        <v/>
      </c>
      <c r="AR1245" s="352" t="str">
        <f ca="1">IF(Table_NFI[[#This Row],[Pcode]]="","",OFFSET(CampList[Priority],MATCH(Table_NFI[[#This Row],[Pcode]],CampList[CP_Pcode],0)-1,0,1,1))</f>
        <v/>
      </c>
      <c r="AS1245" s="351" t="str">
        <f>IFERROR(Table_NFI[[#This Row],[Kitchen Set]]/VLOOKUP(Table_NFI[[#This Row],[Camp Name]],CL,4,0),"")</f>
        <v/>
      </c>
      <c r="AT1245" s="538"/>
      <c r="AU1245" s="541"/>
    </row>
    <row r="1246" spans="1:47" ht="14.45" hidden="1" customHeight="1" x14ac:dyDescent="0.25">
      <c r="A1246" s="355" t="str">
        <f t="shared" si="20"/>
        <v/>
      </c>
      <c r="B1246" s="532"/>
      <c r="C1246" s="538"/>
      <c r="D1246" s="538"/>
      <c r="E1246" s="538"/>
      <c r="F1246" s="538"/>
      <c r="G1246" s="538"/>
      <c r="H1246" s="350"/>
      <c r="I1246" s="350"/>
      <c r="J1246" s="350"/>
      <c r="K1246" s="350"/>
      <c r="L1246" s="350"/>
      <c r="M1246" s="350"/>
      <c r="N1246" s="350"/>
      <c r="O1246" s="350"/>
      <c r="P1246" s="352"/>
      <c r="Q1246" s="558"/>
      <c r="R1246" s="558"/>
      <c r="S1246" s="558"/>
      <c r="T1246" s="558"/>
      <c r="U1246" s="558"/>
      <c r="V1246" s="497"/>
      <c r="W1246" s="558"/>
      <c r="X1246" s="558"/>
      <c r="Y1246" s="352">
        <f>IF(NFI_Expiration=1,IF($A1246&lt;VLOOKUP(H$5,NFI,5,0),1,0)*Table_NFI[[#This Row],[Hygiene Kit]],Table_NFI[Hygiene Kit])</f>
        <v>0</v>
      </c>
      <c r="Z1246" s="352">
        <f>IF(NFI_Expiration=1,IF($A1246&lt;VLOOKUP(I$5,NFI,5,0),1,0)*Table_NFI[[#This Row],[NFI Core Kit]],Table_NFI[NFI Core Kit])</f>
        <v>0</v>
      </c>
      <c r="AA1246" s="352">
        <f>IF(NFI_Expiration=1,IF($A1246&lt;VLOOKUP(J$5,NFI,5,0),1,0)*Table_NFI[[#This Row],[Sanitary Kit]],Table_NFI[Sanitary Kit])</f>
        <v>0</v>
      </c>
      <c r="AB1246" s="352">
        <f>IF(NFI_Expiration=1,IF($A1246&lt;VLOOKUP(K$5,NFI,5,0),1,0)*Table_NFI[[#This Row],[Mosquito net]],Table_NFI[Mosquito net])</f>
        <v>0</v>
      </c>
      <c r="AC1246" s="352">
        <f>IF(NFI_Expiration=1,IF($A1246&lt;VLOOKUP(L$5,NFI,5,0),1,0)*Table_NFI[[#This Row],[Tarpaulin]],Table_NFI[[#This Row],[Tarpaulin]])</f>
        <v>0</v>
      </c>
      <c r="AD1246" s="352">
        <f>IF(NFI_Expiration=1,IF($A1246&lt;VLOOKUP(M$5,NFI,5,0),1,0)*Table_NFI[[#This Row],[Blanket]],Table_NFI[[#This Row],[Blanket]])</f>
        <v>0</v>
      </c>
      <c r="AE1246" s="352">
        <f>IF(NFI_Expiration=1,IF($A1246&lt;VLOOKUP(N$5,NFI,5,0),1,0)*Table_NFI[[#This Row],[Kitchen Set]],Table_NFI[Kitchen Set])</f>
        <v>0</v>
      </c>
      <c r="AF1246" s="352">
        <f>IF(NFI_Expiration=1,IF($A1246&lt;VLOOKUP(O$5,NFI,5,0),1,0)*Table_NFI[[#This Row],[Clothes Kit]],Table_NFI[Clothes Kit])</f>
        <v>0</v>
      </c>
      <c r="AG1246" s="352">
        <f>IF(NFI_Expiration=1,IF($A1246&lt;VLOOKUP(P$5,NFI,5,0),1,0)*Table_NFI[[#This Row],[Plastic Bucket]],Table_NFI[Plastic Bucket])</f>
        <v>0</v>
      </c>
      <c r="AH1246" s="352">
        <f>IF(NFI_Expiration=1,IF($A1246&lt;VLOOKUP(Q$5,NFI,5,0),1,0)*Table_NFI[[#This Row],[Plastic Mat]],Table_NFI[Plastic Mat])*IF(Table_NFI[[#This Row],[Distribution Date]]&gt;"2014-04-01",1,2.5)</f>
        <v>0</v>
      </c>
      <c r="AI1246" s="352">
        <f>IF(NFI_Expiration=1,IF($A1246&lt;VLOOKUP(R$5,NFI,5,0),1,0)*Table_NFI[[#This Row],[Winter Clothes Adult]],Table_NFI[Winter Clothes Adult])</f>
        <v>0</v>
      </c>
      <c r="AJ1246" s="352">
        <f>IF(NFI_Expiration=1,IF($A1246&lt;VLOOKUP(S$5,NFI,5,0),1,0)*Table_NFI[[#This Row],[Winter Clothes Children]],Table_NFI[Winter Clothes Children])</f>
        <v>0</v>
      </c>
      <c r="AK1246" s="352">
        <f>IF(NFI_Expiration=1,IF($A1246&lt;VLOOKUP(T$5,NFI,5,0),1,0)*Table_NFI[[#This Row],[Winter Items Other]],Table_NFI[Winter Items Other])</f>
        <v>0</v>
      </c>
      <c r="AL1246" s="352">
        <f>IF(NFI_Expiration=1,IF($A1246&lt;VLOOKUP(M$5,NFI,5,0),1,0)*Table_NFI[[#This Row],[Winter Blanket]],Table_NFI[[#This Row],[Winter Blanket]])</f>
        <v>0</v>
      </c>
      <c r="AM1246" s="352">
        <f>IF(Table_NFI[[#This Row],[Winter Clothes Adult]]+Table_NFI[[#This Row],[Winter Clothes Children]]+Table_NFI[[#This Row],[Winter Items Other]]+Table_NFI[[#This Row],[Winter Blanket]]&gt;0,1,0)</f>
        <v>0</v>
      </c>
      <c r="AN1246" s="392">
        <f>IF(NFI_Expiration=1,IF($A1246&lt;VLOOKUP(V$5,NFI,5,0),1,0)*Table_NFI[[#This Row],[Jerry Can]],Table_NFI[Jerry Can])</f>
        <v>0</v>
      </c>
      <c r="AO1246" s="540" t="str">
        <f>IFERROR(VLOOKUP(Table_NFI[[#This Row],[Camp Name]],CL,2,0),"")</f>
        <v/>
      </c>
      <c r="AP1246" s="535" t="str">
        <f ca="1">IF(Table_NFI[[#This Row],[Pcode]]="","",IF(OFFSET(CampList[Opening Date],MATCH(Table_NFI[[#This Row],[Pcode]],CampList[CP_Pcode],0)-1,0,1,1)&gt;=NFI_Monitor_Date,1,0))</f>
        <v/>
      </c>
      <c r="AQ1246" s="540" t="str">
        <f>IFERROR(VLOOKUP(Table_NFI[[#This Row],[Camp Name]],CL,3,0),"")</f>
        <v/>
      </c>
      <c r="AR1246" s="352" t="str">
        <f ca="1">IF(Table_NFI[[#This Row],[Pcode]]="","",OFFSET(CampList[Priority],MATCH(Table_NFI[[#This Row],[Pcode]],CampList[CP_Pcode],0)-1,0,1,1))</f>
        <v/>
      </c>
      <c r="AS1246" s="351" t="str">
        <f>IFERROR(Table_NFI[[#This Row],[Kitchen Set]]/VLOOKUP(Table_NFI[[#This Row],[Camp Name]],CL,4,0),"")</f>
        <v/>
      </c>
      <c r="AT1246" s="538"/>
      <c r="AU1246" s="541"/>
    </row>
    <row r="1247" spans="1:47" ht="14.45" hidden="1" customHeight="1" x14ac:dyDescent="0.25">
      <c r="A1247" s="355" t="str">
        <f t="shared" si="20"/>
        <v/>
      </c>
      <c r="B1247" s="532"/>
      <c r="C1247" s="538"/>
      <c r="D1247" s="538"/>
      <c r="E1247" s="538"/>
      <c r="F1247" s="538"/>
      <c r="G1247" s="538"/>
      <c r="H1247" s="350"/>
      <c r="I1247" s="350"/>
      <c r="J1247" s="350"/>
      <c r="K1247" s="350"/>
      <c r="L1247" s="350"/>
      <c r="M1247" s="350"/>
      <c r="N1247" s="350"/>
      <c r="O1247" s="350"/>
      <c r="P1247" s="352"/>
      <c r="Q1247" s="558"/>
      <c r="R1247" s="558"/>
      <c r="S1247" s="558"/>
      <c r="T1247" s="558"/>
      <c r="U1247" s="558"/>
      <c r="V1247" s="497"/>
      <c r="W1247" s="558"/>
      <c r="X1247" s="558"/>
      <c r="Y1247" s="352">
        <f>IF(NFI_Expiration=1,IF($A1247&lt;VLOOKUP(H$5,NFI,5,0),1,0)*Table_NFI[[#This Row],[Hygiene Kit]],Table_NFI[Hygiene Kit])</f>
        <v>0</v>
      </c>
      <c r="Z1247" s="352">
        <f>IF(NFI_Expiration=1,IF($A1247&lt;VLOOKUP(I$5,NFI,5,0),1,0)*Table_NFI[[#This Row],[NFI Core Kit]],Table_NFI[NFI Core Kit])</f>
        <v>0</v>
      </c>
      <c r="AA1247" s="352">
        <f>IF(NFI_Expiration=1,IF($A1247&lt;VLOOKUP(J$5,NFI,5,0),1,0)*Table_NFI[[#This Row],[Sanitary Kit]],Table_NFI[Sanitary Kit])</f>
        <v>0</v>
      </c>
      <c r="AB1247" s="352">
        <f>IF(NFI_Expiration=1,IF($A1247&lt;VLOOKUP(K$5,NFI,5,0),1,0)*Table_NFI[[#This Row],[Mosquito net]],Table_NFI[Mosquito net])</f>
        <v>0</v>
      </c>
      <c r="AC1247" s="352">
        <f>IF(NFI_Expiration=1,IF($A1247&lt;VLOOKUP(L$5,NFI,5,0),1,0)*Table_NFI[[#This Row],[Tarpaulin]],Table_NFI[[#This Row],[Tarpaulin]])</f>
        <v>0</v>
      </c>
      <c r="AD1247" s="352">
        <f>IF(NFI_Expiration=1,IF($A1247&lt;VLOOKUP(M$5,NFI,5,0),1,0)*Table_NFI[[#This Row],[Blanket]],Table_NFI[[#This Row],[Blanket]])</f>
        <v>0</v>
      </c>
      <c r="AE1247" s="352">
        <f>IF(NFI_Expiration=1,IF($A1247&lt;VLOOKUP(N$5,NFI,5,0),1,0)*Table_NFI[[#This Row],[Kitchen Set]],Table_NFI[Kitchen Set])</f>
        <v>0</v>
      </c>
      <c r="AF1247" s="352">
        <f>IF(NFI_Expiration=1,IF($A1247&lt;VLOOKUP(O$5,NFI,5,0),1,0)*Table_NFI[[#This Row],[Clothes Kit]],Table_NFI[Clothes Kit])</f>
        <v>0</v>
      </c>
      <c r="AG1247" s="352">
        <f>IF(NFI_Expiration=1,IF($A1247&lt;VLOOKUP(P$5,NFI,5,0),1,0)*Table_NFI[[#This Row],[Plastic Bucket]],Table_NFI[Plastic Bucket])</f>
        <v>0</v>
      </c>
      <c r="AH1247" s="352">
        <f>IF(NFI_Expiration=1,IF($A1247&lt;VLOOKUP(Q$5,NFI,5,0),1,0)*Table_NFI[[#This Row],[Plastic Mat]],Table_NFI[Plastic Mat])*IF(Table_NFI[[#This Row],[Distribution Date]]&gt;"2014-04-01",1,2.5)</f>
        <v>0</v>
      </c>
      <c r="AI1247" s="352">
        <f>IF(NFI_Expiration=1,IF($A1247&lt;VLOOKUP(R$5,NFI,5,0),1,0)*Table_NFI[[#This Row],[Winter Clothes Adult]],Table_NFI[Winter Clothes Adult])</f>
        <v>0</v>
      </c>
      <c r="AJ1247" s="352">
        <f>IF(NFI_Expiration=1,IF($A1247&lt;VLOOKUP(S$5,NFI,5,0),1,0)*Table_NFI[[#This Row],[Winter Clothes Children]],Table_NFI[Winter Clothes Children])</f>
        <v>0</v>
      </c>
      <c r="AK1247" s="352">
        <f>IF(NFI_Expiration=1,IF($A1247&lt;VLOOKUP(T$5,NFI,5,0),1,0)*Table_NFI[[#This Row],[Winter Items Other]],Table_NFI[Winter Items Other])</f>
        <v>0</v>
      </c>
      <c r="AL1247" s="352">
        <f>IF(NFI_Expiration=1,IF($A1247&lt;VLOOKUP(M$5,NFI,5,0),1,0)*Table_NFI[[#This Row],[Winter Blanket]],Table_NFI[[#This Row],[Winter Blanket]])</f>
        <v>0</v>
      </c>
      <c r="AM1247" s="352">
        <f>IF(Table_NFI[[#This Row],[Winter Clothes Adult]]+Table_NFI[[#This Row],[Winter Clothes Children]]+Table_NFI[[#This Row],[Winter Items Other]]+Table_NFI[[#This Row],[Winter Blanket]]&gt;0,1,0)</f>
        <v>0</v>
      </c>
      <c r="AN1247" s="392">
        <f>IF(NFI_Expiration=1,IF($A1247&lt;VLOOKUP(V$5,NFI,5,0),1,0)*Table_NFI[[#This Row],[Jerry Can]],Table_NFI[Jerry Can])</f>
        <v>0</v>
      </c>
      <c r="AO1247" s="540" t="str">
        <f>IFERROR(VLOOKUP(Table_NFI[[#This Row],[Camp Name]],CL,2,0),"")</f>
        <v/>
      </c>
      <c r="AP1247" s="535" t="str">
        <f ca="1">IF(Table_NFI[[#This Row],[Pcode]]="","",IF(OFFSET(CampList[Opening Date],MATCH(Table_NFI[[#This Row],[Pcode]],CampList[CP_Pcode],0)-1,0,1,1)&gt;=NFI_Monitor_Date,1,0))</f>
        <v/>
      </c>
      <c r="AQ1247" s="540" t="str">
        <f>IFERROR(VLOOKUP(Table_NFI[[#This Row],[Camp Name]],CL,3,0),"")</f>
        <v/>
      </c>
      <c r="AR1247" s="352" t="str">
        <f ca="1">IF(Table_NFI[[#This Row],[Pcode]]="","",OFFSET(CampList[Priority],MATCH(Table_NFI[[#This Row],[Pcode]],CampList[CP_Pcode],0)-1,0,1,1))</f>
        <v/>
      </c>
      <c r="AS1247" s="351" t="str">
        <f>IFERROR(Table_NFI[[#This Row],[Kitchen Set]]/VLOOKUP(Table_NFI[[#This Row],[Camp Name]],CL,4,0),"")</f>
        <v/>
      </c>
      <c r="AT1247" s="538"/>
      <c r="AU1247" s="541"/>
    </row>
    <row r="1248" spans="1:47" ht="14.45" hidden="1" customHeight="1" x14ac:dyDescent="0.25">
      <c r="A1248" s="355" t="str">
        <f t="shared" si="20"/>
        <v/>
      </c>
      <c r="B1248" s="532"/>
      <c r="C1248" s="538"/>
      <c r="D1248" s="538"/>
      <c r="E1248" s="538"/>
      <c r="F1248" s="538"/>
      <c r="G1248" s="538"/>
      <c r="H1248" s="350"/>
      <c r="I1248" s="350"/>
      <c r="J1248" s="350"/>
      <c r="K1248" s="350"/>
      <c r="L1248" s="350"/>
      <c r="M1248" s="350"/>
      <c r="N1248" s="350"/>
      <c r="O1248" s="350"/>
      <c r="P1248" s="352"/>
      <c r="Q1248" s="558"/>
      <c r="R1248" s="558"/>
      <c r="S1248" s="558"/>
      <c r="T1248" s="558"/>
      <c r="U1248" s="558"/>
      <c r="V1248" s="497"/>
      <c r="W1248" s="558"/>
      <c r="X1248" s="558"/>
      <c r="Y1248" s="352">
        <f>IF(NFI_Expiration=1,IF($A1248&lt;VLOOKUP(H$5,NFI,5,0),1,0)*Table_NFI[[#This Row],[Hygiene Kit]],Table_NFI[Hygiene Kit])</f>
        <v>0</v>
      </c>
      <c r="Z1248" s="352">
        <f>IF(NFI_Expiration=1,IF($A1248&lt;VLOOKUP(I$5,NFI,5,0),1,0)*Table_NFI[[#This Row],[NFI Core Kit]],Table_NFI[NFI Core Kit])</f>
        <v>0</v>
      </c>
      <c r="AA1248" s="352">
        <f>IF(NFI_Expiration=1,IF($A1248&lt;VLOOKUP(J$5,NFI,5,0),1,0)*Table_NFI[[#This Row],[Sanitary Kit]],Table_NFI[Sanitary Kit])</f>
        <v>0</v>
      </c>
      <c r="AB1248" s="352">
        <f>IF(NFI_Expiration=1,IF($A1248&lt;VLOOKUP(K$5,NFI,5,0),1,0)*Table_NFI[[#This Row],[Mosquito net]],Table_NFI[Mosquito net])</f>
        <v>0</v>
      </c>
      <c r="AC1248" s="352">
        <f>IF(NFI_Expiration=1,IF($A1248&lt;VLOOKUP(L$5,NFI,5,0),1,0)*Table_NFI[[#This Row],[Tarpaulin]],Table_NFI[[#This Row],[Tarpaulin]])</f>
        <v>0</v>
      </c>
      <c r="AD1248" s="352">
        <f>IF(NFI_Expiration=1,IF($A1248&lt;VLOOKUP(M$5,NFI,5,0),1,0)*Table_NFI[[#This Row],[Blanket]],Table_NFI[[#This Row],[Blanket]])</f>
        <v>0</v>
      </c>
      <c r="AE1248" s="352">
        <f>IF(NFI_Expiration=1,IF($A1248&lt;VLOOKUP(N$5,NFI,5,0),1,0)*Table_NFI[[#This Row],[Kitchen Set]],Table_NFI[Kitchen Set])</f>
        <v>0</v>
      </c>
      <c r="AF1248" s="352">
        <f>IF(NFI_Expiration=1,IF($A1248&lt;VLOOKUP(O$5,NFI,5,0),1,0)*Table_NFI[[#This Row],[Clothes Kit]],Table_NFI[Clothes Kit])</f>
        <v>0</v>
      </c>
      <c r="AG1248" s="352">
        <f>IF(NFI_Expiration=1,IF($A1248&lt;VLOOKUP(P$5,NFI,5,0),1,0)*Table_NFI[[#This Row],[Plastic Bucket]],Table_NFI[Plastic Bucket])</f>
        <v>0</v>
      </c>
      <c r="AH1248" s="352">
        <f>IF(NFI_Expiration=1,IF($A1248&lt;VLOOKUP(Q$5,NFI,5,0),1,0)*Table_NFI[[#This Row],[Plastic Mat]],Table_NFI[Plastic Mat])*IF(Table_NFI[[#This Row],[Distribution Date]]&gt;"2014-04-01",1,2.5)</f>
        <v>0</v>
      </c>
      <c r="AI1248" s="352">
        <f>IF(NFI_Expiration=1,IF($A1248&lt;VLOOKUP(R$5,NFI,5,0),1,0)*Table_NFI[[#This Row],[Winter Clothes Adult]],Table_NFI[Winter Clothes Adult])</f>
        <v>0</v>
      </c>
      <c r="AJ1248" s="352">
        <f>IF(NFI_Expiration=1,IF($A1248&lt;VLOOKUP(S$5,NFI,5,0),1,0)*Table_NFI[[#This Row],[Winter Clothes Children]],Table_NFI[Winter Clothes Children])</f>
        <v>0</v>
      </c>
      <c r="AK1248" s="352">
        <f>IF(NFI_Expiration=1,IF($A1248&lt;VLOOKUP(T$5,NFI,5,0),1,0)*Table_NFI[[#This Row],[Winter Items Other]],Table_NFI[Winter Items Other])</f>
        <v>0</v>
      </c>
      <c r="AL1248" s="352">
        <f>IF(NFI_Expiration=1,IF($A1248&lt;VLOOKUP(M$5,NFI,5,0),1,0)*Table_NFI[[#This Row],[Winter Blanket]],Table_NFI[[#This Row],[Winter Blanket]])</f>
        <v>0</v>
      </c>
      <c r="AM1248" s="352">
        <f>IF(Table_NFI[[#This Row],[Winter Clothes Adult]]+Table_NFI[[#This Row],[Winter Clothes Children]]+Table_NFI[[#This Row],[Winter Items Other]]+Table_NFI[[#This Row],[Winter Blanket]]&gt;0,1,0)</f>
        <v>0</v>
      </c>
      <c r="AN1248" s="392">
        <f>IF(NFI_Expiration=1,IF($A1248&lt;VLOOKUP(V$5,NFI,5,0),1,0)*Table_NFI[[#This Row],[Jerry Can]],Table_NFI[Jerry Can])</f>
        <v>0</v>
      </c>
      <c r="AO1248" s="540" t="str">
        <f>IFERROR(VLOOKUP(Table_NFI[[#This Row],[Camp Name]],CL,2,0),"")</f>
        <v/>
      </c>
      <c r="AP1248" s="535" t="str">
        <f ca="1">IF(Table_NFI[[#This Row],[Pcode]]="","",IF(OFFSET(CampList[Opening Date],MATCH(Table_NFI[[#This Row],[Pcode]],CampList[CP_Pcode],0)-1,0,1,1)&gt;=NFI_Monitor_Date,1,0))</f>
        <v/>
      </c>
      <c r="AQ1248" s="540" t="str">
        <f>IFERROR(VLOOKUP(Table_NFI[[#This Row],[Camp Name]],CL,3,0),"")</f>
        <v/>
      </c>
      <c r="AR1248" s="352" t="str">
        <f ca="1">IF(Table_NFI[[#This Row],[Pcode]]="","",OFFSET(CampList[Priority],MATCH(Table_NFI[[#This Row],[Pcode]],CampList[CP_Pcode],0)-1,0,1,1))</f>
        <v/>
      </c>
      <c r="AS1248" s="351" t="str">
        <f>IFERROR(Table_NFI[[#This Row],[Kitchen Set]]/VLOOKUP(Table_NFI[[#This Row],[Camp Name]],CL,4,0),"")</f>
        <v/>
      </c>
      <c r="AT1248" s="538"/>
      <c r="AU1248" s="541"/>
    </row>
    <row r="1249" spans="1:47" ht="14.45" hidden="1" customHeight="1" x14ac:dyDescent="0.25">
      <c r="A1249" s="355" t="str">
        <f t="shared" si="20"/>
        <v/>
      </c>
      <c r="B1249" s="532"/>
      <c r="C1249" s="538"/>
      <c r="D1249" s="538"/>
      <c r="E1249" s="538"/>
      <c r="F1249" s="538"/>
      <c r="G1249" s="538"/>
      <c r="H1249" s="350"/>
      <c r="I1249" s="350"/>
      <c r="J1249" s="350"/>
      <c r="K1249" s="350"/>
      <c r="L1249" s="350"/>
      <c r="M1249" s="350"/>
      <c r="N1249" s="350"/>
      <c r="O1249" s="350"/>
      <c r="P1249" s="352"/>
      <c r="Q1249" s="558"/>
      <c r="R1249" s="558"/>
      <c r="S1249" s="558"/>
      <c r="T1249" s="558"/>
      <c r="U1249" s="558"/>
      <c r="V1249" s="497"/>
      <c r="W1249" s="558"/>
      <c r="X1249" s="558"/>
      <c r="Y1249" s="352">
        <f>IF(NFI_Expiration=1,IF($A1249&lt;VLOOKUP(H$5,NFI,5,0),1,0)*Table_NFI[[#This Row],[Hygiene Kit]],Table_NFI[Hygiene Kit])</f>
        <v>0</v>
      </c>
      <c r="Z1249" s="352">
        <f>IF(NFI_Expiration=1,IF($A1249&lt;VLOOKUP(I$5,NFI,5,0),1,0)*Table_NFI[[#This Row],[NFI Core Kit]],Table_NFI[NFI Core Kit])</f>
        <v>0</v>
      </c>
      <c r="AA1249" s="352">
        <f>IF(NFI_Expiration=1,IF($A1249&lt;VLOOKUP(J$5,NFI,5,0),1,0)*Table_NFI[[#This Row],[Sanitary Kit]],Table_NFI[Sanitary Kit])</f>
        <v>0</v>
      </c>
      <c r="AB1249" s="352">
        <f>IF(NFI_Expiration=1,IF($A1249&lt;VLOOKUP(K$5,NFI,5,0),1,0)*Table_NFI[[#This Row],[Mosquito net]],Table_NFI[Mosquito net])</f>
        <v>0</v>
      </c>
      <c r="AC1249" s="352">
        <f>IF(NFI_Expiration=1,IF($A1249&lt;VLOOKUP(L$5,NFI,5,0),1,0)*Table_NFI[[#This Row],[Tarpaulin]],Table_NFI[[#This Row],[Tarpaulin]])</f>
        <v>0</v>
      </c>
      <c r="AD1249" s="352">
        <f>IF(NFI_Expiration=1,IF($A1249&lt;VLOOKUP(M$5,NFI,5,0),1,0)*Table_NFI[[#This Row],[Blanket]],Table_NFI[[#This Row],[Blanket]])</f>
        <v>0</v>
      </c>
      <c r="AE1249" s="352">
        <f>IF(NFI_Expiration=1,IF($A1249&lt;VLOOKUP(N$5,NFI,5,0),1,0)*Table_NFI[[#This Row],[Kitchen Set]],Table_NFI[Kitchen Set])</f>
        <v>0</v>
      </c>
      <c r="AF1249" s="352">
        <f>IF(NFI_Expiration=1,IF($A1249&lt;VLOOKUP(O$5,NFI,5,0),1,0)*Table_NFI[[#This Row],[Clothes Kit]],Table_NFI[Clothes Kit])</f>
        <v>0</v>
      </c>
      <c r="AG1249" s="352">
        <f>IF(NFI_Expiration=1,IF($A1249&lt;VLOOKUP(P$5,NFI,5,0),1,0)*Table_NFI[[#This Row],[Plastic Bucket]],Table_NFI[Plastic Bucket])</f>
        <v>0</v>
      </c>
      <c r="AH1249" s="352">
        <f>IF(NFI_Expiration=1,IF($A1249&lt;VLOOKUP(Q$5,NFI,5,0),1,0)*Table_NFI[[#This Row],[Plastic Mat]],Table_NFI[Plastic Mat])*IF(Table_NFI[[#This Row],[Distribution Date]]&gt;"2014-04-01",1,2.5)</f>
        <v>0</v>
      </c>
      <c r="AI1249" s="352">
        <f>IF(NFI_Expiration=1,IF($A1249&lt;VLOOKUP(R$5,NFI,5,0),1,0)*Table_NFI[[#This Row],[Winter Clothes Adult]],Table_NFI[Winter Clothes Adult])</f>
        <v>0</v>
      </c>
      <c r="AJ1249" s="352">
        <f>IF(NFI_Expiration=1,IF($A1249&lt;VLOOKUP(S$5,NFI,5,0),1,0)*Table_NFI[[#This Row],[Winter Clothes Children]],Table_NFI[Winter Clothes Children])</f>
        <v>0</v>
      </c>
      <c r="AK1249" s="352">
        <f>IF(NFI_Expiration=1,IF($A1249&lt;VLOOKUP(T$5,NFI,5,0),1,0)*Table_NFI[[#This Row],[Winter Items Other]],Table_NFI[Winter Items Other])</f>
        <v>0</v>
      </c>
      <c r="AL1249" s="352">
        <f>IF(NFI_Expiration=1,IF($A1249&lt;VLOOKUP(M$5,NFI,5,0),1,0)*Table_NFI[[#This Row],[Winter Blanket]],Table_NFI[[#This Row],[Winter Blanket]])</f>
        <v>0</v>
      </c>
      <c r="AM1249" s="352">
        <f>IF(Table_NFI[[#This Row],[Winter Clothes Adult]]+Table_NFI[[#This Row],[Winter Clothes Children]]+Table_NFI[[#This Row],[Winter Items Other]]+Table_NFI[[#This Row],[Winter Blanket]]&gt;0,1,0)</f>
        <v>0</v>
      </c>
      <c r="AN1249" s="392">
        <f>IF(NFI_Expiration=1,IF($A1249&lt;VLOOKUP(V$5,NFI,5,0),1,0)*Table_NFI[[#This Row],[Jerry Can]],Table_NFI[Jerry Can])</f>
        <v>0</v>
      </c>
      <c r="AO1249" s="540" t="str">
        <f>IFERROR(VLOOKUP(Table_NFI[[#This Row],[Camp Name]],CL,2,0),"")</f>
        <v/>
      </c>
      <c r="AP1249" s="535" t="str">
        <f ca="1">IF(Table_NFI[[#This Row],[Pcode]]="","",IF(OFFSET(CampList[Opening Date],MATCH(Table_NFI[[#This Row],[Pcode]],CampList[CP_Pcode],0)-1,0,1,1)&gt;=NFI_Monitor_Date,1,0))</f>
        <v/>
      </c>
      <c r="AQ1249" s="540" t="str">
        <f>IFERROR(VLOOKUP(Table_NFI[[#This Row],[Camp Name]],CL,3,0),"")</f>
        <v/>
      </c>
      <c r="AR1249" s="352" t="str">
        <f ca="1">IF(Table_NFI[[#This Row],[Pcode]]="","",OFFSET(CampList[Priority],MATCH(Table_NFI[[#This Row],[Pcode]],CampList[CP_Pcode],0)-1,0,1,1))</f>
        <v/>
      </c>
      <c r="AS1249" s="351" t="str">
        <f>IFERROR(Table_NFI[[#This Row],[Kitchen Set]]/VLOOKUP(Table_NFI[[#This Row],[Camp Name]],CL,4,0),"")</f>
        <v/>
      </c>
      <c r="AT1249" s="538"/>
      <c r="AU1249" s="541"/>
    </row>
    <row r="1250" spans="1:47" ht="14.45" hidden="1" customHeight="1" x14ac:dyDescent="0.25">
      <c r="A1250" s="355" t="str">
        <f t="shared" si="20"/>
        <v/>
      </c>
      <c r="B1250" s="532"/>
      <c r="C1250" s="538"/>
      <c r="D1250" s="538"/>
      <c r="E1250" s="538"/>
      <c r="F1250" s="538"/>
      <c r="G1250" s="538"/>
      <c r="H1250" s="350"/>
      <c r="I1250" s="350"/>
      <c r="J1250" s="350"/>
      <c r="K1250" s="350"/>
      <c r="L1250" s="350"/>
      <c r="M1250" s="350"/>
      <c r="N1250" s="350"/>
      <c r="O1250" s="350"/>
      <c r="P1250" s="352"/>
      <c r="Q1250" s="558"/>
      <c r="R1250" s="558"/>
      <c r="S1250" s="558"/>
      <c r="T1250" s="558"/>
      <c r="U1250" s="558"/>
      <c r="V1250" s="497"/>
      <c r="W1250" s="558"/>
      <c r="X1250" s="558"/>
      <c r="Y1250" s="352">
        <f>IF(NFI_Expiration=1,IF($A1250&lt;VLOOKUP(H$5,NFI,5,0),1,0)*Table_NFI[[#This Row],[Hygiene Kit]],Table_NFI[Hygiene Kit])</f>
        <v>0</v>
      </c>
      <c r="Z1250" s="352">
        <f>IF(NFI_Expiration=1,IF($A1250&lt;VLOOKUP(I$5,NFI,5,0),1,0)*Table_NFI[[#This Row],[NFI Core Kit]],Table_NFI[NFI Core Kit])</f>
        <v>0</v>
      </c>
      <c r="AA1250" s="352">
        <f>IF(NFI_Expiration=1,IF($A1250&lt;VLOOKUP(J$5,NFI,5,0),1,0)*Table_NFI[[#This Row],[Sanitary Kit]],Table_NFI[Sanitary Kit])</f>
        <v>0</v>
      </c>
      <c r="AB1250" s="352">
        <f>IF(NFI_Expiration=1,IF($A1250&lt;VLOOKUP(K$5,NFI,5,0),1,0)*Table_NFI[[#This Row],[Mosquito net]],Table_NFI[Mosquito net])</f>
        <v>0</v>
      </c>
      <c r="AC1250" s="352">
        <f>IF(NFI_Expiration=1,IF($A1250&lt;VLOOKUP(L$5,NFI,5,0),1,0)*Table_NFI[[#This Row],[Tarpaulin]],Table_NFI[[#This Row],[Tarpaulin]])</f>
        <v>0</v>
      </c>
      <c r="AD1250" s="352">
        <f>IF(NFI_Expiration=1,IF($A1250&lt;VLOOKUP(M$5,NFI,5,0),1,0)*Table_NFI[[#This Row],[Blanket]],Table_NFI[[#This Row],[Blanket]])</f>
        <v>0</v>
      </c>
      <c r="AE1250" s="352">
        <f>IF(NFI_Expiration=1,IF($A1250&lt;VLOOKUP(N$5,NFI,5,0),1,0)*Table_NFI[[#This Row],[Kitchen Set]],Table_NFI[Kitchen Set])</f>
        <v>0</v>
      </c>
      <c r="AF1250" s="352">
        <f>IF(NFI_Expiration=1,IF($A1250&lt;VLOOKUP(O$5,NFI,5,0),1,0)*Table_NFI[[#This Row],[Clothes Kit]],Table_NFI[Clothes Kit])</f>
        <v>0</v>
      </c>
      <c r="AG1250" s="352">
        <f>IF(NFI_Expiration=1,IF($A1250&lt;VLOOKUP(P$5,NFI,5,0),1,0)*Table_NFI[[#This Row],[Plastic Bucket]],Table_NFI[Plastic Bucket])</f>
        <v>0</v>
      </c>
      <c r="AH1250" s="352">
        <f>IF(NFI_Expiration=1,IF($A1250&lt;VLOOKUP(Q$5,NFI,5,0),1,0)*Table_NFI[[#This Row],[Plastic Mat]],Table_NFI[Plastic Mat])*IF(Table_NFI[[#This Row],[Distribution Date]]&gt;"2014-04-01",1,2.5)</f>
        <v>0</v>
      </c>
      <c r="AI1250" s="352">
        <f>IF(NFI_Expiration=1,IF($A1250&lt;VLOOKUP(R$5,NFI,5,0),1,0)*Table_NFI[[#This Row],[Winter Clothes Adult]],Table_NFI[Winter Clothes Adult])</f>
        <v>0</v>
      </c>
      <c r="AJ1250" s="352">
        <f>IF(NFI_Expiration=1,IF($A1250&lt;VLOOKUP(S$5,NFI,5,0),1,0)*Table_NFI[[#This Row],[Winter Clothes Children]],Table_NFI[Winter Clothes Children])</f>
        <v>0</v>
      </c>
      <c r="AK1250" s="352">
        <f>IF(NFI_Expiration=1,IF($A1250&lt;VLOOKUP(T$5,NFI,5,0),1,0)*Table_NFI[[#This Row],[Winter Items Other]],Table_NFI[Winter Items Other])</f>
        <v>0</v>
      </c>
      <c r="AL1250" s="352">
        <f>IF(NFI_Expiration=1,IF($A1250&lt;VLOOKUP(M$5,NFI,5,0),1,0)*Table_NFI[[#This Row],[Winter Blanket]],Table_NFI[[#This Row],[Winter Blanket]])</f>
        <v>0</v>
      </c>
      <c r="AM1250" s="352">
        <f>IF(Table_NFI[[#This Row],[Winter Clothes Adult]]+Table_NFI[[#This Row],[Winter Clothes Children]]+Table_NFI[[#This Row],[Winter Items Other]]+Table_NFI[[#This Row],[Winter Blanket]]&gt;0,1,0)</f>
        <v>0</v>
      </c>
      <c r="AN1250" s="392">
        <f>IF(NFI_Expiration=1,IF($A1250&lt;VLOOKUP(V$5,NFI,5,0),1,0)*Table_NFI[[#This Row],[Jerry Can]],Table_NFI[Jerry Can])</f>
        <v>0</v>
      </c>
      <c r="AO1250" s="540" t="str">
        <f>IFERROR(VLOOKUP(Table_NFI[[#This Row],[Camp Name]],CL,2,0),"")</f>
        <v/>
      </c>
      <c r="AP1250" s="535" t="str">
        <f ca="1">IF(Table_NFI[[#This Row],[Pcode]]="","",IF(OFFSET(CampList[Opening Date],MATCH(Table_NFI[[#This Row],[Pcode]],CampList[CP_Pcode],0)-1,0,1,1)&gt;=NFI_Monitor_Date,1,0))</f>
        <v/>
      </c>
      <c r="AQ1250" s="540" t="str">
        <f>IFERROR(VLOOKUP(Table_NFI[[#This Row],[Camp Name]],CL,3,0),"")</f>
        <v/>
      </c>
      <c r="AR1250" s="352" t="str">
        <f ca="1">IF(Table_NFI[[#This Row],[Pcode]]="","",OFFSET(CampList[Priority],MATCH(Table_NFI[[#This Row],[Pcode]],CampList[CP_Pcode],0)-1,0,1,1))</f>
        <v/>
      </c>
      <c r="AS1250" s="351" t="str">
        <f>IFERROR(Table_NFI[[#This Row],[Kitchen Set]]/VLOOKUP(Table_NFI[[#This Row],[Camp Name]],CL,4,0),"")</f>
        <v/>
      </c>
      <c r="AT1250" s="538"/>
      <c r="AU1250" s="541"/>
    </row>
    <row r="1251" spans="1:47" ht="14.45" hidden="1" customHeight="1" x14ac:dyDescent="0.25">
      <c r="A1251" s="355" t="str">
        <f t="shared" si="20"/>
        <v/>
      </c>
      <c r="B1251" s="532"/>
      <c r="C1251" s="538"/>
      <c r="D1251" s="538"/>
      <c r="E1251" s="538"/>
      <c r="F1251" s="538"/>
      <c r="G1251" s="538"/>
      <c r="H1251" s="350"/>
      <c r="I1251" s="350"/>
      <c r="J1251" s="350"/>
      <c r="K1251" s="350"/>
      <c r="L1251" s="350"/>
      <c r="M1251" s="350"/>
      <c r="N1251" s="350"/>
      <c r="O1251" s="350"/>
      <c r="P1251" s="352"/>
      <c r="Q1251" s="558"/>
      <c r="R1251" s="558"/>
      <c r="S1251" s="558"/>
      <c r="T1251" s="558"/>
      <c r="U1251" s="558"/>
      <c r="V1251" s="497"/>
      <c r="W1251" s="558"/>
      <c r="X1251" s="558"/>
      <c r="Y1251" s="352">
        <f>IF(NFI_Expiration=1,IF($A1251&lt;VLOOKUP(H$5,NFI,5,0),1,0)*Table_NFI[[#This Row],[Hygiene Kit]],Table_NFI[Hygiene Kit])</f>
        <v>0</v>
      </c>
      <c r="Z1251" s="352">
        <f>IF(NFI_Expiration=1,IF($A1251&lt;VLOOKUP(I$5,NFI,5,0),1,0)*Table_NFI[[#This Row],[NFI Core Kit]],Table_NFI[NFI Core Kit])</f>
        <v>0</v>
      </c>
      <c r="AA1251" s="352">
        <f>IF(NFI_Expiration=1,IF($A1251&lt;VLOOKUP(J$5,NFI,5,0),1,0)*Table_NFI[[#This Row],[Sanitary Kit]],Table_NFI[Sanitary Kit])</f>
        <v>0</v>
      </c>
      <c r="AB1251" s="352">
        <f>IF(NFI_Expiration=1,IF($A1251&lt;VLOOKUP(K$5,NFI,5,0),1,0)*Table_NFI[[#This Row],[Mosquito net]],Table_NFI[Mosquito net])</f>
        <v>0</v>
      </c>
      <c r="AC1251" s="352">
        <f>IF(NFI_Expiration=1,IF($A1251&lt;VLOOKUP(L$5,NFI,5,0),1,0)*Table_NFI[[#This Row],[Tarpaulin]],Table_NFI[[#This Row],[Tarpaulin]])</f>
        <v>0</v>
      </c>
      <c r="AD1251" s="352">
        <f>IF(NFI_Expiration=1,IF($A1251&lt;VLOOKUP(M$5,NFI,5,0),1,0)*Table_NFI[[#This Row],[Blanket]],Table_NFI[[#This Row],[Blanket]])</f>
        <v>0</v>
      </c>
      <c r="AE1251" s="352">
        <f>IF(NFI_Expiration=1,IF($A1251&lt;VLOOKUP(N$5,NFI,5,0),1,0)*Table_NFI[[#This Row],[Kitchen Set]],Table_NFI[Kitchen Set])</f>
        <v>0</v>
      </c>
      <c r="AF1251" s="352">
        <f>IF(NFI_Expiration=1,IF($A1251&lt;VLOOKUP(O$5,NFI,5,0),1,0)*Table_NFI[[#This Row],[Clothes Kit]],Table_NFI[Clothes Kit])</f>
        <v>0</v>
      </c>
      <c r="AG1251" s="352">
        <f>IF(NFI_Expiration=1,IF($A1251&lt;VLOOKUP(P$5,NFI,5,0),1,0)*Table_NFI[[#This Row],[Plastic Bucket]],Table_NFI[Plastic Bucket])</f>
        <v>0</v>
      </c>
      <c r="AH1251" s="352">
        <f>IF(NFI_Expiration=1,IF($A1251&lt;VLOOKUP(Q$5,NFI,5,0),1,0)*Table_NFI[[#This Row],[Plastic Mat]],Table_NFI[Plastic Mat])*IF(Table_NFI[[#This Row],[Distribution Date]]&gt;"2014-04-01",1,2.5)</f>
        <v>0</v>
      </c>
      <c r="AI1251" s="352">
        <f>IF(NFI_Expiration=1,IF($A1251&lt;VLOOKUP(R$5,NFI,5,0),1,0)*Table_NFI[[#This Row],[Winter Clothes Adult]],Table_NFI[Winter Clothes Adult])</f>
        <v>0</v>
      </c>
      <c r="AJ1251" s="352">
        <f>IF(NFI_Expiration=1,IF($A1251&lt;VLOOKUP(S$5,NFI,5,0),1,0)*Table_NFI[[#This Row],[Winter Clothes Children]],Table_NFI[Winter Clothes Children])</f>
        <v>0</v>
      </c>
      <c r="AK1251" s="352">
        <f>IF(NFI_Expiration=1,IF($A1251&lt;VLOOKUP(T$5,NFI,5,0),1,0)*Table_NFI[[#This Row],[Winter Items Other]],Table_NFI[Winter Items Other])</f>
        <v>0</v>
      </c>
      <c r="AL1251" s="352">
        <f>IF(NFI_Expiration=1,IF($A1251&lt;VLOOKUP(M$5,NFI,5,0),1,0)*Table_NFI[[#This Row],[Winter Blanket]],Table_NFI[[#This Row],[Winter Blanket]])</f>
        <v>0</v>
      </c>
      <c r="AM1251" s="352">
        <f>IF(Table_NFI[[#This Row],[Winter Clothes Adult]]+Table_NFI[[#This Row],[Winter Clothes Children]]+Table_NFI[[#This Row],[Winter Items Other]]+Table_NFI[[#This Row],[Winter Blanket]]&gt;0,1,0)</f>
        <v>0</v>
      </c>
      <c r="AN1251" s="392">
        <f>IF(NFI_Expiration=1,IF($A1251&lt;VLOOKUP(V$5,NFI,5,0),1,0)*Table_NFI[[#This Row],[Jerry Can]],Table_NFI[Jerry Can])</f>
        <v>0</v>
      </c>
      <c r="AO1251" s="540" t="str">
        <f>IFERROR(VLOOKUP(Table_NFI[[#This Row],[Camp Name]],CL,2,0),"")</f>
        <v/>
      </c>
      <c r="AP1251" s="535" t="str">
        <f ca="1">IF(Table_NFI[[#This Row],[Pcode]]="","",IF(OFFSET(CampList[Opening Date],MATCH(Table_NFI[[#This Row],[Pcode]],CampList[CP_Pcode],0)-1,0,1,1)&gt;=NFI_Monitor_Date,1,0))</f>
        <v/>
      </c>
      <c r="AQ1251" s="540" t="str">
        <f>IFERROR(VLOOKUP(Table_NFI[[#This Row],[Camp Name]],CL,3,0),"")</f>
        <v/>
      </c>
      <c r="AR1251" s="352" t="str">
        <f ca="1">IF(Table_NFI[[#This Row],[Pcode]]="","",OFFSET(CampList[Priority],MATCH(Table_NFI[[#This Row],[Pcode]],CampList[CP_Pcode],0)-1,0,1,1))</f>
        <v/>
      </c>
      <c r="AS1251" s="351" t="str">
        <f>IFERROR(Table_NFI[[#This Row],[Kitchen Set]]/VLOOKUP(Table_NFI[[#This Row],[Camp Name]],CL,4,0),"")</f>
        <v/>
      </c>
      <c r="AT1251" s="538"/>
      <c r="AU1251" s="541"/>
    </row>
    <row r="1252" spans="1:47" ht="14.45" hidden="1" customHeight="1" x14ac:dyDescent="0.25">
      <c r="A1252" s="355" t="str">
        <f t="shared" si="20"/>
        <v/>
      </c>
      <c r="B1252" s="532"/>
      <c r="C1252" s="538"/>
      <c r="D1252" s="538"/>
      <c r="E1252" s="538"/>
      <c r="F1252" s="538"/>
      <c r="G1252" s="538"/>
      <c r="H1252" s="350"/>
      <c r="I1252" s="350"/>
      <c r="J1252" s="350"/>
      <c r="K1252" s="350"/>
      <c r="L1252" s="350"/>
      <c r="M1252" s="350"/>
      <c r="N1252" s="350"/>
      <c r="O1252" s="350"/>
      <c r="P1252" s="352"/>
      <c r="Q1252" s="558"/>
      <c r="R1252" s="558"/>
      <c r="S1252" s="558"/>
      <c r="T1252" s="558"/>
      <c r="U1252" s="558"/>
      <c r="V1252" s="497"/>
      <c r="W1252" s="558"/>
      <c r="X1252" s="558"/>
      <c r="Y1252" s="352">
        <f>IF(NFI_Expiration=1,IF($A1252&lt;VLOOKUP(H$5,NFI,5,0),1,0)*Table_NFI[[#This Row],[Hygiene Kit]],Table_NFI[Hygiene Kit])</f>
        <v>0</v>
      </c>
      <c r="Z1252" s="352">
        <f>IF(NFI_Expiration=1,IF($A1252&lt;VLOOKUP(I$5,NFI,5,0),1,0)*Table_NFI[[#This Row],[NFI Core Kit]],Table_NFI[NFI Core Kit])</f>
        <v>0</v>
      </c>
      <c r="AA1252" s="352">
        <f>IF(NFI_Expiration=1,IF($A1252&lt;VLOOKUP(J$5,NFI,5,0),1,0)*Table_NFI[[#This Row],[Sanitary Kit]],Table_NFI[Sanitary Kit])</f>
        <v>0</v>
      </c>
      <c r="AB1252" s="352">
        <f>IF(NFI_Expiration=1,IF($A1252&lt;VLOOKUP(K$5,NFI,5,0),1,0)*Table_NFI[[#This Row],[Mosquito net]],Table_NFI[Mosquito net])</f>
        <v>0</v>
      </c>
      <c r="AC1252" s="352">
        <f>IF(NFI_Expiration=1,IF($A1252&lt;VLOOKUP(L$5,NFI,5,0),1,0)*Table_NFI[[#This Row],[Tarpaulin]],Table_NFI[[#This Row],[Tarpaulin]])</f>
        <v>0</v>
      </c>
      <c r="AD1252" s="352">
        <f>IF(NFI_Expiration=1,IF($A1252&lt;VLOOKUP(M$5,NFI,5,0),1,0)*Table_NFI[[#This Row],[Blanket]],Table_NFI[[#This Row],[Blanket]])</f>
        <v>0</v>
      </c>
      <c r="AE1252" s="352">
        <f>IF(NFI_Expiration=1,IF($A1252&lt;VLOOKUP(N$5,NFI,5,0),1,0)*Table_NFI[[#This Row],[Kitchen Set]],Table_NFI[Kitchen Set])</f>
        <v>0</v>
      </c>
      <c r="AF1252" s="352">
        <f>IF(NFI_Expiration=1,IF($A1252&lt;VLOOKUP(O$5,NFI,5,0),1,0)*Table_NFI[[#This Row],[Clothes Kit]],Table_NFI[Clothes Kit])</f>
        <v>0</v>
      </c>
      <c r="AG1252" s="352">
        <f>IF(NFI_Expiration=1,IF($A1252&lt;VLOOKUP(P$5,NFI,5,0),1,0)*Table_NFI[[#This Row],[Plastic Bucket]],Table_NFI[Plastic Bucket])</f>
        <v>0</v>
      </c>
      <c r="AH1252" s="352">
        <f>IF(NFI_Expiration=1,IF($A1252&lt;VLOOKUP(Q$5,NFI,5,0),1,0)*Table_NFI[[#This Row],[Plastic Mat]],Table_NFI[Plastic Mat])*IF(Table_NFI[[#This Row],[Distribution Date]]&gt;"2014-04-01",1,2.5)</f>
        <v>0</v>
      </c>
      <c r="AI1252" s="352">
        <f>IF(NFI_Expiration=1,IF($A1252&lt;VLOOKUP(R$5,NFI,5,0),1,0)*Table_NFI[[#This Row],[Winter Clothes Adult]],Table_NFI[Winter Clothes Adult])</f>
        <v>0</v>
      </c>
      <c r="AJ1252" s="352">
        <f>IF(NFI_Expiration=1,IF($A1252&lt;VLOOKUP(S$5,NFI,5,0),1,0)*Table_NFI[[#This Row],[Winter Clothes Children]],Table_NFI[Winter Clothes Children])</f>
        <v>0</v>
      </c>
      <c r="AK1252" s="352">
        <f>IF(NFI_Expiration=1,IF($A1252&lt;VLOOKUP(T$5,NFI,5,0),1,0)*Table_NFI[[#This Row],[Winter Items Other]],Table_NFI[Winter Items Other])</f>
        <v>0</v>
      </c>
      <c r="AL1252" s="352">
        <f>IF(NFI_Expiration=1,IF($A1252&lt;VLOOKUP(M$5,NFI,5,0),1,0)*Table_NFI[[#This Row],[Winter Blanket]],Table_NFI[[#This Row],[Winter Blanket]])</f>
        <v>0</v>
      </c>
      <c r="AM1252" s="352">
        <f>IF(Table_NFI[[#This Row],[Winter Clothes Adult]]+Table_NFI[[#This Row],[Winter Clothes Children]]+Table_NFI[[#This Row],[Winter Items Other]]+Table_NFI[[#This Row],[Winter Blanket]]&gt;0,1,0)</f>
        <v>0</v>
      </c>
      <c r="AN1252" s="392">
        <f>IF(NFI_Expiration=1,IF($A1252&lt;VLOOKUP(V$5,NFI,5,0),1,0)*Table_NFI[[#This Row],[Jerry Can]],Table_NFI[Jerry Can])</f>
        <v>0</v>
      </c>
      <c r="AO1252" s="540" t="str">
        <f>IFERROR(VLOOKUP(Table_NFI[[#This Row],[Camp Name]],CL,2,0),"")</f>
        <v/>
      </c>
      <c r="AP1252" s="535" t="str">
        <f ca="1">IF(Table_NFI[[#This Row],[Pcode]]="","",IF(OFFSET(CampList[Opening Date],MATCH(Table_NFI[[#This Row],[Pcode]],CampList[CP_Pcode],0)-1,0,1,1)&gt;=NFI_Monitor_Date,1,0))</f>
        <v/>
      </c>
      <c r="AQ1252" s="540" t="str">
        <f>IFERROR(VLOOKUP(Table_NFI[[#This Row],[Camp Name]],CL,3,0),"")</f>
        <v/>
      </c>
      <c r="AR1252" s="352" t="str">
        <f ca="1">IF(Table_NFI[[#This Row],[Pcode]]="","",OFFSET(CampList[Priority],MATCH(Table_NFI[[#This Row],[Pcode]],CampList[CP_Pcode],0)-1,0,1,1))</f>
        <v/>
      </c>
      <c r="AS1252" s="351" t="str">
        <f>IFERROR(Table_NFI[[#This Row],[Kitchen Set]]/VLOOKUP(Table_NFI[[#This Row],[Camp Name]],CL,4,0),"")</f>
        <v/>
      </c>
      <c r="AT1252" s="538"/>
      <c r="AU1252" s="541"/>
    </row>
    <row r="1253" spans="1:47" ht="14.45" hidden="1" customHeight="1" x14ac:dyDescent="0.25">
      <c r="A1253" s="355" t="str">
        <f t="shared" si="20"/>
        <v/>
      </c>
      <c r="B1253" s="532"/>
      <c r="C1253" s="538"/>
      <c r="D1253" s="538"/>
      <c r="E1253" s="538"/>
      <c r="F1253" s="538"/>
      <c r="G1253" s="538"/>
      <c r="H1253" s="350"/>
      <c r="I1253" s="350"/>
      <c r="J1253" s="350"/>
      <c r="K1253" s="350"/>
      <c r="L1253" s="350"/>
      <c r="M1253" s="350"/>
      <c r="N1253" s="350"/>
      <c r="O1253" s="350"/>
      <c r="P1253" s="352"/>
      <c r="Q1253" s="558"/>
      <c r="R1253" s="558"/>
      <c r="S1253" s="558"/>
      <c r="T1253" s="558"/>
      <c r="U1253" s="558"/>
      <c r="V1253" s="497"/>
      <c r="W1253" s="558"/>
      <c r="X1253" s="558"/>
      <c r="Y1253" s="352">
        <f>IF(NFI_Expiration=1,IF($A1253&lt;VLOOKUP(H$5,NFI,5,0),1,0)*Table_NFI[[#This Row],[Hygiene Kit]],Table_NFI[Hygiene Kit])</f>
        <v>0</v>
      </c>
      <c r="Z1253" s="352">
        <f>IF(NFI_Expiration=1,IF($A1253&lt;VLOOKUP(I$5,NFI,5,0),1,0)*Table_NFI[[#This Row],[NFI Core Kit]],Table_NFI[NFI Core Kit])</f>
        <v>0</v>
      </c>
      <c r="AA1253" s="352">
        <f>IF(NFI_Expiration=1,IF($A1253&lt;VLOOKUP(J$5,NFI,5,0),1,0)*Table_NFI[[#This Row],[Sanitary Kit]],Table_NFI[Sanitary Kit])</f>
        <v>0</v>
      </c>
      <c r="AB1253" s="352">
        <f>IF(NFI_Expiration=1,IF($A1253&lt;VLOOKUP(K$5,NFI,5,0),1,0)*Table_NFI[[#This Row],[Mosquito net]],Table_NFI[Mosquito net])</f>
        <v>0</v>
      </c>
      <c r="AC1253" s="352">
        <f>IF(NFI_Expiration=1,IF($A1253&lt;VLOOKUP(L$5,NFI,5,0),1,0)*Table_NFI[[#This Row],[Tarpaulin]],Table_NFI[[#This Row],[Tarpaulin]])</f>
        <v>0</v>
      </c>
      <c r="AD1253" s="352">
        <f>IF(NFI_Expiration=1,IF($A1253&lt;VLOOKUP(M$5,NFI,5,0),1,0)*Table_NFI[[#This Row],[Blanket]],Table_NFI[[#This Row],[Blanket]])</f>
        <v>0</v>
      </c>
      <c r="AE1253" s="352">
        <f>IF(NFI_Expiration=1,IF($A1253&lt;VLOOKUP(N$5,NFI,5,0),1,0)*Table_NFI[[#This Row],[Kitchen Set]],Table_NFI[Kitchen Set])</f>
        <v>0</v>
      </c>
      <c r="AF1253" s="352">
        <f>IF(NFI_Expiration=1,IF($A1253&lt;VLOOKUP(O$5,NFI,5,0),1,0)*Table_NFI[[#This Row],[Clothes Kit]],Table_NFI[Clothes Kit])</f>
        <v>0</v>
      </c>
      <c r="AG1253" s="352">
        <f>IF(NFI_Expiration=1,IF($A1253&lt;VLOOKUP(P$5,NFI,5,0),1,0)*Table_NFI[[#This Row],[Plastic Bucket]],Table_NFI[Plastic Bucket])</f>
        <v>0</v>
      </c>
      <c r="AH1253" s="352">
        <f>IF(NFI_Expiration=1,IF($A1253&lt;VLOOKUP(Q$5,NFI,5,0),1,0)*Table_NFI[[#This Row],[Plastic Mat]],Table_NFI[Plastic Mat])*IF(Table_NFI[[#This Row],[Distribution Date]]&gt;"2014-04-01",1,2.5)</f>
        <v>0</v>
      </c>
      <c r="AI1253" s="352">
        <f>IF(NFI_Expiration=1,IF($A1253&lt;VLOOKUP(R$5,NFI,5,0),1,0)*Table_NFI[[#This Row],[Winter Clothes Adult]],Table_NFI[Winter Clothes Adult])</f>
        <v>0</v>
      </c>
      <c r="AJ1253" s="352">
        <f>IF(NFI_Expiration=1,IF($A1253&lt;VLOOKUP(S$5,NFI,5,0),1,0)*Table_NFI[[#This Row],[Winter Clothes Children]],Table_NFI[Winter Clothes Children])</f>
        <v>0</v>
      </c>
      <c r="AK1253" s="352">
        <f>IF(NFI_Expiration=1,IF($A1253&lt;VLOOKUP(T$5,NFI,5,0),1,0)*Table_NFI[[#This Row],[Winter Items Other]],Table_NFI[Winter Items Other])</f>
        <v>0</v>
      </c>
      <c r="AL1253" s="352">
        <f>IF(NFI_Expiration=1,IF($A1253&lt;VLOOKUP(M$5,NFI,5,0),1,0)*Table_NFI[[#This Row],[Winter Blanket]],Table_NFI[[#This Row],[Winter Blanket]])</f>
        <v>0</v>
      </c>
      <c r="AM1253" s="352">
        <f>IF(Table_NFI[[#This Row],[Winter Clothes Adult]]+Table_NFI[[#This Row],[Winter Clothes Children]]+Table_NFI[[#This Row],[Winter Items Other]]+Table_NFI[[#This Row],[Winter Blanket]]&gt;0,1,0)</f>
        <v>0</v>
      </c>
      <c r="AN1253" s="392">
        <f>IF(NFI_Expiration=1,IF($A1253&lt;VLOOKUP(V$5,NFI,5,0),1,0)*Table_NFI[[#This Row],[Jerry Can]],Table_NFI[Jerry Can])</f>
        <v>0</v>
      </c>
      <c r="AO1253" s="540" t="str">
        <f>IFERROR(VLOOKUP(Table_NFI[[#This Row],[Camp Name]],CL,2,0),"")</f>
        <v/>
      </c>
      <c r="AP1253" s="535" t="str">
        <f ca="1">IF(Table_NFI[[#This Row],[Pcode]]="","",IF(OFFSET(CampList[Opening Date],MATCH(Table_NFI[[#This Row],[Pcode]],CampList[CP_Pcode],0)-1,0,1,1)&gt;=NFI_Monitor_Date,1,0))</f>
        <v/>
      </c>
      <c r="AQ1253" s="540" t="str">
        <f>IFERROR(VLOOKUP(Table_NFI[[#This Row],[Camp Name]],CL,3,0),"")</f>
        <v/>
      </c>
      <c r="AR1253" s="352" t="str">
        <f ca="1">IF(Table_NFI[[#This Row],[Pcode]]="","",OFFSET(CampList[Priority],MATCH(Table_NFI[[#This Row],[Pcode]],CampList[CP_Pcode],0)-1,0,1,1))</f>
        <v/>
      </c>
      <c r="AS1253" s="351" t="str">
        <f>IFERROR(Table_NFI[[#This Row],[Kitchen Set]]/VLOOKUP(Table_NFI[[#This Row],[Camp Name]],CL,4,0),"")</f>
        <v/>
      </c>
      <c r="AT1253" s="538"/>
      <c r="AU1253" s="541"/>
    </row>
    <row r="1254" spans="1:47" ht="14.45" hidden="1" customHeight="1" x14ac:dyDescent="0.25">
      <c r="A1254" s="355" t="str">
        <f t="shared" si="20"/>
        <v/>
      </c>
      <c r="B1254" s="532"/>
      <c r="C1254" s="538"/>
      <c r="D1254" s="538"/>
      <c r="E1254" s="538"/>
      <c r="F1254" s="538"/>
      <c r="G1254" s="538"/>
      <c r="H1254" s="350"/>
      <c r="I1254" s="350"/>
      <c r="J1254" s="350"/>
      <c r="K1254" s="350"/>
      <c r="L1254" s="350"/>
      <c r="M1254" s="350"/>
      <c r="N1254" s="350"/>
      <c r="O1254" s="350"/>
      <c r="P1254" s="352"/>
      <c r="Q1254" s="558"/>
      <c r="R1254" s="558"/>
      <c r="S1254" s="558"/>
      <c r="T1254" s="558"/>
      <c r="U1254" s="558"/>
      <c r="V1254" s="497"/>
      <c r="W1254" s="558"/>
      <c r="X1254" s="558"/>
      <c r="Y1254" s="352">
        <f>IF(NFI_Expiration=1,IF($A1254&lt;VLOOKUP(H$5,NFI,5,0),1,0)*Table_NFI[[#This Row],[Hygiene Kit]],Table_NFI[Hygiene Kit])</f>
        <v>0</v>
      </c>
      <c r="Z1254" s="352">
        <f>IF(NFI_Expiration=1,IF($A1254&lt;VLOOKUP(I$5,NFI,5,0),1,0)*Table_NFI[[#This Row],[NFI Core Kit]],Table_NFI[NFI Core Kit])</f>
        <v>0</v>
      </c>
      <c r="AA1254" s="352">
        <f>IF(NFI_Expiration=1,IF($A1254&lt;VLOOKUP(J$5,NFI,5,0),1,0)*Table_NFI[[#This Row],[Sanitary Kit]],Table_NFI[Sanitary Kit])</f>
        <v>0</v>
      </c>
      <c r="AB1254" s="352">
        <f>IF(NFI_Expiration=1,IF($A1254&lt;VLOOKUP(K$5,NFI,5,0),1,0)*Table_NFI[[#This Row],[Mosquito net]],Table_NFI[Mosquito net])</f>
        <v>0</v>
      </c>
      <c r="AC1254" s="352">
        <f>IF(NFI_Expiration=1,IF($A1254&lt;VLOOKUP(L$5,NFI,5,0),1,0)*Table_NFI[[#This Row],[Tarpaulin]],Table_NFI[[#This Row],[Tarpaulin]])</f>
        <v>0</v>
      </c>
      <c r="AD1254" s="352">
        <f>IF(NFI_Expiration=1,IF($A1254&lt;VLOOKUP(M$5,NFI,5,0),1,0)*Table_NFI[[#This Row],[Blanket]],Table_NFI[[#This Row],[Blanket]])</f>
        <v>0</v>
      </c>
      <c r="AE1254" s="352">
        <f>IF(NFI_Expiration=1,IF($A1254&lt;VLOOKUP(N$5,NFI,5,0),1,0)*Table_NFI[[#This Row],[Kitchen Set]],Table_NFI[Kitchen Set])</f>
        <v>0</v>
      </c>
      <c r="AF1254" s="352">
        <f>IF(NFI_Expiration=1,IF($A1254&lt;VLOOKUP(O$5,NFI,5,0),1,0)*Table_NFI[[#This Row],[Clothes Kit]],Table_NFI[Clothes Kit])</f>
        <v>0</v>
      </c>
      <c r="AG1254" s="352">
        <f>IF(NFI_Expiration=1,IF($A1254&lt;VLOOKUP(P$5,NFI,5,0),1,0)*Table_NFI[[#This Row],[Plastic Bucket]],Table_NFI[Plastic Bucket])</f>
        <v>0</v>
      </c>
      <c r="AH1254" s="352">
        <f>IF(NFI_Expiration=1,IF($A1254&lt;VLOOKUP(Q$5,NFI,5,0),1,0)*Table_NFI[[#This Row],[Plastic Mat]],Table_NFI[Plastic Mat])*IF(Table_NFI[[#This Row],[Distribution Date]]&gt;"2014-04-01",1,2.5)</f>
        <v>0</v>
      </c>
      <c r="AI1254" s="352">
        <f>IF(NFI_Expiration=1,IF($A1254&lt;VLOOKUP(R$5,NFI,5,0),1,0)*Table_NFI[[#This Row],[Winter Clothes Adult]],Table_NFI[Winter Clothes Adult])</f>
        <v>0</v>
      </c>
      <c r="AJ1254" s="352">
        <f>IF(NFI_Expiration=1,IF($A1254&lt;VLOOKUP(S$5,NFI,5,0),1,0)*Table_NFI[[#This Row],[Winter Clothes Children]],Table_NFI[Winter Clothes Children])</f>
        <v>0</v>
      </c>
      <c r="AK1254" s="352">
        <f>IF(NFI_Expiration=1,IF($A1254&lt;VLOOKUP(T$5,NFI,5,0),1,0)*Table_NFI[[#This Row],[Winter Items Other]],Table_NFI[Winter Items Other])</f>
        <v>0</v>
      </c>
      <c r="AL1254" s="352">
        <f>IF(NFI_Expiration=1,IF($A1254&lt;VLOOKUP(M$5,NFI,5,0),1,0)*Table_NFI[[#This Row],[Winter Blanket]],Table_NFI[[#This Row],[Winter Blanket]])</f>
        <v>0</v>
      </c>
      <c r="AM1254" s="352">
        <f>IF(Table_NFI[[#This Row],[Winter Clothes Adult]]+Table_NFI[[#This Row],[Winter Clothes Children]]+Table_NFI[[#This Row],[Winter Items Other]]+Table_NFI[[#This Row],[Winter Blanket]]&gt;0,1,0)</f>
        <v>0</v>
      </c>
      <c r="AN1254" s="392">
        <f>IF(NFI_Expiration=1,IF($A1254&lt;VLOOKUP(V$5,NFI,5,0),1,0)*Table_NFI[[#This Row],[Jerry Can]],Table_NFI[Jerry Can])</f>
        <v>0</v>
      </c>
      <c r="AO1254" s="540" t="str">
        <f>IFERROR(VLOOKUP(Table_NFI[[#This Row],[Camp Name]],CL,2,0),"")</f>
        <v/>
      </c>
      <c r="AP1254" s="535" t="str">
        <f ca="1">IF(Table_NFI[[#This Row],[Pcode]]="","",IF(OFFSET(CampList[Opening Date],MATCH(Table_NFI[[#This Row],[Pcode]],CampList[CP_Pcode],0)-1,0,1,1)&gt;=NFI_Monitor_Date,1,0))</f>
        <v/>
      </c>
      <c r="AQ1254" s="540" t="str">
        <f>IFERROR(VLOOKUP(Table_NFI[[#This Row],[Camp Name]],CL,3,0),"")</f>
        <v/>
      </c>
      <c r="AR1254" s="352" t="str">
        <f ca="1">IF(Table_NFI[[#This Row],[Pcode]]="","",OFFSET(CampList[Priority],MATCH(Table_NFI[[#This Row],[Pcode]],CampList[CP_Pcode],0)-1,0,1,1))</f>
        <v/>
      </c>
      <c r="AS1254" s="351" t="str">
        <f>IFERROR(Table_NFI[[#This Row],[Kitchen Set]]/VLOOKUP(Table_NFI[[#This Row],[Camp Name]],CL,4,0),"")</f>
        <v/>
      </c>
      <c r="AT1254" s="538"/>
      <c r="AU1254" s="541"/>
    </row>
    <row r="1255" spans="1:47" ht="14.45" hidden="1" customHeight="1" x14ac:dyDescent="0.25">
      <c r="A1255" s="355" t="str">
        <f t="shared" si="20"/>
        <v/>
      </c>
      <c r="B1255" s="532"/>
      <c r="C1255" s="538"/>
      <c r="D1255" s="538"/>
      <c r="E1255" s="538"/>
      <c r="F1255" s="538"/>
      <c r="G1255" s="538"/>
      <c r="H1255" s="350"/>
      <c r="I1255" s="350"/>
      <c r="J1255" s="350"/>
      <c r="K1255" s="350"/>
      <c r="L1255" s="350"/>
      <c r="M1255" s="350"/>
      <c r="N1255" s="350"/>
      <c r="O1255" s="350"/>
      <c r="P1255" s="352"/>
      <c r="Q1255" s="558"/>
      <c r="R1255" s="558"/>
      <c r="S1255" s="558"/>
      <c r="T1255" s="558"/>
      <c r="U1255" s="558"/>
      <c r="V1255" s="497"/>
      <c r="W1255" s="558"/>
      <c r="X1255" s="558"/>
      <c r="Y1255" s="352">
        <f>IF(NFI_Expiration=1,IF($A1255&lt;VLOOKUP(H$5,NFI,5,0),1,0)*Table_NFI[[#This Row],[Hygiene Kit]],Table_NFI[Hygiene Kit])</f>
        <v>0</v>
      </c>
      <c r="Z1255" s="352">
        <f>IF(NFI_Expiration=1,IF($A1255&lt;VLOOKUP(I$5,NFI,5,0),1,0)*Table_NFI[[#This Row],[NFI Core Kit]],Table_NFI[NFI Core Kit])</f>
        <v>0</v>
      </c>
      <c r="AA1255" s="352">
        <f>IF(NFI_Expiration=1,IF($A1255&lt;VLOOKUP(J$5,NFI,5,0),1,0)*Table_NFI[[#This Row],[Sanitary Kit]],Table_NFI[Sanitary Kit])</f>
        <v>0</v>
      </c>
      <c r="AB1255" s="352">
        <f>IF(NFI_Expiration=1,IF($A1255&lt;VLOOKUP(K$5,NFI,5,0),1,0)*Table_NFI[[#This Row],[Mosquito net]],Table_NFI[Mosquito net])</f>
        <v>0</v>
      </c>
      <c r="AC1255" s="352">
        <f>IF(NFI_Expiration=1,IF($A1255&lt;VLOOKUP(L$5,NFI,5,0),1,0)*Table_NFI[[#This Row],[Tarpaulin]],Table_NFI[[#This Row],[Tarpaulin]])</f>
        <v>0</v>
      </c>
      <c r="AD1255" s="352">
        <f>IF(NFI_Expiration=1,IF($A1255&lt;VLOOKUP(M$5,NFI,5,0),1,0)*Table_NFI[[#This Row],[Blanket]],Table_NFI[[#This Row],[Blanket]])</f>
        <v>0</v>
      </c>
      <c r="AE1255" s="352">
        <f>IF(NFI_Expiration=1,IF($A1255&lt;VLOOKUP(N$5,NFI,5,0),1,0)*Table_NFI[[#This Row],[Kitchen Set]],Table_NFI[Kitchen Set])</f>
        <v>0</v>
      </c>
      <c r="AF1255" s="352">
        <f>IF(NFI_Expiration=1,IF($A1255&lt;VLOOKUP(O$5,NFI,5,0),1,0)*Table_NFI[[#This Row],[Clothes Kit]],Table_NFI[Clothes Kit])</f>
        <v>0</v>
      </c>
      <c r="AG1255" s="352">
        <f>IF(NFI_Expiration=1,IF($A1255&lt;VLOOKUP(P$5,NFI,5,0),1,0)*Table_NFI[[#This Row],[Plastic Bucket]],Table_NFI[Plastic Bucket])</f>
        <v>0</v>
      </c>
      <c r="AH1255" s="352">
        <f>IF(NFI_Expiration=1,IF($A1255&lt;VLOOKUP(Q$5,NFI,5,0),1,0)*Table_NFI[[#This Row],[Plastic Mat]],Table_NFI[Plastic Mat])*IF(Table_NFI[[#This Row],[Distribution Date]]&gt;"2014-04-01",1,2.5)</f>
        <v>0</v>
      </c>
      <c r="AI1255" s="352">
        <f>IF(NFI_Expiration=1,IF($A1255&lt;VLOOKUP(R$5,NFI,5,0),1,0)*Table_NFI[[#This Row],[Winter Clothes Adult]],Table_NFI[Winter Clothes Adult])</f>
        <v>0</v>
      </c>
      <c r="AJ1255" s="352">
        <f>IF(NFI_Expiration=1,IF($A1255&lt;VLOOKUP(S$5,NFI,5,0),1,0)*Table_NFI[[#This Row],[Winter Clothes Children]],Table_NFI[Winter Clothes Children])</f>
        <v>0</v>
      </c>
      <c r="AK1255" s="352">
        <f>IF(NFI_Expiration=1,IF($A1255&lt;VLOOKUP(T$5,NFI,5,0),1,0)*Table_NFI[[#This Row],[Winter Items Other]],Table_NFI[Winter Items Other])</f>
        <v>0</v>
      </c>
      <c r="AL1255" s="352">
        <f>IF(NFI_Expiration=1,IF($A1255&lt;VLOOKUP(M$5,NFI,5,0),1,0)*Table_NFI[[#This Row],[Winter Blanket]],Table_NFI[[#This Row],[Winter Blanket]])</f>
        <v>0</v>
      </c>
      <c r="AM1255" s="352">
        <f>IF(Table_NFI[[#This Row],[Winter Clothes Adult]]+Table_NFI[[#This Row],[Winter Clothes Children]]+Table_NFI[[#This Row],[Winter Items Other]]+Table_NFI[[#This Row],[Winter Blanket]]&gt;0,1,0)</f>
        <v>0</v>
      </c>
      <c r="AN1255" s="392">
        <f>IF(NFI_Expiration=1,IF($A1255&lt;VLOOKUP(V$5,NFI,5,0),1,0)*Table_NFI[[#This Row],[Jerry Can]],Table_NFI[Jerry Can])</f>
        <v>0</v>
      </c>
      <c r="AO1255" s="540" t="str">
        <f>IFERROR(VLOOKUP(Table_NFI[[#This Row],[Camp Name]],CL,2,0),"")</f>
        <v/>
      </c>
      <c r="AP1255" s="535" t="str">
        <f ca="1">IF(Table_NFI[[#This Row],[Pcode]]="","",IF(OFFSET(CampList[Opening Date],MATCH(Table_NFI[[#This Row],[Pcode]],CampList[CP_Pcode],0)-1,0,1,1)&gt;=NFI_Monitor_Date,1,0))</f>
        <v/>
      </c>
      <c r="AQ1255" s="540" t="str">
        <f>IFERROR(VLOOKUP(Table_NFI[[#This Row],[Camp Name]],CL,3,0),"")</f>
        <v/>
      </c>
      <c r="AR1255" s="352" t="str">
        <f ca="1">IF(Table_NFI[[#This Row],[Pcode]]="","",OFFSET(CampList[Priority],MATCH(Table_NFI[[#This Row],[Pcode]],CampList[CP_Pcode],0)-1,0,1,1))</f>
        <v/>
      </c>
      <c r="AS1255" s="351" t="str">
        <f>IFERROR(Table_NFI[[#This Row],[Kitchen Set]]/VLOOKUP(Table_NFI[[#This Row],[Camp Name]],CL,4,0),"")</f>
        <v/>
      </c>
      <c r="AT1255" s="538"/>
      <c r="AU1255" s="541"/>
    </row>
    <row r="1256" spans="1:47" ht="14.45" hidden="1" customHeight="1" x14ac:dyDescent="0.25">
      <c r="A1256" s="355" t="str">
        <f t="shared" si="20"/>
        <v/>
      </c>
      <c r="B1256" s="532"/>
      <c r="C1256" s="538"/>
      <c r="D1256" s="538"/>
      <c r="E1256" s="538"/>
      <c r="F1256" s="538"/>
      <c r="G1256" s="538"/>
      <c r="H1256" s="350"/>
      <c r="I1256" s="350"/>
      <c r="J1256" s="350"/>
      <c r="K1256" s="350"/>
      <c r="L1256" s="350"/>
      <c r="M1256" s="350"/>
      <c r="N1256" s="350"/>
      <c r="O1256" s="350"/>
      <c r="P1256" s="352"/>
      <c r="Q1256" s="558"/>
      <c r="R1256" s="558"/>
      <c r="S1256" s="558"/>
      <c r="T1256" s="558"/>
      <c r="U1256" s="558"/>
      <c r="V1256" s="497"/>
      <c r="W1256" s="558"/>
      <c r="X1256" s="558"/>
      <c r="Y1256" s="352">
        <f>IF(NFI_Expiration=1,IF($A1256&lt;VLOOKUP(H$5,NFI,5,0),1,0)*Table_NFI[[#This Row],[Hygiene Kit]],Table_NFI[Hygiene Kit])</f>
        <v>0</v>
      </c>
      <c r="Z1256" s="352">
        <f>IF(NFI_Expiration=1,IF($A1256&lt;VLOOKUP(I$5,NFI,5,0),1,0)*Table_NFI[[#This Row],[NFI Core Kit]],Table_NFI[NFI Core Kit])</f>
        <v>0</v>
      </c>
      <c r="AA1256" s="352">
        <f>IF(NFI_Expiration=1,IF($A1256&lt;VLOOKUP(J$5,NFI,5,0),1,0)*Table_NFI[[#This Row],[Sanitary Kit]],Table_NFI[Sanitary Kit])</f>
        <v>0</v>
      </c>
      <c r="AB1256" s="352">
        <f>IF(NFI_Expiration=1,IF($A1256&lt;VLOOKUP(K$5,NFI,5,0),1,0)*Table_NFI[[#This Row],[Mosquito net]],Table_NFI[Mosquito net])</f>
        <v>0</v>
      </c>
      <c r="AC1256" s="352">
        <f>IF(NFI_Expiration=1,IF($A1256&lt;VLOOKUP(L$5,NFI,5,0),1,0)*Table_NFI[[#This Row],[Tarpaulin]],Table_NFI[[#This Row],[Tarpaulin]])</f>
        <v>0</v>
      </c>
      <c r="AD1256" s="352">
        <f>IF(NFI_Expiration=1,IF($A1256&lt;VLOOKUP(M$5,NFI,5,0),1,0)*Table_NFI[[#This Row],[Blanket]],Table_NFI[[#This Row],[Blanket]])</f>
        <v>0</v>
      </c>
      <c r="AE1256" s="352">
        <f>IF(NFI_Expiration=1,IF($A1256&lt;VLOOKUP(N$5,NFI,5,0),1,0)*Table_NFI[[#This Row],[Kitchen Set]],Table_NFI[Kitchen Set])</f>
        <v>0</v>
      </c>
      <c r="AF1256" s="352">
        <f>IF(NFI_Expiration=1,IF($A1256&lt;VLOOKUP(O$5,NFI,5,0),1,0)*Table_NFI[[#This Row],[Clothes Kit]],Table_NFI[Clothes Kit])</f>
        <v>0</v>
      </c>
      <c r="AG1256" s="352">
        <f>IF(NFI_Expiration=1,IF($A1256&lt;VLOOKUP(P$5,NFI,5,0),1,0)*Table_NFI[[#This Row],[Plastic Bucket]],Table_NFI[Plastic Bucket])</f>
        <v>0</v>
      </c>
      <c r="AH1256" s="352">
        <f>IF(NFI_Expiration=1,IF($A1256&lt;VLOOKUP(Q$5,NFI,5,0),1,0)*Table_NFI[[#This Row],[Plastic Mat]],Table_NFI[Plastic Mat])*IF(Table_NFI[[#This Row],[Distribution Date]]&gt;"2014-04-01",1,2.5)</f>
        <v>0</v>
      </c>
      <c r="AI1256" s="352">
        <f>IF(NFI_Expiration=1,IF($A1256&lt;VLOOKUP(R$5,NFI,5,0),1,0)*Table_NFI[[#This Row],[Winter Clothes Adult]],Table_NFI[Winter Clothes Adult])</f>
        <v>0</v>
      </c>
      <c r="AJ1256" s="352">
        <f>IF(NFI_Expiration=1,IF($A1256&lt;VLOOKUP(S$5,NFI,5,0),1,0)*Table_NFI[[#This Row],[Winter Clothes Children]],Table_NFI[Winter Clothes Children])</f>
        <v>0</v>
      </c>
      <c r="AK1256" s="352">
        <f>IF(NFI_Expiration=1,IF($A1256&lt;VLOOKUP(T$5,NFI,5,0),1,0)*Table_NFI[[#This Row],[Winter Items Other]],Table_NFI[Winter Items Other])</f>
        <v>0</v>
      </c>
      <c r="AL1256" s="352">
        <f>IF(NFI_Expiration=1,IF($A1256&lt;VLOOKUP(M$5,NFI,5,0),1,0)*Table_NFI[[#This Row],[Winter Blanket]],Table_NFI[[#This Row],[Winter Blanket]])</f>
        <v>0</v>
      </c>
      <c r="AM1256" s="352">
        <f>IF(Table_NFI[[#This Row],[Winter Clothes Adult]]+Table_NFI[[#This Row],[Winter Clothes Children]]+Table_NFI[[#This Row],[Winter Items Other]]+Table_NFI[[#This Row],[Winter Blanket]]&gt;0,1,0)</f>
        <v>0</v>
      </c>
      <c r="AN1256" s="392">
        <f>IF(NFI_Expiration=1,IF($A1256&lt;VLOOKUP(V$5,NFI,5,0),1,0)*Table_NFI[[#This Row],[Jerry Can]],Table_NFI[Jerry Can])</f>
        <v>0</v>
      </c>
      <c r="AO1256" s="540" t="str">
        <f>IFERROR(VLOOKUP(Table_NFI[[#This Row],[Camp Name]],CL,2,0),"")</f>
        <v/>
      </c>
      <c r="AP1256" s="535" t="str">
        <f ca="1">IF(Table_NFI[[#This Row],[Pcode]]="","",IF(OFFSET(CampList[Opening Date],MATCH(Table_NFI[[#This Row],[Pcode]],CampList[CP_Pcode],0)-1,0,1,1)&gt;=NFI_Monitor_Date,1,0))</f>
        <v/>
      </c>
      <c r="AQ1256" s="540" t="str">
        <f>IFERROR(VLOOKUP(Table_NFI[[#This Row],[Camp Name]],CL,3,0),"")</f>
        <v/>
      </c>
      <c r="AR1256" s="352" t="str">
        <f ca="1">IF(Table_NFI[[#This Row],[Pcode]]="","",OFFSET(CampList[Priority],MATCH(Table_NFI[[#This Row],[Pcode]],CampList[CP_Pcode],0)-1,0,1,1))</f>
        <v/>
      </c>
      <c r="AS1256" s="351" t="str">
        <f>IFERROR(Table_NFI[[#This Row],[Kitchen Set]]/VLOOKUP(Table_NFI[[#This Row],[Camp Name]],CL,4,0),"")</f>
        <v/>
      </c>
      <c r="AT1256" s="538"/>
      <c r="AU1256" s="541"/>
    </row>
    <row r="1257" spans="1:47" ht="14.45" hidden="1" customHeight="1" x14ac:dyDescent="0.25">
      <c r="A1257" s="355" t="str">
        <f t="shared" si="20"/>
        <v/>
      </c>
      <c r="B1257" s="532"/>
      <c r="C1257" s="538"/>
      <c r="D1257" s="538"/>
      <c r="E1257" s="538"/>
      <c r="F1257" s="538"/>
      <c r="G1257" s="538"/>
      <c r="H1257" s="350"/>
      <c r="I1257" s="350"/>
      <c r="J1257" s="350"/>
      <c r="K1257" s="350"/>
      <c r="L1257" s="350"/>
      <c r="M1257" s="350"/>
      <c r="N1257" s="350"/>
      <c r="O1257" s="350"/>
      <c r="P1257" s="352"/>
      <c r="Q1257" s="558"/>
      <c r="R1257" s="558"/>
      <c r="S1257" s="558"/>
      <c r="T1257" s="558"/>
      <c r="U1257" s="558"/>
      <c r="V1257" s="497"/>
      <c r="W1257" s="558"/>
      <c r="X1257" s="558"/>
      <c r="Y1257" s="352">
        <f>IF(NFI_Expiration=1,IF($A1257&lt;VLOOKUP(H$5,NFI,5,0),1,0)*Table_NFI[[#This Row],[Hygiene Kit]],Table_NFI[Hygiene Kit])</f>
        <v>0</v>
      </c>
      <c r="Z1257" s="352">
        <f>IF(NFI_Expiration=1,IF($A1257&lt;VLOOKUP(I$5,NFI,5,0),1,0)*Table_NFI[[#This Row],[NFI Core Kit]],Table_NFI[NFI Core Kit])</f>
        <v>0</v>
      </c>
      <c r="AA1257" s="352">
        <f>IF(NFI_Expiration=1,IF($A1257&lt;VLOOKUP(J$5,NFI,5,0),1,0)*Table_NFI[[#This Row],[Sanitary Kit]],Table_NFI[Sanitary Kit])</f>
        <v>0</v>
      </c>
      <c r="AB1257" s="352">
        <f>IF(NFI_Expiration=1,IF($A1257&lt;VLOOKUP(K$5,NFI,5,0),1,0)*Table_NFI[[#This Row],[Mosquito net]],Table_NFI[Mosquito net])</f>
        <v>0</v>
      </c>
      <c r="AC1257" s="352">
        <f>IF(NFI_Expiration=1,IF($A1257&lt;VLOOKUP(L$5,NFI,5,0),1,0)*Table_NFI[[#This Row],[Tarpaulin]],Table_NFI[[#This Row],[Tarpaulin]])</f>
        <v>0</v>
      </c>
      <c r="AD1257" s="352">
        <f>IF(NFI_Expiration=1,IF($A1257&lt;VLOOKUP(M$5,NFI,5,0),1,0)*Table_NFI[[#This Row],[Blanket]],Table_NFI[[#This Row],[Blanket]])</f>
        <v>0</v>
      </c>
      <c r="AE1257" s="352">
        <f>IF(NFI_Expiration=1,IF($A1257&lt;VLOOKUP(N$5,NFI,5,0),1,0)*Table_NFI[[#This Row],[Kitchen Set]],Table_NFI[Kitchen Set])</f>
        <v>0</v>
      </c>
      <c r="AF1257" s="352">
        <f>IF(NFI_Expiration=1,IF($A1257&lt;VLOOKUP(O$5,NFI,5,0),1,0)*Table_NFI[[#This Row],[Clothes Kit]],Table_NFI[Clothes Kit])</f>
        <v>0</v>
      </c>
      <c r="AG1257" s="352">
        <f>IF(NFI_Expiration=1,IF($A1257&lt;VLOOKUP(P$5,NFI,5,0),1,0)*Table_NFI[[#This Row],[Plastic Bucket]],Table_NFI[Plastic Bucket])</f>
        <v>0</v>
      </c>
      <c r="AH1257" s="352">
        <f>IF(NFI_Expiration=1,IF($A1257&lt;VLOOKUP(Q$5,NFI,5,0),1,0)*Table_NFI[[#This Row],[Plastic Mat]],Table_NFI[Plastic Mat])*IF(Table_NFI[[#This Row],[Distribution Date]]&gt;"2014-04-01",1,2.5)</f>
        <v>0</v>
      </c>
      <c r="AI1257" s="352">
        <f>IF(NFI_Expiration=1,IF($A1257&lt;VLOOKUP(R$5,NFI,5,0),1,0)*Table_NFI[[#This Row],[Winter Clothes Adult]],Table_NFI[Winter Clothes Adult])</f>
        <v>0</v>
      </c>
      <c r="AJ1257" s="352">
        <f>IF(NFI_Expiration=1,IF($A1257&lt;VLOOKUP(S$5,NFI,5,0),1,0)*Table_NFI[[#This Row],[Winter Clothes Children]],Table_NFI[Winter Clothes Children])</f>
        <v>0</v>
      </c>
      <c r="AK1257" s="352">
        <f>IF(NFI_Expiration=1,IF($A1257&lt;VLOOKUP(T$5,NFI,5,0),1,0)*Table_NFI[[#This Row],[Winter Items Other]],Table_NFI[Winter Items Other])</f>
        <v>0</v>
      </c>
      <c r="AL1257" s="352">
        <f>IF(NFI_Expiration=1,IF($A1257&lt;VLOOKUP(M$5,NFI,5,0),1,0)*Table_NFI[[#This Row],[Winter Blanket]],Table_NFI[[#This Row],[Winter Blanket]])</f>
        <v>0</v>
      </c>
      <c r="AM1257" s="352">
        <f>IF(Table_NFI[[#This Row],[Winter Clothes Adult]]+Table_NFI[[#This Row],[Winter Clothes Children]]+Table_NFI[[#This Row],[Winter Items Other]]+Table_NFI[[#This Row],[Winter Blanket]]&gt;0,1,0)</f>
        <v>0</v>
      </c>
      <c r="AN1257" s="392">
        <f>IF(NFI_Expiration=1,IF($A1257&lt;VLOOKUP(V$5,NFI,5,0),1,0)*Table_NFI[[#This Row],[Jerry Can]],Table_NFI[Jerry Can])</f>
        <v>0</v>
      </c>
      <c r="AO1257" s="540" t="str">
        <f>IFERROR(VLOOKUP(Table_NFI[[#This Row],[Camp Name]],CL,2,0),"")</f>
        <v/>
      </c>
      <c r="AP1257" s="535" t="str">
        <f ca="1">IF(Table_NFI[[#This Row],[Pcode]]="","",IF(OFFSET(CampList[Opening Date],MATCH(Table_NFI[[#This Row],[Pcode]],CampList[CP_Pcode],0)-1,0,1,1)&gt;=NFI_Monitor_Date,1,0))</f>
        <v/>
      </c>
      <c r="AQ1257" s="540" t="str">
        <f>IFERROR(VLOOKUP(Table_NFI[[#This Row],[Camp Name]],CL,3,0),"")</f>
        <v/>
      </c>
      <c r="AR1257" s="352" t="str">
        <f ca="1">IF(Table_NFI[[#This Row],[Pcode]]="","",OFFSET(CampList[Priority],MATCH(Table_NFI[[#This Row],[Pcode]],CampList[CP_Pcode],0)-1,0,1,1))</f>
        <v/>
      </c>
      <c r="AS1257" s="351" t="str">
        <f>IFERROR(Table_NFI[[#This Row],[Kitchen Set]]/VLOOKUP(Table_NFI[[#This Row],[Camp Name]],CL,4,0),"")</f>
        <v/>
      </c>
      <c r="AT1257" s="538"/>
      <c r="AU1257" s="541"/>
    </row>
    <row r="1258" spans="1:47" ht="14.45" hidden="1" customHeight="1" x14ac:dyDescent="0.25">
      <c r="A1258" s="355" t="str">
        <f t="shared" si="20"/>
        <v/>
      </c>
      <c r="B1258" s="532"/>
      <c r="C1258" s="538"/>
      <c r="D1258" s="538"/>
      <c r="E1258" s="538"/>
      <c r="F1258" s="538"/>
      <c r="G1258" s="538"/>
      <c r="H1258" s="350"/>
      <c r="I1258" s="350"/>
      <c r="J1258" s="350"/>
      <c r="K1258" s="350"/>
      <c r="L1258" s="350"/>
      <c r="M1258" s="350"/>
      <c r="N1258" s="350"/>
      <c r="O1258" s="350"/>
      <c r="P1258" s="352"/>
      <c r="Q1258" s="558"/>
      <c r="R1258" s="558"/>
      <c r="S1258" s="558"/>
      <c r="T1258" s="558"/>
      <c r="U1258" s="558"/>
      <c r="V1258" s="497"/>
      <c r="W1258" s="558"/>
      <c r="X1258" s="558"/>
      <c r="Y1258" s="352">
        <f>IF(NFI_Expiration=1,IF($A1258&lt;VLOOKUP(H$5,NFI,5,0),1,0)*Table_NFI[[#This Row],[Hygiene Kit]],Table_NFI[Hygiene Kit])</f>
        <v>0</v>
      </c>
      <c r="Z1258" s="352">
        <f>IF(NFI_Expiration=1,IF($A1258&lt;VLOOKUP(I$5,NFI,5,0),1,0)*Table_NFI[[#This Row],[NFI Core Kit]],Table_NFI[NFI Core Kit])</f>
        <v>0</v>
      </c>
      <c r="AA1258" s="352">
        <f>IF(NFI_Expiration=1,IF($A1258&lt;VLOOKUP(J$5,NFI,5,0),1,0)*Table_NFI[[#This Row],[Sanitary Kit]],Table_NFI[Sanitary Kit])</f>
        <v>0</v>
      </c>
      <c r="AB1258" s="352">
        <f>IF(NFI_Expiration=1,IF($A1258&lt;VLOOKUP(K$5,NFI,5,0),1,0)*Table_NFI[[#This Row],[Mosquito net]],Table_NFI[Mosquito net])</f>
        <v>0</v>
      </c>
      <c r="AC1258" s="352">
        <f>IF(NFI_Expiration=1,IF($A1258&lt;VLOOKUP(L$5,NFI,5,0),1,0)*Table_NFI[[#This Row],[Tarpaulin]],Table_NFI[[#This Row],[Tarpaulin]])</f>
        <v>0</v>
      </c>
      <c r="AD1258" s="352">
        <f>IF(NFI_Expiration=1,IF($A1258&lt;VLOOKUP(M$5,NFI,5,0),1,0)*Table_NFI[[#This Row],[Blanket]],Table_NFI[[#This Row],[Blanket]])</f>
        <v>0</v>
      </c>
      <c r="AE1258" s="352">
        <f>IF(NFI_Expiration=1,IF($A1258&lt;VLOOKUP(N$5,NFI,5,0),1,0)*Table_NFI[[#This Row],[Kitchen Set]],Table_NFI[Kitchen Set])</f>
        <v>0</v>
      </c>
      <c r="AF1258" s="352">
        <f>IF(NFI_Expiration=1,IF($A1258&lt;VLOOKUP(O$5,NFI,5,0),1,0)*Table_NFI[[#This Row],[Clothes Kit]],Table_NFI[Clothes Kit])</f>
        <v>0</v>
      </c>
      <c r="AG1258" s="352">
        <f>IF(NFI_Expiration=1,IF($A1258&lt;VLOOKUP(P$5,NFI,5,0),1,0)*Table_NFI[[#This Row],[Plastic Bucket]],Table_NFI[Plastic Bucket])</f>
        <v>0</v>
      </c>
      <c r="AH1258" s="352">
        <f>IF(NFI_Expiration=1,IF($A1258&lt;VLOOKUP(Q$5,NFI,5,0),1,0)*Table_NFI[[#This Row],[Plastic Mat]],Table_NFI[Plastic Mat])*IF(Table_NFI[[#This Row],[Distribution Date]]&gt;"2014-04-01",1,2.5)</f>
        <v>0</v>
      </c>
      <c r="AI1258" s="352">
        <f>IF(NFI_Expiration=1,IF($A1258&lt;VLOOKUP(R$5,NFI,5,0),1,0)*Table_NFI[[#This Row],[Winter Clothes Adult]],Table_NFI[Winter Clothes Adult])</f>
        <v>0</v>
      </c>
      <c r="AJ1258" s="352">
        <f>IF(NFI_Expiration=1,IF($A1258&lt;VLOOKUP(S$5,NFI,5,0),1,0)*Table_NFI[[#This Row],[Winter Clothes Children]],Table_NFI[Winter Clothes Children])</f>
        <v>0</v>
      </c>
      <c r="AK1258" s="352">
        <f>IF(NFI_Expiration=1,IF($A1258&lt;VLOOKUP(T$5,NFI,5,0),1,0)*Table_NFI[[#This Row],[Winter Items Other]],Table_NFI[Winter Items Other])</f>
        <v>0</v>
      </c>
      <c r="AL1258" s="352">
        <f>IF(NFI_Expiration=1,IF($A1258&lt;VLOOKUP(M$5,NFI,5,0),1,0)*Table_NFI[[#This Row],[Winter Blanket]],Table_NFI[[#This Row],[Winter Blanket]])</f>
        <v>0</v>
      </c>
      <c r="AM1258" s="352">
        <f>IF(Table_NFI[[#This Row],[Winter Clothes Adult]]+Table_NFI[[#This Row],[Winter Clothes Children]]+Table_NFI[[#This Row],[Winter Items Other]]+Table_NFI[[#This Row],[Winter Blanket]]&gt;0,1,0)</f>
        <v>0</v>
      </c>
      <c r="AN1258" s="392">
        <f>IF(NFI_Expiration=1,IF($A1258&lt;VLOOKUP(V$5,NFI,5,0),1,0)*Table_NFI[[#This Row],[Jerry Can]],Table_NFI[Jerry Can])</f>
        <v>0</v>
      </c>
      <c r="AO1258" s="540" t="str">
        <f>IFERROR(VLOOKUP(Table_NFI[[#This Row],[Camp Name]],CL,2,0),"")</f>
        <v/>
      </c>
      <c r="AP1258" s="535" t="str">
        <f ca="1">IF(Table_NFI[[#This Row],[Pcode]]="","",IF(OFFSET(CampList[Opening Date],MATCH(Table_NFI[[#This Row],[Pcode]],CampList[CP_Pcode],0)-1,0,1,1)&gt;=NFI_Monitor_Date,1,0))</f>
        <v/>
      </c>
      <c r="AQ1258" s="540" t="str">
        <f>IFERROR(VLOOKUP(Table_NFI[[#This Row],[Camp Name]],CL,3,0),"")</f>
        <v/>
      </c>
      <c r="AR1258" s="352" t="str">
        <f ca="1">IF(Table_NFI[[#This Row],[Pcode]]="","",OFFSET(CampList[Priority],MATCH(Table_NFI[[#This Row],[Pcode]],CampList[CP_Pcode],0)-1,0,1,1))</f>
        <v/>
      </c>
      <c r="AS1258" s="351" t="str">
        <f>IFERROR(Table_NFI[[#This Row],[Kitchen Set]]/VLOOKUP(Table_NFI[[#This Row],[Camp Name]],CL,4,0),"")</f>
        <v/>
      </c>
      <c r="AT1258" s="538"/>
      <c r="AU1258" s="541"/>
    </row>
    <row r="1259" spans="1:47" ht="14.45" hidden="1" customHeight="1" x14ac:dyDescent="0.25">
      <c r="A1259" s="355" t="str">
        <f t="shared" si="20"/>
        <v/>
      </c>
      <c r="B1259" s="532"/>
      <c r="C1259" s="538"/>
      <c r="D1259" s="538"/>
      <c r="E1259" s="538"/>
      <c r="F1259" s="538"/>
      <c r="G1259" s="538"/>
      <c r="H1259" s="350"/>
      <c r="I1259" s="350"/>
      <c r="J1259" s="350"/>
      <c r="K1259" s="350"/>
      <c r="L1259" s="350"/>
      <c r="M1259" s="350"/>
      <c r="N1259" s="350"/>
      <c r="O1259" s="350"/>
      <c r="P1259" s="352"/>
      <c r="Q1259" s="558"/>
      <c r="R1259" s="558"/>
      <c r="S1259" s="558"/>
      <c r="T1259" s="558"/>
      <c r="U1259" s="558"/>
      <c r="V1259" s="497"/>
      <c r="W1259" s="558"/>
      <c r="X1259" s="558"/>
      <c r="Y1259" s="352">
        <f>IF(NFI_Expiration=1,IF($A1259&lt;VLOOKUP(H$5,NFI,5,0),1,0)*Table_NFI[[#This Row],[Hygiene Kit]],Table_NFI[Hygiene Kit])</f>
        <v>0</v>
      </c>
      <c r="Z1259" s="352">
        <f>IF(NFI_Expiration=1,IF($A1259&lt;VLOOKUP(I$5,NFI,5,0),1,0)*Table_NFI[[#This Row],[NFI Core Kit]],Table_NFI[NFI Core Kit])</f>
        <v>0</v>
      </c>
      <c r="AA1259" s="352">
        <f>IF(NFI_Expiration=1,IF($A1259&lt;VLOOKUP(J$5,NFI,5,0),1,0)*Table_NFI[[#This Row],[Sanitary Kit]],Table_NFI[Sanitary Kit])</f>
        <v>0</v>
      </c>
      <c r="AB1259" s="352">
        <f>IF(NFI_Expiration=1,IF($A1259&lt;VLOOKUP(K$5,NFI,5,0),1,0)*Table_NFI[[#This Row],[Mosquito net]],Table_NFI[Mosquito net])</f>
        <v>0</v>
      </c>
      <c r="AC1259" s="352">
        <f>IF(NFI_Expiration=1,IF($A1259&lt;VLOOKUP(L$5,NFI,5,0),1,0)*Table_NFI[[#This Row],[Tarpaulin]],Table_NFI[[#This Row],[Tarpaulin]])</f>
        <v>0</v>
      </c>
      <c r="AD1259" s="352">
        <f>IF(NFI_Expiration=1,IF($A1259&lt;VLOOKUP(M$5,NFI,5,0),1,0)*Table_NFI[[#This Row],[Blanket]],Table_NFI[[#This Row],[Blanket]])</f>
        <v>0</v>
      </c>
      <c r="AE1259" s="352">
        <f>IF(NFI_Expiration=1,IF($A1259&lt;VLOOKUP(N$5,NFI,5,0),1,0)*Table_NFI[[#This Row],[Kitchen Set]],Table_NFI[Kitchen Set])</f>
        <v>0</v>
      </c>
      <c r="AF1259" s="352">
        <f>IF(NFI_Expiration=1,IF($A1259&lt;VLOOKUP(O$5,NFI,5,0),1,0)*Table_NFI[[#This Row],[Clothes Kit]],Table_NFI[Clothes Kit])</f>
        <v>0</v>
      </c>
      <c r="AG1259" s="352">
        <f>IF(NFI_Expiration=1,IF($A1259&lt;VLOOKUP(P$5,NFI,5,0),1,0)*Table_NFI[[#This Row],[Plastic Bucket]],Table_NFI[Plastic Bucket])</f>
        <v>0</v>
      </c>
      <c r="AH1259" s="352">
        <f>IF(NFI_Expiration=1,IF($A1259&lt;VLOOKUP(Q$5,NFI,5,0),1,0)*Table_NFI[[#This Row],[Plastic Mat]],Table_NFI[Plastic Mat])*IF(Table_NFI[[#This Row],[Distribution Date]]&gt;"2014-04-01",1,2.5)</f>
        <v>0</v>
      </c>
      <c r="AI1259" s="352">
        <f>IF(NFI_Expiration=1,IF($A1259&lt;VLOOKUP(R$5,NFI,5,0),1,0)*Table_NFI[[#This Row],[Winter Clothes Adult]],Table_NFI[Winter Clothes Adult])</f>
        <v>0</v>
      </c>
      <c r="AJ1259" s="352">
        <f>IF(NFI_Expiration=1,IF($A1259&lt;VLOOKUP(S$5,NFI,5,0),1,0)*Table_NFI[[#This Row],[Winter Clothes Children]],Table_NFI[Winter Clothes Children])</f>
        <v>0</v>
      </c>
      <c r="AK1259" s="352">
        <f>IF(NFI_Expiration=1,IF($A1259&lt;VLOOKUP(T$5,NFI,5,0),1,0)*Table_NFI[[#This Row],[Winter Items Other]],Table_NFI[Winter Items Other])</f>
        <v>0</v>
      </c>
      <c r="AL1259" s="352">
        <f>IF(NFI_Expiration=1,IF($A1259&lt;VLOOKUP(M$5,NFI,5,0),1,0)*Table_NFI[[#This Row],[Winter Blanket]],Table_NFI[[#This Row],[Winter Blanket]])</f>
        <v>0</v>
      </c>
      <c r="AM1259" s="352">
        <f>IF(Table_NFI[[#This Row],[Winter Clothes Adult]]+Table_NFI[[#This Row],[Winter Clothes Children]]+Table_NFI[[#This Row],[Winter Items Other]]+Table_NFI[[#This Row],[Winter Blanket]]&gt;0,1,0)</f>
        <v>0</v>
      </c>
      <c r="AN1259" s="392">
        <f>IF(NFI_Expiration=1,IF($A1259&lt;VLOOKUP(V$5,NFI,5,0),1,0)*Table_NFI[[#This Row],[Jerry Can]],Table_NFI[Jerry Can])</f>
        <v>0</v>
      </c>
      <c r="AO1259" s="540" t="str">
        <f>IFERROR(VLOOKUP(Table_NFI[[#This Row],[Camp Name]],CL,2,0),"")</f>
        <v/>
      </c>
      <c r="AP1259" s="535" t="str">
        <f ca="1">IF(Table_NFI[[#This Row],[Pcode]]="","",IF(OFFSET(CampList[Opening Date],MATCH(Table_NFI[[#This Row],[Pcode]],CampList[CP_Pcode],0)-1,0,1,1)&gt;=NFI_Monitor_Date,1,0))</f>
        <v/>
      </c>
      <c r="AQ1259" s="540" t="str">
        <f>IFERROR(VLOOKUP(Table_NFI[[#This Row],[Camp Name]],CL,3,0),"")</f>
        <v/>
      </c>
      <c r="AR1259" s="352" t="str">
        <f ca="1">IF(Table_NFI[[#This Row],[Pcode]]="","",OFFSET(CampList[Priority],MATCH(Table_NFI[[#This Row],[Pcode]],CampList[CP_Pcode],0)-1,0,1,1))</f>
        <v/>
      </c>
      <c r="AS1259" s="351" t="str">
        <f>IFERROR(Table_NFI[[#This Row],[Kitchen Set]]/VLOOKUP(Table_NFI[[#This Row],[Camp Name]],CL,4,0),"")</f>
        <v/>
      </c>
      <c r="AT1259" s="538"/>
      <c r="AU1259" s="541"/>
    </row>
    <row r="1260" spans="1:47" ht="14.45" hidden="1" customHeight="1" x14ac:dyDescent="0.25">
      <c r="A1260" s="355" t="str">
        <f t="shared" si="20"/>
        <v/>
      </c>
      <c r="B1260" s="532"/>
      <c r="C1260" s="538"/>
      <c r="D1260" s="538"/>
      <c r="E1260" s="538"/>
      <c r="F1260" s="538"/>
      <c r="G1260" s="538"/>
      <c r="H1260" s="350"/>
      <c r="I1260" s="350"/>
      <c r="J1260" s="350"/>
      <c r="K1260" s="350"/>
      <c r="L1260" s="350"/>
      <c r="M1260" s="350"/>
      <c r="N1260" s="350"/>
      <c r="O1260" s="350"/>
      <c r="P1260" s="352"/>
      <c r="Q1260" s="558"/>
      <c r="R1260" s="558"/>
      <c r="S1260" s="558"/>
      <c r="T1260" s="558"/>
      <c r="U1260" s="558"/>
      <c r="V1260" s="497"/>
      <c r="W1260" s="558"/>
      <c r="X1260" s="558"/>
      <c r="Y1260" s="352">
        <f>IF(NFI_Expiration=1,IF($A1260&lt;VLOOKUP(H$5,NFI,5,0),1,0)*Table_NFI[[#This Row],[Hygiene Kit]],Table_NFI[Hygiene Kit])</f>
        <v>0</v>
      </c>
      <c r="Z1260" s="352">
        <f>IF(NFI_Expiration=1,IF($A1260&lt;VLOOKUP(I$5,NFI,5,0),1,0)*Table_NFI[[#This Row],[NFI Core Kit]],Table_NFI[NFI Core Kit])</f>
        <v>0</v>
      </c>
      <c r="AA1260" s="352">
        <f>IF(NFI_Expiration=1,IF($A1260&lt;VLOOKUP(J$5,NFI,5,0),1,0)*Table_NFI[[#This Row],[Sanitary Kit]],Table_NFI[Sanitary Kit])</f>
        <v>0</v>
      </c>
      <c r="AB1260" s="352">
        <f>IF(NFI_Expiration=1,IF($A1260&lt;VLOOKUP(K$5,NFI,5,0),1,0)*Table_NFI[[#This Row],[Mosquito net]],Table_NFI[Mosquito net])</f>
        <v>0</v>
      </c>
      <c r="AC1260" s="352">
        <f>IF(NFI_Expiration=1,IF($A1260&lt;VLOOKUP(L$5,NFI,5,0),1,0)*Table_NFI[[#This Row],[Tarpaulin]],Table_NFI[[#This Row],[Tarpaulin]])</f>
        <v>0</v>
      </c>
      <c r="AD1260" s="352">
        <f>IF(NFI_Expiration=1,IF($A1260&lt;VLOOKUP(M$5,NFI,5,0),1,0)*Table_NFI[[#This Row],[Blanket]],Table_NFI[[#This Row],[Blanket]])</f>
        <v>0</v>
      </c>
      <c r="AE1260" s="352">
        <f>IF(NFI_Expiration=1,IF($A1260&lt;VLOOKUP(N$5,NFI,5,0),1,0)*Table_NFI[[#This Row],[Kitchen Set]],Table_NFI[Kitchen Set])</f>
        <v>0</v>
      </c>
      <c r="AF1260" s="352">
        <f>IF(NFI_Expiration=1,IF($A1260&lt;VLOOKUP(O$5,NFI,5,0),1,0)*Table_NFI[[#This Row],[Clothes Kit]],Table_NFI[Clothes Kit])</f>
        <v>0</v>
      </c>
      <c r="AG1260" s="352">
        <f>IF(NFI_Expiration=1,IF($A1260&lt;VLOOKUP(P$5,NFI,5,0),1,0)*Table_NFI[[#This Row],[Plastic Bucket]],Table_NFI[Plastic Bucket])</f>
        <v>0</v>
      </c>
      <c r="AH1260" s="352">
        <f>IF(NFI_Expiration=1,IF($A1260&lt;VLOOKUP(Q$5,NFI,5,0),1,0)*Table_NFI[[#This Row],[Plastic Mat]],Table_NFI[Plastic Mat])*IF(Table_NFI[[#This Row],[Distribution Date]]&gt;"2014-04-01",1,2.5)</f>
        <v>0</v>
      </c>
      <c r="AI1260" s="352">
        <f>IF(NFI_Expiration=1,IF($A1260&lt;VLOOKUP(R$5,NFI,5,0),1,0)*Table_NFI[[#This Row],[Winter Clothes Adult]],Table_NFI[Winter Clothes Adult])</f>
        <v>0</v>
      </c>
      <c r="AJ1260" s="352">
        <f>IF(NFI_Expiration=1,IF($A1260&lt;VLOOKUP(S$5,NFI,5,0),1,0)*Table_NFI[[#This Row],[Winter Clothes Children]],Table_NFI[Winter Clothes Children])</f>
        <v>0</v>
      </c>
      <c r="AK1260" s="352">
        <f>IF(NFI_Expiration=1,IF($A1260&lt;VLOOKUP(T$5,NFI,5,0),1,0)*Table_NFI[[#This Row],[Winter Items Other]],Table_NFI[Winter Items Other])</f>
        <v>0</v>
      </c>
      <c r="AL1260" s="352">
        <f>IF(NFI_Expiration=1,IF($A1260&lt;VLOOKUP(M$5,NFI,5,0),1,0)*Table_NFI[[#This Row],[Winter Blanket]],Table_NFI[[#This Row],[Winter Blanket]])</f>
        <v>0</v>
      </c>
      <c r="AM1260" s="352">
        <f>IF(Table_NFI[[#This Row],[Winter Clothes Adult]]+Table_NFI[[#This Row],[Winter Clothes Children]]+Table_NFI[[#This Row],[Winter Items Other]]+Table_NFI[[#This Row],[Winter Blanket]]&gt;0,1,0)</f>
        <v>0</v>
      </c>
      <c r="AN1260" s="392">
        <f>IF(NFI_Expiration=1,IF($A1260&lt;VLOOKUP(V$5,NFI,5,0),1,0)*Table_NFI[[#This Row],[Jerry Can]],Table_NFI[Jerry Can])</f>
        <v>0</v>
      </c>
      <c r="AO1260" s="540" t="str">
        <f>IFERROR(VLOOKUP(Table_NFI[[#This Row],[Camp Name]],CL,2,0),"")</f>
        <v/>
      </c>
      <c r="AP1260" s="535" t="str">
        <f ca="1">IF(Table_NFI[[#This Row],[Pcode]]="","",IF(OFFSET(CampList[Opening Date],MATCH(Table_NFI[[#This Row],[Pcode]],CampList[CP_Pcode],0)-1,0,1,1)&gt;=NFI_Monitor_Date,1,0))</f>
        <v/>
      </c>
      <c r="AQ1260" s="540" t="str">
        <f>IFERROR(VLOOKUP(Table_NFI[[#This Row],[Camp Name]],CL,3,0),"")</f>
        <v/>
      </c>
      <c r="AR1260" s="352" t="str">
        <f ca="1">IF(Table_NFI[[#This Row],[Pcode]]="","",OFFSET(CampList[Priority],MATCH(Table_NFI[[#This Row],[Pcode]],CampList[CP_Pcode],0)-1,0,1,1))</f>
        <v/>
      </c>
      <c r="AS1260" s="351" t="str">
        <f>IFERROR(Table_NFI[[#This Row],[Kitchen Set]]/VLOOKUP(Table_NFI[[#This Row],[Camp Name]],CL,4,0),"")</f>
        <v/>
      </c>
      <c r="AT1260" s="538"/>
      <c r="AU1260" s="541"/>
    </row>
    <row r="1261" spans="1:47" ht="14.45" hidden="1" customHeight="1" x14ac:dyDescent="0.25">
      <c r="A1261" s="355" t="str">
        <f t="shared" si="20"/>
        <v/>
      </c>
      <c r="B1261" s="532"/>
      <c r="C1261" s="538"/>
      <c r="D1261" s="538"/>
      <c r="E1261" s="538"/>
      <c r="F1261" s="538"/>
      <c r="G1261" s="538"/>
      <c r="H1261" s="350"/>
      <c r="I1261" s="350"/>
      <c r="J1261" s="350"/>
      <c r="K1261" s="350"/>
      <c r="L1261" s="350"/>
      <c r="M1261" s="350"/>
      <c r="N1261" s="350"/>
      <c r="O1261" s="350"/>
      <c r="P1261" s="352"/>
      <c r="Q1261" s="558"/>
      <c r="R1261" s="558"/>
      <c r="S1261" s="558"/>
      <c r="T1261" s="558"/>
      <c r="U1261" s="558"/>
      <c r="V1261" s="497"/>
      <c r="W1261" s="558"/>
      <c r="X1261" s="558"/>
      <c r="Y1261" s="352">
        <f>IF(NFI_Expiration=1,IF($A1261&lt;VLOOKUP(H$5,NFI,5,0),1,0)*Table_NFI[[#This Row],[Hygiene Kit]],Table_NFI[Hygiene Kit])</f>
        <v>0</v>
      </c>
      <c r="Z1261" s="352">
        <f>IF(NFI_Expiration=1,IF($A1261&lt;VLOOKUP(I$5,NFI,5,0),1,0)*Table_NFI[[#This Row],[NFI Core Kit]],Table_NFI[NFI Core Kit])</f>
        <v>0</v>
      </c>
      <c r="AA1261" s="352">
        <f>IF(NFI_Expiration=1,IF($A1261&lt;VLOOKUP(J$5,NFI,5,0),1,0)*Table_NFI[[#This Row],[Sanitary Kit]],Table_NFI[Sanitary Kit])</f>
        <v>0</v>
      </c>
      <c r="AB1261" s="352">
        <f>IF(NFI_Expiration=1,IF($A1261&lt;VLOOKUP(K$5,NFI,5,0),1,0)*Table_NFI[[#This Row],[Mosquito net]],Table_NFI[Mosquito net])</f>
        <v>0</v>
      </c>
      <c r="AC1261" s="352">
        <f>IF(NFI_Expiration=1,IF($A1261&lt;VLOOKUP(L$5,NFI,5,0),1,0)*Table_NFI[[#This Row],[Tarpaulin]],Table_NFI[[#This Row],[Tarpaulin]])</f>
        <v>0</v>
      </c>
      <c r="AD1261" s="352">
        <f>IF(NFI_Expiration=1,IF($A1261&lt;VLOOKUP(M$5,NFI,5,0),1,0)*Table_NFI[[#This Row],[Blanket]],Table_NFI[[#This Row],[Blanket]])</f>
        <v>0</v>
      </c>
      <c r="AE1261" s="352">
        <f>IF(NFI_Expiration=1,IF($A1261&lt;VLOOKUP(N$5,NFI,5,0),1,0)*Table_NFI[[#This Row],[Kitchen Set]],Table_NFI[Kitchen Set])</f>
        <v>0</v>
      </c>
      <c r="AF1261" s="352">
        <f>IF(NFI_Expiration=1,IF($A1261&lt;VLOOKUP(O$5,NFI,5,0),1,0)*Table_NFI[[#This Row],[Clothes Kit]],Table_NFI[Clothes Kit])</f>
        <v>0</v>
      </c>
      <c r="AG1261" s="352">
        <f>IF(NFI_Expiration=1,IF($A1261&lt;VLOOKUP(P$5,NFI,5,0),1,0)*Table_NFI[[#This Row],[Plastic Bucket]],Table_NFI[Plastic Bucket])</f>
        <v>0</v>
      </c>
      <c r="AH1261" s="352">
        <f>IF(NFI_Expiration=1,IF($A1261&lt;VLOOKUP(Q$5,NFI,5,0),1,0)*Table_NFI[[#This Row],[Plastic Mat]],Table_NFI[Plastic Mat])*IF(Table_NFI[[#This Row],[Distribution Date]]&gt;"2014-04-01",1,2.5)</f>
        <v>0</v>
      </c>
      <c r="AI1261" s="352">
        <f>IF(NFI_Expiration=1,IF($A1261&lt;VLOOKUP(R$5,NFI,5,0),1,0)*Table_NFI[[#This Row],[Winter Clothes Adult]],Table_NFI[Winter Clothes Adult])</f>
        <v>0</v>
      </c>
      <c r="AJ1261" s="352">
        <f>IF(NFI_Expiration=1,IF($A1261&lt;VLOOKUP(S$5,NFI,5,0),1,0)*Table_NFI[[#This Row],[Winter Clothes Children]],Table_NFI[Winter Clothes Children])</f>
        <v>0</v>
      </c>
      <c r="AK1261" s="352">
        <f>IF(NFI_Expiration=1,IF($A1261&lt;VLOOKUP(T$5,NFI,5,0),1,0)*Table_NFI[[#This Row],[Winter Items Other]],Table_NFI[Winter Items Other])</f>
        <v>0</v>
      </c>
      <c r="AL1261" s="352">
        <f>IF(NFI_Expiration=1,IF($A1261&lt;VLOOKUP(M$5,NFI,5,0),1,0)*Table_NFI[[#This Row],[Winter Blanket]],Table_NFI[[#This Row],[Winter Blanket]])</f>
        <v>0</v>
      </c>
      <c r="AM1261" s="352">
        <f>IF(Table_NFI[[#This Row],[Winter Clothes Adult]]+Table_NFI[[#This Row],[Winter Clothes Children]]+Table_NFI[[#This Row],[Winter Items Other]]+Table_NFI[[#This Row],[Winter Blanket]]&gt;0,1,0)</f>
        <v>0</v>
      </c>
      <c r="AN1261" s="392">
        <f>IF(NFI_Expiration=1,IF($A1261&lt;VLOOKUP(V$5,NFI,5,0),1,0)*Table_NFI[[#This Row],[Jerry Can]],Table_NFI[Jerry Can])</f>
        <v>0</v>
      </c>
      <c r="AO1261" s="540" t="str">
        <f>IFERROR(VLOOKUP(Table_NFI[[#This Row],[Camp Name]],CL,2,0),"")</f>
        <v/>
      </c>
      <c r="AP1261" s="535" t="str">
        <f ca="1">IF(Table_NFI[[#This Row],[Pcode]]="","",IF(OFFSET(CampList[Opening Date],MATCH(Table_NFI[[#This Row],[Pcode]],CampList[CP_Pcode],0)-1,0,1,1)&gt;=NFI_Monitor_Date,1,0))</f>
        <v/>
      </c>
      <c r="AQ1261" s="540" t="str">
        <f>IFERROR(VLOOKUP(Table_NFI[[#This Row],[Camp Name]],CL,3,0),"")</f>
        <v/>
      </c>
      <c r="AR1261" s="352" t="str">
        <f ca="1">IF(Table_NFI[[#This Row],[Pcode]]="","",OFFSET(CampList[Priority],MATCH(Table_NFI[[#This Row],[Pcode]],CampList[CP_Pcode],0)-1,0,1,1))</f>
        <v/>
      </c>
      <c r="AS1261" s="351" t="str">
        <f>IFERROR(Table_NFI[[#This Row],[Kitchen Set]]/VLOOKUP(Table_NFI[[#This Row],[Camp Name]],CL,4,0),"")</f>
        <v/>
      </c>
      <c r="AT1261" s="538"/>
      <c r="AU1261" s="541"/>
    </row>
    <row r="1262" spans="1:47" ht="14.45" hidden="1" customHeight="1" x14ac:dyDescent="0.25">
      <c r="A1262" s="355" t="str">
        <f t="shared" si="20"/>
        <v/>
      </c>
      <c r="B1262" s="532"/>
      <c r="C1262" s="538"/>
      <c r="D1262" s="538"/>
      <c r="E1262" s="538"/>
      <c r="F1262" s="538"/>
      <c r="G1262" s="538"/>
      <c r="H1262" s="350"/>
      <c r="I1262" s="350"/>
      <c r="J1262" s="350"/>
      <c r="K1262" s="350"/>
      <c r="L1262" s="350"/>
      <c r="M1262" s="350"/>
      <c r="N1262" s="350"/>
      <c r="O1262" s="350"/>
      <c r="P1262" s="352"/>
      <c r="Q1262" s="558"/>
      <c r="R1262" s="558"/>
      <c r="S1262" s="558"/>
      <c r="T1262" s="558"/>
      <c r="U1262" s="558"/>
      <c r="V1262" s="497"/>
      <c r="W1262" s="558"/>
      <c r="X1262" s="558"/>
      <c r="Y1262" s="352">
        <f>IF(NFI_Expiration=1,IF($A1262&lt;VLOOKUP(H$5,NFI,5,0),1,0)*Table_NFI[[#This Row],[Hygiene Kit]],Table_NFI[Hygiene Kit])</f>
        <v>0</v>
      </c>
      <c r="Z1262" s="352">
        <f>IF(NFI_Expiration=1,IF($A1262&lt;VLOOKUP(I$5,NFI,5,0),1,0)*Table_NFI[[#This Row],[NFI Core Kit]],Table_NFI[NFI Core Kit])</f>
        <v>0</v>
      </c>
      <c r="AA1262" s="352">
        <f>IF(NFI_Expiration=1,IF($A1262&lt;VLOOKUP(J$5,NFI,5,0),1,0)*Table_NFI[[#This Row],[Sanitary Kit]],Table_NFI[Sanitary Kit])</f>
        <v>0</v>
      </c>
      <c r="AB1262" s="352">
        <f>IF(NFI_Expiration=1,IF($A1262&lt;VLOOKUP(K$5,NFI,5,0),1,0)*Table_NFI[[#This Row],[Mosquito net]],Table_NFI[Mosquito net])</f>
        <v>0</v>
      </c>
      <c r="AC1262" s="352">
        <f>IF(NFI_Expiration=1,IF($A1262&lt;VLOOKUP(L$5,NFI,5,0),1,0)*Table_NFI[[#This Row],[Tarpaulin]],Table_NFI[[#This Row],[Tarpaulin]])</f>
        <v>0</v>
      </c>
      <c r="AD1262" s="352">
        <f>IF(NFI_Expiration=1,IF($A1262&lt;VLOOKUP(M$5,NFI,5,0),1,0)*Table_NFI[[#This Row],[Blanket]],Table_NFI[[#This Row],[Blanket]])</f>
        <v>0</v>
      </c>
      <c r="AE1262" s="352">
        <f>IF(NFI_Expiration=1,IF($A1262&lt;VLOOKUP(N$5,NFI,5,0),1,0)*Table_NFI[[#This Row],[Kitchen Set]],Table_NFI[Kitchen Set])</f>
        <v>0</v>
      </c>
      <c r="AF1262" s="352">
        <f>IF(NFI_Expiration=1,IF($A1262&lt;VLOOKUP(O$5,NFI,5,0),1,0)*Table_NFI[[#This Row],[Clothes Kit]],Table_NFI[Clothes Kit])</f>
        <v>0</v>
      </c>
      <c r="AG1262" s="352">
        <f>IF(NFI_Expiration=1,IF($A1262&lt;VLOOKUP(P$5,NFI,5,0),1,0)*Table_NFI[[#This Row],[Plastic Bucket]],Table_NFI[Plastic Bucket])</f>
        <v>0</v>
      </c>
      <c r="AH1262" s="352">
        <f>IF(NFI_Expiration=1,IF($A1262&lt;VLOOKUP(Q$5,NFI,5,0),1,0)*Table_NFI[[#This Row],[Plastic Mat]],Table_NFI[Plastic Mat])*IF(Table_NFI[[#This Row],[Distribution Date]]&gt;"2014-04-01",1,2.5)</f>
        <v>0</v>
      </c>
      <c r="AI1262" s="352">
        <f>IF(NFI_Expiration=1,IF($A1262&lt;VLOOKUP(R$5,NFI,5,0),1,0)*Table_NFI[[#This Row],[Winter Clothes Adult]],Table_NFI[Winter Clothes Adult])</f>
        <v>0</v>
      </c>
      <c r="AJ1262" s="352">
        <f>IF(NFI_Expiration=1,IF($A1262&lt;VLOOKUP(S$5,NFI,5,0),1,0)*Table_NFI[[#This Row],[Winter Clothes Children]],Table_NFI[Winter Clothes Children])</f>
        <v>0</v>
      </c>
      <c r="AK1262" s="352">
        <f>IF(NFI_Expiration=1,IF($A1262&lt;VLOOKUP(T$5,NFI,5,0),1,0)*Table_NFI[[#This Row],[Winter Items Other]],Table_NFI[Winter Items Other])</f>
        <v>0</v>
      </c>
      <c r="AL1262" s="352">
        <f>IF(NFI_Expiration=1,IF($A1262&lt;VLOOKUP(M$5,NFI,5,0),1,0)*Table_NFI[[#This Row],[Winter Blanket]],Table_NFI[[#This Row],[Winter Blanket]])</f>
        <v>0</v>
      </c>
      <c r="AM1262" s="352">
        <f>IF(Table_NFI[[#This Row],[Winter Clothes Adult]]+Table_NFI[[#This Row],[Winter Clothes Children]]+Table_NFI[[#This Row],[Winter Items Other]]+Table_NFI[[#This Row],[Winter Blanket]]&gt;0,1,0)</f>
        <v>0</v>
      </c>
      <c r="AN1262" s="392">
        <f>IF(NFI_Expiration=1,IF($A1262&lt;VLOOKUP(V$5,NFI,5,0),1,0)*Table_NFI[[#This Row],[Jerry Can]],Table_NFI[Jerry Can])</f>
        <v>0</v>
      </c>
      <c r="AO1262" s="540" t="str">
        <f>IFERROR(VLOOKUP(Table_NFI[[#This Row],[Camp Name]],CL,2,0),"")</f>
        <v/>
      </c>
      <c r="AP1262" s="535" t="str">
        <f ca="1">IF(Table_NFI[[#This Row],[Pcode]]="","",IF(OFFSET(CampList[Opening Date],MATCH(Table_NFI[[#This Row],[Pcode]],CampList[CP_Pcode],0)-1,0,1,1)&gt;=NFI_Monitor_Date,1,0))</f>
        <v/>
      </c>
      <c r="AQ1262" s="540" t="str">
        <f>IFERROR(VLOOKUP(Table_NFI[[#This Row],[Camp Name]],CL,3,0),"")</f>
        <v/>
      </c>
      <c r="AR1262" s="352" t="str">
        <f ca="1">IF(Table_NFI[[#This Row],[Pcode]]="","",OFFSET(CampList[Priority],MATCH(Table_NFI[[#This Row],[Pcode]],CampList[CP_Pcode],0)-1,0,1,1))</f>
        <v/>
      </c>
      <c r="AS1262" s="351" t="str">
        <f>IFERROR(Table_NFI[[#This Row],[Kitchen Set]]/VLOOKUP(Table_NFI[[#This Row],[Camp Name]],CL,4,0),"")</f>
        <v/>
      </c>
      <c r="AT1262" s="538"/>
      <c r="AU1262" s="541"/>
    </row>
    <row r="1263" spans="1:47" ht="14.45" hidden="1" customHeight="1" x14ac:dyDescent="0.25">
      <c r="A1263" s="355" t="str">
        <f t="shared" si="20"/>
        <v/>
      </c>
      <c r="B1263" s="532"/>
      <c r="C1263" s="538"/>
      <c r="D1263" s="538"/>
      <c r="E1263" s="538"/>
      <c r="F1263" s="538"/>
      <c r="G1263" s="538"/>
      <c r="H1263" s="350"/>
      <c r="I1263" s="350"/>
      <c r="J1263" s="350"/>
      <c r="K1263" s="350"/>
      <c r="L1263" s="350"/>
      <c r="M1263" s="350"/>
      <c r="N1263" s="350"/>
      <c r="O1263" s="350"/>
      <c r="P1263" s="352"/>
      <c r="Q1263" s="558"/>
      <c r="R1263" s="558"/>
      <c r="S1263" s="558"/>
      <c r="T1263" s="558"/>
      <c r="U1263" s="558"/>
      <c r="V1263" s="497"/>
      <c r="W1263" s="558"/>
      <c r="X1263" s="558"/>
      <c r="Y1263" s="352">
        <f>IF(NFI_Expiration=1,IF($A1263&lt;VLOOKUP(H$5,NFI,5,0),1,0)*Table_NFI[[#This Row],[Hygiene Kit]],Table_NFI[Hygiene Kit])</f>
        <v>0</v>
      </c>
      <c r="Z1263" s="352">
        <f>IF(NFI_Expiration=1,IF($A1263&lt;VLOOKUP(I$5,NFI,5,0),1,0)*Table_NFI[[#This Row],[NFI Core Kit]],Table_NFI[NFI Core Kit])</f>
        <v>0</v>
      </c>
      <c r="AA1263" s="352">
        <f>IF(NFI_Expiration=1,IF($A1263&lt;VLOOKUP(J$5,NFI,5,0),1,0)*Table_NFI[[#This Row],[Sanitary Kit]],Table_NFI[Sanitary Kit])</f>
        <v>0</v>
      </c>
      <c r="AB1263" s="352">
        <f>IF(NFI_Expiration=1,IF($A1263&lt;VLOOKUP(K$5,NFI,5,0),1,0)*Table_NFI[[#This Row],[Mosquito net]],Table_NFI[Mosquito net])</f>
        <v>0</v>
      </c>
      <c r="AC1263" s="352">
        <f>IF(NFI_Expiration=1,IF($A1263&lt;VLOOKUP(L$5,NFI,5,0),1,0)*Table_NFI[[#This Row],[Tarpaulin]],Table_NFI[[#This Row],[Tarpaulin]])</f>
        <v>0</v>
      </c>
      <c r="AD1263" s="352">
        <f>IF(NFI_Expiration=1,IF($A1263&lt;VLOOKUP(M$5,NFI,5,0),1,0)*Table_NFI[[#This Row],[Blanket]],Table_NFI[[#This Row],[Blanket]])</f>
        <v>0</v>
      </c>
      <c r="AE1263" s="352">
        <f>IF(NFI_Expiration=1,IF($A1263&lt;VLOOKUP(N$5,NFI,5,0),1,0)*Table_NFI[[#This Row],[Kitchen Set]],Table_NFI[Kitchen Set])</f>
        <v>0</v>
      </c>
      <c r="AF1263" s="352">
        <f>IF(NFI_Expiration=1,IF($A1263&lt;VLOOKUP(O$5,NFI,5,0),1,0)*Table_NFI[[#This Row],[Clothes Kit]],Table_NFI[Clothes Kit])</f>
        <v>0</v>
      </c>
      <c r="AG1263" s="352">
        <f>IF(NFI_Expiration=1,IF($A1263&lt;VLOOKUP(P$5,NFI,5,0),1,0)*Table_NFI[[#This Row],[Plastic Bucket]],Table_NFI[Plastic Bucket])</f>
        <v>0</v>
      </c>
      <c r="AH1263" s="352">
        <f>IF(NFI_Expiration=1,IF($A1263&lt;VLOOKUP(Q$5,NFI,5,0),1,0)*Table_NFI[[#This Row],[Plastic Mat]],Table_NFI[Plastic Mat])*IF(Table_NFI[[#This Row],[Distribution Date]]&gt;"2014-04-01",1,2.5)</f>
        <v>0</v>
      </c>
      <c r="AI1263" s="352">
        <f>IF(NFI_Expiration=1,IF($A1263&lt;VLOOKUP(R$5,NFI,5,0),1,0)*Table_NFI[[#This Row],[Winter Clothes Adult]],Table_NFI[Winter Clothes Adult])</f>
        <v>0</v>
      </c>
      <c r="AJ1263" s="352">
        <f>IF(NFI_Expiration=1,IF($A1263&lt;VLOOKUP(S$5,NFI,5,0),1,0)*Table_NFI[[#This Row],[Winter Clothes Children]],Table_NFI[Winter Clothes Children])</f>
        <v>0</v>
      </c>
      <c r="AK1263" s="352">
        <f>IF(NFI_Expiration=1,IF($A1263&lt;VLOOKUP(T$5,NFI,5,0),1,0)*Table_NFI[[#This Row],[Winter Items Other]],Table_NFI[Winter Items Other])</f>
        <v>0</v>
      </c>
      <c r="AL1263" s="352">
        <f>IF(NFI_Expiration=1,IF($A1263&lt;VLOOKUP(M$5,NFI,5,0),1,0)*Table_NFI[[#This Row],[Winter Blanket]],Table_NFI[[#This Row],[Winter Blanket]])</f>
        <v>0</v>
      </c>
      <c r="AM1263" s="352">
        <f>IF(Table_NFI[[#This Row],[Winter Clothes Adult]]+Table_NFI[[#This Row],[Winter Clothes Children]]+Table_NFI[[#This Row],[Winter Items Other]]+Table_NFI[[#This Row],[Winter Blanket]]&gt;0,1,0)</f>
        <v>0</v>
      </c>
      <c r="AN1263" s="392">
        <f>IF(NFI_Expiration=1,IF($A1263&lt;VLOOKUP(V$5,NFI,5,0),1,0)*Table_NFI[[#This Row],[Jerry Can]],Table_NFI[Jerry Can])</f>
        <v>0</v>
      </c>
      <c r="AO1263" s="540" t="str">
        <f>IFERROR(VLOOKUP(Table_NFI[[#This Row],[Camp Name]],CL,2,0),"")</f>
        <v/>
      </c>
      <c r="AP1263" s="535" t="str">
        <f ca="1">IF(Table_NFI[[#This Row],[Pcode]]="","",IF(OFFSET(CampList[Opening Date],MATCH(Table_NFI[[#This Row],[Pcode]],CampList[CP_Pcode],0)-1,0,1,1)&gt;=NFI_Monitor_Date,1,0))</f>
        <v/>
      </c>
      <c r="AQ1263" s="540" t="str">
        <f>IFERROR(VLOOKUP(Table_NFI[[#This Row],[Camp Name]],CL,3,0),"")</f>
        <v/>
      </c>
      <c r="AR1263" s="352" t="str">
        <f ca="1">IF(Table_NFI[[#This Row],[Pcode]]="","",OFFSET(CampList[Priority],MATCH(Table_NFI[[#This Row],[Pcode]],CampList[CP_Pcode],0)-1,0,1,1))</f>
        <v/>
      </c>
      <c r="AS1263" s="351" t="str">
        <f>IFERROR(Table_NFI[[#This Row],[Kitchen Set]]/VLOOKUP(Table_NFI[[#This Row],[Camp Name]],CL,4,0),"")</f>
        <v/>
      </c>
      <c r="AT1263" s="538"/>
      <c r="AU1263" s="541"/>
    </row>
    <row r="1264" spans="1:47" ht="14.45" hidden="1" customHeight="1" x14ac:dyDescent="0.25">
      <c r="A1264" s="355" t="str">
        <f t="shared" si="20"/>
        <v/>
      </c>
      <c r="B1264" s="532"/>
      <c r="C1264" s="538"/>
      <c r="D1264" s="538"/>
      <c r="E1264" s="538"/>
      <c r="F1264" s="538"/>
      <c r="G1264" s="538"/>
      <c r="H1264" s="350"/>
      <c r="I1264" s="350"/>
      <c r="J1264" s="350"/>
      <c r="K1264" s="350"/>
      <c r="L1264" s="350"/>
      <c r="M1264" s="350"/>
      <c r="N1264" s="350"/>
      <c r="O1264" s="350"/>
      <c r="P1264" s="352"/>
      <c r="Q1264" s="558"/>
      <c r="R1264" s="558"/>
      <c r="S1264" s="558"/>
      <c r="T1264" s="558"/>
      <c r="U1264" s="558"/>
      <c r="V1264" s="497"/>
      <c r="W1264" s="558"/>
      <c r="X1264" s="558"/>
      <c r="Y1264" s="352">
        <f>IF(NFI_Expiration=1,IF($A1264&lt;VLOOKUP(H$5,NFI,5,0),1,0)*Table_NFI[[#This Row],[Hygiene Kit]],Table_NFI[Hygiene Kit])</f>
        <v>0</v>
      </c>
      <c r="Z1264" s="352">
        <f>IF(NFI_Expiration=1,IF($A1264&lt;VLOOKUP(I$5,NFI,5,0),1,0)*Table_NFI[[#This Row],[NFI Core Kit]],Table_NFI[NFI Core Kit])</f>
        <v>0</v>
      </c>
      <c r="AA1264" s="352">
        <f>IF(NFI_Expiration=1,IF($A1264&lt;VLOOKUP(J$5,NFI,5,0),1,0)*Table_NFI[[#This Row],[Sanitary Kit]],Table_NFI[Sanitary Kit])</f>
        <v>0</v>
      </c>
      <c r="AB1264" s="352">
        <f>IF(NFI_Expiration=1,IF($A1264&lt;VLOOKUP(K$5,NFI,5,0),1,0)*Table_NFI[[#This Row],[Mosquito net]],Table_NFI[Mosquito net])</f>
        <v>0</v>
      </c>
      <c r="AC1264" s="352">
        <f>IF(NFI_Expiration=1,IF($A1264&lt;VLOOKUP(L$5,NFI,5,0),1,0)*Table_NFI[[#This Row],[Tarpaulin]],Table_NFI[[#This Row],[Tarpaulin]])</f>
        <v>0</v>
      </c>
      <c r="AD1264" s="352">
        <f>IF(NFI_Expiration=1,IF($A1264&lt;VLOOKUP(M$5,NFI,5,0),1,0)*Table_NFI[[#This Row],[Blanket]],Table_NFI[[#This Row],[Blanket]])</f>
        <v>0</v>
      </c>
      <c r="AE1264" s="352">
        <f>IF(NFI_Expiration=1,IF($A1264&lt;VLOOKUP(N$5,NFI,5,0),1,0)*Table_NFI[[#This Row],[Kitchen Set]],Table_NFI[Kitchen Set])</f>
        <v>0</v>
      </c>
      <c r="AF1264" s="352">
        <f>IF(NFI_Expiration=1,IF($A1264&lt;VLOOKUP(O$5,NFI,5,0),1,0)*Table_NFI[[#This Row],[Clothes Kit]],Table_NFI[Clothes Kit])</f>
        <v>0</v>
      </c>
      <c r="AG1264" s="352">
        <f>IF(NFI_Expiration=1,IF($A1264&lt;VLOOKUP(P$5,NFI,5,0),1,0)*Table_NFI[[#This Row],[Plastic Bucket]],Table_NFI[Plastic Bucket])</f>
        <v>0</v>
      </c>
      <c r="AH1264" s="352">
        <f>IF(NFI_Expiration=1,IF($A1264&lt;VLOOKUP(Q$5,NFI,5,0),1,0)*Table_NFI[[#This Row],[Plastic Mat]],Table_NFI[Plastic Mat])*IF(Table_NFI[[#This Row],[Distribution Date]]&gt;"2014-04-01",1,2.5)</f>
        <v>0</v>
      </c>
      <c r="AI1264" s="352">
        <f>IF(NFI_Expiration=1,IF($A1264&lt;VLOOKUP(R$5,NFI,5,0),1,0)*Table_NFI[[#This Row],[Winter Clothes Adult]],Table_NFI[Winter Clothes Adult])</f>
        <v>0</v>
      </c>
      <c r="AJ1264" s="352">
        <f>IF(NFI_Expiration=1,IF($A1264&lt;VLOOKUP(S$5,NFI,5,0),1,0)*Table_NFI[[#This Row],[Winter Clothes Children]],Table_NFI[Winter Clothes Children])</f>
        <v>0</v>
      </c>
      <c r="AK1264" s="352">
        <f>IF(NFI_Expiration=1,IF($A1264&lt;VLOOKUP(T$5,NFI,5,0),1,0)*Table_NFI[[#This Row],[Winter Items Other]],Table_NFI[Winter Items Other])</f>
        <v>0</v>
      </c>
      <c r="AL1264" s="352">
        <f>IF(NFI_Expiration=1,IF($A1264&lt;VLOOKUP(M$5,NFI,5,0),1,0)*Table_NFI[[#This Row],[Winter Blanket]],Table_NFI[[#This Row],[Winter Blanket]])</f>
        <v>0</v>
      </c>
      <c r="AM1264" s="352">
        <f>IF(Table_NFI[[#This Row],[Winter Clothes Adult]]+Table_NFI[[#This Row],[Winter Clothes Children]]+Table_NFI[[#This Row],[Winter Items Other]]+Table_NFI[[#This Row],[Winter Blanket]]&gt;0,1,0)</f>
        <v>0</v>
      </c>
      <c r="AN1264" s="392">
        <f>IF(NFI_Expiration=1,IF($A1264&lt;VLOOKUP(V$5,NFI,5,0),1,0)*Table_NFI[[#This Row],[Jerry Can]],Table_NFI[Jerry Can])</f>
        <v>0</v>
      </c>
      <c r="AO1264" s="540" t="str">
        <f>IFERROR(VLOOKUP(Table_NFI[[#This Row],[Camp Name]],CL,2,0),"")</f>
        <v/>
      </c>
      <c r="AP1264" s="535" t="str">
        <f ca="1">IF(Table_NFI[[#This Row],[Pcode]]="","",IF(OFFSET(CampList[Opening Date],MATCH(Table_NFI[[#This Row],[Pcode]],CampList[CP_Pcode],0)-1,0,1,1)&gt;=NFI_Monitor_Date,1,0))</f>
        <v/>
      </c>
      <c r="AQ1264" s="540" t="str">
        <f>IFERROR(VLOOKUP(Table_NFI[[#This Row],[Camp Name]],CL,3,0),"")</f>
        <v/>
      </c>
      <c r="AR1264" s="352" t="str">
        <f ca="1">IF(Table_NFI[[#This Row],[Pcode]]="","",OFFSET(CampList[Priority],MATCH(Table_NFI[[#This Row],[Pcode]],CampList[CP_Pcode],0)-1,0,1,1))</f>
        <v/>
      </c>
      <c r="AS1264" s="351" t="str">
        <f>IFERROR(Table_NFI[[#This Row],[Kitchen Set]]/VLOOKUP(Table_NFI[[#This Row],[Camp Name]],CL,4,0),"")</f>
        <v/>
      </c>
      <c r="AT1264" s="538"/>
      <c r="AU1264" s="541"/>
    </row>
    <row r="1265" spans="1:47" ht="14.45" hidden="1" customHeight="1" x14ac:dyDescent="0.25">
      <c r="A1265" s="355" t="str">
        <f t="shared" si="20"/>
        <v/>
      </c>
      <c r="B1265" s="532"/>
      <c r="C1265" s="538"/>
      <c r="D1265" s="538"/>
      <c r="E1265" s="538"/>
      <c r="F1265" s="538"/>
      <c r="G1265" s="538"/>
      <c r="H1265" s="350"/>
      <c r="I1265" s="350"/>
      <c r="J1265" s="350"/>
      <c r="K1265" s="350"/>
      <c r="L1265" s="350"/>
      <c r="M1265" s="350"/>
      <c r="N1265" s="350"/>
      <c r="O1265" s="350"/>
      <c r="P1265" s="352"/>
      <c r="Q1265" s="558"/>
      <c r="R1265" s="558"/>
      <c r="S1265" s="558"/>
      <c r="T1265" s="558"/>
      <c r="U1265" s="558"/>
      <c r="V1265" s="497"/>
      <c r="W1265" s="558"/>
      <c r="X1265" s="558"/>
      <c r="Y1265" s="352">
        <f>IF(NFI_Expiration=1,IF($A1265&lt;VLOOKUP(H$5,NFI,5,0),1,0)*Table_NFI[[#This Row],[Hygiene Kit]],Table_NFI[Hygiene Kit])</f>
        <v>0</v>
      </c>
      <c r="Z1265" s="352">
        <f>IF(NFI_Expiration=1,IF($A1265&lt;VLOOKUP(I$5,NFI,5,0),1,0)*Table_NFI[[#This Row],[NFI Core Kit]],Table_NFI[NFI Core Kit])</f>
        <v>0</v>
      </c>
      <c r="AA1265" s="352">
        <f>IF(NFI_Expiration=1,IF($A1265&lt;VLOOKUP(J$5,NFI,5,0),1,0)*Table_NFI[[#This Row],[Sanitary Kit]],Table_NFI[Sanitary Kit])</f>
        <v>0</v>
      </c>
      <c r="AB1265" s="352">
        <f>IF(NFI_Expiration=1,IF($A1265&lt;VLOOKUP(K$5,NFI,5,0),1,0)*Table_NFI[[#This Row],[Mosquito net]],Table_NFI[Mosquito net])</f>
        <v>0</v>
      </c>
      <c r="AC1265" s="352">
        <f>IF(NFI_Expiration=1,IF($A1265&lt;VLOOKUP(L$5,NFI,5,0),1,0)*Table_NFI[[#This Row],[Tarpaulin]],Table_NFI[[#This Row],[Tarpaulin]])</f>
        <v>0</v>
      </c>
      <c r="AD1265" s="352">
        <f>IF(NFI_Expiration=1,IF($A1265&lt;VLOOKUP(M$5,NFI,5,0),1,0)*Table_NFI[[#This Row],[Blanket]],Table_NFI[[#This Row],[Blanket]])</f>
        <v>0</v>
      </c>
      <c r="AE1265" s="352">
        <f>IF(NFI_Expiration=1,IF($A1265&lt;VLOOKUP(N$5,NFI,5,0),1,0)*Table_NFI[[#This Row],[Kitchen Set]],Table_NFI[Kitchen Set])</f>
        <v>0</v>
      </c>
      <c r="AF1265" s="352">
        <f>IF(NFI_Expiration=1,IF($A1265&lt;VLOOKUP(O$5,NFI,5,0),1,0)*Table_NFI[[#This Row],[Clothes Kit]],Table_NFI[Clothes Kit])</f>
        <v>0</v>
      </c>
      <c r="AG1265" s="352">
        <f>IF(NFI_Expiration=1,IF($A1265&lt;VLOOKUP(P$5,NFI,5,0),1,0)*Table_NFI[[#This Row],[Plastic Bucket]],Table_NFI[Plastic Bucket])</f>
        <v>0</v>
      </c>
      <c r="AH1265" s="352">
        <f>IF(NFI_Expiration=1,IF($A1265&lt;VLOOKUP(Q$5,NFI,5,0),1,0)*Table_NFI[[#This Row],[Plastic Mat]],Table_NFI[Plastic Mat])*IF(Table_NFI[[#This Row],[Distribution Date]]&gt;"2014-04-01",1,2.5)</f>
        <v>0</v>
      </c>
      <c r="AI1265" s="352">
        <f>IF(NFI_Expiration=1,IF($A1265&lt;VLOOKUP(R$5,NFI,5,0),1,0)*Table_NFI[[#This Row],[Winter Clothes Adult]],Table_NFI[Winter Clothes Adult])</f>
        <v>0</v>
      </c>
      <c r="AJ1265" s="352">
        <f>IF(NFI_Expiration=1,IF($A1265&lt;VLOOKUP(S$5,NFI,5,0),1,0)*Table_NFI[[#This Row],[Winter Clothes Children]],Table_NFI[Winter Clothes Children])</f>
        <v>0</v>
      </c>
      <c r="AK1265" s="352">
        <f>IF(NFI_Expiration=1,IF($A1265&lt;VLOOKUP(T$5,NFI,5,0),1,0)*Table_NFI[[#This Row],[Winter Items Other]],Table_NFI[Winter Items Other])</f>
        <v>0</v>
      </c>
      <c r="AL1265" s="352">
        <f>IF(NFI_Expiration=1,IF($A1265&lt;VLOOKUP(M$5,NFI,5,0),1,0)*Table_NFI[[#This Row],[Winter Blanket]],Table_NFI[[#This Row],[Winter Blanket]])</f>
        <v>0</v>
      </c>
      <c r="AM1265" s="352">
        <f>IF(Table_NFI[[#This Row],[Winter Clothes Adult]]+Table_NFI[[#This Row],[Winter Clothes Children]]+Table_NFI[[#This Row],[Winter Items Other]]+Table_NFI[[#This Row],[Winter Blanket]]&gt;0,1,0)</f>
        <v>0</v>
      </c>
      <c r="AN1265" s="392">
        <f>IF(NFI_Expiration=1,IF($A1265&lt;VLOOKUP(V$5,NFI,5,0),1,0)*Table_NFI[[#This Row],[Jerry Can]],Table_NFI[Jerry Can])</f>
        <v>0</v>
      </c>
      <c r="AO1265" s="540" t="str">
        <f>IFERROR(VLOOKUP(Table_NFI[[#This Row],[Camp Name]],CL,2,0),"")</f>
        <v/>
      </c>
      <c r="AP1265" s="535" t="str">
        <f ca="1">IF(Table_NFI[[#This Row],[Pcode]]="","",IF(OFFSET(CampList[Opening Date],MATCH(Table_NFI[[#This Row],[Pcode]],CampList[CP_Pcode],0)-1,0,1,1)&gt;=NFI_Monitor_Date,1,0))</f>
        <v/>
      </c>
      <c r="AQ1265" s="540" t="str">
        <f>IFERROR(VLOOKUP(Table_NFI[[#This Row],[Camp Name]],CL,3,0),"")</f>
        <v/>
      </c>
      <c r="AR1265" s="352" t="str">
        <f ca="1">IF(Table_NFI[[#This Row],[Pcode]]="","",OFFSET(CampList[Priority],MATCH(Table_NFI[[#This Row],[Pcode]],CampList[CP_Pcode],0)-1,0,1,1))</f>
        <v/>
      </c>
      <c r="AS1265" s="351" t="str">
        <f>IFERROR(Table_NFI[[#This Row],[Kitchen Set]]/VLOOKUP(Table_NFI[[#This Row],[Camp Name]],CL,4,0),"")</f>
        <v/>
      </c>
      <c r="AT1265" s="538"/>
      <c r="AU1265" s="541"/>
    </row>
    <row r="1266" spans="1:47" ht="14.45" hidden="1" customHeight="1" x14ac:dyDescent="0.25">
      <c r="A1266" s="355" t="str">
        <f t="shared" si="20"/>
        <v/>
      </c>
      <c r="B1266" s="532"/>
      <c r="C1266" s="538"/>
      <c r="D1266" s="538"/>
      <c r="E1266" s="538"/>
      <c r="F1266" s="538"/>
      <c r="G1266" s="538"/>
      <c r="H1266" s="350"/>
      <c r="I1266" s="350"/>
      <c r="J1266" s="350"/>
      <c r="K1266" s="350"/>
      <c r="L1266" s="350"/>
      <c r="M1266" s="350"/>
      <c r="N1266" s="350"/>
      <c r="O1266" s="350"/>
      <c r="P1266" s="352"/>
      <c r="Q1266" s="558"/>
      <c r="R1266" s="558"/>
      <c r="S1266" s="558"/>
      <c r="T1266" s="558"/>
      <c r="U1266" s="558"/>
      <c r="V1266" s="497"/>
      <c r="W1266" s="558"/>
      <c r="X1266" s="558"/>
      <c r="Y1266" s="352">
        <f>IF(NFI_Expiration=1,IF($A1266&lt;VLOOKUP(H$5,NFI,5,0),1,0)*Table_NFI[[#This Row],[Hygiene Kit]],Table_NFI[Hygiene Kit])</f>
        <v>0</v>
      </c>
      <c r="Z1266" s="352">
        <f>IF(NFI_Expiration=1,IF($A1266&lt;VLOOKUP(I$5,NFI,5,0),1,0)*Table_NFI[[#This Row],[NFI Core Kit]],Table_NFI[NFI Core Kit])</f>
        <v>0</v>
      </c>
      <c r="AA1266" s="352">
        <f>IF(NFI_Expiration=1,IF($A1266&lt;VLOOKUP(J$5,NFI,5,0),1,0)*Table_NFI[[#This Row],[Sanitary Kit]],Table_NFI[Sanitary Kit])</f>
        <v>0</v>
      </c>
      <c r="AB1266" s="352">
        <f>IF(NFI_Expiration=1,IF($A1266&lt;VLOOKUP(K$5,NFI,5,0),1,0)*Table_NFI[[#This Row],[Mosquito net]],Table_NFI[Mosquito net])</f>
        <v>0</v>
      </c>
      <c r="AC1266" s="352">
        <f>IF(NFI_Expiration=1,IF($A1266&lt;VLOOKUP(L$5,NFI,5,0),1,0)*Table_NFI[[#This Row],[Tarpaulin]],Table_NFI[[#This Row],[Tarpaulin]])</f>
        <v>0</v>
      </c>
      <c r="AD1266" s="352">
        <f>IF(NFI_Expiration=1,IF($A1266&lt;VLOOKUP(M$5,NFI,5,0),1,0)*Table_NFI[[#This Row],[Blanket]],Table_NFI[[#This Row],[Blanket]])</f>
        <v>0</v>
      </c>
      <c r="AE1266" s="352">
        <f>IF(NFI_Expiration=1,IF($A1266&lt;VLOOKUP(N$5,NFI,5,0),1,0)*Table_NFI[[#This Row],[Kitchen Set]],Table_NFI[Kitchen Set])</f>
        <v>0</v>
      </c>
      <c r="AF1266" s="352">
        <f>IF(NFI_Expiration=1,IF($A1266&lt;VLOOKUP(O$5,NFI,5,0),1,0)*Table_NFI[[#This Row],[Clothes Kit]],Table_NFI[Clothes Kit])</f>
        <v>0</v>
      </c>
      <c r="AG1266" s="352">
        <f>IF(NFI_Expiration=1,IF($A1266&lt;VLOOKUP(P$5,NFI,5,0),1,0)*Table_NFI[[#This Row],[Plastic Bucket]],Table_NFI[Plastic Bucket])</f>
        <v>0</v>
      </c>
      <c r="AH1266" s="352">
        <f>IF(NFI_Expiration=1,IF($A1266&lt;VLOOKUP(Q$5,NFI,5,0),1,0)*Table_NFI[[#This Row],[Plastic Mat]],Table_NFI[Plastic Mat])*IF(Table_NFI[[#This Row],[Distribution Date]]&gt;"2014-04-01",1,2.5)</f>
        <v>0</v>
      </c>
      <c r="AI1266" s="352">
        <f>IF(NFI_Expiration=1,IF($A1266&lt;VLOOKUP(R$5,NFI,5,0),1,0)*Table_NFI[[#This Row],[Winter Clothes Adult]],Table_NFI[Winter Clothes Adult])</f>
        <v>0</v>
      </c>
      <c r="AJ1266" s="352">
        <f>IF(NFI_Expiration=1,IF($A1266&lt;VLOOKUP(S$5,NFI,5,0),1,0)*Table_NFI[[#This Row],[Winter Clothes Children]],Table_NFI[Winter Clothes Children])</f>
        <v>0</v>
      </c>
      <c r="AK1266" s="352">
        <f>IF(NFI_Expiration=1,IF($A1266&lt;VLOOKUP(T$5,NFI,5,0),1,0)*Table_NFI[[#This Row],[Winter Items Other]],Table_NFI[Winter Items Other])</f>
        <v>0</v>
      </c>
      <c r="AL1266" s="352">
        <f>IF(NFI_Expiration=1,IF($A1266&lt;VLOOKUP(M$5,NFI,5,0),1,0)*Table_NFI[[#This Row],[Winter Blanket]],Table_NFI[[#This Row],[Winter Blanket]])</f>
        <v>0</v>
      </c>
      <c r="AM1266" s="352">
        <f>IF(Table_NFI[[#This Row],[Winter Clothes Adult]]+Table_NFI[[#This Row],[Winter Clothes Children]]+Table_NFI[[#This Row],[Winter Items Other]]+Table_NFI[[#This Row],[Winter Blanket]]&gt;0,1,0)</f>
        <v>0</v>
      </c>
      <c r="AN1266" s="392">
        <f>IF(NFI_Expiration=1,IF($A1266&lt;VLOOKUP(V$5,NFI,5,0),1,0)*Table_NFI[[#This Row],[Jerry Can]],Table_NFI[Jerry Can])</f>
        <v>0</v>
      </c>
      <c r="AO1266" s="540" t="str">
        <f>IFERROR(VLOOKUP(Table_NFI[[#This Row],[Camp Name]],CL,2,0),"")</f>
        <v/>
      </c>
      <c r="AP1266" s="535" t="str">
        <f ca="1">IF(Table_NFI[[#This Row],[Pcode]]="","",IF(OFFSET(CampList[Opening Date],MATCH(Table_NFI[[#This Row],[Pcode]],CampList[CP_Pcode],0)-1,0,1,1)&gt;=NFI_Monitor_Date,1,0))</f>
        <v/>
      </c>
      <c r="AQ1266" s="540" t="str">
        <f>IFERROR(VLOOKUP(Table_NFI[[#This Row],[Camp Name]],CL,3,0),"")</f>
        <v/>
      </c>
      <c r="AR1266" s="352" t="str">
        <f ca="1">IF(Table_NFI[[#This Row],[Pcode]]="","",OFFSET(CampList[Priority],MATCH(Table_NFI[[#This Row],[Pcode]],CampList[CP_Pcode],0)-1,0,1,1))</f>
        <v/>
      </c>
      <c r="AS1266" s="351" t="str">
        <f>IFERROR(Table_NFI[[#This Row],[Kitchen Set]]/VLOOKUP(Table_NFI[[#This Row],[Camp Name]],CL,4,0),"")</f>
        <v/>
      </c>
      <c r="AT1266" s="538"/>
      <c r="AU1266" s="541"/>
    </row>
    <row r="1267" spans="1:47" ht="14.45" hidden="1" customHeight="1" x14ac:dyDescent="0.25">
      <c r="A1267" s="355" t="str">
        <f t="shared" si="20"/>
        <v/>
      </c>
      <c r="B1267" s="532"/>
      <c r="C1267" s="538"/>
      <c r="D1267" s="538"/>
      <c r="E1267" s="538"/>
      <c r="F1267" s="538"/>
      <c r="G1267" s="538"/>
      <c r="H1267" s="350"/>
      <c r="I1267" s="350"/>
      <c r="J1267" s="350"/>
      <c r="K1267" s="350"/>
      <c r="L1267" s="350"/>
      <c r="M1267" s="350"/>
      <c r="N1267" s="350"/>
      <c r="O1267" s="350"/>
      <c r="P1267" s="352"/>
      <c r="Q1267" s="558"/>
      <c r="R1267" s="558"/>
      <c r="S1267" s="558"/>
      <c r="T1267" s="558"/>
      <c r="U1267" s="558"/>
      <c r="V1267" s="497"/>
      <c r="W1267" s="558"/>
      <c r="X1267" s="558"/>
      <c r="Y1267" s="352">
        <f>IF(NFI_Expiration=1,IF($A1267&lt;VLOOKUP(H$5,NFI,5,0),1,0)*Table_NFI[[#This Row],[Hygiene Kit]],Table_NFI[Hygiene Kit])</f>
        <v>0</v>
      </c>
      <c r="Z1267" s="352">
        <f>IF(NFI_Expiration=1,IF($A1267&lt;VLOOKUP(I$5,NFI,5,0),1,0)*Table_NFI[[#This Row],[NFI Core Kit]],Table_NFI[NFI Core Kit])</f>
        <v>0</v>
      </c>
      <c r="AA1267" s="352">
        <f>IF(NFI_Expiration=1,IF($A1267&lt;VLOOKUP(J$5,NFI,5,0),1,0)*Table_NFI[[#This Row],[Sanitary Kit]],Table_NFI[Sanitary Kit])</f>
        <v>0</v>
      </c>
      <c r="AB1267" s="352">
        <f>IF(NFI_Expiration=1,IF($A1267&lt;VLOOKUP(K$5,NFI,5,0),1,0)*Table_NFI[[#This Row],[Mosquito net]],Table_NFI[Mosquito net])</f>
        <v>0</v>
      </c>
      <c r="AC1267" s="352">
        <f>IF(NFI_Expiration=1,IF($A1267&lt;VLOOKUP(L$5,NFI,5,0),1,0)*Table_NFI[[#This Row],[Tarpaulin]],Table_NFI[[#This Row],[Tarpaulin]])</f>
        <v>0</v>
      </c>
      <c r="AD1267" s="352">
        <f>IF(NFI_Expiration=1,IF($A1267&lt;VLOOKUP(M$5,NFI,5,0),1,0)*Table_NFI[[#This Row],[Blanket]],Table_NFI[[#This Row],[Blanket]])</f>
        <v>0</v>
      </c>
      <c r="AE1267" s="352">
        <f>IF(NFI_Expiration=1,IF($A1267&lt;VLOOKUP(N$5,NFI,5,0),1,0)*Table_NFI[[#This Row],[Kitchen Set]],Table_NFI[Kitchen Set])</f>
        <v>0</v>
      </c>
      <c r="AF1267" s="352">
        <f>IF(NFI_Expiration=1,IF($A1267&lt;VLOOKUP(O$5,NFI,5,0),1,0)*Table_NFI[[#This Row],[Clothes Kit]],Table_NFI[Clothes Kit])</f>
        <v>0</v>
      </c>
      <c r="AG1267" s="352">
        <f>IF(NFI_Expiration=1,IF($A1267&lt;VLOOKUP(P$5,NFI,5,0),1,0)*Table_NFI[[#This Row],[Plastic Bucket]],Table_NFI[Plastic Bucket])</f>
        <v>0</v>
      </c>
      <c r="AH1267" s="352">
        <f>IF(NFI_Expiration=1,IF($A1267&lt;VLOOKUP(Q$5,NFI,5,0),1,0)*Table_NFI[[#This Row],[Plastic Mat]],Table_NFI[Plastic Mat])*IF(Table_NFI[[#This Row],[Distribution Date]]&gt;"2014-04-01",1,2.5)</f>
        <v>0</v>
      </c>
      <c r="AI1267" s="352">
        <f>IF(NFI_Expiration=1,IF($A1267&lt;VLOOKUP(R$5,NFI,5,0),1,0)*Table_NFI[[#This Row],[Winter Clothes Adult]],Table_NFI[Winter Clothes Adult])</f>
        <v>0</v>
      </c>
      <c r="AJ1267" s="352">
        <f>IF(NFI_Expiration=1,IF($A1267&lt;VLOOKUP(S$5,NFI,5,0),1,0)*Table_NFI[[#This Row],[Winter Clothes Children]],Table_NFI[Winter Clothes Children])</f>
        <v>0</v>
      </c>
      <c r="AK1267" s="352">
        <f>IF(NFI_Expiration=1,IF($A1267&lt;VLOOKUP(T$5,NFI,5,0),1,0)*Table_NFI[[#This Row],[Winter Items Other]],Table_NFI[Winter Items Other])</f>
        <v>0</v>
      </c>
      <c r="AL1267" s="352">
        <f>IF(NFI_Expiration=1,IF($A1267&lt;VLOOKUP(M$5,NFI,5,0),1,0)*Table_NFI[[#This Row],[Winter Blanket]],Table_NFI[[#This Row],[Winter Blanket]])</f>
        <v>0</v>
      </c>
      <c r="AM1267" s="352">
        <f>IF(Table_NFI[[#This Row],[Winter Clothes Adult]]+Table_NFI[[#This Row],[Winter Clothes Children]]+Table_NFI[[#This Row],[Winter Items Other]]+Table_NFI[[#This Row],[Winter Blanket]]&gt;0,1,0)</f>
        <v>0</v>
      </c>
      <c r="AN1267" s="392">
        <f>IF(NFI_Expiration=1,IF($A1267&lt;VLOOKUP(V$5,NFI,5,0),1,0)*Table_NFI[[#This Row],[Jerry Can]],Table_NFI[Jerry Can])</f>
        <v>0</v>
      </c>
      <c r="AO1267" s="540" t="str">
        <f>IFERROR(VLOOKUP(Table_NFI[[#This Row],[Camp Name]],CL,2,0),"")</f>
        <v/>
      </c>
      <c r="AP1267" s="535" t="str">
        <f ca="1">IF(Table_NFI[[#This Row],[Pcode]]="","",IF(OFFSET(CampList[Opening Date],MATCH(Table_NFI[[#This Row],[Pcode]],CampList[CP_Pcode],0)-1,0,1,1)&gt;=NFI_Monitor_Date,1,0))</f>
        <v/>
      </c>
      <c r="AQ1267" s="540" t="str">
        <f>IFERROR(VLOOKUP(Table_NFI[[#This Row],[Camp Name]],CL,3,0),"")</f>
        <v/>
      </c>
      <c r="AR1267" s="352" t="str">
        <f ca="1">IF(Table_NFI[[#This Row],[Pcode]]="","",OFFSET(CampList[Priority],MATCH(Table_NFI[[#This Row],[Pcode]],CampList[CP_Pcode],0)-1,0,1,1))</f>
        <v/>
      </c>
      <c r="AS1267" s="351" t="str">
        <f>IFERROR(Table_NFI[[#This Row],[Kitchen Set]]/VLOOKUP(Table_NFI[[#This Row],[Camp Name]],CL,4,0),"")</f>
        <v/>
      </c>
      <c r="AT1267" s="538"/>
      <c r="AU1267" s="541"/>
    </row>
    <row r="1268" spans="1:47" ht="14.45" hidden="1" customHeight="1" x14ac:dyDescent="0.25">
      <c r="A1268" s="355" t="str">
        <f t="shared" si="20"/>
        <v/>
      </c>
      <c r="B1268" s="532"/>
      <c r="C1268" s="538"/>
      <c r="D1268" s="538"/>
      <c r="E1268" s="538"/>
      <c r="F1268" s="538"/>
      <c r="G1268" s="538"/>
      <c r="H1268" s="350"/>
      <c r="I1268" s="350"/>
      <c r="J1268" s="350"/>
      <c r="K1268" s="350"/>
      <c r="L1268" s="350"/>
      <c r="M1268" s="350"/>
      <c r="N1268" s="350"/>
      <c r="O1268" s="350"/>
      <c r="P1268" s="352"/>
      <c r="Q1268" s="558"/>
      <c r="R1268" s="558"/>
      <c r="S1268" s="558"/>
      <c r="T1268" s="558"/>
      <c r="U1268" s="558"/>
      <c r="V1268" s="497"/>
      <c r="W1268" s="558"/>
      <c r="X1268" s="558"/>
      <c r="Y1268" s="352">
        <f>IF(NFI_Expiration=1,IF($A1268&lt;VLOOKUP(H$5,NFI,5,0),1,0)*Table_NFI[[#This Row],[Hygiene Kit]],Table_NFI[Hygiene Kit])</f>
        <v>0</v>
      </c>
      <c r="Z1268" s="352">
        <f>IF(NFI_Expiration=1,IF($A1268&lt;VLOOKUP(I$5,NFI,5,0),1,0)*Table_NFI[[#This Row],[NFI Core Kit]],Table_NFI[NFI Core Kit])</f>
        <v>0</v>
      </c>
      <c r="AA1268" s="352">
        <f>IF(NFI_Expiration=1,IF($A1268&lt;VLOOKUP(J$5,NFI,5,0),1,0)*Table_NFI[[#This Row],[Sanitary Kit]],Table_NFI[Sanitary Kit])</f>
        <v>0</v>
      </c>
      <c r="AB1268" s="352">
        <f>IF(NFI_Expiration=1,IF($A1268&lt;VLOOKUP(K$5,NFI,5,0),1,0)*Table_NFI[[#This Row],[Mosquito net]],Table_NFI[Mosquito net])</f>
        <v>0</v>
      </c>
      <c r="AC1268" s="352">
        <f>IF(NFI_Expiration=1,IF($A1268&lt;VLOOKUP(L$5,NFI,5,0),1,0)*Table_NFI[[#This Row],[Tarpaulin]],Table_NFI[[#This Row],[Tarpaulin]])</f>
        <v>0</v>
      </c>
      <c r="AD1268" s="352">
        <f>IF(NFI_Expiration=1,IF($A1268&lt;VLOOKUP(M$5,NFI,5,0),1,0)*Table_NFI[[#This Row],[Blanket]],Table_NFI[[#This Row],[Blanket]])</f>
        <v>0</v>
      </c>
      <c r="AE1268" s="352">
        <f>IF(NFI_Expiration=1,IF($A1268&lt;VLOOKUP(N$5,NFI,5,0),1,0)*Table_NFI[[#This Row],[Kitchen Set]],Table_NFI[Kitchen Set])</f>
        <v>0</v>
      </c>
      <c r="AF1268" s="352">
        <f>IF(NFI_Expiration=1,IF($A1268&lt;VLOOKUP(O$5,NFI,5,0),1,0)*Table_NFI[[#This Row],[Clothes Kit]],Table_NFI[Clothes Kit])</f>
        <v>0</v>
      </c>
      <c r="AG1268" s="352">
        <f>IF(NFI_Expiration=1,IF($A1268&lt;VLOOKUP(P$5,NFI,5,0),1,0)*Table_NFI[[#This Row],[Plastic Bucket]],Table_NFI[Plastic Bucket])</f>
        <v>0</v>
      </c>
      <c r="AH1268" s="352">
        <f>IF(NFI_Expiration=1,IF($A1268&lt;VLOOKUP(Q$5,NFI,5,0),1,0)*Table_NFI[[#This Row],[Plastic Mat]],Table_NFI[Plastic Mat])*IF(Table_NFI[[#This Row],[Distribution Date]]&gt;"2014-04-01",1,2.5)</f>
        <v>0</v>
      </c>
      <c r="AI1268" s="352">
        <f>IF(NFI_Expiration=1,IF($A1268&lt;VLOOKUP(R$5,NFI,5,0),1,0)*Table_NFI[[#This Row],[Winter Clothes Adult]],Table_NFI[Winter Clothes Adult])</f>
        <v>0</v>
      </c>
      <c r="AJ1268" s="352">
        <f>IF(NFI_Expiration=1,IF($A1268&lt;VLOOKUP(S$5,NFI,5,0),1,0)*Table_NFI[[#This Row],[Winter Clothes Children]],Table_NFI[Winter Clothes Children])</f>
        <v>0</v>
      </c>
      <c r="AK1268" s="352">
        <f>IF(NFI_Expiration=1,IF($A1268&lt;VLOOKUP(T$5,NFI,5,0),1,0)*Table_NFI[[#This Row],[Winter Items Other]],Table_NFI[Winter Items Other])</f>
        <v>0</v>
      </c>
      <c r="AL1268" s="352">
        <f>IF(NFI_Expiration=1,IF($A1268&lt;VLOOKUP(M$5,NFI,5,0),1,0)*Table_NFI[[#This Row],[Winter Blanket]],Table_NFI[[#This Row],[Winter Blanket]])</f>
        <v>0</v>
      </c>
      <c r="AM1268" s="352">
        <f>IF(Table_NFI[[#This Row],[Winter Clothes Adult]]+Table_NFI[[#This Row],[Winter Clothes Children]]+Table_NFI[[#This Row],[Winter Items Other]]+Table_NFI[[#This Row],[Winter Blanket]]&gt;0,1,0)</f>
        <v>0</v>
      </c>
      <c r="AN1268" s="392">
        <f>IF(NFI_Expiration=1,IF($A1268&lt;VLOOKUP(V$5,NFI,5,0),1,0)*Table_NFI[[#This Row],[Jerry Can]],Table_NFI[Jerry Can])</f>
        <v>0</v>
      </c>
      <c r="AO1268" s="540" t="str">
        <f>IFERROR(VLOOKUP(Table_NFI[[#This Row],[Camp Name]],CL,2,0),"")</f>
        <v/>
      </c>
      <c r="AP1268" s="535" t="str">
        <f ca="1">IF(Table_NFI[[#This Row],[Pcode]]="","",IF(OFFSET(CampList[Opening Date],MATCH(Table_NFI[[#This Row],[Pcode]],CampList[CP_Pcode],0)-1,0,1,1)&gt;=NFI_Monitor_Date,1,0))</f>
        <v/>
      </c>
      <c r="AQ1268" s="540" t="str">
        <f>IFERROR(VLOOKUP(Table_NFI[[#This Row],[Camp Name]],CL,3,0),"")</f>
        <v/>
      </c>
      <c r="AR1268" s="352" t="str">
        <f ca="1">IF(Table_NFI[[#This Row],[Pcode]]="","",OFFSET(CampList[Priority],MATCH(Table_NFI[[#This Row],[Pcode]],CampList[CP_Pcode],0)-1,0,1,1))</f>
        <v/>
      </c>
      <c r="AS1268" s="351" t="str">
        <f>IFERROR(Table_NFI[[#This Row],[Kitchen Set]]/VLOOKUP(Table_NFI[[#This Row],[Camp Name]],CL,4,0),"")</f>
        <v/>
      </c>
      <c r="AT1268" s="538"/>
      <c r="AU1268" s="541"/>
    </row>
    <row r="1269" spans="1:47" ht="14.45" hidden="1" customHeight="1" x14ac:dyDescent="0.25">
      <c r="A1269" s="355" t="str">
        <f t="shared" si="20"/>
        <v/>
      </c>
      <c r="B1269" s="532"/>
      <c r="C1269" s="538"/>
      <c r="D1269" s="538"/>
      <c r="E1269" s="538"/>
      <c r="F1269" s="538"/>
      <c r="G1269" s="538"/>
      <c r="H1269" s="350"/>
      <c r="I1269" s="350"/>
      <c r="J1269" s="350"/>
      <c r="K1269" s="350"/>
      <c r="L1269" s="350"/>
      <c r="M1269" s="350"/>
      <c r="N1269" s="350"/>
      <c r="O1269" s="350"/>
      <c r="P1269" s="352"/>
      <c r="Q1269" s="558"/>
      <c r="R1269" s="558"/>
      <c r="S1269" s="558"/>
      <c r="T1269" s="558"/>
      <c r="U1269" s="558"/>
      <c r="V1269" s="497"/>
      <c r="W1269" s="558"/>
      <c r="X1269" s="558"/>
      <c r="Y1269" s="352">
        <f>IF(NFI_Expiration=1,IF($A1269&lt;VLOOKUP(H$5,NFI,5,0),1,0)*Table_NFI[[#This Row],[Hygiene Kit]],Table_NFI[Hygiene Kit])</f>
        <v>0</v>
      </c>
      <c r="Z1269" s="352">
        <f>IF(NFI_Expiration=1,IF($A1269&lt;VLOOKUP(I$5,NFI,5,0),1,0)*Table_NFI[[#This Row],[NFI Core Kit]],Table_NFI[NFI Core Kit])</f>
        <v>0</v>
      </c>
      <c r="AA1269" s="352">
        <f>IF(NFI_Expiration=1,IF($A1269&lt;VLOOKUP(J$5,NFI,5,0),1,0)*Table_NFI[[#This Row],[Sanitary Kit]],Table_NFI[Sanitary Kit])</f>
        <v>0</v>
      </c>
      <c r="AB1269" s="352">
        <f>IF(NFI_Expiration=1,IF($A1269&lt;VLOOKUP(K$5,NFI,5,0),1,0)*Table_NFI[[#This Row],[Mosquito net]],Table_NFI[Mosquito net])</f>
        <v>0</v>
      </c>
      <c r="AC1269" s="352">
        <f>IF(NFI_Expiration=1,IF($A1269&lt;VLOOKUP(L$5,NFI,5,0),1,0)*Table_NFI[[#This Row],[Tarpaulin]],Table_NFI[[#This Row],[Tarpaulin]])</f>
        <v>0</v>
      </c>
      <c r="AD1269" s="352">
        <f>IF(NFI_Expiration=1,IF($A1269&lt;VLOOKUP(M$5,NFI,5,0),1,0)*Table_NFI[[#This Row],[Blanket]],Table_NFI[[#This Row],[Blanket]])</f>
        <v>0</v>
      </c>
      <c r="AE1269" s="352">
        <f>IF(NFI_Expiration=1,IF($A1269&lt;VLOOKUP(N$5,NFI,5,0),1,0)*Table_NFI[[#This Row],[Kitchen Set]],Table_NFI[Kitchen Set])</f>
        <v>0</v>
      </c>
      <c r="AF1269" s="352">
        <f>IF(NFI_Expiration=1,IF($A1269&lt;VLOOKUP(O$5,NFI,5,0),1,0)*Table_NFI[[#This Row],[Clothes Kit]],Table_NFI[Clothes Kit])</f>
        <v>0</v>
      </c>
      <c r="AG1269" s="352">
        <f>IF(NFI_Expiration=1,IF($A1269&lt;VLOOKUP(P$5,NFI,5,0),1,0)*Table_NFI[[#This Row],[Plastic Bucket]],Table_NFI[Plastic Bucket])</f>
        <v>0</v>
      </c>
      <c r="AH1269" s="352">
        <f>IF(NFI_Expiration=1,IF($A1269&lt;VLOOKUP(Q$5,NFI,5,0),1,0)*Table_NFI[[#This Row],[Plastic Mat]],Table_NFI[Plastic Mat])*IF(Table_NFI[[#This Row],[Distribution Date]]&gt;"2014-04-01",1,2.5)</f>
        <v>0</v>
      </c>
      <c r="AI1269" s="352">
        <f>IF(NFI_Expiration=1,IF($A1269&lt;VLOOKUP(R$5,NFI,5,0),1,0)*Table_NFI[[#This Row],[Winter Clothes Adult]],Table_NFI[Winter Clothes Adult])</f>
        <v>0</v>
      </c>
      <c r="AJ1269" s="352">
        <f>IF(NFI_Expiration=1,IF($A1269&lt;VLOOKUP(S$5,NFI,5,0),1,0)*Table_NFI[[#This Row],[Winter Clothes Children]],Table_NFI[Winter Clothes Children])</f>
        <v>0</v>
      </c>
      <c r="AK1269" s="352">
        <f>IF(NFI_Expiration=1,IF($A1269&lt;VLOOKUP(T$5,NFI,5,0),1,0)*Table_NFI[[#This Row],[Winter Items Other]],Table_NFI[Winter Items Other])</f>
        <v>0</v>
      </c>
      <c r="AL1269" s="352">
        <f>IF(NFI_Expiration=1,IF($A1269&lt;VLOOKUP(M$5,NFI,5,0),1,0)*Table_NFI[[#This Row],[Winter Blanket]],Table_NFI[[#This Row],[Winter Blanket]])</f>
        <v>0</v>
      </c>
      <c r="AM1269" s="352">
        <f>IF(Table_NFI[[#This Row],[Winter Clothes Adult]]+Table_NFI[[#This Row],[Winter Clothes Children]]+Table_NFI[[#This Row],[Winter Items Other]]+Table_NFI[[#This Row],[Winter Blanket]]&gt;0,1,0)</f>
        <v>0</v>
      </c>
      <c r="AN1269" s="392">
        <f>IF(NFI_Expiration=1,IF($A1269&lt;VLOOKUP(V$5,NFI,5,0),1,0)*Table_NFI[[#This Row],[Jerry Can]],Table_NFI[Jerry Can])</f>
        <v>0</v>
      </c>
      <c r="AO1269" s="540" t="str">
        <f>IFERROR(VLOOKUP(Table_NFI[[#This Row],[Camp Name]],CL,2,0),"")</f>
        <v/>
      </c>
      <c r="AP1269" s="535" t="str">
        <f ca="1">IF(Table_NFI[[#This Row],[Pcode]]="","",IF(OFFSET(CampList[Opening Date],MATCH(Table_NFI[[#This Row],[Pcode]],CampList[CP_Pcode],0)-1,0,1,1)&gt;=NFI_Monitor_Date,1,0))</f>
        <v/>
      </c>
      <c r="AQ1269" s="540" t="str">
        <f>IFERROR(VLOOKUP(Table_NFI[[#This Row],[Camp Name]],CL,3,0),"")</f>
        <v/>
      </c>
      <c r="AR1269" s="352" t="str">
        <f ca="1">IF(Table_NFI[[#This Row],[Pcode]]="","",OFFSET(CampList[Priority],MATCH(Table_NFI[[#This Row],[Pcode]],CampList[CP_Pcode],0)-1,0,1,1))</f>
        <v/>
      </c>
      <c r="AS1269" s="351" t="str">
        <f>IFERROR(Table_NFI[[#This Row],[Kitchen Set]]/VLOOKUP(Table_NFI[[#This Row],[Camp Name]],CL,4,0),"")</f>
        <v/>
      </c>
      <c r="AT1269" s="538"/>
      <c r="AU1269" s="541"/>
    </row>
    <row r="1270" spans="1:47" ht="14.45" hidden="1" customHeight="1" x14ac:dyDescent="0.25">
      <c r="A1270" s="355" t="str">
        <f t="shared" si="20"/>
        <v/>
      </c>
      <c r="B1270" s="532"/>
      <c r="C1270" s="538"/>
      <c r="D1270" s="538"/>
      <c r="E1270" s="538"/>
      <c r="F1270" s="538"/>
      <c r="G1270" s="538"/>
      <c r="H1270" s="350"/>
      <c r="I1270" s="350"/>
      <c r="J1270" s="350"/>
      <c r="K1270" s="350"/>
      <c r="L1270" s="350"/>
      <c r="M1270" s="350"/>
      <c r="N1270" s="350"/>
      <c r="O1270" s="350"/>
      <c r="P1270" s="352"/>
      <c r="Q1270" s="558"/>
      <c r="R1270" s="558"/>
      <c r="S1270" s="558"/>
      <c r="T1270" s="558"/>
      <c r="U1270" s="558"/>
      <c r="V1270" s="497"/>
      <c r="W1270" s="558"/>
      <c r="X1270" s="558"/>
      <c r="Y1270" s="352">
        <f>IF(NFI_Expiration=1,IF($A1270&lt;VLOOKUP(H$5,NFI,5,0),1,0)*Table_NFI[[#This Row],[Hygiene Kit]],Table_NFI[Hygiene Kit])</f>
        <v>0</v>
      </c>
      <c r="Z1270" s="352">
        <f>IF(NFI_Expiration=1,IF($A1270&lt;VLOOKUP(I$5,NFI,5,0),1,0)*Table_NFI[[#This Row],[NFI Core Kit]],Table_NFI[NFI Core Kit])</f>
        <v>0</v>
      </c>
      <c r="AA1270" s="352">
        <f>IF(NFI_Expiration=1,IF($A1270&lt;VLOOKUP(J$5,NFI,5,0),1,0)*Table_NFI[[#This Row],[Sanitary Kit]],Table_NFI[Sanitary Kit])</f>
        <v>0</v>
      </c>
      <c r="AB1270" s="352">
        <f>IF(NFI_Expiration=1,IF($A1270&lt;VLOOKUP(K$5,NFI,5,0),1,0)*Table_NFI[[#This Row],[Mosquito net]],Table_NFI[Mosquito net])</f>
        <v>0</v>
      </c>
      <c r="AC1270" s="352">
        <f>IF(NFI_Expiration=1,IF($A1270&lt;VLOOKUP(L$5,NFI,5,0),1,0)*Table_NFI[[#This Row],[Tarpaulin]],Table_NFI[[#This Row],[Tarpaulin]])</f>
        <v>0</v>
      </c>
      <c r="AD1270" s="352">
        <f>IF(NFI_Expiration=1,IF($A1270&lt;VLOOKUP(M$5,NFI,5,0),1,0)*Table_NFI[[#This Row],[Blanket]],Table_NFI[[#This Row],[Blanket]])</f>
        <v>0</v>
      </c>
      <c r="AE1270" s="352">
        <f>IF(NFI_Expiration=1,IF($A1270&lt;VLOOKUP(N$5,NFI,5,0),1,0)*Table_NFI[[#This Row],[Kitchen Set]],Table_NFI[Kitchen Set])</f>
        <v>0</v>
      </c>
      <c r="AF1270" s="352">
        <f>IF(NFI_Expiration=1,IF($A1270&lt;VLOOKUP(O$5,NFI,5,0),1,0)*Table_NFI[[#This Row],[Clothes Kit]],Table_NFI[Clothes Kit])</f>
        <v>0</v>
      </c>
      <c r="AG1270" s="352">
        <f>IF(NFI_Expiration=1,IF($A1270&lt;VLOOKUP(P$5,NFI,5,0),1,0)*Table_NFI[[#This Row],[Plastic Bucket]],Table_NFI[Plastic Bucket])</f>
        <v>0</v>
      </c>
      <c r="AH1270" s="352">
        <f>IF(NFI_Expiration=1,IF($A1270&lt;VLOOKUP(Q$5,NFI,5,0),1,0)*Table_NFI[[#This Row],[Plastic Mat]],Table_NFI[Plastic Mat])*IF(Table_NFI[[#This Row],[Distribution Date]]&gt;"2014-04-01",1,2.5)</f>
        <v>0</v>
      </c>
      <c r="AI1270" s="352">
        <f>IF(NFI_Expiration=1,IF($A1270&lt;VLOOKUP(R$5,NFI,5,0),1,0)*Table_NFI[[#This Row],[Winter Clothes Adult]],Table_NFI[Winter Clothes Adult])</f>
        <v>0</v>
      </c>
      <c r="AJ1270" s="352">
        <f>IF(NFI_Expiration=1,IF($A1270&lt;VLOOKUP(S$5,NFI,5,0),1,0)*Table_NFI[[#This Row],[Winter Clothes Children]],Table_NFI[Winter Clothes Children])</f>
        <v>0</v>
      </c>
      <c r="AK1270" s="352">
        <f>IF(NFI_Expiration=1,IF($A1270&lt;VLOOKUP(T$5,NFI,5,0),1,0)*Table_NFI[[#This Row],[Winter Items Other]],Table_NFI[Winter Items Other])</f>
        <v>0</v>
      </c>
      <c r="AL1270" s="352">
        <f>IF(NFI_Expiration=1,IF($A1270&lt;VLOOKUP(M$5,NFI,5,0),1,0)*Table_NFI[[#This Row],[Winter Blanket]],Table_NFI[[#This Row],[Winter Blanket]])</f>
        <v>0</v>
      </c>
      <c r="AM1270" s="352">
        <f>IF(Table_NFI[[#This Row],[Winter Clothes Adult]]+Table_NFI[[#This Row],[Winter Clothes Children]]+Table_NFI[[#This Row],[Winter Items Other]]+Table_NFI[[#This Row],[Winter Blanket]]&gt;0,1,0)</f>
        <v>0</v>
      </c>
      <c r="AN1270" s="392">
        <f>IF(NFI_Expiration=1,IF($A1270&lt;VLOOKUP(V$5,NFI,5,0),1,0)*Table_NFI[[#This Row],[Jerry Can]],Table_NFI[Jerry Can])</f>
        <v>0</v>
      </c>
      <c r="AO1270" s="540" t="str">
        <f>IFERROR(VLOOKUP(Table_NFI[[#This Row],[Camp Name]],CL,2,0),"")</f>
        <v/>
      </c>
      <c r="AP1270" s="535" t="str">
        <f ca="1">IF(Table_NFI[[#This Row],[Pcode]]="","",IF(OFFSET(CampList[Opening Date],MATCH(Table_NFI[[#This Row],[Pcode]],CampList[CP_Pcode],0)-1,0,1,1)&gt;=NFI_Monitor_Date,1,0))</f>
        <v/>
      </c>
      <c r="AQ1270" s="540" t="str">
        <f>IFERROR(VLOOKUP(Table_NFI[[#This Row],[Camp Name]],CL,3,0),"")</f>
        <v/>
      </c>
      <c r="AR1270" s="352" t="str">
        <f ca="1">IF(Table_NFI[[#This Row],[Pcode]]="","",OFFSET(CampList[Priority],MATCH(Table_NFI[[#This Row],[Pcode]],CampList[CP_Pcode],0)-1,0,1,1))</f>
        <v/>
      </c>
      <c r="AS1270" s="351" t="str">
        <f>IFERROR(Table_NFI[[#This Row],[Kitchen Set]]/VLOOKUP(Table_NFI[[#This Row],[Camp Name]],CL,4,0),"")</f>
        <v/>
      </c>
      <c r="AT1270" s="538"/>
      <c r="AU1270" s="541"/>
    </row>
    <row r="1271" spans="1:47" ht="14.45" hidden="1" customHeight="1" x14ac:dyDescent="0.25">
      <c r="A1271" s="355" t="str">
        <f t="shared" si="20"/>
        <v/>
      </c>
      <c r="B1271" s="532"/>
      <c r="C1271" s="538"/>
      <c r="D1271" s="538"/>
      <c r="E1271" s="538"/>
      <c r="F1271" s="538"/>
      <c r="G1271" s="538"/>
      <c r="H1271" s="350"/>
      <c r="I1271" s="350"/>
      <c r="J1271" s="350"/>
      <c r="K1271" s="350"/>
      <c r="L1271" s="350"/>
      <c r="M1271" s="350"/>
      <c r="N1271" s="350"/>
      <c r="O1271" s="350"/>
      <c r="P1271" s="352"/>
      <c r="Q1271" s="558"/>
      <c r="R1271" s="558"/>
      <c r="S1271" s="558"/>
      <c r="T1271" s="558"/>
      <c r="U1271" s="558"/>
      <c r="V1271" s="497"/>
      <c r="W1271" s="558"/>
      <c r="X1271" s="558"/>
      <c r="Y1271" s="352">
        <f>IF(NFI_Expiration=1,IF($A1271&lt;VLOOKUP(H$5,NFI,5,0),1,0)*Table_NFI[[#This Row],[Hygiene Kit]],Table_NFI[Hygiene Kit])</f>
        <v>0</v>
      </c>
      <c r="Z1271" s="352">
        <f>IF(NFI_Expiration=1,IF($A1271&lt;VLOOKUP(I$5,NFI,5,0),1,0)*Table_NFI[[#This Row],[NFI Core Kit]],Table_NFI[NFI Core Kit])</f>
        <v>0</v>
      </c>
      <c r="AA1271" s="352">
        <f>IF(NFI_Expiration=1,IF($A1271&lt;VLOOKUP(J$5,NFI,5,0),1,0)*Table_NFI[[#This Row],[Sanitary Kit]],Table_NFI[Sanitary Kit])</f>
        <v>0</v>
      </c>
      <c r="AB1271" s="352">
        <f>IF(NFI_Expiration=1,IF($A1271&lt;VLOOKUP(K$5,NFI,5,0),1,0)*Table_NFI[[#This Row],[Mosquito net]],Table_NFI[Mosquito net])</f>
        <v>0</v>
      </c>
      <c r="AC1271" s="352">
        <f>IF(NFI_Expiration=1,IF($A1271&lt;VLOOKUP(L$5,NFI,5,0),1,0)*Table_NFI[[#This Row],[Tarpaulin]],Table_NFI[[#This Row],[Tarpaulin]])</f>
        <v>0</v>
      </c>
      <c r="AD1271" s="352">
        <f>IF(NFI_Expiration=1,IF($A1271&lt;VLOOKUP(M$5,NFI,5,0),1,0)*Table_NFI[[#This Row],[Blanket]],Table_NFI[[#This Row],[Blanket]])</f>
        <v>0</v>
      </c>
      <c r="AE1271" s="352">
        <f>IF(NFI_Expiration=1,IF($A1271&lt;VLOOKUP(N$5,NFI,5,0),1,0)*Table_NFI[[#This Row],[Kitchen Set]],Table_NFI[Kitchen Set])</f>
        <v>0</v>
      </c>
      <c r="AF1271" s="352">
        <f>IF(NFI_Expiration=1,IF($A1271&lt;VLOOKUP(O$5,NFI,5,0),1,0)*Table_NFI[[#This Row],[Clothes Kit]],Table_NFI[Clothes Kit])</f>
        <v>0</v>
      </c>
      <c r="AG1271" s="352">
        <f>IF(NFI_Expiration=1,IF($A1271&lt;VLOOKUP(P$5,NFI,5,0),1,0)*Table_NFI[[#This Row],[Plastic Bucket]],Table_NFI[Plastic Bucket])</f>
        <v>0</v>
      </c>
      <c r="AH1271" s="352">
        <f>IF(NFI_Expiration=1,IF($A1271&lt;VLOOKUP(Q$5,NFI,5,0),1,0)*Table_NFI[[#This Row],[Plastic Mat]],Table_NFI[Plastic Mat])*IF(Table_NFI[[#This Row],[Distribution Date]]&gt;"2014-04-01",1,2.5)</f>
        <v>0</v>
      </c>
      <c r="AI1271" s="352">
        <f>IF(NFI_Expiration=1,IF($A1271&lt;VLOOKUP(R$5,NFI,5,0),1,0)*Table_NFI[[#This Row],[Winter Clothes Adult]],Table_NFI[Winter Clothes Adult])</f>
        <v>0</v>
      </c>
      <c r="AJ1271" s="352">
        <f>IF(NFI_Expiration=1,IF($A1271&lt;VLOOKUP(S$5,NFI,5,0),1,0)*Table_NFI[[#This Row],[Winter Clothes Children]],Table_NFI[Winter Clothes Children])</f>
        <v>0</v>
      </c>
      <c r="AK1271" s="352">
        <f>IF(NFI_Expiration=1,IF($A1271&lt;VLOOKUP(T$5,NFI,5,0),1,0)*Table_NFI[[#This Row],[Winter Items Other]],Table_NFI[Winter Items Other])</f>
        <v>0</v>
      </c>
      <c r="AL1271" s="352">
        <f>IF(NFI_Expiration=1,IF($A1271&lt;VLOOKUP(M$5,NFI,5,0),1,0)*Table_NFI[[#This Row],[Winter Blanket]],Table_NFI[[#This Row],[Winter Blanket]])</f>
        <v>0</v>
      </c>
      <c r="AM1271" s="352">
        <f>IF(Table_NFI[[#This Row],[Winter Clothes Adult]]+Table_NFI[[#This Row],[Winter Clothes Children]]+Table_NFI[[#This Row],[Winter Items Other]]+Table_NFI[[#This Row],[Winter Blanket]]&gt;0,1,0)</f>
        <v>0</v>
      </c>
      <c r="AN1271" s="392">
        <f>IF(NFI_Expiration=1,IF($A1271&lt;VLOOKUP(V$5,NFI,5,0),1,0)*Table_NFI[[#This Row],[Jerry Can]],Table_NFI[Jerry Can])</f>
        <v>0</v>
      </c>
      <c r="AO1271" s="540" t="str">
        <f>IFERROR(VLOOKUP(Table_NFI[[#This Row],[Camp Name]],CL,2,0),"")</f>
        <v/>
      </c>
      <c r="AP1271" s="535" t="str">
        <f ca="1">IF(Table_NFI[[#This Row],[Pcode]]="","",IF(OFFSET(CampList[Opening Date],MATCH(Table_NFI[[#This Row],[Pcode]],CampList[CP_Pcode],0)-1,0,1,1)&gt;=NFI_Monitor_Date,1,0))</f>
        <v/>
      </c>
      <c r="AQ1271" s="540" t="str">
        <f>IFERROR(VLOOKUP(Table_NFI[[#This Row],[Camp Name]],CL,3,0),"")</f>
        <v/>
      </c>
      <c r="AR1271" s="352" t="str">
        <f ca="1">IF(Table_NFI[[#This Row],[Pcode]]="","",OFFSET(CampList[Priority],MATCH(Table_NFI[[#This Row],[Pcode]],CampList[CP_Pcode],0)-1,0,1,1))</f>
        <v/>
      </c>
      <c r="AS1271" s="351" t="str">
        <f>IFERROR(Table_NFI[[#This Row],[Kitchen Set]]/VLOOKUP(Table_NFI[[#This Row],[Camp Name]],CL,4,0),"")</f>
        <v/>
      </c>
      <c r="AT1271" s="538"/>
      <c r="AU1271" s="541"/>
    </row>
    <row r="1272" spans="1:47" ht="14.45" hidden="1" customHeight="1" x14ac:dyDescent="0.25">
      <c r="A1272" s="355" t="str">
        <f t="shared" si="20"/>
        <v/>
      </c>
      <c r="B1272" s="532"/>
      <c r="C1272" s="538"/>
      <c r="D1272" s="538"/>
      <c r="E1272" s="538"/>
      <c r="F1272" s="538"/>
      <c r="G1272" s="538"/>
      <c r="H1272" s="350"/>
      <c r="I1272" s="350"/>
      <c r="J1272" s="350"/>
      <c r="K1272" s="350"/>
      <c r="L1272" s="350"/>
      <c r="M1272" s="350"/>
      <c r="N1272" s="350"/>
      <c r="O1272" s="350"/>
      <c r="P1272" s="352"/>
      <c r="Q1272" s="558"/>
      <c r="R1272" s="558"/>
      <c r="S1272" s="558"/>
      <c r="T1272" s="558"/>
      <c r="U1272" s="558"/>
      <c r="V1272" s="497"/>
      <c r="W1272" s="558"/>
      <c r="X1272" s="558"/>
      <c r="Y1272" s="352">
        <f>IF(NFI_Expiration=1,IF($A1272&lt;VLOOKUP(H$5,NFI,5,0),1,0)*Table_NFI[[#This Row],[Hygiene Kit]],Table_NFI[Hygiene Kit])</f>
        <v>0</v>
      </c>
      <c r="Z1272" s="352">
        <f>IF(NFI_Expiration=1,IF($A1272&lt;VLOOKUP(I$5,NFI,5,0),1,0)*Table_NFI[[#This Row],[NFI Core Kit]],Table_NFI[NFI Core Kit])</f>
        <v>0</v>
      </c>
      <c r="AA1272" s="352">
        <f>IF(NFI_Expiration=1,IF($A1272&lt;VLOOKUP(J$5,NFI,5,0),1,0)*Table_NFI[[#This Row],[Sanitary Kit]],Table_NFI[Sanitary Kit])</f>
        <v>0</v>
      </c>
      <c r="AB1272" s="352">
        <f>IF(NFI_Expiration=1,IF($A1272&lt;VLOOKUP(K$5,NFI,5,0),1,0)*Table_NFI[[#This Row],[Mosquito net]],Table_NFI[Mosquito net])</f>
        <v>0</v>
      </c>
      <c r="AC1272" s="352">
        <f>IF(NFI_Expiration=1,IF($A1272&lt;VLOOKUP(L$5,NFI,5,0),1,0)*Table_NFI[[#This Row],[Tarpaulin]],Table_NFI[[#This Row],[Tarpaulin]])</f>
        <v>0</v>
      </c>
      <c r="AD1272" s="352">
        <f>IF(NFI_Expiration=1,IF($A1272&lt;VLOOKUP(M$5,NFI,5,0),1,0)*Table_NFI[[#This Row],[Blanket]],Table_NFI[[#This Row],[Blanket]])</f>
        <v>0</v>
      </c>
      <c r="AE1272" s="352">
        <f>IF(NFI_Expiration=1,IF($A1272&lt;VLOOKUP(N$5,NFI,5,0),1,0)*Table_NFI[[#This Row],[Kitchen Set]],Table_NFI[Kitchen Set])</f>
        <v>0</v>
      </c>
      <c r="AF1272" s="352">
        <f>IF(NFI_Expiration=1,IF($A1272&lt;VLOOKUP(O$5,NFI,5,0),1,0)*Table_NFI[[#This Row],[Clothes Kit]],Table_NFI[Clothes Kit])</f>
        <v>0</v>
      </c>
      <c r="AG1272" s="352">
        <f>IF(NFI_Expiration=1,IF($A1272&lt;VLOOKUP(P$5,NFI,5,0),1,0)*Table_NFI[[#This Row],[Plastic Bucket]],Table_NFI[Plastic Bucket])</f>
        <v>0</v>
      </c>
      <c r="AH1272" s="352">
        <f>IF(NFI_Expiration=1,IF($A1272&lt;VLOOKUP(Q$5,NFI,5,0),1,0)*Table_NFI[[#This Row],[Plastic Mat]],Table_NFI[Plastic Mat])*IF(Table_NFI[[#This Row],[Distribution Date]]&gt;"2014-04-01",1,2.5)</f>
        <v>0</v>
      </c>
      <c r="AI1272" s="352">
        <f>IF(NFI_Expiration=1,IF($A1272&lt;VLOOKUP(R$5,NFI,5,0),1,0)*Table_NFI[[#This Row],[Winter Clothes Adult]],Table_NFI[Winter Clothes Adult])</f>
        <v>0</v>
      </c>
      <c r="AJ1272" s="352">
        <f>IF(NFI_Expiration=1,IF($A1272&lt;VLOOKUP(S$5,NFI,5,0),1,0)*Table_NFI[[#This Row],[Winter Clothes Children]],Table_NFI[Winter Clothes Children])</f>
        <v>0</v>
      </c>
      <c r="AK1272" s="352">
        <f>IF(NFI_Expiration=1,IF($A1272&lt;VLOOKUP(T$5,NFI,5,0),1,0)*Table_NFI[[#This Row],[Winter Items Other]],Table_NFI[Winter Items Other])</f>
        <v>0</v>
      </c>
      <c r="AL1272" s="352">
        <f>IF(NFI_Expiration=1,IF($A1272&lt;VLOOKUP(M$5,NFI,5,0),1,0)*Table_NFI[[#This Row],[Winter Blanket]],Table_NFI[[#This Row],[Winter Blanket]])</f>
        <v>0</v>
      </c>
      <c r="AM1272" s="352">
        <f>IF(Table_NFI[[#This Row],[Winter Clothes Adult]]+Table_NFI[[#This Row],[Winter Clothes Children]]+Table_NFI[[#This Row],[Winter Items Other]]+Table_NFI[[#This Row],[Winter Blanket]]&gt;0,1,0)</f>
        <v>0</v>
      </c>
      <c r="AN1272" s="392">
        <f>IF(NFI_Expiration=1,IF($A1272&lt;VLOOKUP(V$5,NFI,5,0),1,0)*Table_NFI[[#This Row],[Jerry Can]],Table_NFI[Jerry Can])</f>
        <v>0</v>
      </c>
      <c r="AO1272" s="540" t="str">
        <f>IFERROR(VLOOKUP(Table_NFI[[#This Row],[Camp Name]],CL,2,0),"")</f>
        <v/>
      </c>
      <c r="AP1272" s="535" t="str">
        <f ca="1">IF(Table_NFI[[#This Row],[Pcode]]="","",IF(OFFSET(CampList[Opening Date],MATCH(Table_NFI[[#This Row],[Pcode]],CampList[CP_Pcode],0)-1,0,1,1)&gt;=NFI_Monitor_Date,1,0))</f>
        <v/>
      </c>
      <c r="AQ1272" s="540" t="str">
        <f>IFERROR(VLOOKUP(Table_NFI[[#This Row],[Camp Name]],CL,3,0),"")</f>
        <v/>
      </c>
      <c r="AR1272" s="352" t="str">
        <f ca="1">IF(Table_NFI[[#This Row],[Pcode]]="","",OFFSET(CampList[Priority],MATCH(Table_NFI[[#This Row],[Pcode]],CampList[CP_Pcode],0)-1,0,1,1))</f>
        <v/>
      </c>
      <c r="AS1272" s="351" t="str">
        <f>IFERROR(Table_NFI[[#This Row],[Kitchen Set]]/VLOOKUP(Table_NFI[[#This Row],[Camp Name]],CL,4,0),"")</f>
        <v/>
      </c>
      <c r="AT1272" s="538"/>
      <c r="AU1272" s="541"/>
    </row>
    <row r="1273" spans="1:47" ht="14.45" hidden="1" customHeight="1" x14ac:dyDescent="0.25">
      <c r="A1273" s="355" t="str">
        <f t="shared" si="20"/>
        <v/>
      </c>
      <c r="B1273" s="532"/>
      <c r="C1273" s="538"/>
      <c r="D1273" s="538"/>
      <c r="E1273" s="538"/>
      <c r="F1273" s="538"/>
      <c r="G1273" s="538"/>
      <c r="H1273" s="350"/>
      <c r="I1273" s="350"/>
      <c r="J1273" s="350"/>
      <c r="K1273" s="350"/>
      <c r="L1273" s="350"/>
      <c r="M1273" s="350"/>
      <c r="N1273" s="350"/>
      <c r="O1273" s="350"/>
      <c r="P1273" s="352"/>
      <c r="Q1273" s="558"/>
      <c r="R1273" s="558"/>
      <c r="S1273" s="558"/>
      <c r="T1273" s="558"/>
      <c r="U1273" s="558"/>
      <c r="V1273" s="497"/>
      <c r="W1273" s="558"/>
      <c r="X1273" s="558"/>
      <c r="Y1273" s="352">
        <f>IF(NFI_Expiration=1,IF($A1273&lt;VLOOKUP(H$5,NFI,5,0),1,0)*Table_NFI[[#This Row],[Hygiene Kit]],Table_NFI[Hygiene Kit])</f>
        <v>0</v>
      </c>
      <c r="Z1273" s="352">
        <f>IF(NFI_Expiration=1,IF($A1273&lt;VLOOKUP(I$5,NFI,5,0),1,0)*Table_NFI[[#This Row],[NFI Core Kit]],Table_NFI[NFI Core Kit])</f>
        <v>0</v>
      </c>
      <c r="AA1273" s="352">
        <f>IF(NFI_Expiration=1,IF($A1273&lt;VLOOKUP(J$5,NFI,5,0),1,0)*Table_NFI[[#This Row],[Sanitary Kit]],Table_NFI[Sanitary Kit])</f>
        <v>0</v>
      </c>
      <c r="AB1273" s="352">
        <f>IF(NFI_Expiration=1,IF($A1273&lt;VLOOKUP(K$5,NFI,5,0),1,0)*Table_NFI[[#This Row],[Mosquito net]],Table_NFI[Mosquito net])</f>
        <v>0</v>
      </c>
      <c r="AC1273" s="352">
        <f>IF(NFI_Expiration=1,IF($A1273&lt;VLOOKUP(L$5,NFI,5,0),1,0)*Table_NFI[[#This Row],[Tarpaulin]],Table_NFI[[#This Row],[Tarpaulin]])</f>
        <v>0</v>
      </c>
      <c r="AD1273" s="352">
        <f>IF(NFI_Expiration=1,IF($A1273&lt;VLOOKUP(M$5,NFI,5,0),1,0)*Table_NFI[[#This Row],[Blanket]],Table_NFI[[#This Row],[Blanket]])</f>
        <v>0</v>
      </c>
      <c r="AE1273" s="352">
        <f>IF(NFI_Expiration=1,IF($A1273&lt;VLOOKUP(N$5,NFI,5,0),1,0)*Table_NFI[[#This Row],[Kitchen Set]],Table_NFI[Kitchen Set])</f>
        <v>0</v>
      </c>
      <c r="AF1273" s="352">
        <f>IF(NFI_Expiration=1,IF($A1273&lt;VLOOKUP(O$5,NFI,5,0),1,0)*Table_NFI[[#This Row],[Clothes Kit]],Table_NFI[Clothes Kit])</f>
        <v>0</v>
      </c>
      <c r="AG1273" s="352">
        <f>IF(NFI_Expiration=1,IF($A1273&lt;VLOOKUP(P$5,NFI,5,0),1,0)*Table_NFI[[#This Row],[Plastic Bucket]],Table_NFI[Plastic Bucket])</f>
        <v>0</v>
      </c>
      <c r="AH1273" s="352">
        <f>IF(NFI_Expiration=1,IF($A1273&lt;VLOOKUP(Q$5,NFI,5,0),1,0)*Table_NFI[[#This Row],[Plastic Mat]],Table_NFI[Plastic Mat])*IF(Table_NFI[[#This Row],[Distribution Date]]&gt;"2014-04-01",1,2.5)</f>
        <v>0</v>
      </c>
      <c r="AI1273" s="352">
        <f>IF(NFI_Expiration=1,IF($A1273&lt;VLOOKUP(R$5,NFI,5,0),1,0)*Table_NFI[[#This Row],[Winter Clothes Adult]],Table_NFI[Winter Clothes Adult])</f>
        <v>0</v>
      </c>
      <c r="AJ1273" s="352">
        <f>IF(NFI_Expiration=1,IF($A1273&lt;VLOOKUP(S$5,NFI,5,0),1,0)*Table_NFI[[#This Row],[Winter Clothes Children]],Table_NFI[Winter Clothes Children])</f>
        <v>0</v>
      </c>
      <c r="AK1273" s="352">
        <f>IF(NFI_Expiration=1,IF($A1273&lt;VLOOKUP(T$5,NFI,5,0),1,0)*Table_NFI[[#This Row],[Winter Items Other]],Table_NFI[Winter Items Other])</f>
        <v>0</v>
      </c>
      <c r="AL1273" s="352">
        <f>IF(NFI_Expiration=1,IF($A1273&lt;VLOOKUP(M$5,NFI,5,0),1,0)*Table_NFI[[#This Row],[Winter Blanket]],Table_NFI[[#This Row],[Winter Blanket]])</f>
        <v>0</v>
      </c>
      <c r="AM1273" s="352">
        <f>IF(Table_NFI[[#This Row],[Winter Clothes Adult]]+Table_NFI[[#This Row],[Winter Clothes Children]]+Table_NFI[[#This Row],[Winter Items Other]]+Table_NFI[[#This Row],[Winter Blanket]]&gt;0,1,0)</f>
        <v>0</v>
      </c>
      <c r="AN1273" s="392">
        <f>IF(NFI_Expiration=1,IF($A1273&lt;VLOOKUP(V$5,NFI,5,0),1,0)*Table_NFI[[#This Row],[Jerry Can]],Table_NFI[Jerry Can])</f>
        <v>0</v>
      </c>
      <c r="AO1273" s="540" t="str">
        <f>IFERROR(VLOOKUP(Table_NFI[[#This Row],[Camp Name]],CL,2,0),"")</f>
        <v/>
      </c>
      <c r="AP1273" s="535" t="str">
        <f ca="1">IF(Table_NFI[[#This Row],[Pcode]]="","",IF(OFFSET(CampList[Opening Date],MATCH(Table_NFI[[#This Row],[Pcode]],CampList[CP_Pcode],0)-1,0,1,1)&gt;=NFI_Monitor_Date,1,0))</f>
        <v/>
      </c>
      <c r="AQ1273" s="540" t="str">
        <f>IFERROR(VLOOKUP(Table_NFI[[#This Row],[Camp Name]],CL,3,0),"")</f>
        <v/>
      </c>
      <c r="AR1273" s="352" t="str">
        <f ca="1">IF(Table_NFI[[#This Row],[Pcode]]="","",OFFSET(CampList[Priority],MATCH(Table_NFI[[#This Row],[Pcode]],CampList[CP_Pcode],0)-1,0,1,1))</f>
        <v/>
      </c>
      <c r="AS1273" s="351" t="str">
        <f>IFERROR(Table_NFI[[#This Row],[Kitchen Set]]/VLOOKUP(Table_NFI[[#This Row],[Camp Name]],CL,4,0),"")</f>
        <v/>
      </c>
      <c r="AT1273" s="538"/>
      <c r="AU1273" s="541"/>
    </row>
    <row r="1274" spans="1:47" ht="14.45" hidden="1" customHeight="1" x14ac:dyDescent="0.25">
      <c r="A1274" s="355" t="str">
        <f t="shared" si="20"/>
        <v/>
      </c>
      <c r="B1274" s="532"/>
      <c r="C1274" s="538"/>
      <c r="D1274" s="538"/>
      <c r="E1274" s="538"/>
      <c r="F1274" s="538"/>
      <c r="G1274" s="538"/>
      <c r="H1274" s="350"/>
      <c r="I1274" s="350"/>
      <c r="J1274" s="350"/>
      <c r="K1274" s="350"/>
      <c r="L1274" s="350"/>
      <c r="M1274" s="350"/>
      <c r="N1274" s="350"/>
      <c r="O1274" s="350"/>
      <c r="P1274" s="352"/>
      <c r="Q1274" s="558"/>
      <c r="R1274" s="558"/>
      <c r="S1274" s="558"/>
      <c r="T1274" s="558"/>
      <c r="U1274" s="558"/>
      <c r="V1274" s="497"/>
      <c r="W1274" s="558"/>
      <c r="X1274" s="558"/>
      <c r="Y1274" s="352">
        <f>IF(NFI_Expiration=1,IF($A1274&lt;VLOOKUP(H$5,NFI,5,0),1,0)*Table_NFI[[#This Row],[Hygiene Kit]],Table_NFI[Hygiene Kit])</f>
        <v>0</v>
      </c>
      <c r="Z1274" s="352">
        <f>IF(NFI_Expiration=1,IF($A1274&lt;VLOOKUP(I$5,NFI,5,0),1,0)*Table_NFI[[#This Row],[NFI Core Kit]],Table_NFI[NFI Core Kit])</f>
        <v>0</v>
      </c>
      <c r="AA1274" s="352">
        <f>IF(NFI_Expiration=1,IF($A1274&lt;VLOOKUP(J$5,NFI,5,0),1,0)*Table_NFI[[#This Row],[Sanitary Kit]],Table_NFI[Sanitary Kit])</f>
        <v>0</v>
      </c>
      <c r="AB1274" s="352">
        <f>IF(NFI_Expiration=1,IF($A1274&lt;VLOOKUP(K$5,NFI,5,0),1,0)*Table_NFI[[#This Row],[Mosquito net]],Table_NFI[Mosquito net])</f>
        <v>0</v>
      </c>
      <c r="AC1274" s="352">
        <f>IF(NFI_Expiration=1,IF($A1274&lt;VLOOKUP(L$5,NFI,5,0),1,0)*Table_NFI[[#This Row],[Tarpaulin]],Table_NFI[[#This Row],[Tarpaulin]])</f>
        <v>0</v>
      </c>
      <c r="AD1274" s="352">
        <f>IF(NFI_Expiration=1,IF($A1274&lt;VLOOKUP(M$5,NFI,5,0),1,0)*Table_NFI[[#This Row],[Blanket]],Table_NFI[[#This Row],[Blanket]])</f>
        <v>0</v>
      </c>
      <c r="AE1274" s="352">
        <f>IF(NFI_Expiration=1,IF($A1274&lt;VLOOKUP(N$5,NFI,5,0),1,0)*Table_NFI[[#This Row],[Kitchen Set]],Table_NFI[Kitchen Set])</f>
        <v>0</v>
      </c>
      <c r="AF1274" s="352">
        <f>IF(NFI_Expiration=1,IF($A1274&lt;VLOOKUP(O$5,NFI,5,0),1,0)*Table_NFI[[#This Row],[Clothes Kit]],Table_NFI[Clothes Kit])</f>
        <v>0</v>
      </c>
      <c r="AG1274" s="352">
        <f>IF(NFI_Expiration=1,IF($A1274&lt;VLOOKUP(P$5,NFI,5,0),1,0)*Table_NFI[[#This Row],[Plastic Bucket]],Table_NFI[Plastic Bucket])</f>
        <v>0</v>
      </c>
      <c r="AH1274" s="352">
        <f>IF(NFI_Expiration=1,IF($A1274&lt;VLOOKUP(Q$5,NFI,5,0),1,0)*Table_NFI[[#This Row],[Plastic Mat]],Table_NFI[Plastic Mat])*IF(Table_NFI[[#This Row],[Distribution Date]]&gt;"2014-04-01",1,2.5)</f>
        <v>0</v>
      </c>
      <c r="AI1274" s="352">
        <f>IF(NFI_Expiration=1,IF($A1274&lt;VLOOKUP(R$5,NFI,5,0),1,0)*Table_NFI[[#This Row],[Winter Clothes Adult]],Table_NFI[Winter Clothes Adult])</f>
        <v>0</v>
      </c>
      <c r="AJ1274" s="352">
        <f>IF(NFI_Expiration=1,IF($A1274&lt;VLOOKUP(S$5,NFI,5,0),1,0)*Table_NFI[[#This Row],[Winter Clothes Children]],Table_NFI[Winter Clothes Children])</f>
        <v>0</v>
      </c>
      <c r="AK1274" s="352">
        <f>IF(NFI_Expiration=1,IF($A1274&lt;VLOOKUP(T$5,NFI,5,0),1,0)*Table_NFI[[#This Row],[Winter Items Other]],Table_NFI[Winter Items Other])</f>
        <v>0</v>
      </c>
      <c r="AL1274" s="352">
        <f>IF(NFI_Expiration=1,IF($A1274&lt;VLOOKUP(M$5,NFI,5,0),1,0)*Table_NFI[[#This Row],[Winter Blanket]],Table_NFI[[#This Row],[Winter Blanket]])</f>
        <v>0</v>
      </c>
      <c r="AM1274" s="352">
        <f>IF(Table_NFI[[#This Row],[Winter Clothes Adult]]+Table_NFI[[#This Row],[Winter Clothes Children]]+Table_NFI[[#This Row],[Winter Items Other]]+Table_NFI[[#This Row],[Winter Blanket]]&gt;0,1,0)</f>
        <v>0</v>
      </c>
      <c r="AN1274" s="392">
        <f>IF(NFI_Expiration=1,IF($A1274&lt;VLOOKUP(V$5,NFI,5,0),1,0)*Table_NFI[[#This Row],[Jerry Can]],Table_NFI[Jerry Can])</f>
        <v>0</v>
      </c>
      <c r="AO1274" s="540" t="str">
        <f>IFERROR(VLOOKUP(Table_NFI[[#This Row],[Camp Name]],CL,2,0),"")</f>
        <v/>
      </c>
      <c r="AP1274" s="535" t="str">
        <f ca="1">IF(Table_NFI[[#This Row],[Pcode]]="","",IF(OFFSET(CampList[Opening Date],MATCH(Table_NFI[[#This Row],[Pcode]],CampList[CP_Pcode],0)-1,0,1,1)&gt;=NFI_Monitor_Date,1,0))</f>
        <v/>
      </c>
      <c r="AQ1274" s="540" t="str">
        <f>IFERROR(VLOOKUP(Table_NFI[[#This Row],[Camp Name]],CL,3,0),"")</f>
        <v/>
      </c>
      <c r="AR1274" s="352" t="str">
        <f ca="1">IF(Table_NFI[[#This Row],[Pcode]]="","",OFFSET(CampList[Priority],MATCH(Table_NFI[[#This Row],[Pcode]],CampList[CP_Pcode],0)-1,0,1,1))</f>
        <v/>
      </c>
      <c r="AS1274" s="351" t="str">
        <f>IFERROR(Table_NFI[[#This Row],[Kitchen Set]]/VLOOKUP(Table_NFI[[#This Row],[Camp Name]],CL,4,0),"")</f>
        <v/>
      </c>
      <c r="AT1274" s="538"/>
      <c r="AU1274" s="541"/>
    </row>
    <row r="1275" spans="1:47" ht="14.45" hidden="1" customHeight="1" x14ac:dyDescent="0.25">
      <c r="A1275" s="355" t="str">
        <f t="shared" si="20"/>
        <v/>
      </c>
      <c r="B1275" s="532"/>
      <c r="C1275" s="538"/>
      <c r="D1275" s="538"/>
      <c r="E1275" s="538"/>
      <c r="F1275" s="538"/>
      <c r="G1275" s="538"/>
      <c r="H1275" s="350"/>
      <c r="I1275" s="350"/>
      <c r="J1275" s="350"/>
      <c r="K1275" s="350"/>
      <c r="L1275" s="350"/>
      <c r="M1275" s="350"/>
      <c r="N1275" s="350"/>
      <c r="O1275" s="350"/>
      <c r="P1275" s="352"/>
      <c r="Q1275" s="558"/>
      <c r="R1275" s="558"/>
      <c r="S1275" s="558"/>
      <c r="T1275" s="558"/>
      <c r="U1275" s="558"/>
      <c r="V1275" s="497"/>
      <c r="W1275" s="558"/>
      <c r="X1275" s="558"/>
      <c r="Y1275" s="352">
        <f>IF(NFI_Expiration=1,IF($A1275&lt;VLOOKUP(H$5,NFI,5,0),1,0)*Table_NFI[[#This Row],[Hygiene Kit]],Table_NFI[Hygiene Kit])</f>
        <v>0</v>
      </c>
      <c r="Z1275" s="352">
        <f>IF(NFI_Expiration=1,IF($A1275&lt;VLOOKUP(I$5,NFI,5,0),1,0)*Table_NFI[[#This Row],[NFI Core Kit]],Table_NFI[NFI Core Kit])</f>
        <v>0</v>
      </c>
      <c r="AA1275" s="352">
        <f>IF(NFI_Expiration=1,IF($A1275&lt;VLOOKUP(J$5,NFI,5,0),1,0)*Table_NFI[[#This Row],[Sanitary Kit]],Table_NFI[Sanitary Kit])</f>
        <v>0</v>
      </c>
      <c r="AB1275" s="352">
        <f>IF(NFI_Expiration=1,IF($A1275&lt;VLOOKUP(K$5,NFI,5,0),1,0)*Table_NFI[[#This Row],[Mosquito net]],Table_NFI[Mosquito net])</f>
        <v>0</v>
      </c>
      <c r="AC1275" s="352">
        <f>IF(NFI_Expiration=1,IF($A1275&lt;VLOOKUP(L$5,NFI,5,0),1,0)*Table_NFI[[#This Row],[Tarpaulin]],Table_NFI[[#This Row],[Tarpaulin]])</f>
        <v>0</v>
      </c>
      <c r="AD1275" s="352">
        <f>IF(NFI_Expiration=1,IF($A1275&lt;VLOOKUP(M$5,NFI,5,0),1,0)*Table_NFI[[#This Row],[Blanket]],Table_NFI[[#This Row],[Blanket]])</f>
        <v>0</v>
      </c>
      <c r="AE1275" s="352">
        <f>IF(NFI_Expiration=1,IF($A1275&lt;VLOOKUP(N$5,NFI,5,0),1,0)*Table_NFI[[#This Row],[Kitchen Set]],Table_NFI[Kitchen Set])</f>
        <v>0</v>
      </c>
      <c r="AF1275" s="352">
        <f>IF(NFI_Expiration=1,IF($A1275&lt;VLOOKUP(O$5,NFI,5,0),1,0)*Table_NFI[[#This Row],[Clothes Kit]],Table_NFI[Clothes Kit])</f>
        <v>0</v>
      </c>
      <c r="AG1275" s="352">
        <f>IF(NFI_Expiration=1,IF($A1275&lt;VLOOKUP(P$5,NFI,5,0),1,0)*Table_NFI[[#This Row],[Plastic Bucket]],Table_NFI[Plastic Bucket])</f>
        <v>0</v>
      </c>
      <c r="AH1275" s="352">
        <f>IF(NFI_Expiration=1,IF($A1275&lt;VLOOKUP(Q$5,NFI,5,0),1,0)*Table_NFI[[#This Row],[Plastic Mat]],Table_NFI[Plastic Mat])*IF(Table_NFI[[#This Row],[Distribution Date]]&gt;"2014-04-01",1,2.5)</f>
        <v>0</v>
      </c>
      <c r="AI1275" s="352">
        <f>IF(NFI_Expiration=1,IF($A1275&lt;VLOOKUP(R$5,NFI,5,0),1,0)*Table_NFI[[#This Row],[Winter Clothes Adult]],Table_NFI[Winter Clothes Adult])</f>
        <v>0</v>
      </c>
      <c r="AJ1275" s="352">
        <f>IF(NFI_Expiration=1,IF($A1275&lt;VLOOKUP(S$5,NFI,5,0),1,0)*Table_NFI[[#This Row],[Winter Clothes Children]],Table_NFI[Winter Clothes Children])</f>
        <v>0</v>
      </c>
      <c r="AK1275" s="352">
        <f>IF(NFI_Expiration=1,IF($A1275&lt;VLOOKUP(T$5,NFI,5,0),1,0)*Table_NFI[[#This Row],[Winter Items Other]],Table_NFI[Winter Items Other])</f>
        <v>0</v>
      </c>
      <c r="AL1275" s="352">
        <f>IF(NFI_Expiration=1,IF($A1275&lt;VLOOKUP(M$5,NFI,5,0),1,0)*Table_NFI[[#This Row],[Winter Blanket]],Table_NFI[[#This Row],[Winter Blanket]])</f>
        <v>0</v>
      </c>
      <c r="AM1275" s="352">
        <f>IF(Table_NFI[[#This Row],[Winter Clothes Adult]]+Table_NFI[[#This Row],[Winter Clothes Children]]+Table_NFI[[#This Row],[Winter Items Other]]+Table_NFI[[#This Row],[Winter Blanket]]&gt;0,1,0)</f>
        <v>0</v>
      </c>
      <c r="AN1275" s="392">
        <f>IF(NFI_Expiration=1,IF($A1275&lt;VLOOKUP(V$5,NFI,5,0),1,0)*Table_NFI[[#This Row],[Jerry Can]],Table_NFI[Jerry Can])</f>
        <v>0</v>
      </c>
      <c r="AO1275" s="540" t="str">
        <f>IFERROR(VLOOKUP(Table_NFI[[#This Row],[Camp Name]],CL,2,0),"")</f>
        <v/>
      </c>
      <c r="AP1275" s="535" t="str">
        <f ca="1">IF(Table_NFI[[#This Row],[Pcode]]="","",IF(OFFSET(CampList[Opening Date],MATCH(Table_NFI[[#This Row],[Pcode]],CampList[CP_Pcode],0)-1,0,1,1)&gt;=NFI_Monitor_Date,1,0))</f>
        <v/>
      </c>
      <c r="AQ1275" s="540" t="str">
        <f>IFERROR(VLOOKUP(Table_NFI[[#This Row],[Camp Name]],CL,3,0),"")</f>
        <v/>
      </c>
      <c r="AR1275" s="352" t="str">
        <f ca="1">IF(Table_NFI[[#This Row],[Pcode]]="","",OFFSET(CampList[Priority],MATCH(Table_NFI[[#This Row],[Pcode]],CampList[CP_Pcode],0)-1,0,1,1))</f>
        <v/>
      </c>
      <c r="AS1275" s="351" t="str">
        <f>IFERROR(Table_NFI[[#This Row],[Kitchen Set]]/VLOOKUP(Table_NFI[[#This Row],[Camp Name]],CL,4,0),"")</f>
        <v/>
      </c>
      <c r="AT1275" s="538"/>
      <c r="AU1275" s="541"/>
    </row>
    <row r="1276" spans="1:47" ht="14.45" hidden="1" customHeight="1" x14ac:dyDescent="0.25">
      <c r="A1276" s="355" t="str">
        <f t="shared" si="20"/>
        <v/>
      </c>
      <c r="B1276" s="532"/>
      <c r="C1276" s="538"/>
      <c r="D1276" s="538"/>
      <c r="E1276" s="538"/>
      <c r="F1276" s="538"/>
      <c r="G1276" s="538"/>
      <c r="H1276" s="350"/>
      <c r="I1276" s="350"/>
      <c r="J1276" s="350"/>
      <c r="K1276" s="350"/>
      <c r="L1276" s="350"/>
      <c r="M1276" s="350"/>
      <c r="N1276" s="350"/>
      <c r="O1276" s="350"/>
      <c r="P1276" s="352"/>
      <c r="Q1276" s="558"/>
      <c r="R1276" s="558"/>
      <c r="S1276" s="558"/>
      <c r="T1276" s="558"/>
      <c r="U1276" s="558"/>
      <c r="V1276" s="497"/>
      <c r="W1276" s="558"/>
      <c r="X1276" s="558"/>
      <c r="Y1276" s="352">
        <f>IF(NFI_Expiration=1,IF($A1276&lt;VLOOKUP(H$5,NFI,5,0),1,0)*Table_NFI[[#This Row],[Hygiene Kit]],Table_NFI[Hygiene Kit])</f>
        <v>0</v>
      </c>
      <c r="Z1276" s="352">
        <f>IF(NFI_Expiration=1,IF($A1276&lt;VLOOKUP(I$5,NFI,5,0),1,0)*Table_NFI[[#This Row],[NFI Core Kit]],Table_NFI[NFI Core Kit])</f>
        <v>0</v>
      </c>
      <c r="AA1276" s="352">
        <f>IF(NFI_Expiration=1,IF($A1276&lt;VLOOKUP(J$5,NFI,5,0),1,0)*Table_NFI[[#This Row],[Sanitary Kit]],Table_NFI[Sanitary Kit])</f>
        <v>0</v>
      </c>
      <c r="AB1276" s="352">
        <f>IF(NFI_Expiration=1,IF($A1276&lt;VLOOKUP(K$5,NFI,5,0),1,0)*Table_NFI[[#This Row],[Mosquito net]],Table_NFI[Mosquito net])</f>
        <v>0</v>
      </c>
      <c r="AC1276" s="352">
        <f>IF(NFI_Expiration=1,IF($A1276&lt;VLOOKUP(L$5,NFI,5,0),1,0)*Table_NFI[[#This Row],[Tarpaulin]],Table_NFI[[#This Row],[Tarpaulin]])</f>
        <v>0</v>
      </c>
      <c r="AD1276" s="352">
        <f>IF(NFI_Expiration=1,IF($A1276&lt;VLOOKUP(M$5,NFI,5,0),1,0)*Table_NFI[[#This Row],[Blanket]],Table_NFI[[#This Row],[Blanket]])</f>
        <v>0</v>
      </c>
      <c r="AE1276" s="352">
        <f>IF(NFI_Expiration=1,IF($A1276&lt;VLOOKUP(N$5,NFI,5,0),1,0)*Table_NFI[[#This Row],[Kitchen Set]],Table_NFI[Kitchen Set])</f>
        <v>0</v>
      </c>
      <c r="AF1276" s="352">
        <f>IF(NFI_Expiration=1,IF($A1276&lt;VLOOKUP(O$5,NFI,5,0),1,0)*Table_NFI[[#This Row],[Clothes Kit]],Table_NFI[Clothes Kit])</f>
        <v>0</v>
      </c>
      <c r="AG1276" s="352">
        <f>IF(NFI_Expiration=1,IF($A1276&lt;VLOOKUP(P$5,NFI,5,0),1,0)*Table_NFI[[#This Row],[Plastic Bucket]],Table_NFI[Plastic Bucket])</f>
        <v>0</v>
      </c>
      <c r="AH1276" s="352">
        <f>IF(NFI_Expiration=1,IF($A1276&lt;VLOOKUP(Q$5,NFI,5,0),1,0)*Table_NFI[[#This Row],[Plastic Mat]],Table_NFI[Plastic Mat])*IF(Table_NFI[[#This Row],[Distribution Date]]&gt;"2014-04-01",1,2.5)</f>
        <v>0</v>
      </c>
      <c r="AI1276" s="352">
        <f>IF(NFI_Expiration=1,IF($A1276&lt;VLOOKUP(R$5,NFI,5,0),1,0)*Table_NFI[[#This Row],[Winter Clothes Adult]],Table_NFI[Winter Clothes Adult])</f>
        <v>0</v>
      </c>
      <c r="AJ1276" s="352">
        <f>IF(NFI_Expiration=1,IF($A1276&lt;VLOOKUP(S$5,NFI,5,0),1,0)*Table_NFI[[#This Row],[Winter Clothes Children]],Table_NFI[Winter Clothes Children])</f>
        <v>0</v>
      </c>
      <c r="AK1276" s="352">
        <f>IF(NFI_Expiration=1,IF($A1276&lt;VLOOKUP(T$5,NFI,5,0),1,0)*Table_NFI[[#This Row],[Winter Items Other]],Table_NFI[Winter Items Other])</f>
        <v>0</v>
      </c>
      <c r="AL1276" s="352">
        <f>IF(NFI_Expiration=1,IF($A1276&lt;VLOOKUP(M$5,NFI,5,0),1,0)*Table_NFI[[#This Row],[Winter Blanket]],Table_NFI[[#This Row],[Winter Blanket]])</f>
        <v>0</v>
      </c>
      <c r="AM1276" s="352">
        <f>IF(Table_NFI[[#This Row],[Winter Clothes Adult]]+Table_NFI[[#This Row],[Winter Clothes Children]]+Table_NFI[[#This Row],[Winter Items Other]]+Table_NFI[[#This Row],[Winter Blanket]]&gt;0,1,0)</f>
        <v>0</v>
      </c>
      <c r="AN1276" s="392">
        <f>IF(NFI_Expiration=1,IF($A1276&lt;VLOOKUP(V$5,NFI,5,0),1,0)*Table_NFI[[#This Row],[Jerry Can]],Table_NFI[Jerry Can])</f>
        <v>0</v>
      </c>
      <c r="AO1276" s="540" t="str">
        <f>IFERROR(VLOOKUP(Table_NFI[[#This Row],[Camp Name]],CL,2,0),"")</f>
        <v/>
      </c>
      <c r="AP1276" s="535" t="str">
        <f ca="1">IF(Table_NFI[[#This Row],[Pcode]]="","",IF(OFFSET(CampList[Opening Date],MATCH(Table_NFI[[#This Row],[Pcode]],CampList[CP_Pcode],0)-1,0,1,1)&gt;=NFI_Monitor_Date,1,0))</f>
        <v/>
      </c>
      <c r="AQ1276" s="540" t="str">
        <f>IFERROR(VLOOKUP(Table_NFI[[#This Row],[Camp Name]],CL,3,0),"")</f>
        <v/>
      </c>
      <c r="AR1276" s="352" t="str">
        <f ca="1">IF(Table_NFI[[#This Row],[Pcode]]="","",OFFSET(CampList[Priority],MATCH(Table_NFI[[#This Row],[Pcode]],CampList[CP_Pcode],0)-1,0,1,1))</f>
        <v/>
      </c>
      <c r="AS1276" s="351" t="str">
        <f>IFERROR(Table_NFI[[#This Row],[Kitchen Set]]/VLOOKUP(Table_NFI[[#This Row],[Camp Name]],CL,4,0),"")</f>
        <v/>
      </c>
      <c r="AT1276" s="538"/>
      <c r="AU1276" s="541"/>
    </row>
    <row r="1277" spans="1:47" ht="14.45" hidden="1" customHeight="1" x14ac:dyDescent="0.25">
      <c r="A1277" s="355" t="str">
        <f t="shared" si="20"/>
        <v/>
      </c>
      <c r="B1277" s="532"/>
      <c r="C1277" s="538"/>
      <c r="D1277" s="538"/>
      <c r="E1277" s="538"/>
      <c r="F1277" s="538"/>
      <c r="G1277" s="538"/>
      <c r="H1277" s="350"/>
      <c r="I1277" s="350"/>
      <c r="J1277" s="350"/>
      <c r="K1277" s="350"/>
      <c r="L1277" s="350"/>
      <c r="M1277" s="350"/>
      <c r="N1277" s="350"/>
      <c r="O1277" s="350"/>
      <c r="P1277" s="352"/>
      <c r="Q1277" s="558"/>
      <c r="R1277" s="558"/>
      <c r="S1277" s="558"/>
      <c r="T1277" s="558"/>
      <c r="U1277" s="558"/>
      <c r="V1277" s="497"/>
      <c r="W1277" s="558"/>
      <c r="X1277" s="558"/>
      <c r="Y1277" s="352">
        <f>IF(NFI_Expiration=1,IF($A1277&lt;VLOOKUP(H$5,NFI,5,0),1,0)*Table_NFI[[#This Row],[Hygiene Kit]],Table_NFI[Hygiene Kit])</f>
        <v>0</v>
      </c>
      <c r="Z1277" s="352">
        <f>IF(NFI_Expiration=1,IF($A1277&lt;VLOOKUP(I$5,NFI,5,0),1,0)*Table_NFI[[#This Row],[NFI Core Kit]],Table_NFI[NFI Core Kit])</f>
        <v>0</v>
      </c>
      <c r="AA1277" s="352">
        <f>IF(NFI_Expiration=1,IF($A1277&lt;VLOOKUP(J$5,NFI,5,0),1,0)*Table_NFI[[#This Row],[Sanitary Kit]],Table_NFI[Sanitary Kit])</f>
        <v>0</v>
      </c>
      <c r="AB1277" s="352">
        <f>IF(NFI_Expiration=1,IF($A1277&lt;VLOOKUP(K$5,NFI,5,0),1,0)*Table_NFI[[#This Row],[Mosquito net]],Table_NFI[Mosquito net])</f>
        <v>0</v>
      </c>
      <c r="AC1277" s="352">
        <f>IF(NFI_Expiration=1,IF($A1277&lt;VLOOKUP(L$5,NFI,5,0),1,0)*Table_NFI[[#This Row],[Tarpaulin]],Table_NFI[[#This Row],[Tarpaulin]])</f>
        <v>0</v>
      </c>
      <c r="AD1277" s="352">
        <f>IF(NFI_Expiration=1,IF($A1277&lt;VLOOKUP(M$5,NFI,5,0),1,0)*Table_NFI[[#This Row],[Blanket]],Table_NFI[[#This Row],[Blanket]])</f>
        <v>0</v>
      </c>
      <c r="AE1277" s="352">
        <f>IF(NFI_Expiration=1,IF($A1277&lt;VLOOKUP(N$5,NFI,5,0),1,0)*Table_NFI[[#This Row],[Kitchen Set]],Table_NFI[Kitchen Set])</f>
        <v>0</v>
      </c>
      <c r="AF1277" s="352">
        <f>IF(NFI_Expiration=1,IF($A1277&lt;VLOOKUP(O$5,NFI,5,0),1,0)*Table_NFI[[#This Row],[Clothes Kit]],Table_NFI[Clothes Kit])</f>
        <v>0</v>
      </c>
      <c r="AG1277" s="352">
        <f>IF(NFI_Expiration=1,IF($A1277&lt;VLOOKUP(P$5,NFI,5,0),1,0)*Table_NFI[[#This Row],[Plastic Bucket]],Table_NFI[Plastic Bucket])</f>
        <v>0</v>
      </c>
      <c r="AH1277" s="352">
        <f>IF(NFI_Expiration=1,IF($A1277&lt;VLOOKUP(Q$5,NFI,5,0),1,0)*Table_NFI[[#This Row],[Plastic Mat]],Table_NFI[Plastic Mat])*IF(Table_NFI[[#This Row],[Distribution Date]]&gt;"2014-04-01",1,2.5)</f>
        <v>0</v>
      </c>
      <c r="AI1277" s="352">
        <f>IF(NFI_Expiration=1,IF($A1277&lt;VLOOKUP(R$5,NFI,5,0),1,0)*Table_NFI[[#This Row],[Winter Clothes Adult]],Table_NFI[Winter Clothes Adult])</f>
        <v>0</v>
      </c>
      <c r="AJ1277" s="352">
        <f>IF(NFI_Expiration=1,IF($A1277&lt;VLOOKUP(S$5,NFI,5,0),1,0)*Table_NFI[[#This Row],[Winter Clothes Children]],Table_NFI[Winter Clothes Children])</f>
        <v>0</v>
      </c>
      <c r="AK1277" s="352">
        <f>IF(NFI_Expiration=1,IF($A1277&lt;VLOOKUP(T$5,NFI,5,0),1,0)*Table_NFI[[#This Row],[Winter Items Other]],Table_NFI[Winter Items Other])</f>
        <v>0</v>
      </c>
      <c r="AL1277" s="352">
        <f>IF(NFI_Expiration=1,IF($A1277&lt;VLOOKUP(M$5,NFI,5,0),1,0)*Table_NFI[[#This Row],[Winter Blanket]],Table_NFI[[#This Row],[Winter Blanket]])</f>
        <v>0</v>
      </c>
      <c r="AM1277" s="352">
        <f>IF(Table_NFI[[#This Row],[Winter Clothes Adult]]+Table_NFI[[#This Row],[Winter Clothes Children]]+Table_NFI[[#This Row],[Winter Items Other]]+Table_NFI[[#This Row],[Winter Blanket]]&gt;0,1,0)</f>
        <v>0</v>
      </c>
      <c r="AN1277" s="392">
        <f>IF(NFI_Expiration=1,IF($A1277&lt;VLOOKUP(V$5,NFI,5,0),1,0)*Table_NFI[[#This Row],[Jerry Can]],Table_NFI[Jerry Can])</f>
        <v>0</v>
      </c>
      <c r="AO1277" s="540" t="str">
        <f>IFERROR(VLOOKUP(Table_NFI[[#This Row],[Camp Name]],CL,2,0),"")</f>
        <v/>
      </c>
      <c r="AP1277" s="535" t="str">
        <f ca="1">IF(Table_NFI[[#This Row],[Pcode]]="","",IF(OFFSET(CampList[Opening Date],MATCH(Table_NFI[[#This Row],[Pcode]],CampList[CP_Pcode],0)-1,0,1,1)&gt;=NFI_Monitor_Date,1,0))</f>
        <v/>
      </c>
      <c r="AQ1277" s="540" t="str">
        <f>IFERROR(VLOOKUP(Table_NFI[[#This Row],[Camp Name]],CL,3,0),"")</f>
        <v/>
      </c>
      <c r="AR1277" s="352" t="str">
        <f ca="1">IF(Table_NFI[[#This Row],[Pcode]]="","",OFFSET(CampList[Priority],MATCH(Table_NFI[[#This Row],[Pcode]],CampList[CP_Pcode],0)-1,0,1,1))</f>
        <v/>
      </c>
      <c r="AS1277" s="351" t="str">
        <f>IFERROR(Table_NFI[[#This Row],[Kitchen Set]]/VLOOKUP(Table_NFI[[#This Row],[Camp Name]],CL,4,0),"")</f>
        <v/>
      </c>
      <c r="AT1277" s="538"/>
      <c r="AU1277" s="541"/>
    </row>
    <row r="1278" spans="1:47" ht="14.45" hidden="1" customHeight="1" x14ac:dyDescent="0.25">
      <c r="A1278" s="355" t="str">
        <f t="shared" si="20"/>
        <v/>
      </c>
      <c r="B1278" s="532"/>
      <c r="C1278" s="538"/>
      <c r="D1278" s="538"/>
      <c r="E1278" s="538"/>
      <c r="F1278" s="538"/>
      <c r="G1278" s="538"/>
      <c r="H1278" s="350"/>
      <c r="I1278" s="350"/>
      <c r="J1278" s="350"/>
      <c r="K1278" s="350"/>
      <c r="L1278" s="350"/>
      <c r="M1278" s="350"/>
      <c r="N1278" s="350"/>
      <c r="O1278" s="350"/>
      <c r="P1278" s="352"/>
      <c r="Q1278" s="558"/>
      <c r="R1278" s="558"/>
      <c r="S1278" s="558"/>
      <c r="T1278" s="558"/>
      <c r="U1278" s="558"/>
      <c r="V1278" s="497"/>
      <c r="W1278" s="558"/>
      <c r="X1278" s="558"/>
      <c r="Y1278" s="352">
        <f>IF(NFI_Expiration=1,IF($A1278&lt;VLOOKUP(H$5,NFI,5,0),1,0)*Table_NFI[[#This Row],[Hygiene Kit]],Table_NFI[Hygiene Kit])</f>
        <v>0</v>
      </c>
      <c r="Z1278" s="352">
        <f>IF(NFI_Expiration=1,IF($A1278&lt;VLOOKUP(I$5,NFI,5,0),1,0)*Table_NFI[[#This Row],[NFI Core Kit]],Table_NFI[NFI Core Kit])</f>
        <v>0</v>
      </c>
      <c r="AA1278" s="352">
        <f>IF(NFI_Expiration=1,IF($A1278&lt;VLOOKUP(J$5,NFI,5,0),1,0)*Table_NFI[[#This Row],[Sanitary Kit]],Table_NFI[Sanitary Kit])</f>
        <v>0</v>
      </c>
      <c r="AB1278" s="352">
        <f>IF(NFI_Expiration=1,IF($A1278&lt;VLOOKUP(K$5,NFI,5,0),1,0)*Table_NFI[[#This Row],[Mosquito net]],Table_NFI[Mosquito net])</f>
        <v>0</v>
      </c>
      <c r="AC1278" s="352">
        <f>IF(NFI_Expiration=1,IF($A1278&lt;VLOOKUP(L$5,NFI,5,0),1,0)*Table_NFI[[#This Row],[Tarpaulin]],Table_NFI[[#This Row],[Tarpaulin]])</f>
        <v>0</v>
      </c>
      <c r="AD1278" s="352">
        <f>IF(NFI_Expiration=1,IF($A1278&lt;VLOOKUP(M$5,NFI,5,0),1,0)*Table_NFI[[#This Row],[Blanket]],Table_NFI[[#This Row],[Blanket]])</f>
        <v>0</v>
      </c>
      <c r="AE1278" s="352">
        <f>IF(NFI_Expiration=1,IF($A1278&lt;VLOOKUP(N$5,NFI,5,0),1,0)*Table_NFI[[#This Row],[Kitchen Set]],Table_NFI[Kitchen Set])</f>
        <v>0</v>
      </c>
      <c r="AF1278" s="352">
        <f>IF(NFI_Expiration=1,IF($A1278&lt;VLOOKUP(O$5,NFI,5,0),1,0)*Table_NFI[[#This Row],[Clothes Kit]],Table_NFI[Clothes Kit])</f>
        <v>0</v>
      </c>
      <c r="AG1278" s="352">
        <f>IF(NFI_Expiration=1,IF($A1278&lt;VLOOKUP(P$5,NFI,5,0),1,0)*Table_NFI[[#This Row],[Plastic Bucket]],Table_NFI[Plastic Bucket])</f>
        <v>0</v>
      </c>
      <c r="AH1278" s="352">
        <f>IF(NFI_Expiration=1,IF($A1278&lt;VLOOKUP(Q$5,NFI,5,0),1,0)*Table_NFI[[#This Row],[Plastic Mat]],Table_NFI[Plastic Mat])*IF(Table_NFI[[#This Row],[Distribution Date]]&gt;"2014-04-01",1,2.5)</f>
        <v>0</v>
      </c>
      <c r="AI1278" s="352">
        <f>IF(NFI_Expiration=1,IF($A1278&lt;VLOOKUP(R$5,NFI,5,0),1,0)*Table_NFI[[#This Row],[Winter Clothes Adult]],Table_NFI[Winter Clothes Adult])</f>
        <v>0</v>
      </c>
      <c r="AJ1278" s="352">
        <f>IF(NFI_Expiration=1,IF($A1278&lt;VLOOKUP(S$5,NFI,5,0),1,0)*Table_NFI[[#This Row],[Winter Clothes Children]],Table_NFI[Winter Clothes Children])</f>
        <v>0</v>
      </c>
      <c r="AK1278" s="352">
        <f>IF(NFI_Expiration=1,IF($A1278&lt;VLOOKUP(T$5,NFI,5,0),1,0)*Table_NFI[[#This Row],[Winter Items Other]],Table_NFI[Winter Items Other])</f>
        <v>0</v>
      </c>
      <c r="AL1278" s="352">
        <f>IF(NFI_Expiration=1,IF($A1278&lt;VLOOKUP(M$5,NFI,5,0),1,0)*Table_NFI[[#This Row],[Winter Blanket]],Table_NFI[[#This Row],[Winter Blanket]])</f>
        <v>0</v>
      </c>
      <c r="AM1278" s="352">
        <f>IF(Table_NFI[[#This Row],[Winter Clothes Adult]]+Table_NFI[[#This Row],[Winter Clothes Children]]+Table_NFI[[#This Row],[Winter Items Other]]+Table_NFI[[#This Row],[Winter Blanket]]&gt;0,1,0)</f>
        <v>0</v>
      </c>
      <c r="AN1278" s="392">
        <f>IF(NFI_Expiration=1,IF($A1278&lt;VLOOKUP(V$5,NFI,5,0),1,0)*Table_NFI[[#This Row],[Jerry Can]],Table_NFI[Jerry Can])</f>
        <v>0</v>
      </c>
      <c r="AO1278" s="540" t="str">
        <f>IFERROR(VLOOKUP(Table_NFI[[#This Row],[Camp Name]],CL,2,0),"")</f>
        <v/>
      </c>
      <c r="AP1278" s="535" t="str">
        <f ca="1">IF(Table_NFI[[#This Row],[Pcode]]="","",IF(OFFSET(CampList[Opening Date],MATCH(Table_NFI[[#This Row],[Pcode]],CampList[CP_Pcode],0)-1,0,1,1)&gt;=NFI_Monitor_Date,1,0))</f>
        <v/>
      </c>
      <c r="AQ1278" s="540" t="str">
        <f>IFERROR(VLOOKUP(Table_NFI[[#This Row],[Camp Name]],CL,3,0),"")</f>
        <v/>
      </c>
      <c r="AR1278" s="352" t="str">
        <f ca="1">IF(Table_NFI[[#This Row],[Pcode]]="","",OFFSET(CampList[Priority],MATCH(Table_NFI[[#This Row],[Pcode]],CampList[CP_Pcode],0)-1,0,1,1))</f>
        <v/>
      </c>
      <c r="AS1278" s="351" t="str">
        <f>IFERROR(Table_NFI[[#This Row],[Kitchen Set]]/VLOOKUP(Table_NFI[[#This Row],[Camp Name]],CL,4,0),"")</f>
        <v/>
      </c>
      <c r="AT1278" s="538"/>
      <c r="AU1278" s="541"/>
    </row>
    <row r="1279" spans="1:47" ht="14.45" hidden="1" customHeight="1" x14ac:dyDescent="0.25">
      <c r="A1279" s="355" t="str">
        <f t="shared" si="20"/>
        <v/>
      </c>
      <c r="B1279" s="532"/>
      <c r="C1279" s="538"/>
      <c r="D1279" s="538"/>
      <c r="E1279" s="538"/>
      <c r="F1279" s="538"/>
      <c r="G1279" s="538"/>
      <c r="H1279" s="350"/>
      <c r="I1279" s="350"/>
      <c r="J1279" s="350"/>
      <c r="K1279" s="350"/>
      <c r="L1279" s="350"/>
      <c r="M1279" s="350"/>
      <c r="N1279" s="350"/>
      <c r="O1279" s="350"/>
      <c r="P1279" s="352"/>
      <c r="Q1279" s="558"/>
      <c r="R1279" s="558"/>
      <c r="S1279" s="558"/>
      <c r="T1279" s="558"/>
      <c r="U1279" s="558"/>
      <c r="V1279" s="497"/>
      <c r="W1279" s="558"/>
      <c r="X1279" s="558"/>
      <c r="Y1279" s="352">
        <f>IF(NFI_Expiration=1,IF($A1279&lt;VLOOKUP(H$5,NFI,5,0),1,0)*Table_NFI[[#This Row],[Hygiene Kit]],Table_NFI[Hygiene Kit])</f>
        <v>0</v>
      </c>
      <c r="Z1279" s="352">
        <f>IF(NFI_Expiration=1,IF($A1279&lt;VLOOKUP(I$5,NFI,5,0),1,0)*Table_NFI[[#This Row],[NFI Core Kit]],Table_NFI[NFI Core Kit])</f>
        <v>0</v>
      </c>
      <c r="AA1279" s="352">
        <f>IF(NFI_Expiration=1,IF($A1279&lt;VLOOKUP(J$5,NFI,5,0),1,0)*Table_NFI[[#This Row],[Sanitary Kit]],Table_NFI[Sanitary Kit])</f>
        <v>0</v>
      </c>
      <c r="AB1279" s="352">
        <f>IF(NFI_Expiration=1,IF($A1279&lt;VLOOKUP(K$5,NFI,5,0),1,0)*Table_NFI[[#This Row],[Mosquito net]],Table_NFI[Mosquito net])</f>
        <v>0</v>
      </c>
      <c r="AC1279" s="352">
        <f>IF(NFI_Expiration=1,IF($A1279&lt;VLOOKUP(L$5,NFI,5,0),1,0)*Table_NFI[[#This Row],[Tarpaulin]],Table_NFI[[#This Row],[Tarpaulin]])</f>
        <v>0</v>
      </c>
      <c r="AD1279" s="352">
        <f>IF(NFI_Expiration=1,IF($A1279&lt;VLOOKUP(M$5,NFI,5,0),1,0)*Table_NFI[[#This Row],[Blanket]],Table_NFI[[#This Row],[Blanket]])</f>
        <v>0</v>
      </c>
      <c r="AE1279" s="352">
        <f>IF(NFI_Expiration=1,IF($A1279&lt;VLOOKUP(N$5,NFI,5,0),1,0)*Table_NFI[[#This Row],[Kitchen Set]],Table_NFI[Kitchen Set])</f>
        <v>0</v>
      </c>
      <c r="AF1279" s="352">
        <f>IF(NFI_Expiration=1,IF($A1279&lt;VLOOKUP(O$5,NFI,5,0),1,0)*Table_NFI[[#This Row],[Clothes Kit]],Table_NFI[Clothes Kit])</f>
        <v>0</v>
      </c>
      <c r="AG1279" s="352">
        <f>IF(NFI_Expiration=1,IF($A1279&lt;VLOOKUP(P$5,NFI,5,0),1,0)*Table_NFI[[#This Row],[Plastic Bucket]],Table_NFI[Plastic Bucket])</f>
        <v>0</v>
      </c>
      <c r="AH1279" s="352">
        <f>IF(NFI_Expiration=1,IF($A1279&lt;VLOOKUP(Q$5,NFI,5,0),1,0)*Table_NFI[[#This Row],[Plastic Mat]],Table_NFI[Plastic Mat])*IF(Table_NFI[[#This Row],[Distribution Date]]&gt;"2014-04-01",1,2.5)</f>
        <v>0</v>
      </c>
      <c r="AI1279" s="352">
        <f>IF(NFI_Expiration=1,IF($A1279&lt;VLOOKUP(R$5,NFI,5,0),1,0)*Table_NFI[[#This Row],[Winter Clothes Adult]],Table_NFI[Winter Clothes Adult])</f>
        <v>0</v>
      </c>
      <c r="AJ1279" s="352">
        <f>IF(NFI_Expiration=1,IF($A1279&lt;VLOOKUP(S$5,NFI,5,0),1,0)*Table_NFI[[#This Row],[Winter Clothes Children]],Table_NFI[Winter Clothes Children])</f>
        <v>0</v>
      </c>
      <c r="AK1279" s="352">
        <f>IF(NFI_Expiration=1,IF($A1279&lt;VLOOKUP(T$5,NFI,5,0),1,0)*Table_NFI[[#This Row],[Winter Items Other]],Table_NFI[Winter Items Other])</f>
        <v>0</v>
      </c>
      <c r="AL1279" s="352">
        <f>IF(NFI_Expiration=1,IF($A1279&lt;VLOOKUP(M$5,NFI,5,0),1,0)*Table_NFI[[#This Row],[Winter Blanket]],Table_NFI[[#This Row],[Winter Blanket]])</f>
        <v>0</v>
      </c>
      <c r="AM1279" s="352">
        <f>IF(Table_NFI[[#This Row],[Winter Clothes Adult]]+Table_NFI[[#This Row],[Winter Clothes Children]]+Table_NFI[[#This Row],[Winter Items Other]]+Table_NFI[[#This Row],[Winter Blanket]]&gt;0,1,0)</f>
        <v>0</v>
      </c>
      <c r="AN1279" s="392">
        <f>IF(NFI_Expiration=1,IF($A1279&lt;VLOOKUP(V$5,NFI,5,0),1,0)*Table_NFI[[#This Row],[Jerry Can]],Table_NFI[Jerry Can])</f>
        <v>0</v>
      </c>
      <c r="AO1279" s="540" t="str">
        <f>IFERROR(VLOOKUP(Table_NFI[[#This Row],[Camp Name]],CL,2,0),"")</f>
        <v/>
      </c>
      <c r="AP1279" s="535" t="str">
        <f ca="1">IF(Table_NFI[[#This Row],[Pcode]]="","",IF(OFFSET(CampList[Opening Date],MATCH(Table_NFI[[#This Row],[Pcode]],CampList[CP_Pcode],0)-1,0,1,1)&gt;=NFI_Monitor_Date,1,0))</f>
        <v/>
      </c>
      <c r="AQ1279" s="540" t="str">
        <f>IFERROR(VLOOKUP(Table_NFI[[#This Row],[Camp Name]],CL,3,0),"")</f>
        <v/>
      </c>
      <c r="AR1279" s="352" t="str">
        <f ca="1">IF(Table_NFI[[#This Row],[Pcode]]="","",OFFSET(CampList[Priority],MATCH(Table_NFI[[#This Row],[Pcode]],CampList[CP_Pcode],0)-1,0,1,1))</f>
        <v/>
      </c>
      <c r="AS1279" s="351" t="str">
        <f>IFERROR(Table_NFI[[#This Row],[Kitchen Set]]/VLOOKUP(Table_NFI[[#This Row],[Camp Name]],CL,4,0),"")</f>
        <v/>
      </c>
      <c r="AT1279" s="538"/>
      <c r="AU1279" s="541"/>
    </row>
    <row r="1280" spans="1:47" ht="14.45" hidden="1" customHeight="1" x14ac:dyDescent="0.25">
      <c r="A1280" s="355" t="str">
        <f t="shared" si="20"/>
        <v/>
      </c>
      <c r="B1280" s="532"/>
      <c r="C1280" s="538"/>
      <c r="D1280" s="538"/>
      <c r="E1280" s="538"/>
      <c r="F1280" s="538"/>
      <c r="G1280" s="538"/>
      <c r="H1280" s="350"/>
      <c r="I1280" s="350"/>
      <c r="J1280" s="350"/>
      <c r="K1280" s="350"/>
      <c r="L1280" s="350"/>
      <c r="M1280" s="350"/>
      <c r="N1280" s="350"/>
      <c r="O1280" s="350"/>
      <c r="P1280" s="352"/>
      <c r="Q1280" s="558"/>
      <c r="R1280" s="558"/>
      <c r="S1280" s="558"/>
      <c r="T1280" s="558"/>
      <c r="U1280" s="558"/>
      <c r="V1280" s="497"/>
      <c r="W1280" s="558"/>
      <c r="X1280" s="558"/>
      <c r="Y1280" s="352">
        <f>IF(NFI_Expiration=1,IF($A1280&lt;VLOOKUP(H$5,NFI,5,0),1,0)*Table_NFI[[#This Row],[Hygiene Kit]],Table_NFI[Hygiene Kit])</f>
        <v>0</v>
      </c>
      <c r="Z1280" s="352">
        <f>IF(NFI_Expiration=1,IF($A1280&lt;VLOOKUP(I$5,NFI,5,0),1,0)*Table_NFI[[#This Row],[NFI Core Kit]],Table_NFI[NFI Core Kit])</f>
        <v>0</v>
      </c>
      <c r="AA1280" s="352">
        <f>IF(NFI_Expiration=1,IF($A1280&lt;VLOOKUP(J$5,NFI,5,0),1,0)*Table_NFI[[#This Row],[Sanitary Kit]],Table_NFI[Sanitary Kit])</f>
        <v>0</v>
      </c>
      <c r="AB1280" s="352">
        <f>IF(NFI_Expiration=1,IF($A1280&lt;VLOOKUP(K$5,NFI,5,0),1,0)*Table_NFI[[#This Row],[Mosquito net]],Table_NFI[Mosquito net])</f>
        <v>0</v>
      </c>
      <c r="AC1280" s="352">
        <f>IF(NFI_Expiration=1,IF($A1280&lt;VLOOKUP(L$5,NFI,5,0),1,0)*Table_NFI[[#This Row],[Tarpaulin]],Table_NFI[[#This Row],[Tarpaulin]])</f>
        <v>0</v>
      </c>
      <c r="AD1280" s="352">
        <f>IF(NFI_Expiration=1,IF($A1280&lt;VLOOKUP(M$5,NFI,5,0),1,0)*Table_NFI[[#This Row],[Blanket]],Table_NFI[[#This Row],[Blanket]])</f>
        <v>0</v>
      </c>
      <c r="AE1280" s="352">
        <f>IF(NFI_Expiration=1,IF($A1280&lt;VLOOKUP(N$5,NFI,5,0),1,0)*Table_NFI[[#This Row],[Kitchen Set]],Table_NFI[Kitchen Set])</f>
        <v>0</v>
      </c>
      <c r="AF1280" s="352">
        <f>IF(NFI_Expiration=1,IF($A1280&lt;VLOOKUP(O$5,NFI,5,0),1,0)*Table_NFI[[#This Row],[Clothes Kit]],Table_NFI[Clothes Kit])</f>
        <v>0</v>
      </c>
      <c r="AG1280" s="352">
        <f>IF(NFI_Expiration=1,IF($A1280&lt;VLOOKUP(P$5,NFI,5,0),1,0)*Table_NFI[[#This Row],[Plastic Bucket]],Table_NFI[Plastic Bucket])</f>
        <v>0</v>
      </c>
      <c r="AH1280" s="352">
        <f>IF(NFI_Expiration=1,IF($A1280&lt;VLOOKUP(Q$5,NFI,5,0),1,0)*Table_NFI[[#This Row],[Plastic Mat]],Table_NFI[Plastic Mat])*IF(Table_NFI[[#This Row],[Distribution Date]]&gt;"2014-04-01",1,2.5)</f>
        <v>0</v>
      </c>
      <c r="AI1280" s="352">
        <f>IF(NFI_Expiration=1,IF($A1280&lt;VLOOKUP(R$5,NFI,5,0),1,0)*Table_NFI[[#This Row],[Winter Clothes Adult]],Table_NFI[Winter Clothes Adult])</f>
        <v>0</v>
      </c>
      <c r="AJ1280" s="352">
        <f>IF(NFI_Expiration=1,IF($A1280&lt;VLOOKUP(S$5,NFI,5,0),1,0)*Table_NFI[[#This Row],[Winter Clothes Children]],Table_NFI[Winter Clothes Children])</f>
        <v>0</v>
      </c>
      <c r="AK1280" s="352">
        <f>IF(NFI_Expiration=1,IF($A1280&lt;VLOOKUP(T$5,NFI,5,0),1,0)*Table_NFI[[#This Row],[Winter Items Other]],Table_NFI[Winter Items Other])</f>
        <v>0</v>
      </c>
      <c r="AL1280" s="352">
        <f>IF(NFI_Expiration=1,IF($A1280&lt;VLOOKUP(M$5,NFI,5,0),1,0)*Table_NFI[[#This Row],[Winter Blanket]],Table_NFI[[#This Row],[Winter Blanket]])</f>
        <v>0</v>
      </c>
      <c r="AM1280" s="352">
        <f>IF(Table_NFI[[#This Row],[Winter Clothes Adult]]+Table_NFI[[#This Row],[Winter Clothes Children]]+Table_NFI[[#This Row],[Winter Items Other]]+Table_NFI[[#This Row],[Winter Blanket]]&gt;0,1,0)</f>
        <v>0</v>
      </c>
      <c r="AN1280" s="392">
        <f>IF(NFI_Expiration=1,IF($A1280&lt;VLOOKUP(V$5,NFI,5,0),1,0)*Table_NFI[[#This Row],[Jerry Can]],Table_NFI[Jerry Can])</f>
        <v>0</v>
      </c>
      <c r="AO1280" s="540" t="str">
        <f>IFERROR(VLOOKUP(Table_NFI[[#This Row],[Camp Name]],CL,2,0),"")</f>
        <v/>
      </c>
      <c r="AP1280" s="535" t="str">
        <f ca="1">IF(Table_NFI[[#This Row],[Pcode]]="","",IF(OFFSET(CampList[Opening Date],MATCH(Table_NFI[[#This Row],[Pcode]],CampList[CP_Pcode],0)-1,0,1,1)&gt;=NFI_Monitor_Date,1,0))</f>
        <v/>
      </c>
      <c r="AQ1280" s="540" t="str">
        <f>IFERROR(VLOOKUP(Table_NFI[[#This Row],[Camp Name]],CL,3,0),"")</f>
        <v/>
      </c>
      <c r="AR1280" s="352" t="str">
        <f ca="1">IF(Table_NFI[[#This Row],[Pcode]]="","",OFFSET(CampList[Priority],MATCH(Table_NFI[[#This Row],[Pcode]],CampList[CP_Pcode],0)-1,0,1,1))</f>
        <v/>
      </c>
      <c r="AS1280" s="351" t="str">
        <f>IFERROR(Table_NFI[[#This Row],[Kitchen Set]]/VLOOKUP(Table_NFI[[#This Row],[Camp Name]],CL,4,0),"")</f>
        <v/>
      </c>
      <c r="AT1280" s="538"/>
      <c r="AU1280" s="541"/>
    </row>
    <row r="1281" spans="1:47" ht="14.45" hidden="1" customHeight="1" x14ac:dyDescent="0.25">
      <c r="A1281" s="355" t="str">
        <f t="shared" si="20"/>
        <v/>
      </c>
      <c r="B1281" s="532"/>
      <c r="C1281" s="538"/>
      <c r="D1281" s="538"/>
      <c r="E1281" s="538"/>
      <c r="F1281" s="538"/>
      <c r="G1281" s="538"/>
      <c r="H1281" s="350"/>
      <c r="I1281" s="350"/>
      <c r="J1281" s="350"/>
      <c r="K1281" s="350"/>
      <c r="L1281" s="350"/>
      <c r="M1281" s="350"/>
      <c r="N1281" s="350"/>
      <c r="O1281" s="350"/>
      <c r="P1281" s="352"/>
      <c r="Q1281" s="558"/>
      <c r="R1281" s="558"/>
      <c r="S1281" s="558"/>
      <c r="T1281" s="558"/>
      <c r="U1281" s="558"/>
      <c r="V1281" s="497"/>
      <c r="W1281" s="558"/>
      <c r="X1281" s="558"/>
      <c r="Y1281" s="352">
        <f>IF(NFI_Expiration=1,IF($A1281&lt;VLOOKUP(H$5,NFI,5,0),1,0)*Table_NFI[[#This Row],[Hygiene Kit]],Table_NFI[Hygiene Kit])</f>
        <v>0</v>
      </c>
      <c r="Z1281" s="352">
        <f>IF(NFI_Expiration=1,IF($A1281&lt;VLOOKUP(I$5,NFI,5,0),1,0)*Table_NFI[[#This Row],[NFI Core Kit]],Table_NFI[NFI Core Kit])</f>
        <v>0</v>
      </c>
      <c r="AA1281" s="352">
        <f>IF(NFI_Expiration=1,IF($A1281&lt;VLOOKUP(J$5,NFI,5,0),1,0)*Table_NFI[[#This Row],[Sanitary Kit]],Table_NFI[Sanitary Kit])</f>
        <v>0</v>
      </c>
      <c r="AB1281" s="352">
        <f>IF(NFI_Expiration=1,IF($A1281&lt;VLOOKUP(K$5,NFI,5,0),1,0)*Table_NFI[[#This Row],[Mosquito net]],Table_NFI[Mosquito net])</f>
        <v>0</v>
      </c>
      <c r="AC1281" s="352">
        <f>IF(NFI_Expiration=1,IF($A1281&lt;VLOOKUP(L$5,NFI,5,0),1,0)*Table_NFI[[#This Row],[Tarpaulin]],Table_NFI[[#This Row],[Tarpaulin]])</f>
        <v>0</v>
      </c>
      <c r="AD1281" s="352">
        <f>IF(NFI_Expiration=1,IF($A1281&lt;VLOOKUP(M$5,NFI,5,0),1,0)*Table_NFI[[#This Row],[Blanket]],Table_NFI[[#This Row],[Blanket]])</f>
        <v>0</v>
      </c>
      <c r="AE1281" s="352">
        <f>IF(NFI_Expiration=1,IF($A1281&lt;VLOOKUP(N$5,NFI,5,0),1,0)*Table_NFI[[#This Row],[Kitchen Set]],Table_NFI[Kitchen Set])</f>
        <v>0</v>
      </c>
      <c r="AF1281" s="352">
        <f>IF(NFI_Expiration=1,IF($A1281&lt;VLOOKUP(O$5,NFI,5,0),1,0)*Table_NFI[[#This Row],[Clothes Kit]],Table_NFI[Clothes Kit])</f>
        <v>0</v>
      </c>
      <c r="AG1281" s="352">
        <f>IF(NFI_Expiration=1,IF($A1281&lt;VLOOKUP(P$5,NFI,5,0),1,0)*Table_NFI[[#This Row],[Plastic Bucket]],Table_NFI[Plastic Bucket])</f>
        <v>0</v>
      </c>
      <c r="AH1281" s="352">
        <f>IF(NFI_Expiration=1,IF($A1281&lt;VLOOKUP(Q$5,NFI,5,0),1,0)*Table_NFI[[#This Row],[Plastic Mat]],Table_NFI[Plastic Mat])*IF(Table_NFI[[#This Row],[Distribution Date]]&gt;"2014-04-01",1,2.5)</f>
        <v>0</v>
      </c>
      <c r="AI1281" s="352">
        <f>IF(NFI_Expiration=1,IF($A1281&lt;VLOOKUP(R$5,NFI,5,0),1,0)*Table_NFI[[#This Row],[Winter Clothes Adult]],Table_NFI[Winter Clothes Adult])</f>
        <v>0</v>
      </c>
      <c r="AJ1281" s="352">
        <f>IF(NFI_Expiration=1,IF($A1281&lt;VLOOKUP(S$5,NFI,5,0),1,0)*Table_NFI[[#This Row],[Winter Clothes Children]],Table_NFI[Winter Clothes Children])</f>
        <v>0</v>
      </c>
      <c r="AK1281" s="352">
        <f>IF(NFI_Expiration=1,IF($A1281&lt;VLOOKUP(T$5,NFI,5,0),1,0)*Table_NFI[[#This Row],[Winter Items Other]],Table_NFI[Winter Items Other])</f>
        <v>0</v>
      </c>
      <c r="AL1281" s="352">
        <f>IF(NFI_Expiration=1,IF($A1281&lt;VLOOKUP(M$5,NFI,5,0),1,0)*Table_NFI[[#This Row],[Winter Blanket]],Table_NFI[[#This Row],[Winter Blanket]])</f>
        <v>0</v>
      </c>
      <c r="AM1281" s="352">
        <f>IF(Table_NFI[[#This Row],[Winter Clothes Adult]]+Table_NFI[[#This Row],[Winter Clothes Children]]+Table_NFI[[#This Row],[Winter Items Other]]+Table_NFI[[#This Row],[Winter Blanket]]&gt;0,1,0)</f>
        <v>0</v>
      </c>
      <c r="AN1281" s="392">
        <f>IF(NFI_Expiration=1,IF($A1281&lt;VLOOKUP(V$5,NFI,5,0),1,0)*Table_NFI[[#This Row],[Jerry Can]],Table_NFI[Jerry Can])</f>
        <v>0</v>
      </c>
      <c r="AO1281" s="540" t="str">
        <f>IFERROR(VLOOKUP(Table_NFI[[#This Row],[Camp Name]],CL,2,0),"")</f>
        <v/>
      </c>
      <c r="AP1281" s="535" t="str">
        <f ca="1">IF(Table_NFI[[#This Row],[Pcode]]="","",IF(OFFSET(CampList[Opening Date],MATCH(Table_NFI[[#This Row],[Pcode]],CampList[CP_Pcode],0)-1,0,1,1)&gt;=NFI_Monitor_Date,1,0))</f>
        <v/>
      </c>
      <c r="AQ1281" s="540" t="str">
        <f>IFERROR(VLOOKUP(Table_NFI[[#This Row],[Camp Name]],CL,3,0),"")</f>
        <v/>
      </c>
      <c r="AR1281" s="352" t="str">
        <f ca="1">IF(Table_NFI[[#This Row],[Pcode]]="","",OFFSET(CampList[Priority],MATCH(Table_NFI[[#This Row],[Pcode]],CampList[CP_Pcode],0)-1,0,1,1))</f>
        <v/>
      </c>
      <c r="AS1281" s="351" t="str">
        <f>IFERROR(Table_NFI[[#This Row],[Kitchen Set]]/VLOOKUP(Table_NFI[[#This Row],[Camp Name]],CL,4,0),"")</f>
        <v/>
      </c>
      <c r="AT1281" s="538"/>
      <c r="AU1281" s="541"/>
    </row>
    <row r="1282" spans="1:47" ht="14.45" hidden="1" customHeight="1" x14ac:dyDescent="0.25">
      <c r="A1282" s="355" t="str">
        <f t="shared" si="20"/>
        <v/>
      </c>
      <c r="B1282" s="532"/>
      <c r="C1282" s="538"/>
      <c r="D1282" s="538"/>
      <c r="E1282" s="538"/>
      <c r="F1282" s="538"/>
      <c r="G1282" s="538"/>
      <c r="H1282" s="350"/>
      <c r="I1282" s="350"/>
      <c r="J1282" s="350"/>
      <c r="K1282" s="350"/>
      <c r="L1282" s="350"/>
      <c r="M1282" s="350"/>
      <c r="N1282" s="350"/>
      <c r="O1282" s="350"/>
      <c r="P1282" s="352"/>
      <c r="Q1282" s="558"/>
      <c r="R1282" s="558"/>
      <c r="S1282" s="558"/>
      <c r="T1282" s="558"/>
      <c r="U1282" s="558"/>
      <c r="V1282" s="497"/>
      <c r="W1282" s="558"/>
      <c r="X1282" s="558"/>
      <c r="Y1282" s="352">
        <f>IF(NFI_Expiration=1,IF($A1282&lt;VLOOKUP(H$5,NFI,5,0),1,0)*Table_NFI[[#This Row],[Hygiene Kit]],Table_NFI[Hygiene Kit])</f>
        <v>0</v>
      </c>
      <c r="Z1282" s="352">
        <f>IF(NFI_Expiration=1,IF($A1282&lt;VLOOKUP(I$5,NFI,5,0),1,0)*Table_NFI[[#This Row],[NFI Core Kit]],Table_NFI[NFI Core Kit])</f>
        <v>0</v>
      </c>
      <c r="AA1282" s="352">
        <f>IF(NFI_Expiration=1,IF($A1282&lt;VLOOKUP(J$5,NFI,5,0),1,0)*Table_NFI[[#This Row],[Sanitary Kit]],Table_NFI[Sanitary Kit])</f>
        <v>0</v>
      </c>
      <c r="AB1282" s="352">
        <f>IF(NFI_Expiration=1,IF($A1282&lt;VLOOKUP(K$5,NFI,5,0),1,0)*Table_NFI[[#This Row],[Mosquito net]],Table_NFI[Mosquito net])</f>
        <v>0</v>
      </c>
      <c r="AC1282" s="352">
        <f>IF(NFI_Expiration=1,IF($A1282&lt;VLOOKUP(L$5,NFI,5,0),1,0)*Table_NFI[[#This Row],[Tarpaulin]],Table_NFI[[#This Row],[Tarpaulin]])</f>
        <v>0</v>
      </c>
      <c r="AD1282" s="352">
        <f>IF(NFI_Expiration=1,IF($A1282&lt;VLOOKUP(M$5,NFI,5,0),1,0)*Table_NFI[[#This Row],[Blanket]],Table_NFI[[#This Row],[Blanket]])</f>
        <v>0</v>
      </c>
      <c r="AE1282" s="352">
        <f>IF(NFI_Expiration=1,IF($A1282&lt;VLOOKUP(N$5,NFI,5,0),1,0)*Table_NFI[[#This Row],[Kitchen Set]],Table_NFI[Kitchen Set])</f>
        <v>0</v>
      </c>
      <c r="AF1282" s="352">
        <f>IF(NFI_Expiration=1,IF($A1282&lt;VLOOKUP(O$5,NFI,5,0),1,0)*Table_NFI[[#This Row],[Clothes Kit]],Table_NFI[Clothes Kit])</f>
        <v>0</v>
      </c>
      <c r="AG1282" s="352">
        <f>IF(NFI_Expiration=1,IF($A1282&lt;VLOOKUP(P$5,NFI,5,0),1,0)*Table_NFI[[#This Row],[Plastic Bucket]],Table_NFI[Plastic Bucket])</f>
        <v>0</v>
      </c>
      <c r="AH1282" s="352">
        <f>IF(NFI_Expiration=1,IF($A1282&lt;VLOOKUP(Q$5,NFI,5,0),1,0)*Table_NFI[[#This Row],[Plastic Mat]],Table_NFI[Plastic Mat])*IF(Table_NFI[[#This Row],[Distribution Date]]&gt;"2014-04-01",1,2.5)</f>
        <v>0</v>
      </c>
      <c r="AI1282" s="352">
        <f>IF(NFI_Expiration=1,IF($A1282&lt;VLOOKUP(R$5,NFI,5,0),1,0)*Table_NFI[[#This Row],[Winter Clothes Adult]],Table_NFI[Winter Clothes Adult])</f>
        <v>0</v>
      </c>
      <c r="AJ1282" s="352">
        <f>IF(NFI_Expiration=1,IF($A1282&lt;VLOOKUP(S$5,NFI,5,0),1,0)*Table_NFI[[#This Row],[Winter Clothes Children]],Table_NFI[Winter Clothes Children])</f>
        <v>0</v>
      </c>
      <c r="AK1282" s="352">
        <f>IF(NFI_Expiration=1,IF($A1282&lt;VLOOKUP(T$5,NFI,5,0),1,0)*Table_NFI[[#This Row],[Winter Items Other]],Table_NFI[Winter Items Other])</f>
        <v>0</v>
      </c>
      <c r="AL1282" s="352">
        <f>IF(NFI_Expiration=1,IF($A1282&lt;VLOOKUP(M$5,NFI,5,0),1,0)*Table_NFI[[#This Row],[Winter Blanket]],Table_NFI[[#This Row],[Winter Blanket]])</f>
        <v>0</v>
      </c>
      <c r="AM1282" s="352">
        <f>IF(Table_NFI[[#This Row],[Winter Clothes Adult]]+Table_NFI[[#This Row],[Winter Clothes Children]]+Table_NFI[[#This Row],[Winter Items Other]]+Table_NFI[[#This Row],[Winter Blanket]]&gt;0,1,0)</f>
        <v>0</v>
      </c>
      <c r="AN1282" s="392">
        <f>IF(NFI_Expiration=1,IF($A1282&lt;VLOOKUP(V$5,NFI,5,0),1,0)*Table_NFI[[#This Row],[Jerry Can]],Table_NFI[Jerry Can])</f>
        <v>0</v>
      </c>
      <c r="AO1282" s="540" t="str">
        <f>IFERROR(VLOOKUP(Table_NFI[[#This Row],[Camp Name]],CL,2,0),"")</f>
        <v/>
      </c>
      <c r="AP1282" s="535" t="str">
        <f ca="1">IF(Table_NFI[[#This Row],[Pcode]]="","",IF(OFFSET(CampList[Opening Date],MATCH(Table_NFI[[#This Row],[Pcode]],CampList[CP_Pcode],0)-1,0,1,1)&gt;=NFI_Monitor_Date,1,0))</f>
        <v/>
      </c>
      <c r="AQ1282" s="540" t="str">
        <f>IFERROR(VLOOKUP(Table_NFI[[#This Row],[Camp Name]],CL,3,0),"")</f>
        <v/>
      </c>
      <c r="AR1282" s="352" t="str">
        <f ca="1">IF(Table_NFI[[#This Row],[Pcode]]="","",OFFSET(CampList[Priority],MATCH(Table_NFI[[#This Row],[Pcode]],CampList[CP_Pcode],0)-1,0,1,1))</f>
        <v/>
      </c>
      <c r="AS1282" s="351" t="str">
        <f>IFERROR(Table_NFI[[#This Row],[Kitchen Set]]/VLOOKUP(Table_NFI[[#This Row],[Camp Name]],CL,4,0),"")</f>
        <v/>
      </c>
      <c r="AT1282" s="538"/>
      <c r="AU1282" s="541"/>
    </row>
    <row r="1283" spans="1:47" ht="14.45" hidden="1" customHeight="1" x14ac:dyDescent="0.25">
      <c r="A1283" s="355" t="str">
        <f t="shared" si="20"/>
        <v/>
      </c>
      <c r="B1283" s="532"/>
      <c r="C1283" s="538"/>
      <c r="D1283" s="538"/>
      <c r="E1283" s="538"/>
      <c r="F1283" s="538"/>
      <c r="G1283" s="538"/>
      <c r="H1283" s="350"/>
      <c r="I1283" s="350"/>
      <c r="J1283" s="350"/>
      <c r="K1283" s="350"/>
      <c r="L1283" s="350"/>
      <c r="M1283" s="350"/>
      <c r="N1283" s="350"/>
      <c r="O1283" s="350"/>
      <c r="P1283" s="352"/>
      <c r="Q1283" s="558"/>
      <c r="R1283" s="558"/>
      <c r="S1283" s="558"/>
      <c r="T1283" s="558"/>
      <c r="U1283" s="558"/>
      <c r="V1283" s="497"/>
      <c r="W1283" s="558"/>
      <c r="X1283" s="558"/>
      <c r="Y1283" s="352">
        <f>IF(NFI_Expiration=1,IF($A1283&lt;VLOOKUP(H$5,NFI,5,0),1,0)*Table_NFI[[#This Row],[Hygiene Kit]],Table_NFI[Hygiene Kit])</f>
        <v>0</v>
      </c>
      <c r="Z1283" s="352">
        <f>IF(NFI_Expiration=1,IF($A1283&lt;VLOOKUP(I$5,NFI,5,0),1,0)*Table_NFI[[#This Row],[NFI Core Kit]],Table_NFI[NFI Core Kit])</f>
        <v>0</v>
      </c>
      <c r="AA1283" s="352">
        <f>IF(NFI_Expiration=1,IF($A1283&lt;VLOOKUP(J$5,NFI,5,0),1,0)*Table_NFI[[#This Row],[Sanitary Kit]],Table_NFI[Sanitary Kit])</f>
        <v>0</v>
      </c>
      <c r="AB1283" s="352">
        <f>IF(NFI_Expiration=1,IF($A1283&lt;VLOOKUP(K$5,NFI,5,0),1,0)*Table_NFI[[#This Row],[Mosquito net]],Table_NFI[Mosquito net])</f>
        <v>0</v>
      </c>
      <c r="AC1283" s="352">
        <f>IF(NFI_Expiration=1,IF($A1283&lt;VLOOKUP(L$5,NFI,5,0),1,0)*Table_NFI[[#This Row],[Tarpaulin]],Table_NFI[[#This Row],[Tarpaulin]])</f>
        <v>0</v>
      </c>
      <c r="AD1283" s="352">
        <f>IF(NFI_Expiration=1,IF($A1283&lt;VLOOKUP(M$5,NFI,5,0),1,0)*Table_NFI[[#This Row],[Blanket]],Table_NFI[[#This Row],[Blanket]])</f>
        <v>0</v>
      </c>
      <c r="AE1283" s="352">
        <f>IF(NFI_Expiration=1,IF($A1283&lt;VLOOKUP(N$5,NFI,5,0),1,0)*Table_NFI[[#This Row],[Kitchen Set]],Table_NFI[Kitchen Set])</f>
        <v>0</v>
      </c>
      <c r="AF1283" s="352">
        <f>IF(NFI_Expiration=1,IF($A1283&lt;VLOOKUP(O$5,NFI,5,0),1,0)*Table_NFI[[#This Row],[Clothes Kit]],Table_NFI[Clothes Kit])</f>
        <v>0</v>
      </c>
      <c r="AG1283" s="352">
        <f>IF(NFI_Expiration=1,IF($A1283&lt;VLOOKUP(P$5,NFI,5,0),1,0)*Table_NFI[[#This Row],[Plastic Bucket]],Table_NFI[Plastic Bucket])</f>
        <v>0</v>
      </c>
      <c r="AH1283" s="352">
        <f>IF(NFI_Expiration=1,IF($A1283&lt;VLOOKUP(Q$5,NFI,5,0),1,0)*Table_NFI[[#This Row],[Plastic Mat]],Table_NFI[Plastic Mat])*IF(Table_NFI[[#This Row],[Distribution Date]]&gt;"2014-04-01",1,2.5)</f>
        <v>0</v>
      </c>
      <c r="AI1283" s="352">
        <f>IF(NFI_Expiration=1,IF($A1283&lt;VLOOKUP(R$5,NFI,5,0),1,0)*Table_NFI[[#This Row],[Winter Clothes Adult]],Table_NFI[Winter Clothes Adult])</f>
        <v>0</v>
      </c>
      <c r="AJ1283" s="352">
        <f>IF(NFI_Expiration=1,IF($A1283&lt;VLOOKUP(S$5,NFI,5,0),1,0)*Table_NFI[[#This Row],[Winter Clothes Children]],Table_NFI[Winter Clothes Children])</f>
        <v>0</v>
      </c>
      <c r="AK1283" s="352">
        <f>IF(NFI_Expiration=1,IF($A1283&lt;VLOOKUP(T$5,NFI,5,0),1,0)*Table_NFI[[#This Row],[Winter Items Other]],Table_NFI[Winter Items Other])</f>
        <v>0</v>
      </c>
      <c r="AL1283" s="352">
        <f>IF(NFI_Expiration=1,IF($A1283&lt;VLOOKUP(M$5,NFI,5,0),1,0)*Table_NFI[[#This Row],[Winter Blanket]],Table_NFI[[#This Row],[Winter Blanket]])</f>
        <v>0</v>
      </c>
      <c r="AM1283" s="352">
        <f>IF(Table_NFI[[#This Row],[Winter Clothes Adult]]+Table_NFI[[#This Row],[Winter Clothes Children]]+Table_NFI[[#This Row],[Winter Items Other]]+Table_NFI[[#This Row],[Winter Blanket]]&gt;0,1,0)</f>
        <v>0</v>
      </c>
      <c r="AN1283" s="392">
        <f>IF(NFI_Expiration=1,IF($A1283&lt;VLOOKUP(V$5,NFI,5,0),1,0)*Table_NFI[[#This Row],[Jerry Can]],Table_NFI[Jerry Can])</f>
        <v>0</v>
      </c>
      <c r="AO1283" s="540" t="str">
        <f>IFERROR(VLOOKUP(Table_NFI[[#This Row],[Camp Name]],CL,2,0),"")</f>
        <v/>
      </c>
      <c r="AP1283" s="535" t="str">
        <f ca="1">IF(Table_NFI[[#This Row],[Pcode]]="","",IF(OFFSET(CampList[Opening Date],MATCH(Table_NFI[[#This Row],[Pcode]],CampList[CP_Pcode],0)-1,0,1,1)&gt;=NFI_Monitor_Date,1,0))</f>
        <v/>
      </c>
      <c r="AQ1283" s="540" t="str">
        <f>IFERROR(VLOOKUP(Table_NFI[[#This Row],[Camp Name]],CL,3,0),"")</f>
        <v/>
      </c>
      <c r="AR1283" s="352" t="str">
        <f ca="1">IF(Table_NFI[[#This Row],[Pcode]]="","",OFFSET(CampList[Priority],MATCH(Table_NFI[[#This Row],[Pcode]],CampList[CP_Pcode],0)-1,0,1,1))</f>
        <v/>
      </c>
      <c r="AS1283" s="351" t="str">
        <f>IFERROR(Table_NFI[[#This Row],[Kitchen Set]]/VLOOKUP(Table_NFI[[#This Row],[Camp Name]],CL,4,0),"")</f>
        <v/>
      </c>
      <c r="AT1283" s="538"/>
      <c r="AU1283" s="541"/>
    </row>
    <row r="1284" spans="1:47" ht="14.45" hidden="1" customHeight="1" x14ac:dyDescent="0.25">
      <c r="A1284" s="355" t="str">
        <f t="shared" si="20"/>
        <v/>
      </c>
      <c r="B1284" s="532"/>
      <c r="C1284" s="538"/>
      <c r="D1284" s="538"/>
      <c r="E1284" s="538"/>
      <c r="F1284" s="538"/>
      <c r="G1284" s="538"/>
      <c r="H1284" s="350"/>
      <c r="I1284" s="350"/>
      <c r="J1284" s="350"/>
      <c r="K1284" s="350"/>
      <c r="L1284" s="350"/>
      <c r="M1284" s="350"/>
      <c r="N1284" s="350"/>
      <c r="O1284" s="350"/>
      <c r="P1284" s="352"/>
      <c r="Q1284" s="558"/>
      <c r="R1284" s="558"/>
      <c r="S1284" s="558"/>
      <c r="T1284" s="558"/>
      <c r="U1284" s="558"/>
      <c r="V1284" s="497"/>
      <c r="W1284" s="558"/>
      <c r="X1284" s="558"/>
      <c r="Y1284" s="352">
        <f>IF(NFI_Expiration=1,IF($A1284&lt;VLOOKUP(H$5,NFI,5,0),1,0)*Table_NFI[[#This Row],[Hygiene Kit]],Table_NFI[Hygiene Kit])</f>
        <v>0</v>
      </c>
      <c r="Z1284" s="352">
        <f>IF(NFI_Expiration=1,IF($A1284&lt;VLOOKUP(I$5,NFI,5,0),1,0)*Table_NFI[[#This Row],[NFI Core Kit]],Table_NFI[NFI Core Kit])</f>
        <v>0</v>
      </c>
      <c r="AA1284" s="352">
        <f>IF(NFI_Expiration=1,IF($A1284&lt;VLOOKUP(J$5,NFI,5,0),1,0)*Table_NFI[[#This Row],[Sanitary Kit]],Table_NFI[Sanitary Kit])</f>
        <v>0</v>
      </c>
      <c r="AB1284" s="352">
        <f>IF(NFI_Expiration=1,IF($A1284&lt;VLOOKUP(K$5,NFI,5,0),1,0)*Table_NFI[[#This Row],[Mosquito net]],Table_NFI[Mosquito net])</f>
        <v>0</v>
      </c>
      <c r="AC1284" s="352">
        <f>IF(NFI_Expiration=1,IF($A1284&lt;VLOOKUP(L$5,NFI,5,0),1,0)*Table_NFI[[#This Row],[Tarpaulin]],Table_NFI[[#This Row],[Tarpaulin]])</f>
        <v>0</v>
      </c>
      <c r="AD1284" s="352">
        <f>IF(NFI_Expiration=1,IF($A1284&lt;VLOOKUP(M$5,NFI,5,0),1,0)*Table_NFI[[#This Row],[Blanket]],Table_NFI[[#This Row],[Blanket]])</f>
        <v>0</v>
      </c>
      <c r="AE1284" s="352">
        <f>IF(NFI_Expiration=1,IF($A1284&lt;VLOOKUP(N$5,NFI,5,0),1,0)*Table_NFI[[#This Row],[Kitchen Set]],Table_NFI[Kitchen Set])</f>
        <v>0</v>
      </c>
      <c r="AF1284" s="352">
        <f>IF(NFI_Expiration=1,IF($A1284&lt;VLOOKUP(O$5,NFI,5,0),1,0)*Table_NFI[[#This Row],[Clothes Kit]],Table_NFI[Clothes Kit])</f>
        <v>0</v>
      </c>
      <c r="AG1284" s="352">
        <f>IF(NFI_Expiration=1,IF($A1284&lt;VLOOKUP(P$5,NFI,5,0),1,0)*Table_NFI[[#This Row],[Plastic Bucket]],Table_NFI[Plastic Bucket])</f>
        <v>0</v>
      </c>
      <c r="AH1284" s="352">
        <f>IF(NFI_Expiration=1,IF($A1284&lt;VLOOKUP(Q$5,NFI,5,0),1,0)*Table_NFI[[#This Row],[Plastic Mat]],Table_NFI[Plastic Mat])*IF(Table_NFI[[#This Row],[Distribution Date]]&gt;"2014-04-01",1,2.5)</f>
        <v>0</v>
      </c>
      <c r="AI1284" s="352">
        <f>IF(NFI_Expiration=1,IF($A1284&lt;VLOOKUP(R$5,NFI,5,0),1,0)*Table_NFI[[#This Row],[Winter Clothes Adult]],Table_NFI[Winter Clothes Adult])</f>
        <v>0</v>
      </c>
      <c r="AJ1284" s="352">
        <f>IF(NFI_Expiration=1,IF($A1284&lt;VLOOKUP(S$5,NFI,5,0),1,0)*Table_NFI[[#This Row],[Winter Clothes Children]],Table_NFI[Winter Clothes Children])</f>
        <v>0</v>
      </c>
      <c r="AK1284" s="352">
        <f>IF(NFI_Expiration=1,IF($A1284&lt;VLOOKUP(T$5,NFI,5,0),1,0)*Table_NFI[[#This Row],[Winter Items Other]],Table_NFI[Winter Items Other])</f>
        <v>0</v>
      </c>
      <c r="AL1284" s="352">
        <f>IF(NFI_Expiration=1,IF($A1284&lt;VLOOKUP(M$5,NFI,5,0),1,0)*Table_NFI[[#This Row],[Winter Blanket]],Table_NFI[[#This Row],[Winter Blanket]])</f>
        <v>0</v>
      </c>
      <c r="AM1284" s="352">
        <f>IF(Table_NFI[[#This Row],[Winter Clothes Adult]]+Table_NFI[[#This Row],[Winter Clothes Children]]+Table_NFI[[#This Row],[Winter Items Other]]+Table_NFI[[#This Row],[Winter Blanket]]&gt;0,1,0)</f>
        <v>0</v>
      </c>
      <c r="AN1284" s="392">
        <f>IF(NFI_Expiration=1,IF($A1284&lt;VLOOKUP(V$5,NFI,5,0),1,0)*Table_NFI[[#This Row],[Jerry Can]],Table_NFI[Jerry Can])</f>
        <v>0</v>
      </c>
      <c r="AO1284" s="540" t="str">
        <f>IFERROR(VLOOKUP(Table_NFI[[#This Row],[Camp Name]],CL,2,0),"")</f>
        <v/>
      </c>
      <c r="AP1284" s="535" t="str">
        <f ca="1">IF(Table_NFI[[#This Row],[Pcode]]="","",IF(OFFSET(CampList[Opening Date],MATCH(Table_NFI[[#This Row],[Pcode]],CampList[CP_Pcode],0)-1,0,1,1)&gt;=NFI_Monitor_Date,1,0))</f>
        <v/>
      </c>
      <c r="AQ1284" s="540" t="str">
        <f>IFERROR(VLOOKUP(Table_NFI[[#This Row],[Camp Name]],CL,3,0),"")</f>
        <v/>
      </c>
      <c r="AR1284" s="352" t="str">
        <f ca="1">IF(Table_NFI[[#This Row],[Pcode]]="","",OFFSET(CampList[Priority],MATCH(Table_NFI[[#This Row],[Pcode]],CampList[CP_Pcode],0)-1,0,1,1))</f>
        <v/>
      </c>
      <c r="AS1284" s="351" t="str">
        <f>IFERROR(Table_NFI[[#This Row],[Kitchen Set]]/VLOOKUP(Table_NFI[[#This Row],[Camp Name]],CL,4,0),"")</f>
        <v/>
      </c>
      <c r="AT1284" s="538"/>
      <c r="AU1284" s="541"/>
    </row>
    <row r="1285" spans="1:47" ht="14.45" hidden="1" customHeight="1" x14ac:dyDescent="0.25">
      <c r="A1285" s="355" t="str">
        <f t="shared" si="20"/>
        <v/>
      </c>
      <c r="B1285" s="532"/>
      <c r="C1285" s="538"/>
      <c r="D1285" s="538"/>
      <c r="E1285" s="538"/>
      <c r="F1285" s="538"/>
      <c r="G1285" s="538"/>
      <c r="H1285" s="350"/>
      <c r="I1285" s="350"/>
      <c r="J1285" s="350"/>
      <c r="K1285" s="350"/>
      <c r="L1285" s="350"/>
      <c r="M1285" s="350"/>
      <c r="N1285" s="350"/>
      <c r="O1285" s="350"/>
      <c r="P1285" s="352"/>
      <c r="Q1285" s="558"/>
      <c r="R1285" s="558"/>
      <c r="S1285" s="558"/>
      <c r="T1285" s="558"/>
      <c r="U1285" s="558"/>
      <c r="V1285" s="497"/>
      <c r="W1285" s="558"/>
      <c r="X1285" s="558"/>
      <c r="Y1285" s="352">
        <f>IF(NFI_Expiration=1,IF($A1285&lt;VLOOKUP(H$5,NFI,5,0),1,0)*Table_NFI[[#This Row],[Hygiene Kit]],Table_NFI[Hygiene Kit])</f>
        <v>0</v>
      </c>
      <c r="Z1285" s="352">
        <f>IF(NFI_Expiration=1,IF($A1285&lt;VLOOKUP(I$5,NFI,5,0),1,0)*Table_NFI[[#This Row],[NFI Core Kit]],Table_NFI[NFI Core Kit])</f>
        <v>0</v>
      </c>
      <c r="AA1285" s="352">
        <f>IF(NFI_Expiration=1,IF($A1285&lt;VLOOKUP(J$5,NFI,5,0),1,0)*Table_NFI[[#This Row],[Sanitary Kit]],Table_NFI[Sanitary Kit])</f>
        <v>0</v>
      </c>
      <c r="AB1285" s="352">
        <f>IF(NFI_Expiration=1,IF($A1285&lt;VLOOKUP(K$5,NFI,5,0),1,0)*Table_NFI[[#This Row],[Mosquito net]],Table_NFI[Mosquito net])</f>
        <v>0</v>
      </c>
      <c r="AC1285" s="352">
        <f>IF(NFI_Expiration=1,IF($A1285&lt;VLOOKUP(L$5,NFI,5,0),1,0)*Table_NFI[[#This Row],[Tarpaulin]],Table_NFI[[#This Row],[Tarpaulin]])</f>
        <v>0</v>
      </c>
      <c r="AD1285" s="352">
        <f>IF(NFI_Expiration=1,IF($A1285&lt;VLOOKUP(M$5,NFI,5,0),1,0)*Table_NFI[[#This Row],[Blanket]],Table_NFI[[#This Row],[Blanket]])</f>
        <v>0</v>
      </c>
      <c r="AE1285" s="352">
        <f>IF(NFI_Expiration=1,IF($A1285&lt;VLOOKUP(N$5,NFI,5,0),1,0)*Table_NFI[[#This Row],[Kitchen Set]],Table_NFI[Kitchen Set])</f>
        <v>0</v>
      </c>
      <c r="AF1285" s="352">
        <f>IF(NFI_Expiration=1,IF($A1285&lt;VLOOKUP(O$5,NFI,5,0),1,0)*Table_NFI[[#This Row],[Clothes Kit]],Table_NFI[Clothes Kit])</f>
        <v>0</v>
      </c>
      <c r="AG1285" s="352">
        <f>IF(NFI_Expiration=1,IF($A1285&lt;VLOOKUP(P$5,NFI,5,0),1,0)*Table_NFI[[#This Row],[Plastic Bucket]],Table_NFI[Plastic Bucket])</f>
        <v>0</v>
      </c>
      <c r="AH1285" s="352">
        <f>IF(NFI_Expiration=1,IF($A1285&lt;VLOOKUP(Q$5,NFI,5,0),1,0)*Table_NFI[[#This Row],[Plastic Mat]],Table_NFI[Plastic Mat])*IF(Table_NFI[[#This Row],[Distribution Date]]&gt;"2014-04-01",1,2.5)</f>
        <v>0</v>
      </c>
      <c r="AI1285" s="352">
        <f>IF(NFI_Expiration=1,IF($A1285&lt;VLOOKUP(R$5,NFI,5,0),1,0)*Table_NFI[[#This Row],[Winter Clothes Adult]],Table_NFI[Winter Clothes Adult])</f>
        <v>0</v>
      </c>
      <c r="AJ1285" s="352">
        <f>IF(NFI_Expiration=1,IF($A1285&lt;VLOOKUP(S$5,NFI,5,0),1,0)*Table_NFI[[#This Row],[Winter Clothes Children]],Table_NFI[Winter Clothes Children])</f>
        <v>0</v>
      </c>
      <c r="AK1285" s="352">
        <f>IF(NFI_Expiration=1,IF($A1285&lt;VLOOKUP(T$5,NFI,5,0),1,0)*Table_NFI[[#This Row],[Winter Items Other]],Table_NFI[Winter Items Other])</f>
        <v>0</v>
      </c>
      <c r="AL1285" s="352">
        <f>IF(NFI_Expiration=1,IF($A1285&lt;VLOOKUP(M$5,NFI,5,0),1,0)*Table_NFI[[#This Row],[Winter Blanket]],Table_NFI[[#This Row],[Winter Blanket]])</f>
        <v>0</v>
      </c>
      <c r="AM1285" s="352">
        <f>IF(Table_NFI[[#This Row],[Winter Clothes Adult]]+Table_NFI[[#This Row],[Winter Clothes Children]]+Table_NFI[[#This Row],[Winter Items Other]]+Table_NFI[[#This Row],[Winter Blanket]]&gt;0,1,0)</f>
        <v>0</v>
      </c>
      <c r="AN1285" s="392">
        <f>IF(NFI_Expiration=1,IF($A1285&lt;VLOOKUP(V$5,NFI,5,0),1,0)*Table_NFI[[#This Row],[Jerry Can]],Table_NFI[Jerry Can])</f>
        <v>0</v>
      </c>
      <c r="AO1285" s="540" t="str">
        <f>IFERROR(VLOOKUP(Table_NFI[[#This Row],[Camp Name]],CL,2,0),"")</f>
        <v/>
      </c>
      <c r="AP1285" s="535" t="str">
        <f ca="1">IF(Table_NFI[[#This Row],[Pcode]]="","",IF(OFFSET(CampList[Opening Date],MATCH(Table_NFI[[#This Row],[Pcode]],CampList[CP_Pcode],0)-1,0,1,1)&gt;=NFI_Monitor_Date,1,0))</f>
        <v/>
      </c>
      <c r="AQ1285" s="540" t="str">
        <f>IFERROR(VLOOKUP(Table_NFI[[#This Row],[Camp Name]],CL,3,0),"")</f>
        <v/>
      </c>
      <c r="AR1285" s="352" t="str">
        <f ca="1">IF(Table_NFI[[#This Row],[Pcode]]="","",OFFSET(CampList[Priority],MATCH(Table_NFI[[#This Row],[Pcode]],CampList[CP_Pcode],0)-1,0,1,1))</f>
        <v/>
      </c>
      <c r="AS1285" s="351" t="str">
        <f>IFERROR(Table_NFI[[#This Row],[Kitchen Set]]/VLOOKUP(Table_NFI[[#This Row],[Camp Name]],CL,4,0),"")</f>
        <v/>
      </c>
      <c r="AT1285" s="538"/>
      <c r="AU1285" s="541"/>
    </row>
    <row r="1286" spans="1:47" ht="14.45" hidden="1" customHeight="1" x14ac:dyDescent="0.25">
      <c r="A1286" s="355" t="str">
        <f t="shared" si="20"/>
        <v/>
      </c>
      <c r="B1286" s="532"/>
      <c r="C1286" s="538"/>
      <c r="D1286" s="538"/>
      <c r="E1286" s="538"/>
      <c r="F1286" s="538"/>
      <c r="G1286" s="538"/>
      <c r="H1286" s="350"/>
      <c r="I1286" s="350"/>
      <c r="J1286" s="350"/>
      <c r="K1286" s="350"/>
      <c r="L1286" s="350"/>
      <c r="M1286" s="350"/>
      <c r="N1286" s="350"/>
      <c r="O1286" s="350"/>
      <c r="P1286" s="352"/>
      <c r="Q1286" s="558"/>
      <c r="R1286" s="558"/>
      <c r="S1286" s="558"/>
      <c r="T1286" s="558"/>
      <c r="U1286" s="558"/>
      <c r="V1286" s="497"/>
      <c r="W1286" s="558"/>
      <c r="X1286" s="558"/>
      <c r="Y1286" s="352">
        <f>IF(NFI_Expiration=1,IF($A1286&lt;VLOOKUP(H$5,NFI,5,0),1,0)*Table_NFI[[#This Row],[Hygiene Kit]],Table_NFI[Hygiene Kit])</f>
        <v>0</v>
      </c>
      <c r="Z1286" s="352">
        <f>IF(NFI_Expiration=1,IF($A1286&lt;VLOOKUP(I$5,NFI,5,0),1,0)*Table_NFI[[#This Row],[NFI Core Kit]],Table_NFI[NFI Core Kit])</f>
        <v>0</v>
      </c>
      <c r="AA1286" s="352">
        <f>IF(NFI_Expiration=1,IF($A1286&lt;VLOOKUP(J$5,NFI,5,0),1,0)*Table_NFI[[#This Row],[Sanitary Kit]],Table_NFI[Sanitary Kit])</f>
        <v>0</v>
      </c>
      <c r="AB1286" s="352">
        <f>IF(NFI_Expiration=1,IF($A1286&lt;VLOOKUP(K$5,NFI,5,0),1,0)*Table_NFI[[#This Row],[Mosquito net]],Table_NFI[Mosquito net])</f>
        <v>0</v>
      </c>
      <c r="AC1286" s="352">
        <f>IF(NFI_Expiration=1,IF($A1286&lt;VLOOKUP(L$5,NFI,5,0),1,0)*Table_NFI[[#This Row],[Tarpaulin]],Table_NFI[[#This Row],[Tarpaulin]])</f>
        <v>0</v>
      </c>
      <c r="AD1286" s="352">
        <f>IF(NFI_Expiration=1,IF($A1286&lt;VLOOKUP(M$5,NFI,5,0),1,0)*Table_NFI[[#This Row],[Blanket]],Table_NFI[[#This Row],[Blanket]])</f>
        <v>0</v>
      </c>
      <c r="AE1286" s="352">
        <f>IF(NFI_Expiration=1,IF($A1286&lt;VLOOKUP(N$5,NFI,5,0),1,0)*Table_NFI[[#This Row],[Kitchen Set]],Table_NFI[Kitchen Set])</f>
        <v>0</v>
      </c>
      <c r="AF1286" s="352">
        <f>IF(NFI_Expiration=1,IF($A1286&lt;VLOOKUP(O$5,NFI,5,0),1,0)*Table_NFI[[#This Row],[Clothes Kit]],Table_NFI[Clothes Kit])</f>
        <v>0</v>
      </c>
      <c r="AG1286" s="352">
        <f>IF(NFI_Expiration=1,IF($A1286&lt;VLOOKUP(P$5,NFI,5,0),1,0)*Table_NFI[[#This Row],[Plastic Bucket]],Table_NFI[Plastic Bucket])</f>
        <v>0</v>
      </c>
      <c r="AH1286" s="352">
        <f>IF(NFI_Expiration=1,IF($A1286&lt;VLOOKUP(Q$5,NFI,5,0),1,0)*Table_NFI[[#This Row],[Plastic Mat]],Table_NFI[Plastic Mat])*IF(Table_NFI[[#This Row],[Distribution Date]]&gt;"2014-04-01",1,2.5)</f>
        <v>0</v>
      </c>
      <c r="AI1286" s="352">
        <f>IF(NFI_Expiration=1,IF($A1286&lt;VLOOKUP(R$5,NFI,5,0),1,0)*Table_NFI[[#This Row],[Winter Clothes Adult]],Table_NFI[Winter Clothes Adult])</f>
        <v>0</v>
      </c>
      <c r="AJ1286" s="352">
        <f>IF(NFI_Expiration=1,IF($A1286&lt;VLOOKUP(S$5,NFI,5,0),1,0)*Table_NFI[[#This Row],[Winter Clothes Children]],Table_NFI[Winter Clothes Children])</f>
        <v>0</v>
      </c>
      <c r="AK1286" s="352">
        <f>IF(NFI_Expiration=1,IF($A1286&lt;VLOOKUP(T$5,NFI,5,0),1,0)*Table_NFI[[#This Row],[Winter Items Other]],Table_NFI[Winter Items Other])</f>
        <v>0</v>
      </c>
      <c r="AL1286" s="352">
        <f>IF(NFI_Expiration=1,IF($A1286&lt;VLOOKUP(M$5,NFI,5,0),1,0)*Table_NFI[[#This Row],[Winter Blanket]],Table_NFI[[#This Row],[Winter Blanket]])</f>
        <v>0</v>
      </c>
      <c r="AM1286" s="352">
        <f>IF(Table_NFI[[#This Row],[Winter Clothes Adult]]+Table_NFI[[#This Row],[Winter Clothes Children]]+Table_NFI[[#This Row],[Winter Items Other]]+Table_NFI[[#This Row],[Winter Blanket]]&gt;0,1,0)</f>
        <v>0</v>
      </c>
      <c r="AN1286" s="392">
        <f>IF(NFI_Expiration=1,IF($A1286&lt;VLOOKUP(V$5,NFI,5,0),1,0)*Table_NFI[[#This Row],[Jerry Can]],Table_NFI[Jerry Can])</f>
        <v>0</v>
      </c>
      <c r="AO1286" s="540" t="str">
        <f>IFERROR(VLOOKUP(Table_NFI[[#This Row],[Camp Name]],CL,2,0),"")</f>
        <v/>
      </c>
      <c r="AP1286" s="535" t="str">
        <f ca="1">IF(Table_NFI[[#This Row],[Pcode]]="","",IF(OFFSET(CampList[Opening Date],MATCH(Table_NFI[[#This Row],[Pcode]],CampList[CP_Pcode],0)-1,0,1,1)&gt;=NFI_Monitor_Date,1,0))</f>
        <v/>
      </c>
      <c r="AQ1286" s="540" t="str">
        <f>IFERROR(VLOOKUP(Table_NFI[[#This Row],[Camp Name]],CL,3,0),"")</f>
        <v/>
      </c>
      <c r="AR1286" s="352" t="str">
        <f ca="1">IF(Table_NFI[[#This Row],[Pcode]]="","",OFFSET(CampList[Priority],MATCH(Table_NFI[[#This Row],[Pcode]],CampList[CP_Pcode],0)-1,0,1,1))</f>
        <v/>
      </c>
      <c r="AS1286" s="351" t="str">
        <f>IFERROR(Table_NFI[[#This Row],[Kitchen Set]]/VLOOKUP(Table_NFI[[#This Row],[Camp Name]],CL,4,0),"")</f>
        <v/>
      </c>
      <c r="AT1286" s="538"/>
      <c r="AU1286" s="541"/>
    </row>
    <row r="1287" spans="1:47" ht="14.45" hidden="1" customHeight="1" x14ac:dyDescent="0.25">
      <c r="A1287" s="355" t="str">
        <f t="shared" si="20"/>
        <v/>
      </c>
      <c r="B1287" s="532"/>
      <c r="C1287" s="538"/>
      <c r="D1287" s="538"/>
      <c r="E1287" s="538"/>
      <c r="F1287" s="538"/>
      <c r="G1287" s="538"/>
      <c r="H1287" s="350"/>
      <c r="I1287" s="350"/>
      <c r="J1287" s="350"/>
      <c r="K1287" s="350"/>
      <c r="L1287" s="350"/>
      <c r="M1287" s="350"/>
      <c r="N1287" s="350"/>
      <c r="O1287" s="350"/>
      <c r="P1287" s="352"/>
      <c r="Q1287" s="558"/>
      <c r="R1287" s="558"/>
      <c r="S1287" s="558"/>
      <c r="T1287" s="558"/>
      <c r="U1287" s="558"/>
      <c r="V1287" s="497"/>
      <c r="W1287" s="558"/>
      <c r="X1287" s="558"/>
      <c r="Y1287" s="352">
        <f>IF(NFI_Expiration=1,IF($A1287&lt;VLOOKUP(H$5,NFI,5,0),1,0)*Table_NFI[[#This Row],[Hygiene Kit]],Table_NFI[Hygiene Kit])</f>
        <v>0</v>
      </c>
      <c r="Z1287" s="352">
        <f>IF(NFI_Expiration=1,IF($A1287&lt;VLOOKUP(I$5,NFI,5,0),1,0)*Table_NFI[[#This Row],[NFI Core Kit]],Table_NFI[NFI Core Kit])</f>
        <v>0</v>
      </c>
      <c r="AA1287" s="352">
        <f>IF(NFI_Expiration=1,IF($A1287&lt;VLOOKUP(J$5,NFI,5,0),1,0)*Table_NFI[[#This Row],[Sanitary Kit]],Table_NFI[Sanitary Kit])</f>
        <v>0</v>
      </c>
      <c r="AB1287" s="352">
        <f>IF(NFI_Expiration=1,IF($A1287&lt;VLOOKUP(K$5,NFI,5,0),1,0)*Table_NFI[[#This Row],[Mosquito net]],Table_NFI[Mosquito net])</f>
        <v>0</v>
      </c>
      <c r="AC1287" s="352">
        <f>IF(NFI_Expiration=1,IF($A1287&lt;VLOOKUP(L$5,NFI,5,0),1,0)*Table_NFI[[#This Row],[Tarpaulin]],Table_NFI[[#This Row],[Tarpaulin]])</f>
        <v>0</v>
      </c>
      <c r="AD1287" s="352">
        <f>IF(NFI_Expiration=1,IF($A1287&lt;VLOOKUP(M$5,NFI,5,0),1,0)*Table_NFI[[#This Row],[Blanket]],Table_NFI[[#This Row],[Blanket]])</f>
        <v>0</v>
      </c>
      <c r="AE1287" s="352">
        <f>IF(NFI_Expiration=1,IF($A1287&lt;VLOOKUP(N$5,NFI,5,0),1,0)*Table_NFI[[#This Row],[Kitchen Set]],Table_NFI[Kitchen Set])</f>
        <v>0</v>
      </c>
      <c r="AF1287" s="352">
        <f>IF(NFI_Expiration=1,IF($A1287&lt;VLOOKUP(O$5,NFI,5,0),1,0)*Table_NFI[[#This Row],[Clothes Kit]],Table_NFI[Clothes Kit])</f>
        <v>0</v>
      </c>
      <c r="AG1287" s="352">
        <f>IF(NFI_Expiration=1,IF($A1287&lt;VLOOKUP(P$5,NFI,5,0),1,0)*Table_NFI[[#This Row],[Plastic Bucket]],Table_NFI[Plastic Bucket])</f>
        <v>0</v>
      </c>
      <c r="AH1287" s="352">
        <f>IF(NFI_Expiration=1,IF($A1287&lt;VLOOKUP(Q$5,NFI,5,0),1,0)*Table_NFI[[#This Row],[Plastic Mat]],Table_NFI[Plastic Mat])*IF(Table_NFI[[#This Row],[Distribution Date]]&gt;"2014-04-01",1,2.5)</f>
        <v>0</v>
      </c>
      <c r="AI1287" s="352">
        <f>IF(NFI_Expiration=1,IF($A1287&lt;VLOOKUP(R$5,NFI,5,0),1,0)*Table_NFI[[#This Row],[Winter Clothes Adult]],Table_NFI[Winter Clothes Adult])</f>
        <v>0</v>
      </c>
      <c r="AJ1287" s="352">
        <f>IF(NFI_Expiration=1,IF($A1287&lt;VLOOKUP(S$5,NFI,5,0),1,0)*Table_NFI[[#This Row],[Winter Clothes Children]],Table_NFI[Winter Clothes Children])</f>
        <v>0</v>
      </c>
      <c r="AK1287" s="352">
        <f>IF(NFI_Expiration=1,IF($A1287&lt;VLOOKUP(T$5,NFI,5,0),1,0)*Table_NFI[[#This Row],[Winter Items Other]],Table_NFI[Winter Items Other])</f>
        <v>0</v>
      </c>
      <c r="AL1287" s="352">
        <f>IF(NFI_Expiration=1,IF($A1287&lt;VLOOKUP(M$5,NFI,5,0),1,0)*Table_NFI[[#This Row],[Winter Blanket]],Table_NFI[[#This Row],[Winter Blanket]])</f>
        <v>0</v>
      </c>
      <c r="AM1287" s="352">
        <f>IF(Table_NFI[[#This Row],[Winter Clothes Adult]]+Table_NFI[[#This Row],[Winter Clothes Children]]+Table_NFI[[#This Row],[Winter Items Other]]+Table_NFI[[#This Row],[Winter Blanket]]&gt;0,1,0)</f>
        <v>0</v>
      </c>
      <c r="AN1287" s="392">
        <f>IF(NFI_Expiration=1,IF($A1287&lt;VLOOKUP(V$5,NFI,5,0),1,0)*Table_NFI[[#This Row],[Jerry Can]],Table_NFI[Jerry Can])</f>
        <v>0</v>
      </c>
      <c r="AO1287" s="540" t="str">
        <f>IFERROR(VLOOKUP(Table_NFI[[#This Row],[Camp Name]],CL,2,0),"")</f>
        <v/>
      </c>
      <c r="AP1287" s="535" t="str">
        <f ca="1">IF(Table_NFI[[#This Row],[Pcode]]="","",IF(OFFSET(CampList[Opening Date],MATCH(Table_NFI[[#This Row],[Pcode]],CampList[CP_Pcode],0)-1,0,1,1)&gt;=NFI_Monitor_Date,1,0))</f>
        <v/>
      </c>
      <c r="AQ1287" s="540" t="str">
        <f>IFERROR(VLOOKUP(Table_NFI[[#This Row],[Camp Name]],CL,3,0),"")</f>
        <v/>
      </c>
      <c r="AR1287" s="352" t="str">
        <f ca="1">IF(Table_NFI[[#This Row],[Pcode]]="","",OFFSET(CampList[Priority],MATCH(Table_NFI[[#This Row],[Pcode]],CampList[CP_Pcode],0)-1,0,1,1))</f>
        <v/>
      </c>
      <c r="AS1287" s="351" t="str">
        <f>IFERROR(Table_NFI[[#This Row],[Kitchen Set]]/VLOOKUP(Table_NFI[[#This Row],[Camp Name]],CL,4,0),"")</f>
        <v/>
      </c>
      <c r="AT1287" s="538"/>
      <c r="AU1287" s="541"/>
    </row>
    <row r="1288" spans="1:47" ht="14.45" hidden="1" customHeight="1" x14ac:dyDescent="0.25">
      <c r="A1288" s="355" t="str">
        <f t="shared" si="20"/>
        <v/>
      </c>
      <c r="B1288" s="532"/>
      <c r="C1288" s="538"/>
      <c r="D1288" s="538"/>
      <c r="E1288" s="538"/>
      <c r="F1288" s="538"/>
      <c r="G1288" s="538"/>
      <c r="H1288" s="350"/>
      <c r="I1288" s="350"/>
      <c r="J1288" s="350"/>
      <c r="K1288" s="350"/>
      <c r="L1288" s="350"/>
      <c r="M1288" s="350"/>
      <c r="N1288" s="350"/>
      <c r="O1288" s="350"/>
      <c r="P1288" s="352"/>
      <c r="Q1288" s="558"/>
      <c r="R1288" s="558"/>
      <c r="S1288" s="558"/>
      <c r="T1288" s="558"/>
      <c r="U1288" s="558"/>
      <c r="V1288" s="497"/>
      <c r="W1288" s="558"/>
      <c r="X1288" s="558"/>
      <c r="Y1288" s="352">
        <f>IF(NFI_Expiration=1,IF($A1288&lt;VLOOKUP(H$5,NFI,5,0),1,0)*Table_NFI[[#This Row],[Hygiene Kit]],Table_NFI[Hygiene Kit])</f>
        <v>0</v>
      </c>
      <c r="Z1288" s="352">
        <f>IF(NFI_Expiration=1,IF($A1288&lt;VLOOKUP(I$5,NFI,5,0),1,0)*Table_NFI[[#This Row],[NFI Core Kit]],Table_NFI[NFI Core Kit])</f>
        <v>0</v>
      </c>
      <c r="AA1288" s="352">
        <f>IF(NFI_Expiration=1,IF($A1288&lt;VLOOKUP(J$5,NFI,5,0),1,0)*Table_NFI[[#This Row],[Sanitary Kit]],Table_NFI[Sanitary Kit])</f>
        <v>0</v>
      </c>
      <c r="AB1288" s="352">
        <f>IF(NFI_Expiration=1,IF($A1288&lt;VLOOKUP(K$5,NFI,5,0),1,0)*Table_NFI[[#This Row],[Mosquito net]],Table_NFI[Mosquito net])</f>
        <v>0</v>
      </c>
      <c r="AC1288" s="352">
        <f>IF(NFI_Expiration=1,IF($A1288&lt;VLOOKUP(L$5,NFI,5,0),1,0)*Table_NFI[[#This Row],[Tarpaulin]],Table_NFI[[#This Row],[Tarpaulin]])</f>
        <v>0</v>
      </c>
      <c r="AD1288" s="352">
        <f>IF(NFI_Expiration=1,IF($A1288&lt;VLOOKUP(M$5,NFI,5,0),1,0)*Table_NFI[[#This Row],[Blanket]],Table_NFI[[#This Row],[Blanket]])</f>
        <v>0</v>
      </c>
      <c r="AE1288" s="352">
        <f>IF(NFI_Expiration=1,IF($A1288&lt;VLOOKUP(N$5,NFI,5,0),1,0)*Table_NFI[[#This Row],[Kitchen Set]],Table_NFI[Kitchen Set])</f>
        <v>0</v>
      </c>
      <c r="AF1288" s="352">
        <f>IF(NFI_Expiration=1,IF($A1288&lt;VLOOKUP(O$5,NFI,5,0),1,0)*Table_NFI[[#This Row],[Clothes Kit]],Table_NFI[Clothes Kit])</f>
        <v>0</v>
      </c>
      <c r="AG1288" s="352">
        <f>IF(NFI_Expiration=1,IF($A1288&lt;VLOOKUP(P$5,NFI,5,0),1,0)*Table_NFI[[#This Row],[Plastic Bucket]],Table_NFI[Plastic Bucket])</f>
        <v>0</v>
      </c>
      <c r="AH1288" s="352">
        <f>IF(NFI_Expiration=1,IF($A1288&lt;VLOOKUP(Q$5,NFI,5,0),1,0)*Table_NFI[[#This Row],[Plastic Mat]],Table_NFI[Plastic Mat])*IF(Table_NFI[[#This Row],[Distribution Date]]&gt;"2014-04-01",1,2.5)</f>
        <v>0</v>
      </c>
      <c r="AI1288" s="352">
        <f>IF(NFI_Expiration=1,IF($A1288&lt;VLOOKUP(R$5,NFI,5,0),1,0)*Table_NFI[[#This Row],[Winter Clothes Adult]],Table_NFI[Winter Clothes Adult])</f>
        <v>0</v>
      </c>
      <c r="AJ1288" s="352">
        <f>IF(NFI_Expiration=1,IF($A1288&lt;VLOOKUP(S$5,NFI,5,0),1,0)*Table_NFI[[#This Row],[Winter Clothes Children]],Table_NFI[Winter Clothes Children])</f>
        <v>0</v>
      </c>
      <c r="AK1288" s="352">
        <f>IF(NFI_Expiration=1,IF($A1288&lt;VLOOKUP(T$5,NFI,5,0),1,0)*Table_NFI[[#This Row],[Winter Items Other]],Table_NFI[Winter Items Other])</f>
        <v>0</v>
      </c>
      <c r="AL1288" s="352">
        <f>IF(NFI_Expiration=1,IF($A1288&lt;VLOOKUP(M$5,NFI,5,0),1,0)*Table_NFI[[#This Row],[Winter Blanket]],Table_NFI[[#This Row],[Winter Blanket]])</f>
        <v>0</v>
      </c>
      <c r="AM1288" s="352">
        <f>IF(Table_NFI[[#This Row],[Winter Clothes Adult]]+Table_NFI[[#This Row],[Winter Clothes Children]]+Table_NFI[[#This Row],[Winter Items Other]]+Table_NFI[[#This Row],[Winter Blanket]]&gt;0,1,0)</f>
        <v>0</v>
      </c>
      <c r="AN1288" s="392">
        <f>IF(NFI_Expiration=1,IF($A1288&lt;VLOOKUP(V$5,NFI,5,0),1,0)*Table_NFI[[#This Row],[Jerry Can]],Table_NFI[Jerry Can])</f>
        <v>0</v>
      </c>
      <c r="AO1288" s="540" t="str">
        <f>IFERROR(VLOOKUP(Table_NFI[[#This Row],[Camp Name]],CL,2,0),"")</f>
        <v/>
      </c>
      <c r="AP1288" s="535" t="str">
        <f ca="1">IF(Table_NFI[[#This Row],[Pcode]]="","",IF(OFFSET(CampList[Opening Date],MATCH(Table_NFI[[#This Row],[Pcode]],CampList[CP_Pcode],0)-1,0,1,1)&gt;=NFI_Monitor_Date,1,0))</f>
        <v/>
      </c>
      <c r="AQ1288" s="540" t="str">
        <f>IFERROR(VLOOKUP(Table_NFI[[#This Row],[Camp Name]],CL,3,0),"")</f>
        <v/>
      </c>
      <c r="AR1288" s="352" t="str">
        <f ca="1">IF(Table_NFI[[#This Row],[Pcode]]="","",OFFSET(CampList[Priority],MATCH(Table_NFI[[#This Row],[Pcode]],CampList[CP_Pcode],0)-1,0,1,1))</f>
        <v/>
      </c>
      <c r="AS1288" s="351" t="str">
        <f>IFERROR(Table_NFI[[#This Row],[Kitchen Set]]/VLOOKUP(Table_NFI[[#This Row],[Camp Name]],CL,4,0),"")</f>
        <v/>
      </c>
      <c r="AT1288" s="538"/>
      <c r="AU1288" s="541"/>
    </row>
    <row r="1289" spans="1:47" ht="14.45" hidden="1" customHeight="1" x14ac:dyDescent="0.25">
      <c r="A1289" s="355" t="str">
        <f t="shared" si="20"/>
        <v/>
      </c>
      <c r="B1289" s="532"/>
      <c r="C1289" s="538"/>
      <c r="D1289" s="538"/>
      <c r="E1289" s="538"/>
      <c r="F1289" s="538"/>
      <c r="G1289" s="538"/>
      <c r="H1289" s="350"/>
      <c r="I1289" s="350"/>
      <c r="J1289" s="350"/>
      <c r="K1289" s="350"/>
      <c r="L1289" s="350"/>
      <c r="M1289" s="350"/>
      <c r="N1289" s="350"/>
      <c r="O1289" s="350"/>
      <c r="P1289" s="352"/>
      <c r="Q1289" s="558"/>
      <c r="R1289" s="558"/>
      <c r="S1289" s="558"/>
      <c r="T1289" s="558"/>
      <c r="U1289" s="558"/>
      <c r="V1289" s="497"/>
      <c r="W1289" s="558"/>
      <c r="X1289" s="558"/>
      <c r="Y1289" s="352">
        <f>IF(NFI_Expiration=1,IF($A1289&lt;VLOOKUP(H$5,NFI,5,0),1,0)*Table_NFI[[#This Row],[Hygiene Kit]],Table_NFI[Hygiene Kit])</f>
        <v>0</v>
      </c>
      <c r="Z1289" s="352">
        <f>IF(NFI_Expiration=1,IF($A1289&lt;VLOOKUP(I$5,NFI,5,0),1,0)*Table_NFI[[#This Row],[NFI Core Kit]],Table_NFI[NFI Core Kit])</f>
        <v>0</v>
      </c>
      <c r="AA1289" s="352">
        <f>IF(NFI_Expiration=1,IF($A1289&lt;VLOOKUP(J$5,NFI,5,0),1,0)*Table_NFI[[#This Row],[Sanitary Kit]],Table_NFI[Sanitary Kit])</f>
        <v>0</v>
      </c>
      <c r="AB1289" s="352">
        <f>IF(NFI_Expiration=1,IF($A1289&lt;VLOOKUP(K$5,NFI,5,0),1,0)*Table_NFI[[#This Row],[Mosquito net]],Table_NFI[Mosquito net])</f>
        <v>0</v>
      </c>
      <c r="AC1289" s="352">
        <f>IF(NFI_Expiration=1,IF($A1289&lt;VLOOKUP(L$5,NFI,5,0),1,0)*Table_NFI[[#This Row],[Tarpaulin]],Table_NFI[[#This Row],[Tarpaulin]])</f>
        <v>0</v>
      </c>
      <c r="AD1289" s="352">
        <f>IF(NFI_Expiration=1,IF($A1289&lt;VLOOKUP(M$5,NFI,5,0),1,0)*Table_NFI[[#This Row],[Blanket]],Table_NFI[[#This Row],[Blanket]])</f>
        <v>0</v>
      </c>
      <c r="AE1289" s="352">
        <f>IF(NFI_Expiration=1,IF($A1289&lt;VLOOKUP(N$5,NFI,5,0),1,0)*Table_NFI[[#This Row],[Kitchen Set]],Table_NFI[Kitchen Set])</f>
        <v>0</v>
      </c>
      <c r="AF1289" s="352">
        <f>IF(NFI_Expiration=1,IF($A1289&lt;VLOOKUP(O$5,NFI,5,0),1,0)*Table_NFI[[#This Row],[Clothes Kit]],Table_NFI[Clothes Kit])</f>
        <v>0</v>
      </c>
      <c r="AG1289" s="352">
        <f>IF(NFI_Expiration=1,IF($A1289&lt;VLOOKUP(P$5,NFI,5,0),1,0)*Table_NFI[[#This Row],[Plastic Bucket]],Table_NFI[Plastic Bucket])</f>
        <v>0</v>
      </c>
      <c r="AH1289" s="352">
        <f>IF(NFI_Expiration=1,IF($A1289&lt;VLOOKUP(Q$5,NFI,5,0),1,0)*Table_NFI[[#This Row],[Plastic Mat]],Table_NFI[Plastic Mat])*IF(Table_NFI[[#This Row],[Distribution Date]]&gt;"2014-04-01",1,2.5)</f>
        <v>0</v>
      </c>
      <c r="AI1289" s="352">
        <f>IF(NFI_Expiration=1,IF($A1289&lt;VLOOKUP(R$5,NFI,5,0),1,0)*Table_NFI[[#This Row],[Winter Clothes Adult]],Table_NFI[Winter Clothes Adult])</f>
        <v>0</v>
      </c>
      <c r="AJ1289" s="352">
        <f>IF(NFI_Expiration=1,IF($A1289&lt;VLOOKUP(S$5,NFI,5,0),1,0)*Table_NFI[[#This Row],[Winter Clothes Children]],Table_NFI[Winter Clothes Children])</f>
        <v>0</v>
      </c>
      <c r="AK1289" s="352">
        <f>IF(NFI_Expiration=1,IF($A1289&lt;VLOOKUP(T$5,NFI,5,0),1,0)*Table_NFI[[#This Row],[Winter Items Other]],Table_NFI[Winter Items Other])</f>
        <v>0</v>
      </c>
      <c r="AL1289" s="352">
        <f>IF(NFI_Expiration=1,IF($A1289&lt;VLOOKUP(M$5,NFI,5,0),1,0)*Table_NFI[[#This Row],[Winter Blanket]],Table_NFI[[#This Row],[Winter Blanket]])</f>
        <v>0</v>
      </c>
      <c r="AM1289" s="352">
        <f>IF(Table_NFI[[#This Row],[Winter Clothes Adult]]+Table_NFI[[#This Row],[Winter Clothes Children]]+Table_NFI[[#This Row],[Winter Items Other]]+Table_NFI[[#This Row],[Winter Blanket]]&gt;0,1,0)</f>
        <v>0</v>
      </c>
      <c r="AN1289" s="392">
        <f>IF(NFI_Expiration=1,IF($A1289&lt;VLOOKUP(V$5,NFI,5,0),1,0)*Table_NFI[[#This Row],[Jerry Can]],Table_NFI[Jerry Can])</f>
        <v>0</v>
      </c>
      <c r="AO1289" s="540" t="str">
        <f>IFERROR(VLOOKUP(Table_NFI[[#This Row],[Camp Name]],CL,2,0),"")</f>
        <v/>
      </c>
      <c r="AP1289" s="535" t="str">
        <f ca="1">IF(Table_NFI[[#This Row],[Pcode]]="","",IF(OFFSET(CampList[Opening Date],MATCH(Table_NFI[[#This Row],[Pcode]],CampList[CP_Pcode],0)-1,0,1,1)&gt;=NFI_Monitor_Date,1,0))</f>
        <v/>
      </c>
      <c r="AQ1289" s="540" t="str">
        <f>IFERROR(VLOOKUP(Table_NFI[[#This Row],[Camp Name]],CL,3,0),"")</f>
        <v/>
      </c>
      <c r="AR1289" s="352" t="str">
        <f ca="1">IF(Table_NFI[[#This Row],[Pcode]]="","",OFFSET(CampList[Priority],MATCH(Table_NFI[[#This Row],[Pcode]],CampList[CP_Pcode],0)-1,0,1,1))</f>
        <v/>
      </c>
      <c r="AS1289" s="351" t="str">
        <f>IFERROR(Table_NFI[[#This Row],[Kitchen Set]]/VLOOKUP(Table_NFI[[#This Row],[Camp Name]],CL,4,0),"")</f>
        <v/>
      </c>
      <c r="AT1289" s="538"/>
      <c r="AU1289" s="541"/>
    </row>
    <row r="1290" spans="1:47" ht="14.45" hidden="1" customHeight="1" x14ac:dyDescent="0.25">
      <c r="A1290" s="355" t="str">
        <f t="shared" si="20"/>
        <v/>
      </c>
      <c r="B1290" s="532"/>
      <c r="C1290" s="538"/>
      <c r="D1290" s="538"/>
      <c r="E1290" s="538"/>
      <c r="F1290" s="538"/>
      <c r="G1290" s="538"/>
      <c r="H1290" s="350"/>
      <c r="I1290" s="350"/>
      <c r="J1290" s="350"/>
      <c r="K1290" s="350"/>
      <c r="L1290" s="350"/>
      <c r="M1290" s="350"/>
      <c r="N1290" s="350"/>
      <c r="O1290" s="350"/>
      <c r="P1290" s="352"/>
      <c r="Q1290" s="558"/>
      <c r="R1290" s="558"/>
      <c r="S1290" s="558"/>
      <c r="T1290" s="558"/>
      <c r="U1290" s="558"/>
      <c r="V1290" s="497"/>
      <c r="W1290" s="558"/>
      <c r="X1290" s="558"/>
      <c r="Y1290" s="352">
        <f>IF(NFI_Expiration=1,IF($A1290&lt;VLOOKUP(H$5,NFI,5,0),1,0)*Table_NFI[[#This Row],[Hygiene Kit]],Table_NFI[Hygiene Kit])</f>
        <v>0</v>
      </c>
      <c r="Z1290" s="352">
        <f>IF(NFI_Expiration=1,IF($A1290&lt;VLOOKUP(I$5,NFI,5,0),1,0)*Table_NFI[[#This Row],[NFI Core Kit]],Table_NFI[NFI Core Kit])</f>
        <v>0</v>
      </c>
      <c r="AA1290" s="352">
        <f>IF(NFI_Expiration=1,IF($A1290&lt;VLOOKUP(J$5,NFI,5,0),1,0)*Table_NFI[[#This Row],[Sanitary Kit]],Table_NFI[Sanitary Kit])</f>
        <v>0</v>
      </c>
      <c r="AB1290" s="352">
        <f>IF(NFI_Expiration=1,IF($A1290&lt;VLOOKUP(K$5,NFI,5,0),1,0)*Table_NFI[[#This Row],[Mosquito net]],Table_NFI[Mosquito net])</f>
        <v>0</v>
      </c>
      <c r="AC1290" s="352">
        <f>IF(NFI_Expiration=1,IF($A1290&lt;VLOOKUP(L$5,NFI,5,0),1,0)*Table_NFI[[#This Row],[Tarpaulin]],Table_NFI[[#This Row],[Tarpaulin]])</f>
        <v>0</v>
      </c>
      <c r="AD1290" s="352">
        <f>IF(NFI_Expiration=1,IF($A1290&lt;VLOOKUP(M$5,NFI,5,0),1,0)*Table_NFI[[#This Row],[Blanket]],Table_NFI[[#This Row],[Blanket]])</f>
        <v>0</v>
      </c>
      <c r="AE1290" s="352">
        <f>IF(NFI_Expiration=1,IF($A1290&lt;VLOOKUP(N$5,NFI,5,0),1,0)*Table_NFI[[#This Row],[Kitchen Set]],Table_NFI[Kitchen Set])</f>
        <v>0</v>
      </c>
      <c r="AF1290" s="352">
        <f>IF(NFI_Expiration=1,IF($A1290&lt;VLOOKUP(O$5,NFI,5,0),1,0)*Table_NFI[[#This Row],[Clothes Kit]],Table_NFI[Clothes Kit])</f>
        <v>0</v>
      </c>
      <c r="AG1290" s="352">
        <f>IF(NFI_Expiration=1,IF($A1290&lt;VLOOKUP(P$5,NFI,5,0),1,0)*Table_NFI[[#This Row],[Plastic Bucket]],Table_NFI[Plastic Bucket])</f>
        <v>0</v>
      </c>
      <c r="AH1290" s="352">
        <f>IF(NFI_Expiration=1,IF($A1290&lt;VLOOKUP(Q$5,NFI,5,0),1,0)*Table_NFI[[#This Row],[Plastic Mat]],Table_NFI[Plastic Mat])*IF(Table_NFI[[#This Row],[Distribution Date]]&gt;"2014-04-01",1,2.5)</f>
        <v>0</v>
      </c>
      <c r="AI1290" s="352">
        <f>IF(NFI_Expiration=1,IF($A1290&lt;VLOOKUP(R$5,NFI,5,0),1,0)*Table_NFI[[#This Row],[Winter Clothes Adult]],Table_NFI[Winter Clothes Adult])</f>
        <v>0</v>
      </c>
      <c r="AJ1290" s="352">
        <f>IF(NFI_Expiration=1,IF($A1290&lt;VLOOKUP(S$5,NFI,5,0),1,0)*Table_NFI[[#This Row],[Winter Clothes Children]],Table_NFI[Winter Clothes Children])</f>
        <v>0</v>
      </c>
      <c r="AK1290" s="352">
        <f>IF(NFI_Expiration=1,IF($A1290&lt;VLOOKUP(T$5,NFI,5,0),1,0)*Table_NFI[[#This Row],[Winter Items Other]],Table_NFI[Winter Items Other])</f>
        <v>0</v>
      </c>
      <c r="AL1290" s="352">
        <f>IF(NFI_Expiration=1,IF($A1290&lt;VLOOKUP(M$5,NFI,5,0),1,0)*Table_NFI[[#This Row],[Winter Blanket]],Table_NFI[[#This Row],[Winter Blanket]])</f>
        <v>0</v>
      </c>
      <c r="AM1290" s="352">
        <f>IF(Table_NFI[[#This Row],[Winter Clothes Adult]]+Table_NFI[[#This Row],[Winter Clothes Children]]+Table_NFI[[#This Row],[Winter Items Other]]+Table_NFI[[#This Row],[Winter Blanket]]&gt;0,1,0)</f>
        <v>0</v>
      </c>
      <c r="AN1290" s="392">
        <f>IF(NFI_Expiration=1,IF($A1290&lt;VLOOKUP(V$5,NFI,5,0),1,0)*Table_NFI[[#This Row],[Jerry Can]],Table_NFI[Jerry Can])</f>
        <v>0</v>
      </c>
      <c r="AO1290" s="540" t="str">
        <f>IFERROR(VLOOKUP(Table_NFI[[#This Row],[Camp Name]],CL,2,0),"")</f>
        <v/>
      </c>
      <c r="AP1290" s="535" t="str">
        <f ca="1">IF(Table_NFI[[#This Row],[Pcode]]="","",IF(OFFSET(CampList[Opening Date],MATCH(Table_NFI[[#This Row],[Pcode]],CampList[CP_Pcode],0)-1,0,1,1)&gt;=NFI_Monitor_Date,1,0))</f>
        <v/>
      </c>
      <c r="AQ1290" s="540" t="str">
        <f>IFERROR(VLOOKUP(Table_NFI[[#This Row],[Camp Name]],CL,3,0),"")</f>
        <v/>
      </c>
      <c r="AR1290" s="352" t="str">
        <f ca="1">IF(Table_NFI[[#This Row],[Pcode]]="","",OFFSET(CampList[Priority],MATCH(Table_NFI[[#This Row],[Pcode]],CampList[CP_Pcode],0)-1,0,1,1))</f>
        <v/>
      </c>
      <c r="AS1290" s="351" t="str">
        <f>IFERROR(Table_NFI[[#This Row],[Kitchen Set]]/VLOOKUP(Table_NFI[[#This Row],[Camp Name]],CL,4,0),"")</f>
        <v/>
      </c>
      <c r="AT1290" s="538"/>
      <c r="AU1290" s="541"/>
    </row>
    <row r="1291" spans="1:47" ht="14.45" hidden="1" customHeight="1" x14ac:dyDescent="0.25">
      <c r="A1291" s="355" t="str">
        <f t="shared" si="20"/>
        <v/>
      </c>
      <c r="B1291" s="532"/>
      <c r="C1291" s="538"/>
      <c r="D1291" s="538"/>
      <c r="E1291" s="538"/>
      <c r="F1291" s="538"/>
      <c r="G1291" s="538"/>
      <c r="H1291" s="350"/>
      <c r="I1291" s="350"/>
      <c r="J1291" s="350"/>
      <c r="K1291" s="350"/>
      <c r="L1291" s="350"/>
      <c r="M1291" s="350"/>
      <c r="N1291" s="350"/>
      <c r="O1291" s="350"/>
      <c r="P1291" s="352"/>
      <c r="Q1291" s="558"/>
      <c r="R1291" s="558"/>
      <c r="S1291" s="558"/>
      <c r="T1291" s="558"/>
      <c r="U1291" s="558"/>
      <c r="V1291" s="497"/>
      <c r="W1291" s="558"/>
      <c r="X1291" s="558"/>
      <c r="Y1291" s="352">
        <f>IF(NFI_Expiration=1,IF($A1291&lt;VLOOKUP(H$5,NFI,5,0),1,0)*Table_NFI[[#This Row],[Hygiene Kit]],Table_NFI[Hygiene Kit])</f>
        <v>0</v>
      </c>
      <c r="Z1291" s="352">
        <f>IF(NFI_Expiration=1,IF($A1291&lt;VLOOKUP(I$5,NFI,5,0),1,0)*Table_NFI[[#This Row],[NFI Core Kit]],Table_NFI[NFI Core Kit])</f>
        <v>0</v>
      </c>
      <c r="AA1291" s="352">
        <f>IF(NFI_Expiration=1,IF($A1291&lt;VLOOKUP(J$5,NFI,5,0),1,0)*Table_NFI[[#This Row],[Sanitary Kit]],Table_NFI[Sanitary Kit])</f>
        <v>0</v>
      </c>
      <c r="AB1291" s="352">
        <f>IF(NFI_Expiration=1,IF($A1291&lt;VLOOKUP(K$5,NFI,5,0),1,0)*Table_NFI[[#This Row],[Mosquito net]],Table_NFI[Mosquito net])</f>
        <v>0</v>
      </c>
      <c r="AC1291" s="352">
        <f>IF(NFI_Expiration=1,IF($A1291&lt;VLOOKUP(L$5,NFI,5,0),1,0)*Table_NFI[[#This Row],[Tarpaulin]],Table_NFI[[#This Row],[Tarpaulin]])</f>
        <v>0</v>
      </c>
      <c r="AD1291" s="352">
        <f>IF(NFI_Expiration=1,IF($A1291&lt;VLOOKUP(M$5,NFI,5,0),1,0)*Table_NFI[[#This Row],[Blanket]],Table_NFI[[#This Row],[Blanket]])</f>
        <v>0</v>
      </c>
      <c r="AE1291" s="352">
        <f>IF(NFI_Expiration=1,IF($A1291&lt;VLOOKUP(N$5,NFI,5,0),1,0)*Table_NFI[[#This Row],[Kitchen Set]],Table_NFI[Kitchen Set])</f>
        <v>0</v>
      </c>
      <c r="AF1291" s="352">
        <f>IF(NFI_Expiration=1,IF($A1291&lt;VLOOKUP(O$5,NFI,5,0),1,0)*Table_NFI[[#This Row],[Clothes Kit]],Table_NFI[Clothes Kit])</f>
        <v>0</v>
      </c>
      <c r="AG1291" s="352">
        <f>IF(NFI_Expiration=1,IF($A1291&lt;VLOOKUP(P$5,NFI,5,0),1,0)*Table_NFI[[#This Row],[Plastic Bucket]],Table_NFI[Plastic Bucket])</f>
        <v>0</v>
      </c>
      <c r="AH1291" s="352">
        <f>IF(NFI_Expiration=1,IF($A1291&lt;VLOOKUP(Q$5,NFI,5,0),1,0)*Table_NFI[[#This Row],[Plastic Mat]],Table_NFI[Plastic Mat])*IF(Table_NFI[[#This Row],[Distribution Date]]&gt;"2014-04-01",1,2.5)</f>
        <v>0</v>
      </c>
      <c r="AI1291" s="352">
        <f>IF(NFI_Expiration=1,IF($A1291&lt;VLOOKUP(R$5,NFI,5,0),1,0)*Table_NFI[[#This Row],[Winter Clothes Adult]],Table_NFI[Winter Clothes Adult])</f>
        <v>0</v>
      </c>
      <c r="AJ1291" s="352">
        <f>IF(NFI_Expiration=1,IF($A1291&lt;VLOOKUP(S$5,NFI,5,0),1,0)*Table_NFI[[#This Row],[Winter Clothes Children]],Table_NFI[Winter Clothes Children])</f>
        <v>0</v>
      </c>
      <c r="AK1291" s="352">
        <f>IF(NFI_Expiration=1,IF($A1291&lt;VLOOKUP(T$5,NFI,5,0),1,0)*Table_NFI[[#This Row],[Winter Items Other]],Table_NFI[Winter Items Other])</f>
        <v>0</v>
      </c>
      <c r="AL1291" s="352">
        <f>IF(NFI_Expiration=1,IF($A1291&lt;VLOOKUP(M$5,NFI,5,0),1,0)*Table_NFI[[#This Row],[Winter Blanket]],Table_NFI[[#This Row],[Winter Blanket]])</f>
        <v>0</v>
      </c>
      <c r="AM1291" s="352">
        <f>IF(Table_NFI[[#This Row],[Winter Clothes Adult]]+Table_NFI[[#This Row],[Winter Clothes Children]]+Table_NFI[[#This Row],[Winter Items Other]]+Table_NFI[[#This Row],[Winter Blanket]]&gt;0,1,0)</f>
        <v>0</v>
      </c>
      <c r="AN1291" s="392">
        <f>IF(NFI_Expiration=1,IF($A1291&lt;VLOOKUP(V$5,NFI,5,0),1,0)*Table_NFI[[#This Row],[Jerry Can]],Table_NFI[Jerry Can])</f>
        <v>0</v>
      </c>
      <c r="AO1291" s="540" t="str">
        <f>IFERROR(VLOOKUP(Table_NFI[[#This Row],[Camp Name]],CL,2,0),"")</f>
        <v/>
      </c>
      <c r="AP1291" s="535" t="str">
        <f ca="1">IF(Table_NFI[[#This Row],[Pcode]]="","",IF(OFFSET(CampList[Opening Date],MATCH(Table_NFI[[#This Row],[Pcode]],CampList[CP_Pcode],0)-1,0,1,1)&gt;=NFI_Monitor_Date,1,0))</f>
        <v/>
      </c>
      <c r="AQ1291" s="540" t="str">
        <f>IFERROR(VLOOKUP(Table_NFI[[#This Row],[Camp Name]],CL,3,0),"")</f>
        <v/>
      </c>
      <c r="AR1291" s="352" t="str">
        <f ca="1">IF(Table_NFI[[#This Row],[Pcode]]="","",OFFSET(CampList[Priority],MATCH(Table_NFI[[#This Row],[Pcode]],CampList[CP_Pcode],0)-1,0,1,1))</f>
        <v/>
      </c>
      <c r="AS1291" s="351" t="str">
        <f>IFERROR(Table_NFI[[#This Row],[Kitchen Set]]/VLOOKUP(Table_NFI[[#This Row],[Camp Name]],CL,4,0),"")</f>
        <v/>
      </c>
      <c r="AT1291" s="538"/>
      <c r="AU1291" s="541"/>
    </row>
    <row r="1292" spans="1:47" ht="14.45" hidden="1" customHeight="1" x14ac:dyDescent="0.25">
      <c r="A1292" s="355" t="str">
        <f t="shared" si="20"/>
        <v/>
      </c>
      <c r="B1292" s="532"/>
      <c r="C1292" s="538"/>
      <c r="D1292" s="538"/>
      <c r="E1292" s="538"/>
      <c r="F1292" s="538"/>
      <c r="G1292" s="538"/>
      <c r="H1292" s="350"/>
      <c r="I1292" s="350"/>
      <c r="J1292" s="350"/>
      <c r="K1292" s="350"/>
      <c r="L1292" s="350"/>
      <c r="M1292" s="350"/>
      <c r="N1292" s="350"/>
      <c r="O1292" s="350"/>
      <c r="P1292" s="352"/>
      <c r="Q1292" s="558"/>
      <c r="R1292" s="558"/>
      <c r="S1292" s="558"/>
      <c r="T1292" s="558"/>
      <c r="U1292" s="558"/>
      <c r="V1292" s="497"/>
      <c r="W1292" s="558"/>
      <c r="X1292" s="558"/>
      <c r="Y1292" s="352">
        <f>IF(NFI_Expiration=1,IF($A1292&lt;VLOOKUP(H$5,NFI,5,0),1,0)*Table_NFI[[#This Row],[Hygiene Kit]],Table_NFI[Hygiene Kit])</f>
        <v>0</v>
      </c>
      <c r="Z1292" s="352">
        <f>IF(NFI_Expiration=1,IF($A1292&lt;VLOOKUP(I$5,NFI,5,0),1,0)*Table_NFI[[#This Row],[NFI Core Kit]],Table_NFI[NFI Core Kit])</f>
        <v>0</v>
      </c>
      <c r="AA1292" s="352">
        <f>IF(NFI_Expiration=1,IF($A1292&lt;VLOOKUP(J$5,NFI,5,0),1,0)*Table_NFI[[#This Row],[Sanitary Kit]],Table_NFI[Sanitary Kit])</f>
        <v>0</v>
      </c>
      <c r="AB1292" s="352">
        <f>IF(NFI_Expiration=1,IF($A1292&lt;VLOOKUP(K$5,NFI,5,0),1,0)*Table_NFI[[#This Row],[Mosquito net]],Table_NFI[Mosquito net])</f>
        <v>0</v>
      </c>
      <c r="AC1292" s="352">
        <f>IF(NFI_Expiration=1,IF($A1292&lt;VLOOKUP(L$5,NFI,5,0),1,0)*Table_NFI[[#This Row],[Tarpaulin]],Table_NFI[[#This Row],[Tarpaulin]])</f>
        <v>0</v>
      </c>
      <c r="AD1292" s="352">
        <f>IF(NFI_Expiration=1,IF($A1292&lt;VLOOKUP(M$5,NFI,5,0),1,0)*Table_NFI[[#This Row],[Blanket]],Table_NFI[[#This Row],[Blanket]])</f>
        <v>0</v>
      </c>
      <c r="AE1292" s="352">
        <f>IF(NFI_Expiration=1,IF($A1292&lt;VLOOKUP(N$5,NFI,5,0),1,0)*Table_NFI[[#This Row],[Kitchen Set]],Table_NFI[Kitchen Set])</f>
        <v>0</v>
      </c>
      <c r="AF1292" s="352">
        <f>IF(NFI_Expiration=1,IF($A1292&lt;VLOOKUP(O$5,NFI,5,0),1,0)*Table_NFI[[#This Row],[Clothes Kit]],Table_NFI[Clothes Kit])</f>
        <v>0</v>
      </c>
      <c r="AG1292" s="352">
        <f>IF(NFI_Expiration=1,IF($A1292&lt;VLOOKUP(P$5,NFI,5,0),1,0)*Table_NFI[[#This Row],[Plastic Bucket]],Table_NFI[Plastic Bucket])</f>
        <v>0</v>
      </c>
      <c r="AH1292" s="352">
        <f>IF(NFI_Expiration=1,IF($A1292&lt;VLOOKUP(Q$5,NFI,5,0),1,0)*Table_NFI[[#This Row],[Plastic Mat]],Table_NFI[Plastic Mat])*IF(Table_NFI[[#This Row],[Distribution Date]]&gt;"2014-04-01",1,2.5)</f>
        <v>0</v>
      </c>
      <c r="AI1292" s="352">
        <f>IF(NFI_Expiration=1,IF($A1292&lt;VLOOKUP(R$5,NFI,5,0),1,0)*Table_NFI[[#This Row],[Winter Clothes Adult]],Table_NFI[Winter Clothes Adult])</f>
        <v>0</v>
      </c>
      <c r="AJ1292" s="352">
        <f>IF(NFI_Expiration=1,IF($A1292&lt;VLOOKUP(S$5,NFI,5,0),1,0)*Table_NFI[[#This Row],[Winter Clothes Children]],Table_NFI[Winter Clothes Children])</f>
        <v>0</v>
      </c>
      <c r="AK1292" s="352">
        <f>IF(NFI_Expiration=1,IF($A1292&lt;VLOOKUP(T$5,NFI,5,0),1,0)*Table_NFI[[#This Row],[Winter Items Other]],Table_NFI[Winter Items Other])</f>
        <v>0</v>
      </c>
      <c r="AL1292" s="352">
        <f>IF(NFI_Expiration=1,IF($A1292&lt;VLOOKUP(M$5,NFI,5,0),1,0)*Table_NFI[[#This Row],[Winter Blanket]],Table_NFI[[#This Row],[Winter Blanket]])</f>
        <v>0</v>
      </c>
      <c r="AM1292" s="352">
        <f>IF(Table_NFI[[#This Row],[Winter Clothes Adult]]+Table_NFI[[#This Row],[Winter Clothes Children]]+Table_NFI[[#This Row],[Winter Items Other]]+Table_NFI[[#This Row],[Winter Blanket]]&gt;0,1,0)</f>
        <v>0</v>
      </c>
      <c r="AN1292" s="392">
        <f>IF(NFI_Expiration=1,IF($A1292&lt;VLOOKUP(V$5,NFI,5,0),1,0)*Table_NFI[[#This Row],[Jerry Can]],Table_NFI[Jerry Can])</f>
        <v>0</v>
      </c>
      <c r="AO1292" s="540" t="str">
        <f>IFERROR(VLOOKUP(Table_NFI[[#This Row],[Camp Name]],CL,2,0),"")</f>
        <v/>
      </c>
      <c r="AP1292" s="535" t="str">
        <f ca="1">IF(Table_NFI[[#This Row],[Pcode]]="","",IF(OFFSET(CampList[Opening Date],MATCH(Table_NFI[[#This Row],[Pcode]],CampList[CP_Pcode],0)-1,0,1,1)&gt;=NFI_Monitor_Date,1,0))</f>
        <v/>
      </c>
      <c r="AQ1292" s="540" t="str">
        <f>IFERROR(VLOOKUP(Table_NFI[[#This Row],[Camp Name]],CL,3,0),"")</f>
        <v/>
      </c>
      <c r="AR1292" s="352" t="str">
        <f ca="1">IF(Table_NFI[[#This Row],[Pcode]]="","",OFFSET(CampList[Priority],MATCH(Table_NFI[[#This Row],[Pcode]],CampList[CP_Pcode],0)-1,0,1,1))</f>
        <v/>
      </c>
      <c r="AS1292" s="351" t="str">
        <f>IFERROR(Table_NFI[[#This Row],[Kitchen Set]]/VLOOKUP(Table_NFI[[#This Row],[Camp Name]],CL,4,0),"")</f>
        <v/>
      </c>
      <c r="AT1292" s="538"/>
      <c r="AU1292" s="541"/>
    </row>
    <row r="1293" spans="1:47" ht="14.45" hidden="1" customHeight="1" x14ac:dyDescent="0.25">
      <c r="A1293" s="355" t="str">
        <f t="shared" si="20"/>
        <v/>
      </c>
      <c r="B1293" s="532"/>
      <c r="C1293" s="538"/>
      <c r="D1293" s="538"/>
      <c r="E1293" s="538"/>
      <c r="F1293" s="538"/>
      <c r="G1293" s="538"/>
      <c r="H1293" s="350"/>
      <c r="I1293" s="350"/>
      <c r="J1293" s="350"/>
      <c r="K1293" s="350"/>
      <c r="L1293" s="350"/>
      <c r="M1293" s="350"/>
      <c r="N1293" s="350"/>
      <c r="O1293" s="350"/>
      <c r="P1293" s="352"/>
      <c r="Q1293" s="558"/>
      <c r="R1293" s="558"/>
      <c r="S1293" s="558"/>
      <c r="T1293" s="558"/>
      <c r="U1293" s="558"/>
      <c r="V1293" s="497"/>
      <c r="W1293" s="558"/>
      <c r="X1293" s="558"/>
      <c r="Y1293" s="352">
        <f>IF(NFI_Expiration=1,IF($A1293&lt;VLOOKUP(H$5,NFI,5,0),1,0)*Table_NFI[[#This Row],[Hygiene Kit]],Table_NFI[Hygiene Kit])</f>
        <v>0</v>
      </c>
      <c r="Z1293" s="352">
        <f>IF(NFI_Expiration=1,IF($A1293&lt;VLOOKUP(I$5,NFI,5,0),1,0)*Table_NFI[[#This Row],[NFI Core Kit]],Table_NFI[NFI Core Kit])</f>
        <v>0</v>
      </c>
      <c r="AA1293" s="352">
        <f>IF(NFI_Expiration=1,IF($A1293&lt;VLOOKUP(J$5,NFI,5,0),1,0)*Table_NFI[[#This Row],[Sanitary Kit]],Table_NFI[Sanitary Kit])</f>
        <v>0</v>
      </c>
      <c r="AB1293" s="352">
        <f>IF(NFI_Expiration=1,IF($A1293&lt;VLOOKUP(K$5,NFI,5,0),1,0)*Table_NFI[[#This Row],[Mosquito net]],Table_NFI[Mosquito net])</f>
        <v>0</v>
      </c>
      <c r="AC1293" s="352">
        <f>IF(NFI_Expiration=1,IF($A1293&lt;VLOOKUP(L$5,NFI,5,0),1,0)*Table_NFI[[#This Row],[Tarpaulin]],Table_NFI[[#This Row],[Tarpaulin]])</f>
        <v>0</v>
      </c>
      <c r="AD1293" s="352">
        <f>IF(NFI_Expiration=1,IF($A1293&lt;VLOOKUP(M$5,NFI,5,0),1,0)*Table_NFI[[#This Row],[Blanket]],Table_NFI[[#This Row],[Blanket]])</f>
        <v>0</v>
      </c>
      <c r="AE1293" s="352">
        <f>IF(NFI_Expiration=1,IF($A1293&lt;VLOOKUP(N$5,NFI,5,0),1,0)*Table_NFI[[#This Row],[Kitchen Set]],Table_NFI[Kitchen Set])</f>
        <v>0</v>
      </c>
      <c r="AF1293" s="352">
        <f>IF(NFI_Expiration=1,IF($A1293&lt;VLOOKUP(O$5,NFI,5,0),1,0)*Table_NFI[[#This Row],[Clothes Kit]],Table_NFI[Clothes Kit])</f>
        <v>0</v>
      </c>
      <c r="AG1293" s="352">
        <f>IF(NFI_Expiration=1,IF($A1293&lt;VLOOKUP(P$5,NFI,5,0),1,0)*Table_NFI[[#This Row],[Plastic Bucket]],Table_NFI[Plastic Bucket])</f>
        <v>0</v>
      </c>
      <c r="AH1293" s="352">
        <f>IF(NFI_Expiration=1,IF($A1293&lt;VLOOKUP(Q$5,NFI,5,0),1,0)*Table_NFI[[#This Row],[Plastic Mat]],Table_NFI[Plastic Mat])*IF(Table_NFI[[#This Row],[Distribution Date]]&gt;"2014-04-01",1,2.5)</f>
        <v>0</v>
      </c>
      <c r="AI1293" s="352">
        <f>IF(NFI_Expiration=1,IF($A1293&lt;VLOOKUP(R$5,NFI,5,0),1,0)*Table_NFI[[#This Row],[Winter Clothes Adult]],Table_NFI[Winter Clothes Adult])</f>
        <v>0</v>
      </c>
      <c r="AJ1293" s="352">
        <f>IF(NFI_Expiration=1,IF($A1293&lt;VLOOKUP(S$5,NFI,5,0),1,0)*Table_NFI[[#This Row],[Winter Clothes Children]],Table_NFI[Winter Clothes Children])</f>
        <v>0</v>
      </c>
      <c r="AK1293" s="352">
        <f>IF(NFI_Expiration=1,IF($A1293&lt;VLOOKUP(T$5,NFI,5,0),1,0)*Table_NFI[[#This Row],[Winter Items Other]],Table_NFI[Winter Items Other])</f>
        <v>0</v>
      </c>
      <c r="AL1293" s="352">
        <f>IF(NFI_Expiration=1,IF($A1293&lt;VLOOKUP(M$5,NFI,5,0),1,0)*Table_NFI[[#This Row],[Winter Blanket]],Table_NFI[[#This Row],[Winter Blanket]])</f>
        <v>0</v>
      </c>
      <c r="AM1293" s="352">
        <f>IF(Table_NFI[[#This Row],[Winter Clothes Adult]]+Table_NFI[[#This Row],[Winter Clothes Children]]+Table_NFI[[#This Row],[Winter Items Other]]+Table_NFI[[#This Row],[Winter Blanket]]&gt;0,1,0)</f>
        <v>0</v>
      </c>
      <c r="AN1293" s="392">
        <f>IF(NFI_Expiration=1,IF($A1293&lt;VLOOKUP(V$5,NFI,5,0),1,0)*Table_NFI[[#This Row],[Jerry Can]],Table_NFI[Jerry Can])</f>
        <v>0</v>
      </c>
      <c r="AO1293" s="540" t="str">
        <f>IFERROR(VLOOKUP(Table_NFI[[#This Row],[Camp Name]],CL,2,0),"")</f>
        <v/>
      </c>
      <c r="AP1293" s="535" t="str">
        <f ca="1">IF(Table_NFI[[#This Row],[Pcode]]="","",IF(OFFSET(CampList[Opening Date],MATCH(Table_NFI[[#This Row],[Pcode]],CampList[CP_Pcode],0)-1,0,1,1)&gt;=NFI_Monitor_Date,1,0))</f>
        <v/>
      </c>
      <c r="AQ1293" s="540" t="str">
        <f>IFERROR(VLOOKUP(Table_NFI[[#This Row],[Camp Name]],CL,3,0),"")</f>
        <v/>
      </c>
      <c r="AR1293" s="352" t="str">
        <f ca="1">IF(Table_NFI[[#This Row],[Pcode]]="","",OFFSET(CampList[Priority],MATCH(Table_NFI[[#This Row],[Pcode]],CampList[CP_Pcode],0)-1,0,1,1))</f>
        <v/>
      </c>
      <c r="AS1293" s="351" t="str">
        <f>IFERROR(Table_NFI[[#This Row],[Kitchen Set]]/VLOOKUP(Table_NFI[[#This Row],[Camp Name]],CL,4,0),"")</f>
        <v/>
      </c>
      <c r="AT1293" s="538"/>
      <c r="AU1293" s="541"/>
    </row>
    <row r="1294" spans="1:47" ht="14.45" hidden="1" customHeight="1" x14ac:dyDescent="0.25">
      <c r="A1294" s="355" t="str">
        <f t="shared" si="20"/>
        <v/>
      </c>
      <c r="B1294" s="532"/>
      <c r="C1294" s="538"/>
      <c r="D1294" s="538"/>
      <c r="E1294" s="538"/>
      <c r="F1294" s="538"/>
      <c r="G1294" s="538"/>
      <c r="H1294" s="350"/>
      <c r="I1294" s="350"/>
      <c r="J1294" s="350"/>
      <c r="K1294" s="350"/>
      <c r="L1294" s="350"/>
      <c r="M1294" s="350"/>
      <c r="N1294" s="350"/>
      <c r="O1294" s="350"/>
      <c r="P1294" s="352"/>
      <c r="Q1294" s="558"/>
      <c r="R1294" s="558"/>
      <c r="S1294" s="558"/>
      <c r="T1294" s="558"/>
      <c r="U1294" s="558"/>
      <c r="V1294" s="497"/>
      <c r="W1294" s="558"/>
      <c r="X1294" s="558"/>
      <c r="Y1294" s="352">
        <f>IF(NFI_Expiration=1,IF($A1294&lt;VLOOKUP(H$5,NFI,5,0),1,0)*Table_NFI[[#This Row],[Hygiene Kit]],Table_NFI[Hygiene Kit])</f>
        <v>0</v>
      </c>
      <c r="Z1294" s="352">
        <f>IF(NFI_Expiration=1,IF($A1294&lt;VLOOKUP(I$5,NFI,5,0),1,0)*Table_NFI[[#This Row],[NFI Core Kit]],Table_NFI[NFI Core Kit])</f>
        <v>0</v>
      </c>
      <c r="AA1294" s="352">
        <f>IF(NFI_Expiration=1,IF($A1294&lt;VLOOKUP(J$5,NFI,5,0),1,0)*Table_NFI[[#This Row],[Sanitary Kit]],Table_NFI[Sanitary Kit])</f>
        <v>0</v>
      </c>
      <c r="AB1294" s="352">
        <f>IF(NFI_Expiration=1,IF($A1294&lt;VLOOKUP(K$5,NFI,5,0),1,0)*Table_NFI[[#This Row],[Mosquito net]],Table_NFI[Mosquito net])</f>
        <v>0</v>
      </c>
      <c r="AC1294" s="352">
        <f>IF(NFI_Expiration=1,IF($A1294&lt;VLOOKUP(L$5,NFI,5,0),1,0)*Table_NFI[[#This Row],[Tarpaulin]],Table_NFI[[#This Row],[Tarpaulin]])</f>
        <v>0</v>
      </c>
      <c r="AD1294" s="352">
        <f>IF(NFI_Expiration=1,IF($A1294&lt;VLOOKUP(M$5,NFI,5,0),1,0)*Table_NFI[[#This Row],[Blanket]],Table_NFI[[#This Row],[Blanket]])</f>
        <v>0</v>
      </c>
      <c r="AE1294" s="352">
        <f>IF(NFI_Expiration=1,IF($A1294&lt;VLOOKUP(N$5,NFI,5,0),1,0)*Table_NFI[[#This Row],[Kitchen Set]],Table_NFI[Kitchen Set])</f>
        <v>0</v>
      </c>
      <c r="AF1294" s="352">
        <f>IF(NFI_Expiration=1,IF($A1294&lt;VLOOKUP(O$5,NFI,5,0),1,0)*Table_NFI[[#This Row],[Clothes Kit]],Table_NFI[Clothes Kit])</f>
        <v>0</v>
      </c>
      <c r="AG1294" s="352">
        <f>IF(NFI_Expiration=1,IF($A1294&lt;VLOOKUP(P$5,NFI,5,0),1,0)*Table_NFI[[#This Row],[Plastic Bucket]],Table_NFI[Plastic Bucket])</f>
        <v>0</v>
      </c>
      <c r="AH1294" s="352">
        <f>IF(NFI_Expiration=1,IF($A1294&lt;VLOOKUP(Q$5,NFI,5,0),1,0)*Table_NFI[[#This Row],[Plastic Mat]],Table_NFI[Plastic Mat])*IF(Table_NFI[[#This Row],[Distribution Date]]&gt;"2014-04-01",1,2.5)</f>
        <v>0</v>
      </c>
      <c r="AI1294" s="352">
        <f>IF(NFI_Expiration=1,IF($A1294&lt;VLOOKUP(R$5,NFI,5,0),1,0)*Table_NFI[[#This Row],[Winter Clothes Adult]],Table_NFI[Winter Clothes Adult])</f>
        <v>0</v>
      </c>
      <c r="AJ1294" s="352">
        <f>IF(NFI_Expiration=1,IF($A1294&lt;VLOOKUP(S$5,NFI,5,0),1,0)*Table_NFI[[#This Row],[Winter Clothes Children]],Table_NFI[Winter Clothes Children])</f>
        <v>0</v>
      </c>
      <c r="AK1294" s="352">
        <f>IF(NFI_Expiration=1,IF($A1294&lt;VLOOKUP(T$5,NFI,5,0),1,0)*Table_NFI[[#This Row],[Winter Items Other]],Table_NFI[Winter Items Other])</f>
        <v>0</v>
      </c>
      <c r="AL1294" s="352">
        <f>IF(NFI_Expiration=1,IF($A1294&lt;VLOOKUP(M$5,NFI,5,0),1,0)*Table_NFI[[#This Row],[Winter Blanket]],Table_NFI[[#This Row],[Winter Blanket]])</f>
        <v>0</v>
      </c>
      <c r="AM1294" s="352">
        <f>IF(Table_NFI[[#This Row],[Winter Clothes Adult]]+Table_NFI[[#This Row],[Winter Clothes Children]]+Table_NFI[[#This Row],[Winter Items Other]]+Table_NFI[[#This Row],[Winter Blanket]]&gt;0,1,0)</f>
        <v>0</v>
      </c>
      <c r="AN1294" s="392">
        <f>IF(NFI_Expiration=1,IF($A1294&lt;VLOOKUP(V$5,NFI,5,0),1,0)*Table_NFI[[#This Row],[Jerry Can]],Table_NFI[Jerry Can])</f>
        <v>0</v>
      </c>
      <c r="AO1294" s="540" t="str">
        <f>IFERROR(VLOOKUP(Table_NFI[[#This Row],[Camp Name]],CL,2,0),"")</f>
        <v/>
      </c>
      <c r="AP1294" s="535" t="str">
        <f ca="1">IF(Table_NFI[[#This Row],[Pcode]]="","",IF(OFFSET(CampList[Opening Date],MATCH(Table_NFI[[#This Row],[Pcode]],CampList[CP_Pcode],0)-1,0,1,1)&gt;=NFI_Monitor_Date,1,0))</f>
        <v/>
      </c>
      <c r="AQ1294" s="540" t="str">
        <f>IFERROR(VLOOKUP(Table_NFI[[#This Row],[Camp Name]],CL,3,0),"")</f>
        <v/>
      </c>
      <c r="AR1294" s="352" t="str">
        <f ca="1">IF(Table_NFI[[#This Row],[Pcode]]="","",OFFSET(CampList[Priority],MATCH(Table_NFI[[#This Row],[Pcode]],CampList[CP_Pcode],0)-1,0,1,1))</f>
        <v/>
      </c>
      <c r="AS1294" s="351" t="str">
        <f>IFERROR(Table_NFI[[#This Row],[Kitchen Set]]/VLOOKUP(Table_NFI[[#This Row],[Camp Name]],CL,4,0),"")</f>
        <v/>
      </c>
      <c r="AT1294" s="538"/>
      <c r="AU1294" s="541"/>
    </row>
    <row r="1295" spans="1:47" ht="14.45" hidden="1" customHeight="1" x14ac:dyDescent="0.25">
      <c r="A1295" s="355" t="str">
        <f t="shared" si="20"/>
        <v/>
      </c>
      <c r="B1295" s="532"/>
      <c r="C1295" s="538"/>
      <c r="D1295" s="538"/>
      <c r="E1295" s="538"/>
      <c r="F1295" s="538"/>
      <c r="G1295" s="538"/>
      <c r="H1295" s="350"/>
      <c r="I1295" s="350"/>
      <c r="J1295" s="350"/>
      <c r="K1295" s="350"/>
      <c r="L1295" s="350"/>
      <c r="M1295" s="350"/>
      <c r="N1295" s="350"/>
      <c r="O1295" s="350"/>
      <c r="P1295" s="352"/>
      <c r="Q1295" s="558"/>
      <c r="R1295" s="558"/>
      <c r="S1295" s="558"/>
      <c r="T1295" s="558"/>
      <c r="U1295" s="558"/>
      <c r="V1295" s="497"/>
      <c r="W1295" s="558"/>
      <c r="X1295" s="558"/>
      <c r="Y1295" s="352">
        <f>IF(NFI_Expiration=1,IF($A1295&lt;VLOOKUP(H$5,NFI,5,0),1,0)*Table_NFI[[#This Row],[Hygiene Kit]],Table_NFI[Hygiene Kit])</f>
        <v>0</v>
      </c>
      <c r="Z1295" s="352">
        <f>IF(NFI_Expiration=1,IF($A1295&lt;VLOOKUP(I$5,NFI,5,0),1,0)*Table_NFI[[#This Row],[NFI Core Kit]],Table_NFI[NFI Core Kit])</f>
        <v>0</v>
      </c>
      <c r="AA1295" s="352">
        <f>IF(NFI_Expiration=1,IF($A1295&lt;VLOOKUP(J$5,NFI,5,0),1,0)*Table_NFI[[#This Row],[Sanitary Kit]],Table_NFI[Sanitary Kit])</f>
        <v>0</v>
      </c>
      <c r="AB1295" s="352">
        <f>IF(NFI_Expiration=1,IF($A1295&lt;VLOOKUP(K$5,NFI,5,0),1,0)*Table_NFI[[#This Row],[Mosquito net]],Table_NFI[Mosquito net])</f>
        <v>0</v>
      </c>
      <c r="AC1295" s="352">
        <f>IF(NFI_Expiration=1,IF($A1295&lt;VLOOKUP(L$5,NFI,5,0),1,0)*Table_NFI[[#This Row],[Tarpaulin]],Table_NFI[[#This Row],[Tarpaulin]])</f>
        <v>0</v>
      </c>
      <c r="AD1295" s="352">
        <f>IF(NFI_Expiration=1,IF($A1295&lt;VLOOKUP(M$5,NFI,5,0),1,0)*Table_NFI[[#This Row],[Blanket]],Table_NFI[[#This Row],[Blanket]])</f>
        <v>0</v>
      </c>
      <c r="AE1295" s="352">
        <f>IF(NFI_Expiration=1,IF($A1295&lt;VLOOKUP(N$5,NFI,5,0),1,0)*Table_NFI[[#This Row],[Kitchen Set]],Table_NFI[Kitchen Set])</f>
        <v>0</v>
      </c>
      <c r="AF1295" s="352">
        <f>IF(NFI_Expiration=1,IF($A1295&lt;VLOOKUP(O$5,NFI,5,0),1,0)*Table_NFI[[#This Row],[Clothes Kit]],Table_NFI[Clothes Kit])</f>
        <v>0</v>
      </c>
      <c r="AG1295" s="352">
        <f>IF(NFI_Expiration=1,IF($A1295&lt;VLOOKUP(P$5,NFI,5,0),1,0)*Table_NFI[[#This Row],[Plastic Bucket]],Table_NFI[Plastic Bucket])</f>
        <v>0</v>
      </c>
      <c r="AH1295" s="352">
        <f>IF(NFI_Expiration=1,IF($A1295&lt;VLOOKUP(Q$5,NFI,5,0),1,0)*Table_NFI[[#This Row],[Plastic Mat]],Table_NFI[Plastic Mat])*IF(Table_NFI[[#This Row],[Distribution Date]]&gt;"2014-04-01",1,2.5)</f>
        <v>0</v>
      </c>
      <c r="AI1295" s="352">
        <f>IF(NFI_Expiration=1,IF($A1295&lt;VLOOKUP(R$5,NFI,5,0),1,0)*Table_NFI[[#This Row],[Winter Clothes Adult]],Table_NFI[Winter Clothes Adult])</f>
        <v>0</v>
      </c>
      <c r="AJ1295" s="352">
        <f>IF(NFI_Expiration=1,IF($A1295&lt;VLOOKUP(S$5,NFI,5,0),1,0)*Table_NFI[[#This Row],[Winter Clothes Children]],Table_NFI[Winter Clothes Children])</f>
        <v>0</v>
      </c>
      <c r="AK1295" s="352">
        <f>IF(NFI_Expiration=1,IF($A1295&lt;VLOOKUP(T$5,NFI,5,0),1,0)*Table_NFI[[#This Row],[Winter Items Other]],Table_NFI[Winter Items Other])</f>
        <v>0</v>
      </c>
      <c r="AL1295" s="352">
        <f>IF(NFI_Expiration=1,IF($A1295&lt;VLOOKUP(M$5,NFI,5,0),1,0)*Table_NFI[[#This Row],[Winter Blanket]],Table_NFI[[#This Row],[Winter Blanket]])</f>
        <v>0</v>
      </c>
      <c r="AM1295" s="352">
        <f>IF(Table_NFI[[#This Row],[Winter Clothes Adult]]+Table_NFI[[#This Row],[Winter Clothes Children]]+Table_NFI[[#This Row],[Winter Items Other]]+Table_NFI[[#This Row],[Winter Blanket]]&gt;0,1,0)</f>
        <v>0</v>
      </c>
      <c r="AN1295" s="392">
        <f>IF(NFI_Expiration=1,IF($A1295&lt;VLOOKUP(V$5,NFI,5,0),1,0)*Table_NFI[[#This Row],[Jerry Can]],Table_NFI[Jerry Can])</f>
        <v>0</v>
      </c>
      <c r="AO1295" s="540" t="str">
        <f>IFERROR(VLOOKUP(Table_NFI[[#This Row],[Camp Name]],CL,2,0),"")</f>
        <v/>
      </c>
      <c r="AP1295" s="535" t="str">
        <f ca="1">IF(Table_NFI[[#This Row],[Pcode]]="","",IF(OFFSET(CampList[Opening Date],MATCH(Table_NFI[[#This Row],[Pcode]],CampList[CP_Pcode],0)-1,0,1,1)&gt;=NFI_Monitor_Date,1,0))</f>
        <v/>
      </c>
      <c r="AQ1295" s="540" t="str">
        <f>IFERROR(VLOOKUP(Table_NFI[[#This Row],[Camp Name]],CL,3,0),"")</f>
        <v/>
      </c>
      <c r="AR1295" s="352" t="str">
        <f ca="1">IF(Table_NFI[[#This Row],[Pcode]]="","",OFFSET(CampList[Priority],MATCH(Table_NFI[[#This Row],[Pcode]],CampList[CP_Pcode],0)-1,0,1,1))</f>
        <v/>
      </c>
      <c r="AS1295" s="351" t="str">
        <f>IFERROR(Table_NFI[[#This Row],[Kitchen Set]]/VLOOKUP(Table_NFI[[#This Row],[Camp Name]],CL,4,0),"")</f>
        <v/>
      </c>
      <c r="AT1295" s="538"/>
      <c r="AU1295" s="541"/>
    </row>
    <row r="1296" spans="1:47" ht="14.45" hidden="1" customHeight="1" x14ac:dyDescent="0.25">
      <c r="A1296" s="355" t="str">
        <f t="shared" si="20"/>
        <v/>
      </c>
      <c r="B1296" s="532"/>
      <c r="C1296" s="538"/>
      <c r="D1296" s="538"/>
      <c r="E1296" s="538"/>
      <c r="F1296" s="538"/>
      <c r="G1296" s="538"/>
      <c r="H1296" s="350"/>
      <c r="I1296" s="350"/>
      <c r="J1296" s="350"/>
      <c r="K1296" s="350"/>
      <c r="L1296" s="350"/>
      <c r="M1296" s="350"/>
      <c r="N1296" s="350"/>
      <c r="O1296" s="350"/>
      <c r="P1296" s="352"/>
      <c r="Q1296" s="558"/>
      <c r="R1296" s="558"/>
      <c r="S1296" s="558"/>
      <c r="T1296" s="558"/>
      <c r="U1296" s="558"/>
      <c r="V1296" s="497"/>
      <c r="W1296" s="558"/>
      <c r="X1296" s="558"/>
      <c r="Y1296" s="352">
        <f>IF(NFI_Expiration=1,IF($A1296&lt;VLOOKUP(H$5,NFI,5,0),1,0)*Table_NFI[[#This Row],[Hygiene Kit]],Table_NFI[Hygiene Kit])</f>
        <v>0</v>
      </c>
      <c r="Z1296" s="352">
        <f>IF(NFI_Expiration=1,IF($A1296&lt;VLOOKUP(I$5,NFI,5,0),1,0)*Table_NFI[[#This Row],[NFI Core Kit]],Table_NFI[NFI Core Kit])</f>
        <v>0</v>
      </c>
      <c r="AA1296" s="352">
        <f>IF(NFI_Expiration=1,IF($A1296&lt;VLOOKUP(J$5,NFI,5,0),1,0)*Table_NFI[[#This Row],[Sanitary Kit]],Table_NFI[Sanitary Kit])</f>
        <v>0</v>
      </c>
      <c r="AB1296" s="352">
        <f>IF(NFI_Expiration=1,IF($A1296&lt;VLOOKUP(K$5,NFI,5,0),1,0)*Table_NFI[[#This Row],[Mosquito net]],Table_NFI[Mosquito net])</f>
        <v>0</v>
      </c>
      <c r="AC1296" s="352">
        <f>IF(NFI_Expiration=1,IF($A1296&lt;VLOOKUP(L$5,NFI,5,0),1,0)*Table_NFI[[#This Row],[Tarpaulin]],Table_NFI[[#This Row],[Tarpaulin]])</f>
        <v>0</v>
      </c>
      <c r="AD1296" s="352">
        <f>IF(NFI_Expiration=1,IF($A1296&lt;VLOOKUP(M$5,NFI,5,0),1,0)*Table_NFI[[#This Row],[Blanket]],Table_NFI[[#This Row],[Blanket]])</f>
        <v>0</v>
      </c>
      <c r="AE1296" s="352">
        <f>IF(NFI_Expiration=1,IF($A1296&lt;VLOOKUP(N$5,NFI,5,0),1,0)*Table_NFI[[#This Row],[Kitchen Set]],Table_NFI[Kitchen Set])</f>
        <v>0</v>
      </c>
      <c r="AF1296" s="352">
        <f>IF(NFI_Expiration=1,IF($A1296&lt;VLOOKUP(O$5,NFI,5,0),1,0)*Table_NFI[[#This Row],[Clothes Kit]],Table_NFI[Clothes Kit])</f>
        <v>0</v>
      </c>
      <c r="AG1296" s="352">
        <f>IF(NFI_Expiration=1,IF($A1296&lt;VLOOKUP(P$5,NFI,5,0),1,0)*Table_NFI[[#This Row],[Plastic Bucket]],Table_NFI[Plastic Bucket])</f>
        <v>0</v>
      </c>
      <c r="AH1296" s="352">
        <f>IF(NFI_Expiration=1,IF($A1296&lt;VLOOKUP(Q$5,NFI,5,0),1,0)*Table_NFI[[#This Row],[Plastic Mat]],Table_NFI[Plastic Mat])*IF(Table_NFI[[#This Row],[Distribution Date]]&gt;"2014-04-01",1,2.5)</f>
        <v>0</v>
      </c>
      <c r="AI1296" s="352">
        <f>IF(NFI_Expiration=1,IF($A1296&lt;VLOOKUP(R$5,NFI,5,0),1,0)*Table_NFI[[#This Row],[Winter Clothes Adult]],Table_NFI[Winter Clothes Adult])</f>
        <v>0</v>
      </c>
      <c r="AJ1296" s="352">
        <f>IF(NFI_Expiration=1,IF($A1296&lt;VLOOKUP(S$5,NFI,5,0),1,0)*Table_NFI[[#This Row],[Winter Clothes Children]],Table_NFI[Winter Clothes Children])</f>
        <v>0</v>
      </c>
      <c r="AK1296" s="352">
        <f>IF(NFI_Expiration=1,IF($A1296&lt;VLOOKUP(T$5,NFI,5,0),1,0)*Table_NFI[[#This Row],[Winter Items Other]],Table_NFI[Winter Items Other])</f>
        <v>0</v>
      </c>
      <c r="AL1296" s="352">
        <f>IF(NFI_Expiration=1,IF($A1296&lt;VLOOKUP(M$5,NFI,5,0),1,0)*Table_NFI[[#This Row],[Winter Blanket]],Table_NFI[[#This Row],[Winter Blanket]])</f>
        <v>0</v>
      </c>
      <c r="AM1296" s="352">
        <f>IF(Table_NFI[[#This Row],[Winter Clothes Adult]]+Table_NFI[[#This Row],[Winter Clothes Children]]+Table_NFI[[#This Row],[Winter Items Other]]+Table_NFI[[#This Row],[Winter Blanket]]&gt;0,1,0)</f>
        <v>0</v>
      </c>
      <c r="AN1296" s="392">
        <f>IF(NFI_Expiration=1,IF($A1296&lt;VLOOKUP(V$5,NFI,5,0),1,0)*Table_NFI[[#This Row],[Jerry Can]],Table_NFI[Jerry Can])</f>
        <v>0</v>
      </c>
      <c r="AO1296" s="540" t="str">
        <f>IFERROR(VLOOKUP(Table_NFI[[#This Row],[Camp Name]],CL,2,0),"")</f>
        <v/>
      </c>
      <c r="AP1296" s="535" t="str">
        <f ca="1">IF(Table_NFI[[#This Row],[Pcode]]="","",IF(OFFSET(CampList[Opening Date],MATCH(Table_NFI[[#This Row],[Pcode]],CampList[CP_Pcode],0)-1,0,1,1)&gt;=NFI_Monitor_Date,1,0))</f>
        <v/>
      </c>
      <c r="AQ1296" s="540" t="str">
        <f>IFERROR(VLOOKUP(Table_NFI[[#This Row],[Camp Name]],CL,3,0),"")</f>
        <v/>
      </c>
      <c r="AR1296" s="352" t="str">
        <f ca="1">IF(Table_NFI[[#This Row],[Pcode]]="","",OFFSET(CampList[Priority],MATCH(Table_NFI[[#This Row],[Pcode]],CampList[CP_Pcode],0)-1,0,1,1))</f>
        <v/>
      </c>
      <c r="AS1296" s="351" t="str">
        <f>IFERROR(Table_NFI[[#This Row],[Kitchen Set]]/VLOOKUP(Table_NFI[[#This Row],[Camp Name]],CL,4,0),"")</f>
        <v/>
      </c>
      <c r="AT1296" s="538"/>
      <c r="AU1296" s="541"/>
    </row>
    <row r="1297" spans="1:47" ht="14.45" hidden="1" customHeight="1" x14ac:dyDescent="0.25">
      <c r="A1297" s="355" t="str">
        <f t="shared" si="20"/>
        <v/>
      </c>
      <c r="B1297" s="532"/>
      <c r="C1297" s="538"/>
      <c r="D1297" s="538"/>
      <c r="E1297" s="538"/>
      <c r="F1297" s="538"/>
      <c r="G1297" s="538"/>
      <c r="H1297" s="350"/>
      <c r="I1297" s="350"/>
      <c r="J1297" s="350"/>
      <c r="K1297" s="350"/>
      <c r="L1297" s="350"/>
      <c r="M1297" s="350"/>
      <c r="N1297" s="350"/>
      <c r="O1297" s="350"/>
      <c r="P1297" s="352"/>
      <c r="Q1297" s="558"/>
      <c r="R1297" s="558"/>
      <c r="S1297" s="558"/>
      <c r="T1297" s="558"/>
      <c r="U1297" s="558"/>
      <c r="V1297" s="497"/>
      <c r="W1297" s="558"/>
      <c r="X1297" s="558"/>
      <c r="Y1297" s="352">
        <f>IF(NFI_Expiration=1,IF($A1297&lt;VLOOKUP(H$5,NFI,5,0),1,0)*Table_NFI[[#This Row],[Hygiene Kit]],Table_NFI[Hygiene Kit])</f>
        <v>0</v>
      </c>
      <c r="Z1297" s="352">
        <f>IF(NFI_Expiration=1,IF($A1297&lt;VLOOKUP(I$5,NFI,5,0),1,0)*Table_NFI[[#This Row],[NFI Core Kit]],Table_NFI[NFI Core Kit])</f>
        <v>0</v>
      </c>
      <c r="AA1297" s="352">
        <f>IF(NFI_Expiration=1,IF($A1297&lt;VLOOKUP(J$5,NFI,5,0),1,0)*Table_NFI[[#This Row],[Sanitary Kit]],Table_NFI[Sanitary Kit])</f>
        <v>0</v>
      </c>
      <c r="AB1297" s="352">
        <f>IF(NFI_Expiration=1,IF($A1297&lt;VLOOKUP(K$5,NFI,5,0),1,0)*Table_NFI[[#This Row],[Mosquito net]],Table_NFI[Mosquito net])</f>
        <v>0</v>
      </c>
      <c r="AC1297" s="352">
        <f>IF(NFI_Expiration=1,IF($A1297&lt;VLOOKUP(L$5,NFI,5,0),1,0)*Table_NFI[[#This Row],[Tarpaulin]],Table_NFI[[#This Row],[Tarpaulin]])</f>
        <v>0</v>
      </c>
      <c r="AD1297" s="352">
        <f>IF(NFI_Expiration=1,IF($A1297&lt;VLOOKUP(M$5,NFI,5,0),1,0)*Table_NFI[[#This Row],[Blanket]],Table_NFI[[#This Row],[Blanket]])</f>
        <v>0</v>
      </c>
      <c r="AE1297" s="352">
        <f>IF(NFI_Expiration=1,IF($A1297&lt;VLOOKUP(N$5,NFI,5,0),1,0)*Table_NFI[[#This Row],[Kitchen Set]],Table_NFI[Kitchen Set])</f>
        <v>0</v>
      </c>
      <c r="AF1297" s="352">
        <f>IF(NFI_Expiration=1,IF($A1297&lt;VLOOKUP(O$5,NFI,5,0),1,0)*Table_NFI[[#This Row],[Clothes Kit]],Table_NFI[Clothes Kit])</f>
        <v>0</v>
      </c>
      <c r="AG1297" s="352">
        <f>IF(NFI_Expiration=1,IF($A1297&lt;VLOOKUP(P$5,NFI,5,0),1,0)*Table_NFI[[#This Row],[Plastic Bucket]],Table_NFI[Plastic Bucket])</f>
        <v>0</v>
      </c>
      <c r="AH1297" s="352">
        <f>IF(NFI_Expiration=1,IF($A1297&lt;VLOOKUP(Q$5,NFI,5,0),1,0)*Table_NFI[[#This Row],[Plastic Mat]],Table_NFI[Plastic Mat])*IF(Table_NFI[[#This Row],[Distribution Date]]&gt;"2014-04-01",1,2.5)</f>
        <v>0</v>
      </c>
      <c r="AI1297" s="352">
        <f>IF(NFI_Expiration=1,IF($A1297&lt;VLOOKUP(R$5,NFI,5,0),1,0)*Table_NFI[[#This Row],[Winter Clothes Adult]],Table_NFI[Winter Clothes Adult])</f>
        <v>0</v>
      </c>
      <c r="AJ1297" s="352">
        <f>IF(NFI_Expiration=1,IF($A1297&lt;VLOOKUP(S$5,NFI,5,0),1,0)*Table_NFI[[#This Row],[Winter Clothes Children]],Table_NFI[Winter Clothes Children])</f>
        <v>0</v>
      </c>
      <c r="AK1297" s="352">
        <f>IF(NFI_Expiration=1,IF($A1297&lt;VLOOKUP(T$5,NFI,5,0),1,0)*Table_NFI[[#This Row],[Winter Items Other]],Table_NFI[Winter Items Other])</f>
        <v>0</v>
      </c>
      <c r="AL1297" s="352">
        <f>IF(NFI_Expiration=1,IF($A1297&lt;VLOOKUP(M$5,NFI,5,0),1,0)*Table_NFI[[#This Row],[Winter Blanket]],Table_NFI[[#This Row],[Winter Blanket]])</f>
        <v>0</v>
      </c>
      <c r="AM1297" s="352">
        <f>IF(Table_NFI[[#This Row],[Winter Clothes Adult]]+Table_NFI[[#This Row],[Winter Clothes Children]]+Table_NFI[[#This Row],[Winter Items Other]]+Table_NFI[[#This Row],[Winter Blanket]]&gt;0,1,0)</f>
        <v>0</v>
      </c>
      <c r="AN1297" s="392">
        <f>IF(NFI_Expiration=1,IF($A1297&lt;VLOOKUP(V$5,NFI,5,0),1,0)*Table_NFI[[#This Row],[Jerry Can]],Table_NFI[Jerry Can])</f>
        <v>0</v>
      </c>
      <c r="AO1297" s="540" t="str">
        <f>IFERROR(VLOOKUP(Table_NFI[[#This Row],[Camp Name]],CL,2,0),"")</f>
        <v/>
      </c>
      <c r="AP1297" s="535" t="str">
        <f ca="1">IF(Table_NFI[[#This Row],[Pcode]]="","",IF(OFFSET(CampList[Opening Date],MATCH(Table_NFI[[#This Row],[Pcode]],CampList[CP_Pcode],0)-1,0,1,1)&gt;=NFI_Monitor_Date,1,0))</f>
        <v/>
      </c>
      <c r="AQ1297" s="540" t="str">
        <f>IFERROR(VLOOKUP(Table_NFI[[#This Row],[Camp Name]],CL,3,0),"")</f>
        <v/>
      </c>
      <c r="AR1297" s="352" t="str">
        <f ca="1">IF(Table_NFI[[#This Row],[Pcode]]="","",OFFSET(CampList[Priority],MATCH(Table_NFI[[#This Row],[Pcode]],CampList[CP_Pcode],0)-1,0,1,1))</f>
        <v/>
      </c>
      <c r="AS1297" s="351" t="str">
        <f>IFERROR(Table_NFI[[#This Row],[Kitchen Set]]/VLOOKUP(Table_NFI[[#This Row],[Camp Name]],CL,4,0),"")</f>
        <v/>
      </c>
      <c r="AT1297" s="538"/>
      <c r="AU1297" s="541"/>
    </row>
    <row r="1298" spans="1:47" ht="14.45" hidden="1" customHeight="1" x14ac:dyDescent="0.25">
      <c r="A1298" s="355" t="str">
        <f t="shared" si="20"/>
        <v/>
      </c>
      <c r="B1298" s="532"/>
      <c r="C1298" s="538"/>
      <c r="D1298" s="538"/>
      <c r="E1298" s="538"/>
      <c r="F1298" s="538"/>
      <c r="G1298" s="538"/>
      <c r="H1298" s="350"/>
      <c r="I1298" s="350"/>
      <c r="J1298" s="350"/>
      <c r="K1298" s="350"/>
      <c r="L1298" s="350"/>
      <c r="M1298" s="350"/>
      <c r="N1298" s="350"/>
      <c r="O1298" s="350"/>
      <c r="P1298" s="352"/>
      <c r="Q1298" s="558"/>
      <c r="R1298" s="558"/>
      <c r="S1298" s="558"/>
      <c r="T1298" s="558"/>
      <c r="U1298" s="558"/>
      <c r="V1298" s="497"/>
      <c r="W1298" s="558"/>
      <c r="X1298" s="558"/>
      <c r="Y1298" s="352">
        <f>IF(NFI_Expiration=1,IF($A1298&lt;VLOOKUP(H$5,NFI,5,0),1,0)*Table_NFI[[#This Row],[Hygiene Kit]],Table_NFI[Hygiene Kit])</f>
        <v>0</v>
      </c>
      <c r="Z1298" s="352">
        <f>IF(NFI_Expiration=1,IF($A1298&lt;VLOOKUP(I$5,NFI,5,0),1,0)*Table_NFI[[#This Row],[NFI Core Kit]],Table_NFI[NFI Core Kit])</f>
        <v>0</v>
      </c>
      <c r="AA1298" s="352">
        <f>IF(NFI_Expiration=1,IF($A1298&lt;VLOOKUP(J$5,NFI,5,0),1,0)*Table_NFI[[#This Row],[Sanitary Kit]],Table_NFI[Sanitary Kit])</f>
        <v>0</v>
      </c>
      <c r="AB1298" s="352">
        <f>IF(NFI_Expiration=1,IF($A1298&lt;VLOOKUP(K$5,NFI,5,0),1,0)*Table_NFI[[#This Row],[Mosquito net]],Table_NFI[Mosquito net])</f>
        <v>0</v>
      </c>
      <c r="AC1298" s="352">
        <f>IF(NFI_Expiration=1,IF($A1298&lt;VLOOKUP(L$5,NFI,5,0),1,0)*Table_NFI[[#This Row],[Tarpaulin]],Table_NFI[[#This Row],[Tarpaulin]])</f>
        <v>0</v>
      </c>
      <c r="AD1298" s="352">
        <f>IF(NFI_Expiration=1,IF($A1298&lt;VLOOKUP(M$5,NFI,5,0),1,0)*Table_NFI[[#This Row],[Blanket]],Table_NFI[[#This Row],[Blanket]])</f>
        <v>0</v>
      </c>
      <c r="AE1298" s="352">
        <f>IF(NFI_Expiration=1,IF($A1298&lt;VLOOKUP(N$5,NFI,5,0),1,0)*Table_NFI[[#This Row],[Kitchen Set]],Table_NFI[Kitchen Set])</f>
        <v>0</v>
      </c>
      <c r="AF1298" s="352">
        <f>IF(NFI_Expiration=1,IF($A1298&lt;VLOOKUP(O$5,NFI,5,0),1,0)*Table_NFI[[#This Row],[Clothes Kit]],Table_NFI[Clothes Kit])</f>
        <v>0</v>
      </c>
      <c r="AG1298" s="352">
        <f>IF(NFI_Expiration=1,IF($A1298&lt;VLOOKUP(P$5,NFI,5,0),1,0)*Table_NFI[[#This Row],[Plastic Bucket]],Table_NFI[Plastic Bucket])</f>
        <v>0</v>
      </c>
      <c r="AH1298" s="352">
        <f>IF(NFI_Expiration=1,IF($A1298&lt;VLOOKUP(Q$5,NFI,5,0),1,0)*Table_NFI[[#This Row],[Plastic Mat]],Table_NFI[Plastic Mat])*IF(Table_NFI[[#This Row],[Distribution Date]]&gt;"2014-04-01",1,2.5)</f>
        <v>0</v>
      </c>
      <c r="AI1298" s="352">
        <f>IF(NFI_Expiration=1,IF($A1298&lt;VLOOKUP(R$5,NFI,5,0),1,0)*Table_NFI[[#This Row],[Winter Clothes Adult]],Table_NFI[Winter Clothes Adult])</f>
        <v>0</v>
      </c>
      <c r="AJ1298" s="352">
        <f>IF(NFI_Expiration=1,IF($A1298&lt;VLOOKUP(S$5,NFI,5,0),1,0)*Table_NFI[[#This Row],[Winter Clothes Children]],Table_NFI[Winter Clothes Children])</f>
        <v>0</v>
      </c>
      <c r="AK1298" s="352">
        <f>IF(NFI_Expiration=1,IF($A1298&lt;VLOOKUP(T$5,NFI,5,0),1,0)*Table_NFI[[#This Row],[Winter Items Other]],Table_NFI[Winter Items Other])</f>
        <v>0</v>
      </c>
      <c r="AL1298" s="352">
        <f>IF(NFI_Expiration=1,IF($A1298&lt;VLOOKUP(M$5,NFI,5,0),1,0)*Table_NFI[[#This Row],[Winter Blanket]],Table_NFI[[#This Row],[Winter Blanket]])</f>
        <v>0</v>
      </c>
      <c r="AM1298" s="352">
        <f>IF(Table_NFI[[#This Row],[Winter Clothes Adult]]+Table_NFI[[#This Row],[Winter Clothes Children]]+Table_NFI[[#This Row],[Winter Items Other]]+Table_NFI[[#This Row],[Winter Blanket]]&gt;0,1,0)</f>
        <v>0</v>
      </c>
      <c r="AN1298" s="392">
        <f>IF(NFI_Expiration=1,IF($A1298&lt;VLOOKUP(V$5,NFI,5,0),1,0)*Table_NFI[[#This Row],[Jerry Can]],Table_NFI[Jerry Can])</f>
        <v>0</v>
      </c>
      <c r="AO1298" s="540" t="str">
        <f>IFERROR(VLOOKUP(Table_NFI[[#This Row],[Camp Name]],CL,2,0),"")</f>
        <v/>
      </c>
      <c r="AP1298" s="535" t="str">
        <f ca="1">IF(Table_NFI[[#This Row],[Pcode]]="","",IF(OFFSET(CampList[Opening Date],MATCH(Table_NFI[[#This Row],[Pcode]],CampList[CP_Pcode],0)-1,0,1,1)&gt;=NFI_Monitor_Date,1,0))</f>
        <v/>
      </c>
      <c r="AQ1298" s="540" t="str">
        <f>IFERROR(VLOOKUP(Table_NFI[[#This Row],[Camp Name]],CL,3,0),"")</f>
        <v/>
      </c>
      <c r="AR1298" s="352" t="str">
        <f ca="1">IF(Table_NFI[[#This Row],[Pcode]]="","",OFFSET(CampList[Priority],MATCH(Table_NFI[[#This Row],[Pcode]],CampList[CP_Pcode],0)-1,0,1,1))</f>
        <v/>
      </c>
      <c r="AS1298" s="351" t="str">
        <f>IFERROR(Table_NFI[[#This Row],[Kitchen Set]]/VLOOKUP(Table_NFI[[#This Row],[Camp Name]],CL,4,0),"")</f>
        <v/>
      </c>
      <c r="AT1298" s="538"/>
      <c r="AU1298" s="541"/>
    </row>
    <row r="1299" spans="1:47" ht="14.45" hidden="1" customHeight="1" x14ac:dyDescent="0.25">
      <c r="A1299" s="355" t="str">
        <f t="shared" si="20"/>
        <v/>
      </c>
      <c r="B1299" s="532"/>
      <c r="C1299" s="538"/>
      <c r="D1299" s="538"/>
      <c r="E1299" s="538"/>
      <c r="F1299" s="538"/>
      <c r="G1299" s="538"/>
      <c r="H1299" s="350"/>
      <c r="I1299" s="350"/>
      <c r="J1299" s="350"/>
      <c r="K1299" s="350"/>
      <c r="L1299" s="350"/>
      <c r="M1299" s="350"/>
      <c r="N1299" s="350"/>
      <c r="O1299" s="350"/>
      <c r="P1299" s="352"/>
      <c r="Q1299" s="558"/>
      <c r="R1299" s="558"/>
      <c r="S1299" s="558"/>
      <c r="T1299" s="558"/>
      <c r="U1299" s="558"/>
      <c r="V1299" s="497"/>
      <c r="W1299" s="558"/>
      <c r="X1299" s="558"/>
      <c r="Y1299" s="352">
        <f>IF(NFI_Expiration=1,IF($A1299&lt;VLOOKUP(H$5,NFI,5,0),1,0)*Table_NFI[[#This Row],[Hygiene Kit]],Table_NFI[Hygiene Kit])</f>
        <v>0</v>
      </c>
      <c r="Z1299" s="352">
        <f>IF(NFI_Expiration=1,IF($A1299&lt;VLOOKUP(I$5,NFI,5,0),1,0)*Table_NFI[[#This Row],[NFI Core Kit]],Table_NFI[NFI Core Kit])</f>
        <v>0</v>
      </c>
      <c r="AA1299" s="352">
        <f>IF(NFI_Expiration=1,IF($A1299&lt;VLOOKUP(J$5,NFI,5,0),1,0)*Table_NFI[[#This Row],[Sanitary Kit]],Table_NFI[Sanitary Kit])</f>
        <v>0</v>
      </c>
      <c r="AB1299" s="352">
        <f>IF(NFI_Expiration=1,IF($A1299&lt;VLOOKUP(K$5,NFI,5,0),1,0)*Table_NFI[[#This Row],[Mosquito net]],Table_NFI[Mosquito net])</f>
        <v>0</v>
      </c>
      <c r="AC1299" s="352">
        <f>IF(NFI_Expiration=1,IF($A1299&lt;VLOOKUP(L$5,NFI,5,0),1,0)*Table_NFI[[#This Row],[Tarpaulin]],Table_NFI[[#This Row],[Tarpaulin]])</f>
        <v>0</v>
      </c>
      <c r="AD1299" s="352">
        <f>IF(NFI_Expiration=1,IF($A1299&lt;VLOOKUP(M$5,NFI,5,0),1,0)*Table_NFI[[#This Row],[Blanket]],Table_NFI[[#This Row],[Blanket]])</f>
        <v>0</v>
      </c>
      <c r="AE1299" s="352">
        <f>IF(NFI_Expiration=1,IF($A1299&lt;VLOOKUP(N$5,NFI,5,0),1,0)*Table_NFI[[#This Row],[Kitchen Set]],Table_NFI[Kitchen Set])</f>
        <v>0</v>
      </c>
      <c r="AF1299" s="352">
        <f>IF(NFI_Expiration=1,IF($A1299&lt;VLOOKUP(O$5,NFI,5,0),1,0)*Table_NFI[[#This Row],[Clothes Kit]],Table_NFI[Clothes Kit])</f>
        <v>0</v>
      </c>
      <c r="AG1299" s="352">
        <f>IF(NFI_Expiration=1,IF($A1299&lt;VLOOKUP(P$5,NFI,5,0),1,0)*Table_NFI[[#This Row],[Plastic Bucket]],Table_NFI[Plastic Bucket])</f>
        <v>0</v>
      </c>
      <c r="AH1299" s="352">
        <f>IF(NFI_Expiration=1,IF($A1299&lt;VLOOKUP(Q$5,NFI,5,0),1,0)*Table_NFI[[#This Row],[Plastic Mat]],Table_NFI[Plastic Mat])*IF(Table_NFI[[#This Row],[Distribution Date]]&gt;"2014-04-01",1,2.5)</f>
        <v>0</v>
      </c>
      <c r="AI1299" s="352">
        <f>IF(NFI_Expiration=1,IF($A1299&lt;VLOOKUP(R$5,NFI,5,0),1,0)*Table_NFI[[#This Row],[Winter Clothes Adult]],Table_NFI[Winter Clothes Adult])</f>
        <v>0</v>
      </c>
      <c r="AJ1299" s="352">
        <f>IF(NFI_Expiration=1,IF($A1299&lt;VLOOKUP(S$5,NFI,5,0),1,0)*Table_NFI[[#This Row],[Winter Clothes Children]],Table_NFI[Winter Clothes Children])</f>
        <v>0</v>
      </c>
      <c r="AK1299" s="352">
        <f>IF(NFI_Expiration=1,IF($A1299&lt;VLOOKUP(T$5,NFI,5,0),1,0)*Table_NFI[[#This Row],[Winter Items Other]],Table_NFI[Winter Items Other])</f>
        <v>0</v>
      </c>
      <c r="AL1299" s="352">
        <f>IF(NFI_Expiration=1,IF($A1299&lt;VLOOKUP(M$5,NFI,5,0),1,0)*Table_NFI[[#This Row],[Winter Blanket]],Table_NFI[[#This Row],[Winter Blanket]])</f>
        <v>0</v>
      </c>
      <c r="AM1299" s="352">
        <f>IF(Table_NFI[[#This Row],[Winter Clothes Adult]]+Table_NFI[[#This Row],[Winter Clothes Children]]+Table_NFI[[#This Row],[Winter Items Other]]+Table_NFI[[#This Row],[Winter Blanket]]&gt;0,1,0)</f>
        <v>0</v>
      </c>
      <c r="AN1299" s="392">
        <f>IF(NFI_Expiration=1,IF($A1299&lt;VLOOKUP(V$5,NFI,5,0),1,0)*Table_NFI[[#This Row],[Jerry Can]],Table_NFI[Jerry Can])</f>
        <v>0</v>
      </c>
      <c r="AO1299" s="540" t="str">
        <f>IFERROR(VLOOKUP(Table_NFI[[#This Row],[Camp Name]],CL,2,0),"")</f>
        <v/>
      </c>
      <c r="AP1299" s="535" t="str">
        <f ca="1">IF(Table_NFI[[#This Row],[Pcode]]="","",IF(OFFSET(CampList[Opening Date],MATCH(Table_NFI[[#This Row],[Pcode]],CampList[CP_Pcode],0)-1,0,1,1)&gt;=NFI_Monitor_Date,1,0))</f>
        <v/>
      </c>
      <c r="AQ1299" s="540" t="str">
        <f>IFERROR(VLOOKUP(Table_NFI[[#This Row],[Camp Name]],CL,3,0),"")</f>
        <v/>
      </c>
      <c r="AR1299" s="352" t="str">
        <f ca="1">IF(Table_NFI[[#This Row],[Pcode]]="","",OFFSET(CampList[Priority],MATCH(Table_NFI[[#This Row],[Pcode]],CampList[CP_Pcode],0)-1,0,1,1))</f>
        <v/>
      </c>
      <c r="AS1299" s="351" t="str">
        <f>IFERROR(Table_NFI[[#This Row],[Kitchen Set]]/VLOOKUP(Table_NFI[[#This Row],[Camp Name]],CL,4,0),"")</f>
        <v/>
      </c>
      <c r="AT1299" s="538"/>
      <c r="AU1299" s="541"/>
    </row>
    <row r="1300" spans="1:47" ht="14.45" hidden="1" customHeight="1" x14ac:dyDescent="0.25">
      <c r="A1300" s="355" t="str">
        <f t="shared" si="20"/>
        <v/>
      </c>
      <c r="B1300" s="532"/>
      <c r="C1300" s="538"/>
      <c r="D1300" s="538"/>
      <c r="E1300" s="538"/>
      <c r="F1300" s="538"/>
      <c r="G1300" s="538"/>
      <c r="H1300" s="350"/>
      <c r="I1300" s="350"/>
      <c r="J1300" s="350"/>
      <c r="K1300" s="350"/>
      <c r="L1300" s="350"/>
      <c r="M1300" s="350"/>
      <c r="N1300" s="350"/>
      <c r="O1300" s="350"/>
      <c r="P1300" s="352"/>
      <c r="Q1300" s="558"/>
      <c r="R1300" s="558"/>
      <c r="S1300" s="558"/>
      <c r="T1300" s="558"/>
      <c r="U1300" s="558"/>
      <c r="V1300" s="497"/>
      <c r="W1300" s="558"/>
      <c r="X1300" s="558"/>
      <c r="Y1300" s="352">
        <f>IF(NFI_Expiration=1,IF($A1300&lt;VLOOKUP(H$5,NFI,5,0),1,0)*Table_NFI[[#This Row],[Hygiene Kit]],Table_NFI[Hygiene Kit])</f>
        <v>0</v>
      </c>
      <c r="Z1300" s="352">
        <f>IF(NFI_Expiration=1,IF($A1300&lt;VLOOKUP(I$5,NFI,5,0),1,0)*Table_NFI[[#This Row],[NFI Core Kit]],Table_NFI[NFI Core Kit])</f>
        <v>0</v>
      </c>
      <c r="AA1300" s="352">
        <f>IF(NFI_Expiration=1,IF($A1300&lt;VLOOKUP(J$5,NFI,5,0),1,0)*Table_NFI[[#This Row],[Sanitary Kit]],Table_NFI[Sanitary Kit])</f>
        <v>0</v>
      </c>
      <c r="AB1300" s="352">
        <f>IF(NFI_Expiration=1,IF($A1300&lt;VLOOKUP(K$5,NFI,5,0),1,0)*Table_NFI[[#This Row],[Mosquito net]],Table_NFI[Mosquito net])</f>
        <v>0</v>
      </c>
      <c r="AC1300" s="352">
        <f>IF(NFI_Expiration=1,IF($A1300&lt;VLOOKUP(L$5,NFI,5,0),1,0)*Table_NFI[[#This Row],[Tarpaulin]],Table_NFI[[#This Row],[Tarpaulin]])</f>
        <v>0</v>
      </c>
      <c r="AD1300" s="352">
        <f>IF(NFI_Expiration=1,IF($A1300&lt;VLOOKUP(M$5,NFI,5,0),1,0)*Table_NFI[[#This Row],[Blanket]],Table_NFI[[#This Row],[Blanket]])</f>
        <v>0</v>
      </c>
      <c r="AE1300" s="352">
        <f>IF(NFI_Expiration=1,IF($A1300&lt;VLOOKUP(N$5,NFI,5,0),1,0)*Table_NFI[[#This Row],[Kitchen Set]],Table_NFI[Kitchen Set])</f>
        <v>0</v>
      </c>
      <c r="AF1300" s="352">
        <f>IF(NFI_Expiration=1,IF($A1300&lt;VLOOKUP(O$5,NFI,5,0),1,0)*Table_NFI[[#This Row],[Clothes Kit]],Table_NFI[Clothes Kit])</f>
        <v>0</v>
      </c>
      <c r="AG1300" s="352">
        <f>IF(NFI_Expiration=1,IF($A1300&lt;VLOOKUP(P$5,NFI,5,0),1,0)*Table_NFI[[#This Row],[Plastic Bucket]],Table_NFI[Plastic Bucket])</f>
        <v>0</v>
      </c>
      <c r="AH1300" s="352">
        <f>IF(NFI_Expiration=1,IF($A1300&lt;VLOOKUP(Q$5,NFI,5,0),1,0)*Table_NFI[[#This Row],[Plastic Mat]],Table_NFI[Plastic Mat])*IF(Table_NFI[[#This Row],[Distribution Date]]&gt;"2014-04-01",1,2.5)</f>
        <v>0</v>
      </c>
      <c r="AI1300" s="352">
        <f>IF(NFI_Expiration=1,IF($A1300&lt;VLOOKUP(R$5,NFI,5,0),1,0)*Table_NFI[[#This Row],[Winter Clothes Adult]],Table_NFI[Winter Clothes Adult])</f>
        <v>0</v>
      </c>
      <c r="AJ1300" s="352">
        <f>IF(NFI_Expiration=1,IF($A1300&lt;VLOOKUP(S$5,NFI,5,0),1,0)*Table_NFI[[#This Row],[Winter Clothes Children]],Table_NFI[Winter Clothes Children])</f>
        <v>0</v>
      </c>
      <c r="AK1300" s="352">
        <f>IF(NFI_Expiration=1,IF($A1300&lt;VLOOKUP(T$5,NFI,5,0),1,0)*Table_NFI[[#This Row],[Winter Items Other]],Table_NFI[Winter Items Other])</f>
        <v>0</v>
      </c>
      <c r="AL1300" s="352">
        <f>IF(NFI_Expiration=1,IF($A1300&lt;VLOOKUP(M$5,NFI,5,0),1,0)*Table_NFI[[#This Row],[Winter Blanket]],Table_NFI[[#This Row],[Winter Blanket]])</f>
        <v>0</v>
      </c>
      <c r="AM1300" s="352">
        <f>IF(Table_NFI[[#This Row],[Winter Clothes Adult]]+Table_NFI[[#This Row],[Winter Clothes Children]]+Table_NFI[[#This Row],[Winter Items Other]]+Table_NFI[[#This Row],[Winter Blanket]]&gt;0,1,0)</f>
        <v>0</v>
      </c>
      <c r="AN1300" s="392">
        <f>IF(NFI_Expiration=1,IF($A1300&lt;VLOOKUP(V$5,NFI,5,0),1,0)*Table_NFI[[#This Row],[Jerry Can]],Table_NFI[Jerry Can])</f>
        <v>0</v>
      </c>
      <c r="AO1300" s="540" t="str">
        <f>IFERROR(VLOOKUP(Table_NFI[[#This Row],[Camp Name]],CL,2,0),"")</f>
        <v/>
      </c>
      <c r="AP1300" s="535" t="str">
        <f ca="1">IF(Table_NFI[[#This Row],[Pcode]]="","",IF(OFFSET(CampList[Opening Date],MATCH(Table_NFI[[#This Row],[Pcode]],CampList[CP_Pcode],0)-1,0,1,1)&gt;=NFI_Monitor_Date,1,0))</f>
        <v/>
      </c>
      <c r="AQ1300" s="540" t="str">
        <f>IFERROR(VLOOKUP(Table_NFI[[#This Row],[Camp Name]],CL,3,0),"")</f>
        <v/>
      </c>
      <c r="AR1300" s="352" t="str">
        <f ca="1">IF(Table_NFI[[#This Row],[Pcode]]="","",OFFSET(CampList[Priority],MATCH(Table_NFI[[#This Row],[Pcode]],CampList[CP_Pcode],0)-1,0,1,1))</f>
        <v/>
      </c>
      <c r="AS1300" s="351" t="str">
        <f>IFERROR(Table_NFI[[#This Row],[Kitchen Set]]/VLOOKUP(Table_NFI[[#This Row],[Camp Name]],CL,4,0),"")</f>
        <v/>
      </c>
      <c r="AT1300" s="538"/>
      <c r="AU1300" s="541"/>
    </row>
    <row r="1301" spans="1:47" ht="14.45" hidden="1" customHeight="1" x14ac:dyDescent="0.25">
      <c r="A1301" s="355" t="str">
        <f t="shared" si="20"/>
        <v/>
      </c>
      <c r="B1301" s="532"/>
      <c r="C1301" s="538"/>
      <c r="D1301" s="538"/>
      <c r="E1301" s="538"/>
      <c r="F1301" s="538"/>
      <c r="G1301" s="538"/>
      <c r="H1301" s="350"/>
      <c r="I1301" s="350"/>
      <c r="J1301" s="350"/>
      <c r="K1301" s="350"/>
      <c r="L1301" s="350"/>
      <c r="M1301" s="350"/>
      <c r="N1301" s="350"/>
      <c r="O1301" s="350"/>
      <c r="P1301" s="352"/>
      <c r="Q1301" s="558"/>
      <c r="R1301" s="558"/>
      <c r="S1301" s="558"/>
      <c r="T1301" s="558"/>
      <c r="U1301" s="558"/>
      <c r="V1301" s="497"/>
      <c r="W1301" s="558"/>
      <c r="X1301" s="558"/>
      <c r="Y1301" s="352">
        <f>IF(NFI_Expiration=1,IF($A1301&lt;VLOOKUP(H$5,NFI,5,0),1,0)*Table_NFI[[#This Row],[Hygiene Kit]],Table_NFI[Hygiene Kit])</f>
        <v>0</v>
      </c>
      <c r="Z1301" s="352">
        <f>IF(NFI_Expiration=1,IF($A1301&lt;VLOOKUP(I$5,NFI,5,0),1,0)*Table_NFI[[#This Row],[NFI Core Kit]],Table_NFI[NFI Core Kit])</f>
        <v>0</v>
      </c>
      <c r="AA1301" s="352">
        <f>IF(NFI_Expiration=1,IF($A1301&lt;VLOOKUP(J$5,NFI,5,0),1,0)*Table_NFI[[#This Row],[Sanitary Kit]],Table_NFI[Sanitary Kit])</f>
        <v>0</v>
      </c>
      <c r="AB1301" s="352">
        <f>IF(NFI_Expiration=1,IF($A1301&lt;VLOOKUP(K$5,NFI,5,0),1,0)*Table_NFI[[#This Row],[Mosquito net]],Table_NFI[Mosquito net])</f>
        <v>0</v>
      </c>
      <c r="AC1301" s="352">
        <f>IF(NFI_Expiration=1,IF($A1301&lt;VLOOKUP(L$5,NFI,5,0),1,0)*Table_NFI[[#This Row],[Tarpaulin]],Table_NFI[[#This Row],[Tarpaulin]])</f>
        <v>0</v>
      </c>
      <c r="AD1301" s="352">
        <f>IF(NFI_Expiration=1,IF($A1301&lt;VLOOKUP(M$5,NFI,5,0),1,0)*Table_NFI[[#This Row],[Blanket]],Table_NFI[[#This Row],[Blanket]])</f>
        <v>0</v>
      </c>
      <c r="AE1301" s="352">
        <f>IF(NFI_Expiration=1,IF($A1301&lt;VLOOKUP(N$5,NFI,5,0),1,0)*Table_NFI[[#This Row],[Kitchen Set]],Table_NFI[Kitchen Set])</f>
        <v>0</v>
      </c>
      <c r="AF1301" s="352">
        <f>IF(NFI_Expiration=1,IF($A1301&lt;VLOOKUP(O$5,NFI,5,0),1,0)*Table_NFI[[#This Row],[Clothes Kit]],Table_NFI[Clothes Kit])</f>
        <v>0</v>
      </c>
      <c r="AG1301" s="352">
        <f>IF(NFI_Expiration=1,IF($A1301&lt;VLOOKUP(P$5,NFI,5,0),1,0)*Table_NFI[[#This Row],[Plastic Bucket]],Table_NFI[Plastic Bucket])</f>
        <v>0</v>
      </c>
      <c r="AH1301" s="352">
        <f>IF(NFI_Expiration=1,IF($A1301&lt;VLOOKUP(Q$5,NFI,5,0),1,0)*Table_NFI[[#This Row],[Plastic Mat]],Table_NFI[Plastic Mat])*IF(Table_NFI[[#This Row],[Distribution Date]]&gt;"2014-04-01",1,2.5)</f>
        <v>0</v>
      </c>
      <c r="AI1301" s="352">
        <f>IF(NFI_Expiration=1,IF($A1301&lt;VLOOKUP(R$5,NFI,5,0),1,0)*Table_NFI[[#This Row],[Winter Clothes Adult]],Table_NFI[Winter Clothes Adult])</f>
        <v>0</v>
      </c>
      <c r="AJ1301" s="352">
        <f>IF(NFI_Expiration=1,IF($A1301&lt;VLOOKUP(S$5,NFI,5,0),1,0)*Table_NFI[[#This Row],[Winter Clothes Children]],Table_NFI[Winter Clothes Children])</f>
        <v>0</v>
      </c>
      <c r="AK1301" s="352">
        <f>IF(NFI_Expiration=1,IF($A1301&lt;VLOOKUP(T$5,NFI,5,0),1,0)*Table_NFI[[#This Row],[Winter Items Other]],Table_NFI[Winter Items Other])</f>
        <v>0</v>
      </c>
      <c r="AL1301" s="352">
        <f>IF(NFI_Expiration=1,IF($A1301&lt;VLOOKUP(M$5,NFI,5,0),1,0)*Table_NFI[[#This Row],[Winter Blanket]],Table_NFI[[#This Row],[Winter Blanket]])</f>
        <v>0</v>
      </c>
      <c r="AM1301" s="352">
        <f>IF(Table_NFI[[#This Row],[Winter Clothes Adult]]+Table_NFI[[#This Row],[Winter Clothes Children]]+Table_NFI[[#This Row],[Winter Items Other]]+Table_NFI[[#This Row],[Winter Blanket]]&gt;0,1,0)</f>
        <v>0</v>
      </c>
      <c r="AN1301" s="392">
        <f>IF(NFI_Expiration=1,IF($A1301&lt;VLOOKUP(V$5,NFI,5,0),1,0)*Table_NFI[[#This Row],[Jerry Can]],Table_NFI[Jerry Can])</f>
        <v>0</v>
      </c>
      <c r="AO1301" s="540" t="str">
        <f>IFERROR(VLOOKUP(Table_NFI[[#This Row],[Camp Name]],CL,2,0),"")</f>
        <v/>
      </c>
      <c r="AP1301" s="535" t="str">
        <f ca="1">IF(Table_NFI[[#This Row],[Pcode]]="","",IF(OFFSET(CampList[Opening Date],MATCH(Table_NFI[[#This Row],[Pcode]],CampList[CP_Pcode],0)-1,0,1,1)&gt;=NFI_Monitor_Date,1,0))</f>
        <v/>
      </c>
      <c r="AQ1301" s="540" t="str">
        <f>IFERROR(VLOOKUP(Table_NFI[[#This Row],[Camp Name]],CL,3,0),"")</f>
        <v/>
      </c>
      <c r="AR1301" s="352" t="str">
        <f ca="1">IF(Table_NFI[[#This Row],[Pcode]]="","",OFFSET(CampList[Priority],MATCH(Table_NFI[[#This Row],[Pcode]],CampList[CP_Pcode],0)-1,0,1,1))</f>
        <v/>
      </c>
      <c r="AS1301" s="351" t="str">
        <f>IFERROR(Table_NFI[[#This Row],[Kitchen Set]]/VLOOKUP(Table_NFI[[#This Row],[Camp Name]],CL,4,0),"")</f>
        <v/>
      </c>
      <c r="AT1301" s="538"/>
      <c r="AU1301" s="541"/>
    </row>
    <row r="1302" spans="1:47" ht="14.45" hidden="1" customHeight="1" x14ac:dyDescent="0.25">
      <c r="A1302" s="355" t="str">
        <f t="shared" si="20"/>
        <v/>
      </c>
      <c r="B1302" s="532"/>
      <c r="C1302" s="538"/>
      <c r="D1302" s="538"/>
      <c r="E1302" s="538"/>
      <c r="F1302" s="538"/>
      <c r="G1302" s="538"/>
      <c r="H1302" s="350"/>
      <c r="I1302" s="350"/>
      <c r="J1302" s="350"/>
      <c r="K1302" s="350"/>
      <c r="L1302" s="350"/>
      <c r="M1302" s="350"/>
      <c r="N1302" s="350"/>
      <c r="O1302" s="350"/>
      <c r="P1302" s="352"/>
      <c r="Q1302" s="558"/>
      <c r="R1302" s="558"/>
      <c r="S1302" s="558"/>
      <c r="T1302" s="558"/>
      <c r="U1302" s="558"/>
      <c r="V1302" s="497"/>
      <c r="W1302" s="558"/>
      <c r="X1302" s="558"/>
      <c r="Y1302" s="352">
        <f>IF(NFI_Expiration=1,IF($A1302&lt;VLOOKUP(H$5,NFI,5,0),1,0)*Table_NFI[[#This Row],[Hygiene Kit]],Table_NFI[Hygiene Kit])</f>
        <v>0</v>
      </c>
      <c r="Z1302" s="352">
        <f>IF(NFI_Expiration=1,IF($A1302&lt;VLOOKUP(I$5,NFI,5,0),1,0)*Table_NFI[[#This Row],[NFI Core Kit]],Table_NFI[NFI Core Kit])</f>
        <v>0</v>
      </c>
      <c r="AA1302" s="352">
        <f>IF(NFI_Expiration=1,IF($A1302&lt;VLOOKUP(J$5,NFI,5,0),1,0)*Table_NFI[[#This Row],[Sanitary Kit]],Table_NFI[Sanitary Kit])</f>
        <v>0</v>
      </c>
      <c r="AB1302" s="352">
        <f>IF(NFI_Expiration=1,IF($A1302&lt;VLOOKUP(K$5,NFI,5,0),1,0)*Table_NFI[[#This Row],[Mosquito net]],Table_NFI[Mosquito net])</f>
        <v>0</v>
      </c>
      <c r="AC1302" s="352">
        <f>IF(NFI_Expiration=1,IF($A1302&lt;VLOOKUP(L$5,NFI,5,0),1,0)*Table_NFI[[#This Row],[Tarpaulin]],Table_NFI[[#This Row],[Tarpaulin]])</f>
        <v>0</v>
      </c>
      <c r="AD1302" s="352">
        <f>IF(NFI_Expiration=1,IF($A1302&lt;VLOOKUP(M$5,NFI,5,0),1,0)*Table_NFI[[#This Row],[Blanket]],Table_NFI[[#This Row],[Blanket]])</f>
        <v>0</v>
      </c>
      <c r="AE1302" s="352">
        <f>IF(NFI_Expiration=1,IF($A1302&lt;VLOOKUP(N$5,NFI,5,0),1,0)*Table_NFI[[#This Row],[Kitchen Set]],Table_NFI[Kitchen Set])</f>
        <v>0</v>
      </c>
      <c r="AF1302" s="352">
        <f>IF(NFI_Expiration=1,IF($A1302&lt;VLOOKUP(O$5,NFI,5,0),1,0)*Table_NFI[[#This Row],[Clothes Kit]],Table_NFI[Clothes Kit])</f>
        <v>0</v>
      </c>
      <c r="AG1302" s="352">
        <f>IF(NFI_Expiration=1,IF($A1302&lt;VLOOKUP(P$5,NFI,5,0),1,0)*Table_NFI[[#This Row],[Plastic Bucket]],Table_NFI[Plastic Bucket])</f>
        <v>0</v>
      </c>
      <c r="AH1302" s="352">
        <f>IF(NFI_Expiration=1,IF($A1302&lt;VLOOKUP(Q$5,NFI,5,0),1,0)*Table_NFI[[#This Row],[Plastic Mat]],Table_NFI[Plastic Mat])*IF(Table_NFI[[#This Row],[Distribution Date]]&gt;"2014-04-01",1,2.5)</f>
        <v>0</v>
      </c>
      <c r="AI1302" s="352">
        <f>IF(NFI_Expiration=1,IF($A1302&lt;VLOOKUP(R$5,NFI,5,0),1,0)*Table_NFI[[#This Row],[Winter Clothes Adult]],Table_NFI[Winter Clothes Adult])</f>
        <v>0</v>
      </c>
      <c r="AJ1302" s="352">
        <f>IF(NFI_Expiration=1,IF($A1302&lt;VLOOKUP(S$5,NFI,5,0),1,0)*Table_NFI[[#This Row],[Winter Clothes Children]],Table_NFI[Winter Clothes Children])</f>
        <v>0</v>
      </c>
      <c r="AK1302" s="352">
        <f>IF(NFI_Expiration=1,IF($A1302&lt;VLOOKUP(T$5,NFI,5,0),1,0)*Table_NFI[[#This Row],[Winter Items Other]],Table_NFI[Winter Items Other])</f>
        <v>0</v>
      </c>
      <c r="AL1302" s="352">
        <f>IF(NFI_Expiration=1,IF($A1302&lt;VLOOKUP(M$5,NFI,5,0),1,0)*Table_NFI[[#This Row],[Winter Blanket]],Table_NFI[[#This Row],[Winter Blanket]])</f>
        <v>0</v>
      </c>
      <c r="AM1302" s="352">
        <f>IF(Table_NFI[[#This Row],[Winter Clothes Adult]]+Table_NFI[[#This Row],[Winter Clothes Children]]+Table_NFI[[#This Row],[Winter Items Other]]+Table_NFI[[#This Row],[Winter Blanket]]&gt;0,1,0)</f>
        <v>0</v>
      </c>
      <c r="AN1302" s="392">
        <f>IF(NFI_Expiration=1,IF($A1302&lt;VLOOKUP(V$5,NFI,5,0),1,0)*Table_NFI[[#This Row],[Jerry Can]],Table_NFI[Jerry Can])</f>
        <v>0</v>
      </c>
      <c r="AO1302" s="540" t="str">
        <f>IFERROR(VLOOKUP(Table_NFI[[#This Row],[Camp Name]],CL,2,0),"")</f>
        <v/>
      </c>
      <c r="AP1302" s="535" t="str">
        <f ca="1">IF(Table_NFI[[#This Row],[Pcode]]="","",IF(OFFSET(CampList[Opening Date],MATCH(Table_NFI[[#This Row],[Pcode]],CampList[CP_Pcode],0)-1,0,1,1)&gt;=NFI_Monitor_Date,1,0))</f>
        <v/>
      </c>
      <c r="AQ1302" s="540" t="str">
        <f>IFERROR(VLOOKUP(Table_NFI[[#This Row],[Camp Name]],CL,3,0),"")</f>
        <v/>
      </c>
      <c r="AR1302" s="352" t="str">
        <f ca="1">IF(Table_NFI[[#This Row],[Pcode]]="","",OFFSET(CampList[Priority],MATCH(Table_NFI[[#This Row],[Pcode]],CampList[CP_Pcode],0)-1,0,1,1))</f>
        <v/>
      </c>
      <c r="AS1302" s="351" t="str">
        <f>IFERROR(Table_NFI[[#This Row],[Kitchen Set]]/VLOOKUP(Table_NFI[[#This Row],[Camp Name]],CL,4,0),"")</f>
        <v/>
      </c>
      <c r="AT1302" s="538"/>
      <c r="AU1302" s="541"/>
    </row>
    <row r="1303" spans="1:47" ht="14.45" hidden="1" customHeight="1" x14ac:dyDescent="0.25">
      <c r="A1303" s="355" t="str">
        <f t="shared" si="20"/>
        <v/>
      </c>
      <c r="B1303" s="532"/>
      <c r="C1303" s="538"/>
      <c r="D1303" s="538"/>
      <c r="E1303" s="538"/>
      <c r="F1303" s="538"/>
      <c r="G1303" s="538"/>
      <c r="H1303" s="350"/>
      <c r="I1303" s="350"/>
      <c r="J1303" s="350"/>
      <c r="K1303" s="350"/>
      <c r="L1303" s="350"/>
      <c r="M1303" s="350"/>
      <c r="N1303" s="350"/>
      <c r="O1303" s="350"/>
      <c r="P1303" s="352"/>
      <c r="Q1303" s="558"/>
      <c r="R1303" s="558"/>
      <c r="S1303" s="558"/>
      <c r="T1303" s="558"/>
      <c r="U1303" s="558"/>
      <c r="V1303" s="497"/>
      <c r="W1303" s="558"/>
      <c r="X1303" s="558"/>
      <c r="Y1303" s="352">
        <f>IF(NFI_Expiration=1,IF($A1303&lt;VLOOKUP(H$5,NFI,5,0),1,0)*Table_NFI[[#This Row],[Hygiene Kit]],Table_NFI[Hygiene Kit])</f>
        <v>0</v>
      </c>
      <c r="Z1303" s="352">
        <f>IF(NFI_Expiration=1,IF($A1303&lt;VLOOKUP(I$5,NFI,5,0),1,0)*Table_NFI[[#This Row],[NFI Core Kit]],Table_NFI[NFI Core Kit])</f>
        <v>0</v>
      </c>
      <c r="AA1303" s="352">
        <f>IF(NFI_Expiration=1,IF($A1303&lt;VLOOKUP(J$5,NFI,5,0),1,0)*Table_NFI[[#This Row],[Sanitary Kit]],Table_NFI[Sanitary Kit])</f>
        <v>0</v>
      </c>
      <c r="AB1303" s="352">
        <f>IF(NFI_Expiration=1,IF($A1303&lt;VLOOKUP(K$5,NFI,5,0),1,0)*Table_NFI[[#This Row],[Mosquito net]],Table_NFI[Mosquito net])</f>
        <v>0</v>
      </c>
      <c r="AC1303" s="352">
        <f>IF(NFI_Expiration=1,IF($A1303&lt;VLOOKUP(L$5,NFI,5,0),1,0)*Table_NFI[[#This Row],[Tarpaulin]],Table_NFI[[#This Row],[Tarpaulin]])</f>
        <v>0</v>
      </c>
      <c r="AD1303" s="352">
        <f>IF(NFI_Expiration=1,IF($A1303&lt;VLOOKUP(M$5,NFI,5,0),1,0)*Table_NFI[[#This Row],[Blanket]],Table_NFI[[#This Row],[Blanket]])</f>
        <v>0</v>
      </c>
      <c r="AE1303" s="352">
        <f>IF(NFI_Expiration=1,IF($A1303&lt;VLOOKUP(N$5,NFI,5,0),1,0)*Table_NFI[[#This Row],[Kitchen Set]],Table_NFI[Kitchen Set])</f>
        <v>0</v>
      </c>
      <c r="AF1303" s="352">
        <f>IF(NFI_Expiration=1,IF($A1303&lt;VLOOKUP(O$5,NFI,5,0),1,0)*Table_NFI[[#This Row],[Clothes Kit]],Table_NFI[Clothes Kit])</f>
        <v>0</v>
      </c>
      <c r="AG1303" s="352">
        <f>IF(NFI_Expiration=1,IF($A1303&lt;VLOOKUP(P$5,NFI,5,0),1,0)*Table_NFI[[#This Row],[Plastic Bucket]],Table_NFI[Plastic Bucket])</f>
        <v>0</v>
      </c>
      <c r="AH1303" s="352">
        <f>IF(NFI_Expiration=1,IF($A1303&lt;VLOOKUP(Q$5,NFI,5,0),1,0)*Table_NFI[[#This Row],[Plastic Mat]],Table_NFI[Plastic Mat])*IF(Table_NFI[[#This Row],[Distribution Date]]&gt;"2014-04-01",1,2.5)</f>
        <v>0</v>
      </c>
      <c r="AI1303" s="352">
        <f>IF(NFI_Expiration=1,IF($A1303&lt;VLOOKUP(R$5,NFI,5,0),1,0)*Table_NFI[[#This Row],[Winter Clothes Adult]],Table_NFI[Winter Clothes Adult])</f>
        <v>0</v>
      </c>
      <c r="AJ1303" s="352">
        <f>IF(NFI_Expiration=1,IF($A1303&lt;VLOOKUP(S$5,NFI,5,0),1,0)*Table_NFI[[#This Row],[Winter Clothes Children]],Table_NFI[Winter Clothes Children])</f>
        <v>0</v>
      </c>
      <c r="AK1303" s="352">
        <f>IF(NFI_Expiration=1,IF($A1303&lt;VLOOKUP(T$5,NFI,5,0),1,0)*Table_NFI[[#This Row],[Winter Items Other]],Table_NFI[Winter Items Other])</f>
        <v>0</v>
      </c>
      <c r="AL1303" s="352">
        <f>IF(NFI_Expiration=1,IF($A1303&lt;VLOOKUP(M$5,NFI,5,0),1,0)*Table_NFI[[#This Row],[Winter Blanket]],Table_NFI[[#This Row],[Winter Blanket]])</f>
        <v>0</v>
      </c>
      <c r="AM1303" s="352">
        <f>IF(Table_NFI[[#This Row],[Winter Clothes Adult]]+Table_NFI[[#This Row],[Winter Clothes Children]]+Table_NFI[[#This Row],[Winter Items Other]]+Table_NFI[[#This Row],[Winter Blanket]]&gt;0,1,0)</f>
        <v>0</v>
      </c>
      <c r="AN1303" s="392">
        <f>IF(NFI_Expiration=1,IF($A1303&lt;VLOOKUP(V$5,NFI,5,0),1,0)*Table_NFI[[#This Row],[Jerry Can]],Table_NFI[Jerry Can])</f>
        <v>0</v>
      </c>
      <c r="AO1303" s="540" t="str">
        <f>IFERROR(VLOOKUP(Table_NFI[[#This Row],[Camp Name]],CL,2,0),"")</f>
        <v/>
      </c>
      <c r="AP1303" s="535" t="str">
        <f ca="1">IF(Table_NFI[[#This Row],[Pcode]]="","",IF(OFFSET(CampList[Opening Date],MATCH(Table_NFI[[#This Row],[Pcode]],CampList[CP_Pcode],0)-1,0,1,1)&gt;=NFI_Monitor_Date,1,0))</f>
        <v/>
      </c>
      <c r="AQ1303" s="540" t="str">
        <f>IFERROR(VLOOKUP(Table_NFI[[#This Row],[Camp Name]],CL,3,0),"")</f>
        <v/>
      </c>
      <c r="AR1303" s="352" t="str">
        <f ca="1">IF(Table_NFI[[#This Row],[Pcode]]="","",OFFSET(CampList[Priority],MATCH(Table_NFI[[#This Row],[Pcode]],CampList[CP_Pcode],0)-1,0,1,1))</f>
        <v/>
      </c>
      <c r="AS1303" s="351" t="str">
        <f>IFERROR(Table_NFI[[#This Row],[Kitchen Set]]/VLOOKUP(Table_NFI[[#This Row],[Camp Name]],CL,4,0),"")</f>
        <v/>
      </c>
      <c r="AT1303" s="538"/>
      <c r="AU1303" s="541"/>
    </row>
    <row r="1304" spans="1:47" ht="14.45" hidden="1" customHeight="1" x14ac:dyDescent="0.25">
      <c r="A1304" s="355" t="str">
        <f t="shared" ref="A1304:A1340" si="21">IF(ISBLANK(B1304),"",(Report_Date-B1304)/30)</f>
        <v/>
      </c>
      <c r="B1304" s="532"/>
      <c r="C1304" s="538"/>
      <c r="D1304" s="538"/>
      <c r="E1304" s="538"/>
      <c r="F1304" s="538"/>
      <c r="G1304" s="538"/>
      <c r="H1304" s="350"/>
      <c r="I1304" s="350"/>
      <c r="J1304" s="350"/>
      <c r="K1304" s="350"/>
      <c r="L1304" s="350"/>
      <c r="M1304" s="350"/>
      <c r="N1304" s="350"/>
      <c r="O1304" s="350"/>
      <c r="P1304" s="352"/>
      <c r="Q1304" s="558"/>
      <c r="R1304" s="558"/>
      <c r="S1304" s="558"/>
      <c r="T1304" s="558"/>
      <c r="U1304" s="558"/>
      <c r="V1304" s="497"/>
      <c r="W1304" s="558"/>
      <c r="X1304" s="558"/>
      <c r="Y1304" s="352">
        <f>IF(NFI_Expiration=1,IF($A1304&lt;VLOOKUP(H$5,NFI,5,0),1,0)*Table_NFI[[#This Row],[Hygiene Kit]],Table_NFI[Hygiene Kit])</f>
        <v>0</v>
      </c>
      <c r="Z1304" s="352">
        <f>IF(NFI_Expiration=1,IF($A1304&lt;VLOOKUP(I$5,NFI,5,0),1,0)*Table_NFI[[#This Row],[NFI Core Kit]],Table_NFI[NFI Core Kit])</f>
        <v>0</v>
      </c>
      <c r="AA1304" s="352">
        <f>IF(NFI_Expiration=1,IF($A1304&lt;VLOOKUP(J$5,NFI,5,0),1,0)*Table_NFI[[#This Row],[Sanitary Kit]],Table_NFI[Sanitary Kit])</f>
        <v>0</v>
      </c>
      <c r="AB1304" s="352">
        <f>IF(NFI_Expiration=1,IF($A1304&lt;VLOOKUP(K$5,NFI,5,0),1,0)*Table_NFI[[#This Row],[Mosquito net]],Table_NFI[Mosquito net])</f>
        <v>0</v>
      </c>
      <c r="AC1304" s="352">
        <f>IF(NFI_Expiration=1,IF($A1304&lt;VLOOKUP(L$5,NFI,5,0),1,0)*Table_NFI[[#This Row],[Tarpaulin]],Table_NFI[[#This Row],[Tarpaulin]])</f>
        <v>0</v>
      </c>
      <c r="AD1304" s="352">
        <f>IF(NFI_Expiration=1,IF($A1304&lt;VLOOKUP(M$5,NFI,5,0),1,0)*Table_NFI[[#This Row],[Blanket]],Table_NFI[[#This Row],[Blanket]])</f>
        <v>0</v>
      </c>
      <c r="AE1304" s="352">
        <f>IF(NFI_Expiration=1,IF($A1304&lt;VLOOKUP(N$5,NFI,5,0),1,0)*Table_NFI[[#This Row],[Kitchen Set]],Table_NFI[Kitchen Set])</f>
        <v>0</v>
      </c>
      <c r="AF1304" s="352">
        <f>IF(NFI_Expiration=1,IF($A1304&lt;VLOOKUP(O$5,NFI,5,0),1,0)*Table_NFI[[#This Row],[Clothes Kit]],Table_NFI[Clothes Kit])</f>
        <v>0</v>
      </c>
      <c r="AG1304" s="352">
        <f>IF(NFI_Expiration=1,IF($A1304&lt;VLOOKUP(P$5,NFI,5,0),1,0)*Table_NFI[[#This Row],[Plastic Bucket]],Table_NFI[Plastic Bucket])</f>
        <v>0</v>
      </c>
      <c r="AH1304" s="352">
        <f>IF(NFI_Expiration=1,IF($A1304&lt;VLOOKUP(Q$5,NFI,5,0),1,0)*Table_NFI[[#This Row],[Plastic Mat]],Table_NFI[Plastic Mat])*IF(Table_NFI[[#This Row],[Distribution Date]]&gt;"2014-04-01",1,2.5)</f>
        <v>0</v>
      </c>
      <c r="AI1304" s="352">
        <f>IF(NFI_Expiration=1,IF($A1304&lt;VLOOKUP(R$5,NFI,5,0),1,0)*Table_NFI[[#This Row],[Winter Clothes Adult]],Table_NFI[Winter Clothes Adult])</f>
        <v>0</v>
      </c>
      <c r="AJ1304" s="352">
        <f>IF(NFI_Expiration=1,IF($A1304&lt;VLOOKUP(S$5,NFI,5,0),1,0)*Table_NFI[[#This Row],[Winter Clothes Children]],Table_NFI[Winter Clothes Children])</f>
        <v>0</v>
      </c>
      <c r="AK1304" s="352">
        <f>IF(NFI_Expiration=1,IF($A1304&lt;VLOOKUP(T$5,NFI,5,0),1,0)*Table_NFI[[#This Row],[Winter Items Other]],Table_NFI[Winter Items Other])</f>
        <v>0</v>
      </c>
      <c r="AL1304" s="352">
        <f>IF(NFI_Expiration=1,IF($A1304&lt;VLOOKUP(M$5,NFI,5,0),1,0)*Table_NFI[[#This Row],[Winter Blanket]],Table_NFI[[#This Row],[Winter Blanket]])</f>
        <v>0</v>
      </c>
      <c r="AM1304" s="352">
        <f>IF(Table_NFI[[#This Row],[Winter Clothes Adult]]+Table_NFI[[#This Row],[Winter Clothes Children]]+Table_NFI[[#This Row],[Winter Items Other]]+Table_NFI[[#This Row],[Winter Blanket]]&gt;0,1,0)</f>
        <v>0</v>
      </c>
      <c r="AN1304" s="392">
        <f>IF(NFI_Expiration=1,IF($A1304&lt;VLOOKUP(V$5,NFI,5,0),1,0)*Table_NFI[[#This Row],[Jerry Can]],Table_NFI[Jerry Can])</f>
        <v>0</v>
      </c>
      <c r="AO1304" s="540" t="str">
        <f>IFERROR(VLOOKUP(Table_NFI[[#This Row],[Camp Name]],CL,2,0),"")</f>
        <v/>
      </c>
      <c r="AP1304" s="535" t="str">
        <f ca="1">IF(Table_NFI[[#This Row],[Pcode]]="","",IF(OFFSET(CampList[Opening Date],MATCH(Table_NFI[[#This Row],[Pcode]],CampList[CP_Pcode],0)-1,0,1,1)&gt;=NFI_Monitor_Date,1,0))</f>
        <v/>
      </c>
      <c r="AQ1304" s="540" t="str">
        <f>IFERROR(VLOOKUP(Table_NFI[[#This Row],[Camp Name]],CL,3,0),"")</f>
        <v/>
      </c>
      <c r="AR1304" s="352" t="str">
        <f ca="1">IF(Table_NFI[[#This Row],[Pcode]]="","",OFFSET(CampList[Priority],MATCH(Table_NFI[[#This Row],[Pcode]],CampList[CP_Pcode],0)-1,0,1,1))</f>
        <v/>
      </c>
      <c r="AS1304" s="351" t="str">
        <f>IFERROR(Table_NFI[[#This Row],[Kitchen Set]]/VLOOKUP(Table_NFI[[#This Row],[Camp Name]],CL,4,0),"")</f>
        <v/>
      </c>
      <c r="AT1304" s="538"/>
      <c r="AU1304" s="541"/>
    </row>
    <row r="1305" spans="1:47" ht="14.45" hidden="1" customHeight="1" x14ac:dyDescent="0.25">
      <c r="A1305" s="355" t="str">
        <f t="shared" si="21"/>
        <v/>
      </c>
      <c r="B1305" s="532"/>
      <c r="C1305" s="538"/>
      <c r="D1305" s="538"/>
      <c r="E1305" s="538"/>
      <c r="F1305" s="538"/>
      <c r="G1305" s="538"/>
      <c r="H1305" s="350"/>
      <c r="I1305" s="350"/>
      <c r="J1305" s="350"/>
      <c r="K1305" s="350"/>
      <c r="L1305" s="350"/>
      <c r="M1305" s="350"/>
      <c r="N1305" s="350"/>
      <c r="O1305" s="350"/>
      <c r="P1305" s="352"/>
      <c r="Q1305" s="558"/>
      <c r="R1305" s="558"/>
      <c r="S1305" s="558"/>
      <c r="T1305" s="558"/>
      <c r="U1305" s="558"/>
      <c r="V1305" s="497"/>
      <c r="W1305" s="558"/>
      <c r="X1305" s="558"/>
      <c r="Y1305" s="352">
        <f>IF(NFI_Expiration=1,IF($A1305&lt;VLOOKUP(H$5,NFI,5,0),1,0)*Table_NFI[[#This Row],[Hygiene Kit]],Table_NFI[Hygiene Kit])</f>
        <v>0</v>
      </c>
      <c r="Z1305" s="352">
        <f>IF(NFI_Expiration=1,IF($A1305&lt;VLOOKUP(I$5,NFI,5,0),1,0)*Table_NFI[[#This Row],[NFI Core Kit]],Table_NFI[NFI Core Kit])</f>
        <v>0</v>
      </c>
      <c r="AA1305" s="352">
        <f>IF(NFI_Expiration=1,IF($A1305&lt;VLOOKUP(J$5,NFI,5,0),1,0)*Table_NFI[[#This Row],[Sanitary Kit]],Table_NFI[Sanitary Kit])</f>
        <v>0</v>
      </c>
      <c r="AB1305" s="352">
        <f>IF(NFI_Expiration=1,IF($A1305&lt;VLOOKUP(K$5,NFI,5,0),1,0)*Table_NFI[[#This Row],[Mosquito net]],Table_NFI[Mosquito net])</f>
        <v>0</v>
      </c>
      <c r="AC1305" s="352">
        <f>IF(NFI_Expiration=1,IF($A1305&lt;VLOOKUP(L$5,NFI,5,0),1,0)*Table_NFI[[#This Row],[Tarpaulin]],Table_NFI[[#This Row],[Tarpaulin]])</f>
        <v>0</v>
      </c>
      <c r="AD1305" s="352">
        <f>IF(NFI_Expiration=1,IF($A1305&lt;VLOOKUP(M$5,NFI,5,0),1,0)*Table_NFI[[#This Row],[Blanket]],Table_NFI[[#This Row],[Blanket]])</f>
        <v>0</v>
      </c>
      <c r="AE1305" s="352">
        <f>IF(NFI_Expiration=1,IF($A1305&lt;VLOOKUP(N$5,NFI,5,0),1,0)*Table_NFI[[#This Row],[Kitchen Set]],Table_NFI[Kitchen Set])</f>
        <v>0</v>
      </c>
      <c r="AF1305" s="352">
        <f>IF(NFI_Expiration=1,IF($A1305&lt;VLOOKUP(O$5,NFI,5,0),1,0)*Table_NFI[[#This Row],[Clothes Kit]],Table_NFI[Clothes Kit])</f>
        <v>0</v>
      </c>
      <c r="AG1305" s="352">
        <f>IF(NFI_Expiration=1,IF($A1305&lt;VLOOKUP(P$5,NFI,5,0),1,0)*Table_NFI[[#This Row],[Plastic Bucket]],Table_NFI[Plastic Bucket])</f>
        <v>0</v>
      </c>
      <c r="AH1305" s="352">
        <f>IF(NFI_Expiration=1,IF($A1305&lt;VLOOKUP(Q$5,NFI,5,0),1,0)*Table_NFI[[#This Row],[Plastic Mat]],Table_NFI[Plastic Mat])*IF(Table_NFI[[#This Row],[Distribution Date]]&gt;"2014-04-01",1,2.5)</f>
        <v>0</v>
      </c>
      <c r="AI1305" s="352">
        <f>IF(NFI_Expiration=1,IF($A1305&lt;VLOOKUP(R$5,NFI,5,0),1,0)*Table_NFI[[#This Row],[Winter Clothes Adult]],Table_NFI[Winter Clothes Adult])</f>
        <v>0</v>
      </c>
      <c r="AJ1305" s="352">
        <f>IF(NFI_Expiration=1,IF($A1305&lt;VLOOKUP(S$5,NFI,5,0),1,0)*Table_NFI[[#This Row],[Winter Clothes Children]],Table_NFI[Winter Clothes Children])</f>
        <v>0</v>
      </c>
      <c r="AK1305" s="352">
        <f>IF(NFI_Expiration=1,IF($A1305&lt;VLOOKUP(T$5,NFI,5,0),1,0)*Table_NFI[[#This Row],[Winter Items Other]],Table_NFI[Winter Items Other])</f>
        <v>0</v>
      </c>
      <c r="AL1305" s="352">
        <f>IF(NFI_Expiration=1,IF($A1305&lt;VLOOKUP(M$5,NFI,5,0),1,0)*Table_NFI[[#This Row],[Winter Blanket]],Table_NFI[[#This Row],[Winter Blanket]])</f>
        <v>0</v>
      </c>
      <c r="AM1305" s="352">
        <f>IF(Table_NFI[[#This Row],[Winter Clothes Adult]]+Table_NFI[[#This Row],[Winter Clothes Children]]+Table_NFI[[#This Row],[Winter Items Other]]+Table_NFI[[#This Row],[Winter Blanket]]&gt;0,1,0)</f>
        <v>0</v>
      </c>
      <c r="AN1305" s="392">
        <f>IF(NFI_Expiration=1,IF($A1305&lt;VLOOKUP(V$5,NFI,5,0),1,0)*Table_NFI[[#This Row],[Jerry Can]],Table_NFI[Jerry Can])</f>
        <v>0</v>
      </c>
      <c r="AO1305" s="540" t="str">
        <f>IFERROR(VLOOKUP(Table_NFI[[#This Row],[Camp Name]],CL,2,0),"")</f>
        <v/>
      </c>
      <c r="AP1305" s="535" t="str">
        <f ca="1">IF(Table_NFI[[#This Row],[Pcode]]="","",IF(OFFSET(CampList[Opening Date],MATCH(Table_NFI[[#This Row],[Pcode]],CampList[CP_Pcode],0)-1,0,1,1)&gt;=NFI_Monitor_Date,1,0))</f>
        <v/>
      </c>
      <c r="AQ1305" s="540" t="str">
        <f>IFERROR(VLOOKUP(Table_NFI[[#This Row],[Camp Name]],CL,3,0),"")</f>
        <v/>
      </c>
      <c r="AR1305" s="352" t="str">
        <f ca="1">IF(Table_NFI[[#This Row],[Pcode]]="","",OFFSET(CampList[Priority],MATCH(Table_NFI[[#This Row],[Pcode]],CampList[CP_Pcode],0)-1,0,1,1))</f>
        <v/>
      </c>
      <c r="AS1305" s="351" t="str">
        <f>IFERROR(Table_NFI[[#This Row],[Kitchen Set]]/VLOOKUP(Table_NFI[[#This Row],[Camp Name]],CL,4,0),"")</f>
        <v/>
      </c>
      <c r="AT1305" s="538"/>
      <c r="AU1305" s="541"/>
    </row>
    <row r="1306" spans="1:47" ht="14.45" hidden="1" customHeight="1" x14ac:dyDescent="0.25">
      <c r="A1306" s="355" t="str">
        <f t="shared" si="21"/>
        <v/>
      </c>
      <c r="B1306" s="532"/>
      <c r="C1306" s="538"/>
      <c r="D1306" s="538"/>
      <c r="E1306" s="538"/>
      <c r="F1306" s="538"/>
      <c r="G1306" s="538"/>
      <c r="H1306" s="350"/>
      <c r="I1306" s="350"/>
      <c r="J1306" s="350"/>
      <c r="K1306" s="350"/>
      <c r="L1306" s="350"/>
      <c r="M1306" s="350"/>
      <c r="N1306" s="350"/>
      <c r="O1306" s="350"/>
      <c r="P1306" s="352"/>
      <c r="Q1306" s="558"/>
      <c r="R1306" s="558"/>
      <c r="S1306" s="558"/>
      <c r="T1306" s="558"/>
      <c r="U1306" s="558"/>
      <c r="V1306" s="497"/>
      <c r="W1306" s="558"/>
      <c r="X1306" s="558"/>
      <c r="Y1306" s="352">
        <f>IF(NFI_Expiration=1,IF($A1306&lt;VLOOKUP(H$5,NFI,5,0),1,0)*Table_NFI[[#This Row],[Hygiene Kit]],Table_NFI[Hygiene Kit])</f>
        <v>0</v>
      </c>
      <c r="Z1306" s="352">
        <f>IF(NFI_Expiration=1,IF($A1306&lt;VLOOKUP(I$5,NFI,5,0),1,0)*Table_NFI[[#This Row],[NFI Core Kit]],Table_NFI[NFI Core Kit])</f>
        <v>0</v>
      </c>
      <c r="AA1306" s="352">
        <f>IF(NFI_Expiration=1,IF($A1306&lt;VLOOKUP(J$5,NFI,5,0),1,0)*Table_NFI[[#This Row],[Sanitary Kit]],Table_NFI[Sanitary Kit])</f>
        <v>0</v>
      </c>
      <c r="AB1306" s="352">
        <f>IF(NFI_Expiration=1,IF($A1306&lt;VLOOKUP(K$5,NFI,5,0),1,0)*Table_NFI[[#This Row],[Mosquito net]],Table_NFI[Mosquito net])</f>
        <v>0</v>
      </c>
      <c r="AC1306" s="352">
        <f>IF(NFI_Expiration=1,IF($A1306&lt;VLOOKUP(L$5,NFI,5,0),1,0)*Table_NFI[[#This Row],[Tarpaulin]],Table_NFI[[#This Row],[Tarpaulin]])</f>
        <v>0</v>
      </c>
      <c r="AD1306" s="352">
        <f>IF(NFI_Expiration=1,IF($A1306&lt;VLOOKUP(M$5,NFI,5,0),1,0)*Table_NFI[[#This Row],[Blanket]],Table_NFI[[#This Row],[Blanket]])</f>
        <v>0</v>
      </c>
      <c r="AE1306" s="352">
        <f>IF(NFI_Expiration=1,IF($A1306&lt;VLOOKUP(N$5,NFI,5,0),1,0)*Table_NFI[[#This Row],[Kitchen Set]],Table_NFI[Kitchen Set])</f>
        <v>0</v>
      </c>
      <c r="AF1306" s="352">
        <f>IF(NFI_Expiration=1,IF($A1306&lt;VLOOKUP(O$5,NFI,5,0),1,0)*Table_NFI[[#This Row],[Clothes Kit]],Table_NFI[Clothes Kit])</f>
        <v>0</v>
      </c>
      <c r="AG1306" s="352">
        <f>IF(NFI_Expiration=1,IF($A1306&lt;VLOOKUP(P$5,NFI,5,0),1,0)*Table_NFI[[#This Row],[Plastic Bucket]],Table_NFI[Plastic Bucket])</f>
        <v>0</v>
      </c>
      <c r="AH1306" s="352">
        <f>IF(NFI_Expiration=1,IF($A1306&lt;VLOOKUP(Q$5,NFI,5,0),1,0)*Table_NFI[[#This Row],[Plastic Mat]],Table_NFI[Plastic Mat])*IF(Table_NFI[[#This Row],[Distribution Date]]&gt;"2014-04-01",1,2.5)</f>
        <v>0</v>
      </c>
      <c r="AI1306" s="352">
        <f>IF(NFI_Expiration=1,IF($A1306&lt;VLOOKUP(R$5,NFI,5,0),1,0)*Table_NFI[[#This Row],[Winter Clothes Adult]],Table_NFI[Winter Clothes Adult])</f>
        <v>0</v>
      </c>
      <c r="AJ1306" s="352">
        <f>IF(NFI_Expiration=1,IF($A1306&lt;VLOOKUP(S$5,NFI,5,0),1,0)*Table_NFI[[#This Row],[Winter Clothes Children]],Table_NFI[Winter Clothes Children])</f>
        <v>0</v>
      </c>
      <c r="AK1306" s="352">
        <f>IF(NFI_Expiration=1,IF($A1306&lt;VLOOKUP(T$5,NFI,5,0),1,0)*Table_NFI[[#This Row],[Winter Items Other]],Table_NFI[Winter Items Other])</f>
        <v>0</v>
      </c>
      <c r="AL1306" s="352">
        <f>IF(NFI_Expiration=1,IF($A1306&lt;VLOOKUP(M$5,NFI,5,0),1,0)*Table_NFI[[#This Row],[Winter Blanket]],Table_NFI[[#This Row],[Winter Blanket]])</f>
        <v>0</v>
      </c>
      <c r="AM1306" s="352">
        <f>IF(Table_NFI[[#This Row],[Winter Clothes Adult]]+Table_NFI[[#This Row],[Winter Clothes Children]]+Table_NFI[[#This Row],[Winter Items Other]]+Table_NFI[[#This Row],[Winter Blanket]]&gt;0,1,0)</f>
        <v>0</v>
      </c>
      <c r="AN1306" s="392">
        <f>IF(NFI_Expiration=1,IF($A1306&lt;VLOOKUP(V$5,NFI,5,0),1,0)*Table_NFI[[#This Row],[Jerry Can]],Table_NFI[Jerry Can])</f>
        <v>0</v>
      </c>
      <c r="AO1306" s="540" t="str">
        <f>IFERROR(VLOOKUP(Table_NFI[[#This Row],[Camp Name]],CL,2,0),"")</f>
        <v/>
      </c>
      <c r="AP1306" s="535" t="str">
        <f ca="1">IF(Table_NFI[[#This Row],[Pcode]]="","",IF(OFFSET(CampList[Opening Date],MATCH(Table_NFI[[#This Row],[Pcode]],CampList[CP_Pcode],0)-1,0,1,1)&gt;=NFI_Monitor_Date,1,0))</f>
        <v/>
      </c>
      <c r="AQ1306" s="540" t="str">
        <f>IFERROR(VLOOKUP(Table_NFI[[#This Row],[Camp Name]],CL,3,0),"")</f>
        <v/>
      </c>
      <c r="AR1306" s="352" t="str">
        <f ca="1">IF(Table_NFI[[#This Row],[Pcode]]="","",OFFSET(CampList[Priority],MATCH(Table_NFI[[#This Row],[Pcode]],CampList[CP_Pcode],0)-1,0,1,1))</f>
        <v/>
      </c>
      <c r="AS1306" s="351" t="str">
        <f>IFERROR(Table_NFI[[#This Row],[Kitchen Set]]/VLOOKUP(Table_NFI[[#This Row],[Camp Name]],CL,4,0),"")</f>
        <v/>
      </c>
      <c r="AT1306" s="538"/>
      <c r="AU1306" s="541"/>
    </row>
    <row r="1307" spans="1:47" ht="14.45" hidden="1" customHeight="1" x14ac:dyDescent="0.25">
      <c r="A1307" s="355" t="str">
        <f t="shared" si="21"/>
        <v/>
      </c>
      <c r="B1307" s="532"/>
      <c r="C1307" s="538"/>
      <c r="D1307" s="538"/>
      <c r="E1307" s="538"/>
      <c r="F1307" s="538"/>
      <c r="G1307" s="538"/>
      <c r="H1307" s="350"/>
      <c r="I1307" s="350"/>
      <c r="J1307" s="350"/>
      <c r="K1307" s="350"/>
      <c r="L1307" s="350"/>
      <c r="M1307" s="350"/>
      <c r="N1307" s="350"/>
      <c r="O1307" s="350"/>
      <c r="P1307" s="352"/>
      <c r="Q1307" s="558"/>
      <c r="R1307" s="558"/>
      <c r="S1307" s="558"/>
      <c r="T1307" s="558"/>
      <c r="U1307" s="558"/>
      <c r="V1307" s="497"/>
      <c r="W1307" s="558"/>
      <c r="X1307" s="558"/>
      <c r="Y1307" s="352">
        <f>IF(NFI_Expiration=1,IF($A1307&lt;VLOOKUP(H$5,NFI,5,0),1,0)*Table_NFI[[#This Row],[Hygiene Kit]],Table_NFI[Hygiene Kit])</f>
        <v>0</v>
      </c>
      <c r="Z1307" s="352">
        <f>IF(NFI_Expiration=1,IF($A1307&lt;VLOOKUP(I$5,NFI,5,0),1,0)*Table_NFI[[#This Row],[NFI Core Kit]],Table_NFI[NFI Core Kit])</f>
        <v>0</v>
      </c>
      <c r="AA1307" s="352">
        <f>IF(NFI_Expiration=1,IF($A1307&lt;VLOOKUP(J$5,NFI,5,0),1,0)*Table_NFI[[#This Row],[Sanitary Kit]],Table_NFI[Sanitary Kit])</f>
        <v>0</v>
      </c>
      <c r="AB1307" s="352">
        <f>IF(NFI_Expiration=1,IF($A1307&lt;VLOOKUP(K$5,NFI,5,0),1,0)*Table_NFI[[#This Row],[Mosquito net]],Table_NFI[Mosquito net])</f>
        <v>0</v>
      </c>
      <c r="AC1307" s="352">
        <f>IF(NFI_Expiration=1,IF($A1307&lt;VLOOKUP(L$5,NFI,5,0),1,0)*Table_NFI[[#This Row],[Tarpaulin]],Table_NFI[[#This Row],[Tarpaulin]])</f>
        <v>0</v>
      </c>
      <c r="AD1307" s="352">
        <f>IF(NFI_Expiration=1,IF($A1307&lt;VLOOKUP(M$5,NFI,5,0),1,0)*Table_NFI[[#This Row],[Blanket]],Table_NFI[[#This Row],[Blanket]])</f>
        <v>0</v>
      </c>
      <c r="AE1307" s="352">
        <f>IF(NFI_Expiration=1,IF($A1307&lt;VLOOKUP(N$5,NFI,5,0),1,0)*Table_NFI[[#This Row],[Kitchen Set]],Table_NFI[Kitchen Set])</f>
        <v>0</v>
      </c>
      <c r="AF1307" s="352">
        <f>IF(NFI_Expiration=1,IF($A1307&lt;VLOOKUP(O$5,NFI,5,0),1,0)*Table_NFI[[#This Row],[Clothes Kit]],Table_NFI[Clothes Kit])</f>
        <v>0</v>
      </c>
      <c r="AG1307" s="352">
        <f>IF(NFI_Expiration=1,IF($A1307&lt;VLOOKUP(P$5,NFI,5,0),1,0)*Table_NFI[[#This Row],[Plastic Bucket]],Table_NFI[Plastic Bucket])</f>
        <v>0</v>
      </c>
      <c r="AH1307" s="352">
        <f>IF(NFI_Expiration=1,IF($A1307&lt;VLOOKUP(Q$5,NFI,5,0),1,0)*Table_NFI[[#This Row],[Plastic Mat]],Table_NFI[Plastic Mat])*IF(Table_NFI[[#This Row],[Distribution Date]]&gt;"2014-04-01",1,2.5)</f>
        <v>0</v>
      </c>
      <c r="AI1307" s="352">
        <f>IF(NFI_Expiration=1,IF($A1307&lt;VLOOKUP(R$5,NFI,5,0),1,0)*Table_NFI[[#This Row],[Winter Clothes Adult]],Table_NFI[Winter Clothes Adult])</f>
        <v>0</v>
      </c>
      <c r="AJ1307" s="352">
        <f>IF(NFI_Expiration=1,IF($A1307&lt;VLOOKUP(S$5,NFI,5,0),1,0)*Table_NFI[[#This Row],[Winter Clothes Children]],Table_NFI[Winter Clothes Children])</f>
        <v>0</v>
      </c>
      <c r="AK1307" s="352">
        <f>IF(NFI_Expiration=1,IF($A1307&lt;VLOOKUP(T$5,NFI,5,0),1,0)*Table_NFI[[#This Row],[Winter Items Other]],Table_NFI[Winter Items Other])</f>
        <v>0</v>
      </c>
      <c r="AL1307" s="352">
        <f>IF(NFI_Expiration=1,IF($A1307&lt;VLOOKUP(M$5,NFI,5,0),1,0)*Table_NFI[[#This Row],[Winter Blanket]],Table_NFI[[#This Row],[Winter Blanket]])</f>
        <v>0</v>
      </c>
      <c r="AM1307" s="352">
        <f>IF(Table_NFI[[#This Row],[Winter Clothes Adult]]+Table_NFI[[#This Row],[Winter Clothes Children]]+Table_NFI[[#This Row],[Winter Items Other]]+Table_NFI[[#This Row],[Winter Blanket]]&gt;0,1,0)</f>
        <v>0</v>
      </c>
      <c r="AN1307" s="392">
        <f>IF(NFI_Expiration=1,IF($A1307&lt;VLOOKUP(V$5,NFI,5,0),1,0)*Table_NFI[[#This Row],[Jerry Can]],Table_NFI[Jerry Can])</f>
        <v>0</v>
      </c>
      <c r="AO1307" s="540" t="str">
        <f>IFERROR(VLOOKUP(Table_NFI[[#This Row],[Camp Name]],CL,2,0),"")</f>
        <v/>
      </c>
      <c r="AP1307" s="535" t="str">
        <f ca="1">IF(Table_NFI[[#This Row],[Pcode]]="","",IF(OFFSET(CampList[Opening Date],MATCH(Table_NFI[[#This Row],[Pcode]],CampList[CP_Pcode],0)-1,0,1,1)&gt;=NFI_Monitor_Date,1,0))</f>
        <v/>
      </c>
      <c r="AQ1307" s="540" t="str">
        <f>IFERROR(VLOOKUP(Table_NFI[[#This Row],[Camp Name]],CL,3,0),"")</f>
        <v/>
      </c>
      <c r="AR1307" s="352" t="str">
        <f ca="1">IF(Table_NFI[[#This Row],[Pcode]]="","",OFFSET(CampList[Priority],MATCH(Table_NFI[[#This Row],[Pcode]],CampList[CP_Pcode],0)-1,0,1,1))</f>
        <v/>
      </c>
      <c r="AS1307" s="351" t="str">
        <f>IFERROR(Table_NFI[[#This Row],[Kitchen Set]]/VLOOKUP(Table_NFI[[#This Row],[Camp Name]],CL,4,0),"")</f>
        <v/>
      </c>
      <c r="AT1307" s="538"/>
      <c r="AU1307" s="541"/>
    </row>
    <row r="1308" spans="1:47" ht="14.45" hidden="1" customHeight="1" x14ac:dyDescent="0.25">
      <c r="A1308" s="355" t="str">
        <f t="shared" si="21"/>
        <v/>
      </c>
      <c r="B1308" s="532"/>
      <c r="C1308" s="538"/>
      <c r="D1308" s="538"/>
      <c r="E1308" s="538"/>
      <c r="F1308" s="538"/>
      <c r="G1308" s="538"/>
      <c r="H1308" s="350"/>
      <c r="I1308" s="350"/>
      <c r="J1308" s="350"/>
      <c r="K1308" s="350"/>
      <c r="L1308" s="350"/>
      <c r="M1308" s="350"/>
      <c r="N1308" s="350"/>
      <c r="O1308" s="350"/>
      <c r="P1308" s="352"/>
      <c r="Q1308" s="558"/>
      <c r="R1308" s="558"/>
      <c r="S1308" s="558"/>
      <c r="T1308" s="558"/>
      <c r="U1308" s="558"/>
      <c r="V1308" s="497"/>
      <c r="W1308" s="558"/>
      <c r="X1308" s="558"/>
      <c r="Y1308" s="352">
        <f>IF(NFI_Expiration=1,IF($A1308&lt;VLOOKUP(H$5,NFI,5,0),1,0)*Table_NFI[[#This Row],[Hygiene Kit]],Table_NFI[Hygiene Kit])</f>
        <v>0</v>
      </c>
      <c r="Z1308" s="352">
        <f>IF(NFI_Expiration=1,IF($A1308&lt;VLOOKUP(I$5,NFI,5,0),1,0)*Table_NFI[[#This Row],[NFI Core Kit]],Table_NFI[NFI Core Kit])</f>
        <v>0</v>
      </c>
      <c r="AA1308" s="352">
        <f>IF(NFI_Expiration=1,IF($A1308&lt;VLOOKUP(J$5,NFI,5,0),1,0)*Table_NFI[[#This Row],[Sanitary Kit]],Table_NFI[Sanitary Kit])</f>
        <v>0</v>
      </c>
      <c r="AB1308" s="352">
        <f>IF(NFI_Expiration=1,IF($A1308&lt;VLOOKUP(K$5,NFI,5,0),1,0)*Table_NFI[[#This Row],[Mosquito net]],Table_NFI[Mosquito net])</f>
        <v>0</v>
      </c>
      <c r="AC1308" s="352">
        <f>IF(NFI_Expiration=1,IF($A1308&lt;VLOOKUP(L$5,NFI,5,0),1,0)*Table_NFI[[#This Row],[Tarpaulin]],Table_NFI[[#This Row],[Tarpaulin]])</f>
        <v>0</v>
      </c>
      <c r="AD1308" s="352">
        <f>IF(NFI_Expiration=1,IF($A1308&lt;VLOOKUP(M$5,NFI,5,0),1,0)*Table_NFI[[#This Row],[Blanket]],Table_NFI[[#This Row],[Blanket]])</f>
        <v>0</v>
      </c>
      <c r="AE1308" s="352">
        <f>IF(NFI_Expiration=1,IF($A1308&lt;VLOOKUP(N$5,NFI,5,0),1,0)*Table_NFI[[#This Row],[Kitchen Set]],Table_NFI[Kitchen Set])</f>
        <v>0</v>
      </c>
      <c r="AF1308" s="352">
        <f>IF(NFI_Expiration=1,IF($A1308&lt;VLOOKUP(O$5,NFI,5,0),1,0)*Table_NFI[[#This Row],[Clothes Kit]],Table_NFI[Clothes Kit])</f>
        <v>0</v>
      </c>
      <c r="AG1308" s="352">
        <f>IF(NFI_Expiration=1,IF($A1308&lt;VLOOKUP(P$5,NFI,5,0),1,0)*Table_NFI[[#This Row],[Plastic Bucket]],Table_NFI[Plastic Bucket])</f>
        <v>0</v>
      </c>
      <c r="AH1308" s="352">
        <f>IF(NFI_Expiration=1,IF($A1308&lt;VLOOKUP(Q$5,NFI,5,0),1,0)*Table_NFI[[#This Row],[Plastic Mat]],Table_NFI[Plastic Mat])*IF(Table_NFI[[#This Row],[Distribution Date]]&gt;"2014-04-01",1,2.5)</f>
        <v>0</v>
      </c>
      <c r="AI1308" s="352">
        <f>IF(NFI_Expiration=1,IF($A1308&lt;VLOOKUP(R$5,NFI,5,0),1,0)*Table_NFI[[#This Row],[Winter Clothes Adult]],Table_NFI[Winter Clothes Adult])</f>
        <v>0</v>
      </c>
      <c r="AJ1308" s="352">
        <f>IF(NFI_Expiration=1,IF($A1308&lt;VLOOKUP(S$5,NFI,5,0),1,0)*Table_NFI[[#This Row],[Winter Clothes Children]],Table_NFI[Winter Clothes Children])</f>
        <v>0</v>
      </c>
      <c r="AK1308" s="352">
        <f>IF(NFI_Expiration=1,IF($A1308&lt;VLOOKUP(T$5,NFI,5,0),1,0)*Table_NFI[[#This Row],[Winter Items Other]],Table_NFI[Winter Items Other])</f>
        <v>0</v>
      </c>
      <c r="AL1308" s="352">
        <f>IF(NFI_Expiration=1,IF($A1308&lt;VLOOKUP(M$5,NFI,5,0),1,0)*Table_NFI[[#This Row],[Winter Blanket]],Table_NFI[[#This Row],[Winter Blanket]])</f>
        <v>0</v>
      </c>
      <c r="AM1308" s="352">
        <f>IF(Table_NFI[[#This Row],[Winter Clothes Adult]]+Table_NFI[[#This Row],[Winter Clothes Children]]+Table_NFI[[#This Row],[Winter Items Other]]+Table_NFI[[#This Row],[Winter Blanket]]&gt;0,1,0)</f>
        <v>0</v>
      </c>
      <c r="AN1308" s="392">
        <f>IF(NFI_Expiration=1,IF($A1308&lt;VLOOKUP(V$5,NFI,5,0),1,0)*Table_NFI[[#This Row],[Jerry Can]],Table_NFI[Jerry Can])</f>
        <v>0</v>
      </c>
      <c r="AO1308" s="540" t="str">
        <f>IFERROR(VLOOKUP(Table_NFI[[#This Row],[Camp Name]],CL,2,0),"")</f>
        <v/>
      </c>
      <c r="AP1308" s="535" t="str">
        <f ca="1">IF(Table_NFI[[#This Row],[Pcode]]="","",IF(OFFSET(CampList[Opening Date],MATCH(Table_NFI[[#This Row],[Pcode]],CampList[CP_Pcode],0)-1,0,1,1)&gt;=NFI_Monitor_Date,1,0))</f>
        <v/>
      </c>
      <c r="AQ1308" s="540" t="str">
        <f>IFERROR(VLOOKUP(Table_NFI[[#This Row],[Camp Name]],CL,3,0),"")</f>
        <v/>
      </c>
      <c r="AR1308" s="352" t="str">
        <f ca="1">IF(Table_NFI[[#This Row],[Pcode]]="","",OFFSET(CampList[Priority],MATCH(Table_NFI[[#This Row],[Pcode]],CampList[CP_Pcode],0)-1,0,1,1))</f>
        <v/>
      </c>
      <c r="AS1308" s="351" t="str">
        <f>IFERROR(Table_NFI[[#This Row],[Kitchen Set]]/VLOOKUP(Table_NFI[[#This Row],[Camp Name]],CL,4,0),"")</f>
        <v/>
      </c>
      <c r="AT1308" s="538"/>
      <c r="AU1308" s="541"/>
    </row>
    <row r="1309" spans="1:47" ht="14.45" hidden="1" customHeight="1" x14ac:dyDescent="0.25">
      <c r="A1309" s="355" t="str">
        <f t="shared" si="21"/>
        <v/>
      </c>
      <c r="B1309" s="532"/>
      <c r="C1309" s="538"/>
      <c r="D1309" s="538"/>
      <c r="E1309" s="538"/>
      <c r="F1309" s="538"/>
      <c r="G1309" s="538"/>
      <c r="H1309" s="350"/>
      <c r="I1309" s="350"/>
      <c r="J1309" s="350"/>
      <c r="K1309" s="350"/>
      <c r="L1309" s="350"/>
      <c r="M1309" s="350"/>
      <c r="N1309" s="350"/>
      <c r="O1309" s="350"/>
      <c r="P1309" s="352"/>
      <c r="Q1309" s="558"/>
      <c r="R1309" s="558"/>
      <c r="S1309" s="558"/>
      <c r="T1309" s="558"/>
      <c r="U1309" s="558"/>
      <c r="V1309" s="497"/>
      <c r="W1309" s="558"/>
      <c r="X1309" s="558"/>
      <c r="Y1309" s="352">
        <f>IF(NFI_Expiration=1,IF($A1309&lt;VLOOKUP(H$5,NFI,5,0),1,0)*Table_NFI[[#This Row],[Hygiene Kit]],Table_NFI[Hygiene Kit])</f>
        <v>0</v>
      </c>
      <c r="Z1309" s="352">
        <f>IF(NFI_Expiration=1,IF($A1309&lt;VLOOKUP(I$5,NFI,5,0),1,0)*Table_NFI[[#This Row],[NFI Core Kit]],Table_NFI[NFI Core Kit])</f>
        <v>0</v>
      </c>
      <c r="AA1309" s="352">
        <f>IF(NFI_Expiration=1,IF($A1309&lt;VLOOKUP(J$5,NFI,5,0),1,0)*Table_NFI[[#This Row],[Sanitary Kit]],Table_NFI[Sanitary Kit])</f>
        <v>0</v>
      </c>
      <c r="AB1309" s="352">
        <f>IF(NFI_Expiration=1,IF($A1309&lt;VLOOKUP(K$5,NFI,5,0),1,0)*Table_NFI[[#This Row],[Mosquito net]],Table_NFI[Mosquito net])</f>
        <v>0</v>
      </c>
      <c r="AC1309" s="352">
        <f>IF(NFI_Expiration=1,IF($A1309&lt;VLOOKUP(L$5,NFI,5,0),1,0)*Table_NFI[[#This Row],[Tarpaulin]],Table_NFI[[#This Row],[Tarpaulin]])</f>
        <v>0</v>
      </c>
      <c r="AD1309" s="352">
        <f>IF(NFI_Expiration=1,IF($A1309&lt;VLOOKUP(M$5,NFI,5,0),1,0)*Table_NFI[[#This Row],[Blanket]],Table_NFI[[#This Row],[Blanket]])</f>
        <v>0</v>
      </c>
      <c r="AE1309" s="352">
        <f>IF(NFI_Expiration=1,IF($A1309&lt;VLOOKUP(N$5,NFI,5,0),1,0)*Table_NFI[[#This Row],[Kitchen Set]],Table_NFI[Kitchen Set])</f>
        <v>0</v>
      </c>
      <c r="AF1309" s="352">
        <f>IF(NFI_Expiration=1,IF($A1309&lt;VLOOKUP(O$5,NFI,5,0),1,0)*Table_NFI[[#This Row],[Clothes Kit]],Table_NFI[Clothes Kit])</f>
        <v>0</v>
      </c>
      <c r="AG1309" s="352">
        <f>IF(NFI_Expiration=1,IF($A1309&lt;VLOOKUP(P$5,NFI,5,0),1,0)*Table_NFI[[#This Row],[Plastic Bucket]],Table_NFI[Plastic Bucket])</f>
        <v>0</v>
      </c>
      <c r="AH1309" s="352">
        <f>IF(NFI_Expiration=1,IF($A1309&lt;VLOOKUP(Q$5,NFI,5,0),1,0)*Table_NFI[[#This Row],[Plastic Mat]],Table_NFI[Plastic Mat])*IF(Table_NFI[[#This Row],[Distribution Date]]&gt;"2014-04-01",1,2.5)</f>
        <v>0</v>
      </c>
      <c r="AI1309" s="352">
        <f>IF(NFI_Expiration=1,IF($A1309&lt;VLOOKUP(R$5,NFI,5,0),1,0)*Table_NFI[[#This Row],[Winter Clothes Adult]],Table_NFI[Winter Clothes Adult])</f>
        <v>0</v>
      </c>
      <c r="AJ1309" s="352">
        <f>IF(NFI_Expiration=1,IF($A1309&lt;VLOOKUP(S$5,NFI,5,0),1,0)*Table_NFI[[#This Row],[Winter Clothes Children]],Table_NFI[Winter Clothes Children])</f>
        <v>0</v>
      </c>
      <c r="AK1309" s="352">
        <f>IF(NFI_Expiration=1,IF($A1309&lt;VLOOKUP(T$5,NFI,5,0),1,0)*Table_NFI[[#This Row],[Winter Items Other]],Table_NFI[Winter Items Other])</f>
        <v>0</v>
      </c>
      <c r="AL1309" s="352">
        <f>IF(NFI_Expiration=1,IF($A1309&lt;VLOOKUP(M$5,NFI,5,0),1,0)*Table_NFI[[#This Row],[Winter Blanket]],Table_NFI[[#This Row],[Winter Blanket]])</f>
        <v>0</v>
      </c>
      <c r="AM1309" s="352">
        <f>IF(Table_NFI[[#This Row],[Winter Clothes Adult]]+Table_NFI[[#This Row],[Winter Clothes Children]]+Table_NFI[[#This Row],[Winter Items Other]]+Table_NFI[[#This Row],[Winter Blanket]]&gt;0,1,0)</f>
        <v>0</v>
      </c>
      <c r="AN1309" s="392">
        <f>IF(NFI_Expiration=1,IF($A1309&lt;VLOOKUP(V$5,NFI,5,0),1,0)*Table_NFI[[#This Row],[Jerry Can]],Table_NFI[Jerry Can])</f>
        <v>0</v>
      </c>
      <c r="AO1309" s="540" t="str">
        <f>IFERROR(VLOOKUP(Table_NFI[[#This Row],[Camp Name]],CL,2,0),"")</f>
        <v/>
      </c>
      <c r="AP1309" s="535" t="str">
        <f ca="1">IF(Table_NFI[[#This Row],[Pcode]]="","",IF(OFFSET(CampList[Opening Date],MATCH(Table_NFI[[#This Row],[Pcode]],CampList[CP_Pcode],0)-1,0,1,1)&gt;=NFI_Monitor_Date,1,0))</f>
        <v/>
      </c>
      <c r="AQ1309" s="540" t="str">
        <f>IFERROR(VLOOKUP(Table_NFI[[#This Row],[Camp Name]],CL,3,0),"")</f>
        <v/>
      </c>
      <c r="AR1309" s="352" t="str">
        <f ca="1">IF(Table_NFI[[#This Row],[Pcode]]="","",OFFSET(CampList[Priority],MATCH(Table_NFI[[#This Row],[Pcode]],CampList[CP_Pcode],0)-1,0,1,1))</f>
        <v/>
      </c>
      <c r="AS1309" s="351" t="str">
        <f>IFERROR(Table_NFI[[#This Row],[Kitchen Set]]/VLOOKUP(Table_NFI[[#This Row],[Camp Name]],CL,4,0),"")</f>
        <v/>
      </c>
      <c r="AT1309" s="538"/>
      <c r="AU1309" s="541"/>
    </row>
    <row r="1310" spans="1:47" ht="14.45" hidden="1" customHeight="1" x14ac:dyDescent="0.25">
      <c r="A1310" s="355" t="str">
        <f t="shared" si="21"/>
        <v/>
      </c>
      <c r="B1310" s="532"/>
      <c r="C1310" s="538"/>
      <c r="D1310" s="538"/>
      <c r="E1310" s="538"/>
      <c r="F1310" s="538"/>
      <c r="G1310" s="538"/>
      <c r="H1310" s="350"/>
      <c r="I1310" s="350"/>
      <c r="J1310" s="350"/>
      <c r="K1310" s="350"/>
      <c r="L1310" s="350"/>
      <c r="M1310" s="350"/>
      <c r="N1310" s="350"/>
      <c r="O1310" s="350"/>
      <c r="P1310" s="352"/>
      <c r="Q1310" s="558"/>
      <c r="R1310" s="558"/>
      <c r="S1310" s="558"/>
      <c r="T1310" s="558"/>
      <c r="U1310" s="558"/>
      <c r="V1310" s="497"/>
      <c r="W1310" s="558"/>
      <c r="X1310" s="558"/>
      <c r="Y1310" s="352">
        <f>IF(NFI_Expiration=1,IF($A1310&lt;VLOOKUP(H$5,NFI,5,0),1,0)*Table_NFI[[#This Row],[Hygiene Kit]],Table_NFI[Hygiene Kit])</f>
        <v>0</v>
      </c>
      <c r="Z1310" s="352">
        <f>IF(NFI_Expiration=1,IF($A1310&lt;VLOOKUP(I$5,NFI,5,0),1,0)*Table_NFI[[#This Row],[NFI Core Kit]],Table_NFI[NFI Core Kit])</f>
        <v>0</v>
      </c>
      <c r="AA1310" s="352">
        <f>IF(NFI_Expiration=1,IF($A1310&lt;VLOOKUP(J$5,NFI,5,0),1,0)*Table_NFI[[#This Row],[Sanitary Kit]],Table_NFI[Sanitary Kit])</f>
        <v>0</v>
      </c>
      <c r="AB1310" s="352">
        <f>IF(NFI_Expiration=1,IF($A1310&lt;VLOOKUP(K$5,NFI,5,0),1,0)*Table_NFI[[#This Row],[Mosquito net]],Table_NFI[Mosquito net])</f>
        <v>0</v>
      </c>
      <c r="AC1310" s="352">
        <f>IF(NFI_Expiration=1,IF($A1310&lt;VLOOKUP(L$5,NFI,5,0),1,0)*Table_NFI[[#This Row],[Tarpaulin]],Table_NFI[[#This Row],[Tarpaulin]])</f>
        <v>0</v>
      </c>
      <c r="AD1310" s="352">
        <f>IF(NFI_Expiration=1,IF($A1310&lt;VLOOKUP(M$5,NFI,5,0),1,0)*Table_NFI[[#This Row],[Blanket]],Table_NFI[[#This Row],[Blanket]])</f>
        <v>0</v>
      </c>
      <c r="AE1310" s="352">
        <f>IF(NFI_Expiration=1,IF($A1310&lt;VLOOKUP(N$5,NFI,5,0),1,0)*Table_NFI[[#This Row],[Kitchen Set]],Table_NFI[Kitchen Set])</f>
        <v>0</v>
      </c>
      <c r="AF1310" s="352">
        <f>IF(NFI_Expiration=1,IF($A1310&lt;VLOOKUP(O$5,NFI,5,0),1,0)*Table_NFI[[#This Row],[Clothes Kit]],Table_NFI[Clothes Kit])</f>
        <v>0</v>
      </c>
      <c r="AG1310" s="352">
        <f>IF(NFI_Expiration=1,IF($A1310&lt;VLOOKUP(P$5,NFI,5,0),1,0)*Table_NFI[[#This Row],[Plastic Bucket]],Table_NFI[Plastic Bucket])</f>
        <v>0</v>
      </c>
      <c r="AH1310" s="352">
        <f>IF(NFI_Expiration=1,IF($A1310&lt;VLOOKUP(Q$5,NFI,5,0),1,0)*Table_NFI[[#This Row],[Plastic Mat]],Table_NFI[Plastic Mat])*IF(Table_NFI[[#This Row],[Distribution Date]]&gt;"2014-04-01",1,2.5)</f>
        <v>0</v>
      </c>
      <c r="AI1310" s="352">
        <f>IF(NFI_Expiration=1,IF($A1310&lt;VLOOKUP(R$5,NFI,5,0),1,0)*Table_NFI[[#This Row],[Winter Clothes Adult]],Table_NFI[Winter Clothes Adult])</f>
        <v>0</v>
      </c>
      <c r="AJ1310" s="352">
        <f>IF(NFI_Expiration=1,IF($A1310&lt;VLOOKUP(S$5,NFI,5,0),1,0)*Table_NFI[[#This Row],[Winter Clothes Children]],Table_NFI[Winter Clothes Children])</f>
        <v>0</v>
      </c>
      <c r="AK1310" s="352">
        <f>IF(NFI_Expiration=1,IF($A1310&lt;VLOOKUP(T$5,NFI,5,0),1,0)*Table_NFI[[#This Row],[Winter Items Other]],Table_NFI[Winter Items Other])</f>
        <v>0</v>
      </c>
      <c r="AL1310" s="352">
        <f>IF(NFI_Expiration=1,IF($A1310&lt;VLOOKUP(M$5,NFI,5,0),1,0)*Table_NFI[[#This Row],[Winter Blanket]],Table_NFI[[#This Row],[Winter Blanket]])</f>
        <v>0</v>
      </c>
      <c r="AM1310" s="352">
        <f>IF(Table_NFI[[#This Row],[Winter Clothes Adult]]+Table_NFI[[#This Row],[Winter Clothes Children]]+Table_NFI[[#This Row],[Winter Items Other]]+Table_NFI[[#This Row],[Winter Blanket]]&gt;0,1,0)</f>
        <v>0</v>
      </c>
      <c r="AN1310" s="392">
        <f>IF(NFI_Expiration=1,IF($A1310&lt;VLOOKUP(V$5,NFI,5,0),1,0)*Table_NFI[[#This Row],[Jerry Can]],Table_NFI[Jerry Can])</f>
        <v>0</v>
      </c>
      <c r="AO1310" s="540" t="str">
        <f>IFERROR(VLOOKUP(Table_NFI[[#This Row],[Camp Name]],CL,2,0),"")</f>
        <v/>
      </c>
      <c r="AP1310" s="535" t="str">
        <f ca="1">IF(Table_NFI[[#This Row],[Pcode]]="","",IF(OFFSET(CampList[Opening Date],MATCH(Table_NFI[[#This Row],[Pcode]],CampList[CP_Pcode],0)-1,0,1,1)&gt;=NFI_Monitor_Date,1,0))</f>
        <v/>
      </c>
      <c r="AQ1310" s="540" t="str">
        <f>IFERROR(VLOOKUP(Table_NFI[[#This Row],[Camp Name]],CL,3,0),"")</f>
        <v/>
      </c>
      <c r="AR1310" s="352" t="str">
        <f ca="1">IF(Table_NFI[[#This Row],[Pcode]]="","",OFFSET(CampList[Priority],MATCH(Table_NFI[[#This Row],[Pcode]],CampList[CP_Pcode],0)-1,0,1,1))</f>
        <v/>
      </c>
      <c r="AS1310" s="351" t="str">
        <f>IFERROR(Table_NFI[[#This Row],[Kitchen Set]]/VLOOKUP(Table_NFI[[#This Row],[Camp Name]],CL,4,0),"")</f>
        <v/>
      </c>
      <c r="AT1310" s="538"/>
      <c r="AU1310" s="541"/>
    </row>
    <row r="1311" spans="1:47" ht="14.45" hidden="1" customHeight="1" x14ac:dyDescent="0.25">
      <c r="A1311" s="355" t="str">
        <f t="shared" si="21"/>
        <v/>
      </c>
      <c r="B1311" s="532"/>
      <c r="C1311" s="538"/>
      <c r="D1311" s="538"/>
      <c r="E1311" s="538"/>
      <c r="F1311" s="538"/>
      <c r="G1311" s="538"/>
      <c r="H1311" s="350"/>
      <c r="I1311" s="350"/>
      <c r="J1311" s="350"/>
      <c r="K1311" s="350"/>
      <c r="L1311" s="350"/>
      <c r="M1311" s="350"/>
      <c r="N1311" s="350"/>
      <c r="O1311" s="350"/>
      <c r="P1311" s="352"/>
      <c r="Q1311" s="558"/>
      <c r="R1311" s="558"/>
      <c r="S1311" s="558"/>
      <c r="T1311" s="558"/>
      <c r="U1311" s="558"/>
      <c r="V1311" s="497"/>
      <c r="W1311" s="558"/>
      <c r="X1311" s="558"/>
      <c r="Y1311" s="352">
        <f>IF(NFI_Expiration=1,IF($A1311&lt;VLOOKUP(H$5,NFI,5,0),1,0)*Table_NFI[[#This Row],[Hygiene Kit]],Table_NFI[Hygiene Kit])</f>
        <v>0</v>
      </c>
      <c r="Z1311" s="352">
        <f>IF(NFI_Expiration=1,IF($A1311&lt;VLOOKUP(I$5,NFI,5,0),1,0)*Table_NFI[[#This Row],[NFI Core Kit]],Table_NFI[NFI Core Kit])</f>
        <v>0</v>
      </c>
      <c r="AA1311" s="352">
        <f>IF(NFI_Expiration=1,IF($A1311&lt;VLOOKUP(J$5,NFI,5,0),1,0)*Table_NFI[[#This Row],[Sanitary Kit]],Table_NFI[Sanitary Kit])</f>
        <v>0</v>
      </c>
      <c r="AB1311" s="352">
        <f>IF(NFI_Expiration=1,IF($A1311&lt;VLOOKUP(K$5,NFI,5,0),1,0)*Table_NFI[[#This Row],[Mosquito net]],Table_NFI[Mosquito net])</f>
        <v>0</v>
      </c>
      <c r="AC1311" s="352">
        <f>IF(NFI_Expiration=1,IF($A1311&lt;VLOOKUP(L$5,NFI,5,0),1,0)*Table_NFI[[#This Row],[Tarpaulin]],Table_NFI[[#This Row],[Tarpaulin]])</f>
        <v>0</v>
      </c>
      <c r="AD1311" s="352">
        <f>IF(NFI_Expiration=1,IF($A1311&lt;VLOOKUP(M$5,NFI,5,0),1,0)*Table_NFI[[#This Row],[Blanket]],Table_NFI[[#This Row],[Blanket]])</f>
        <v>0</v>
      </c>
      <c r="AE1311" s="352">
        <f>IF(NFI_Expiration=1,IF($A1311&lt;VLOOKUP(N$5,NFI,5,0),1,0)*Table_NFI[[#This Row],[Kitchen Set]],Table_NFI[Kitchen Set])</f>
        <v>0</v>
      </c>
      <c r="AF1311" s="352">
        <f>IF(NFI_Expiration=1,IF($A1311&lt;VLOOKUP(O$5,NFI,5,0),1,0)*Table_NFI[[#This Row],[Clothes Kit]],Table_NFI[Clothes Kit])</f>
        <v>0</v>
      </c>
      <c r="AG1311" s="352">
        <f>IF(NFI_Expiration=1,IF($A1311&lt;VLOOKUP(P$5,NFI,5,0),1,0)*Table_NFI[[#This Row],[Plastic Bucket]],Table_NFI[Plastic Bucket])</f>
        <v>0</v>
      </c>
      <c r="AH1311" s="352">
        <f>IF(NFI_Expiration=1,IF($A1311&lt;VLOOKUP(Q$5,NFI,5,0),1,0)*Table_NFI[[#This Row],[Plastic Mat]],Table_NFI[Plastic Mat])*IF(Table_NFI[[#This Row],[Distribution Date]]&gt;"2014-04-01",1,2.5)</f>
        <v>0</v>
      </c>
      <c r="AI1311" s="352">
        <f>IF(NFI_Expiration=1,IF($A1311&lt;VLOOKUP(R$5,NFI,5,0),1,0)*Table_NFI[[#This Row],[Winter Clothes Adult]],Table_NFI[Winter Clothes Adult])</f>
        <v>0</v>
      </c>
      <c r="AJ1311" s="352">
        <f>IF(NFI_Expiration=1,IF($A1311&lt;VLOOKUP(S$5,NFI,5,0),1,0)*Table_NFI[[#This Row],[Winter Clothes Children]],Table_NFI[Winter Clothes Children])</f>
        <v>0</v>
      </c>
      <c r="AK1311" s="352">
        <f>IF(NFI_Expiration=1,IF($A1311&lt;VLOOKUP(T$5,NFI,5,0),1,0)*Table_NFI[[#This Row],[Winter Items Other]],Table_NFI[Winter Items Other])</f>
        <v>0</v>
      </c>
      <c r="AL1311" s="352">
        <f>IF(NFI_Expiration=1,IF($A1311&lt;VLOOKUP(M$5,NFI,5,0),1,0)*Table_NFI[[#This Row],[Winter Blanket]],Table_NFI[[#This Row],[Winter Blanket]])</f>
        <v>0</v>
      </c>
      <c r="AM1311" s="352">
        <f>IF(Table_NFI[[#This Row],[Winter Clothes Adult]]+Table_NFI[[#This Row],[Winter Clothes Children]]+Table_NFI[[#This Row],[Winter Items Other]]+Table_NFI[[#This Row],[Winter Blanket]]&gt;0,1,0)</f>
        <v>0</v>
      </c>
      <c r="AN1311" s="392">
        <f>IF(NFI_Expiration=1,IF($A1311&lt;VLOOKUP(V$5,NFI,5,0),1,0)*Table_NFI[[#This Row],[Jerry Can]],Table_NFI[Jerry Can])</f>
        <v>0</v>
      </c>
      <c r="AO1311" s="540" t="str">
        <f>IFERROR(VLOOKUP(Table_NFI[[#This Row],[Camp Name]],CL,2,0),"")</f>
        <v/>
      </c>
      <c r="AP1311" s="535" t="str">
        <f ca="1">IF(Table_NFI[[#This Row],[Pcode]]="","",IF(OFFSET(CampList[Opening Date],MATCH(Table_NFI[[#This Row],[Pcode]],CampList[CP_Pcode],0)-1,0,1,1)&gt;=NFI_Monitor_Date,1,0))</f>
        <v/>
      </c>
      <c r="AQ1311" s="540" t="str">
        <f>IFERROR(VLOOKUP(Table_NFI[[#This Row],[Camp Name]],CL,3,0),"")</f>
        <v/>
      </c>
      <c r="AR1311" s="352" t="str">
        <f ca="1">IF(Table_NFI[[#This Row],[Pcode]]="","",OFFSET(CampList[Priority],MATCH(Table_NFI[[#This Row],[Pcode]],CampList[CP_Pcode],0)-1,0,1,1))</f>
        <v/>
      </c>
      <c r="AS1311" s="351" t="str">
        <f>IFERROR(Table_NFI[[#This Row],[Kitchen Set]]/VLOOKUP(Table_NFI[[#This Row],[Camp Name]],CL,4,0),"")</f>
        <v/>
      </c>
      <c r="AT1311" s="538"/>
      <c r="AU1311" s="541"/>
    </row>
    <row r="1312" spans="1:47" ht="14.45" hidden="1" customHeight="1" x14ac:dyDescent="0.25">
      <c r="A1312" s="355" t="str">
        <f t="shared" si="21"/>
        <v/>
      </c>
      <c r="B1312" s="532"/>
      <c r="C1312" s="538"/>
      <c r="D1312" s="538"/>
      <c r="E1312" s="538"/>
      <c r="F1312" s="538"/>
      <c r="G1312" s="538"/>
      <c r="H1312" s="350"/>
      <c r="I1312" s="350"/>
      <c r="J1312" s="350"/>
      <c r="K1312" s="350"/>
      <c r="L1312" s="350"/>
      <c r="M1312" s="350"/>
      <c r="N1312" s="350"/>
      <c r="O1312" s="350"/>
      <c r="P1312" s="352"/>
      <c r="Q1312" s="558"/>
      <c r="R1312" s="558"/>
      <c r="S1312" s="558"/>
      <c r="T1312" s="558"/>
      <c r="U1312" s="558"/>
      <c r="V1312" s="497"/>
      <c r="W1312" s="558"/>
      <c r="X1312" s="558"/>
      <c r="Y1312" s="352">
        <f>IF(NFI_Expiration=1,IF($A1312&lt;VLOOKUP(H$5,NFI,5,0),1,0)*Table_NFI[[#This Row],[Hygiene Kit]],Table_NFI[Hygiene Kit])</f>
        <v>0</v>
      </c>
      <c r="Z1312" s="352">
        <f>IF(NFI_Expiration=1,IF($A1312&lt;VLOOKUP(I$5,NFI,5,0),1,0)*Table_NFI[[#This Row],[NFI Core Kit]],Table_NFI[NFI Core Kit])</f>
        <v>0</v>
      </c>
      <c r="AA1312" s="352">
        <f>IF(NFI_Expiration=1,IF($A1312&lt;VLOOKUP(J$5,NFI,5,0),1,0)*Table_NFI[[#This Row],[Sanitary Kit]],Table_NFI[Sanitary Kit])</f>
        <v>0</v>
      </c>
      <c r="AB1312" s="352">
        <f>IF(NFI_Expiration=1,IF($A1312&lt;VLOOKUP(K$5,NFI,5,0),1,0)*Table_NFI[[#This Row],[Mosquito net]],Table_NFI[Mosquito net])</f>
        <v>0</v>
      </c>
      <c r="AC1312" s="352">
        <f>IF(NFI_Expiration=1,IF($A1312&lt;VLOOKUP(L$5,NFI,5,0),1,0)*Table_NFI[[#This Row],[Tarpaulin]],Table_NFI[[#This Row],[Tarpaulin]])</f>
        <v>0</v>
      </c>
      <c r="AD1312" s="352">
        <f>IF(NFI_Expiration=1,IF($A1312&lt;VLOOKUP(M$5,NFI,5,0),1,0)*Table_NFI[[#This Row],[Blanket]],Table_NFI[[#This Row],[Blanket]])</f>
        <v>0</v>
      </c>
      <c r="AE1312" s="352">
        <f>IF(NFI_Expiration=1,IF($A1312&lt;VLOOKUP(N$5,NFI,5,0),1,0)*Table_NFI[[#This Row],[Kitchen Set]],Table_NFI[Kitchen Set])</f>
        <v>0</v>
      </c>
      <c r="AF1312" s="352">
        <f>IF(NFI_Expiration=1,IF($A1312&lt;VLOOKUP(O$5,NFI,5,0),1,0)*Table_NFI[[#This Row],[Clothes Kit]],Table_NFI[Clothes Kit])</f>
        <v>0</v>
      </c>
      <c r="AG1312" s="352">
        <f>IF(NFI_Expiration=1,IF($A1312&lt;VLOOKUP(P$5,NFI,5,0),1,0)*Table_NFI[[#This Row],[Plastic Bucket]],Table_NFI[Plastic Bucket])</f>
        <v>0</v>
      </c>
      <c r="AH1312" s="352">
        <f>IF(NFI_Expiration=1,IF($A1312&lt;VLOOKUP(Q$5,NFI,5,0),1,0)*Table_NFI[[#This Row],[Plastic Mat]],Table_NFI[Plastic Mat])*IF(Table_NFI[[#This Row],[Distribution Date]]&gt;"2014-04-01",1,2.5)</f>
        <v>0</v>
      </c>
      <c r="AI1312" s="352">
        <f>IF(NFI_Expiration=1,IF($A1312&lt;VLOOKUP(R$5,NFI,5,0),1,0)*Table_NFI[[#This Row],[Winter Clothes Adult]],Table_NFI[Winter Clothes Adult])</f>
        <v>0</v>
      </c>
      <c r="AJ1312" s="352">
        <f>IF(NFI_Expiration=1,IF($A1312&lt;VLOOKUP(S$5,NFI,5,0),1,0)*Table_NFI[[#This Row],[Winter Clothes Children]],Table_NFI[Winter Clothes Children])</f>
        <v>0</v>
      </c>
      <c r="AK1312" s="352">
        <f>IF(NFI_Expiration=1,IF($A1312&lt;VLOOKUP(T$5,NFI,5,0),1,0)*Table_NFI[[#This Row],[Winter Items Other]],Table_NFI[Winter Items Other])</f>
        <v>0</v>
      </c>
      <c r="AL1312" s="352">
        <f>IF(NFI_Expiration=1,IF($A1312&lt;VLOOKUP(M$5,NFI,5,0),1,0)*Table_NFI[[#This Row],[Winter Blanket]],Table_NFI[[#This Row],[Winter Blanket]])</f>
        <v>0</v>
      </c>
      <c r="AM1312" s="352">
        <f>IF(Table_NFI[[#This Row],[Winter Clothes Adult]]+Table_NFI[[#This Row],[Winter Clothes Children]]+Table_NFI[[#This Row],[Winter Items Other]]+Table_NFI[[#This Row],[Winter Blanket]]&gt;0,1,0)</f>
        <v>0</v>
      </c>
      <c r="AN1312" s="392">
        <f>IF(NFI_Expiration=1,IF($A1312&lt;VLOOKUP(V$5,NFI,5,0),1,0)*Table_NFI[[#This Row],[Jerry Can]],Table_NFI[Jerry Can])</f>
        <v>0</v>
      </c>
      <c r="AO1312" s="540" t="str">
        <f>IFERROR(VLOOKUP(Table_NFI[[#This Row],[Camp Name]],CL,2,0),"")</f>
        <v/>
      </c>
      <c r="AP1312" s="535" t="str">
        <f ca="1">IF(Table_NFI[[#This Row],[Pcode]]="","",IF(OFFSET(CampList[Opening Date],MATCH(Table_NFI[[#This Row],[Pcode]],CampList[CP_Pcode],0)-1,0,1,1)&gt;=NFI_Monitor_Date,1,0))</f>
        <v/>
      </c>
      <c r="AQ1312" s="540" t="str">
        <f>IFERROR(VLOOKUP(Table_NFI[[#This Row],[Camp Name]],CL,3,0),"")</f>
        <v/>
      </c>
      <c r="AR1312" s="352" t="str">
        <f ca="1">IF(Table_NFI[[#This Row],[Pcode]]="","",OFFSET(CampList[Priority],MATCH(Table_NFI[[#This Row],[Pcode]],CampList[CP_Pcode],0)-1,0,1,1))</f>
        <v/>
      </c>
      <c r="AS1312" s="351" t="str">
        <f>IFERROR(Table_NFI[[#This Row],[Kitchen Set]]/VLOOKUP(Table_NFI[[#This Row],[Camp Name]],CL,4,0),"")</f>
        <v/>
      </c>
      <c r="AT1312" s="538"/>
      <c r="AU1312" s="541"/>
    </row>
    <row r="1313" spans="1:47" ht="14.45" hidden="1" customHeight="1" x14ac:dyDescent="0.25">
      <c r="A1313" s="355" t="str">
        <f t="shared" si="21"/>
        <v/>
      </c>
      <c r="B1313" s="532"/>
      <c r="C1313" s="538"/>
      <c r="D1313" s="538"/>
      <c r="E1313" s="538"/>
      <c r="F1313" s="538"/>
      <c r="G1313" s="538"/>
      <c r="H1313" s="350"/>
      <c r="I1313" s="350"/>
      <c r="J1313" s="350"/>
      <c r="K1313" s="350"/>
      <c r="L1313" s="350"/>
      <c r="M1313" s="350"/>
      <c r="N1313" s="350"/>
      <c r="O1313" s="350"/>
      <c r="P1313" s="352"/>
      <c r="Q1313" s="558"/>
      <c r="R1313" s="558"/>
      <c r="S1313" s="558"/>
      <c r="T1313" s="558"/>
      <c r="U1313" s="558"/>
      <c r="V1313" s="497"/>
      <c r="W1313" s="558"/>
      <c r="X1313" s="558"/>
      <c r="Y1313" s="352">
        <f>IF(NFI_Expiration=1,IF($A1313&lt;VLOOKUP(H$5,NFI,5,0),1,0)*Table_NFI[[#This Row],[Hygiene Kit]],Table_NFI[Hygiene Kit])</f>
        <v>0</v>
      </c>
      <c r="Z1313" s="352">
        <f>IF(NFI_Expiration=1,IF($A1313&lt;VLOOKUP(I$5,NFI,5,0),1,0)*Table_NFI[[#This Row],[NFI Core Kit]],Table_NFI[NFI Core Kit])</f>
        <v>0</v>
      </c>
      <c r="AA1313" s="352">
        <f>IF(NFI_Expiration=1,IF($A1313&lt;VLOOKUP(J$5,NFI,5,0),1,0)*Table_NFI[[#This Row],[Sanitary Kit]],Table_NFI[Sanitary Kit])</f>
        <v>0</v>
      </c>
      <c r="AB1313" s="352">
        <f>IF(NFI_Expiration=1,IF($A1313&lt;VLOOKUP(K$5,NFI,5,0),1,0)*Table_NFI[[#This Row],[Mosquito net]],Table_NFI[Mosquito net])</f>
        <v>0</v>
      </c>
      <c r="AC1313" s="352">
        <f>IF(NFI_Expiration=1,IF($A1313&lt;VLOOKUP(L$5,NFI,5,0),1,0)*Table_NFI[[#This Row],[Tarpaulin]],Table_NFI[[#This Row],[Tarpaulin]])</f>
        <v>0</v>
      </c>
      <c r="AD1313" s="352">
        <f>IF(NFI_Expiration=1,IF($A1313&lt;VLOOKUP(M$5,NFI,5,0),1,0)*Table_NFI[[#This Row],[Blanket]],Table_NFI[[#This Row],[Blanket]])</f>
        <v>0</v>
      </c>
      <c r="AE1313" s="352">
        <f>IF(NFI_Expiration=1,IF($A1313&lt;VLOOKUP(N$5,NFI,5,0),1,0)*Table_NFI[[#This Row],[Kitchen Set]],Table_NFI[Kitchen Set])</f>
        <v>0</v>
      </c>
      <c r="AF1313" s="352">
        <f>IF(NFI_Expiration=1,IF($A1313&lt;VLOOKUP(O$5,NFI,5,0),1,0)*Table_NFI[[#This Row],[Clothes Kit]],Table_NFI[Clothes Kit])</f>
        <v>0</v>
      </c>
      <c r="AG1313" s="352">
        <f>IF(NFI_Expiration=1,IF($A1313&lt;VLOOKUP(P$5,NFI,5,0),1,0)*Table_NFI[[#This Row],[Plastic Bucket]],Table_NFI[Plastic Bucket])</f>
        <v>0</v>
      </c>
      <c r="AH1313" s="352">
        <f>IF(NFI_Expiration=1,IF($A1313&lt;VLOOKUP(Q$5,NFI,5,0),1,0)*Table_NFI[[#This Row],[Plastic Mat]],Table_NFI[Plastic Mat])*IF(Table_NFI[[#This Row],[Distribution Date]]&gt;"2014-04-01",1,2.5)</f>
        <v>0</v>
      </c>
      <c r="AI1313" s="352">
        <f>IF(NFI_Expiration=1,IF($A1313&lt;VLOOKUP(R$5,NFI,5,0),1,0)*Table_NFI[[#This Row],[Winter Clothes Adult]],Table_NFI[Winter Clothes Adult])</f>
        <v>0</v>
      </c>
      <c r="AJ1313" s="352">
        <f>IF(NFI_Expiration=1,IF($A1313&lt;VLOOKUP(S$5,NFI,5,0),1,0)*Table_NFI[[#This Row],[Winter Clothes Children]],Table_NFI[Winter Clothes Children])</f>
        <v>0</v>
      </c>
      <c r="AK1313" s="352">
        <f>IF(NFI_Expiration=1,IF($A1313&lt;VLOOKUP(T$5,NFI,5,0),1,0)*Table_NFI[[#This Row],[Winter Items Other]],Table_NFI[Winter Items Other])</f>
        <v>0</v>
      </c>
      <c r="AL1313" s="352">
        <f>IF(NFI_Expiration=1,IF($A1313&lt;VLOOKUP(M$5,NFI,5,0),1,0)*Table_NFI[[#This Row],[Winter Blanket]],Table_NFI[[#This Row],[Winter Blanket]])</f>
        <v>0</v>
      </c>
      <c r="AM1313" s="352">
        <f>IF(Table_NFI[[#This Row],[Winter Clothes Adult]]+Table_NFI[[#This Row],[Winter Clothes Children]]+Table_NFI[[#This Row],[Winter Items Other]]+Table_NFI[[#This Row],[Winter Blanket]]&gt;0,1,0)</f>
        <v>0</v>
      </c>
      <c r="AN1313" s="392">
        <f>IF(NFI_Expiration=1,IF($A1313&lt;VLOOKUP(V$5,NFI,5,0),1,0)*Table_NFI[[#This Row],[Jerry Can]],Table_NFI[Jerry Can])</f>
        <v>0</v>
      </c>
      <c r="AO1313" s="540" t="str">
        <f>IFERROR(VLOOKUP(Table_NFI[[#This Row],[Camp Name]],CL,2,0),"")</f>
        <v/>
      </c>
      <c r="AP1313" s="535" t="str">
        <f ca="1">IF(Table_NFI[[#This Row],[Pcode]]="","",IF(OFFSET(CampList[Opening Date],MATCH(Table_NFI[[#This Row],[Pcode]],CampList[CP_Pcode],0)-1,0,1,1)&gt;=NFI_Monitor_Date,1,0))</f>
        <v/>
      </c>
      <c r="AQ1313" s="540" t="str">
        <f>IFERROR(VLOOKUP(Table_NFI[[#This Row],[Camp Name]],CL,3,0),"")</f>
        <v/>
      </c>
      <c r="AR1313" s="352" t="str">
        <f ca="1">IF(Table_NFI[[#This Row],[Pcode]]="","",OFFSET(CampList[Priority],MATCH(Table_NFI[[#This Row],[Pcode]],CampList[CP_Pcode],0)-1,0,1,1))</f>
        <v/>
      </c>
      <c r="AS1313" s="351" t="str">
        <f>IFERROR(Table_NFI[[#This Row],[Kitchen Set]]/VLOOKUP(Table_NFI[[#This Row],[Camp Name]],CL,4,0),"")</f>
        <v/>
      </c>
      <c r="AT1313" s="538"/>
      <c r="AU1313" s="541"/>
    </row>
    <row r="1314" spans="1:47" ht="14.45" hidden="1" customHeight="1" x14ac:dyDescent="0.25">
      <c r="A1314" s="355" t="str">
        <f t="shared" si="21"/>
        <v/>
      </c>
      <c r="B1314" s="532"/>
      <c r="C1314" s="538"/>
      <c r="D1314" s="538"/>
      <c r="E1314" s="538"/>
      <c r="F1314" s="538"/>
      <c r="G1314" s="538"/>
      <c r="H1314" s="350"/>
      <c r="I1314" s="350"/>
      <c r="J1314" s="350"/>
      <c r="K1314" s="350"/>
      <c r="L1314" s="350"/>
      <c r="M1314" s="350"/>
      <c r="N1314" s="350"/>
      <c r="O1314" s="350"/>
      <c r="P1314" s="352"/>
      <c r="Q1314" s="558"/>
      <c r="R1314" s="558"/>
      <c r="S1314" s="558"/>
      <c r="T1314" s="558"/>
      <c r="U1314" s="558"/>
      <c r="V1314" s="497"/>
      <c r="W1314" s="558"/>
      <c r="X1314" s="558"/>
      <c r="Y1314" s="352">
        <f>IF(NFI_Expiration=1,IF($A1314&lt;VLOOKUP(H$5,NFI,5,0),1,0)*Table_NFI[[#This Row],[Hygiene Kit]],Table_NFI[Hygiene Kit])</f>
        <v>0</v>
      </c>
      <c r="Z1314" s="352">
        <f>IF(NFI_Expiration=1,IF($A1314&lt;VLOOKUP(I$5,NFI,5,0),1,0)*Table_NFI[[#This Row],[NFI Core Kit]],Table_NFI[NFI Core Kit])</f>
        <v>0</v>
      </c>
      <c r="AA1314" s="352">
        <f>IF(NFI_Expiration=1,IF($A1314&lt;VLOOKUP(J$5,NFI,5,0),1,0)*Table_NFI[[#This Row],[Sanitary Kit]],Table_NFI[Sanitary Kit])</f>
        <v>0</v>
      </c>
      <c r="AB1314" s="352">
        <f>IF(NFI_Expiration=1,IF($A1314&lt;VLOOKUP(K$5,NFI,5,0),1,0)*Table_NFI[[#This Row],[Mosquito net]],Table_NFI[Mosquito net])</f>
        <v>0</v>
      </c>
      <c r="AC1314" s="352">
        <f>IF(NFI_Expiration=1,IF($A1314&lt;VLOOKUP(L$5,NFI,5,0),1,0)*Table_NFI[[#This Row],[Tarpaulin]],Table_NFI[[#This Row],[Tarpaulin]])</f>
        <v>0</v>
      </c>
      <c r="AD1314" s="352">
        <f>IF(NFI_Expiration=1,IF($A1314&lt;VLOOKUP(M$5,NFI,5,0),1,0)*Table_NFI[[#This Row],[Blanket]],Table_NFI[[#This Row],[Blanket]])</f>
        <v>0</v>
      </c>
      <c r="AE1314" s="352">
        <f>IF(NFI_Expiration=1,IF($A1314&lt;VLOOKUP(N$5,NFI,5,0),1,0)*Table_NFI[[#This Row],[Kitchen Set]],Table_NFI[Kitchen Set])</f>
        <v>0</v>
      </c>
      <c r="AF1314" s="352">
        <f>IF(NFI_Expiration=1,IF($A1314&lt;VLOOKUP(O$5,NFI,5,0),1,0)*Table_NFI[[#This Row],[Clothes Kit]],Table_NFI[Clothes Kit])</f>
        <v>0</v>
      </c>
      <c r="AG1314" s="352">
        <f>IF(NFI_Expiration=1,IF($A1314&lt;VLOOKUP(P$5,NFI,5,0),1,0)*Table_NFI[[#This Row],[Plastic Bucket]],Table_NFI[Plastic Bucket])</f>
        <v>0</v>
      </c>
      <c r="AH1314" s="352">
        <f>IF(NFI_Expiration=1,IF($A1314&lt;VLOOKUP(Q$5,NFI,5,0),1,0)*Table_NFI[[#This Row],[Plastic Mat]],Table_NFI[Plastic Mat])*IF(Table_NFI[[#This Row],[Distribution Date]]&gt;"2014-04-01",1,2.5)</f>
        <v>0</v>
      </c>
      <c r="AI1314" s="352">
        <f>IF(NFI_Expiration=1,IF($A1314&lt;VLOOKUP(R$5,NFI,5,0),1,0)*Table_NFI[[#This Row],[Winter Clothes Adult]],Table_NFI[Winter Clothes Adult])</f>
        <v>0</v>
      </c>
      <c r="AJ1314" s="352">
        <f>IF(NFI_Expiration=1,IF($A1314&lt;VLOOKUP(S$5,NFI,5,0),1,0)*Table_NFI[[#This Row],[Winter Clothes Children]],Table_NFI[Winter Clothes Children])</f>
        <v>0</v>
      </c>
      <c r="AK1314" s="352">
        <f>IF(NFI_Expiration=1,IF($A1314&lt;VLOOKUP(T$5,NFI,5,0),1,0)*Table_NFI[[#This Row],[Winter Items Other]],Table_NFI[Winter Items Other])</f>
        <v>0</v>
      </c>
      <c r="AL1314" s="352">
        <f>IF(NFI_Expiration=1,IF($A1314&lt;VLOOKUP(M$5,NFI,5,0),1,0)*Table_NFI[[#This Row],[Winter Blanket]],Table_NFI[[#This Row],[Winter Blanket]])</f>
        <v>0</v>
      </c>
      <c r="AM1314" s="352">
        <f>IF(Table_NFI[[#This Row],[Winter Clothes Adult]]+Table_NFI[[#This Row],[Winter Clothes Children]]+Table_NFI[[#This Row],[Winter Items Other]]+Table_NFI[[#This Row],[Winter Blanket]]&gt;0,1,0)</f>
        <v>0</v>
      </c>
      <c r="AN1314" s="392">
        <f>IF(NFI_Expiration=1,IF($A1314&lt;VLOOKUP(V$5,NFI,5,0),1,0)*Table_NFI[[#This Row],[Jerry Can]],Table_NFI[Jerry Can])</f>
        <v>0</v>
      </c>
      <c r="AO1314" s="540" t="str">
        <f>IFERROR(VLOOKUP(Table_NFI[[#This Row],[Camp Name]],CL,2,0),"")</f>
        <v/>
      </c>
      <c r="AP1314" s="535" t="str">
        <f ca="1">IF(Table_NFI[[#This Row],[Pcode]]="","",IF(OFFSET(CampList[Opening Date],MATCH(Table_NFI[[#This Row],[Pcode]],CampList[CP_Pcode],0)-1,0,1,1)&gt;=NFI_Monitor_Date,1,0))</f>
        <v/>
      </c>
      <c r="AQ1314" s="540" t="str">
        <f>IFERROR(VLOOKUP(Table_NFI[[#This Row],[Camp Name]],CL,3,0),"")</f>
        <v/>
      </c>
      <c r="AR1314" s="352" t="str">
        <f ca="1">IF(Table_NFI[[#This Row],[Pcode]]="","",OFFSET(CampList[Priority],MATCH(Table_NFI[[#This Row],[Pcode]],CampList[CP_Pcode],0)-1,0,1,1))</f>
        <v/>
      </c>
      <c r="AS1314" s="351" t="str">
        <f>IFERROR(Table_NFI[[#This Row],[Kitchen Set]]/VLOOKUP(Table_NFI[[#This Row],[Camp Name]],CL,4,0),"")</f>
        <v/>
      </c>
      <c r="AT1314" s="538"/>
      <c r="AU1314" s="541"/>
    </row>
    <row r="1315" spans="1:47" ht="14.45" hidden="1" customHeight="1" x14ac:dyDescent="0.25">
      <c r="A1315" s="355" t="str">
        <f t="shared" si="21"/>
        <v/>
      </c>
      <c r="B1315" s="532"/>
      <c r="C1315" s="538"/>
      <c r="D1315" s="538"/>
      <c r="E1315" s="538"/>
      <c r="F1315" s="538"/>
      <c r="G1315" s="538"/>
      <c r="H1315" s="350"/>
      <c r="I1315" s="350"/>
      <c r="J1315" s="350"/>
      <c r="K1315" s="350"/>
      <c r="L1315" s="350"/>
      <c r="M1315" s="350"/>
      <c r="N1315" s="350"/>
      <c r="O1315" s="350"/>
      <c r="P1315" s="352"/>
      <c r="Q1315" s="558"/>
      <c r="R1315" s="558"/>
      <c r="S1315" s="558"/>
      <c r="T1315" s="558"/>
      <c r="U1315" s="558"/>
      <c r="V1315" s="497"/>
      <c r="W1315" s="558"/>
      <c r="X1315" s="558"/>
      <c r="Y1315" s="352">
        <f>IF(NFI_Expiration=1,IF($A1315&lt;VLOOKUP(H$5,NFI,5,0),1,0)*Table_NFI[[#This Row],[Hygiene Kit]],Table_NFI[Hygiene Kit])</f>
        <v>0</v>
      </c>
      <c r="Z1315" s="352">
        <f>IF(NFI_Expiration=1,IF($A1315&lt;VLOOKUP(I$5,NFI,5,0),1,0)*Table_NFI[[#This Row],[NFI Core Kit]],Table_NFI[NFI Core Kit])</f>
        <v>0</v>
      </c>
      <c r="AA1315" s="352">
        <f>IF(NFI_Expiration=1,IF($A1315&lt;VLOOKUP(J$5,NFI,5,0),1,0)*Table_NFI[[#This Row],[Sanitary Kit]],Table_NFI[Sanitary Kit])</f>
        <v>0</v>
      </c>
      <c r="AB1315" s="352">
        <f>IF(NFI_Expiration=1,IF($A1315&lt;VLOOKUP(K$5,NFI,5,0),1,0)*Table_NFI[[#This Row],[Mosquito net]],Table_NFI[Mosquito net])</f>
        <v>0</v>
      </c>
      <c r="AC1315" s="352">
        <f>IF(NFI_Expiration=1,IF($A1315&lt;VLOOKUP(L$5,NFI,5,0),1,0)*Table_NFI[[#This Row],[Tarpaulin]],Table_NFI[[#This Row],[Tarpaulin]])</f>
        <v>0</v>
      </c>
      <c r="AD1315" s="352">
        <f>IF(NFI_Expiration=1,IF($A1315&lt;VLOOKUP(M$5,NFI,5,0),1,0)*Table_NFI[[#This Row],[Blanket]],Table_NFI[[#This Row],[Blanket]])</f>
        <v>0</v>
      </c>
      <c r="AE1315" s="352">
        <f>IF(NFI_Expiration=1,IF($A1315&lt;VLOOKUP(N$5,NFI,5,0),1,0)*Table_NFI[[#This Row],[Kitchen Set]],Table_NFI[Kitchen Set])</f>
        <v>0</v>
      </c>
      <c r="AF1315" s="352">
        <f>IF(NFI_Expiration=1,IF($A1315&lt;VLOOKUP(O$5,NFI,5,0),1,0)*Table_NFI[[#This Row],[Clothes Kit]],Table_NFI[Clothes Kit])</f>
        <v>0</v>
      </c>
      <c r="AG1315" s="352">
        <f>IF(NFI_Expiration=1,IF($A1315&lt;VLOOKUP(P$5,NFI,5,0),1,0)*Table_NFI[[#This Row],[Plastic Bucket]],Table_NFI[Plastic Bucket])</f>
        <v>0</v>
      </c>
      <c r="AH1315" s="352">
        <f>IF(NFI_Expiration=1,IF($A1315&lt;VLOOKUP(Q$5,NFI,5,0),1,0)*Table_NFI[[#This Row],[Plastic Mat]],Table_NFI[Plastic Mat])*IF(Table_NFI[[#This Row],[Distribution Date]]&gt;"2014-04-01",1,2.5)</f>
        <v>0</v>
      </c>
      <c r="AI1315" s="352">
        <f>IF(NFI_Expiration=1,IF($A1315&lt;VLOOKUP(R$5,NFI,5,0),1,0)*Table_NFI[[#This Row],[Winter Clothes Adult]],Table_NFI[Winter Clothes Adult])</f>
        <v>0</v>
      </c>
      <c r="AJ1315" s="352">
        <f>IF(NFI_Expiration=1,IF($A1315&lt;VLOOKUP(S$5,NFI,5,0),1,0)*Table_NFI[[#This Row],[Winter Clothes Children]],Table_NFI[Winter Clothes Children])</f>
        <v>0</v>
      </c>
      <c r="AK1315" s="352">
        <f>IF(NFI_Expiration=1,IF($A1315&lt;VLOOKUP(T$5,NFI,5,0),1,0)*Table_NFI[[#This Row],[Winter Items Other]],Table_NFI[Winter Items Other])</f>
        <v>0</v>
      </c>
      <c r="AL1315" s="352">
        <f>IF(NFI_Expiration=1,IF($A1315&lt;VLOOKUP(M$5,NFI,5,0),1,0)*Table_NFI[[#This Row],[Winter Blanket]],Table_NFI[[#This Row],[Winter Blanket]])</f>
        <v>0</v>
      </c>
      <c r="AM1315" s="352">
        <f>IF(Table_NFI[[#This Row],[Winter Clothes Adult]]+Table_NFI[[#This Row],[Winter Clothes Children]]+Table_NFI[[#This Row],[Winter Items Other]]+Table_NFI[[#This Row],[Winter Blanket]]&gt;0,1,0)</f>
        <v>0</v>
      </c>
      <c r="AN1315" s="392">
        <f>IF(NFI_Expiration=1,IF($A1315&lt;VLOOKUP(V$5,NFI,5,0),1,0)*Table_NFI[[#This Row],[Jerry Can]],Table_NFI[Jerry Can])</f>
        <v>0</v>
      </c>
      <c r="AO1315" s="540" t="str">
        <f>IFERROR(VLOOKUP(Table_NFI[[#This Row],[Camp Name]],CL,2,0),"")</f>
        <v/>
      </c>
      <c r="AP1315" s="535" t="str">
        <f ca="1">IF(Table_NFI[[#This Row],[Pcode]]="","",IF(OFFSET(CampList[Opening Date],MATCH(Table_NFI[[#This Row],[Pcode]],CampList[CP_Pcode],0)-1,0,1,1)&gt;=NFI_Monitor_Date,1,0))</f>
        <v/>
      </c>
      <c r="AQ1315" s="540" t="str">
        <f>IFERROR(VLOOKUP(Table_NFI[[#This Row],[Camp Name]],CL,3,0),"")</f>
        <v/>
      </c>
      <c r="AR1315" s="352" t="str">
        <f ca="1">IF(Table_NFI[[#This Row],[Pcode]]="","",OFFSET(CampList[Priority],MATCH(Table_NFI[[#This Row],[Pcode]],CampList[CP_Pcode],0)-1,0,1,1))</f>
        <v/>
      </c>
      <c r="AS1315" s="351" t="str">
        <f>IFERROR(Table_NFI[[#This Row],[Kitchen Set]]/VLOOKUP(Table_NFI[[#This Row],[Camp Name]],CL,4,0),"")</f>
        <v/>
      </c>
      <c r="AT1315" s="538"/>
      <c r="AU1315" s="541"/>
    </row>
    <row r="1316" spans="1:47" ht="14.45" hidden="1" customHeight="1" x14ac:dyDescent="0.25">
      <c r="A1316" s="355" t="str">
        <f t="shared" si="21"/>
        <v/>
      </c>
      <c r="B1316" s="532"/>
      <c r="C1316" s="538"/>
      <c r="D1316" s="538"/>
      <c r="E1316" s="538"/>
      <c r="F1316" s="538"/>
      <c r="G1316" s="538"/>
      <c r="H1316" s="350"/>
      <c r="I1316" s="350"/>
      <c r="J1316" s="350"/>
      <c r="K1316" s="350"/>
      <c r="L1316" s="350"/>
      <c r="M1316" s="350"/>
      <c r="N1316" s="350"/>
      <c r="O1316" s="350"/>
      <c r="P1316" s="352"/>
      <c r="Q1316" s="558"/>
      <c r="R1316" s="558"/>
      <c r="S1316" s="558"/>
      <c r="T1316" s="558"/>
      <c r="U1316" s="558"/>
      <c r="V1316" s="497"/>
      <c r="W1316" s="558"/>
      <c r="X1316" s="558"/>
      <c r="Y1316" s="352">
        <f>IF(NFI_Expiration=1,IF($A1316&lt;VLOOKUP(H$5,NFI,5,0),1,0)*Table_NFI[[#This Row],[Hygiene Kit]],Table_NFI[Hygiene Kit])</f>
        <v>0</v>
      </c>
      <c r="Z1316" s="352">
        <f>IF(NFI_Expiration=1,IF($A1316&lt;VLOOKUP(I$5,NFI,5,0),1,0)*Table_NFI[[#This Row],[NFI Core Kit]],Table_NFI[NFI Core Kit])</f>
        <v>0</v>
      </c>
      <c r="AA1316" s="352">
        <f>IF(NFI_Expiration=1,IF($A1316&lt;VLOOKUP(J$5,NFI,5,0),1,0)*Table_NFI[[#This Row],[Sanitary Kit]],Table_NFI[Sanitary Kit])</f>
        <v>0</v>
      </c>
      <c r="AB1316" s="352">
        <f>IF(NFI_Expiration=1,IF($A1316&lt;VLOOKUP(K$5,NFI,5,0),1,0)*Table_NFI[[#This Row],[Mosquito net]],Table_NFI[Mosquito net])</f>
        <v>0</v>
      </c>
      <c r="AC1316" s="352">
        <f>IF(NFI_Expiration=1,IF($A1316&lt;VLOOKUP(L$5,NFI,5,0),1,0)*Table_NFI[[#This Row],[Tarpaulin]],Table_NFI[[#This Row],[Tarpaulin]])</f>
        <v>0</v>
      </c>
      <c r="AD1316" s="352">
        <f>IF(NFI_Expiration=1,IF($A1316&lt;VLOOKUP(M$5,NFI,5,0),1,0)*Table_NFI[[#This Row],[Blanket]],Table_NFI[[#This Row],[Blanket]])</f>
        <v>0</v>
      </c>
      <c r="AE1316" s="352">
        <f>IF(NFI_Expiration=1,IF($A1316&lt;VLOOKUP(N$5,NFI,5,0),1,0)*Table_NFI[[#This Row],[Kitchen Set]],Table_NFI[Kitchen Set])</f>
        <v>0</v>
      </c>
      <c r="AF1316" s="352">
        <f>IF(NFI_Expiration=1,IF($A1316&lt;VLOOKUP(O$5,NFI,5,0),1,0)*Table_NFI[[#This Row],[Clothes Kit]],Table_NFI[Clothes Kit])</f>
        <v>0</v>
      </c>
      <c r="AG1316" s="352">
        <f>IF(NFI_Expiration=1,IF($A1316&lt;VLOOKUP(P$5,NFI,5,0),1,0)*Table_NFI[[#This Row],[Plastic Bucket]],Table_NFI[Plastic Bucket])</f>
        <v>0</v>
      </c>
      <c r="AH1316" s="352">
        <f>IF(NFI_Expiration=1,IF($A1316&lt;VLOOKUP(Q$5,NFI,5,0),1,0)*Table_NFI[[#This Row],[Plastic Mat]],Table_NFI[Plastic Mat])*IF(Table_NFI[[#This Row],[Distribution Date]]&gt;"2014-04-01",1,2.5)</f>
        <v>0</v>
      </c>
      <c r="AI1316" s="352">
        <f>IF(NFI_Expiration=1,IF($A1316&lt;VLOOKUP(R$5,NFI,5,0),1,0)*Table_NFI[[#This Row],[Winter Clothes Adult]],Table_NFI[Winter Clothes Adult])</f>
        <v>0</v>
      </c>
      <c r="AJ1316" s="352">
        <f>IF(NFI_Expiration=1,IF($A1316&lt;VLOOKUP(S$5,NFI,5,0),1,0)*Table_NFI[[#This Row],[Winter Clothes Children]],Table_NFI[Winter Clothes Children])</f>
        <v>0</v>
      </c>
      <c r="AK1316" s="352">
        <f>IF(NFI_Expiration=1,IF($A1316&lt;VLOOKUP(T$5,NFI,5,0),1,0)*Table_NFI[[#This Row],[Winter Items Other]],Table_NFI[Winter Items Other])</f>
        <v>0</v>
      </c>
      <c r="AL1316" s="352">
        <f>IF(NFI_Expiration=1,IF($A1316&lt;VLOOKUP(M$5,NFI,5,0),1,0)*Table_NFI[[#This Row],[Winter Blanket]],Table_NFI[[#This Row],[Winter Blanket]])</f>
        <v>0</v>
      </c>
      <c r="AM1316" s="352">
        <f>IF(Table_NFI[[#This Row],[Winter Clothes Adult]]+Table_NFI[[#This Row],[Winter Clothes Children]]+Table_NFI[[#This Row],[Winter Items Other]]+Table_NFI[[#This Row],[Winter Blanket]]&gt;0,1,0)</f>
        <v>0</v>
      </c>
      <c r="AN1316" s="392">
        <f>IF(NFI_Expiration=1,IF($A1316&lt;VLOOKUP(V$5,NFI,5,0),1,0)*Table_NFI[[#This Row],[Jerry Can]],Table_NFI[Jerry Can])</f>
        <v>0</v>
      </c>
      <c r="AO1316" s="540" t="str">
        <f>IFERROR(VLOOKUP(Table_NFI[[#This Row],[Camp Name]],CL,2,0),"")</f>
        <v/>
      </c>
      <c r="AP1316" s="535" t="str">
        <f ca="1">IF(Table_NFI[[#This Row],[Pcode]]="","",IF(OFFSET(CampList[Opening Date],MATCH(Table_NFI[[#This Row],[Pcode]],CampList[CP_Pcode],0)-1,0,1,1)&gt;=NFI_Monitor_Date,1,0))</f>
        <v/>
      </c>
      <c r="AQ1316" s="540" t="str">
        <f>IFERROR(VLOOKUP(Table_NFI[[#This Row],[Camp Name]],CL,3,0),"")</f>
        <v/>
      </c>
      <c r="AR1316" s="352" t="str">
        <f ca="1">IF(Table_NFI[[#This Row],[Pcode]]="","",OFFSET(CampList[Priority],MATCH(Table_NFI[[#This Row],[Pcode]],CampList[CP_Pcode],0)-1,0,1,1))</f>
        <v/>
      </c>
      <c r="AS1316" s="351" t="str">
        <f>IFERROR(Table_NFI[[#This Row],[Kitchen Set]]/VLOOKUP(Table_NFI[[#This Row],[Camp Name]],CL,4,0),"")</f>
        <v/>
      </c>
      <c r="AT1316" s="538"/>
      <c r="AU1316" s="541"/>
    </row>
    <row r="1317" spans="1:47" ht="14.45" hidden="1" customHeight="1" x14ac:dyDescent="0.25">
      <c r="A1317" s="355" t="str">
        <f t="shared" si="21"/>
        <v/>
      </c>
      <c r="B1317" s="532"/>
      <c r="C1317" s="538"/>
      <c r="D1317" s="538"/>
      <c r="E1317" s="538"/>
      <c r="F1317" s="538"/>
      <c r="G1317" s="538"/>
      <c r="H1317" s="350"/>
      <c r="I1317" s="350"/>
      <c r="J1317" s="350"/>
      <c r="K1317" s="350"/>
      <c r="L1317" s="350"/>
      <c r="M1317" s="350"/>
      <c r="N1317" s="350"/>
      <c r="O1317" s="350"/>
      <c r="P1317" s="352"/>
      <c r="Q1317" s="558"/>
      <c r="R1317" s="558"/>
      <c r="S1317" s="558"/>
      <c r="T1317" s="558"/>
      <c r="U1317" s="558"/>
      <c r="V1317" s="497"/>
      <c r="W1317" s="558"/>
      <c r="X1317" s="558"/>
      <c r="Y1317" s="352">
        <f>IF(NFI_Expiration=1,IF($A1317&lt;VLOOKUP(H$5,NFI,5,0),1,0)*Table_NFI[[#This Row],[Hygiene Kit]],Table_NFI[Hygiene Kit])</f>
        <v>0</v>
      </c>
      <c r="Z1317" s="352">
        <f>IF(NFI_Expiration=1,IF($A1317&lt;VLOOKUP(I$5,NFI,5,0),1,0)*Table_NFI[[#This Row],[NFI Core Kit]],Table_NFI[NFI Core Kit])</f>
        <v>0</v>
      </c>
      <c r="AA1317" s="352">
        <f>IF(NFI_Expiration=1,IF($A1317&lt;VLOOKUP(J$5,NFI,5,0),1,0)*Table_NFI[[#This Row],[Sanitary Kit]],Table_NFI[Sanitary Kit])</f>
        <v>0</v>
      </c>
      <c r="AB1317" s="352">
        <f>IF(NFI_Expiration=1,IF($A1317&lt;VLOOKUP(K$5,NFI,5,0),1,0)*Table_NFI[[#This Row],[Mosquito net]],Table_NFI[Mosquito net])</f>
        <v>0</v>
      </c>
      <c r="AC1317" s="352">
        <f>IF(NFI_Expiration=1,IF($A1317&lt;VLOOKUP(L$5,NFI,5,0),1,0)*Table_NFI[[#This Row],[Tarpaulin]],Table_NFI[[#This Row],[Tarpaulin]])</f>
        <v>0</v>
      </c>
      <c r="AD1317" s="352">
        <f>IF(NFI_Expiration=1,IF($A1317&lt;VLOOKUP(M$5,NFI,5,0),1,0)*Table_NFI[[#This Row],[Blanket]],Table_NFI[[#This Row],[Blanket]])</f>
        <v>0</v>
      </c>
      <c r="AE1317" s="352">
        <f>IF(NFI_Expiration=1,IF($A1317&lt;VLOOKUP(N$5,NFI,5,0),1,0)*Table_NFI[[#This Row],[Kitchen Set]],Table_NFI[Kitchen Set])</f>
        <v>0</v>
      </c>
      <c r="AF1317" s="352">
        <f>IF(NFI_Expiration=1,IF($A1317&lt;VLOOKUP(O$5,NFI,5,0),1,0)*Table_NFI[[#This Row],[Clothes Kit]],Table_NFI[Clothes Kit])</f>
        <v>0</v>
      </c>
      <c r="AG1317" s="352">
        <f>IF(NFI_Expiration=1,IF($A1317&lt;VLOOKUP(P$5,NFI,5,0),1,0)*Table_NFI[[#This Row],[Plastic Bucket]],Table_NFI[Plastic Bucket])</f>
        <v>0</v>
      </c>
      <c r="AH1317" s="352">
        <f>IF(NFI_Expiration=1,IF($A1317&lt;VLOOKUP(Q$5,NFI,5,0),1,0)*Table_NFI[[#This Row],[Plastic Mat]],Table_NFI[Plastic Mat])*IF(Table_NFI[[#This Row],[Distribution Date]]&gt;"2014-04-01",1,2.5)</f>
        <v>0</v>
      </c>
      <c r="AI1317" s="352">
        <f>IF(NFI_Expiration=1,IF($A1317&lt;VLOOKUP(R$5,NFI,5,0),1,0)*Table_NFI[[#This Row],[Winter Clothes Adult]],Table_NFI[Winter Clothes Adult])</f>
        <v>0</v>
      </c>
      <c r="AJ1317" s="352">
        <f>IF(NFI_Expiration=1,IF($A1317&lt;VLOOKUP(S$5,NFI,5,0),1,0)*Table_NFI[[#This Row],[Winter Clothes Children]],Table_NFI[Winter Clothes Children])</f>
        <v>0</v>
      </c>
      <c r="AK1317" s="352">
        <f>IF(NFI_Expiration=1,IF($A1317&lt;VLOOKUP(T$5,NFI,5,0),1,0)*Table_NFI[[#This Row],[Winter Items Other]],Table_NFI[Winter Items Other])</f>
        <v>0</v>
      </c>
      <c r="AL1317" s="352">
        <f>IF(NFI_Expiration=1,IF($A1317&lt;VLOOKUP(M$5,NFI,5,0),1,0)*Table_NFI[[#This Row],[Winter Blanket]],Table_NFI[[#This Row],[Winter Blanket]])</f>
        <v>0</v>
      </c>
      <c r="AM1317" s="352">
        <f>IF(Table_NFI[[#This Row],[Winter Clothes Adult]]+Table_NFI[[#This Row],[Winter Clothes Children]]+Table_NFI[[#This Row],[Winter Items Other]]+Table_NFI[[#This Row],[Winter Blanket]]&gt;0,1,0)</f>
        <v>0</v>
      </c>
      <c r="AN1317" s="392">
        <f>IF(NFI_Expiration=1,IF($A1317&lt;VLOOKUP(V$5,NFI,5,0),1,0)*Table_NFI[[#This Row],[Jerry Can]],Table_NFI[Jerry Can])</f>
        <v>0</v>
      </c>
      <c r="AO1317" s="540" t="str">
        <f>IFERROR(VLOOKUP(Table_NFI[[#This Row],[Camp Name]],CL,2,0),"")</f>
        <v/>
      </c>
      <c r="AP1317" s="535" t="str">
        <f ca="1">IF(Table_NFI[[#This Row],[Pcode]]="","",IF(OFFSET(CampList[Opening Date],MATCH(Table_NFI[[#This Row],[Pcode]],CampList[CP_Pcode],0)-1,0,1,1)&gt;=NFI_Monitor_Date,1,0))</f>
        <v/>
      </c>
      <c r="AQ1317" s="540" t="str">
        <f>IFERROR(VLOOKUP(Table_NFI[[#This Row],[Camp Name]],CL,3,0),"")</f>
        <v/>
      </c>
      <c r="AR1317" s="352" t="str">
        <f ca="1">IF(Table_NFI[[#This Row],[Pcode]]="","",OFFSET(CampList[Priority],MATCH(Table_NFI[[#This Row],[Pcode]],CampList[CP_Pcode],0)-1,0,1,1))</f>
        <v/>
      </c>
      <c r="AS1317" s="351" t="str">
        <f>IFERROR(Table_NFI[[#This Row],[Kitchen Set]]/VLOOKUP(Table_NFI[[#This Row],[Camp Name]],CL,4,0),"")</f>
        <v/>
      </c>
      <c r="AT1317" s="538"/>
      <c r="AU1317" s="541"/>
    </row>
    <row r="1318" spans="1:47" ht="14.45" hidden="1" customHeight="1" x14ac:dyDescent="0.25">
      <c r="A1318" s="355" t="str">
        <f t="shared" si="21"/>
        <v/>
      </c>
      <c r="B1318" s="532"/>
      <c r="C1318" s="538"/>
      <c r="D1318" s="538"/>
      <c r="E1318" s="538"/>
      <c r="F1318" s="538"/>
      <c r="G1318" s="538"/>
      <c r="H1318" s="350"/>
      <c r="I1318" s="350"/>
      <c r="J1318" s="350"/>
      <c r="K1318" s="350"/>
      <c r="L1318" s="350"/>
      <c r="M1318" s="350"/>
      <c r="N1318" s="350"/>
      <c r="O1318" s="350"/>
      <c r="P1318" s="352"/>
      <c r="Q1318" s="558"/>
      <c r="R1318" s="558"/>
      <c r="S1318" s="558"/>
      <c r="T1318" s="558"/>
      <c r="U1318" s="558"/>
      <c r="V1318" s="497"/>
      <c r="W1318" s="558"/>
      <c r="X1318" s="558"/>
      <c r="Y1318" s="352">
        <f>IF(NFI_Expiration=1,IF($A1318&lt;VLOOKUP(H$5,NFI,5,0),1,0)*Table_NFI[[#This Row],[Hygiene Kit]],Table_NFI[Hygiene Kit])</f>
        <v>0</v>
      </c>
      <c r="Z1318" s="352">
        <f>IF(NFI_Expiration=1,IF($A1318&lt;VLOOKUP(I$5,NFI,5,0),1,0)*Table_NFI[[#This Row],[NFI Core Kit]],Table_NFI[NFI Core Kit])</f>
        <v>0</v>
      </c>
      <c r="AA1318" s="352">
        <f>IF(NFI_Expiration=1,IF($A1318&lt;VLOOKUP(J$5,NFI,5,0),1,0)*Table_NFI[[#This Row],[Sanitary Kit]],Table_NFI[Sanitary Kit])</f>
        <v>0</v>
      </c>
      <c r="AB1318" s="352">
        <f>IF(NFI_Expiration=1,IF($A1318&lt;VLOOKUP(K$5,NFI,5,0),1,0)*Table_NFI[[#This Row],[Mosquito net]],Table_NFI[Mosquito net])</f>
        <v>0</v>
      </c>
      <c r="AC1318" s="352">
        <f>IF(NFI_Expiration=1,IF($A1318&lt;VLOOKUP(L$5,NFI,5,0),1,0)*Table_NFI[[#This Row],[Tarpaulin]],Table_NFI[[#This Row],[Tarpaulin]])</f>
        <v>0</v>
      </c>
      <c r="AD1318" s="352">
        <f>IF(NFI_Expiration=1,IF($A1318&lt;VLOOKUP(M$5,NFI,5,0),1,0)*Table_NFI[[#This Row],[Blanket]],Table_NFI[[#This Row],[Blanket]])</f>
        <v>0</v>
      </c>
      <c r="AE1318" s="352">
        <f>IF(NFI_Expiration=1,IF($A1318&lt;VLOOKUP(N$5,NFI,5,0),1,0)*Table_NFI[[#This Row],[Kitchen Set]],Table_NFI[Kitchen Set])</f>
        <v>0</v>
      </c>
      <c r="AF1318" s="352">
        <f>IF(NFI_Expiration=1,IF($A1318&lt;VLOOKUP(O$5,NFI,5,0),1,0)*Table_NFI[[#This Row],[Clothes Kit]],Table_NFI[Clothes Kit])</f>
        <v>0</v>
      </c>
      <c r="AG1318" s="352">
        <f>IF(NFI_Expiration=1,IF($A1318&lt;VLOOKUP(P$5,NFI,5,0),1,0)*Table_NFI[[#This Row],[Plastic Bucket]],Table_NFI[Plastic Bucket])</f>
        <v>0</v>
      </c>
      <c r="AH1318" s="352">
        <f>IF(NFI_Expiration=1,IF($A1318&lt;VLOOKUP(Q$5,NFI,5,0),1,0)*Table_NFI[[#This Row],[Plastic Mat]],Table_NFI[Plastic Mat])*IF(Table_NFI[[#This Row],[Distribution Date]]&gt;"2014-04-01",1,2.5)</f>
        <v>0</v>
      </c>
      <c r="AI1318" s="352">
        <f>IF(NFI_Expiration=1,IF($A1318&lt;VLOOKUP(R$5,NFI,5,0),1,0)*Table_NFI[[#This Row],[Winter Clothes Adult]],Table_NFI[Winter Clothes Adult])</f>
        <v>0</v>
      </c>
      <c r="AJ1318" s="352">
        <f>IF(NFI_Expiration=1,IF($A1318&lt;VLOOKUP(S$5,NFI,5,0),1,0)*Table_NFI[[#This Row],[Winter Clothes Children]],Table_NFI[Winter Clothes Children])</f>
        <v>0</v>
      </c>
      <c r="AK1318" s="352">
        <f>IF(NFI_Expiration=1,IF($A1318&lt;VLOOKUP(T$5,NFI,5,0),1,0)*Table_NFI[[#This Row],[Winter Items Other]],Table_NFI[Winter Items Other])</f>
        <v>0</v>
      </c>
      <c r="AL1318" s="352">
        <f>IF(NFI_Expiration=1,IF($A1318&lt;VLOOKUP(M$5,NFI,5,0),1,0)*Table_NFI[[#This Row],[Winter Blanket]],Table_NFI[[#This Row],[Winter Blanket]])</f>
        <v>0</v>
      </c>
      <c r="AM1318" s="352">
        <f>IF(Table_NFI[[#This Row],[Winter Clothes Adult]]+Table_NFI[[#This Row],[Winter Clothes Children]]+Table_NFI[[#This Row],[Winter Items Other]]+Table_NFI[[#This Row],[Winter Blanket]]&gt;0,1,0)</f>
        <v>0</v>
      </c>
      <c r="AN1318" s="392">
        <f>IF(NFI_Expiration=1,IF($A1318&lt;VLOOKUP(V$5,NFI,5,0),1,0)*Table_NFI[[#This Row],[Jerry Can]],Table_NFI[Jerry Can])</f>
        <v>0</v>
      </c>
      <c r="AO1318" s="540" t="str">
        <f>IFERROR(VLOOKUP(Table_NFI[[#This Row],[Camp Name]],CL,2,0),"")</f>
        <v/>
      </c>
      <c r="AP1318" s="535" t="str">
        <f ca="1">IF(Table_NFI[[#This Row],[Pcode]]="","",IF(OFFSET(CampList[Opening Date],MATCH(Table_NFI[[#This Row],[Pcode]],CampList[CP_Pcode],0)-1,0,1,1)&gt;=NFI_Monitor_Date,1,0))</f>
        <v/>
      </c>
      <c r="AQ1318" s="540" t="str">
        <f>IFERROR(VLOOKUP(Table_NFI[[#This Row],[Camp Name]],CL,3,0),"")</f>
        <v/>
      </c>
      <c r="AR1318" s="352" t="str">
        <f ca="1">IF(Table_NFI[[#This Row],[Pcode]]="","",OFFSET(CampList[Priority],MATCH(Table_NFI[[#This Row],[Pcode]],CampList[CP_Pcode],0)-1,0,1,1))</f>
        <v/>
      </c>
      <c r="AS1318" s="351" t="str">
        <f>IFERROR(Table_NFI[[#This Row],[Kitchen Set]]/VLOOKUP(Table_NFI[[#This Row],[Camp Name]],CL,4,0),"")</f>
        <v/>
      </c>
      <c r="AT1318" s="538"/>
      <c r="AU1318" s="541"/>
    </row>
    <row r="1319" spans="1:47" ht="14.45" hidden="1" customHeight="1" x14ac:dyDescent="0.25">
      <c r="A1319" s="355" t="str">
        <f t="shared" si="21"/>
        <v/>
      </c>
      <c r="B1319" s="532"/>
      <c r="C1319" s="538"/>
      <c r="D1319" s="538"/>
      <c r="E1319" s="538"/>
      <c r="F1319" s="538"/>
      <c r="G1319" s="538"/>
      <c r="H1319" s="350"/>
      <c r="I1319" s="350"/>
      <c r="J1319" s="350"/>
      <c r="K1319" s="350"/>
      <c r="L1319" s="350"/>
      <c r="M1319" s="350"/>
      <c r="N1319" s="350"/>
      <c r="O1319" s="350"/>
      <c r="P1319" s="352"/>
      <c r="Q1319" s="558"/>
      <c r="R1319" s="558"/>
      <c r="S1319" s="558"/>
      <c r="T1319" s="558"/>
      <c r="U1319" s="558"/>
      <c r="V1319" s="497"/>
      <c r="W1319" s="558"/>
      <c r="X1319" s="558"/>
      <c r="Y1319" s="352">
        <f>IF(NFI_Expiration=1,IF($A1319&lt;VLOOKUP(H$5,NFI,5,0),1,0)*Table_NFI[[#This Row],[Hygiene Kit]],Table_NFI[Hygiene Kit])</f>
        <v>0</v>
      </c>
      <c r="Z1319" s="352">
        <f>IF(NFI_Expiration=1,IF($A1319&lt;VLOOKUP(I$5,NFI,5,0),1,0)*Table_NFI[[#This Row],[NFI Core Kit]],Table_NFI[NFI Core Kit])</f>
        <v>0</v>
      </c>
      <c r="AA1319" s="352">
        <f>IF(NFI_Expiration=1,IF($A1319&lt;VLOOKUP(J$5,NFI,5,0),1,0)*Table_NFI[[#This Row],[Sanitary Kit]],Table_NFI[Sanitary Kit])</f>
        <v>0</v>
      </c>
      <c r="AB1319" s="352">
        <f>IF(NFI_Expiration=1,IF($A1319&lt;VLOOKUP(K$5,NFI,5,0),1,0)*Table_NFI[[#This Row],[Mosquito net]],Table_NFI[Mosquito net])</f>
        <v>0</v>
      </c>
      <c r="AC1319" s="352">
        <f>IF(NFI_Expiration=1,IF($A1319&lt;VLOOKUP(L$5,NFI,5,0),1,0)*Table_NFI[[#This Row],[Tarpaulin]],Table_NFI[[#This Row],[Tarpaulin]])</f>
        <v>0</v>
      </c>
      <c r="AD1319" s="352">
        <f>IF(NFI_Expiration=1,IF($A1319&lt;VLOOKUP(M$5,NFI,5,0),1,0)*Table_NFI[[#This Row],[Blanket]],Table_NFI[[#This Row],[Blanket]])</f>
        <v>0</v>
      </c>
      <c r="AE1319" s="352">
        <f>IF(NFI_Expiration=1,IF($A1319&lt;VLOOKUP(N$5,NFI,5,0),1,0)*Table_NFI[[#This Row],[Kitchen Set]],Table_NFI[Kitchen Set])</f>
        <v>0</v>
      </c>
      <c r="AF1319" s="352">
        <f>IF(NFI_Expiration=1,IF($A1319&lt;VLOOKUP(O$5,NFI,5,0),1,0)*Table_NFI[[#This Row],[Clothes Kit]],Table_NFI[Clothes Kit])</f>
        <v>0</v>
      </c>
      <c r="AG1319" s="352">
        <f>IF(NFI_Expiration=1,IF($A1319&lt;VLOOKUP(P$5,NFI,5,0),1,0)*Table_NFI[[#This Row],[Plastic Bucket]],Table_NFI[Plastic Bucket])</f>
        <v>0</v>
      </c>
      <c r="AH1319" s="352">
        <f>IF(NFI_Expiration=1,IF($A1319&lt;VLOOKUP(Q$5,NFI,5,0),1,0)*Table_NFI[[#This Row],[Plastic Mat]],Table_NFI[Plastic Mat])*IF(Table_NFI[[#This Row],[Distribution Date]]&gt;"2014-04-01",1,2.5)</f>
        <v>0</v>
      </c>
      <c r="AI1319" s="352">
        <f>IF(NFI_Expiration=1,IF($A1319&lt;VLOOKUP(R$5,NFI,5,0),1,0)*Table_NFI[[#This Row],[Winter Clothes Adult]],Table_NFI[Winter Clothes Adult])</f>
        <v>0</v>
      </c>
      <c r="AJ1319" s="352">
        <f>IF(NFI_Expiration=1,IF($A1319&lt;VLOOKUP(S$5,NFI,5,0),1,0)*Table_NFI[[#This Row],[Winter Clothes Children]],Table_NFI[Winter Clothes Children])</f>
        <v>0</v>
      </c>
      <c r="AK1319" s="352">
        <f>IF(NFI_Expiration=1,IF($A1319&lt;VLOOKUP(T$5,NFI,5,0),1,0)*Table_NFI[[#This Row],[Winter Items Other]],Table_NFI[Winter Items Other])</f>
        <v>0</v>
      </c>
      <c r="AL1319" s="352">
        <f>IF(NFI_Expiration=1,IF($A1319&lt;VLOOKUP(M$5,NFI,5,0),1,0)*Table_NFI[[#This Row],[Winter Blanket]],Table_NFI[[#This Row],[Winter Blanket]])</f>
        <v>0</v>
      </c>
      <c r="AM1319" s="352">
        <f>IF(Table_NFI[[#This Row],[Winter Clothes Adult]]+Table_NFI[[#This Row],[Winter Clothes Children]]+Table_NFI[[#This Row],[Winter Items Other]]+Table_NFI[[#This Row],[Winter Blanket]]&gt;0,1,0)</f>
        <v>0</v>
      </c>
      <c r="AN1319" s="392">
        <f>IF(NFI_Expiration=1,IF($A1319&lt;VLOOKUP(V$5,NFI,5,0),1,0)*Table_NFI[[#This Row],[Jerry Can]],Table_NFI[Jerry Can])</f>
        <v>0</v>
      </c>
      <c r="AO1319" s="540" t="str">
        <f>IFERROR(VLOOKUP(Table_NFI[[#This Row],[Camp Name]],CL,2,0),"")</f>
        <v/>
      </c>
      <c r="AP1319" s="535" t="str">
        <f ca="1">IF(Table_NFI[[#This Row],[Pcode]]="","",IF(OFFSET(CampList[Opening Date],MATCH(Table_NFI[[#This Row],[Pcode]],CampList[CP_Pcode],0)-1,0,1,1)&gt;=NFI_Monitor_Date,1,0))</f>
        <v/>
      </c>
      <c r="AQ1319" s="540" t="str">
        <f>IFERROR(VLOOKUP(Table_NFI[[#This Row],[Camp Name]],CL,3,0),"")</f>
        <v/>
      </c>
      <c r="AR1319" s="352" t="str">
        <f ca="1">IF(Table_NFI[[#This Row],[Pcode]]="","",OFFSET(CampList[Priority],MATCH(Table_NFI[[#This Row],[Pcode]],CampList[CP_Pcode],0)-1,0,1,1))</f>
        <v/>
      </c>
      <c r="AS1319" s="351" t="str">
        <f>IFERROR(Table_NFI[[#This Row],[Kitchen Set]]/VLOOKUP(Table_NFI[[#This Row],[Camp Name]],CL,4,0),"")</f>
        <v/>
      </c>
      <c r="AT1319" s="538"/>
      <c r="AU1319" s="541"/>
    </row>
    <row r="1320" spans="1:47" ht="14.45" hidden="1" customHeight="1" x14ac:dyDescent="0.25">
      <c r="A1320" s="355" t="str">
        <f t="shared" si="21"/>
        <v/>
      </c>
      <c r="B1320" s="532"/>
      <c r="C1320" s="538"/>
      <c r="D1320" s="538"/>
      <c r="E1320" s="538"/>
      <c r="F1320" s="538"/>
      <c r="G1320" s="538"/>
      <c r="H1320" s="350"/>
      <c r="I1320" s="350"/>
      <c r="J1320" s="350"/>
      <c r="K1320" s="350"/>
      <c r="L1320" s="350"/>
      <c r="M1320" s="350"/>
      <c r="N1320" s="350"/>
      <c r="O1320" s="350"/>
      <c r="P1320" s="352"/>
      <c r="Q1320" s="558"/>
      <c r="R1320" s="558"/>
      <c r="S1320" s="558"/>
      <c r="T1320" s="558"/>
      <c r="U1320" s="558"/>
      <c r="V1320" s="497"/>
      <c r="W1320" s="558"/>
      <c r="X1320" s="558"/>
      <c r="Y1320" s="352">
        <f>IF(NFI_Expiration=1,IF($A1320&lt;VLOOKUP(H$5,NFI,5,0),1,0)*Table_NFI[[#This Row],[Hygiene Kit]],Table_NFI[Hygiene Kit])</f>
        <v>0</v>
      </c>
      <c r="Z1320" s="352">
        <f>IF(NFI_Expiration=1,IF($A1320&lt;VLOOKUP(I$5,NFI,5,0),1,0)*Table_NFI[[#This Row],[NFI Core Kit]],Table_NFI[NFI Core Kit])</f>
        <v>0</v>
      </c>
      <c r="AA1320" s="352">
        <f>IF(NFI_Expiration=1,IF($A1320&lt;VLOOKUP(J$5,NFI,5,0),1,0)*Table_NFI[[#This Row],[Sanitary Kit]],Table_NFI[Sanitary Kit])</f>
        <v>0</v>
      </c>
      <c r="AB1320" s="352">
        <f>IF(NFI_Expiration=1,IF($A1320&lt;VLOOKUP(K$5,NFI,5,0),1,0)*Table_NFI[[#This Row],[Mosquito net]],Table_NFI[Mosquito net])</f>
        <v>0</v>
      </c>
      <c r="AC1320" s="352">
        <f>IF(NFI_Expiration=1,IF($A1320&lt;VLOOKUP(L$5,NFI,5,0),1,0)*Table_NFI[[#This Row],[Tarpaulin]],Table_NFI[[#This Row],[Tarpaulin]])</f>
        <v>0</v>
      </c>
      <c r="AD1320" s="352">
        <f>IF(NFI_Expiration=1,IF($A1320&lt;VLOOKUP(M$5,NFI,5,0),1,0)*Table_NFI[[#This Row],[Blanket]],Table_NFI[[#This Row],[Blanket]])</f>
        <v>0</v>
      </c>
      <c r="AE1320" s="352">
        <f>IF(NFI_Expiration=1,IF($A1320&lt;VLOOKUP(N$5,NFI,5,0),1,0)*Table_NFI[[#This Row],[Kitchen Set]],Table_NFI[Kitchen Set])</f>
        <v>0</v>
      </c>
      <c r="AF1320" s="352">
        <f>IF(NFI_Expiration=1,IF($A1320&lt;VLOOKUP(O$5,NFI,5,0),1,0)*Table_NFI[[#This Row],[Clothes Kit]],Table_NFI[Clothes Kit])</f>
        <v>0</v>
      </c>
      <c r="AG1320" s="352">
        <f>IF(NFI_Expiration=1,IF($A1320&lt;VLOOKUP(P$5,NFI,5,0),1,0)*Table_NFI[[#This Row],[Plastic Bucket]],Table_NFI[Plastic Bucket])</f>
        <v>0</v>
      </c>
      <c r="AH1320" s="352">
        <f>IF(NFI_Expiration=1,IF($A1320&lt;VLOOKUP(Q$5,NFI,5,0),1,0)*Table_NFI[[#This Row],[Plastic Mat]],Table_NFI[Plastic Mat])*IF(Table_NFI[[#This Row],[Distribution Date]]&gt;"2014-04-01",1,2.5)</f>
        <v>0</v>
      </c>
      <c r="AI1320" s="352">
        <f>IF(NFI_Expiration=1,IF($A1320&lt;VLOOKUP(R$5,NFI,5,0),1,0)*Table_NFI[[#This Row],[Winter Clothes Adult]],Table_NFI[Winter Clothes Adult])</f>
        <v>0</v>
      </c>
      <c r="AJ1320" s="352">
        <f>IF(NFI_Expiration=1,IF($A1320&lt;VLOOKUP(S$5,NFI,5,0),1,0)*Table_NFI[[#This Row],[Winter Clothes Children]],Table_NFI[Winter Clothes Children])</f>
        <v>0</v>
      </c>
      <c r="AK1320" s="352">
        <f>IF(NFI_Expiration=1,IF($A1320&lt;VLOOKUP(T$5,NFI,5,0),1,0)*Table_NFI[[#This Row],[Winter Items Other]],Table_NFI[Winter Items Other])</f>
        <v>0</v>
      </c>
      <c r="AL1320" s="352">
        <f>IF(NFI_Expiration=1,IF($A1320&lt;VLOOKUP(M$5,NFI,5,0),1,0)*Table_NFI[[#This Row],[Winter Blanket]],Table_NFI[[#This Row],[Winter Blanket]])</f>
        <v>0</v>
      </c>
      <c r="AM1320" s="352">
        <f>IF(Table_NFI[[#This Row],[Winter Clothes Adult]]+Table_NFI[[#This Row],[Winter Clothes Children]]+Table_NFI[[#This Row],[Winter Items Other]]+Table_NFI[[#This Row],[Winter Blanket]]&gt;0,1,0)</f>
        <v>0</v>
      </c>
      <c r="AN1320" s="392">
        <f>IF(NFI_Expiration=1,IF($A1320&lt;VLOOKUP(V$5,NFI,5,0),1,0)*Table_NFI[[#This Row],[Jerry Can]],Table_NFI[Jerry Can])</f>
        <v>0</v>
      </c>
      <c r="AO1320" s="540" t="str">
        <f>IFERROR(VLOOKUP(Table_NFI[[#This Row],[Camp Name]],CL,2,0),"")</f>
        <v/>
      </c>
      <c r="AP1320" s="535" t="str">
        <f ca="1">IF(Table_NFI[[#This Row],[Pcode]]="","",IF(OFFSET(CampList[Opening Date],MATCH(Table_NFI[[#This Row],[Pcode]],CampList[CP_Pcode],0)-1,0,1,1)&gt;=NFI_Monitor_Date,1,0))</f>
        <v/>
      </c>
      <c r="AQ1320" s="540" t="str">
        <f>IFERROR(VLOOKUP(Table_NFI[[#This Row],[Camp Name]],CL,3,0),"")</f>
        <v/>
      </c>
      <c r="AR1320" s="352" t="str">
        <f ca="1">IF(Table_NFI[[#This Row],[Pcode]]="","",OFFSET(CampList[Priority],MATCH(Table_NFI[[#This Row],[Pcode]],CampList[CP_Pcode],0)-1,0,1,1))</f>
        <v/>
      </c>
      <c r="AS1320" s="351" t="str">
        <f>IFERROR(Table_NFI[[#This Row],[Kitchen Set]]/VLOOKUP(Table_NFI[[#This Row],[Camp Name]],CL,4,0),"")</f>
        <v/>
      </c>
      <c r="AT1320" s="538"/>
      <c r="AU1320" s="541"/>
    </row>
    <row r="1321" spans="1:47" ht="14.45" hidden="1" customHeight="1" x14ac:dyDescent="0.25">
      <c r="A1321" s="355" t="str">
        <f t="shared" si="21"/>
        <v/>
      </c>
      <c r="B1321" s="532"/>
      <c r="C1321" s="538"/>
      <c r="D1321" s="538"/>
      <c r="E1321" s="538"/>
      <c r="F1321" s="538"/>
      <c r="G1321" s="538"/>
      <c r="H1321" s="350"/>
      <c r="I1321" s="350"/>
      <c r="J1321" s="350"/>
      <c r="K1321" s="350"/>
      <c r="L1321" s="350"/>
      <c r="M1321" s="350"/>
      <c r="N1321" s="350"/>
      <c r="O1321" s="350"/>
      <c r="P1321" s="352"/>
      <c r="Q1321" s="558"/>
      <c r="R1321" s="558"/>
      <c r="S1321" s="558"/>
      <c r="T1321" s="558"/>
      <c r="U1321" s="558"/>
      <c r="V1321" s="497"/>
      <c r="W1321" s="558"/>
      <c r="X1321" s="558"/>
      <c r="Y1321" s="352">
        <f>IF(NFI_Expiration=1,IF($A1321&lt;VLOOKUP(H$5,NFI,5,0),1,0)*Table_NFI[[#This Row],[Hygiene Kit]],Table_NFI[Hygiene Kit])</f>
        <v>0</v>
      </c>
      <c r="Z1321" s="352">
        <f>IF(NFI_Expiration=1,IF($A1321&lt;VLOOKUP(I$5,NFI,5,0),1,0)*Table_NFI[[#This Row],[NFI Core Kit]],Table_NFI[NFI Core Kit])</f>
        <v>0</v>
      </c>
      <c r="AA1321" s="352">
        <f>IF(NFI_Expiration=1,IF($A1321&lt;VLOOKUP(J$5,NFI,5,0),1,0)*Table_NFI[[#This Row],[Sanitary Kit]],Table_NFI[Sanitary Kit])</f>
        <v>0</v>
      </c>
      <c r="AB1321" s="352">
        <f>IF(NFI_Expiration=1,IF($A1321&lt;VLOOKUP(K$5,NFI,5,0),1,0)*Table_NFI[[#This Row],[Mosquito net]],Table_NFI[Mosquito net])</f>
        <v>0</v>
      </c>
      <c r="AC1321" s="352">
        <f>IF(NFI_Expiration=1,IF($A1321&lt;VLOOKUP(L$5,NFI,5,0),1,0)*Table_NFI[[#This Row],[Tarpaulin]],Table_NFI[[#This Row],[Tarpaulin]])</f>
        <v>0</v>
      </c>
      <c r="AD1321" s="352">
        <f>IF(NFI_Expiration=1,IF($A1321&lt;VLOOKUP(M$5,NFI,5,0),1,0)*Table_NFI[[#This Row],[Blanket]],Table_NFI[[#This Row],[Blanket]])</f>
        <v>0</v>
      </c>
      <c r="AE1321" s="352">
        <f>IF(NFI_Expiration=1,IF($A1321&lt;VLOOKUP(N$5,NFI,5,0),1,0)*Table_NFI[[#This Row],[Kitchen Set]],Table_NFI[Kitchen Set])</f>
        <v>0</v>
      </c>
      <c r="AF1321" s="352">
        <f>IF(NFI_Expiration=1,IF($A1321&lt;VLOOKUP(O$5,NFI,5,0),1,0)*Table_NFI[[#This Row],[Clothes Kit]],Table_NFI[Clothes Kit])</f>
        <v>0</v>
      </c>
      <c r="AG1321" s="352">
        <f>IF(NFI_Expiration=1,IF($A1321&lt;VLOOKUP(P$5,NFI,5,0),1,0)*Table_NFI[[#This Row],[Plastic Bucket]],Table_NFI[Plastic Bucket])</f>
        <v>0</v>
      </c>
      <c r="AH1321" s="352">
        <f>IF(NFI_Expiration=1,IF($A1321&lt;VLOOKUP(Q$5,NFI,5,0),1,0)*Table_NFI[[#This Row],[Plastic Mat]],Table_NFI[Plastic Mat])*IF(Table_NFI[[#This Row],[Distribution Date]]&gt;"2014-04-01",1,2.5)</f>
        <v>0</v>
      </c>
      <c r="AI1321" s="352">
        <f>IF(NFI_Expiration=1,IF($A1321&lt;VLOOKUP(R$5,NFI,5,0),1,0)*Table_NFI[[#This Row],[Winter Clothes Adult]],Table_NFI[Winter Clothes Adult])</f>
        <v>0</v>
      </c>
      <c r="AJ1321" s="352">
        <f>IF(NFI_Expiration=1,IF($A1321&lt;VLOOKUP(S$5,NFI,5,0),1,0)*Table_NFI[[#This Row],[Winter Clothes Children]],Table_NFI[Winter Clothes Children])</f>
        <v>0</v>
      </c>
      <c r="AK1321" s="352">
        <f>IF(NFI_Expiration=1,IF($A1321&lt;VLOOKUP(T$5,NFI,5,0),1,0)*Table_NFI[[#This Row],[Winter Items Other]],Table_NFI[Winter Items Other])</f>
        <v>0</v>
      </c>
      <c r="AL1321" s="352">
        <f>IF(NFI_Expiration=1,IF($A1321&lt;VLOOKUP(M$5,NFI,5,0),1,0)*Table_NFI[[#This Row],[Winter Blanket]],Table_NFI[[#This Row],[Winter Blanket]])</f>
        <v>0</v>
      </c>
      <c r="AM1321" s="352">
        <f>IF(Table_NFI[[#This Row],[Winter Clothes Adult]]+Table_NFI[[#This Row],[Winter Clothes Children]]+Table_NFI[[#This Row],[Winter Items Other]]+Table_NFI[[#This Row],[Winter Blanket]]&gt;0,1,0)</f>
        <v>0</v>
      </c>
      <c r="AN1321" s="392">
        <f>IF(NFI_Expiration=1,IF($A1321&lt;VLOOKUP(V$5,NFI,5,0),1,0)*Table_NFI[[#This Row],[Jerry Can]],Table_NFI[Jerry Can])</f>
        <v>0</v>
      </c>
      <c r="AO1321" s="540" t="str">
        <f>IFERROR(VLOOKUP(Table_NFI[[#This Row],[Camp Name]],CL,2,0),"")</f>
        <v/>
      </c>
      <c r="AP1321" s="535" t="str">
        <f ca="1">IF(Table_NFI[[#This Row],[Pcode]]="","",IF(OFFSET(CampList[Opening Date],MATCH(Table_NFI[[#This Row],[Pcode]],CampList[CP_Pcode],0)-1,0,1,1)&gt;=NFI_Monitor_Date,1,0))</f>
        <v/>
      </c>
      <c r="AQ1321" s="540" t="str">
        <f>IFERROR(VLOOKUP(Table_NFI[[#This Row],[Camp Name]],CL,3,0),"")</f>
        <v/>
      </c>
      <c r="AR1321" s="352" t="str">
        <f ca="1">IF(Table_NFI[[#This Row],[Pcode]]="","",OFFSET(CampList[Priority],MATCH(Table_NFI[[#This Row],[Pcode]],CampList[CP_Pcode],0)-1,0,1,1))</f>
        <v/>
      </c>
      <c r="AS1321" s="351" t="str">
        <f>IFERROR(Table_NFI[[#This Row],[Kitchen Set]]/VLOOKUP(Table_NFI[[#This Row],[Camp Name]],CL,4,0),"")</f>
        <v/>
      </c>
      <c r="AT1321" s="538"/>
      <c r="AU1321" s="541"/>
    </row>
    <row r="1322" spans="1:47" ht="14.45" hidden="1" customHeight="1" x14ac:dyDescent="0.25">
      <c r="A1322" s="355" t="str">
        <f t="shared" si="21"/>
        <v/>
      </c>
      <c r="B1322" s="532"/>
      <c r="C1322" s="538"/>
      <c r="D1322" s="538"/>
      <c r="E1322" s="538"/>
      <c r="F1322" s="538"/>
      <c r="G1322" s="538"/>
      <c r="H1322" s="350"/>
      <c r="I1322" s="350"/>
      <c r="J1322" s="350"/>
      <c r="K1322" s="350"/>
      <c r="L1322" s="350"/>
      <c r="M1322" s="350"/>
      <c r="N1322" s="350"/>
      <c r="O1322" s="350"/>
      <c r="P1322" s="352"/>
      <c r="Q1322" s="558"/>
      <c r="R1322" s="558"/>
      <c r="S1322" s="558"/>
      <c r="T1322" s="558"/>
      <c r="U1322" s="558"/>
      <c r="V1322" s="497"/>
      <c r="W1322" s="558"/>
      <c r="X1322" s="558"/>
      <c r="Y1322" s="352">
        <f>IF(NFI_Expiration=1,IF($A1322&lt;VLOOKUP(H$5,NFI,5,0),1,0)*Table_NFI[[#This Row],[Hygiene Kit]],Table_NFI[Hygiene Kit])</f>
        <v>0</v>
      </c>
      <c r="Z1322" s="352">
        <f>IF(NFI_Expiration=1,IF($A1322&lt;VLOOKUP(I$5,NFI,5,0),1,0)*Table_NFI[[#This Row],[NFI Core Kit]],Table_NFI[NFI Core Kit])</f>
        <v>0</v>
      </c>
      <c r="AA1322" s="352">
        <f>IF(NFI_Expiration=1,IF($A1322&lt;VLOOKUP(J$5,NFI,5,0),1,0)*Table_NFI[[#This Row],[Sanitary Kit]],Table_NFI[Sanitary Kit])</f>
        <v>0</v>
      </c>
      <c r="AB1322" s="352">
        <f>IF(NFI_Expiration=1,IF($A1322&lt;VLOOKUP(K$5,NFI,5,0),1,0)*Table_NFI[[#This Row],[Mosquito net]],Table_NFI[Mosquito net])</f>
        <v>0</v>
      </c>
      <c r="AC1322" s="352">
        <f>IF(NFI_Expiration=1,IF($A1322&lt;VLOOKUP(L$5,NFI,5,0),1,0)*Table_NFI[[#This Row],[Tarpaulin]],Table_NFI[[#This Row],[Tarpaulin]])</f>
        <v>0</v>
      </c>
      <c r="AD1322" s="352">
        <f>IF(NFI_Expiration=1,IF($A1322&lt;VLOOKUP(M$5,NFI,5,0),1,0)*Table_NFI[[#This Row],[Blanket]],Table_NFI[[#This Row],[Blanket]])</f>
        <v>0</v>
      </c>
      <c r="AE1322" s="352">
        <f>IF(NFI_Expiration=1,IF($A1322&lt;VLOOKUP(N$5,NFI,5,0),1,0)*Table_NFI[[#This Row],[Kitchen Set]],Table_NFI[Kitchen Set])</f>
        <v>0</v>
      </c>
      <c r="AF1322" s="352">
        <f>IF(NFI_Expiration=1,IF($A1322&lt;VLOOKUP(O$5,NFI,5,0),1,0)*Table_NFI[[#This Row],[Clothes Kit]],Table_NFI[Clothes Kit])</f>
        <v>0</v>
      </c>
      <c r="AG1322" s="352">
        <f>IF(NFI_Expiration=1,IF($A1322&lt;VLOOKUP(P$5,NFI,5,0),1,0)*Table_NFI[[#This Row],[Plastic Bucket]],Table_NFI[Plastic Bucket])</f>
        <v>0</v>
      </c>
      <c r="AH1322" s="352">
        <f>IF(NFI_Expiration=1,IF($A1322&lt;VLOOKUP(Q$5,NFI,5,0),1,0)*Table_NFI[[#This Row],[Plastic Mat]],Table_NFI[Plastic Mat])*IF(Table_NFI[[#This Row],[Distribution Date]]&gt;"2014-04-01",1,2.5)</f>
        <v>0</v>
      </c>
      <c r="AI1322" s="352">
        <f>IF(NFI_Expiration=1,IF($A1322&lt;VLOOKUP(R$5,NFI,5,0),1,0)*Table_NFI[[#This Row],[Winter Clothes Adult]],Table_NFI[Winter Clothes Adult])</f>
        <v>0</v>
      </c>
      <c r="AJ1322" s="352">
        <f>IF(NFI_Expiration=1,IF($A1322&lt;VLOOKUP(S$5,NFI,5,0),1,0)*Table_NFI[[#This Row],[Winter Clothes Children]],Table_NFI[Winter Clothes Children])</f>
        <v>0</v>
      </c>
      <c r="AK1322" s="352">
        <f>IF(NFI_Expiration=1,IF($A1322&lt;VLOOKUP(T$5,NFI,5,0),1,0)*Table_NFI[[#This Row],[Winter Items Other]],Table_NFI[Winter Items Other])</f>
        <v>0</v>
      </c>
      <c r="AL1322" s="352">
        <f>IF(NFI_Expiration=1,IF($A1322&lt;VLOOKUP(M$5,NFI,5,0),1,0)*Table_NFI[[#This Row],[Winter Blanket]],Table_NFI[[#This Row],[Winter Blanket]])</f>
        <v>0</v>
      </c>
      <c r="AM1322" s="352">
        <f>IF(Table_NFI[[#This Row],[Winter Clothes Adult]]+Table_NFI[[#This Row],[Winter Clothes Children]]+Table_NFI[[#This Row],[Winter Items Other]]+Table_NFI[[#This Row],[Winter Blanket]]&gt;0,1,0)</f>
        <v>0</v>
      </c>
      <c r="AN1322" s="392">
        <f>IF(NFI_Expiration=1,IF($A1322&lt;VLOOKUP(V$5,NFI,5,0),1,0)*Table_NFI[[#This Row],[Jerry Can]],Table_NFI[Jerry Can])</f>
        <v>0</v>
      </c>
      <c r="AO1322" s="540" t="str">
        <f>IFERROR(VLOOKUP(Table_NFI[[#This Row],[Camp Name]],CL,2,0),"")</f>
        <v/>
      </c>
      <c r="AP1322" s="535" t="str">
        <f ca="1">IF(Table_NFI[[#This Row],[Pcode]]="","",IF(OFFSET(CampList[Opening Date],MATCH(Table_NFI[[#This Row],[Pcode]],CampList[CP_Pcode],0)-1,0,1,1)&gt;=NFI_Monitor_Date,1,0))</f>
        <v/>
      </c>
      <c r="AQ1322" s="540" t="str">
        <f>IFERROR(VLOOKUP(Table_NFI[[#This Row],[Camp Name]],CL,3,0),"")</f>
        <v/>
      </c>
      <c r="AR1322" s="352" t="str">
        <f ca="1">IF(Table_NFI[[#This Row],[Pcode]]="","",OFFSET(CampList[Priority],MATCH(Table_NFI[[#This Row],[Pcode]],CampList[CP_Pcode],0)-1,0,1,1))</f>
        <v/>
      </c>
      <c r="AS1322" s="351" t="str">
        <f>IFERROR(Table_NFI[[#This Row],[Kitchen Set]]/VLOOKUP(Table_NFI[[#This Row],[Camp Name]],CL,4,0),"")</f>
        <v/>
      </c>
      <c r="AT1322" s="538"/>
      <c r="AU1322" s="541"/>
    </row>
    <row r="1323" spans="1:47" ht="14.45" hidden="1" customHeight="1" x14ac:dyDescent="0.25">
      <c r="A1323" s="355" t="str">
        <f t="shared" si="21"/>
        <v/>
      </c>
      <c r="B1323" s="532"/>
      <c r="C1323" s="538"/>
      <c r="D1323" s="538"/>
      <c r="E1323" s="538"/>
      <c r="F1323" s="538"/>
      <c r="G1323" s="538"/>
      <c r="H1323" s="350"/>
      <c r="I1323" s="350"/>
      <c r="J1323" s="350"/>
      <c r="K1323" s="350"/>
      <c r="L1323" s="350"/>
      <c r="M1323" s="350"/>
      <c r="N1323" s="350"/>
      <c r="O1323" s="350"/>
      <c r="P1323" s="352"/>
      <c r="Q1323" s="558"/>
      <c r="R1323" s="558"/>
      <c r="S1323" s="558"/>
      <c r="T1323" s="558"/>
      <c r="U1323" s="558"/>
      <c r="V1323" s="497"/>
      <c r="W1323" s="558"/>
      <c r="X1323" s="558"/>
      <c r="Y1323" s="352">
        <f>IF(NFI_Expiration=1,IF($A1323&lt;VLOOKUP(H$5,NFI,5,0),1,0)*Table_NFI[[#This Row],[Hygiene Kit]],Table_NFI[Hygiene Kit])</f>
        <v>0</v>
      </c>
      <c r="Z1323" s="352">
        <f>IF(NFI_Expiration=1,IF($A1323&lt;VLOOKUP(I$5,NFI,5,0),1,0)*Table_NFI[[#This Row],[NFI Core Kit]],Table_NFI[NFI Core Kit])</f>
        <v>0</v>
      </c>
      <c r="AA1323" s="352">
        <f>IF(NFI_Expiration=1,IF($A1323&lt;VLOOKUP(J$5,NFI,5,0),1,0)*Table_NFI[[#This Row],[Sanitary Kit]],Table_NFI[Sanitary Kit])</f>
        <v>0</v>
      </c>
      <c r="AB1323" s="352">
        <f>IF(NFI_Expiration=1,IF($A1323&lt;VLOOKUP(K$5,NFI,5,0),1,0)*Table_NFI[[#This Row],[Mosquito net]],Table_NFI[Mosquito net])</f>
        <v>0</v>
      </c>
      <c r="AC1323" s="352">
        <f>IF(NFI_Expiration=1,IF($A1323&lt;VLOOKUP(L$5,NFI,5,0),1,0)*Table_NFI[[#This Row],[Tarpaulin]],Table_NFI[[#This Row],[Tarpaulin]])</f>
        <v>0</v>
      </c>
      <c r="AD1323" s="352">
        <f>IF(NFI_Expiration=1,IF($A1323&lt;VLOOKUP(M$5,NFI,5,0),1,0)*Table_NFI[[#This Row],[Blanket]],Table_NFI[[#This Row],[Blanket]])</f>
        <v>0</v>
      </c>
      <c r="AE1323" s="352">
        <f>IF(NFI_Expiration=1,IF($A1323&lt;VLOOKUP(N$5,NFI,5,0),1,0)*Table_NFI[[#This Row],[Kitchen Set]],Table_NFI[Kitchen Set])</f>
        <v>0</v>
      </c>
      <c r="AF1323" s="352">
        <f>IF(NFI_Expiration=1,IF($A1323&lt;VLOOKUP(O$5,NFI,5,0),1,0)*Table_NFI[[#This Row],[Clothes Kit]],Table_NFI[Clothes Kit])</f>
        <v>0</v>
      </c>
      <c r="AG1323" s="352">
        <f>IF(NFI_Expiration=1,IF($A1323&lt;VLOOKUP(P$5,NFI,5,0),1,0)*Table_NFI[[#This Row],[Plastic Bucket]],Table_NFI[Plastic Bucket])</f>
        <v>0</v>
      </c>
      <c r="AH1323" s="352">
        <f>IF(NFI_Expiration=1,IF($A1323&lt;VLOOKUP(Q$5,NFI,5,0),1,0)*Table_NFI[[#This Row],[Plastic Mat]],Table_NFI[Plastic Mat])*IF(Table_NFI[[#This Row],[Distribution Date]]&gt;"2014-04-01",1,2.5)</f>
        <v>0</v>
      </c>
      <c r="AI1323" s="352">
        <f>IF(NFI_Expiration=1,IF($A1323&lt;VLOOKUP(R$5,NFI,5,0),1,0)*Table_NFI[[#This Row],[Winter Clothes Adult]],Table_NFI[Winter Clothes Adult])</f>
        <v>0</v>
      </c>
      <c r="AJ1323" s="352">
        <f>IF(NFI_Expiration=1,IF($A1323&lt;VLOOKUP(S$5,NFI,5,0),1,0)*Table_NFI[[#This Row],[Winter Clothes Children]],Table_NFI[Winter Clothes Children])</f>
        <v>0</v>
      </c>
      <c r="AK1323" s="352">
        <f>IF(NFI_Expiration=1,IF($A1323&lt;VLOOKUP(T$5,NFI,5,0),1,0)*Table_NFI[[#This Row],[Winter Items Other]],Table_NFI[Winter Items Other])</f>
        <v>0</v>
      </c>
      <c r="AL1323" s="352">
        <f>IF(NFI_Expiration=1,IF($A1323&lt;VLOOKUP(M$5,NFI,5,0),1,0)*Table_NFI[[#This Row],[Winter Blanket]],Table_NFI[[#This Row],[Winter Blanket]])</f>
        <v>0</v>
      </c>
      <c r="AM1323" s="352">
        <f>IF(Table_NFI[[#This Row],[Winter Clothes Adult]]+Table_NFI[[#This Row],[Winter Clothes Children]]+Table_NFI[[#This Row],[Winter Items Other]]+Table_NFI[[#This Row],[Winter Blanket]]&gt;0,1,0)</f>
        <v>0</v>
      </c>
      <c r="AN1323" s="392">
        <f>IF(NFI_Expiration=1,IF($A1323&lt;VLOOKUP(V$5,NFI,5,0),1,0)*Table_NFI[[#This Row],[Jerry Can]],Table_NFI[Jerry Can])</f>
        <v>0</v>
      </c>
      <c r="AO1323" s="540" t="str">
        <f>IFERROR(VLOOKUP(Table_NFI[[#This Row],[Camp Name]],CL,2,0),"")</f>
        <v/>
      </c>
      <c r="AP1323" s="535" t="str">
        <f ca="1">IF(Table_NFI[[#This Row],[Pcode]]="","",IF(OFFSET(CampList[Opening Date],MATCH(Table_NFI[[#This Row],[Pcode]],CampList[CP_Pcode],0)-1,0,1,1)&gt;=NFI_Monitor_Date,1,0))</f>
        <v/>
      </c>
      <c r="AQ1323" s="540" t="str">
        <f>IFERROR(VLOOKUP(Table_NFI[[#This Row],[Camp Name]],CL,3,0),"")</f>
        <v/>
      </c>
      <c r="AR1323" s="352" t="str">
        <f ca="1">IF(Table_NFI[[#This Row],[Pcode]]="","",OFFSET(CampList[Priority],MATCH(Table_NFI[[#This Row],[Pcode]],CampList[CP_Pcode],0)-1,0,1,1))</f>
        <v/>
      </c>
      <c r="AS1323" s="351" t="str">
        <f>IFERROR(Table_NFI[[#This Row],[Kitchen Set]]/VLOOKUP(Table_NFI[[#This Row],[Camp Name]],CL,4,0),"")</f>
        <v/>
      </c>
      <c r="AT1323" s="538"/>
      <c r="AU1323" s="541"/>
    </row>
    <row r="1324" spans="1:47" ht="14.45" hidden="1" customHeight="1" x14ac:dyDescent="0.25">
      <c r="A1324" s="355" t="str">
        <f t="shared" si="21"/>
        <v/>
      </c>
      <c r="B1324" s="532"/>
      <c r="C1324" s="538"/>
      <c r="D1324" s="538"/>
      <c r="E1324" s="538"/>
      <c r="F1324" s="538"/>
      <c r="G1324" s="538"/>
      <c r="H1324" s="350"/>
      <c r="I1324" s="350"/>
      <c r="J1324" s="350"/>
      <c r="K1324" s="350"/>
      <c r="L1324" s="350"/>
      <c r="M1324" s="350"/>
      <c r="N1324" s="350"/>
      <c r="O1324" s="350"/>
      <c r="P1324" s="352"/>
      <c r="Q1324" s="558"/>
      <c r="R1324" s="558"/>
      <c r="S1324" s="558"/>
      <c r="T1324" s="558"/>
      <c r="U1324" s="558"/>
      <c r="V1324" s="497"/>
      <c r="W1324" s="558"/>
      <c r="X1324" s="558"/>
      <c r="Y1324" s="352">
        <f>IF(NFI_Expiration=1,IF($A1324&lt;VLOOKUP(H$5,NFI,5,0),1,0)*Table_NFI[[#This Row],[Hygiene Kit]],Table_NFI[Hygiene Kit])</f>
        <v>0</v>
      </c>
      <c r="Z1324" s="352">
        <f>IF(NFI_Expiration=1,IF($A1324&lt;VLOOKUP(I$5,NFI,5,0),1,0)*Table_NFI[[#This Row],[NFI Core Kit]],Table_NFI[NFI Core Kit])</f>
        <v>0</v>
      </c>
      <c r="AA1324" s="352">
        <f>IF(NFI_Expiration=1,IF($A1324&lt;VLOOKUP(J$5,NFI,5,0),1,0)*Table_NFI[[#This Row],[Sanitary Kit]],Table_NFI[Sanitary Kit])</f>
        <v>0</v>
      </c>
      <c r="AB1324" s="352">
        <f>IF(NFI_Expiration=1,IF($A1324&lt;VLOOKUP(K$5,NFI,5,0),1,0)*Table_NFI[[#This Row],[Mosquito net]],Table_NFI[Mosquito net])</f>
        <v>0</v>
      </c>
      <c r="AC1324" s="352">
        <f>IF(NFI_Expiration=1,IF($A1324&lt;VLOOKUP(L$5,NFI,5,0),1,0)*Table_NFI[[#This Row],[Tarpaulin]],Table_NFI[[#This Row],[Tarpaulin]])</f>
        <v>0</v>
      </c>
      <c r="AD1324" s="352">
        <f>IF(NFI_Expiration=1,IF($A1324&lt;VLOOKUP(M$5,NFI,5,0),1,0)*Table_NFI[[#This Row],[Blanket]],Table_NFI[[#This Row],[Blanket]])</f>
        <v>0</v>
      </c>
      <c r="AE1324" s="352">
        <f>IF(NFI_Expiration=1,IF($A1324&lt;VLOOKUP(N$5,NFI,5,0),1,0)*Table_NFI[[#This Row],[Kitchen Set]],Table_NFI[Kitchen Set])</f>
        <v>0</v>
      </c>
      <c r="AF1324" s="352">
        <f>IF(NFI_Expiration=1,IF($A1324&lt;VLOOKUP(O$5,NFI,5,0),1,0)*Table_NFI[[#This Row],[Clothes Kit]],Table_NFI[Clothes Kit])</f>
        <v>0</v>
      </c>
      <c r="AG1324" s="352">
        <f>IF(NFI_Expiration=1,IF($A1324&lt;VLOOKUP(P$5,NFI,5,0),1,0)*Table_NFI[[#This Row],[Plastic Bucket]],Table_NFI[Plastic Bucket])</f>
        <v>0</v>
      </c>
      <c r="AH1324" s="352">
        <f>IF(NFI_Expiration=1,IF($A1324&lt;VLOOKUP(Q$5,NFI,5,0),1,0)*Table_NFI[[#This Row],[Plastic Mat]],Table_NFI[Plastic Mat])*IF(Table_NFI[[#This Row],[Distribution Date]]&gt;"2014-04-01",1,2.5)</f>
        <v>0</v>
      </c>
      <c r="AI1324" s="352">
        <f>IF(NFI_Expiration=1,IF($A1324&lt;VLOOKUP(R$5,NFI,5,0),1,0)*Table_NFI[[#This Row],[Winter Clothes Adult]],Table_NFI[Winter Clothes Adult])</f>
        <v>0</v>
      </c>
      <c r="AJ1324" s="352">
        <f>IF(NFI_Expiration=1,IF($A1324&lt;VLOOKUP(S$5,NFI,5,0),1,0)*Table_NFI[[#This Row],[Winter Clothes Children]],Table_NFI[Winter Clothes Children])</f>
        <v>0</v>
      </c>
      <c r="AK1324" s="352">
        <f>IF(NFI_Expiration=1,IF($A1324&lt;VLOOKUP(T$5,NFI,5,0),1,0)*Table_NFI[[#This Row],[Winter Items Other]],Table_NFI[Winter Items Other])</f>
        <v>0</v>
      </c>
      <c r="AL1324" s="352">
        <f>IF(NFI_Expiration=1,IF($A1324&lt;VLOOKUP(M$5,NFI,5,0),1,0)*Table_NFI[[#This Row],[Winter Blanket]],Table_NFI[[#This Row],[Winter Blanket]])</f>
        <v>0</v>
      </c>
      <c r="AM1324" s="352">
        <f>IF(Table_NFI[[#This Row],[Winter Clothes Adult]]+Table_NFI[[#This Row],[Winter Clothes Children]]+Table_NFI[[#This Row],[Winter Items Other]]+Table_NFI[[#This Row],[Winter Blanket]]&gt;0,1,0)</f>
        <v>0</v>
      </c>
      <c r="AN1324" s="392">
        <f>IF(NFI_Expiration=1,IF($A1324&lt;VLOOKUP(V$5,NFI,5,0),1,0)*Table_NFI[[#This Row],[Jerry Can]],Table_NFI[Jerry Can])</f>
        <v>0</v>
      </c>
      <c r="AO1324" s="540" t="str">
        <f>IFERROR(VLOOKUP(Table_NFI[[#This Row],[Camp Name]],CL,2,0),"")</f>
        <v/>
      </c>
      <c r="AP1324" s="535" t="str">
        <f ca="1">IF(Table_NFI[[#This Row],[Pcode]]="","",IF(OFFSET(CampList[Opening Date],MATCH(Table_NFI[[#This Row],[Pcode]],CampList[CP_Pcode],0)-1,0,1,1)&gt;=NFI_Monitor_Date,1,0))</f>
        <v/>
      </c>
      <c r="AQ1324" s="540" t="str">
        <f>IFERROR(VLOOKUP(Table_NFI[[#This Row],[Camp Name]],CL,3,0),"")</f>
        <v/>
      </c>
      <c r="AR1324" s="352" t="str">
        <f ca="1">IF(Table_NFI[[#This Row],[Pcode]]="","",OFFSET(CampList[Priority],MATCH(Table_NFI[[#This Row],[Pcode]],CampList[CP_Pcode],0)-1,0,1,1))</f>
        <v/>
      </c>
      <c r="AS1324" s="351" t="str">
        <f>IFERROR(Table_NFI[[#This Row],[Kitchen Set]]/VLOOKUP(Table_NFI[[#This Row],[Camp Name]],CL,4,0),"")</f>
        <v/>
      </c>
      <c r="AT1324" s="538"/>
      <c r="AU1324" s="541"/>
    </row>
    <row r="1325" spans="1:47" ht="14.45" hidden="1" customHeight="1" x14ac:dyDescent="0.25">
      <c r="A1325" s="355" t="str">
        <f t="shared" si="21"/>
        <v/>
      </c>
      <c r="B1325" s="532"/>
      <c r="C1325" s="538"/>
      <c r="D1325" s="538"/>
      <c r="E1325" s="538"/>
      <c r="F1325" s="538"/>
      <c r="G1325" s="538"/>
      <c r="H1325" s="350"/>
      <c r="I1325" s="350"/>
      <c r="J1325" s="350"/>
      <c r="K1325" s="350"/>
      <c r="L1325" s="350"/>
      <c r="M1325" s="350"/>
      <c r="N1325" s="350"/>
      <c r="O1325" s="350"/>
      <c r="P1325" s="352"/>
      <c r="Q1325" s="558"/>
      <c r="R1325" s="558"/>
      <c r="S1325" s="558"/>
      <c r="T1325" s="558"/>
      <c r="U1325" s="558"/>
      <c r="V1325" s="497"/>
      <c r="W1325" s="558"/>
      <c r="X1325" s="558"/>
      <c r="Y1325" s="352">
        <f>IF(NFI_Expiration=1,IF($A1325&lt;VLOOKUP(H$5,NFI,5,0),1,0)*Table_NFI[[#This Row],[Hygiene Kit]],Table_NFI[Hygiene Kit])</f>
        <v>0</v>
      </c>
      <c r="Z1325" s="352">
        <f>IF(NFI_Expiration=1,IF($A1325&lt;VLOOKUP(I$5,NFI,5,0),1,0)*Table_NFI[[#This Row],[NFI Core Kit]],Table_NFI[NFI Core Kit])</f>
        <v>0</v>
      </c>
      <c r="AA1325" s="352">
        <f>IF(NFI_Expiration=1,IF($A1325&lt;VLOOKUP(J$5,NFI,5,0),1,0)*Table_NFI[[#This Row],[Sanitary Kit]],Table_NFI[Sanitary Kit])</f>
        <v>0</v>
      </c>
      <c r="AB1325" s="352">
        <f>IF(NFI_Expiration=1,IF($A1325&lt;VLOOKUP(K$5,NFI,5,0),1,0)*Table_NFI[[#This Row],[Mosquito net]],Table_NFI[Mosquito net])</f>
        <v>0</v>
      </c>
      <c r="AC1325" s="352">
        <f>IF(NFI_Expiration=1,IF($A1325&lt;VLOOKUP(L$5,NFI,5,0),1,0)*Table_NFI[[#This Row],[Tarpaulin]],Table_NFI[[#This Row],[Tarpaulin]])</f>
        <v>0</v>
      </c>
      <c r="AD1325" s="352">
        <f>IF(NFI_Expiration=1,IF($A1325&lt;VLOOKUP(M$5,NFI,5,0),1,0)*Table_NFI[[#This Row],[Blanket]],Table_NFI[[#This Row],[Blanket]])</f>
        <v>0</v>
      </c>
      <c r="AE1325" s="352">
        <f>IF(NFI_Expiration=1,IF($A1325&lt;VLOOKUP(N$5,NFI,5,0),1,0)*Table_NFI[[#This Row],[Kitchen Set]],Table_NFI[Kitchen Set])</f>
        <v>0</v>
      </c>
      <c r="AF1325" s="352">
        <f>IF(NFI_Expiration=1,IF($A1325&lt;VLOOKUP(O$5,NFI,5,0),1,0)*Table_NFI[[#This Row],[Clothes Kit]],Table_NFI[Clothes Kit])</f>
        <v>0</v>
      </c>
      <c r="AG1325" s="352">
        <f>IF(NFI_Expiration=1,IF($A1325&lt;VLOOKUP(P$5,NFI,5,0),1,0)*Table_NFI[[#This Row],[Plastic Bucket]],Table_NFI[Plastic Bucket])</f>
        <v>0</v>
      </c>
      <c r="AH1325" s="352">
        <f>IF(NFI_Expiration=1,IF($A1325&lt;VLOOKUP(Q$5,NFI,5,0),1,0)*Table_NFI[[#This Row],[Plastic Mat]],Table_NFI[Plastic Mat])*IF(Table_NFI[[#This Row],[Distribution Date]]&gt;"2014-04-01",1,2.5)</f>
        <v>0</v>
      </c>
      <c r="AI1325" s="352">
        <f>IF(NFI_Expiration=1,IF($A1325&lt;VLOOKUP(R$5,NFI,5,0),1,0)*Table_NFI[[#This Row],[Winter Clothes Adult]],Table_NFI[Winter Clothes Adult])</f>
        <v>0</v>
      </c>
      <c r="AJ1325" s="352">
        <f>IF(NFI_Expiration=1,IF($A1325&lt;VLOOKUP(S$5,NFI,5,0),1,0)*Table_NFI[[#This Row],[Winter Clothes Children]],Table_NFI[Winter Clothes Children])</f>
        <v>0</v>
      </c>
      <c r="AK1325" s="352">
        <f>IF(NFI_Expiration=1,IF($A1325&lt;VLOOKUP(T$5,NFI,5,0),1,0)*Table_NFI[[#This Row],[Winter Items Other]],Table_NFI[Winter Items Other])</f>
        <v>0</v>
      </c>
      <c r="AL1325" s="352">
        <f>IF(NFI_Expiration=1,IF($A1325&lt;VLOOKUP(M$5,NFI,5,0),1,0)*Table_NFI[[#This Row],[Winter Blanket]],Table_NFI[[#This Row],[Winter Blanket]])</f>
        <v>0</v>
      </c>
      <c r="AM1325" s="352">
        <f>IF(Table_NFI[[#This Row],[Winter Clothes Adult]]+Table_NFI[[#This Row],[Winter Clothes Children]]+Table_NFI[[#This Row],[Winter Items Other]]+Table_NFI[[#This Row],[Winter Blanket]]&gt;0,1,0)</f>
        <v>0</v>
      </c>
      <c r="AN1325" s="392">
        <f>IF(NFI_Expiration=1,IF($A1325&lt;VLOOKUP(V$5,NFI,5,0),1,0)*Table_NFI[[#This Row],[Jerry Can]],Table_NFI[Jerry Can])</f>
        <v>0</v>
      </c>
      <c r="AO1325" s="540" t="str">
        <f>IFERROR(VLOOKUP(Table_NFI[[#This Row],[Camp Name]],CL,2,0),"")</f>
        <v/>
      </c>
      <c r="AP1325" s="535" t="str">
        <f ca="1">IF(Table_NFI[[#This Row],[Pcode]]="","",IF(OFFSET(CampList[Opening Date],MATCH(Table_NFI[[#This Row],[Pcode]],CampList[CP_Pcode],0)-1,0,1,1)&gt;=NFI_Monitor_Date,1,0))</f>
        <v/>
      </c>
      <c r="AQ1325" s="540" t="str">
        <f>IFERROR(VLOOKUP(Table_NFI[[#This Row],[Camp Name]],CL,3,0),"")</f>
        <v/>
      </c>
      <c r="AR1325" s="352" t="str">
        <f ca="1">IF(Table_NFI[[#This Row],[Pcode]]="","",OFFSET(CampList[Priority],MATCH(Table_NFI[[#This Row],[Pcode]],CampList[CP_Pcode],0)-1,0,1,1))</f>
        <v/>
      </c>
      <c r="AS1325" s="351" t="str">
        <f>IFERROR(Table_NFI[[#This Row],[Kitchen Set]]/VLOOKUP(Table_NFI[[#This Row],[Camp Name]],CL,4,0),"")</f>
        <v/>
      </c>
      <c r="AT1325" s="538"/>
      <c r="AU1325" s="541"/>
    </row>
    <row r="1326" spans="1:47" ht="14.45" hidden="1" customHeight="1" x14ac:dyDescent="0.25">
      <c r="A1326" s="355" t="str">
        <f t="shared" si="21"/>
        <v/>
      </c>
      <c r="B1326" s="532"/>
      <c r="C1326" s="538"/>
      <c r="D1326" s="538"/>
      <c r="E1326" s="538"/>
      <c r="F1326" s="538"/>
      <c r="G1326" s="538"/>
      <c r="H1326" s="350"/>
      <c r="I1326" s="350"/>
      <c r="J1326" s="350"/>
      <c r="K1326" s="350"/>
      <c r="L1326" s="350"/>
      <c r="M1326" s="350"/>
      <c r="N1326" s="350"/>
      <c r="O1326" s="350"/>
      <c r="P1326" s="352"/>
      <c r="Q1326" s="558"/>
      <c r="R1326" s="558"/>
      <c r="S1326" s="558"/>
      <c r="T1326" s="558"/>
      <c r="U1326" s="558"/>
      <c r="V1326" s="497"/>
      <c r="W1326" s="558"/>
      <c r="X1326" s="558"/>
      <c r="Y1326" s="352">
        <f>IF(NFI_Expiration=1,IF($A1326&lt;VLOOKUP(H$5,NFI,5,0),1,0)*Table_NFI[[#This Row],[Hygiene Kit]],Table_NFI[Hygiene Kit])</f>
        <v>0</v>
      </c>
      <c r="Z1326" s="352">
        <f>IF(NFI_Expiration=1,IF($A1326&lt;VLOOKUP(I$5,NFI,5,0),1,0)*Table_NFI[[#This Row],[NFI Core Kit]],Table_NFI[NFI Core Kit])</f>
        <v>0</v>
      </c>
      <c r="AA1326" s="352">
        <f>IF(NFI_Expiration=1,IF($A1326&lt;VLOOKUP(J$5,NFI,5,0),1,0)*Table_NFI[[#This Row],[Sanitary Kit]],Table_NFI[Sanitary Kit])</f>
        <v>0</v>
      </c>
      <c r="AB1326" s="352">
        <f>IF(NFI_Expiration=1,IF($A1326&lt;VLOOKUP(K$5,NFI,5,0),1,0)*Table_NFI[[#This Row],[Mosquito net]],Table_NFI[Mosquito net])</f>
        <v>0</v>
      </c>
      <c r="AC1326" s="352">
        <f>IF(NFI_Expiration=1,IF($A1326&lt;VLOOKUP(L$5,NFI,5,0),1,0)*Table_NFI[[#This Row],[Tarpaulin]],Table_NFI[[#This Row],[Tarpaulin]])</f>
        <v>0</v>
      </c>
      <c r="AD1326" s="352">
        <f>IF(NFI_Expiration=1,IF($A1326&lt;VLOOKUP(M$5,NFI,5,0),1,0)*Table_NFI[[#This Row],[Blanket]],Table_NFI[[#This Row],[Blanket]])</f>
        <v>0</v>
      </c>
      <c r="AE1326" s="352">
        <f>IF(NFI_Expiration=1,IF($A1326&lt;VLOOKUP(N$5,NFI,5,0),1,0)*Table_NFI[[#This Row],[Kitchen Set]],Table_NFI[Kitchen Set])</f>
        <v>0</v>
      </c>
      <c r="AF1326" s="352">
        <f>IF(NFI_Expiration=1,IF($A1326&lt;VLOOKUP(O$5,NFI,5,0),1,0)*Table_NFI[[#This Row],[Clothes Kit]],Table_NFI[Clothes Kit])</f>
        <v>0</v>
      </c>
      <c r="AG1326" s="352">
        <f>IF(NFI_Expiration=1,IF($A1326&lt;VLOOKUP(P$5,NFI,5,0),1,0)*Table_NFI[[#This Row],[Plastic Bucket]],Table_NFI[Plastic Bucket])</f>
        <v>0</v>
      </c>
      <c r="AH1326" s="352">
        <f>IF(NFI_Expiration=1,IF($A1326&lt;VLOOKUP(Q$5,NFI,5,0),1,0)*Table_NFI[[#This Row],[Plastic Mat]],Table_NFI[Plastic Mat])*IF(Table_NFI[[#This Row],[Distribution Date]]&gt;"2014-04-01",1,2.5)</f>
        <v>0</v>
      </c>
      <c r="AI1326" s="352">
        <f>IF(NFI_Expiration=1,IF($A1326&lt;VLOOKUP(R$5,NFI,5,0),1,0)*Table_NFI[[#This Row],[Winter Clothes Adult]],Table_NFI[Winter Clothes Adult])</f>
        <v>0</v>
      </c>
      <c r="AJ1326" s="352">
        <f>IF(NFI_Expiration=1,IF($A1326&lt;VLOOKUP(S$5,NFI,5,0),1,0)*Table_NFI[[#This Row],[Winter Clothes Children]],Table_NFI[Winter Clothes Children])</f>
        <v>0</v>
      </c>
      <c r="AK1326" s="352">
        <f>IF(NFI_Expiration=1,IF($A1326&lt;VLOOKUP(T$5,NFI,5,0),1,0)*Table_NFI[[#This Row],[Winter Items Other]],Table_NFI[Winter Items Other])</f>
        <v>0</v>
      </c>
      <c r="AL1326" s="352">
        <f>IF(NFI_Expiration=1,IF($A1326&lt;VLOOKUP(M$5,NFI,5,0),1,0)*Table_NFI[[#This Row],[Winter Blanket]],Table_NFI[[#This Row],[Winter Blanket]])</f>
        <v>0</v>
      </c>
      <c r="AM1326" s="352">
        <f>IF(Table_NFI[[#This Row],[Winter Clothes Adult]]+Table_NFI[[#This Row],[Winter Clothes Children]]+Table_NFI[[#This Row],[Winter Items Other]]+Table_NFI[[#This Row],[Winter Blanket]]&gt;0,1,0)</f>
        <v>0</v>
      </c>
      <c r="AN1326" s="392">
        <f>IF(NFI_Expiration=1,IF($A1326&lt;VLOOKUP(V$5,NFI,5,0),1,0)*Table_NFI[[#This Row],[Jerry Can]],Table_NFI[Jerry Can])</f>
        <v>0</v>
      </c>
      <c r="AO1326" s="540" t="str">
        <f>IFERROR(VLOOKUP(Table_NFI[[#This Row],[Camp Name]],CL,2,0),"")</f>
        <v/>
      </c>
      <c r="AP1326" s="535" t="str">
        <f ca="1">IF(Table_NFI[[#This Row],[Pcode]]="","",IF(OFFSET(CampList[Opening Date],MATCH(Table_NFI[[#This Row],[Pcode]],CampList[CP_Pcode],0)-1,0,1,1)&gt;=NFI_Monitor_Date,1,0))</f>
        <v/>
      </c>
      <c r="AQ1326" s="540" t="str">
        <f>IFERROR(VLOOKUP(Table_NFI[[#This Row],[Camp Name]],CL,3,0),"")</f>
        <v/>
      </c>
      <c r="AR1326" s="352" t="str">
        <f ca="1">IF(Table_NFI[[#This Row],[Pcode]]="","",OFFSET(CampList[Priority],MATCH(Table_NFI[[#This Row],[Pcode]],CampList[CP_Pcode],0)-1,0,1,1))</f>
        <v/>
      </c>
      <c r="AS1326" s="351" t="str">
        <f>IFERROR(Table_NFI[[#This Row],[Kitchen Set]]/VLOOKUP(Table_NFI[[#This Row],[Camp Name]],CL,4,0),"")</f>
        <v/>
      </c>
      <c r="AT1326" s="538"/>
      <c r="AU1326" s="541"/>
    </row>
    <row r="1327" spans="1:47" ht="14.45" hidden="1" customHeight="1" x14ac:dyDescent="0.25">
      <c r="A1327" s="355" t="str">
        <f t="shared" si="21"/>
        <v/>
      </c>
      <c r="B1327" s="532"/>
      <c r="C1327" s="538"/>
      <c r="D1327" s="538"/>
      <c r="E1327" s="538"/>
      <c r="F1327" s="538"/>
      <c r="G1327" s="538"/>
      <c r="H1327" s="350"/>
      <c r="I1327" s="350"/>
      <c r="J1327" s="350"/>
      <c r="K1327" s="350"/>
      <c r="L1327" s="350"/>
      <c r="M1327" s="350"/>
      <c r="N1327" s="350"/>
      <c r="O1327" s="350"/>
      <c r="P1327" s="352"/>
      <c r="Q1327" s="558"/>
      <c r="R1327" s="558"/>
      <c r="S1327" s="558"/>
      <c r="T1327" s="558"/>
      <c r="U1327" s="558"/>
      <c r="V1327" s="497"/>
      <c r="W1327" s="558"/>
      <c r="X1327" s="558"/>
      <c r="Y1327" s="352">
        <f>IF(NFI_Expiration=1,IF($A1327&lt;VLOOKUP(H$5,NFI,5,0),1,0)*Table_NFI[[#This Row],[Hygiene Kit]],Table_NFI[Hygiene Kit])</f>
        <v>0</v>
      </c>
      <c r="Z1327" s="352">
        <f>IF(NFI_Expiration=1,IF($A1327&lt;VLOOKUP(I$5,NFI,5,0),1,0)*Table_NFI[[#This Row],[NFI Core Kit]],Table_NFI[NFI Core Kit])</f>
        <v>0</v>
      </c>
      <c r="AA1327" s="352">
        <f>IF(NFI_Expiration=1,IF($A1327&lt;VLOOKUP(J$5,NFI,5,0),1,0)*Table_NFI[[#This Row],[Sanitary Kit]],Table_NFI[Sanitary Kit])</f>
        <v>0</v>
      </c>
      <c r="AB1327" s="352">
        <f>IF(NFI_Expiration=1,IF($A1327&lt;VLOOKUP(K$5,NFI,5,0),1,0)*Table_NFI[[#This Row],[Mosquito net]],Table_NFI[Mosquito net])</f>
        <v>0</v>
      </c>
      <c r="AC1327" s="352">
        <f>IF(NFI_Expiration=1,IF($A1327&lt;VLOOKUP(L$5,NFI,5,0),1,0)*Table_NFI[[#This Row],[Tarpaulin]],Table_NFI[[#This Row],[Tarpaulin]])</f>
        <v>0</v>
      </c>
      <c r="AD1327" s="352">
        <f>IF(NFI_Expiration=1,IF($A1327&lt;VLOOKUP(M$5,NFI,5,0),1,0)*Table_NFI[[#This Row],[Blanket]],Table_NFI[[#This Row],[Blanket]])</f>
        <v>0</v>
      </c>
      <c r="AE1327" s="352">
        <f>IF(NFI_Expiration=1,IF($A1327&lt;VLOOKUP(N$5,NFI,5,0),1,0)*Table_NFI[[#This Row],[Kitchen Set]],Table_NFI[Kitchen Set])</f>
        <v>0</v>
      </c>
      <c r="AF1327" s="352">
        <f>IF(NFI_Expiration=1,IF($A1327&lt;VLOOKUP(O$5,NFI,5,0),1,0)*Table_NFI[[#This Row],[Clothes Kit]],Table_NFI[Clothes Kit])</f>
        <v>0</v>
      </c>
      <c r="AG1327" s="352">
        <f>IF(NFI_Expiration=1,IF($A1327&lt;VLOOKUP(P$5,NFI,5,0),1,0)*Table_NFI[[#This Row],[Plastic Bucket]],Table_NFI[Plastic Bucket])</f>
        <v>0</v>
      </c>
      <c r="AH1327" s="352">
        <f>IF(NFI_Expiration=1,IF($A1327&lt;VLOOKUP(Q$5,NFI,5,0),1,0)*Table_NFI[[#This Row],[Plastic Mat]],Table_NFI[Plastic Mat])*IF(Table_NFI[[#This Row],[Distribution Date]]&gt;"2014-04-01",1,2.5)</f>
        <v>0</v>
      </c>
      <c r="AI1327" s="352">
        <f>IF(NFI_Expiration=1,IF($A1327&lt;VLOOKUP(R$5,NFI,5,0),1,0)*Table_NFI[[#This Row],[Winter Clothes Adult]],Table_NFI[Winter Clothes Adult])</f>
        <v>0</v>
      </c>
      <c r="AJ1327" s="352">
        <f>IF(NFI_Expiration=1,IF($A1327&lt;VLOOKUP(S$5,NFI,5,0),1,0)*Table_NFI[[#This Row],[Winter Clothes Children]],Table_NFI[Winter Clothes Children])</f>
        <v>0</v>
      </c>
      <c r="AK1327" s="352">
        <f>IF(NFI_Expiration=1,IF($A1327&lt;VLOOKUP(T$5,NFI,5,0),1,0)*Table_NFI[[#This Row],[Winter Items Other]],Table_NFI[Winter Items Other])</f>
        <v>0</v>
      </c>
      <c r="AL1327" s="352">
        <f>IF(NFI_Expiration=1,IF($A1327&lt;VLOOKUP(M$5,NFI,5,0),1,0)*Table_NFI[[#This Row],[Winter Blanket]],Table_NFI[[#This Row],[Winter Blanket]])</f>
        <v>0</v>
      </c>
      <c r="AM1327" s="352">
        <f>IF(Table_NFI[[#This Row],[Winter Clothes Adult]]+Table_NFI[[#This Row],[Winter Clothes Children]]+Table_NFI[[#This Row],[Winter Items Other]]+Table_NFI[[#This Row],[Winter Blanket]]&gt;0,1,0)</f>
        <v>0</v>
      </c>
      <c r="AN1327" s="392">
        <f>IF(NFI_Expiration=1,IF($A1327&lt;VLOOKUP(V$5,NFI,5,0),1,0)*Table_NFI[[#This Row],[Jerry Can]],Table_NFI[Jerry Can])</f>
        <v>0</v>
      </c>
      <c r="AO1327" s="540" t="str">
        <f>IFERROR(VLOOKUP(Table_NFI[[#This Row],[Camp Name]],CL,2,0),"")</f>
        <v/>
      </c>
      <c r="AP1327" s="535" t="str">
        <f ca="1">IF(Table_NFI[[#This Row],[Pcode]]="","",IF(OFFSET(CampList[Opening Date],MATCH(Table_NFI[[#This Row],[Pcode]],CampList[CP_Pcode],0)-1,0,1,1)&gt;=NFI_Monitor_Date,1,0))</f>
        <v/>
      </c>
      <c r="AQ1327" s="540" t="str">
        <f>IFERROR(VLOOKUP(Table_NFI[[#This Row],[Camp Name]],CL,3,0),"")</f>
        <v/>
      </c>
      <c r="AR1327" s="352" t="str">
        <f ca="1">IF(Table_NFI[[#This Row],[Pcode]]="","",OFFSET(CampList[Priority],MATCH(Table_NFI[[#This Row],[Pcode]],CampList[CP_Pcode],0)-1,0,1,1))</f>
        <v/>
      </c>
      <c r="AS1327" s="351" t="str">
        <f>IFERROR(Table_NFI[[#This Row],[Kitchen Set]]/VLOOKUP(Table_NFI[[#This Row],[Camp Name]],CL,4,0),"")</f>
        <v/>
      </c>
      <c r="AT1327" s="538"/>
      <c r="AU1327" s="541"/>
    </row>
    <row r="1328" spans="1:47" ht="14.45" hidden="1" customHeight="1" x14ac:dyDescent="0.25">
      <c r="A1328" s="355" t="str">
        <f t="shared" si="21"/>
        <v/>
      </c>
      <c r="B1328" s="532"/>
      <c r="C1328" s="538"/>
      <c r="D1328" s="538"/>
      <c r="E1328" s="538"/>
      <c r="F1328" s="538"/>
      <c r="G1328" s="538"/>
      <c r="H1328" s="350"/>
      <c r="I1328" s="350"/>
      <c r="J1328" s="350"/>
      <c r="K1328" s="350"/>
      <c r="L1328" s="350"/>
      <c r="M1328" s="350"/>
      <c r="N1328" s="350"/>
      <c r="O1328" s="350"/>
      <c r="P1328" s="352"/>
      <c r="Q1328" s="558"/>
      <c r="R1328" s="558"/>
      <c r="S1328" s="558"/>
      <c r="T1328" s="558"/>
      <c r="U1328" s="558"/>
      <c r="V1328" s="497"/>
      <c r="W1328" s="558"/>
      <c r="X1328" s="558"/>
      <c r="Y1328" s="352">
        <f>IF(NFI_Expiration=1,IF($A1328&lt;VLOOKUP(H$5,NFI,5,0),1,0)*Table_NFI[[#This Row],[Hygiene Kit]],Table_NFI[Hygiene Kit])</f>
        <v>0</v>
      </c>
      <c r="Z1328" s="352">
        <f>IF(NFI_Expiration=1,IF($A1328&lt;VLOOKUP(I$5,NFI,5,0),1,0)*Table_NFI[[#This Row],[NFI Core Kit]],Table_NFI[NFI Core Kit])</f>
        <v>0</v>
      </c>
      <c r="AA1328" s="352">
        <f>IF(NFI_Expiration=1,IF($A1328&lt;VLOOKUP(J$5,NFI,5,0),1,0)*Table_NFI[[#This Row],[Sanitary Kit]],Table_NFI[Sanitary Kit])</f>
        <v>0</v>
      </c>
      <c r="AB1328" s="352">
        <f>IF(NFI_Expiration=1,IF($A1328&lt;VLOOKUP(K$5,NFI,5,0),1,0)*Table_NFI[[#This Row],[Mosquito net]],Table_NFI[Mosquito net])</f>
        <v>0</v>
      </c>
      <c r="AC1328" s="352">
        <f>IF(NFI_Expiration=1,IF($A1328&lt;VLOOKUP(L$5,NFI,5,0),1,0)*Table_NFI[[#This Row],[Tarpaulin]],Table_NFI[[#This Row],[Tarpaulin]])</f>
        <v>0</v>
      </c>
      <c r="AD1328" s="352">
        <f>IF(NFI_Expiration=1,IF($A1328&lt;VLOOKUP(M$5,NFI,5,0),1,0)*Table_NFI[[#This Row],[Blanket]],Table_NFI[[#This Row],[Blanket]])</f>
        <v>0</v>
      </c>
      <c r="AE1328" s="352">
        <f>IF(NFI_Expiration=1,IF($A1328&lt;VLOOKUP(N$5,NFI,5,0),1,0)*Table_NFI[[#This Row],[Kitchen Set]],Table_NFI[Kitchen Set])</f>
        <v>0</v>
      </c>
      <c r="AF1328" s="352">
        <f>IF(NFI_Expiration=1,IF($A1328&lt;VLOOKUP(O$5,NFI,5,0),1,0)*Table_NFI[[#This Row],[Clothes Kit]],Table_NFI[Clothes Kit])</f>
        <v>0</v>
      </c>
      <c r="AG1328" s="352">
        <f>IF(NFI_Expiration=1,IF($A1328&lt;VLOOKUP(P$5,NFI,5,0),1,0)*Table_NFI[[#This Row],[Plastic Bucket]],Table_NFI[Plastic Bucket])</f>
        <v>0</v>
      </c>
      <c r="AH1328" s="352">
        <f>IF(NFI_Expiration=1,IF($A1328&lt;VLOOKUP(Q$5,NFI,5,0),1,0)*Table_NFI[[#This Row],[Plastic Mat]],Table_NFI[Plastic Mat])*IF(Table_NFI[[#This Row],[Distribution Date]]&gt;"2014-04-01",1,2.5)</f>
        <v>0</v>
      </c>
      <c r="AI1328" s="352">
        <f>IF(NFI_Expiration=1,IF($A1328&lt;VLOOKUP(R$5,NFI,5,0),1,0)*Table_NFI[[#This Row],[Winter Clothes Adult]],Table_NFI[Winter Clothes Adult])</f>
        <v>0</v>
      </c>
      <c r="AJ1328" s="352">
        <f>IF(NFI_Expiration=1,IF($A1328&lt;VLOOKUP(S$5,NFI,5,0),1,0)*Table_NFI[[#This Row],[Winter Clothes Children]],Table_NFI[Winter Clothes Children])</f>
        <v>0</v>
      </c>
      <c r="AK1328" s="352">
        <f>IF(NFI_Expiration=1,IF($A1328&lt;VLOOKUP(T$5,NFI,5,0),1,0)*Table_NFI[[#This Row],[Winter Items Other]],Table_NFI[Winter Items Other])</f>
        <v>0</v>
      </c>
      <c r="AL1328" s="352">
        <f>IF(NFI_Expiration=1,IF($A1328&lt;VLOOKUP(M$5,NFI,5,0),1,0)*Table_NFI[[#This Row],[Winter Blanket]],Table_NFI[[#This Row],[Winter Blanket]])</f>
        <v>0</v>
      </c>
      <c r="AM1328" s="352">
        <f>IF(Table_NFI[[#This Row],[Winter Clothes Adult]]+Table_NFI[[#This Row],[Winter Clothes Children]]+Table_NFI[[#This Row],[Winter Items Other]]+Table_NFI[[#This Row],[Winter Blanket]]&gt;0,1,0)</f>
        <v>0</v>
      </c>
      <c r="AN1328" s="392">
        <f>IF(NFI_Expiration=1,IF($A1328&lt;VLOOKUP(V$5,NFI,5,0),1,0)*Table_NFI[[#This Row],[Jerry Can]],Table_NFI[Jerry Can])</f>
        <v>0</v>
      </c>
      <c r="AO1328" s="540" t="str">
        <f>IFERROR(VLOOKUP(Table_NFI[[#This Row],[Camp Name]],CL,2,0),"")</f>
        <v/>
      </c>
      <c r="AP1328" s="535" t="str">
        <f ca="1">IF(Table_NFI[[#This Row],[Pcode]]="","",IF(OFFSET(CampList[Opening Date],MATCH(Table_NFI[[#This Row],[Pcode]],CampList[CP_Pcode],0)-1,0,1,1)&gt;=NFI_Monitor_Date,1,0))</f>
        <v/>
      </c>
      <c r="AQ1328" s="540" t="str">
        <f>IFERROR(VLOOKUP(Table_NFI[[#This Row],[Camp Name]],CL,3,0),"")</f>
        <v/>
      </c>
      <c r="AR1328" s="352" t="str">
        <f ca="1">IF(Table_NFI[[#This Row],[Pcode]]="","",OFFSET(CampList[Priority],MATCH(Table_NFI[[#This Row],[Pcode]],CampList[CP_Pcode],0)-1,0,1,1))</f>
        <v/>
      </c>
      <c r="AS1328" s="351" t="str">
        <f>IFERROR(Table_NFI[[#This Row],[Kitchen Set]]/VLOOKUP(Table_NFI[[#This Row],[Camp Name]],CL,4,0),"")</f>
        <v/>
      </c>
      <c r="AT1328" s="538"/>
      <c r="AU1328" s="541"/>
    </row>
    <row r="1329" spans="1:47" ht="14.45" hidden="1" customHeight="1" x14ac:dyDescent="0.25">
      <c r="A1329" s="355" t="str">
        <f t="shared" si="21"/>
        <v/>
      </c>
      <c r="B1329" s="532"/>
      <c r="C1329" s="538"/>
      <c r="D1329" s="538"/>
      <c r="E1329" s="538"/>
      <c r="F1329" s="538"/>
      <c r="G1329" s="538"/>
      <c r="H1329" s="350"/>
      <c r="I1329" s="350"/>
      <c r="J1329" s="350"/>
      <c r="K1329" s="350"/>
      <c r="L1329" s="350"/>
      <c r="M1329" s="350"/>
      <c r="N1329" s="350"/>
      <c r="O1329" s="350"/>
      <c r="P1329" s="352"/>
      <c r="Q1329" s="558"/>
      <c r="R1329" s="558"/>
      <c r="S1329" s="558"/>
      <c r="T1329" s="558"/>
      <c r="U1329" s="558"/>
      <c r="V1329" s="497"/>
      <c r="W1329" s="558"/>
      <c r="X1329" s="558"/>
      <c r="Y1329" s="352">
        <f>IF(NFI_Expiration=1,IF($A1329&lt;VLOOKUP(H$5,NFI,5,0),1,0)*Table_NFI[[#This Row],[Hygiene Kit]],Table_NFI[Hygiene Kit])</f>
        <v>0</v>
      </c>
      <c r="Z1329" s="352">
        <f>IF(NFI_Expiration=1,IF($A1329&lt;VLOOKUP(I$5,NFI,5,0),1,0)*Table_NFI[[#This Row],[NFI Core Kit]],Table_NFI[NFI Core Kit])</f>
        <v>0</v>
      </c>
      <c r="AA1329" s="352">
        <f>IF(NFI_Expiration=1,IF($A1329&lt;VLOOKUP(J$5,NFI,5,0),1,0)*Table_NFI[[#This Row],[Sanitary Kit]],Table_NFI[Sanitary Kit])</f>
        <v>0</v>
      </c>
      <c r="AB1329" s="352">
        <f>IF(NFI_Expiration=1,IF($A1329&lt;VLOOKUP(K$5,NFI,5,0),1,0)*Table_NFI[[#This Row],[Mosquito net]],Table_NFI[Mosquito net])</f>
        <v>0</v>
      </c>
      <c r="AC1329" s="352">
        <f>IF(NFI_Expiration=1,IF($A1329&lt;VLOOKUP(L$5,NFI,5,0),1,0)*Table_NFI[[#This Row],[Tarpaulin]],Table_NFI[[#This Row],[Tarpaulin]])</f>
        <v>0</v>
      </c>
      <c r="AD1329" s="352">
        <f>IF(NFI_Expiration=1,IF($A1329&lt;VLOOKUP(M$5,NFI,5,0),1,0)*Table_NFI[[#This Row],[Blanket]],Table_NFI[[#This Row],[Blanket]])</f>
        <v>0</v>
      </c>
      <c r="AE1329" s="352">
        <f>IF(NFI_Expiration=1,IF($A1329&lt;VLOOKUP(N$5,NFI,5,0),1,0)*Table_NFI[[#This Row],[Kitchen Set]],Table_NFI[Kitchen Set])</f>
        <v>0</v>
      </c>
      <c r="AF1329" s="352">
        <f>IF(NFI_Expiration=1,IF($A1329&lt;VLOOKUP(O$5,NFI,5,0),1,0)*Table_NFI[[#This Row],[Clothes Kit]],Table_NFI[Clothes Kit])</f>
        <v>0</v>
      </c>
      <c r="AG1329" s="352">
        <f>IF(NFI_Expiration=1,IF($A1329&lt;VLOOKUP(P$5,NFI,5,0),1,0)*Table_NFI[[#This Row],[Plastic Bucket]],Table_NFI[Plastic Bucket])</f>
        <v>0</v>
      </c>
      <c r="AH1329" s="352">
        <f>IF(NFI_Expiration=1,IF($A1329&lt;VLOOKUP(Q$5,NFI,5,0),1,0)*Table_NFI[[#This Row],[Plastic Mat]],Table_NFI[Plastic Mat])*IF(Table_NFI[[#This Row],[Distribution Date]]&gt;"2014-04-01",1,2.5)</f>
        <v>0</v>
      </c>
      <c r="AI1329" s="352">
        <f>IF(NFI_Expiration=1,IF($A1329&lt;VLOOKUP(R$5,NFI,5,0),1,0)*Table_NFI[[#This Row],[Winter Clothes Adult]],Table_NFI[Winter Clothes Adult])</f>
        <v>0</v>
      </c>
      <c r="AJ1329" s="352">
        <f>IF(NFI_Expiration=1,IF($A1329&lt;VLOOKUP(S$5,NFI,5,0),1,0)*Table_NFI[[#This Row],[Winter Clothes Children]],Table_NFI[Winter Clothes Children])</f>
        <v>0</v>
      </c>
      <c r="AK1329" s="352">
        <f>IF(NFI_Expiration=1,IF($A1329&lt;VLOOKUP(T$5,NFI,5,0),1,0)*Table_NFI[[#This Row],[Winter Items Other]],Table_NFI[Winter Items Other])</f>
        <v>0</v>
      </c>
      <c r="AL1329" s="352">
        <f>IF(NFI_Expiration=1,IF($A1329&lt;VLOOKUP(M$5,NFI,5,0),1,0)*Table_NFI[[#This Row],[Winter Blanket]],Table_NFI[[#This Row],[Winter Blanket]])</f>
        <v>0</v>
      </c>
      <c r="AM1329" s="352">
        <f>IF(Table_NFI[[#This Row],[Winter Clothes Adult]]+Table_NFI[[#This Row],[Winter Clothes Children]]+Table_NFI[[#This Row],[Winter Items Other]]+Table_NFI[[#This Row],[Winter Blanket]]&gt;0,1,0)</f>
        <v>0</v>
      </c>
      <c r="AN1329" s="392">
        <f>IF(NFI_Expiration=1,IF($A1329&lt;VLOOKUP(V$5,NFI,5,0),1,0)*Table_NFI[[#This Row],[Jerry Can]],Table_NFI[Jerry Can])</f>
        <v>0</v>
      </c>
      <c r="AO1329" s="540" t="str">
        <f>IFERROR(VLOOKUP(Table_NFI[[#This Row],[Camp Name]],CL,2,0),"")</f>
        <v/>
      </c>
      <c r="AP1329" s="535" t="str">
        <f ca="1">IF(Table_NFI[[#This Row],[Pcode]]="","",IF(OFFSET(CampList[Opening Date],MATCH(Table_NFI[[#This Row],[Pcode]],CampList[CP_Pcode],0)-1,0,1,1)&gt;=NFI_Monitor_Date,1,0))</f>
        <v/>
      </c>
      <c r="AQ1329" s="540" t="str">
        <f>IFERROR(VLOOKUP(Table_NFI[[#This Row],[Camp Name]],CL,3,0),"")</f>
        <v/>
      </c>
      <c r="AR1329" s="352" t="str">
        <f ca="1">IF(Table_NFI[[#This Row],[Pcode]]="","",OFFSET(CampList[Priority],MATCH(Table_NFI[[#This Row],[Pcode]],CampList[CP_Pcode],0)-1,0,1,1))</f>
        <v/>
      </c>
      <c r="AS1329" s="351" t="str">
        <f>IFERROR(Table_NFI[[#This Row],[Kitchen Set]]/VLOOKUP(Table_NFI[[#This Row],[Camp Name]],CL,4,0),"")</f>
        <v/>
      </c>
      <c r="AT1329" s="538"/>
      <c r="AU1329" s="541"/>
    </row>
    <row r="1330" spans="1:47" ht="14.45" hidden="1" customHeight="1" x14ac:dyDescent="0.25">
      <c r="A1330" s="355" t="str">
        <f t="shared" si="21"/>
        <v/>
      </c>
      <c r="B1330" s="532"/>
      <c r="C1330" s="538"/>
      <c r="D1330" s="538"/>
      <c r="E1330" s="538"/>
      <c r="F1330" s="538"/>
      <c r="G1330" s="538"/>
      <c r="H1330" s="350"/>
      <c r="I1330" s="350"/>
      <c r="J1330" s="350"/>
      <c r="K1330" s="350"/>
      <c r="L1330" s="350"/>
      <c r="M1330" s="350"/>
      <c r="N1330" s="350"/>
      <c r="O1330" s="350"/>
      <c r="P1330" s="352"/>
      <c r="Q1330" s="558"/>
      <c r="R1330" s="558"/>
      <c r="S1330" s="558"/>
      <c r="T1330" s="558"/>
      <c r="U1330" s="558"/>
      <c r="V1330" s="497"/>
      <c r="W1330" s="558"/>
      <c r="X1330" s="558"/>
      <c r="Y1330" s="352">
        <f>IF(NFI_Expiration=1,IF($A1330&lt;VLOOKUP(H$5,NFI,5,0),1,0)*Table_NFI[[#This Row],[Hygiene Kit]],Table_NFI[Hygiene Kit])</f>
        <v>0</v>
      </c>
      <c r="Z1330" s="352">
        <f>IF(NFI_Expiration=1,IF($A1330&lt;VLOOKUP(I$5,NFI,5,0),1,0)*Table_NFI[[#This Row],[NFI Core Kit]],Table_NFI[NFI Core Kit])</f>
        <v>0</v>
      </c>
      <c r="AA1330" s="352">
        <f>IF(NFI_Expiration=1,IF($A1330&lt;VLOOKUP(J$5,NFI,5,0),1,0)*Table_NFI[[#This Row],[Sanitary Kit]],Table_NFI[Sanitary Kit])</f>
        <v>0</v>
      </c>
      <c r="AB1330" s="352">
        <f>IF(NFI_Expiration=1,IF($A1330&lt;VLOOKUP(K$5,NFI,5,0),1,0)*Table_NFI[[#This Row],[Mosquito net]],Table_NFI[Mosquito net])</f>
        <v>0</v>
      </c>
      <c r="AC1330" s="352">
        <f>IF(NFI_Expiration=1,IF($A1330&lt;VLOOKUP(L$5,NFI,5,0),1,0)*Table_NFI[[#This Row],[Tarpaulin]],Table_NFI[[#This Row],[Tarpaulin]])</f>
        <v>0</v>
      </c>
      <c r="AD1330" s="352">
        <f>IF(NFI_Expiration=1,IF($A1330&lt;VLOOKUP(M$5,NFI,5,0),1,0)*Table_NFI[[#This Row],[Blanket]],Table_NFI[[#This Row],[Blanket]])</f>
        <v>0</v>
      </c>
      <c r="AE1330" s="352">
        <f>IF(NFI_Expiration=1,IF($A1330&lt;VLOOKUP(N$5,NFI,5,0),1,0)*Table_NFI[[#This Row],[Kitchen Set]],Table_NFI[Kitchen Set])</f>
        <v>0</v>
      </c>
      <c r="AF1330" s="352">
        <f>IF(NFI_Expiration=1,IF($A1330&lt;VLOOKUP(O$5,NFI,5,0),1,0)*Table_NFI[[#This Row],[Clothes Kit]],Table_NFI[Clothes Kit])</f>
        <v>0</v>
      </c>
      <c r="AG1330" s="352">
        <f>IF(NFI_Expiration=1,IF($A1330&lt;VLOOKUP(P$5,NFI,5,0),1,0)*Table_NFI[[#This Row],[Plastic Bucket]],Table_NFI[Plastic Bucket])</f>
        <v>0</v>
      </c>
      <c r="AH1330" s="352">
        <f>IF(NFI_Expiration=1,IF($A1330&lt;VLOOKUP(Q$5,NFI,5,0),1,0)*Table_NFI[[#This Row],[Plastic Mat]],Table_NFI[Plastic Mat])*IF(Table_NFI[[#This Row],[Distribution Date]]&gt;"2014-04-01",1,2.5)</f>
        <v>0</v>
      </c>
      <c r="AI1330" s="352">
        <f>IF(NFI_Expiration=1,IF($A1330&lt;VLOOKUP(R$5,NFI,5,0),1,0)*Table_NFI[[#This Row],[Winter Clothes Adult]],Table_NFI[Winter Clothes Adult])</f>
        <v>0</v>
      </c>
      <c r="AJ1330" s="352">
        <f>IF(NFI_Expiration=1,IF($A1330&lt;VLOOKUP(S$5,NFI,5,0),1,0)*Table_NFI[[#This Row],[Winter Clothes Children]],Table_NFI[Winter Clothes Children])</f>
        <v>0</v>
      </c>
      <c r="AK1330" s="352">
        <f>IF(NFI_Expiration=1,IF($A1330&lt;VLOOKUP(T$5,NFI,5,0),1,0)*Table_NFI[[#This Row],[Winter Items Other]],Table_NFI[Winter Items Other])</f>
        <v>0</v>
      </c>
      <c r="AL1330" s="352">
        <f>IF(NFI_Expiration=1,IF($A1330&lt;VLOOKUP(M$5,NFI,5,0),1,0)*Table_NFI[[#This Row],[Winter Blanket]],Table_NFI[[#This Row],[Winter Blanket]])</f>
        <v>0</v>
      </c>
      <c r="AM1330" s="352">
        <f>IF(Table_NFI[[#This Row],[Winter Clothes Adult]]+Table_NFI[[#This Row],[Winter Clothes Children]]+Table_NFI[[#This Row],[Winter Items Other]]+Table_NFI[[#This Row],[Winter Blanket]]&gt;0,1,0)</f>
        <v>0</v>
      </c>
      <c r="AN1330" s="392">
        <f>IF(NFI_Expiration=1,IF($A1330&lt;VLOOKUP(V$5,NFI,5,0),1,0)*Table_NFI[[#This Row],[Jerry Can]],Table_NFI[Jerry Can])</f>
        <v>0</v>
      </c>
      <c r="AO1330" s="540" t="str">
        <f>IFERROR(VLOOKUP(Table_NFI[[#This Row],[Camp Name]],CL,2,0),"")</f>
        <v/>
      </c>
      <c r="AP1330" s="535" t="str">
        <f ca="1">IF(Table_NFI[[#This Row],[Pcode]]="","",IF(OFFSET(CampList[Opening Date],MATCH(Table_NFI[[#This Row],[Pcode]],CampList[CP_Pcode],0)-1,0,1,1)&gt;=NFI_Monitor_Date,1,0))</f>
        <v/>
      </c>
      <c r="AQ1330" s="540" t="str">
        <f>IFERROR(VLOOKUP(Table_NFI[[#This Row],[Camp Name]],CL,3,0),"")</f>
        <v/>
      </c>
      <c r="AR1330" s="352" t="str">
        <f ca="1">IF(Table_NFI[[#This Row],[Pcode]]="","",OFFSET(CampList[Priority],MATCH(Table_NFI[[#This Row],[Pcode]],CampList[CP_Pcode],0)-1,0,1,1))</f>
        <v/>
      </c>
      <c r="AS1330" s="351" t="str">
        <f>IFERROR(Table_NFI[[#This Row],[Kitchen Set]]/VLOOKUP(Table_NFI[[#This Row],[Camp Name]],CL,4,0),"")</f>
        <v/>
      </c>
      <c r="AT1330" s="538"/>
      <c r="AU1330" s="541"/>
    </row>
    <row r="1331" spans="1:47" ht="14.45" hidden="1" customHeight="1" x14ac:dyDescent="0.25">
      <c r="A1331" s="355" t="str">
        <f t="shared" si="21"/>
        <v/>
      </c>
      <c r="B1331" s="532"/>
      <c r="C1331" s="538"/>
      <c r="D1331" s="538"/>
      <c r="E1331" s="538"/>
      <c r="F1331" s="538"/>
      <c r="G1331" s="538"/>
      <c r="H1331" s="350"/>
      <c r="I1331" s="350"/>
      <c r="J1331" s="350"/>
      <c r="K1331" s="350"/>
      <c r="L1331" s="350"/>
      <c r="M1331" s="350"/>
      <c r="N1331" s="350"/>
      <c r="O1331" s="350"/>
      <c r="P1331" s="352"/>
      <c r="Q1331" s="558"/>
      <c r="R1331" s="558"/>
      <c r="S1331" s="558"/>
      <c r="T1331" s="558"/>
      <c r="U1331" s="558"/>
      <c r="V1331" s="497"/>
      <c r="W1331" s="558"/>
      <c r="X1331" s="558"/>
      <c r="Y1331" s="352">
        <f>IF(NFI_Expiration=1,IF($A1331&lt;VLOOKUP(H$5,NFI,5,0),1,0)*Table_NFI[[#This Row],[Hygiene Kit]],Table_NFI[Hygiene Kit])</f>
        <v>0</v>
      </c>
      <c r="Z1331" s="352">
        <f>IF(NFI_Expiration=1,IF($A1331&lt;VLOOKUP(I$5,NFI,5,0),1,0)*Table_NFI[[#This Row],[NFI Core Kit]],Table_NFI[NFI Core Kit])</f>
        <v>0</v>
      </c>
      <c r="AA1331" s="352">
        <f>IF(NFI_Expiration=1,IF($A1331&lt;VLOOKUP(J$5,NFI,5,0),1,0)*Table_NFI[[#This Row],[Sanitary Kit]],Table_NFI[Sanitary Kit])</f>
        <v>0</v>
      </c>
      <c r="AB1331" s="352">
        <f>IF(NFI_Expiration=1,IF($A1331&lt;VLOOKUP(K$5,NFI,5,0),1,0)*Table_NFI[[#This Row],[Mosquito net]],Table_NFI[Mosquito net])</f>
        <v>0</v>
      </c>
      <c r="AC1331" s="352">
        <f>IF(NFI_Expiration=1,IF($A1331&lt;VLOOKUP(L$5,NFI,5,0),1,0)*Table_NFI[[#This Row],[Tarpaulin]],Table_NFI[[#This Row],[Tarpaulin]])</f>
        <v>0</v>
      </c>
      <c r="AD1331" s="352">
        <f>IF(NFI_Expiration=1,IF($A1331&lt;VLOOKUP(M$5,NFI,5,0),1,0)*Table_NFI[[#This Row],[Blanket]],Table_NFI[[#This Row],[Blanket]])</f>
        <v>0</v>
      </c>
      <c r="AE1331" s="352">
        <f>IF(NFI_Expiration=1,IF($A1331&lt;VLOOKUP(N$5,NFI,5,0),1,0)*Table_NFI[[#This Row],[Kitchen Set]],Table_NFI[Kitchen Set])</f>
        <v>0</v>
      </c>
      <c r="AF1331" s="352">
        <f>IF(NFI_Expiration=1,IF($A1331&lt;VLOOKUP(O$5,NFI,5,0),1,0)*Table_NFI[[#This Row],[Clothes Kit]],Table_NFI[Clothes Kit])</f>
        <v>0</v>
      </c>
      <c r="AG1331" s="352">
        <f>IF(NFI_Expiration=1,IF($A1331&lt;VLOOKUP(P$5,NFI,5,0),1,0)*Table_NFI[[#This Row],[Plastic Bucket]],Table_NFI[Plastic Bucket])</f>
        <v>0</v>
      </c>
      <c r="AH1331" s="352">
        <f>IF(NFI_Expiration=1,IF($A1331&lt;VLOOKUP(Q$5,NFI,5,0),1,0)*Table_NFI[[#This Row],[Plastic Mat]],Table_NFI[Plastic Mat])*IF(Table_NFI[[#This Row],[Distribution Date]]&gt;"2014-04-01",1,2.5)</f>
        <v>0</v>
      </c>
      <c r="AI1331" s="352">
        <f>IF(NFI_Expiration=1,IF($A1331&lt;VLOOKUP(R$5,NFI,5,0),1,0)*Table_NFI[[#This Row],[Winter Clothes Adult]],Table_NFI[Winter Clothes Adult])</f>
        <v>0</v>
      </c>
      <c r="AJ1331" s="352">
        <f>IF(NFI_Expiration=1,IF($A1331&lt;VLOOKUP(S$5,NFI,5,0),1,0)*Table_NFI[[#This Row],[Winter Clothes Children]],Table_NFI[Winter Clothes Children])</f>
        <v>0</v>
      </c>
      <c r="AK1331" s="352">
        <f>IF(NFI_Expiration=1,IF($A1331&lt;VLOOKUP(T$5,NFI,5,0),1,0)*Table_NFI[[#This Row],[Winter Items Other]],Table_NFI[Winter Items Other])</f>
        <v>0</v>
      </c>
      <c r="AL1331" s="352">
        <f>IF(NFI_Expiration=1,IF($A1331&lt;VLOOKUP(M$5,NFI,5,0),1,0)*Table_NFI[[#This Row],[Winter Blanket]],Table_NFI[[#This Row],[Winter Blanket]])</f>
        <v>0</v>
      </c>
      <c r="AM1331" s="352">
        <f>IF(Table_NFI[[#This Row],[Winter Clothes Adult]]+Table_NFI[[#This Row],[Winter Clothes Children]]+Table_NFI[[#This Row],[Winter Items Other]]+Table_NFI[[#This Row],[Winter Blanket]]&gt;0,1,0)</f>
        <v>0</v>
      </c>
      <c r="AN1331" s="392">
        <f>IF(NFI_Expiration=1,IF($A1331&lt;VLOOKUP(V$5,NFI,5,0),1,0)*Table_NFI[[#This Row],[Jerry Can]],Table_NFI[Jerry Can])</f>
        <v>0</v>
      </c>
      <c r="AO1331" s="540" t="str">
        <f>IFERROR(VLOOKUP(Table_NFI[[#This Row],[Camp Name]],CL,2,0),"")</f>
        <v/>
      </c>
      <c r="AP1331" s="535" t="str">
        <f ca="1">IF(Table_NFI[[#This Row],[Pcode]]="","",IF(OFFSET(CampList[Opening Date],MATCH(Table_NFI[[#This Row],[Pcode]],CampList[CP_Pcode],0)-1,0,1,1)&gt;=NFI_Monitor_Date,1,0))</f>
        <v/>
      </c>
      <c r="AQ1331" s="540" t="str">
        <f>IFERROR(VLOOKUP(Table_NFI[[#This Row],[Camp Name]],CL,3,0),"")</f>
        <v/>
      </c>
      <c r="AR1331" s="352" t="str">
        <f ca="1">IF(Table_NFI[[#This Row],[Pcode]]="","",OFFSET(CampList[Priority],MATCH(Table_NFI[[#This Row],[Pcode]],CampList[CP_Pcode],0)-1,0,1,1))</f>
        <v/>
      </c>
      <c r="AS1331" s="351" t="str">
        <f>IFERROR(Table_NFI[[#This Row],[Kitchen Set]]/VLOOKUP(Table_NFI[[#This Row],[Camp Name]],CL,4,0),"")</f>
        <v/>
      </c>
      <c r="AT1331" s="538"/>
      <c r="AU1331" s="541"/>
    </row>
    <row r="1332" spans="1:47" ht="14.45" hidden="1" customHeight="1" x14ac:dyDescent="0.25">
      <c r="A1332" s="355" t="str">
        <f t="shared" si="21"/>
        <v/>
      </c>
      <c r="B1332" s="532"/>
      <c r="C1332" s="538"/>
      <c r="D1332" s="538"/>
      <c r="E1332" s="538"/>
      <c r="F1332" s="538"/>
      <c r="G1332" s="538"/>
      <c r="H1332" s="350"/>
      <c r="I1332" s="350"/>
      <c r="J1332" s="350"/>
      <c r="K1332" s="350"/>
      <c r="L1332" s="350"/>
      <c r="M1332" s="350"/>
      <c r="N1332" s="350"/>
      <c r="O1332" s="350"/>
      <c r="P1332" s="352"/>
      <c r="Q1332" s="558"/>
      <c r="R1332" s="558"/>
      <c r="S1332" s="558"/>
      <c r="T1332" s="558"/>
      <c r="U1332" s="558"/>
      <c r="V1332" s="497"/>
      <c r="W1332" s="558"/>
      <c r="X1332" s="558"/>
      <c r="Y1332" s="352">
        <f>IF(NFI_Expiration=1,IF($A1332&lt;VLOOKUP(H$5,NFI,5,0),1,0)*Table_NFI[[#This Row],[Hygiene Kit]],Table_NFI[Hygiene Kit])</f>
        <v>0</v>
      </c>
      <c r="Z1332" s="352">
        <f>IF(NFI_Expiration=1,IF($A1332&lt;VLOOKUP(I$5,NFI,5,0),1,0)*Table_NFI[[#This Row],[NFI Core Kit]],Table_NFI[NFI Core Kit])</f>
        <v>0</v>
      </c>
      <c r="AA1332" s="352">
        <f>IF(NFI_Expiration=1,IF($A1332&lt;VLOOKUP(J$5,NFI,5,0),1,0)*Table_NFI[[#This Row],[Sanitary Kit]],Table_NFI[Sanitary Kit])</f>
        <v>0</v>
      </c>
      <c r="AB1332" s="352">
        <f>IF(NFI_Expiration=1,IF($A1332&lt;VLOOKUP(K$5,NFI,5,0),1,0)*Table_NFI[[#This Row],[Mosquito net]],Table_NFI[Mosquito net])</f>
        <v>0</v>
      </c>
      <c r="AC1332" s="352">
        <f>IF(NFI_Expiration=1,IF($A1332&lt;VLOOKUP(L$5,NFI,5,0),1,0)*Table_NFI[[#This Row],[Tarpaulin]],Table_NFI[[#This Row],[Tarpaulin]])</f>
        <v>0</v>
      </c>
      <c r="AD1332" s="352">
        <f>IF(NFI_Expiration=1,IF($A1332&lt;VLOOKUP(M$5,NFI,5,0),1,0)*Table_NFI[[#This Row],[Blanket]],Table_NFI[[#This Row],[Blanket]])</f>
        <v>0</v>
      </c>
      <c r="AE1332" s="352">
        <f>IF(NFI_Expiration=1,IF($A1332&lt;VLOOKUP(N$5,NFI,5,0),1,0)*Table_NFI[[#This Row],[Kitchen Set]],Table_NFI[Kitchen Set])</f>
        <v>0</v>
      </c>
      <c r="AF1332" s="352">
        <f>IF(NFI_Expiration=1,IF($A1332&lt;VLOOKUP(O$5,NFI,5,0),1,0)*Table_NFI[[#This Row],[Clothes Kit]],Table_NFI[Clothes Kit])</f>
        <v>0</v>
      </c>
      <c r="AG1332" s="352">
        <f>IF(NFI_Expiration=1,IF($A1332&lt;VLOOKUP(P$5,NFI,5,0),1,0)*Table_NFI[[#This Row],[Plastic Bucket]],Table_NFI[Plastic Bucket])</f>
        <v>0</v>
      </c>
      <c r="AH1332" s="352">
        <f>IF(NFI_Expiration=1,IF($A1332&lt;VLOOKUP(Q$5,NFI,5,0),1,0)*Table_NFI[[#This Row],[Plastic Mat]],Table_NFI[Plastic Mat])*IF(Table_NFI[[#This Row],[Distribution Date]]&gt;"2014-04-01",1,2.5)</f>
        <v>0</v>
      </c>
      <c r="AI1332" s="352">
        <f>IF(NFI_Expiration=1,IF($A1332&lt;VLOOKUP(R$5,NFI,5,0),1,0)*Table_NFI[[#This Row],[Winter Clothes Adult]],Table_NFI[Winter Clothes Adult])</f>
        <v>0</v>
      </c>
      <c r="AJ1332" s="352">
        <f>IF(NFI_Expiration=1,IF($A1332&lt;VLOOKUP(S$5,NFI,5,0),1,0)*Table_NFI[[#This Row],[Winter Clothes Children]],Table_NFI[Winter Clothes Children])</f>
        <v>0</v>
      </c>
      <c r="AK1332" s="352">
        <f>IF(NFI_Expiration=1,IF($A1332&lt;VLOOKUP(T$5,NFI,5,0),1,0)*Table_NFI[[#This Row],[Winter Items Other]],Table_NFI[Winter Items Other])</f>
        <v>0</v>
      </c>
      <c r="AL1332" s="352">
        <f>IF(NFI_Expiration=1,IF($A1332&lt;VLOOKUP(M$5,NFI,5,0),1,0)*Table_NFI[[#This Row],[Winter Blanket]],Table_NFI[[#This Row],[Winter Blanket]])</f>
        <v>0</v>
      </c>
      <c r="AM1332" s="352">
        <f>IF(Table_NFI[[#This Row],[Winter Clothes Adult]]+Table_NFI[[#This Row],[Winter Clothes Children]]+Table_NFI[[#This Row],[Winter Items Other]]+Table_NFI[[#This Row],[Winter Blanket]]&gt;0,1,0)</f>
        <v>0</v>
      </c>
      <c r="AN1332" s="392">
        <f>IF(NFI_Expiration=1,IF($A1332&lt;VLOOKUP(V$5,NFI,5,0),1,0)*Table_NFI[[#This Row],[Jerry Can]],Table_NFI[Jerry Can])</f>
        <v>0</v>
      </c>
      <c r="AO1332" s="540" t="str">
        <f>IFERROR(VLOOKUP(Table_NFI[[#This Row],[Camp Name]],CL,2,0),"")</f>
        <v/>
      </c>
      <c r="AP1332" s="535" t="str">
        <f ca="1">IF(Table_NFI[[#This Row],[Pcode]]="","",IF(OFFSET(CampList[Opening Date],MATCH(Table_NFI[[#This Row],[Pcode]],CampList[CP_Pcode],0)-1,0,1,1)&gt;=NFI_Monitor_Date,1,0))</f>
        <v/>
      </c>
      <c r="AQ1332" s="540" t="str">
        <f>IFERROR(VLOOKUP(Table_NFI[[#This Row],[Camp Name]],CL,3,0),"")</f>
        <v/>
      </c>
      <c r="AR1332" s="352" t="str">
        <f ca="1">IF(Table_NFI[[#This Row],[Pcode]]="","",OFFSET(CampList[Priority],MATCH(Table_NFI[[#This Row],[Pcode]],CampList[CP_Pcode],0)-1,0,1,1))</f>
        <v/>
      </c>
      <c r="AS1332" s="351" t="str">
        <f>IFERROR(Table_NFI[[#This Row],[Kitchen Set]]/VLOOKUP(Table_NFI[[#This Row],[Camp Name]],CL,4,0),"")</f>
        <v/>
      </c>
      <c r="AT1332" s="538"/>
      <c r="AU1332" s="541"/>
    </row>
    <row r="1333" spans="1:47" ht="14.45" hidden="1" customHeight="1" x14ac:dyDescent="0.25">
      <c r="A1333" s="355" t="str">
        <f t="shared" si="21"/>
        <v/>
      </c>
      <c r="B1333" s="532"/>
      <c r="C1333" s="538"/>
      <c r="D1333" s="538"/>
      <c r="E1333" s="538"/>
      <c r="F1333" s="538"/>
      <c r="G1333" s="538"/>
      <c r="H1333" s="350"/>
      <c r="I1333" s="350"/>
      <c r="J1333" s="350"/>
      <c r="K1333" s="350"/>
      <c r="L1333" s="350"/>
      <c r="M1333" s="350"/>
      <c r="N1333" s="350"/>
      <c r="O1333" s="350"/>
      <c r="P1333" s="352"/>
      <c r="Q1333" s="558"/>
      <c r="R1333" s="558"/>
      <c r="S1333" s="558"/>
      <c r="T1333" s="558"/>
      <c r="U1333" s="558"/>
      <c r="V1333" s="497"/>
      <c r="W1333" s="558"/>
      <c r="X1333" s="558"/>
      <c r="Y1333" s="352">
        <f>IF(NFI_Expiration=1,IF($A1333&lt;VLOOKUP(H$5,NFI,5,0),1,0)*Table_NFI[[#This Row],[Hygiene Kit]],Table_NFI[Hygiene Kit])</f>
        <v>0</v>
      </c>
      <c r="Z1333" s="352">
        <f>IF(NFI_Expiration=1,IF($A1333&lt;VLOOKUP(I$5,NFI,5,0),1,0)*Table_NFI[[#This Row],[NFI Core Kit]],Table_NFI[NFI Core Kit])</f>
        <v>0</v>
      </c>
      <c r="AA1333" s="352">
        <f>IF(NFI_Expiration=1,IF($A1333&lt;VLOOKUP(J$5,NFI,5,0),1,0)*Table_NFI[[#This Row],[Sanitary Kit]],Table_NFI[Sanitary Kit])</f>
        <v>0</v>
      </c>
      <c r="AB1333" s="352">
        <f>IF(NFI_Expiration=1,IF($A1333&lt;VLOOKUP(K$5,NFI,5,0),1,0)*Table_NFI[[#This Row],[Mosquito net]],Table_NFI[Mosquito net])</f>
        <v>0</v>
      </c>
      <c r="AC1333" s="352">
        <f>IF(NFI_Expiration=1,IF($A1333&lt;VLOOKUP(L$5,NFI,5,0),1,0)*Table_NFI[[#This Row],[Tarpaulin]],Table_NFI[[#This Row],[Tarpaulin]])</f>
        <v>0</v>
      </c>
      <c r="AD1333" s="352">
        <f>IF(NFI_Expiration=1,IF($A1333&lt;VLOOKUP(M$5,NFI,5,0),1,0)*Table_NFI[[#This Row],[Blanket]],Table_NFI[[#This Row],[Blanket]])</f>
        <v>0</v>
      </c>
      <c r="AE1333" s="352">
        <f>IF(NFI_Expiration=1,IF($A1333&lt;VLOOKUP(N$5,NFI,5,0),1,0)*Table_NFI[[#This Row],[Kitchen Set]],Table_NFI[Kitchen Set])</f>
        <v>0</v>
      </c>
      <c r="AF1333" s="352">
        <f>IF(NFI_Expiration=1,IF($A1333&lt;VLOOKUP(O$5,NFI,5,0),1,0)*Table_NFI[[#This Row],[Clothes Kit]],Table_NFI[Clothes Kit])</f>
        <v>0</v>
      </c>
      <c r="AG1333" s="352">
        <f>IF(NFI_Expiration=1,IF($A1333&lt;VLOOKUP(P$5,NFI,5,0),1,0)*Table_NFI[[#This Row],[Plastic Bucket]],Table_NFI[Plastic Bucket])</f>
        <v>0</v>
      </c>
      <c r="AH1333" s="352">
        <f>IF(NFI_Expiration=1,IF($A1333&lt;VLOOKUP(Q$5,NFI,5,0),1,0)*Table_NFI[[#This Row],[Plastic Mat]],Table_NFI[Plastic Mat])*IF(Table_NFI[[#This Row],[Distribution Date]]&gt;"2014-04-01",1,2.5)</f>
        <v>0</v>
      </c>
      <c r="AI1333" s="352">
        <f>IF(NFI_Expiration=1,IF($A1333&lt;VLOOKUP(R$5,NFI,5,0),1,0)*Table_NFI[[#This Row],[Winter Clothes Adult]],Table_NFI[Winter Clothes Adult])</f>
        <v>0</v>
      </c>
      <c r="AJ1333" s="352">
        <f>IF(NFI_Expiration=1,IF($A1333&lt;VLOOKUP(S$5,NFI,5,0),1,0)*Table_NFI[[#This Row],[Winter Clothes Children]],Table_NFI[Winter Clothes Children])</f>
        <v>0</v>
      </c>
      <c r="AK1333" s="352">
        <f>IF(NFI_Expiration=1,IF($A1333&lt;VLOOKUP(T$5,NFI,5,0),1,0)*Table_NFI[[#This Row],[Winter Items Other]],Table_NFI[Winter Items Other])</f>
        <v>0</v>
      </c>
      <c r="AL1333" s="352">
        <f>IF(NFI_Expiration=1,IF($A1333&lt;VLOOKUP(M$5,NFI,5,0),1,0)*Table_NFI[[#This Row],[Winter Blanket]],Table_NFI[[#This Row],[Winter Blanket]])</f>
        <v>0</v>
      </c>
      <c r="AM1333" s="352">
        <f>IF(Table_NFI[[#This Row],[Winter Clothes Adult]]+Table_NFI[[#This Row],[Winter Clothes Children]]+Table_NFI[[#This Row],[Winter Items Other]]+Table_NFI[[#This Row],[Winter Blanket]]&gt;0,1,0)</f>
        <v>0</v>
      </c>
      <c r="AN1333" s="392">
        <f>IF(NFI_Expiration=1,IF($A1333&lt;VLOOKUP(V$5,NFI,5,0),1,0)*Table_NFI[[#This Row],[Jerry Can]],Table_NFI[Jerry Can])</f>
        <v>0</v>
      </c>
      <c r="AO1333" s="540" t="str">
        <f>IFERROR(VLOOKUP(Table_NFI[[#This Row],[Camp Name]],CL,2,0),"")</f>
        <v/>
      </c>
      <c r="AP1333" s="535" t="str">
        <f ca="1">IF(Table_NFI[[#This Row],[Pcode]]="","",IF(OFFSET(CampList[Opening Date],MATCH(Table_NFI[[#This Row],[Pcode]],CampList[CP_Pcode],0)-1,0,1,1)&gt;=NFI_Monitor_Date,1,0))</f>
        <v/>
      </c>
      <c r="AQ1333" s="540" t="str">
        <f>IFERROR(VLOOKUP(Table_NFI[[#This Row],[Camp Name]],CL,3,0),"")</f>
        <v/>
      </c>
      <c r="AR1333" s="352" t="str">
        <f ca="1">IF(Table_NFI[[#This Row],[Pcode]]="","",OFFSET(CampList[Priority],MATCH(Table_NFI[[#This Row],[Pcode]],CampList[CP_Pcode],0)-1,0,1,1))</f>
        <v/>
      </c>
      <c r="AS1333" s="351" t="str">
        <f>IFERROR(Table_NFI[[#This Row],[Kitchen Set]]/VLOOKUP(Table_NFI[[#This Row],[Camp Name]],CL,4,0),"")</f>
        <v/>
      </c>
      <c r="AT1333" s="538"/>
      <c r="AU1333" s="541"/>
    </row>
    <row r="1334" spans="1:47" ht="14.45" hidden="1" customHeight="1" x14ac:dyDescent="0.25">
      <c r="A1334" s="355" t="str">
        <f t="shared" si="21"/>
        <v/>
      </c>
      <c r="B1334" s="532"/>
      <c r="C1334" s="538"/>
      <c r="D1334" s="538"/>
      <c r="E1334" s="538"/>
      <c r="F1334" s="538"/>
      <c r="G1334" s="538"/>
      <c r="H1334" s="350"/>
      <c r="I1334" s="350"/>
      <c r="J1334" s="350"/>
      <c r="K1334" s="350"/>
      <c r="L1334" s="350"/>
      <c r="M1334" s="350"/>
      <c r="N1334" s="350"/>
      <c r="O1334" s="350"/>
      <c r="P1334" s="352"/>
      <c r="Q1334" s="558"/>
      <c r="R1334" s="558"/>
      <c r="S1334" s="558"/>
      <c r="T1334" s="558"/>
      <c r="U1334" s="558"/>
      <c r="V1334" s="497"/>
      <c r="W1334" s="558"/>
      <c r="X1334" s="558"/>
      <c r="Y1334" s="352">
        <f>IF(NFI_Expiration=1,IF($A1334&lt;VLOOKUP(H$5,NFI,5,0),1,0)*Table_NFI[[#This Row],[Hygiene Kit]],Table_NFI[Hygiene Kit])</f>
        <v>0</v>
      </c>
      <c r="Z1334" s="352">
        <f>IF(NFI_Expiration=1,IF($A1334&lt;VLOOKUP(I$5,NFI,5,0),1,0)*Table_NFI[[#This Row],[NFI Core Kit]],Table_NFI[NFI Core Kit])</f>
        <v>0</v>
      </c>
      <c r="AA1334" s="352">
        <f>IF(NFI_Expiration=1,IF($A1334&lt;VLOOKUP(J$5,NFI,5,0),1,0)*Table_NFI[[#This Row],[Sanitary Kit]],Table_NFI[Sanitary Kit])</f>
        <v>0</v>
      </c>
      <c r="AB1334" s="352">
        <f>IF(NFI_Expiration=1,IF($A1334&lt;VLOOKUP(K$5,NFI,5,0),1,0)*Table_NFI[[#This Row],[Mosquito net]],Table_NFI[Mosquito net])</f>
        <v>0</v>
      </c>
      <c r="AC1334" s="352">
        <f>IF(NFI_Expiration=1,IF($A1334&lt;VLOOKUP(L$5,NFI,5,0),1,0)*Table_NFI[[#This Row],[Tarpaulin]],Table_NFI[[#This Row],[Tarpaulin]])</f>
        <v>0</v>
      </c>
      <c r="AD1334" s="352">
        <f>IF(NFI_Expiration=1,IF($A1334&lt;VLOOKUP(M$5,NFI,5,0),1,0)*Table_NFI[[#This Row],[Blanket]],Table_NFI[[#This Row],[Blanket]])</f>
        <v>0</v>
      </c>
      <c r="AE1334" s="352">
        <f>IF(NFI_Expiration=1,IF($A1334&lt;VLOOKUP(N$5,NFI,5,0),1,0)*Table_NFI[[#This Row],[Kitchen Set]],Table_NFI[Kitchen Set])</f>
        <v>0</v>
      </c>
      <c r="AF1334" s="352">
        <f>IF(NFI_Expiration=1,IF($A1334&lt;VLOOKUP(O$5,NFI,5,0),1,0)*Table_NFI[[#This Row],[Clothes Kit]],Table_NFI[Clothes Kit])</f>
        <v>0</v>
      </c>
      <c r="AG1334" s="352">
        <f>IF(NFI_Expiration=1,IF($A1334&lt;VLOOKUP(P$5,NFI,5,0),1,0)*Table_NFI[[#This Row],[Plastic Bucket]],Table_NFI[Plastic Bucket])</f>
        <v>0</v>
      </c>
      <c r="AH1334" s="352">
        <f>IF(NFI_Expiration=1,IF($A1334&lt;VLOOKUP(Q$5,NFI,5,0),1,0)*Table_NFI[[#This Row],[Plastic Mat]],Table_NFI[Plastic Mat])*IF(Table_NFI[[#This Row],[Distribution Date]]&gt;"2014-04-01",1,2.5)</f>
        <v>0</v>
      </c>
      <c r="AI1334" s="352">
        <f>IF(NFI_Expiration=1,IF($A1334&lt;VLOOKUP(R$5,NFI,5,0),1,0)*Table_NFI[[#This Row],[Winter Clothes Adult]],Table_NFI[Winter Clothes Adult])</f>
        <v>0</v>
      </c>
      <c r="AJ1334" s="352">
        <f>IF(NFI_Expiration=1,IF($A1334&lt;VLOOKUP(S$5,NFI,5,0),1,0)*Table_NFI[[#This Row],[Winter Clothes Children]],Table_NFI[Winter Clothes Children])</f>
        <v>0</v>
      </c>
      <c r="AK1334" s="352">
        <f>IF(NFI_Expiration=1,IF($A1334&lt;VLOOKUP(T$5,NFI,5,0),1,0)*Table_NFI[[#This Row],[Winter Items Other]],Table_NFI[Winter Items Other])</f>
        <v>0</v>
      </c>
      <c r="AL1334" s="352">
        <f>IF(NFI_Expiration=1,IF($A1334&lt;VLOOKUP(M$5,NFI,5,0),1,0)*Table_NFI[[#This Row],[Winter Blanket]],Table_NFI[[#This Row],[Winter Blanket]])</f>
        <v>0</v>
      </c>
      <c r="AM1334" s="352">
        <f>IF(Table_NFI[[#This Row],[Winter Clothes Adult]]+Table_NFI[[#This Row],[Winter Clothes Children]]+Table_NFI[[#This Row],[Winter Items Other]]+Table_NFI[[#This Row],[Winter Blanket]]&gt;0,1,0)</f>
        <v>0</v>
      </c>
      <c r="AN1334" s="392">
        <f>IF(NFI_Expiration=1,IF($A1334&lt;VLOOKUP(V$5,NFI,5,0),1,0)*Table_NFI[[#This Row],[Jerry Can]],Table_NFI[Jerry Can])</f>
        <v>0</v>
      </c>
      <c r="AO1334" s="540" t="str">
        <f>IFERROR(VLOOKUP(Table_NFI[[#This Row],[Camp Name]],CL,2,0),"")</f>
        <v/>
      </c>
      <c r="AP1334" s="535" t="str">
        <f ca="1">IF(Table_NFI[[#This Row],[Pcode]]="","",IF(OFFSET(CampList[Opening Date],MATCH(Table_NFI[[#This Row],[Pcode]],CampList[CP_Pcode],0)-1,0,1,1)&gt;=NFI_Monitor_Date,1,0))</f>
        <v/>
      </c>
      <c r="AQ1334" s="540" t="str">
        <f>IFERROR(VLOOKUP(Table_NFI[[#This Row],[Camp Name]],CL,3,0),"")</f>
        <v/>
      </c>
      <c r="AR1334" s="352" t="str">
        <f ca="1">IF(Table_NFI[[#This Row],[Pcode]]="","",OFFSET(CampList[Priority],MATCH(Table_NFI[[#This Row],[Pcode]],CampList[CP_Pcode],0)-1,0,1,1))</f>
        <v/>
      </c>
      <c r="AS1334" s="351" t="str">
        <f>IFERROR(Table_NFI[[#This Row],[Kitchen Set]]/VLOOKUP(Table_NFI[[#This Row],[Camp Name]],CL,4,0),"")</f>
        <v/>
      </c>
      <c r="AT1334" s="538"/>
      <c r="AU1334" s="541"/>
    </row>
    <row r="1335" spans="1:47" ht="14.45" hidden="1" customHeight="1" x14ac:dyDescent="0.25">
      <c r="A1335" s="355" t="str">
        <f t="shared" si="21"/>
        <v/>
      </c>
      <c r="B1335" s="532"/>
      <c r="C1335" s="538"/>
      <c r="D1335" s="538"/>
      <c r="E1335" s="538"/>
      <c r="F1335" s="538"/>
      <c r="G1335" s="538"/>
      <c r="H1335" s="350"/>
      <c r="I1335" s="350"/>
      <c r="J1335" s="350"/>
      <c r="K1335" s="350"/>
      <c r="L1335" s="350"/>
      <c r="M1335" s="350"/>
      <c r="N1335" s="350"/>
      <c r="O1335" s="350"/>
      <c r="P1335" s="352"/>
      <c r="Q1335" s="558"/>
      <c r="R1335" s="558"/>
      <c r="S1335" s="558"/>
      <c r="T1335" s="558"/>
      <c r="U1335" s="558"/>
      <c r="V1335" s="497"/>
      <c r="W1335" s="558"/>
      <c r="X1335" s="558"/>
      <c r="Y1335" s="352">
        <f>IF(NFI_Expiration=1,IF($A1335&lt;VLOOKUP(H$5,NFI,5,0),1,0)*Table_NFI[[#This Row],[Hygiene Kit]],Table_NFI[Hygiene Kit])</f>
        <v>0</v>
      </c>
      <c r="Z1335" s="352">
        <f>IF(NFI_Expiration=1,IF($A1335&lt;VLOOKUP(I$5,NFI,5,0),1,0)*Table_NFI[[#This Row],[NFI Core Kit]],Table_NFI[NFI Core Kit])</f>
        <v>0</v>
      </c>
      <c r="AA1335" s="352">
        <f>IF(NFI_Expiration=1,IF($A1335&lt;VLOOKUP(J$5,NFI,5,0),1,0)*Table_NFI[[#This Row],[Sanitary Kit]],Table_NFI[Sanitary Kit])</f>
        <v>0</v>
      </c>
      <c r="AB1335" s="352">
        <f>IF(NFI_Expiration=1,IF($A1335&lt;VLOOKUP(K$5,NFI,5,0),1,0)*Table_NFI[[#This Row],[Mosquito net]],Table_NFI[Mosquito net])</f>
        <v>0</v>
      </c>
      <c r="AC1335" s="352">
        <f>IF(NFI_Expiration=1,IF($A1335&lt;VLOOKUP(L$5,NFI,5,0),1,0)*Table_NFI[[#This Row],[Tarpaulin]],Table_NFI[[#This Row],[Tarpaulin]])</f>
        <v>0</v>
      </c>
      <c r="AD1335" s="352">
        <f>IF(NFI_Expiration=1,IF($A1335&lt;VLOOKUP(M$5,NFI,5,0),1,0)*Table_NFI[[#This Row],[Blanket]],Table_NFI[[#This Row],[Blanket]])</f>
        <v>0</v>
      </c>
      <c r="AE1335" s="352">
        <f>IF(NFI_Expiration=1,IF($A1335&lt;VLOOKUP(N$5,NFI,5,0),1,0)*Table_NFI[[#This Row],[Kitchen Set]],Table_NFI[Kitchen Set])</f>
        <v>0</v>
      </c>
      <c r="AF1335" s="352">
        <f>IF(NFI_Expiration=1,IF($A1335&lt;VLOOKUP(O$5,NFI,5,0),1,0)*Table_NFI[[#This Row],[Clothes Kit]],Table_NFI[Clothes Kit])</f>
        <v>0</v>
      </c>
      <c r="AG1335" s="352">
        <f>IF(NFI_Expiration=1,IF($A1335&lt;VLOOKUP(P$5,NFI,5,0),1,0)*Table_NFI[[#This Row],[Plastic Bucket]],Table_NFI[Plastic Bucket])</f>
        <v>0</v>
      </c>
      <c r="AH1335" s="352">
        <f>IF(NFI_Expiration=1,IF($A1335&lt;VLOOKUP(Q$5,NFI,5,0),1,0)*Table_NFI[[#This Row],[Plastic Mat]],Table_NFI[Plastic Mat])*IF(Table_NFI[[#This Row],[Distribution Date]]&gt;"2014-04-01",1,2.5)</f>
        <v>0</v>
      </c>
      <c r="AI1335" s="352">
        <f>IF(NFI_Expiration=1,IF($A1335&lt;VLOOKUP(R$5,NFI,5,0),1,0)*Table_NFI[[#This Row],[Winter Clothes Adult]],Table_NFI[Winter Clothes Adult])</f>
        <v>0</v>
      </c>
      <c r="AJ1335" s="352">
        <f>IF(NFI_Expiration=1,IF($A1335&lt;VLOOKUP(S$5,NFI,5,0),1,0)*Table_NFI[[#This Row],[Winter Clothes Children]],Table_NFI[Winter Clothes Children])</f>
        <v>0</v>
      </c>
      <c r="AK1335" s="352">
        <f>IF(NFI_Expiration=1,IF($A1335&lt;VLOOKUP(T$5,NFI,5,0),1,0)*Table_NFI[[#This Row],[Winter Items Other]],Table_NFI[Winter Items Other])</f>
        <v>0</v>
      </c>
      <c r="AL1335" s="352">
        <f>IF(NFI_Expiration=1,IF($A1335&lt;VLOOKUP(M$5,NFI,5,0),1,0)*Table_NFI[[#This Row],[Winter Blanket]],Table_NFI[[#This Row],[Winter Blanket]])</f>
        <v>0</v>
      </c>
      <c r="AM1335" s="352">
        <f>IF(Table_NFI[[#This Row],[Winter Clothes Adult]]+Table_NFI[[#This Row],[Winter Clothes Children]]+Table_NFI[[#This Row],[Winter Items Other]]+Table_NFI[[#This Row],[Winter Blanket]]&gt;0,1,0)</f>
        <v>0</v>
      </c>
      <c r="AN1335" s="392">
        <f>IF(NFI_Expiration=1,IF($A1335&lt;VLOOKUP(V$5,NFI,5,0),1,0)*Table_NFI[[#This Row],[Jerry Can]],Table_NFI[Jerry Can])</f>
        <v>0</v>
      </c>
      <c r="AO1335" s="540" t="str">
        <f>IFERROR(VLOOKUP(Table_NFI[[#This Row],[Camp Name]],CL,2,0),"")</f>
        <v/>
      </c>
      <c r="AP1335" s="535" t="str">
        <f ca="1">IF(Table_NFI[[#This Row],[Pcode]]="","",IF(OFFSET(CampList[Opening Date],MATCH(Table_NFI[[#This Row],[Pcode]],CampList[CP_Pcode],0)-1,0,1,1)&gt;=NFI_Monitor_Date,1,0))</f>
        <v/>
      </c>
      <c r="AQ1335" s="540" t="str">
        <f>IFERROR(VLOOKUP(Table_NFI[[#This Row],[Camp Name]],CL,3,0),"")</f>
        <v/>
      </c>
      <c r="AR1335" s="352" t="str">
        <f ca="1">IF(Table_NFI[[#This Row],[Pcode]]="","",OFFSET(CampList[Priority],MATCH(Table_NFI[[#This Row],[Pcode]],CampList[CP_Pcode],0)-1,0,1,1))</f>
        <v/>
      </c>
      <c r="AS1335" s="351" t="str">
        <f>IFERROR(Table_NFI[[#This Row],[Kitchen Set]]/VLOOKUP(Table_NFI[[#This Row],[Camp Name]],CL,4,0),"")</f>
        <v/>
      </c>
      <c r="AT1335" s="538"/>
      <c r="AU1335" s="541"/>
    </row>
    <row r="1336" spans="1:47" ht="14.45" hidden="1" customHeight="1" x14ac:dyDescent="0.25">
      <c r="A1336" s="355" t="str">
        <f t="shared" si="21"/>
        <v/>
      </c>
      <c r="B1336" s="532"/>
      <c r="C1336" s="538"/>
      <c r="D1336" s="538"/>
      <c r="E1336" s="538"/>
      <c r="F1336" s="538"/>
      <c r="G1336" s="538"/>
      <c r="H1336" s="350"/>
      <c r="I1336" s="350"/>
      <c r="J1336" s="350"/>
      <c r="K1336" s="350"/>
      <c r="L1336" s="350"/>
      <c r="M1336" s="350"/>
      <c r="N1336" s="350"/>
      <c r="O1336" s="350"/>
      <c r="P1336" s="352"/>
      <c r="Q1336" s="558"/>
      <c r="R1336" s="558"/>
      <c r="S1336" s="558"/>
      <c r="T1336" s="558"/>
      <c r="U1336" s="558"/>
      <c r="V1336" s="497"/>
      <c r="W1336" s="558"/>
      <c r="X1336" s="558"/>
      <c r="Y1336" s="352">
        <f>IF(NFI_Expiration=1,IF($A1336&lt;VLOOKUP(H$5,NFI,5,0),1,0)*Table_NFI[[#This Row],[Hygiene Kit]],Table_NFI[Hygiene Kit])</f>
        <v>0</v>
      </c>
      <c r="Z1336" s="352">
        <f>IF(NFI_Expiration=1,IF($A1336&lt;VLOOKUP(I$5,NFI,5,0),1,0)*Table_NFI[[#This Row],[NFI Core Kit]],Table_NFI[NFI Core Kit])</f>
        <v>0</v>
      </c>
      <c r="AA1336" s="352">
        <f>IF(NFI_Expiration=1,IF($A1336&lt;VLOOKUP(J$5,NFI,5,0),1,0)*Table_NFI[[#This Row],[Sanitary Kit]],Table_NFI[Sanitary Kit])</f>
        <v>0</v>
      </c>
      <c r="AB1336" s="352">
        <f>IF(NFI_Expiration=1,IF($A1336&lt;VLOOKUP(K$5,NFI,5,0),1,0)*Table_NFI[[#This Row],[Mosquito net]],Table_NFI[Mosquito net])</f>
        <v>0</v>
      </c>
      <c r="AC1336" s="352">
        <f>IF(NFI_Expiration=1,IF($A1336&lt;VLOOKUP(L$5,NFI,5,0),1,0)*Table_NFI[[#This Row],[Tarpaulin]],Table_NFI[[#This Row],[Tarpaulin]])</f>
        <v>0</v>
      </c>
      <c r="AD1336" s="352">
        <f>IF(NFI_Expiration=1,IF($A1336&lt;VLOOKUP(M$5,NFI,5,0),1,0)*Table_NFI[[#This Row],[Blanket]],Table_NFI[[#This Row],[Blanket]])</f>
        <v>0</v>
      </c>
      <c r="AE1336" s="352">
        <f>IF(NFI_Expiration=1,IF($A1336&lt;VLOOKUP(N$5,NFI,5,0),1,0)*Table_NFI[[#This Row],[Kitchen Set]],Table_NFI[Kitchen Set])</f>
        <v>0</v>
      </c>
      <c r="AF1336" s="352">
        <f>IF(NFI_Expiration=1,IF($A1336&lt;VLOOKUP(O$5,NFI,5,0),1,0)*Table_NFI[[#This Row],[Clothes Kit]],Table_NFI[Clothes Kit])</f>
        <v>0</v>
      </c>
      <c r="AG1336" s="352">
        <f>IF(NFI_Expiration=1,IF($A1336&lt;VLOOKUP(P$5,NFI,5,0),1,0)*Table_NFI[[#This Row],[Plastic Bucket]],Table_NFI[Plastic Bucket])</f>
        <v>0</v>
      </c>
      <c r="AH1336" s="352">
        <f>IF(NFI_Expiration=1,IF($A1336&lt;VLOOKUP(Q$5,NFI,5,0),1,0)*Table_NFI[[#This Row],[Plastic Mat]],Table_NFI[Plastic Mat])*IF(Table_NFI[[#This Row],[Distribution Date]]&gt;"2014-04-01",1,2.5)</f>
        <v>0</v>
      </c>
      <c r="AI1336" s="352">
        <f>IF(NFI_Expiration=1,IF($A1336&lt;VLOOKUP(R$5,NFI,5,0),1,0)*Table_NFI[[#This Row],[Winter Clothes Adult]],Table_NFI[Winter Clothes Adult])</f>
        <v>0</v>
      </c>
      <c r="AJ1336" s="352">
        <f>IF(NFI_Expiration=1,IF($A1336&lt;VLOOKUP(S$5,NFI,5,0),1,0)*Table_NFI[[#This Row],[Winter Clothes Children]],Table_NFI[Winter Clothes Children])</f>
        <v>0</v>
      </c>
      <c r="AK1336" s="352">
        <f>IF(NFI_Expiration=1,IF($A1336&lt;VLOOKUP(T$5,NFI,5,0),1,0)*Table_NFI[[#This Row],[Winter Items Other]],Table_NFI[Winter Items Other])</f>
        <v>0</v>
      </c>
      <c r="AL1336" s="352">
        <f>IF(NFI_Expiration=1,IF($A1336&lt;VLOOKUP(M$5,NFI,5,0),1,0)*Table_NFI[[#This Row],[Winter Blanket]],Table_NFI[[#This Row],[Winter Blanket]])</f>
        <v>0</v>
      </c>
      <c r="AM1336" s="352">
        <f>IF(Table_NFI[[#This Row],[Winter Clothes Adult]]+Table_NFI[[#This Row],[Winter Clothes Children]]+Table_NFI[[#This Row],[Winter Items Other]]+Table_NFI[[#This Row],[Winter Blanket]]&gt;0,1,0)</f>
        <v>0</v>
      </c>
      <c r="AN1336" s="392">
        <f>IF(NFI_Expiration=1,IF($A1336&lt;VLOOKUP(V$5,NFI,5,0),1,0)*Table_NFI[[#This Row],[Jerry Can]],Table_NFI[Jerry Can])</f>
        <v>0</v>
      </c>
      <c r="AO1336" s="540" t="str">
        <f>IFERROR(VLOOKUP(Table_NFI[[#This Row],[Camp Name]],CL,2,0),"")</f>
        <v/>
      </c>
      <c r="AP1336" s="535" t="str">
        <f ca="1">IF(Table_NFI[[#This Row],[Pcode]]="","",IF(OFFSET(CampList[Opening Date],MATCH(Table_NFI[[#This Row],[Pcode]],CampList[CP_Pcode],0)-1,0,1,1)&gt;=NFI_Monitor_Date,1,0))</f>
        <v/>
      </c>
      <c r="AQ1336" s="540" t="str">
        <f>IFERROR(VLOOKUP(Table_NFI[[#This Row],[Camp Name]],CL,3,0),"")</f>
        <v/>
      </c>
      <c r="AR1336" s="352" t="str">
        <f ca="1">IF(Table_NFI[[#This Row],[Pcode]]="","",OFFSET(CampList[Priority],MATCH(Table_NFI[[#This Row],[Pcode]],CampList[CP_Pcode],0)-1,0,1,1))</f>
        <v/>
      </c>
      <c r="AS1336" s="351" t="str">
        <f>IFERROR(Table_NFI[[#This Row],[Kitchen Set]]/VLOOKUP(Table_NFI[[#This Row],[Camp Name]],CL,4,0),"")</f>
        <v/>
      </c>
      <c r="AT1336" s="538"/>
      <c r="AU1336" s="541"/>
    </row>
    <row r="1337" spans="1:47" ht="14.45" hidden="1" customHeight="1" x14ac:dyDescent="0.25">
      <c r="A1337" s="355" t="str">
        <f t="shared" si="21"/>
        <v/>
      </c>
      <c r="B1337" s="532"/>
      <c r="C1337" s="538"/>
      <c r="D1337" s="538"/>
      <c r="E1337" s="538"/>
      <c r="F1337" s="538"/>
      <c r="G1337" s="538"/>
      <c r="H1337" s="350"/>
      <c r="I1337" s="350"/>
      <c r="J1337" s="350"/>
      <c r="K1337" s="350"/>
      <c r="L1337" s="350"/>
      <c r="M1337" s="350"/>
      <c r="N1337" s="350"/>
      <c r="O1337" s="350"/>
      <c r="P1337" s="352"/>
      <c r="Q1337" s="558"/>
      <c r="R1337" s="558"/>
      <c r="S1337" s="558"/>
      <c r="T1337" s="558"/>
      <c r="U1337" s="558"/>
      <c r="V1337" s="497"/>
      <c r="W1337" s="558"/>
      <c r="X1337" s="558"/>
      <c r="Y1337" s="352">
        <f>IF(NFI_Expiration=1,IF($A1337&lt;VLOOKUP(H$5,NFI,5,0),1,0)*Table_NFI[[#This Row],[Hygiene Kit]],Table_NFI[Hygiene Kit])</f>
        <v>0</v>
      </c>
      <c r="Z1337" s="352">
        <f>IF(NFI_Expiration=1,IF($A1337&lt;VLOOKUP(I$5,NFI,5,0),1,0)*Table_NFI[[#This Row],[NFI Core Kit]],Table_NFI[NFI Core Kit])</f>
        <v>0</v>
      </c>
      <c r="AA1337" s="352">
        <f>IF(NFI_Expiration=1,IF($A1337&lt;VLOOKUP(J$5,NFI,5,0),1,0)*Table_NFI[[#This Row],[Sanitary Kit]],Table_NFI[Sanitary Kit])</f>
        <v>0</v>
      </c>
      <c r="AB1337" s="352">
        <f>IF(NFI_Expiration=1,IF($A1337&lt;VLOOKUP(K$5,NFI,5,0),1,0)*Table_NFI[[#This Row],[Mosquito net]],Table_NFI[Mosquito net])</f>
        <v>0</v>
      </c>
      <c r="AC1337" s="352">
        <f>IF(NFI_Expiration=1,IF($A1337&lt;VLOOKUP(L$5,NFI,5,0),1,0)*Table_NFI[[#This Row],[Tarpaulin]],Table_NFI[[#This Row],[Tarpaulin]])</f>
        <v>0</v>
      </c>
      <c r="AD1337" s="352">
        <f>IF(NFI_Expiration=1,IF($A1337&lt;VLOOKUP(M$5,NFI,5,0),1,0)*Table_NFI[[#This Row],[Blanket]],Table_NFI[[#This Row],[Blanket]])</f>
        <v>0</v>
      </c>
      <c r="AE1337" s="352">
        <f>IF(NFI_Expiration=1,IF($A1337&lt;VLOOKUP(N$5,NFI,5,0),1,0)*Table_NFI[[#This Row],[Kitchen Set]],Table_NFI[Kitchen Set])</f>
        <v>0</v>
      </c>
      <c r="AF1337" s="352">
        <f>IF(NFI_Expiration=1,IF($A1337&lt;VLOOKUP(O$5,NFI,5,0),1,0)*Table_NFI[[#This Row],[Clothes Kit]],Table_NFI[Clothes Kit])</f>
        <v>0</v>
      </c>
      <c r="AG1337" s="352">
        <f>IF(NFI_Expiration=1,IF($A1337&lt;VLOOKUP(P$5,NFI,5,0),1,0)*Table_NFI[[#This Row],[Plastic Bucket]],Table_NFI[Plastic Bucket])</f>
        <v>0</v>
      </c>
      <c r="AH1337" s="352">
        <f>IF(NFI_Expiration=1,IF($A1337&lt;VLOOKUP(Q$5,NFI,5,0),1,0)*Table_NFI[[#This Row],[Plastic Mat]],Table_NFI[Plastic Mat])*IF(Table_NFI[[#This Row],[Distribution Date]]&gt;"2014-04-01",1,2.5)</f>
        <v>0</v>
      </c>
      <c r="AI1337" s="352">
        <f>IF(NFI_Expiration=1,IF($A1337&lt;VLOOKUP(R$5,NFI,5,0),1,0)*Table_NFI[[#This Row],[Winter Clothes Adult]],Table_NFI[Winter Clothes Adult])</f>
        <v>0</v>
      </c>
      <c r="AJ1337" s="352">
        <f>IF(NFI_Expiration=1,IF($A1337&lt;VLOOKUP(S$5,NFI,5,0),1,0)*Table_NFI[[#This Row],[Winter Clothes Children]],Table_NFI[Winter Clothes Children])</f>
        <v>0</v>
      </c>
      <c r="AK1337" s="352">
        <f>IF(NFI_Expiration=1,IF($A1337&lt;VLOOKUP(T$5,NFI,5,0),1,0)*Table_NFI[[#This Row],[Winter Items Other]],Table_NFI[Winter Items Other])</f>
        <v>0</v>
      </c>
      <c r="AL1337" s="352">
        <f>IF(NFI_Expiration=1,IF($A1337&lt;VLOOKUP(M$5,NFI,5,0),1,0)*Table_NFI[[#This Row],[Winter Blanket]],Table_NFI[[#This Row],[Winter Blanket]])</f>
        <v>0</v>
      </c>
      <c r="AM1337" s="352">
        <f>IF(Table_NFI[[#This Row],[Winter Clothes Adult]]+Table_NFI[[#This Row],[Winter Clothes Children]]+Table_NFI[[#This Row],[Winter Items Other]]+Table_NFI[[#This Row],[Winter Blanket]]&gt;0,1,0)</f>
        <v>0</v>
      </c>
      <c r="AN1337" s="392">
        <f>IF(NFI_Expiration=1,IF($A1337&lt;VLOOKUP(V$5,NFI,5,0),1,0)*Table_NFI[[#This Row],[Jerry Can]],Table_NFI[Jerry Can])</f>
        <v>0</v>
      </c>
      <c r="AO1337" s="540" t="str">
        <f>IFERROR(VLOOKUP(Table_NFI[[#This Row],[Camp Name]],CL,2,0),"")</f>
        <v/>
      </c>
      <c r="AP1337" s="535" t="str">
        <f ca="1">IF(Table_NFI[[#This Row],[Pcode]]="","",IF(OFFSET(CampList[Opening Date],MATCH(Table_NFI[[#This Row],[Pcode]],CampList[CP_Pcode],0)-1,0,1,1)&gt;=NFI_Monitor_Date,1,0))</f>
        <v/>
      </c>
      <c r="AQ1337" s="540" t="str">
        <f>IFERROR(VLOOKUP(Table_NFI[[#This Row],[Camp Name]],CL,3,0),"")</f>
        <v/>
      </c>
      <c r="AR1337" s="352" t="str">
        <f ca="1">IF(Table_NFI[[#This Row],[Pcode]]="","",OFFSET(CampList[Priority],MATCH(Table_NFI[[#This Row],[Pcode]],CampList[CP_Pcode],0)-1,0,1,1))</f>
        <v/>
      </c>
      <c r="AS1337" s="351" t="str">
        <f>IFERROR(Table_NFI[[#This Row],[Kitchen Set]]/VLOOKUP(Table_NFI[[#This Row],[Camp Name]],CL,4,0),"")</f>
        <v/>
      </c>
      <c r="AT1337" s="538"/>
      <c r="AU1337" s="541"/>
    </row>
    <row r="1338" spans="1:47" ht="14.45" hidden="1" customHeight="1" x14ac:dyDescent="0.25">
      <c r="A1338" s="390" t="str">
        <f t="shared" si="21"/>
        <v/>
      </c>
      <c r="B1338" s="542"/>
      <c r="C1338" s="544"/>
      <c r="D1338" s="544"/>
      <c r="E1338" s="544"/>
      <c r="F1338" s="544"/>
      <c r="G1338" s="544"/>
      <c r="H1338" s="391"/>
      <c r="I1338" s="391"/>
      <c r="J1338" s="391"/>
      <c r="K1338" s="391"/>
      <c r="L1338" s="391"/>
      <c r="M1338" s="391"/>
      <c r="N1338" s="391"/>
      <c r="O1338" s="391"/>
      <c r="P1338" s="392"/>
      <c r="Q1338" s="558"/>
      <c r="R1338" s="558"/>
      <c r="S1338" s="558"/>
      <c r="T1338" s="558"/>
      <c r="U1338" s="558"/>
      <c r="V1338" s="497"/>
      <c r="W1338" s="558"/>
      <c r="X1338" s="558"/>
      <c r="Y1338" s="392">
        <f>IF(NFI_Expiration=1,IF($A1338&lt;VLOOKUP(H$5,NFI,5,0),1,0)*Table_NFI[[#This Row],[Hygiene Kit]],Table_NFI[Hygiene Kit])</f>
        <v>0</v>
      </c>
      <c r="Z1338" s="392">
        <f>IF(NFI_Expiration=1,IF($A1338&lt;VLOOKUP(I$5,NFI,5,0),1,0)*Table_NFI[[#This Row],[NFI Core Kit]],Table_NFI[NFI Core Kit])</f>
        <v>0</v>
      </c>
      <c r="AA1338" s="392">
        <f>IF(NFI_Expiration=1,IF($A1338&lt;VLOOKUP(J$5,NFI,5,0),1,0)*Table_NFI[[#This Row],[Sanitary Kit]],Table_NFI[Sanitary Kit])</f>
        <v>0</v>
      </c>
      <c r="AB1338" s="392">
        <f>IF(NFI_Expiration=1,IF($A1338&lt;VLOOKUP(K$5,NFI,5,0),1,0)*Table_NFI[[#This Row],[Mosquito net]],Table_NFI[Mosquito net])</f>
        <v>0</v>
      </c>
      <c r="AC1338" s="392">
        <f>IF(NFI_Expiration=1,IF($A1338&lt;VLOOKUP(L$5,NFI,5,0),1,0)*Table_NFI[[#This Row],[Tarpaulin]],Table_NFI[[#This Row],[Tarpaulin]])</f>
        <v>0</v>
      </c>
      <c r="AD1338" s="392">
        <f>IF(NFI_Expiration=1,IF($A1338&lt;VLOOKUP(M$5,NFI,5,0),1,0)*Table_NFI[[#This Row],[Blanket]],Table_NFI[[#This Row],[Blanket]])</f>
        <v>0</v>
      </c>
      <c r="AE1338" s="392">
        <f>IF(NFI_Expiration=1,IF($A1338&lt;VLOOKUP(N$5,NFI,5,0),1,0)*Table_NFI[[#This Row],[Kitchen Set]],Table_NFI[Kitchen Set])</f>
        <v>0</v>
      </c>
      <c r="AF1338" s="392">
        <f>IF(NFI_Expiration=1,IF($A1338&lt;VLOOKUP(O$5,NFI,5,0),1,0)*Table_NFI[[#This Row],[Clothes Kit]],Table_NFI[Clothes Kit])</f>
        <v>0</v>
      </c>
      <c r="AG1338" s="392">
        <f>IF(NFI_Expiration=1,IF($A1338&lt;VLOOKUP(P$5,NFI,5,0),1,0)*Table_NFI[[#This Row],[Plastic Bucket]],Table_NFI[Plastic Bucket])</f>
        <v>0</v>
      </c>
      <c r="AH1338" s="392">
        <f>IF(NFI_Expiration=1,IF($A1338&lt;VLOOKUP(Q$5,NFI,5,0),1,0)*Table_NFI[[#This Row],[Plastic Mat]],Table_NFI[Plastic Mat])*IF(Table_NFI[[#This Row],[Distribution Date]]&gt;"2014-04-01",1,2.5)</f>
        <v>0</v>
      </c>
      <c r="AI1338" s="392">
        <f>IF(NFI_Expiration=1,IF($A1338&lt;VLOOKUP(R$5,NFI,5,0),1,0)*Table_NFI[[#This Row],[Winter Clothes Adult]],Table_NFI[Winter Clothes Adult])</f>
        <v>0</v>
      </c>
      <c r="AJ1338" s="392">
        <f>IF(NFI_Expiration=1,IF($A1338&lt;VLOOKUP(S$5,NFI,5,0),1,0)*Table_NFI[[#This Row],[Winter Clothes Children]],Table_NFI[Winter Clothes Children])</f>
        <v>0</v>
      </c>
      <c r="AK1338" s="392">
        <f>IF(NFI_Expiration=1,IF($A1338&lt;VLOOKUP(T$5,NFI,5,0),1,0)*Table_NFI[[#This Row],[Winter Items Other]],Table_NFI[Winter Items Other])</f>
        <v>0</v>
      </c>
      <c r="AL1338" s="392">
        <f>IF(NFI_Expiration=1,IF($A1338&lt;VLOOKUP(M$5,NFI,5,0),1,0)*Table_NFI[[#This Row],[Winter Blanket]],Table_NFI[[#This Row],[Winter Blanket]])</f>
        <v>0</v>
      </c>
      <c r="AM1338" s="392">
        <f>IF(Table_NFI[[#This Row],[Winter Clothes Adult]]+Table_NFI[[#This Row],[Winter Clothes Children]]+Table_NFI[[#This Row],[Winter Items Other]]+Table_NFI[[#This Row],[Winter Blanket]]&gt;0,1,0)</f>
        <v>0</v>
      </c>
      <c r="AN1338" s="392">
        <f>IF(NFI_Expiration=1,IF($A1338&lt;VLOOKUP(V$5,NFI,5,0),1,0)*Table_NFI[[#This Row],[Jerry Can]],Table_NFI[Jerry Can])</f>
        <v>0</v>
      </c>
      <c r="AO1338" s="551" t="str">
        <f>IFERROR(VLOOKUP(Table_NFI[[#This Row],[Camp Name]],CL,2,0),"")</f>
        <v/>
      </c>
      <c r="AP1338" s="545" t="str">
        <f ca="1">IF(Table_NFI[[#This Row],[Pcode]]="","",IF(OFFSET(CampList[Opening Date],MATCH(Table_NFI[[#This Row],[Pcode]],CampList[CP_Pcode],0)-1,0,1,1)&gt;=NFI_Monitor_Date,1,0))</f>
        <v/>
      </c>
      <c r="AQ1338" s="551" t="str">
        <f>IFERROR(VLOOKUP(Table_NFI[[#This Row],[Camp Name]],CL,3,0),"")</f>
        <v/>
      </c>
      <c r="AR1338" s="392" t="str">
        <f ca="1">IF(Table_NFI[[#This Row],[Pcode]]="","",OFFSET(CampList[Priority],MATCH(Table_NFI[[#This Row],[Pcode]],CampList[CP_Pcode],0)-1,0,1,1))</f>
        <v/>
      </c>
      <c r="AS1338" s="393" t="str">
        <f>IFERROR(Table_NFI[[#This Row],[Kitchen Set]]/VLOOKUP(Table_NFI[[#This Row],[Camp Name]],CL,4,0),"")</f>
        <v/>
      </c>
      <c r="AT1338" s="544"/>
      <c r="AU1338" s="552"/>
    </row>
    <row r="1339" spans="1:47" ht="14.45" hidden="1" customHeight="1" x14ac:dyDescent="0.25">
      <c r="A1339" s="390" t="str">
        <f t="shared" si="21"/>
        <v/>
      </c>
      <c r="B1339" s="542"/>
      <c r="C1339" s="544"/>
      <c r="D1339" s="544"/>
      <c r="E1339" s="544"/>
      <c r="F1339" s="544"/>
      <c r="G1339" s="544"/>
      <c r="H1339" s="391"/>
      <c r="I1339" s="391"/>
      <c r="J1339" s="391"/>
      <c r="K1339" s="391"/>
      <c r="L1339" s="391"/>
      <c r="M1339" s="391"/>
      <c r="N1339" s="391"/>
      <c r="O1339" s="391"/>
      <c r="P1339" s="392"/>
      <c r="Q1339" s="392"/>
      <c r="R1339" s="392"/>
      <c r="S1339" s="392"/>
      <c r="T1339" s="392"/>
      <c r="U1339" s="392"/>
      <c r="V1339" s="497"/>
      <c r="W1339" s="392"/>
      <c r="X1339" s="392"/>
      <c r="Y1339" s="392">
        <f>IF(NFI_Expiration=1,IF($A1339&lt;VLOOKUP(H$5,NFI,5,0),1,0)*Table_NFI[[#This Row],[Hygiene Kit]],Table_NFI[Hygiene Kit])</f>
        <v>0</v>
      </c>
      <c r="Z1339" s="392">
        <f>IF(NFI_Expiration=1,IF($A1339&lt;VLOOKUP(I$5,NFI,5,0),1,0)*Table_NFI[[#This Row],[NFI Core Kit]],Table_NFI[NFI Core Kit])</f>
        <v>0</v>
      </c>
      <c r="AA1339" s="392">
        <f>IF(NFI_Expiration=1,IF($A1339&lt;VLOOKUP(J$5,NFI,5,0),1,0)*Table_NFI[[#This Row],[Sanitary Kit]],Table_NFI[Sanitary Kit])</f>
        <v>0</v>
      </c>
      <c r="AB1339" s="392">
        <f>IF(NFI_Expiration=1,IF($A1339&lt;VLOOKUP(K$5,NFI,5,0),1,0)*Table_NFI[[#This Row],[Mosquito net]],Table_NFI[Mosquito net])</f>
        <v>0</v>
      </c>
      <c r="AC1339" s="392">
        <f>IF(NFI_Expiration=1,IF($A1339&lt;VLOOKUP(L$5,NFI,5,0),1,0)*Table_NFI[[#This Row],[Tarpaulin]],Table_NFI[[#This Row],[Tarpaulin]])</f>
        <v>0</v>
      </c>
      <c r="AD1339" s="392">
        <f>IF(NFI_Expiration=1,IF($A1339&lt;VLOOKUP(M$5,NFI,5,0),1,0)*Table_NFI[[#This Row],[Blanket]],Table_NFI[[#This Row],[Blanket]])</f>
        <v>0</v>
      </c>
      <c r="AE1339" s="392">
        <f>IF(NFI_Expiration=1,IF($A1339&lt;VLOOKUP(N$5,NFI,5,0),1,0)*Table_NFI[[#This Row],[Kitchen Set]],Table_NFI[Kitchen Set])</f>
        <v>0</v>
      </c>
      <c r="AF1339" s="392">
        <f>IF(NFI_Expiration=1,IF($A1339&lt;VLOOKUP(O$5,NFI,5,0),1,0)*Table_NFI[[#This Row],[Clothes Kit]],Table_NFI[Clothes Kit])</f>
        <v>0</v>
      </c>
      <c r="AG1339" s="392">
        <f>IF(NFI_Expiration=1,IF($A1339&lt;VLOOKUP(P$5,NFI,5,0),1,0)*Table_NFI[[#This Row],[Plastic Bucket]],Table_NFI[Plastic Bucket])</f>
        <v>0</v>
      </c>
      <c r="AH1339" s="392">
        <f>IF(NFI_Expiration=1,IF($A1339&lt;VLOOKUP(Q$5,NFI,5,0),1,0)*Table_NFI[[#This Row],[Plastic Mat]],Table_NFI[Plastic Mat])*IF(Table_NFI[[#This Row],[Distribution Date]]&gt;"2014-04-01",1,2.5)</f>
        <v>0</v>
      </c>
      <c r="AI1339" s="392">
        <f>IF(NFI_Expiration=1,IF($A1339&lt;VLOOKUP(R$5,NFI,5,0),1,0)*Table_NFI[[#This Row],[Winter Clothes Adult]],Table_NFI[Winter Clothes Adult])</f>
        <v>0</v>
      </c>
      <c r="AJ1339" s="392">
        <f>IF(NFI_Expiration=1,IF($A1339&lt;VLOOKUP(S$5,NFI,5,0),1,0)*Table_NFI[[#This Row],[Winter Clothes Children]],Table_NFI[Winter Clothes Children])</f>
        <v>0</v>
      </c>
      <c r="AK1339" s="392">
        <f>IF(NFI_Expiration=1,IF($A1339&lt;VLOOKUP(T$5,NFI,5,0),1,0)*Table_NFI[[#This Row],[Winter Items Other]],Table_NFI[Winter Items Other])</f>
        <v>0</v>
      </c>
      <c r="AL1339" s="392">
        <f>IF(NFI_Expiration=1,IF($A1339&lt;VLOOKUP(M$5,NFI,5,0),1,0)*Table_NFI[[#This Row],[Winter Blanket]],Table_NFI[[#This Row],[Winter Blanket]])</f>
        <v>0</v>
      </c>
      <c r="AM1339" s="392">
        <f>IF(Table_NFI[[#This Row],[Winter Clothes Adult]]+Table_NFI[[#This Row],[Winter Clothes Children]]+Table_NFI[[#This Row],[Winter Items Other]]+Table_NFI[[#This Row],[Winter Blanket]]&gt;0,1,0)</f>
        <v>0</v>
      </c>
      <c r="AN1339" s="392">
        <f>IF(NFI_Expiration=1,IF($A1339&lt;VLOOKUP(V$5,NFI,5,0),1,0)*Table_NFI[[#This Row],[Jerry Can]],Table_NFI[Jerry Can])</f>
        <v>0</v>
      </c>
      <c r="AO1339" s="551" t="str">
        <f>IFERROR(VLOOKUP(Table_NFI[[#This Row],[Camp Name]],CL,2,0),"")</f>
        <v/>
      </c>
      <c r="AP1339" s="545" t="str">
        <f ca="1">IF(Table_NFI[[#This Row],[Pcode]]="","",IF(OFFSET(CampList[Opening Date],MATCH(Table_NFI[[#This Row],[Pcode]],CampList[CP_Pcode],0)-1,0,1,1)&gt;=NFI_Monitor_Date,1,0))</f>
        <v/>
      </c>
      <c r="AQ1339" s="551" t="str">
        <f>IFERROR(VLOOKUP(Table_NFI[[#This Row],[Camp Name]],CL,3,0),"")</f>
        <v/>
      </c>
      <c r="AR1339" s="392" t="str">
        <f ca="1">IF(Table_NFI[[#This Row],[Pcode]]="","",OFFSET(CampList[Priority],MATCH(Table_NFI[[#This Row],[Pcode]],CampList[CP_Pcode],0)-1,0,1,1))</f>
        <v/>
      </c>
      <c r="AS1339" s="351" t="str">
        <f>IFERROR(Table_NFI[[#This Row],[Kitchen Set]]/VLOOKUP(Table_NFI[[#This Row],[Camp Name]],CL,4,0),"")</f>
        <v/>
      </c>
      <c r="AT1339" s="544"/>
      <c r="AU1339" s="552"/>
    </row>
    <row r="1340" spans="1:47" ht="14.45" hidden="1" customHeight="1" x14ac:dyDescent="0.25">
      <c r="A1340" s="355" t="str">
        <f t="shared" si="21"/>
        <v/>
      </c>
      <c r="B1340" s="532"/>
      <c r="C1340" s="538"/>
      <c r="D1340" s="538"/>
      <c r="E1340" s="533"/>
      <c r="F1340" s="533"/>
      <c r="G1340" s="538"/>
      <c r="H1340" s="350"/>
      <c r="I1340" s="350"/>
      <c r="J1340" s="350"/>
      <c r="K1340" s="350"/>
      <c r="L1340" s="350"/>
      <c r="M1340" s="350"/>
      <c r="N1340" s="350"/>
      <c r="O1340" s="350"/>
      <c r="P1340" s="352"/>
      <c r="Q1340" s="392"/>
      <c r="R1340" s="392"/>
      <c r="S1340" s="392"/>
      <c r="T1340" s="392"/>
      <c r="U1340" s="392"/>
      <c r="V1340" s="497"/>
      <c r="W1340" s="392"/>
      <c r="X1340" s="392"/>
      <c r="Y1340" s="352">
        <f>IF(NFI_Expiration=1,IF($A1340&lt;VLOOKUP(H$5,NFI,5,0),1,0)*Table_NFI[[#This Row],[Hygiene Kit]],Table_NFI[Hygiene Kit])</f>
        <v>0</v>
      </c>
      <c r="Z1340" s="352">
        <f>IF(NFI_Expiration=1,IF($A1340&lt;VLOOKUP(I$5,NFI,5,0),1,0)*Table_NFI[[#This Row],[NFI Core Kit]],Table_NFI[NFI Core Kit])</f>
        <v>0</v>
      </c>
      <c r="AA1340" s="352">
        <f>IF(NFI_Expiration=1,IF($A1340&lt;VLOOKUP(J$5,NFI,5,0),1,0)*Table_NFI[[#This Row],[Sanitary Kit]],Table_NFI[Sanitary Kit])</f>
        <v>0</v>
      </c>
      <c r="AB1340" s="352">
        <f>IF(NFI_Expiration=1,IF($A1340&lt;VLOOKUP(K$5,NFI,5,0),1,0)*Table_NFI[[#This Row],[Mosquito net]],Table_NFI[Mosquito net])</f>
        <v>0</v>
      </c>
      <c r="AC1340" s="352">
        <f>IF(NFI_Expiration=1,IF($A1340&lt;VLOOKUP(L$5,NFI,5,0),1,0)*Table_NFI[[#This Row],[Tarpaulin]],Table_NFI[[#This Row],[Tarpaulin]])</f>
        <v>0</v>
      </c>
      <c r="AD1340" s="352">
        <f>IF(NFI_Expiration=1,IF($A1340&lt;VLOOKUP(M$5,NFI,5,0),1,0)*Table_NFI[[#This Row],[Blanket]],Table_NFI[[#This Row],[Blanket]])</f>
        <v>0</v>
      </c>
      <c r="AE1340" s="352">
        <f>IF(NFI_Expiration=1,IF($A1340&lt;VLOOKUP(N$5,NFI,5,0),1,0)*Table_NFI[[#This Row],[Kitchen Set]],Table_NFI[Kitchen Set])</f>
        <v>0</v>
      </c>
      <c r="AF1340" s="352">
        <f>IF(NFI_Expiration=1,IF($A1340&lt;VLOOKUP(O$5,NFI,5,0),1,0)*Table_NFI[[#This Row],[Clothes Kit]],Table_NFI[Clothes Kit])</f>
        <v>0</v>
      </c>
      <c r="AG1340" s="352">
        <f>IF(NFI_Expiration=1,IF($A1340&lt;VLOOKUP(P$5,NFI,5,0),1,0)*Table_NFI[[#This Row],[Plastic Bucket]],Table_NFI[Plastic Bucket])</f>
        <v>0</v>
      </c>
      <c r="AH1340" s="352">
        <f>IF(NFI_Expiration=1,IF($A1340&lt;VLOOKUP(Q$5,NFI,5,0),1,0)*Table_NFI[[#This Row],[Plastic Mat]],Table_NFI[Plastic Mat])*IF(Table_NFI[[#This Row],[Distribution Date]]&gt;"2014-04-01",1,2.5)</f>
        <v>0</v>
      </c>
      <c r="AI1340" s="352">
        <f>IF(NFI_Expiration=1,IF($A1340&lt;VLOOKUP(R$5,NFI,5,0),1,0)*Table_NFI[[#This Row],[Winter Clothes Adult]],Table_NFI[Winter Clothes Adult])</f>
        <v>0</v>
      </c>
      <c r="AJ1340" s="352">
        <f>IF(NFI_Expiration=1,IF($A1340&lt;VLOOKUP(S$5,NFI,5,0),1,0)*Table_NFI[[#This Row],[Winter Clothes Children]],Table_NFI[Winter Clothes Children])</f>
        <v>0</v>
      </c>
      <c r="AK1340" s="352">
        <f>IF(NFI_Expiration=1,IF($A1340&lt;VLOOKUP(T$5,NFI,5,0),1,0)*Table_NFI[[#This Row],[Winter Items Other]],Table_NFI[Winter Items Other])</f>
        <v>0</v>
      </c>
      <c r="AL1340" s="352">
        <f>IF(NFI_Expiration=1,IF($A1340&lt;VLOOKUP(M$5,NFI,5,0),1,0)*Table_NFI[[#This Row],[Winter Blanket]],Table_NFI[[#This Row],[Winter Blanket]])</f>
        <v>0</v>
      </c>
      <c r="AM1340" s="352">
        <f>IF(Table_NFI[[#This Row],[Winter Clothes Adult]]+Table_NFI[[#This Row],[Winter Clothes Children]]+Table_NFI[[#This Row],[Winter Items Other]]+Table_NFI[[#This Row],[Winter Blanket]]&gt;0,1,0)</f>
        <v>0</v>
      </c>
      <c r="AN1340" s="392">
        <f>IF(NFI_Expiration=1,IF($A1340&lt;VLOOKUP(V$5,NFI,5,0),1,0)*Table_NFI[[#This Row],[Jerry Can]],Table_NFI[Jerry Can])</f>
        <v>0</v>
      </c>
      <c r="AO1340" s="540" t="str">
        <f>IFERROR(VLOOKUP(Table_NFI[[#This Row],[Camp Name]],CL,2,0),"")</f>
        <v/>
      </c>
      <c r="AP1340" s="535" t="str">
        <f ca="1">IF(Table_NFI[[#This Row],[Pcode]]="","",IF(OFFSET(CampList[Opening Date],MATCH(Table_NFI[[#This Row],[Pcode]],CampList[CP_Pcode],0)-1,0,1,1)&gt;=NFI_Monitor_Date,1,0))</f>
        <v/>
      </c>
      <c r="AQ1340" s="540" t="str">
        <f>IFERROR(VLOOKUP(Table_NFI[[#This Row],[Camp Name]],CL,3,0),"")</f>
        <v/>
      </c>
      <c r="AR1340" s="352" t="str">
        <f ca="1">IF(Table_NFI[[#This Row],[Pcode]]="","",OFFSET(CampList[Priority],MATCH(Table_NFI[[#This Row],[Pcode]],CampList[CP_Pcode],0)-1,0,1,1))</f>
        <v/>
      </c>
      <c r="AS1340" s="351" t="str">
        <f>IFERROR(Table_NFI[[#This Row],[Kitchen Set]]/VLOOKUP(Table_NFI[[#This Row],[Camp Name]],CL,4,0),"")</f>
        <v/>
      </c>
      <c r="AT1340" s="538"/>
      <c r="AU1340" s="541"/>
    </row>
  </sheetData>
  <sortState ref="A873:G911">
    <sortCondition descending="1" ref="A8"/>
  </sortState>
  <mergeCells count="3">
    <mergeCell ref="A4:C4"/>
    <mergeCell ref="A2:H2"/>
    <mergeCell ref="A3:H3"/>
  </mergeCells>
  <conditionalFormatting sqref="AO825:AP905 AO909:AP931 AQ825:AQ1075 AO12:AQ824">
    <cfRule type="containsText" dxfId="5" priority="43" operator="containsText" text="close">
      <formula>NOT(ISERROR(SEARCH("close",AO12)))</formula>
    </cfRule>
    <cfRule type="containsText" dxfId="4" priority="44" operator="containsText" text="open">
      <formula>NOT(ISERROR(SEARCH("open",AO12)))</formula>
    </cfRule>
  </conditionalFormatting>
  <conditionalFormatting sqref="AO906:AP908">
    <cfRule type="containsText" dxfId="3" priority="39" operator="containsText" text="close">
      <formula>NOT(ISERROR(SEARCH("close",AO906)))</formula>
    </cfRule>
    <cfRule type="containsText" dxfId="2" priority="40" operator="containsText" text="open">
      <formula>NOT(ISERROR(SEARCH("open",AO906)))</formula>
    </cfRule>
  </conditionalFormatting>
  <conditionalFormatting sqref="AO1000:AP1055">
    <cfRule type="containsText" dxfId="1" priority="1" operator="containsText" text="close">
      <formula>NOT(ISERROR(SEARCH("close",AO1000)))</formula>
    </cfRule>
    <cfRule type="containsText" dxfId="0" priority="2" operator="containsText" text="open">
      <formula>NOT(ISERROR(SEARCH("open",AO1000)))</formula>
    </cfRule>
  </conditionalFormatting>
  <dataValidations count="3">
    <dataValidation type="list" allowBlank="1" showInputMessage="1" showErrorMessage="1" sqref="G1054:G1196 G7:G1052">
      <formula1>OFFSET(TCL_T1,MATCH(F7,TCL_T,0)-1,1,COUNTIF(TCL_T,F7),1)</formula1>
    </dataValidation>
    <dataValidation type="list" allowBlank="1" showInputMessage="1" showErrorMessage="1" sqref="E1339:E1340 E7:E1196">
      <formula1>State</formula1>
    </dataValidation>
    <dataValidation type="list" showInputMessage="1" showErrorMessage="1" sqref="F1339:F1340 F7:F1196">
      <formula1>INDIRECT(E7)</formula1>
    </dataValidation>
  </dataValidations>
  <printOptions gridLines="1"/>
  <pageMargins left="0.25" right="0.25" top="0.75" bottom="0.75" header="0.3" footer="0.3"/>
  <pageSetup paperSize="9" scale="70"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P406"/>
  <sheetViews>
    <sheetView showZeros="0" zoomScale="80" zoomScaleNormal="80" workbookViewId="0">
      <selection activeCell="J16" sqref="J16"/>
    </sheetView>
  </sheetViews>
  <sheetFormatPr defaultColWidth="5" defaultRowHeight="51.75" customHeight="1" x14ac:dyDescent="0.25"/>
  <cols>
    <col min="1" max="1" width="10.85546875" customWidth="1"/>
    <col min="2" max="2" width="8.85546875" customWidth="1"/>
    <col min="3" max="3" width="9.140625" customWidth="1"/>
    <col min="4" max="4" width="8.28515625" customWidth="1"/>
    <col min="5" max="5" width="10.140625" customWidth="1"/>
    <col min="6" max="6" width="6.140625" style="45" customWidth="1"/>
    <col min="7" max="7" width="6.140625" style="1" customWidth="1"/>
    <col min="8" max="8" width="6.140625" style="46" customWidth="1"/>
    <col min="9" max="9" width="6.140625" style="45" customWidth="1"/>
    <col min="10" max="10" width="6.140625" style="1" customWidth="1"/>
    <col min="11" max="11" width="6.140625" style="46" customWidth="1"/>
    <col min="12" max="12" width="6.140625" style="45" customWidth="1"/>
    <col min="13" max="13" width="6.140625" style="1" customWidth="1"/>
    <col min="14" max="14" width="6.140625" style="46" customWidth="1"/>
    <col min="15" max="15" width="9.7109375" style="45" customWidth="1"/>
    <col min="16" max="16" width="9.140625" style="1" customWidth="1"/>
    <col min="17" max="17" width="6.5703125" style="1" customWidth="1"/>
    <col min="18" max="18" width="8.85546875" style="45" customWidth="1"/>
    <col min="19" max="19" width="9.7109375" style="1" customWidth="1"/>
    <col min="20" max="20" width="6.140625" style="46" bestFit="1" customWidth="1"/>
    <col min="21" max="21" width="8.85546875" customWidth="1"/>
    <col min="22" max="22" width="9.140625" style="36" customWidth="1"/>
    <col min="23" max="23" width="6.140625" style="36" bestFit="1" customWidth="1"/>
    <col min="24" max="24" width="8.85546875" style="45" customWidth="1"/>
    <col min="25" max="25" width="10" style="1" customWidth="1"/>
    <col min="26" max="26" width="6.140625" style="46" bestFit="1" customWidth="1"/>
    <col min="27" max="27" width="9" style="45" customWidth="1"/>
    <col min="28" max="28" width="9.28515625" style="1" customWidth="1"/>
    <col min="29" max="29" width="6.140625" style="46" bestFit="1" customWidth="1"/>
    <col min="30" max="30" width="8.7109375" style="45" customWidth="1"/>
    <col min="31" max="31" width="9.42578125" style="1" customWidth="1"/>
    <col min="32" max="32" width="6.140625" style="46" bestFit="1" customWidth="1"/>
    <col min="33" max="33" width="8.85546875" style="45" customWidth="1"/>
    <col min="34" max="34" width="9.28515625" style="1" customWidth="1"/>
    <col min="35" max="35" width="6.7109375" style="46" customWidth="1"/>
    <col min="36" max="38" width="6.7109375" style="395" customWidth="1"/>
    <col min="39" max="39" width="8.85546875" style="45" customWidth="1"/>
    <col min="40" max="40" width="9.42578125" style="1" customWidth="1"/>
    <col min="41" max="41" width="7.5703125" style="46" customWidth="1"/>
    <col min="42" max="42" width="8.85546875" style="45" customWidth="1"/>
    <col min="43" max="43" width="9.5703125" style="1" customWidth="1"/>
    <col min="44" max="44" width="8.85546875" style="46" customWidth="1"/>
    <col min="45" max="45" width="8.85546875" style="45" customWidth="1"/>
    <col min="46" max="46" width="9.7109375" style="1" customWidth="1"/>
    <col min="47" max="47" width="8.85546875" style="46" customWidth="1"/>
    <col min="48" max="48" width="8.85546875" style="45" customWidth="1"/>
    <col min="49" max="49" width="9.28515625" style="1" customWidth="1"/>
    <col min="50" max="50" width="8.85546875" style="46" customWidth="1"/>
  </cols>
  <sheetData>
    <row r="1" spans="1:68" s="1" customFormat="1" ht="36" x14ac:dyDescent="0.25">
      <c r="A1" s="283"/>
      <c r="B1" s="284"/>
      <c r="C1" s="284"/>
      <c r="D1" s="284"/>
      <c r="E1" s="284"/>
      <c r="F1" s="284"/>
      <c r="G1" s="284"/>
      <c r="H1" s="284"/>
      <c r="I1" s="289"/>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90"/>
      <c r="AV1" s="234"/>
      <c r="AW1" s="234"/>
      <c r="AX1" s="235"/>
      <c r="BO1" s="55"/>
      <c r="BP1" s="55"/>
    </row>
    <row r="2" spans="1:68" s="1" customFormat="1" ht="66" customHeight="1" x14ac:dyDescent="0.25">
      <c r="A2" s="356" t="s">
        <v>510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05"/>
      <c r="AW2" s="205"/>
      <c r="AX2" s="236"/>
      <c r="BO2" s="55"/>
      <c r="BP2" s="55"/>
    </row>
    <row r="3" spans="1:68" s="17" customFormat="1" ht="18" customHeight="1" thickBot="1" x14ac:dyDescent="0.3">
      <c r="A3" s="844">
        <f>Definition!B23</f>
        <v>42571</v>
      </c>
      <c r="B3" s="845"/>
      <c r="C3" s="845"/>
      <c r="D3" s="336"/>
      <c r="E3" s="336"/>
      <c r="F3" s="336"/>
      <c r="G3" s="336"/>
      <c r="H3" s="336"/>
      <c r="I3" s="336"/>
      <c r="J3" s="336"/>
      <c r="K3" s="238"/>
      <c r="L3" s="336"/>
      <c r="M3" s="336"/>
      <c r="N3" s="336"/>
      <c r="O3" s="336"/>
      <c r="P3" s="336"/>
      <c r="Q3" s="336"/>
      <c r="R3" s="336"/>
      <c r="S3" s="357"/>
      <c r="T3" s="336"/>
      <c r="U3" s="336"/>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9"/>
      <c r="BO3" s="56"/>
      <c r="BP3" s="56"/>
    </row>
    <row r="4" spans="1:68" s="47" customFormat="1" ht="16.5" hidden="1" customHeight="1" thickBot="1" x14ac:dyDescent="0.3">
      <c r="AA4" s="76"/>
      <c r="AB4" s="76"/>
      <c r="AC4" s="76"/>
      <c r="AD4" s="76"/>
      <c r="AE4" s="76"/>
      <c r="AF4" s="76"/>
      <c r="AJ4" s="394"/>
      <c r="AK4" s="394"/>
      <c r="AL4" s="394"/>
      <c r="AM4" s="122"/>
      <c r="AN4" s="122"/>
      <c r="AO4" s="122"/>
      <c r="AP4" s="122"/>
      <c r="AQ4" s="122"/>
      <c r="AR4" s="122"/>
      <c r="AS4" s="122"/>
      <c r="AT4" s="122"/>
      <c r="AU4" s="122"/>
      <c r="AV4" s="122"/>
      <c r="AW4" s="122"/>
      <c r="AX4" s="122"/>
    </row>
    <row r="5" spans="1:68" s="41" customFormat="1" ht="47.25" customHeight="1" thickBot="1" x14ac:dyDescent="0.3">
      <c r="A5" s="869" t="s">
        <v>409</v>
      </c>
      <c r="B5" s="859" t="s">
        <v>402</v>
      </c>
      <c r="C5" s="859" t="s">
        <v>413</v>
      </c>
      <c r="D5" s="867" t="s">
        <v>395</v>
      </c>
      <c r="E5" s="859" t="s">
        <v>0</v>
      </c>
      <c r="F5" s="876" t="s">
        <v>403</v>
      </c>
      <c r="G5" s="876"/>
      <c r="H5" s="876"/>
      <c r="I5" s="877" t="s">
        <v>404</v>
      </c>
      <c r="J5" s="877"/>
      <c r="K5" s="877"/>
      <c r="L5" s="875" t="s">
        <v>405</v>
      </c>
      <c r="M5" s="875"/>
      <c r="N5" s="875"/>
      <c r="O5" s="874" t="s">
        <v>406</v>
      </c>
      <c r="P5" s="874"/>
      <c r="Q5" s="874"/>
      <c r="R5" s="871" t="s">
        <v>407</v>
      </c>
      <c r="S5" s="872"/>
      <c r="T5" s="873"/>
      <c r="U5" s="864" t="s">
        <v>435</v>
      </c>
      <c r="V5" s="865"/>
      <c r="W5" s="866"/>
      <c r="X5" s="861" t="s">
        <v>436</v>
      </c>
      <c r="Y5" s="862"/>
      <c r="Z5" s="863"/>
      <c r="AA5" s="853" t="s">
        <v>1226</v>
      </c>
      <c r="AB5" s="854"/>
      <c r="AC5" s="855"/>
      <c r="AD5" s="856" t="s">
        <v>578</v>
      </c>
      <c r="AE5" s="857"/>
      <c r="AF5" s="858"/>
      <c r="AG5" s="850" t="s">
        <v>579</v>
      </c>
      <c r="AH5" s="851"/>
      <c r="AI5" s="852"/>
      <c r="AJ5" s="850" t="s">
        <v>1384</v>
      </c>
      <c r="AK5" s="851"/>
      <c r="AL5" s="852"/>
      <c r="AM5" s="853" t="s">
        <v>989</v>
      </c>
      <c r="AN5" s="854"/>
      <c r="AO5" s="855"/>
      <c r="AP5" s="856" t="s">
        <v>993</v>
      </c>
      <c r="AQ5" s="857"/>
      <c r="AR5" s="858"/>
      <c r="AS5" s="850" t="s">
        <v>997</v>
      </c>
      <c r="AT5" s="851"/>
      <c r="AU5" s="852"/>
      <c r="AV5" s="850" t="s">
        <v>1113</v>
      </c>
      <c r="AW5" s="851"/>
      <c r="AX5" s="852"/>
    </row>
    <row r="6" spans="1:68" s="41" customFormat="1" ht="75.75" customHeight="1" thickBot="1" x14ac:dyDescent="0.3">
      <c r="A6" s="870"/>
      <c r="B6" s="860"/>
      <c r="C6" s="860"/>
      <c r="D6" s="868"/>
      <c r="E6" s="860"/>
      <c r="F6" s="548" t="s">
        <v>408</v>
      </c>
      <c r="G6" s="548" t="s">
        <v>410</v>
      </c>
      <c r="H6" s="548" t="s">
        <v>411</v>
      </c>
      <c r="I6" s="548" t="s">
        <v>408</v>
      </c>
      <c r="J6" s="548" t="s">
        <v>410</v>
      </c>
      <c r="K6" s="548" t="s">
        <v>411</v>
      </c>
      <c r="L6" s="548" t="s">
        <v>408</v>
      </c>
      <c r="M6" s="548" t="s">
        <v>410</v>
      </c>
      <c r="N6" s="548" t="s">
        <v>411</v>
      </c>
      <c r="O6" s="359" t="s">
        <v>408</v>
      </c>
      <c r="P6" s="359" t="s">
        <v>410</v>
      </c>
      <c r="Q6" s="359" t="s">
        <v>411</v>
      </c>
      <c r="R6" s="358" t="s">
        <v>408</v>
      </c>
      <c r="S6" s="359" t="s">
        <v>410</v>
      </c>
      <c r="T6" s="361" t="s">
        <v>411</v>
      </c>
      <c r="U6" s="360" t="s">
        <v>408</v>
      </c>
      <c r="V6" s="359" t="s">
        <v>410</v>
      </c>
      <c r="W6" s="360" t="s">
        <v>411</v>
      </c>
      <c r="X6" s="358" t="s">
        <v>408</v>
      </c>
      <c r="Y6" s="359" t="s">
        <v>410</v>
      </c>
      <c r="Z6" s="361" t="s">
        <v>411</v>
      </c>
      <c r="AA6" s="358" t="s">
        <v>408</v>
      </c>
      <c r="AB6" s="359" t="s">
        <v>410</v>
      </c>
      <c r="AC6" s="361" t="s">
        <v>411</v>
      </c>
      <c r="AD6" s="358" t="s">
        <v>408</v>
      </c>
      <c r="AE6" s="359" t="s">
        <v>410</v>
      </c>
      <c r="AF6" s="361" t="s">
        <v>411</v>
      </c>
      <c r="AG6" s="358" t="s">
        <v>408</v>
      </c>
      <c r="AH6" s="359" t="s">
        <v>410</v>
      </c>
      <c r="AI6" s="361" t="s">
        <v>411</v>
      </c>
      <c r="AJ6" s="358" t="s">
        <v>408</v>
      </c>
      <c r="AK6" s="359" t="s">
        <v>410</v>
      </c>
      <c r="AL6" s="361" t="s">
        <v>411</v>
      </c>
      <c r="AM6" s="358" t="s">
        <v>408</v>
      </c>
      <c r="AN6" s="359" t="s">
        <v>410</v>
      </c>
      <c r="AO6" s="361" t="s">
        <v>411</v>
      </c>
      <c r="AP6" s="358" t="s">
        <v>408</v>
      </c>
      <c r="AQ6" s="359" t="s">
        <v>410</v>
      </c>
      <c r="AR6" s="361" t="s">
        <v>411</v>
      </c>
      <c r="AS6" s="358" t="s">
        <v>408</v>
      </c>
      <c r="AT6" s="359" t="s">
        <v>410</v>
      </c>
      <c r="AU6" s="361" t="s">
        <v>411</v>
      </c>
      <c r="AV6" s="358" t="s">
        <v>408</v>
      </c>
      <c r="AW6" s="359" t="s">
        <v>410</v>
      </c>
      <c r="AX6" s="361" t="s">
        <v>411</v>
      </c>
    </row>
    <row r="7" spans="1:68" s="4" customFormat="1" ht="23.25" customHeight="1" x14ac:dyDescent="0.25">
      <c r="A7" s="503">
        <v>42555</v>
      </c>
      <c r="B7" s="4" t="s">
        <v>453</v>
      </c>
      <c r="C7" s="4" t="s">
        <v>453</v>
      </c>
      <c r="D7" s="4" t="s">
        <v>380</v>
      </c>
      <c r="E7" s="4" t="s">
        <v>5</v>
      </c>
      <c r="F7" s="501"/>
      <c r="G7" s="401"/>
      <c r="H7" s="502"/>
      <c r="I7" s="501">
        <v>203</v>
      </c>
      <c r="J7" s="401"/>
      <c r="K7" s="502"/>
      <c r="L7" s="501">
        <v>103</v>
      </c>
      <c r="M7" s="401"/>
      <c r="N7" s="502"/>
      <c r="O7" s="501">
        <v>715</v>
      </c>
      <c r="P7" s="401"/>
      <c r="Q7" s="401"/>
      <c r="R7" s="501">
        <v>313</v>
      </c>
      <c r="S7" s="401"/>
      <c r="T7" s="502"/>
      <c r="U7" s="4">
        <v>498</v>
      </c>
      <c r="X7" s="501">
        <v>180</v>
      </c>
      <c r="Y7" s="401"/>
      <c r="Z7" s="502"/>
      <c r="AA7" s="501"/>
      <c r="AB7" s="401"/>
      <c r="AC7" s="502"/>
      <c r="AD7" s="501">
        <v>106</v>
      </c>
      <c r="AE7" s="401"/>
      <c r="AF7" s="502"/>
      <c r="AG7" s="501">
        <v>654</v>
      </c>
      <c r="AH7" s="401"/>
      <c r="AI7" s="502"/>
      <c r="AJ7" s="501">
        <v>47</v>
      </c>
      <c r="AK7" s="401"/>
      <c r="AL7" s="502"/>
      <c r="AM7" s="501"/>
      <c r="AN7" s="401"/>
      <c r="AO7" s="502"/>
      <c r="AP7" s="501"/>
      <c r="AQ7" s="401"/>
      <c r="AR7" s="502"/>
      <c r="AS7" s="501"/>
      <c r="AT7" s="401"/>
      <c r="AU7" s="502"/>
      <c r="AV7" s="501">
        <v>615</v>
      </c>
      <c r="AW7" s="401"/>
      <c r="AX7" s="502"/>
    </row>
    <row r="8" spans="1:68" s="4" customFormat="1" ht="23.25" customHeight="1" x14ac:dyDescent="0.25">
      <c r="A8" s="503">
        <v>42555</v>
      </c>
      <c r="B8" s="4" t="s">
        <v>453</v>
      </c>
      <c r="C8" s="4" t="s">
        <v>453</v>
      </c>
      <c r="D8" s="4" t="s">
        <v>380</v>
      </c>
      <c r="E8" s="4" t="s">
        <v>237</v>
      </c>
      <c r="F8" s="501"/>
      <c r="G8" s="401"/>
      <c r="H8" s="502"/>
      <c r="I8" s="501">
        <v>866</v>
      </c>
      <c r="J8" s="401"/>
      <c r="K8" s="502"/>
      <c r="L8" s="501">
        <v>146</v>
      </c>
      <c r="M8" s="401"/>
      <c r="N8" s="502"/>
      <c r="O8" s="501">
        <v>1921</v>
      </c>
      <c r="P8" s="401"/>
      <c r="Q8" s="401"/>
      <c r="R8" s="501">
        <v>1131</v>
      </c>
      <c r="S8" s="401"/>
      <c r="T8" s="502"/>
      <c r="U8" s="4">
        <v>4126</v>
      </c>
      <c r="X8" s="501">
        <v>962</v>
      </c>
      <c r="Y8" s="401"/>
      <c r="Z8" s="502"/>
      <c r="AA8" s="501"/>
      <c r="AB8" s="401"/>
      <c r="AC8" s="502"/>
      <c r="AD8" s="501">
        <v>820</v>
      </c>
      <c r="AE8" s="401"/>
      <c r="AF8" s="502"/>
      <c r="AG8" s="501">
        <v>4152</v>
      </c>
      <c r="AH8" s="401"/>
      <c r="AI8" s="502"/>
      <c r="AJ8" s="501">
        <v>38</v>
      </c>
      <c r="AK8" s="401"/>
      <c r="AL8" s="502"/>
      <c r="AM8" s="501"/>
      <c r="AN8" s="401"/>
      <c r="AO8" s="502"/>
      <c r="AP8" s="501"/>
      <c r="AQ8" s="401"/>
      <c r="AR8" s="502"/>
      <c r="AS8" s="501"/>
      <c r="AT8" s="401"/>
      <c r="AU8" s="502"/>
      <c r="AV8" s="501">
        <v>52</v>
      </c>
      <c r="AW8" s="401"/>
      <c r="AX8" s="502"/>
    </row>
    <row r="9" spans="1:68" s="4" customFormat="1" ht="23.25" customHeight="1" x14ac:dyDescent="0.25">
      <c r="A9" s="503">
        <v>42499</v>
      </c>
      <c r="B9" s="4" t="s">
        <v>453</v>
      </c>
      <c r="C9" s="4" t="s">
        <v>453</v>
      </c>
      <c r="D9" s="4" t="s">
        <v>380</v>
      </c>
      <c r="E9" s="4" t="s">
        <v>5</v>
      </c>
      <c r="F9" s="501"/>
      <c r="G9" s="401"/>
      <c r="H9" s="502"/>
      <c r="I9" s="501">
        <v>203</v>
      </c>
      <c r="J9" s="401"/>
      <c r="K9" s="502"/>
      <c r="L9" s="501">
        <v>103</v>
      </c>
      <c r="M9" s="401"/>
      <c r="N9" s="502"/>
      <c r="O9" s="501">
        <v>715</v>
      </c>
      <c r="P9" s="401"/>
      <c r="Q9" s="401"/>
      <c r="R9" s="501">
        <v>313</v>
      </c>
      <c r="S9" s="401"/>
      <c r="T9" s="502"/>
      <c r="U9" s="4">
        <v>498</v>
      </c>
      <c r="X9" s="501">
        <v>205</v>
      </c>
      <c r="Y9" s="401"/>
      <c r="Z9" s="502"/>
      <c r="AA9" s="501"/>
      <c r="AB9" s="401"/>
      <c r="AC9" s="502"/>
      <c r="AD9" s="501">
        <v>106</v>
      </c>
      <c r="AE9" s="401"/>
      <c r="AF9" s="502"/>
      <c r="AG9" s="501">
        <v>654</v>
      </c>
      <c r="AH9" s="401"/>
      <c r="AI9" s="502"/>
      <c r="AJ9" s="501">
        <v>47</v>
      </c>
      <c r="AK9" s="401"/>
      <c r="AL9" s="502"/>
      <c r="AM9" s="501"/>
      <c r="AN9" s="401"/>
      <c r="AO9" s="502"/>
      <c r="AP9" s="501"/>
      <c r="AQ9" s="401"/>
      <c r="AR9" s="502"/>
      <c r="AS9" s="501"/>
      <c r="AT9" s="401"/>
      <c r="AU9" s="502"/>
      <c r="AV9" s="501">
        <v>615</v>
      </c>
      <c r="AW9" s="401"/>
      <c r="AX9" s="502"/>
    </row>
    <row r="10" spans="1:68" s="4" customFormat="1" ht="23.25" customHeight="1" x14ac:dyDescent="0.25">
      <c r="A10" s="503">
        <v>42499</v>
      </c>
      <c r="B10" s="4" t="s">
        <v>453</v>
      </c>
      <c r="C10" s="4" t="s">
        <v>453</v>
      </c>
      <c r="D10" s="4" t="s">
        <v>380</v>
      </c>
      <c r="E10" s="4" t="s">
        <v>237</v>
      </c>
      <c r="F10" s="501"/>
      <c r="G10" s="401"/>
      <c r="H10" s="502"/>
      <c r="I10" s="501">
        <v>866</v>
      </c>
      <c r="J10" s="401"/>
      <c r="K10" s="502"/>
      <c r="L10" s="501">
        <v>146</v>
      </c>
      <c r="M10" s="401"/>
      <c r="N10" s="502"/>
      <c r="O10" s="501">
        <v>1921</v>
      </c>
      <c r="P10" s="401"/>
      <c r="Q10" s="401"/>
      <c r="R10" s="501">
        <v>1131</v>
      </c>
      <c r="S10" s="401"/>
      <c r="T10" s="502"/>
      <c r="U10" s="4">
        <v>4126</v>
      </c>
      <c r="X10" s="501">
        <v>962</v>
      </c>
      <c r="Y10" s="401"/>
      <c r="Z10" s="502"/>
      <c r="AA10" s="501"/>
      <c r="AB10" s="401"/>
      <c r="AC10" s="502"/>
      <c r="AD10" s="501">
        <v>820</v>
      </c>
      <c r="AE10" s="401"/>
      <c r="AF10" s="502"/>
      <c r="AG10" s="501">
        <v>4152</v>
      </c>
      <c r="AH10" s="401"/>
      <c r="AI10" s="502"/>
      <c r="AJ10" s="501">
        <v>38</v>
      </c>
      <c r="AK10" s="401"/>
      <c r="AL10" s="502"/>
      <c r="AM10" s="501"/>
      <c r="AN10" s="401"/>
      <c r="AO10" s="502"/>
      <c r="AP10" s="501"/>
      <c r="AQ10" s="401"/>
      <c r="AR10" s="502"/>
      <c r="AS10" s="501"/>
      <c r="AT10" s="401"/>
      <c r="AU10" s="502"/>
      <c r="AV10" s="501">
        <v>52</v>
      </c>
      <c r="AW10" s="401"/>
      <c r="AX10" s="502"/>
    </row>
    <row r="11" spans="1:68" s="4" customFormat="1" ht="23.25" customHeight="1" x14ac:dyDescent="0.25">
      <c r="A11" s="503">
        <v>42485</v>
      </c>
      <c r="B11" s="4" t="s">
        <v>453</v>
      </c>
      <c r="C11" s="4" t="s">
        <v>461</v>
      </c>
      <c r="D11" s="4" t="s">
        <v>380</v>
      </c>
      <c r="E11" s="4" t="s">
        <v>237</v>
      </c>
      <c r="F11" s="501"/>
      <c r="G11" s="401"/>
      <c r="H11" s="502"/>
      <c r="I11" s="501">
        <v>7</v>
      </c>
      <c r="J11" s="401"/>
      <c r="K11" s="502"/>
      <c r="L11" s="501"/>
      <c r="M11" s="401"/>
      <c r="N11" s="502"/>
      <c r="O11" s="501">
        <v>200</v>
      </c>
      <c r="P11" s="401"/>
      <c r="Q11" s="401"/>
      <c r="R11" s="501">
        <v>1</v>
      </c>
      <c r="S11" s="401"/>
      <c r="T11" s="502"/>
      <c r="U11" s="4">
        <v>15</v>
      </c>
      <c r="X11" s="501">
        <v>107</v>
      </c>
      <c r="Y11" s="401"/>
      <c r="Z11" s="502"/>
      <c r="AA11" s="501"/>
      <c r="AB11" s="401"/>
      <c r="AC11" s="502"/>
      <c r="AD11" s="501">
        <v>16</v>
      </c>
      <c r="AE11" s="401"/>
      <c r="AF11" s="502"/>
      <c r="AG11" s="501">
        <v>32</v>
      </c>
      <c r="AH11" s="401"/>
      <c r="AI11" s="502"/>
      <c r="AJ11" s="501"/>
      <c r="AK11" s="401"/>
      <c r="AL11" s="502"/>
      <c r="AM11" s="501"/>
      <c r="AN11" s="401"/>
      <c r="AO11" s="502"/>
      <c r="AP11" s="501"/>
      <c r="AQ11" s="401"/>
      <c r="AR11" s="502"/>
      <c r="AS11" s="501"/>
      <c r="AT11" s="401"/>
      <c r="AU11" s="502"/>
      <c r="AV11" s="501"/>
      <c r="AW11" s="401"/>
      <c r="AX11" s="502"/>
    </row>
    <row r="12" spans="1:68" s="4" customFormat="1" ht="23.25" customHeight="1" x14ac:dyDescent="0.25">
      <c r="A12" s="503">
        <v>42486</v>
      </c>
      <c r="B12" s="4" t="s">
        <v>453</v>
      </c>
      <c r="C12" s="4" t="s">
        <v>461</v>
      </c>
      <c r="D12" s="4" t="s">
        <v>1381</v>
      </c>
      <c r="E12" s="4" t="s">
        <v>230</v>
      </c>
      <c r="F12" s="501"/>
      <c r="G12" s="401"/>
      <c r="H12" s="502"/>
      <c r="I12" s="501">
        <v>156</v>
      </c>
      <c r="J12" s="401"/>
      <c r="K12" s="502"/>
      <c r="L12" s="501"/>
      <c r="M12" s="401"/>
      <c r="N12" s="502"/>
      <c r="O12" s="501">
        <v>584</v>
      </c>
      <c r="P12" s="401"/>
      <c r="Q12" s="401"/>
      <c r="R12" s="501">
        <v>57</v>
      </c>
      <c r="S12" s="401"/>
      <c r="T12" s="502"/>
      <c r="U12" s="4">
        <v>674</v>
      </c>
      <c r="X12" s="501">
        <v>32</v>
      </c>
      <c r="Y12" s="401"/>
      <c r="Z12" s="502"/>
      <c r="AA12" s="501"/>
      <c r="AB12" s="401"/>
      <c r="AC12" s="502"/>
      <c r="AD12" s="501">
        <v>247</v>
      </c>
      <c r="AE12" s="401"/>
      <c r="AF12" s="502"/>
      <c r="AG12" s="501">
        <v>777</v>
      </c>
      <c r="AH12" s="401"/>
      <c r="AI12" s="502"/>
      <c r="AJ12" s="501">
        <v>33</v>
      </c>
      <c r="AK12" s="401"/>
      <c r="AL12" s="502"/>
      <c r="AM12" s="501"/>
      <c r="AN12" s="401"/>
      <c r="AO12" s="502"/>
      <c r="AP12" s="501">
        <v>465</v>
      </c>
      <c r="AQ12" s="401"/>
      <c r="AR12" s="502"/>
      <c r="AS12" s="501"/>
      <c r="AT12" s="401"/>
      <c r="AU12" s="502"/>
      <c r="AV12" s="501"/>
      <c r="AW12" s="401"/>
      <c r="AX12" s="502"/>
    </row>
    <row r="13" spans="1:68" s="4" customFormat="1" ht="23.25" customHeight="1" x14ac:dyDescent="0.25">
      <c r="A13" s="503">
        <v>42486</v>
      </c>
      <c r="B13" s="4" t="s">
        <v>453</v>
      </c>
      <c r="C13" s="4" t="s">
        <v>461</v>
      </c>
      <c r="D13" s="4" t="s">
        <v>1382</v>
      </c>
      <c r="E13" s="4" t="s">
        <v>1383</v>
      </c>
      <c r="F13" s="501"/>
      <c r="G13" s="401"/>
      <c r="H13" s="502"/>
      <c r="I13" s="501">
        <v>20</v>
      </c>
      <c r="J13" s="401"/>
      <c r="K13" s="502"/>
      <c r="L13" s="501"/>
      <c r="M13" s="401"/>
      <c r="N13" s="502"/>
      <c r="O13" s="501">
        <v>32</v>
      </c>
      <c r="P13" s="401"/>
      <c r="Q13" s="401"/>
      <c r="R13" s="501">
        <v>1</v>
      </c>
      <c r="S13" s="401"/>
      <c r="T13" s="502"/>
      <c r="U13" s="4">
        <v>411</v>
      </c>
      <c r="X13" s="501">
        <v>17</v>
      </c>
      <c r="Y13" s="401"/>
      <c r="Z13" s="502"/>
      <c r="AA13" s="501"/>
      <c r="AB13" s="401"/>
      <c r="AC13" s="502"/>
      <c r="AD13" s="501">
        <v>24</v>
      </c>
      <c r="AE13" s="401"/>
      <c r="AF13" s="502"/>
      <c r="AG13" s="501">
        <v>596</v>
      </c>
      <c r="AH13" s="401"/>
      <c r="AI13" s="502"/>
      <c r="AJ13" s="501">
        <v>0</v>
      </c>
      <c r="AK13" s="401"/>
      <c r="AL13" s="502"/>
      <c r="AM13" s="501"/>
      <c r="AN13" s="401"/>
      <c r="AO13" s="502"/>
      <c r="AP13" s="501"/>
      <c r="AQ13" s="401"/>
      <c r="AR13" s="502"/>
      <c r="AS13" s="501"/>
      <c r="AT13" s="401"/>
      <c r="AU13" s="502"/>
      <c r="AV13" s="501"/>
      <c r="AW13" s="401"/>
      <c r="AX13" s="502"/>
    </row>
    <row r="14" spans="1:68" s="4" customFormat="1" ht="23.25" customHeight="1" x14ac:dyDescent="0.25">
      <c r="A14" s="503">
        <v>42503</v>
      </c>
      <c r="B14" s="4" t="s">
        <v>453</v>
      </c>
      <c r="C14" s="4" t="s">
        <v>453</v>
      </c>
      <c r="D14" s="4" t="s">
        <v>380</v>
      </c>
      <c r="E14" s="4" t="s">
        <v>237</v>
      </c>
      <c r="F14" s="501"/>
      <c r="G14" s="401"/>
      <c r="H14" s="502"/>
      <c r="I14" s="501">
        <v>848</v>
      </c>
      <c r="J14" s="401"/>
      <c r="K14" s="502"/>
      <c r="L14" s="501">
        <v>146</v>
      </c>
      <c r="M14" s="401"/>
      <c r="N14" s="502"/>
      <c r="O14" s="501">
        <v>1921</v>
      </c>
      <c r="P14" s="401"/>
      <c r="Q14" s="401"/>
      <c r="R14" s="501">
        <v>1131</v>
      </c>
      <c r="S14" s="401"/>
      <c r="T14" s="502"/>
      <c r="U14" s="4">
        <v>4126</v>
      </c>
      <c r="X14" s="501">
        <v>962</v>
      </c>
      <c r="Y14" s="401"/>
      <c r="Z14" s="502"/>
      <c r="AA14" s="501"/>
      <c r="AB14" s="401"/>
      <c r="AC14" s="502"/>
      <c r="AD14" s="501">
        <v>820</v>
      </c>
      <c r="AE14" s="401"/>
      <c r="AF14" s="502"/>
      <c r="AG14" s="501">
        <v>4152</v>
      </c>
      <c r="AH14" s="401"/>
      <c r="AI14" s="502"/>
      <c r="AJ14" s="501"/>
      <c r="AK14" s="401"/>
      <c r="AL14" s="401"/>
      <c r="AM14" s="501"/>
      <c r="AN14" s="401"/>
      <c r="AO14" s="502"/>
      <c r="AP14" s="501"/>
      <c r="AQ14" s="401"/>
      <c r="AR14" s="502"/>
      <c r="AS14" s="501"/>
      <c r="AT14" s="401"/>
      <c r="AU14" s="502"/>
      <c r="AV14" s="501">
        <v>52</v>
      </c>
      <c r="AW14" s="401"/>
      <c r="AX14" s="502"/>
    </row>
    <row r="15" spans="1:68" s="4" customFormat="1" ht="23.25" customHeight="1" x14ac:dyDescent="0.25">
      <c r="A15" s="503">
        <v>42424</v>
      </c>
      <c r="B15" s="4" t="s">
        <v>453</v>
      </c>
      <c r="C15" s="4" t="s">
        <v>453</v>
      </c>
      <c r="D15" s="4" t="s">
        <v>380</v>
      </c>
      <c r="E15" s="4" t="s">
        <v>5</v>
      </c>
      <c r="F15" s="501"/>
      <c r="G15" s="401"/>
      <c r="H15" s="502"/>
      <c r="I15" s="501">
        <v>203</v>
      </c>
      <c r="J15" s="401"/>
      <c r="K15" s="502"/>
      <c r="L15" s="501">
        <v>103</v>
      </c>
      <c r="M15" s="401"/>
      <c r="N15" s="502"/>
      <c r="O15" s="501">
        <v>715</v>
      </c>
      <c r="P15" s="401"/>
      <c r="Q15" s="401"/>
      <c r="R15" s="501">
        <v>313</v>
      </c>
      <c r="S15" s="401"/>
      <c r="T15" s="502"/>
      <c r="U15" s="4">
        <v>498</v>
      </c>
      <c r="X15" s="501">
        <v>105</v>
      </c>
      <c r="Y15" s="401"/>
      <c r="Z15" s="502"/>
      <c r="AA15" s="501"/>
      <c r="AB15" s="401"/>
      <c r="AC15" s="502"/>
      <c r="AD15" s="501">
        <v>106</v>
      </c>
      <c r="AE15" s="401"/>
      <c r="AF15" s="502"/>
      <c r="AG15" s="501">
        <v>654</v>
      </c>
      <c r="AH15" s="401"/>
      <c r="AI15" s="502"/>
      <c r="AJ15" s="401"/>
      <c r="AK15" s="401"/>
      <c r="AL15" s="401"/>
      <c r="AM15" s="501"/>
      <c r="AN15" s="401"/>
      <c r="AO15" s="502"/>
      <c r="AP15" s="501"/>
      <c r="AQ15" s="401"/>
      <c r="AR15" s="502"/>
      <c r="AS15" s="501"/>
      <c r="AT15" s="401"/>
      <c r="AU15" s="502"/>
      <c r="AV15" s="501">
        <v>615</v>
      </c>
      <c r="AW15" s="401"/>
      <c r="AX15" s="502"/>
    </row>
    <row r="16" spans="1:68" ht="23.25" customHeight="1" x14ac:dyDescent="0.25">
      <c r="A16" s="128">
        <v>41888</v>
      </c>
      <c r="B16" s="122" t="s">
        <v>453</v>
      </c>
      <c r="C16" s="122" t="s">
        <v>453</v>
      </c>
      <c r="D16" s="122" t="s">
        <v>380</v>
      </c>
      <c r="E16" s="122"/>
      <c r="I16" s="501"/>
      <c r="J16" s="401"/>
      <c r="K16" s="502"/>
      <c r="L16" s="501"/>
      <c r="M16" s="401"/>
      <c r="N16" s="502"/>
      <c r="O16" s="501"/>
      <c r="P16" s="401">
        <v>20000</v>
      </c>
      <c r="Q16" s="401"/>
      <c r="R16" s="501"/>
      <c r="S16" s="401">
        <v>10000</v>
      </c>
      <c r="T16" s="502"/>
      <c r="U16" s="4"/>
      <c r="V16" s="4">
        <v>20000</v>
      </c>
      <c r="W16" s="4"/>
      <c r="X16" s="501"/>
      <c r="Y16" s="401">
        <v>10000</v>
      </c>
      <c r="Z16" s="502"/>
      <c r="AA16" s="501"/>
      <c r="AB16" s="401">
        <v>10000</v>
      </c>
      <c r="AC16" s="502"/>
      <c r="AD16" s="501"/>
      <c r="AE16" s="401">
        <v>10000</v>
      </c>
      <c r="AF16" s="502"/>
      <c r="AG16" s="501"/>
      <c r="AH16" s="401">
        <v>50000</v>
      </c>
      <c r="AI16" s="502"/>
      <c r="AJ16" s="401"/>
      <c r="AK16" s="401"/>
      <c r="AL16" s="401"/>
      <c r="AM16" s="501"/>
      <c r="AN16" s="401"/>
      <c r="AO16" s="502"/>
      <c r="AP16" s="501"/>
      <c r="AQ16" s="401"/>
      <c r="AR16" s="502"/>
      <c r="AS16" s="501"/>
      <c r="AT16" s="401"/>
      <c r="AU16" s="502"/>
      <c r="AV16" s="501"/>
      <c r="AW16" s="401"/>
      <c r="AX16" s="502"/>
      <c r="AY16" s="4"/>
      <c r="AZ16" s="4"/>
    </row>
    <row r="17" spans="9:52" ht="23.25" customHeight="1" x14ac:dyDescent="0.25">
      <c r="I17" s="501"/>
      <c r="J17" s="401"/>
      <c r="K17" s="502"/>
      <c r="L17" s="501"/>
      <c r="M17" s="401"/>
      <c r="N17" s="502"/>
      <c r="O17" s="501"/>
      <c r="P17" s="401"/>
      <c r="Q17" s="401"/>
      <c r="R17" s="501"/>
      <c r="S17" s="401"/>
      <c r="T17" s="502"/>
      <c r="U17" s="4"/>
      <c r="V17" s="4"/>
      <c r="W17" s="4"/>
      <c r="X17" s="501"/>
      <c r="Y17" s="401"/>
      <c r="Z17" s="502"/>
      <c r="AA17" s="501"/>
      <c r="AB17" s="401"/>
      <c r="AC17" s="502"/>
      <c r="AD17" s="501"/>
      <c r="AE17" s="401"/>
      <c r="AF17" s="502"/>
      <c r="AG17" s="501"/>
      <c r="AH17" s="401"/>
      <c r="AI17" s="502"/>
      <c r="AJ17" s="401"/>
      <c r="AK17" s="401"/>
      <c r="AL17" s="401"/>
      <c r="AM17" s="501"/>
      <c r="AN17" s="401"/>
      <c r="AO17" s="502"/>
      <c r="AP17" s="501"/>
      <c r="AQ17" s="401"/>
      <c r="AR17" s="502"/>
      <c r="AS17" s="501"/>
      <c r="AT17" s="401"/>
      <c r="AU17" s="502"/>
      <c r="AV17" s="501"/>
      <c r="AW17" s="401"/>
      <c r="AX17" s="502"/>
      <c r="AY17" s="4"/>
      <c r="AZ17" s="4"/>
    </row>
    <row r="18" spans="9:52" ht="23.25" customHeight="1" x14ac:dyDescent="0.25"/>
    <row r="19" spans="9:52" ht="23.25" customHeight="1" x14ac:dyDescent="0.25"/>
    <row r="20" spans="9:52" ht="23.25" customHeight="1" x14ac:dyDescent="0.25"/>
    <row r="21" spans="9:52" ht="23.25" customHeight="1" x14ac:dyDescent="0.25"/>
    <row r="22" spans="9:52" ht="23.25" customHeight="1" x14ac:dyDescent="0.25"/>
    <row r="23" spans="9:52" ht="23.25" customHeight="1" x14ac:dyDescent="0.25"/>
    <row r="24" spans="9:52" ht="23.25" customHeight="1" x14ac:dyDescent="0.25"/>
    <row r="25" spans="9:52" ht="23.25" customHeight="1" x14ac:dyDescent="0.25"/>
    <row r="26" spans="9:52" ht="23.25" customHeight="1" x14ac:dyDescent="0.25"/>
    <row r="27" spans="9:52" ht="23.25" customHeight="1" x14ac:dyDescent="0.25"/>
    <row r="28" spans="9:52" ht="23.25" customHeight="1" x14ac:dyDescent="0.25"/>
    <row r="29" spans="9:52" ht="23.25" customHeight="1" x14ac:dyDescent="0.25"/>
    <row r="30" spans="9:52" ht="23.25" customHeight="1" x14ac:dyDescent="0.25"/>
    <row r="31" spans="9:52" ht="23.25" customHeight="1" x14ac:dyDescent="0.25"/>
    <row r="32" spans="9:52" ht="23.25" customHeight="1" x14ac:dyDescent="0.25"/>
    <row r="33" ht="23.25" customHeight="1" x14ac:dyDescent="0.25"/>
    <row r="34" ht="23.25" customHeight="1" x14ac:dyDescent="0.25"/>
    <row r="35" ht="23.25" customHeight="1" x14ac:dyDescent="0.25"/>
    <row r="36" ht="23.25" customHeight="1" x14ac:dyDescent="0.25"/>
    <row r="37" ht="23.25" customHeight="1" x14ac:dyDescent="0.25"/>
    <row r="38" ht="23.25" customHeight="1" x14ac:dyDescent="0.25"/>
    <row r="39" ht="23.25" customHeight="1" x14ac:dyDescent="0.25"/>
    <row r="40" ht="23.25" customHeight="1" x14ac:dyDescent="0.25"/>
    <row r="41" ht="23.25" customHeight="1" x14ac:dyDescent="0.25"/>
    <row r="42" ht="23.25" customHeight="1" x14ac:dyDescent="0.25"/>
    <row r="43" ht="23.25" customHeight="1" x14ac:dyDescent="0.25"/>
    <row r="44" ht="23.25" customHeight="1" x14ac:dyDescent="0.25"/>
    <row r="45" ht="23.25" customHeight="1" x14ac:dyDescent="0.25"/>
    <row r="46" ht="23.25" customHeight="1" x14ac:dyDescent="0.25"/>
    <row r="47" ht="23.25" customHeight="1" x14ac:dyDescent="0.25"/>
    <row r="48" ht="23.25" customHeight="1" x14ac:dyDescent="0.25"/>
    <row r="49" ht="23.25" customHeight="1" x14ac:dyDescent="0.25"/>
    <row r="50" ht="23.25" customHeight="1" x14ac:dyDescent="0.25"/>
    <row r="51" ht="23.25" customHeight="1" x14ac:dyDescent="0.25"/>
    <row r="52" ht="23.25" customHeight="1" x14ac:dyDescent="0.25"/>
    <row r="53" ht="23.25" customHeight="1" x14ac:dyDescent="0.25"/>
    <row r="54" ht="23.25" customHeight="1" x14ac:dyDescent="0.25"/>
    <row r="55" ht="23.25" customHeight="1" x14ac:dyDescent="0.25"/>
    <row r="56" ht="23.25" customHeight="1" x14ac:dyDescent="0.25"/>
    <row r="57" ht="23.25" customHeight="1" x14ac:dyDescent="0.25"/>
    <row r="58" ht="23.25" customHeight="1" x14ac:dyDescent="0.25"/>
    <row r="59" ht="23.25" customHeight="1" x14ac:dyDescent="0.25"/>
    <row r="60" ht="23.25" customHeight="1" x14ac:dyDescent="0.25"/>
    <row r="61" ht="23.25" customHeight="1" x14ac:dyDescent="0.25"/>
    <row r="62" ht="23.25" customHeight="1" x14ac:dyDescent="0.25"/>
    <row r="63" ht="23.25" customHeight="1" x14ac:dyDescent="0.25"/>
    <row r="64" ht="23.25" customHeight="1" x14ac:dyDescent="0.25"/>
    <row r="65" ht="23.25" customHeight="1" x14ac:dyDescent="0.25"/>
    <row r="66" ht="23.25" customHeight="1" x14ac:dyDescent="0.25"/>
    <row r="67" ht="23.25" customHeight="1" x14ac:dyDescent="0.25"/>
    <row r="68" ht="23.25" customHeight="1" x14ac:dyDescent="0.25"/>
    <row r="69" ht="23.25" customHeight="1" x14ac:dyDescent="0.25"/>
    <row r="70" ht="23.25" customHeight="1" x14ac:dyDescent="0.25"/>
    <row r="71" ht="23.25" customHeight="1" x14ac:dyDescent="0.25"/>
    <row r="72" ht="23.25" customHeight="1" x14ac:dyDescent="0.25"/>
    <row r="73" ht="23.25" customHeight="1" x14ac:dyDescent="0.25"/>
    <row r="74" ht="23.25" customHeight="1" x14ac:dyDescent="0.25"/>
    <row r="75" ht="23.25" customHeight="1" x14ac:dyDescent="0.25"/>
    <row r="76" ht="23.25" customHeight="1" x14ac:dyDescent="0.25"/>
    <row r="77" ht="23.25" customHeight="1" x14ac:dyDescent="0.25"/>
    <row r="78" ht="23.25" customHeight="1" x14ac:dyDescent="0.25"/>
    <row r="79" ht="23.25" customHeight="1" x14ac:dyDescent="0.25"/>
    <row r="80" ht="23.25" customHeight="1" x14ac:dyDescent="0.25"/>
    <row r="81" ht="23.25" customHeight="1" x14ac:dyDescent="0.25"/>
    <row r="82" ht="23.25" customHeight="1" x14ac:dyDescent="0.25"/>
    <row r="83" ht="23.25" customHeight="1" x14ac:dyDescent="0.25"/>
    <row r="84" ht="23.25" customHeight="1" x14ac:dyDescent="0.25"/>
    <row r="85" ht="23.25" customHeight="1" x14ac:dyDescent="0.25"/>
    <row r="86" ht="23.25" customHeight="1" x14ac:dyDescent="0.25"/>
    <row r="87" ht="23.25" customHeight="1" x14ac:dyDescent="0.25"/>
    <row r="88" ht="23.25" customHeight="1" x14ac:dyDescent="0.25"/>
    <row r="89" ht="23.25" customHeight="1" x14ac:dyDescent="0.25"/>
    <row r="90" ht="23.25" customHeight="1" x14ac:dyDescent="0.25"/>
    <row r="91" ht="23.25" customHeight="1" x14ac:dyDescent="0.25"/>
    <row r="92" ht="23.25" customHeight="1" x14ac:dyDescent="0.25"/>
    <row r="93" ht="23.25" customHeight="1" x14ac:dyDescent="0.25"/>
    <row r="94" ht="23.25" customHeight="1" x14ac:dyDescent="0.25"/>
    <row r="95" ht="23.25" customHeight="1" x14ac:dyDescent="0.25"/>
    <row r="96"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row r="113" ht="23.25" customHeight="1" x14ac:dyDescent="0.25"/>
    <row r="114" ht="23.25" customHeight="1" x14ac:dyDescent="0.25"/>
    <row r="115" ht="23.25" customHeight="1" x14ac:dyDescent="0.25"/>
    <row r="116" ht="23.25" customHeight="1" x14ac:dyDescent="0.25"/>
    <row r="117" ht="23.25" customHeight="1" x14ac:dyDescent="0.25"/>
    <row r="118" ht="23.25" customHeight="1" x14ac:dyDescent="0.25"/>
    <row r="119" ht="23.25" customHeight="1" x14ac:dyDescent="0.25"/>
    <row r="120" ht="23.25" customHeight="1" x14ac:dyDescent="0.25"/>
    <row r="121" ht="23.25" customHeight="1" x14ac:dyDescent="0.25"/>
    <row r="122" ht="23.25" customHeight="1" x14ac:dyDescent="0.25"/>
    <row r="123" ht="23.25" customHeight="1" x14ac:dyDescent="0.25"/>
    <row r="124" ht="23.25" customHeight="1" x14ac:dyDescent="0.25"/>
    <row r="125" ht="23.25" customHeight="1" x14ac:dyDescent="0.25"/>
    <row r="126" ht="23.25" customHeight="1" x14ac:dyDescent="0.25"/>
    <row r="127" ht="23.25" customHeight="1" x14ac:dyDescent="0.25"/>
    <row r="128" ht="23.25" customHeight="1" x14ac:dyDescent="0.25"/>
    <row r="129" ht="23.25" customHeight="1" x14ac:dyDescent="0.25"/>
    <row r="130" ht="23.25" customHeight="1" x14ac:dyDescent="0.25"/>
    <row r="131" ht="23.25" customHeight="1" x14ac:dyDescent="0.25"/>
    <row r="132" ht="23.25" customHeight="1" x14ac:dyDescent="0.25"/>
    <row r="133" ht="23.25" customHeight="1" x14ac:dyDescent="0.25"/>
    <row r="134" ht="23.25" customHeight="1" x14ac:dyDescent="0.25"/>
    <row r="135" ht="23.25" customHeight="1" x14ac:dyDescent="0.25"/>
    <row r="136" ht="23.25" customHeight="1" x14ac:dyDescent="0.25"/>
    <row r="137" ht="23.25" customHeight="1" x14ac:dyDescent="0.25"/>
    <row r="138" ht="23.25" customHeight="1" x14ac:dyDescent="0.25"/>
    <row r="139" ht="23.25" customHeight="1" x14ac:dyDescent="0.25"/>
    <row r="140" ht="23.25" customHeight="1" x14ac:dyDescent="0.25"/>
    <row r="141" ht="23.25" customHeight="1" x14ac:dyDescent="0.25"/>
    <row r="142" ht="23.25" customHeight="1" x14ac:dyDescent="0.25"/>
    <row r="143" ht="23.25" customHeight="1" x14ac:dyDescent="0.25"/>
    <row r="144" ht="23.25" customHeight="1" x14ac:dyDescent="0.25"/>
    <row r="145" ht="23.25" customHeight="1" x14ac:dyDescent="0.25"/>
    <row r="146" ht="23.25" customHeight="1" x14ac:dyDescent="0.25"/>
    <row r="147" ht="23.25" customHeight="1" x14ac:dyDescent="0.25"/>
    <row r="148" ht="23.25" customHeight="1" x14ac:dyDescent="0.25"/>
    <row r="149" ht="23.25" customHeight="1" x14ac:dyDescent="0.25"/>
    <row r="150" ht="23.25" customHeight="1" x14ac:dyDescent="0.25"/>
    <row r="151" ht="23.25" customHeight="1" x14ac:dyDescent="0.25"/>
    <row r="152" ht="23.25" customHeight="1" x14ac:dyDescent="0.25"/>
    <row r="153" ht="23.25" customHeight="1" x14ac:dyDescent="0.25"/>
    <row r="154" ht="23.25" customHeight="1" x14ac:dyDescent="0.25"/>
    <row r="155" ht="23.25" customHeight="1" x14ac:dyDescent="0.25"/>
    <row r="156" ht="23.25" customHeight="1" x14ac:dyDescent="0.25"/>
    <row r="157" ht="23.25" customHeight="1" x14ac:dyDescent="0.25"/>
    <row r="158" ht="23.25" customHeight="1" x14ac:dyDescent="0.25"/>
    <row r="159" ht="23.25" customHeight="1" x14ac:dyDescent="0.25"/>
    <row r="160" ht="23.25" customHeight="1" x14ac:dyDescent="0.25"/>
    <row r="161" ht="23.25" customHeight="1" x14ac:dyDescent="0.25"/>
    <row r="162" ht="23.25" customHeight="1" x14ac:dyDescent="0.25"/>
    <row r="163" ht="23.25" customHeight="1" x14ac:dyDescent="0.25"/>
    <row r="164" ht="23.25" customHeight="1" x14ac:dyDescent="0.25"/>
    <row r="165" ht="23.25" customHeight="1" x14ac:dyDescent="0.25"/>
    <row r="166" ht="23.25" customHeight="1" x14ac:dyDescent="0.25"/>
    <row r="167" ht="23.25" customHeight="1" x14ac:dyDescent="0.25"/>
    <row r="168" ht="23.25" customHeight="1" x14ac:dyDescent="0.25"/>
    <row r="169" ht="23.25" customHeight="1" x14ac:dyDescent="0.25"/>
    <row r="170" ht="23.25" customHeight="1" x14ac:dyDescent="0.25"/>
    <row r="171" ht="23.25" customHeight="1" x14ac:dyDescent="0.25"/>
    <row r="172" ht="23.25" customHeight="1" x14ac:dyDescent="0.25"/>
    <row r="173" ht="23.25" customHeight="1" x14ac:dyDescent="0.25"/>
    <row r="174" ht="23.25" customHeight="1" x14ac:dyDescent="0.25"/>
    <row r="175" ht="23.25" customHeight="1" x14ac:dyDescent="0.25"/>
    <row r="176" ht="23.25" customHeight="1" x14ac:dyDescent="0.25"/>
    <row r="177" ht="23.25" customHeight="1" x14ac:dyDescent="0.25"/>
    <row r="178" ht="23.25" customHeight="1" x14ac:dyDescent="0.25"/>
    <row r="179" ht="23.25" customHeight="1" x14ac:dyDescent="0.25"/>
    <row r="180" ht="23.25" customHeight="1" x14ac:dyDescent="0.25"/>
    <row r="181" ht="23.25" customHeight="1" x14ac:dyDescent="0.25"/>
    <row r="182" ht="23.25" customHeight="1" x14ac:dyDescent="0.25"/>
    <row r="183" ht="23.25" customHeight="1" x14ac:dyDescent="0.25"/>
    <row r="184" ht="23.25" customHeight="1" x14ac:dyDescent="0.25"/>
    <row r="185" ht="23.25" customHeight="1" x14ac:dyDescent="0.25"/>
    <row r="186" ht="23.25" customHeight="1" x14ac:dyDescent="0.25"/>
    <row r="187" ht="23.25" customHeight="1" x14ac:dyDescent="0.25"/>
    <row r="188" ht="23.25" customHeight="1" x14ac:dyDescent="0.25"/>
    <row r="189" ht="23.25" customHeight="1" x14ac:dyDescent="0.25"/>
    <row r="190" ht="23.25" customHeight="1" x14ac:dyDescent="0.25"/>
    <row r="191" ht="23.25" customHeight="1" x14ac:dyDescent="0.25"/>
    <row r="192" ht="23.25" customHeight="1" x14ac:dyDescent="0.25"/>
    <row r="193" ht="23.25" customHeight="1" x14ac:dyDescent="0.25"/>
    <row r="194" ht="23.25" customHeight="1" x14ac:dyDescent="0.25"/>
    <row r="195" ht="23.25" customHeight="1" x14ac:dyDescent="0.25"/>
    <row r="196" ht="23.25" customHeight="1" x14ac:dyDescent="0.25"/>
    <row r="197" ht="23.25" customHeight="1" x14ac:dyDescent="0.25"/>
    <row r="198" ht="23.25" customHeight="1" x14ac:dyDescent="0.25"/>
    <row r="199" ht="23.25" customHeight="1" x14ac:dyDescent="0.25"/>
    <row r="200" ht="23.25" customHeight="1" x14ac:dyDescent="0.25"/>
    <row r="201" ht="23.25" customHeight="1" x14ac:dyDescent="0.25"/>
    <row r="202" ht="23.25" customHeight="1" x14ac:dyDescent="0.25"/>
    <row r="203" ht="23.25" customHeight="1" x14ac:dyDescent="0.25"/>
    <row r="204" ht="23.25" customHeight="1" x14ac:dyDescent="0.25"/>
    <row r="205" ht="23.25" customHeight="1" x14ac:dyDescent="0.25"/>
    <row r="206" ht="23.25" customHeight="1" x14ac:dyDescent="0.25"/>
    <row r="207" ht="23.25" customHeight="1" x14ac:dyDescent="0.25"/>
    <row r="208" ht="23.25" customHeight="1" x14ac:dyDescent="0.25"/>
    <row r="209" ht="23.25" customHeight="1" x14ac:dyDescent="0.25"/>
    <row r="210" ht="23.25" customHeight="1" x14ac:dyDescent="0.25"/>
    <row r="211" ht="23.25" customHeight="1" x14ac:dyDescent="0.25"/>
    <row r="212" ht="23.25" customHeight="1" x14ac:dyDescent="0.25"/>
    <row r="213" ht="23.25" customHeight="1" x14ac:dyDescent="0.25"/>
    <row r="214" ht="23.25" customHeight="1" x14ac:dyDescent="0.25"/>
    <row r="215" ht="23.25" customHeight="1" x14ac:dyDescent="0.25"/>
    <row r="216" ht="23.25" customHeight="1" x14ac:dyDescent="0.25"/>
    <row r="217" ht="23.25" customHeight="1" x14ac:dyDescent="0.25"/>
    <row r="218" ht="23.25" customHeight="1" x14ac:dyDescent="0.25"/>
    <row r="219" ht="23.25" customHeight="1" x14ac:dyDescent="0.25"/>
    <row r="220" ht="23.25" customHeight="1" x14ac:dyDescent="0.25"/>
    <row r="221" ht="23.25" customHeight="1" x14ac:dyDescent="0.25"/>
    <row r="222" ht="23.25" customHeight="1" x14ac:dyDescent="0.25"/>
    <row r="223" ht="23.25" customHeight="1" x14ac:dyDescent="0.25"/>
    <row r="224" ht="23.25" customHeight="1" x14ac:dyDescent="0.25"/>
    <row r="225" ht="23.25" customHeight="1" x14ac:dyDescent="0.25"/>
    <row r="226" ht="23.25" customHeight="1" x14ac:dyDescent="0.25"/>
    <row r="227" ht="23.25" customHeight="1" x14ac:dyDescent="0.25"/>
    <row r="228" ht="23.25" customHeight="1" x14ac:dyDescent="0.25"/>
    <row r="229" ht="23.25" customHeight="1" x14ac:dyDescent="0.25"/>
    <row r="230" ht="23.25" customHeight="1" x14ac:dyDescent="0.25"/>
    <row r="231" ht="23.25" customHeight="1" x14ac:dyDescent="0.25"/>
    <row r="232" ht="23.25" customHeight="1" x14ac:dyDescent="0.25"/>
    <row r="233" ht="23.25" customHeight="1" x14ac:dyDescent="0.25"/>
    <row r="234" ht="23.25" customHeight="1" x14ac:dyDescent="0.25"/>
    <row r="235" ht="23.25" customHeight="1" x14ac:dyDescent="0.25"/>
    <row r="236" ht="23.25" customHeight="1" x14ac:dyDescent="0.25"/>
    <row r="237" ht="23.25" customHeight="1" x14ac:dyDescent="0.25"/>
    <row r="238" ht="23.25" customHeight="1" x14ac:dyDescent="0.25"/>
    <row r="239" ht="23.25" customHeight="1" x14ac:dyDescent="0.25"/>
    <row r="240" ht="23.25" customHeight="1" x14ac:dyDescent="0.25"/>
    <row r="241" ht="23.25" customHeight="1" x14ac:dyDescent="0.25"/>
    <row r="242" ht="23.25" customHeight="1" x14ac:dyDescent="0.25"/>
    <row r="243" ht="23.25" customHeight="1" x14ac:dyDescent="0.25"/>
    <row r="244" ht="23.25" customHeight="1" x14ac:dyDescent="0.25"/>
    <row r="245" ht="23.25" customHeight="1" x14ac:dyDescent="0.25"/>
    <row r="246" ht="23.25" customHeight="1" x14ac:dyDescent="0.25"/>
    <row r="247" ht="23.25" customHeight="1" x14ac:dyDescent="0.25"/>
    <row r="248" ht="23.25" customHeight="1" x14ac:dyDescent="0.25"/>
    <row r="249" ht="23.25" customHeight="1" x14ac:dyDescent="0.25"/>
    <row r="250" ht="23.25" customHeight="1" x14ac:dyDescent="0.25"/>
    <row r="251" ht="23.25" customHeight="1" x14ac:dyDescent="0.25"/>
    <row r="252" ht="23.25" customHeight="1" x14ac:dyDescent="0.25"/>
    <row r="253" ht="23.25" customHeight="1" x14ac:dyDescent="0.25"/>
    <row r="254" ht="23.25" customHeight="1" x14ac:dyDescent="0.25"/>
    <row r="255" ht="23.25" customHeight="1" x14ac:dyDescent="0.25"/>
    <row r="256" ht="23.25" customHeight="1" x14ac:dyDescent="0.25"/>
    <row r="257" ht="23.25" customHeight="1" x14ac:dyDescent="0.25"/>
    <row r="258" ht="23.25" customHeight="1" x14ac:dyDescent="0.25"/>
    <row r="259" ht="23.25" customHeight="1" x14ac:dyDescent="0.25"/>
    <row r="260" ht="23.25" customHeight="1" x14ac:dyDescent="0.25"/>
    <row r="261" ht="23.25" customHeight="1" x14ac:dyDescent="0.25"/>
    <row r="262" ht="23.25" customHeight="1" x14ac:dyDescent="0.25"/>
    <row r="263" ht="23.25" customHeight="1" x14ac:dyDescent="0.25"/>
    <row r="264" ht="23.25" customHeight="1" x14ac:dyDescent="0.25"/>
    <row r="265" ht="23.25" customHeight="1" x14ac:dyDescent="0.25"/>
    <row r="266" ht="23.25" customHeight="1" x14ac:dyDescent="0.25"/>
    <row r="267" ht="23.25" customHeight="1" x14ac:dyDescent="0.25"/>
    <row r="268" ht="23.25" customHeight="1" x14ac:dyDescent="0.25"/>
    <row r="269" ht="23.25" customHeight="1" x14ac:dyDescent="0.25"/>
    <row r="270" ht="23.25" customHeight="1" x14ac:dyDescent="0.25"/>
    <row r="271" ht="23.25" customHeight="1" x14ac:dyDescent="0.25"/>
    <row r="272" ht="23.25" customHeight="1" x14ac:dyDescent="0.25"/>
    <row r="273" ht="23.25" customHeight="1" x14ac:dyDescent="0.25"/>
    <row r="274" ht="23.25" customHeight="1" x14ac:dyDescent="0.25"/>
    <row r="275" ht="23.25" customHeight="1" x14ac:dyDescent="0.25"/>
    <row r="276" ht="23.25" customHeight="1" x14ac:dyDescent="0.25"/>
    <row r="277" ht="23.25" customHeight="1" x14ac:dyDescent="0.25"/>
    <row r="278" ht="23.25" customHeight="1" x14ac:dyDescent="0.25"/>
    <row r="279" ht="23.25" customHeight="1" x14ac:dyDescent="0.25"/>
    <row r="280" ht="23.25" customHeight="1" x14ac:dyDescent="0.25"/>
    <row r="281" ht="23.25" customHeight="1" x14ac:dyDescent="0.25"/>
    <row r="282" ht="23.25" customHeight="1" x14ac:dyDescent="0.25"/>
    <row r="283" ht="23.25" customHeight="1" x14ac:dyDescent="0.25"/>
    <row r="284" ht="23.25" customHeight="1" x14ac:dyDescent="0.25"/>
    <row r="285" ht="23.25" customHeight="1" x14ac:dyDescent="0.25"/>
    <row r="286" ht="23.25" customHeight="1" x14ac:dyDescent="0.25"/>
    <row r="287" ht="23.25" customHeight="1" x14ac:dyDescent="0.25"/>
    <row r="288" ht="23.25" customHeight="1" x14ac:dyDescent="0.25"/>
    <row r="289" ht="23.25" customHeight="1" x14ac:dyDescent="0.25"/>
    <row r="290" ht="23.25" customHeight="1" x14ac:dyDescent="0.25"/>
    <row r="291" ht="23.25" customHeight="1" x14ac:dyDescent="0.25"/>
    <row r="292" ht="23.25" customHeight="1" x14ac:dyDescent="0.25"/>
    <row r="293" ht="23.25" customHeight="1" x14ac:dyDescent="0.25"/>
    <row r="294" ht="23.25" customHeight="1" x14ac:dyDescent="0.25"/>
    <row r="295" ht="23.25" customHeight="1" x14ac:dyDescent="0.25"/>
    <row r="296" ht="23.25" customHeight="1" x14ac:dyDescent="0.25"/>
    <row r="297" ht="23.25" customHeight="1" x14ac:dyDescent="0.25"/>
    <row r="298" ht="23.25" customHeight="1" x14ac:dyDescent="0.25"/>
    <row r="299" ht="23.25" customHeight="1" x14ac:dyDescent="0.25"/>
    <row r="300" ht="23.25" customHeight="1" x14ac:dyDescent="0.25"/>
    <row r="301" ht="23.25" customHeight="1" x14ac:dyDescent="0.25"/>
    <row r="302" ht="23.25" customHeight="1" x14ac:dyDescent="0.25"/>
    <row r="303" ht="23.25" customHeight="1" x14ac:dyDescent="0.25"/>
    <row r="304" ht="23.25" customHeight="1" x14ac:dyDescent="0.25"/>
    <row r="305" ht="23.25" customHeight="1" x14ac:dyDescent="0.25"/>
    <row r="306" ht="23.25" customHeight="1" x14ac:dyDescent="0.25"/>
    <row r="307" ht="23.25" customHeight="1" x14ac:dyDescent="0.25"/>
    <row r="308" ht="23.25" customHeight="1" x14ac:dyDescent="0.25"/>
    <row r="309" ht="23.25" customHeight="1" x14ac:dyDescent="0.25"/>
    <row r="310" ht="23.25" customHeight="1" x14ac:dyDescent="0.25"/>
    <row r="311" ht="23.25" customHeight="1" x14ac:dyDescent="0.25"/>
    <row r="312" ht="23.25" customHeight="1" x14ac:dyDescent="0.25"/>
    <row r="313" ht="23.25" customHeight="1" x14ac:dyDescent="0.25"/>
    <row r="314" ht="23.25" customHeight="1" x14ac:dyDescent="0.25"/>
    <row r="315" ht="23.25" customHeight="1" x14ac:dyDescent="0.25"/>
    <row r="316" ht="23.25" customHeight="1" x14ac:dyDescent="0.25"/>
    <row r="317" ht="23.25" customHeight="1" x14ac:dyDescent="0.25"/>
    <row r="318" ht="23.25" customHeight="1" x14ac:dyDescent="0.25"/>
    <row r="319" ht="23.25" customHeight="1" x14ac:dyDescent="0.25"/>
    <row r="320" ht="23.25" customHeight="1" x14ac:dyDescent="0.25"/>
    <row r="321" ht="23.25" customHeight="1" x14ac:dyDescent="0.25"/>
    <row r="322" ht="23.25" customHeight="1" x14ac:dyDescent="0.25"/>
    <row r="323" ht="23.25" customHeight="1" x14ac:dyDescent="0.25"/>
    <row r="324" ht="23.25" customHeight="1" x14ac:dyDescent="0.25"/>
    <row r="325" ht="23.25" customHeight="1" x14ac:dyDescent="0.25"/>
    <row r="326" ht="23.25" customHeight="1" x14ac:dyDescent="0.25"/>
    <row r="327" ht="23.25" customHeight="1" x14ac:dyDescent="0.25"/>
    <row r="328" ht="23.25" customHeight="1" x14ac:dyDescent="0.25"/>
    <row r="329" ht="23.25" customHeight="1" x14ac:dyDescent="0.25"/>
    <row r="330" ht="23.25" customHeight="1" x14ac:dyDescent="0.25"/>
    <row r="331" ht="23.25" customHeight="1" x14ac:dyDescent="0.25"/>
    <row r="332" ht="23.25" customHeight="1" x14ac:dyDescent="0.25"/>
    <row r="333" ht="23.25" customHeight="1" x14ac:dyDescent="0.25"/>
    <row r="334" ht="23.25" customHeight="1" x14ac:dyDescent="0.25"/>
    <row r="335" ht="23.25" customHeight="1" x14ac:dyDescent="0.25"/>
    <row r="336" ht="23.25" customHeight="1" x14ac:dyDescent="0.25"/>
    <row r="337" ht="23.25" customHeight="1" x14ac:dyDescent="0.25"/>
    <row r="338" ht="23.25" customHeight="1" x14ac:dyDescent="0.25"/>
    <row r="339" ht="23.25" customHeight="1" x14ac:dyDescent="0.25"/>
    <row r="340" ht="23.25" customHeight="1" x14ac:dyDescent="0.25"/>
    <row r="341" ht="23.25" customHeight="1" x14ac:dyDescent="0.25"/>
    <row r="342" ht="23.25" customHeight="1" x14ac:dyDescent="0.25"/>
    <row r="343" ht="23.25" customHeight="1" x14ac:dyDescent="0.25"/>
    <row r="344" ht="23.25" customHeight="1" x14ac:dyDescent="0.25"/>
    <row r="345" ht="23.25" customHeight="1" x14ac:dyDescent="0.25"/>
    <row r="346" ht="23.25" customHeight="1" x14ac:dyDescent="0.25"/>
    <row r="347" ht="23.25" customHeight="1" x14ac:dyDescent="0.25"/>
    <row r="348" ht="23.25" customHeight="1" x14ac:dyDescent="0.25"/>
    <row r="349" ht="23.25" customHeight="1" x14ac:dyDescent="0.25"/>
    <row r="350" ht="23.25" customHeight="1" x14ac:dyDescent="0.25"/>
    <row r="351" ht="23.25" customHeight="1" x14ac:dyDescent="0.25"/>
    <row r="352" ht="23.25" customHeight="1" x14ac:dyDescent="0.25"/>
    <row r="353" ht="23.25" customHeight="1" x14ac:dyDescent="0.25"/>
    <row r="354" ht="23.25" customHeight="1" x14ac:dyDescent="0.25"/>
    <row r="355" ht="23.25" customHeight="1" x14ac:dyDescent="0.25"/>
    <row r="356" ht="23.25" customHeight="1" x14ac:dyDescent="0.25"/>
    <row r="357" ht="23.25" customHeight="1" x14ac:dyDescent="0.25"/>
    <row r="358" ht="23.25" customHeight="1" x14ac:dyDescent="0.25"/>
    <row r="359" ht="23.25" customHeight="1" x14ac:dyDescent="0.25"/>
    <row r="360" ht="23.25" customHeight="1" x14ac:dyDescent="0.25"/>
    <row r="361" ht="23.25" customHeight="1" x14ac:dyDescent="0.25"/>
    <row r="362" ht="23.25" customHeight="1" x14ac:dyDescent="0.25"/>
    <row r="363" ht="23.25" customHeight="1" x14ac:dyDescent="0.25"/>
    <row r="364" ht="23.25" customHeight="1" x14ac:dyDescent="0.25"/>
    <row r="365" ht="23.25" customHeight="1" x14ac:dyDescent="0.25"/>
    <row r="366" ht="23.25" customHeight="1" x14ac:dyDescent="0.25"/>
    <row r="367" ht="23.25" customHeight="1" x14ac:dyDescent="0.25"/>
    <row r="368" ht="23.25" customHeight="1" x14ac:dyDescent="0.25"/>
    <row r="369" ht="23.25" customHeight="1" x14ac:dyDescent="0.25"/>
    <row r="370" ht="23.25" customHeight="1" x14ac:dyDescent="0.25"/>
    <row r="371" ht="23.25" customHeight="1" x14ac:dyDescent="0.25"/>
    <row r="372" ht="23.25" customHeight="1" x14ac:dyDescent="0.25"/>
    <row r="373" ht="23.25" customHeight="1" x14ac:dyDescent="0.25"/>
    <row r="374" ht="23.25" customHeight="1" x14ac:dyDescent="0.25"/>
    <row r="375" ht="23.25" customHeight="1" x14ac:dyDescent="0.25"/>
    <row r="376" ht="23.25" customHeight="1" x14ac:dyDescent="0.25"/>
    <row r="377" ht="23.25" customHeight="1" x14ac:dyDescent="0.25"/>
    <row r="378" ht="23.25" customHeight="1" x14ac:dyDescent="0.25"/>
    <row r="379" ht="23.25" customHeight="1" x14ac:dyDescent="0.25"/>
    <row r="380" ht="23.25" customHeight="1" x14ac:dyDescent="0.25"/>
    <row r="381" ht="23.25" customHeight="1" x14ac:dyDescent="0.25"/>
    <row r="382" ht="23.25" customHeight="1" x14ac:dyDescent="0.25"/>
    <row r="383" ht="23.25" customHeight="1" x14ac:dyDescent="0.25"/>
    <row r="384" ht="23.25" customHeight="1" x14ac:dyDescent="0.25"/>
    <row r="385" ht="23.25" customHeight="1" x14ac:dyDescent="0.25"/>
    <row r="386" ht="23.25" customHeight="1" x14ac:dyDescent="0.25"/>
    <row r="387" ht="23.25" customHeight="1" x14ac:dyDescent="0.25"/>
    <row r="388" ht="23.25" customHeight="1" x14ac:dyDescent="0.25"/>
    <row r="389" ht="23.25" customHeight="1" x14ac:dyDescent="0.25"/>
    <row r="390" ht="23.25" customHeight="1" x14ac:dyDescent="0.25"/>
    <row r="391" ht="23.25" customHeight="1" x14ac:dyDescent="0.25"/>
    <row r="392" ht="23.25" customHeight="1" x14ac:dyDescent="0.25"/>
    <row r="393" ht="23.25" customHeight="1" x14ac:dyDescent="0.25"/>
    <row r="394" ht="23.25" customHeight="1" x14ac:dyDescent="0.25"/>
    <row r="395" ht="23.25" customHeight="1" x14ac:dyDescent="0.25"/>
    <row r="396" ht="23.25" customHeight="1" x14ac:dyDescent="0.25"/>
    <row r="397" ht="23.25" customHeight="1" x14ac:dyDescent="0.25"/>
    <row r="398" ht="23.25" customHeight="1" x14ac:dyDescent="0.25"/>
    <row r="399" ht="23.25" customHeight="1" x14ac:dyDescent="0.25"/>
    <row r="400" ht="23.25" customHeight="1" x14ac:dyDescent="0.25"/>
    <row r="401" ht="23.25" customHeight="1" x14ac:dyDescent="0.25"/>
    <row r="402" ht="23.25" customHeight="1" x14ac:dyDescent="0.25"/>
    <row r="403" ht="23.25" customHeight="1" x14ac:dyDescent="0.25"/>
    <row r="404" ht="23.25" customHeight="1" x14ac:dyDescent="0.25"/>
    <row r="405" ht="23.25" customHeight="1" x14ac:dyDescent="0.25"/>
    <row r="406" ht="23.25" customHeight="1" x14ac:dyDescent="0.25"/>
  </sheetData>
  <mergeCells count="21">
    <mergeCell ref="A3:C3"/>
    <mergeCell ref="AG5:AI5"/>
    <mergeCell ref="X5:Z5"/>
    <mergeCell ref="U5:W5"/>
    <mergeCell ref="E5:E6"/>
    <mergeCell ref="D5:D6"/>
    <mergeCell ref="B5:B6"/>
    <mergeCell ref="A5:A6"/>
    <mergeCell ref="R5:T5"/>
    <mergeCell ref="O5:Q5"/>
    <mergeCell ref="L5:N5"/>
    <mergeCell ref="F5:H5"/>
    <mergeCell ref="I5:K5"/>
    <mergeCell ref="AD5:AF5"/>
    <mergeCell ref="AA5:AC5"/>
    <mergeCell ref="AV5:AX5"/>
    <mergeCell ref="AM5:AO5"/>
    <mergeCell ref="AP5:AR5"/>
    <mergeCell ref="AS5:AU5"/>
    <mergeCell ref="C5:C6"/>
    <mergeCell ref="AJ5:AL5"/>
  </mergeCells>
  <pageMargins left="0.25" right="0.25" top="0.75" bottom="0.75" header="0.3" footer="0.3"/>
  <pageSetup paperSize="9" scale="4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7"/>
  <sheetViews>
    <sheetView topLeftCell="D1" workbookViewId="0">
      <selection activeCell="K2" sqref="K2:K7"/>
    </sheetView>
  </sheetViews>
  <sheetFormatPr defaultRowHeight="15" x14ac:dyDescent="0.25"/>
  <cols>
    <col min="1" max="1" width="9.42578125" customWidth="1"/>
    <col min="2" max="2" width="17" customWidth="1"/>
    <col min="3" max="3" width="13.5703125" customWidth="1"/>
    <col min="4" max="4" width="21.28515625" customWidth="1"/>
    <col min="6" max="6" width="11" customWidth="1"/>
    <col min="7" max="7" width="13.28515625" customWidth="1"/>
    <col min="8" max="8" width="12.28515625" customWidth="1"/>
    <col min="9" max="9" width="12.7109375" customWidth="1"/>
    <col min="10" max="10" width="12.42578125" customWidth="1"/>
    <col min="11" max="11" width="14.28515625" customWidth="1"/>
    <col min="12" max="12" width="10.7109375" customWidth="1"/>
    <col min="13" max="13" width="9.28515625" customWidth="1"/>
    <col min="14" max="14" width="12.28515625" customWidth="1"/>
    <col min="15" max="15" width="11.7109375" customWidth="1"/>
    <col min="16" max="16" width="14.42578125" customWidth="1"/>
    <col min="17" max="17" width="12.140625" customWidth="1"/>
    <col min="18" max="18" width="20.28515625" customWidth="1"/>
    <col min="19" max="19" width="22.7109375" customWidth="1"/>
    <col min="20" max="20" width="18.85546875" customWidth="1"/>
    <col min="21" max="22" width="15.28515625" customWidth="1"/>
    <col min="23" max="23" width="15.5703125" customWidth="1"/>
    <col min="24" max="24" width="15.28515625" customWidth="1"/>
    <col min="25" max="25" width="17.140625" customWidth="1"/>
    <col min="26" max="26" width="13.7109375" customWidth="1"/>
    <col min="27" max="27" width="12.140625" customWidth="1"/>
    <col min="28" max="28" width="15.28515625" customWidth="1"/>
    <col min="29" max="29" width="14.7109375" customWidth="1"/>
    <col min="30" max="30" width="17.7109375" customWidth="1"/>
    <col min="31" max="31" width="15.42578125" customWidth="1"/>
    <col min="32" max="32" width="23.140625" customWidth="1"/>
    <col min="33" max="33" width="25.5703125" customWidth="1"/>
    <col min="34" max="34" width="21.7109375" customWidth="1"/>
    <col min="35" max="35" width="18.28515625" customWidth="1"/>
    <col min="38" max="38" width="14.5703125" customWidth="1"/>
    <col min="40" max="40" width="9" customWidth="1"/>
    <col min="41" max="41" width="10.7109375" customWidth="1"/>
    <col min="42" max="42" width="20" customWidth="1"/>
    <col min="43" max="43" width="11.28515625" customWidth="1"/>
  </cols>
  <sheetData>
    <row r="1" spans="1:43" x14ac:dyDescent="0.25">
      <c r="A1" t="s">
        <v>439</v>
      </c>
      <c r="B1" t="s">
        <v>412</v>
      </c>
      <c r="C1" t="s">
        <v>402</v>
      </c>
      <c r="D1" t="s">
        <v>413</v>
      </c>
      <c r="E1" t="s">
        <v>395</v>
      </c>
      <c r="F1" t="s">
        <v>0</v>
      </c>
      <c r="G1" t="s">
        <v>394</v>
      </c>
      <c r="H1" t="s">
        <v>456</v>
      </c>
      <c r="I1" t="s">
        <v>404</v>
      </c>
      <c r="J1" t="s">
        <v>457</v>
      </c>
      <c r="K1" t="s">
        <v>596</v>
      </c>
      <c r="L1" t="s">
        <v>458</v>
      </c>
      <c r="M1" t="s">
        <v>435</v>
      </c>
      <c r="N1" t="s">
        <v>436</v>
      </c>
      <c r="O1" t="s">
        <v>1221</v>
      </c>
      <c r="P1" t="s">
        <v>578</v>
      </c>
      <c r="Q1" t="s">
        <v>579</v>
      </c>
      <c r="R1" t="s">
        <v>989</v>
      </c>
      <c r="S1" t="s">
        <v>993</v>
      </c>
      <c r="T1" t="s">
        <v>997</v>
      </c>
      <c r="U1" t="s">
        <v>1113</v>
      </c>
      <c r="V1" t="s">
        <v>1138</v>
      </c>
      <c r="W1" t="s">
        <v>1139</v>
      </c>
      <c r="X1" t="s">
        <v>1140</v>
      </c>
      <c r="Y1" t="s">
        <v>1141</v>
      </c>
      <c r="Z1" t="s">
        <v>1142</v>
      </c>
      <c r="AA1" t="s">
        <v>1144</v>
      </c>
      <c r="AB1" t="s">
        <v>1143</v>
      </c>
      <c r="AC1" t="s">
        <v>1222</v>
      </c>
      <c r="AD1" t="s">
        <v>1145</v>
      </c>
      <c r="AE1" t="s">
        <v>1146</v>
      </c>
      <c r="AF1" t="s">
        <v>1147</v>
      </c>
      <c r="AG1" t="s">
        <v>1148</v>
      </c>
      <c r="AH1" t="s">
        <v>1149</v>
      </c>
      <c r="AI1" t="s">
        <v>1150</v>
      </c>
      <c r="AJ1" t="s">
        <v>1153</v>
      </c>
      <c r="AK1" t="s">
        <v>559</v>
      </c>
      <c r="AL1" t="s">
        <v>1137</v>
      </c>
      <c r="AM1" t="s">
        <v>499</v>
      </c>
      <c r="AN1" t="s">
        <v>1082</v>
      </c>
      <c r="AO1" t="s">
        <v>441</v>
      </c>
      <c r="AP1" t="s">
        <v>1093</v>
      </c>
      <c r="AQ1" t="s">
        <v>497</v>
      </c>
    </row>
    <row r="2" spans="1:43" x14ac:dyDescent="0.25">
      <c r="A2">
        <v>15.566666666666666</v>
      </c>
      <c r="B2" s="177">
        <v>41750</v>
      </c>
      <c r="C2" t="s">
        <v>453</v>
      </c>
      <c r="E2" t="s">
        <v>554</v>
      </c>
      <c r="F2" t="s">
        <v>289</v>
      </c>
      <c r="G2" t="s">
        <v>1057</v>
      </c>
      <c r="K2">
        <v>90</v>
      </c>
      <c r="L2">
        <v>49</v>
      </c>
      <c r="M2">
        <v>98</v>
      </c>
      <c r="N2">
        <v>49</v>
      </c>
      <c r="P2">
        <v>49</v>
      </c>
      <c r="Q2">
        <v>225</v>
      </c>
      <c r="V2">
        <v>0</v>
      </c>
      <c r="W2">
        <v>0</v>
      </c>
      <c r="X2">
        <v>0</v>
      </c>
      <c r="Y2">
        <v>0</v>
      </c>
      <c r="Z2">
        <v>0</v>
      </c>
      <c r="AA2">
        <v>0</v>
      </c>
      <c r="AB2">
        <v>0</v>
      </c>
      <c r="AC2">
        <v>0</v>
      </c>
      <c r="AD2">
        <v>0</v>
      </c>
      <c r="AE2">
        <v>0</v>
      </c>
      <c r="AF2">
        <v>0</v>
      </c>
      <c r="AG2">
        <v>0</v>
      </c>
      <c r="AH2">
        <v>0</v>
      </c>
      <c r="AI2">
        <v>0</v>
      </c>
      <c r="AJ2">
        <v>0</v>
      </c>
      <c r="AK2" t="s">
        <v>1058</v>
      </c>
      <c r="AL2">
        <v>1</v>
      </c>
      <c r="AM2" t="s">
        <v>501</v>
      </c>
      <c r="AN2" t="s">
        <v>1095</v>
      </c>
      <c r="AO2">
        <v>1.1951219512195121</v>
      </c>
    </row>
    <row r="3" spans="1:43" x14ac:dyDescent="0.25">
      <c r="A3">
        <v>15.566666666666666</v>
      </c>
      <c r="B3" s="177">
        <v>41750</v>
      </c>
      <c r="C3" t="s">
        <v>453</v>
      </c>
      <c r="E3" t="s">
        <v>554</v>
      </c>
      <c r="F3" t="s">
        <v>289</v>
      </c>
      <c r="G3" t="s">
        <v>1057</v>
      </c>
      <c r="K3">
        <v>0</v>
      </c>
      <c r="L3">
        <v>1</v>
      </c>
      <c r="M3">
        <v>167</v>
      </c>
      <c r="N3">
        <v>1</v>
      </c>
      <c r="O3">
        <v>0</v>
      </c>
      <c r="P3">
        <v>1</v>
      </c>
      <c r="Q3">
        <v>0</v>
      </c>
      <c r="V3">
        <v>0</v>
      </c>
      <c r="W3">
        <v>0</v>
      </c>
      <c r="X3">
        <v>0</v>
      </c>
      <c r="Y3">
        <v>0</v>
      </c>
      <c r="Z3">
        <v>0</v>
      </c>
      <c r="AA3">
        <v>0</v>
      </c>
      <c r="AB3">
        <v>0</v>
      </c>
      <c r="AC3">
        <v>0</v>
      </c>
      <c r="AD3">
        <v>0</v>
      </c>
      <c r="AE3">
        <v>0</v>
      </c>
      <c r="AF3">
        <v>0</v>
      </c>
      <c r="AG3">
        <v>0</v>
      </c>
      <c r="AH3">
        <v>0</v>
      </c>
      <c r="AI3">
        <v>0</v>
      </c>
      <c r="AJ3">
        <v>0</v>
      </c>
      <c r="AK3" t="s">
        <v>1058</v>
      </c>
      <c r="AL3">
        <v>1</v>
      </c>
      <c r="AM3" t="s">
        <v>501</v>
      </c>
      <c r="AN3" t="s">
        <v>1095</v>
      </c>
      <c r="AO3">
        <v>2.4390243902439025E-2</v>
      </c>
      <c r="AQ3" t="s">
        <v>1235</v>
      </c>
    </row>
    <row r="4" spans="1:43" x14ac:dyDescent="0.25">
      <c r="A4">
        <v>14.866666666666667</v>
      </c>
      <c r="B4" s="177">
        <v>41771</v>
      </c>
      <c r="C4" t="s">
        <v>453</v>
      </c>
      <c r="E4" t="s">
        <v>554</v>
      </c>
      <c r="F4" t="s">
        <v>230</v>
      </c>
      <c r="G4" t="s">
        <v>1065</v>
      </c>
      <c r="K4">
        <v>82</v>
      </c>
      <c r="L4">
        <v>41</v>
      </c>
      <c r="M4">
        <v>82</v>
      </c>
      <c r="N4">
        <v>41</v>
      </c>
      <c r="P4">
        <v>41</v>
      </c>
      <c r="Q4">
        <v>205</v>
      </c>
      <c r="V4">
        <v>0</v>
      </c>
      <c r="W4">
        <v>0</v>
      </c>
      <c r="X4">
        <v>0</v>
      </c>
      <c r="Y4">
        <v>0</v>
      </c>
      <c r="Z4">
        <v>0</v>
      </c>
      <c r="AA4">
        <v>0</v>
      </c>
      <c r="AB4">
        <v>0</v>
      </c>
      <c r="AC4">
        <v>0</v>
      </c>
      <c r="AD4">
        <v>0</v>
      </c>
      <c r="AE4">
        <v>0</v>
      </c>
      <c r="AF4">
        <v>0</v>
      </c>
      <c r="AG4">
        <v>0</v>
      </c>
      <c r="AH4">
        <v>0</v>
      </c>
      <c r="AI4">
        <v>0</v>
      </c>
      <c r="AJ4">
        <v>0</v>
      </c>
      <c r="AK4" t="s">
        <v>1066</v>
      </c>
      <c r="AL4">
        <v>1</v>
      </c>
      <c r="AM4" t="s">
        <v>501</v>
      </c>
      <c r="AN4" t="s">
        <v>1095</v>
      </c>
      <c r="AO4">
        <v>1.3666666666666667</v>
      </c>
    </row>
    <row r="5" spans="1:43" x14ac:dyDescent="0.25">
      <c r="A5">
        <v>14.866666666666667</v>
      </c>
      <c r="B5" s="177">
        <v>41771</v>
      </c>
      <c r="C5" t="s">
        <v>453</v>
      </c>
      <c r="E5" t="s">
        <v>554</v>
      </c>
      <c r="F5" t="s">
        <v>230</v>
      </c>
      <c r="G5" t="s">
        <v>1065</v>
      </c>
      <c r="K5">
        <v>68</v>
      </c>
      <c r="L5">
        <v>9</v>
      </c>
      <c r="M5">
        <v>118</v>
      </c>
      <c r="N5">
        <v>9</v>
      </c>
      <c r="O5">
        <v>0</v>
      </c>
      <c r="P5">
        <v>9</v>
      </c>
      <c r="Q5">
        <v>45</v>
      </c>
      <c r="V5">
        <v>0</v>
      </c>
      <c r="W5">
        <v>0</v>
      </c>
      <c r="X5">
        <v>0</v>
      </c>
      <c r="Y5">
        <v>0</v>
      </c>
      <c r="Z5">
        <v>0</v>
      </c>
      <c r="AA5">
        <v>0</v>
      </c>
      <c r="AB5">
        <v>0</v>
      </c>
      <c r="AC5">
        <v>0</v>
      </c>
      <c r="AD5">
        <v>0</v>
      </c>
      <c r="AE5">
        <v>0</v>
      </c>
      <c r="AF5">
        <v>0</v>
      </c>
      <c r="AG5">
        <v>0</v>
      </c>
      <c r="AH5">
        <v>0</v>
      </c>
      <c r="AI5">
        <v>0</v>
      </c>
      <c r="AJ5">
        <v>0</v>
      </c>
      <c r="AK5" t="s">
        <v>1066</v>
      </c>
      <c r="AL5">
        <v>1</v>
      </c>
      <c r="AM5" t="s">
        <v>501</v>
      </c>
      <c r="AN5" t="s">
        <v>1095</v>
      </c>
      <c r="AO5">
        <v>0.3</v>
      </c>
      <c r="AQ5" t="s">
        <v>1235</v>
      </c>
    </row>
    <row r="6" spans="1:43" x14ac:dyDescent="0.25">
      <c r="A6">
        <v>14.9</v>
      </c>
      <c r="B6" s="177">
        <v>41770</v>
      </c>
      <c r="C6" t="s">
        <v>453</v>
      </c>
      <c r="E6" t="s">
        <v>554</v>
      </c>
      <c r="F6" t="s">
        <v>230</v>
      </c>
      <c r="G6" t="s">
        <v>1055</v>
      </c>
      <c r="K6">
        <v>162</v>
      </c>
      <c r="L6">
        <v>81</v>
      </c>
      <c r="M6">
        <v>162</v>
      </c>
      <c r="N6">
        <v>81</v>
      </c>
      <c r="P6">
        <v>81</v>
      </c>
      <c r="Q6">
        <v>405</v>
      </c>
      <c r="V6">
        <v>0</v>
      </c>
      <c r="W6">
        <v>0</v>
      </c>
      <c r="X6">
        <v>0</v>
      </c>
      <c r="Y6">
        <v>0</v>
      </c>
      <c r="Z6">
        <v>0</v>
      </c>
      <c r="AA6">
        <v>0</v>
      </c>
      <c r="AB6">
        <v>0</v>
      </c>
      <c r="AC6">
        <v>0</v>
      </c>
      <c r="AD6">
        <v>0</v>
      </c>
      <c r="AE6">
        <v>0</v>
      </c>
      <c r="AF6">
        <v>0</v>
      </c>
      <c r="AG6">
        <v>0</v>
      </c>
      <c r="AH6">
        <v>0</v>
      </c>
      <c r="AI6">
        <v>0</v>
      </c>
      <c r="AJ6">
        <v>0</v>
      </c>
      <c r="AK6" t="s">
        <v>1056</v>
      </c>
      <c r="AL6">
        <v>1</v>
      </c>
      <c r="AM6" t="s">
        <v>501</v>
      </c>
      <c r="AN6" t="s">
        <v>1095</v>
      </c>
      <c r="AO6">
        <v>1.3278688524590163</v>
      </c>
    </row>
    <row r="7" spans="1:43" x14ac:dyDescent="0.25">
      <c r="A7">
        <v>14.9</v>
      </c>
      <c r="B7" s="177">
        <v>41770</v>
      </c>
      <c r="C7" t="s">
        <v>453</v>
      </c>
      <c r="E7" t="s">
        <v>554</v>
      </c>
      <c r="F7" t="s">
        <v>230</v>
      </c>
      <c r="G7" t="s">
        <v>1055</v>
      </c>
      <c r="K7">
        <v>138</v>
      </c>
      <c r="L7">
        <v>19</v>
      </c>
      <c r="M7">
        <v>238</v>
      </c>
      <c r="N7">
        <v>19</v>
      </c>
      <c r="O7">
        <v>0</v>
      </c>
      <c r="P7">
        <v>19</v>
      </c>
      <c r="Q7">
        <v>95</v>
      </c>
      <c r="V7">
        <v>0</v>
      </c>
      <c r="W7">
        <v>0</v>
      </c>
      <c r="X7">
        <v>0</v>
      </c>
      <c r="Y7">
        <v>0</v>
      </c>
      <c r="Z7">
        <v>0</v>
      </c>
      <c r="AA7">
        <v>0</v>
      </c>
      <c r="AB7">
        <v>0</v>
      </c>
      <c r="AC7">
        <v>0</v>
      </c>
      <c r="AD7">
        <v>0</v>
      </c>
      <c r="AE7">
        <v>0</v>
      </c>
      <c r="AF7">
        <v>0</v>
      </c>
      <c r="AG7">
        <v>0</v>
      </c>
      <c r="AH7">
        <v>0</v>
      </c>
      <c r="AI7">
        <v>0</v>
      </c>
      <c r="AJ7">
        <v>0</v>
      </c>
      <c r="AK7" t="s">
        <v>1056</v>
      </c>
      <c r="AL7">
        <v>1</v>
      </c>
      <c r="AM7" t="s">
        <v>501</v>
      </c>
      <c r="AN7" t="s">
        <v>1095</v>
      </c>
      <c r="AO7">
        <v>0.31147540983606559</v>
      </c>
      <c r="AQ7" t="s">
        <v>1235</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BG79"/>
  <sheetViews>
    <sheetView showZeros="0" zoomScale="70" zoomScaleNormal="70" workbookViewId="0">
      <pane ySplit="2" topLeftCell="A3" activePane="bottomLeft" state="frozen"/>
      <selection activeCell="AS915" sqref="AS915"/>
      <selection pane="bottomLeft" activeCell="B63" sqref="B63"/>
    </sheetView>
  </sheetViews>
  <sheetFormatPr defaultRowHeight="15" x14ac:dyDescent="0.25"/>
  <cols>
    <col min="1" max="1" width="17.85546875" customWidth="1"/>
    <col min="2" max="2" width="18.28515625" customWidth="1"/>
    <col min="3" max="3" width="12.42578125" customWidth="1"/>
    <col min="4" max="4" width="10.28515625" customWidth="1"/>
    <col min="5" max="5" width="15" customWidth="1"/>
    <col min="6" max="6" width="18.85546875" customWidth="1"/>
    <col min="7" max="7" width="14.85546875" customWidth="1"/>
    <col min="8" max="8" width="17.7109375" customWidth="1"/>
    <col min="9" max="13" width="15" customWidth="1"/>
    <col min="14" max="15" width="17" customWidth="1"/>
    <col min="16" max="16" width="17.28515625" bestFit="1" customWidth="1"/>
    <col min="17" max="20" width="10.85546875" customWidth="1"/>
    <col min="21" max="21" width="14.7109375" customWidth="1"/>
    <col min="22" max="22" width="11.28515625" customWidth="1"/>
  </cols>
  <sheetData>
    <row r="1" spans="1:59" s="1" customFormat="1" ht="36" x14ac:dyDescent="0.25">
      <c r="A1" s="283"/>
      <c r="B1" s="284"/>
      <c r="C1" s="284"/>
      <c r="D1" s="284"/>
      <c r="E1" s="284"/>
      <c r="F1" s="284"/>
      <c r="G1" s="284"/>
      <c r="H1" s="284"/>
      <c r="I1" s="284"/>
      <c r="J1" s="284"/>
      <c r="K1" s="284"/>
      <c r="L1" s="284"/>
      <c r="M1" s="284"/>
      <c r="N1" s="285"/>
      <c r="O1" s="271"/>
      <c r="P1" s="271"/>
      <c r="Q1" s="271"/>
      <c r="R1" s="271"/>
      <c r="S1" s="271"/>
      <c r="T1" s="271"/>
      <c r="U1" s="271"/>
      <c r="V1" s="271"/>
      <c r="W1" s="271"/>
      <c r="X1" s="271"/>
      <c r="Y1" s="271"/>
      <c r="Z1" s="271"/>
      <c r="AA1" s="17"/>
      <c r="AB1" s="17"/>
      <c r="BF1" s="55"/>
      <c r="BG1" s="55"/>
    </row>
    <row r="2" spans="1:59" s="1" customFormat="1" ht="33.75" x14ac:dyDescent="0.35">
      <c r="A2" s="842" t="s">
        <v>459</v>
      </c>
      <c r="B2" s="843"/>
      <c r="C2" s="843"/>
      <c r="D2" s="843"/>
      <c r="E2" s="843"/>
      <c r="F2" s="843"/>
      <c r="G2" s="843"/>
      <c r="H2" s="843"/>
      <c r="I2" s="79"/>
      <c r="J2" s="79"/>
      <c r="K2" s="79"/>
      <c r="L2" s="79"/>
      <c r="M2" s="79"/>
      <c r="N2" s="286"/>
      <c r="O2" s="272"/>
      <c r="P2" s="17"/>
      <c r="Q2" s="17"/>
      <c r="R2" s="17"/>
      <c r="S2" s="17"/>
      <c r="T2" s="17"/>
      <c r="U2" s="17"/>
      <c r="V2" s="4"/>
      <c r="W2" s="4"/>
      <c r="X2" s="4"/>
      <c r="Y2" s="4"/>
      <c r="Z2" s="4"/>
      <c r="AA2" s="4"/>
      <c r="AB2" s="4"/>
      <c r="AC2" s="76"/>
      <c r="AD2" s="76"/>
      <c r="AE2" s="76"/>
      <c r="AF2" s="76"/>
      <c r="AG2" s="76"/>
      <c r="AH2" s="76"/>
      <c r="AI2" s="76"/>
      <c r="AJ2" s="76"/>
      <c r="AK2" s="76"/>
      <c r="AL2" s="76"/>
      <c r="AM2" s="76"/>
      <c r="AN2" s="76"/>
      <c r="AO2" s="76"/>
      <c r="AP2" s="76"/>
      <c r="AZ2" s="55"/>
      <c r="BA2" s="55"/>
    </row>
    <row r="3" spans="1:59" s="17" customFormat="1" ht="33.75" x14ac:dyDescent="0.35">
      <c r="A3" s="844">
        <f>Definition!B23</f>
        <v>42571</v>
      </c>
      <c r="B3" s="845"/>
      <c r="C3" s="845"/>
      <c r="D3" s="845"/>
      <c r="E3" s="845"/>
      <c r="F3" s="845"/>
      <c r="G3" s="845"/>
      <c r="H3" s="845"/>
      <c r="I3" s="287"/>
      <c r="J3" s="287"/>
      <c r="K3" s="287"/>
      <c r="L3" s="287"/>
      <c r="M3" s="287"/>
      <c r="N3" s="288"/>
      <c r="O3" s="272"/>
      <c r="W3" s="4"/>
      <c r="X3" s="4"/>
      <c r="Y3" s="4"/>
      <c r="Z3" s="4"/>
      <c r="AA3" s="4"/>
      <c r="AB3" s="4"/>
      <c r="AC3" s="76"/>
      <c r="AD3" s="76"/>
      <c r="AE3" s="76"/>
      <c r="AF3" s="76"/>
      <c r="AG3" s="76"/>
      <c r="AH3" s="76"/>
      <c r="AI3" s="76"/>
      <c r="AJ3" s="76"/>
      <c r="AK3" s="76"/>
      <c r="AL3" s="76"/>
      <c r="AM3" s="76"/>
      <c r="AN3" s="76"/>
      <c r="AO3" s="76"/>
      <c r="AP3" s="76"/>
      <c r="AZ3" s="56"/>
      <c r="BA3" s="56"/>
    </row>
    <row r="4" spans="1:59" s="17" customFormat="1" ht="36" x14ac:dyDescent="0.25">
      <c r="A4" s="57"/>
      <c r="B4" s="57"/>
      <c r="C4" s="57"/>
      <c r="D4" s="42"/>
      <c r="E4" s="42"/>
      <c r="F4" s="42"/>
      <c r="G4" s="42"/>
      <c r="H4" s="42"/>
      <c r="I4" s="42"/>
      <c r="J4" s="42"/>
      <c r="L4" s="42"/>
      <c r="M4" s="42"/>
      <c r="N4" s="42"/>
      <c r="O4" s="42"/>
      <c r="P4" s="42"/>
      <c r="Q4" s="42"/>
      <c r="R4" s="42"/>
      <c r="S4" s="56"/>
      <c r="T4" s="42"/>
      <c r="U4" s="42"/>
      <c r="BF4" s="56"/>
      <c r="BG4" s="56"/>
    </row>
    <row r="5" spans="1:59" s="47" customFormat="1" ht="32.25" thickBot="1" x14ac:dyDescent="0.55000000000000004">
      <c r="A5" s="51" t="s">
        <v>380</v>
      </c>
      <c r="B5" s="53"/>
      <c r="C5" s="53"/>
      <c r="D5" s="53"/>
      <c r="E5" s="53"/>
      <c r="F5" s="53"/>
      <c r="G5" s="53"/>
      <c r="H5" s="53"/>
      <c r="I5" s="53"/>
      <c r="J5" s="53"/>
      <c r="K5" s="53"/>
      <c r="L5" s="53"/>
      <c r="M5" s="53"/>
      <c r="N5" s="53"/>
      <c r="O5" s="273"/>
      <c r="P5" s="273"/>
      <c r="Q5" s="273"/>
      <c r="R5" s="273"/>
      <c r="S5" s="273"/>
      <c r="T5" s="273"/>
      <c r="U5" s="273"/>
      <c r="V5" s="273"/>
      <c r="W5" s="273"/>
      <c r="X5" s="273"/>
      <c r="Y5" s="273"/>
      <c r="Z5" s="273"/>
      <c r="AA5" s="4"/>
      <c r="AB5" s="4"/>
    </row>
    <row r="6" spans="1:59" ht="25.5" x14ac:dyDescent="0.25">
      <c r="A6" s="878" t="s">
        <v>0</v>
      </c>
      <c r="B6" s="880" t="s">
        <v>426</v>
      </c>
      <c r="C6" s="880" t="s">
        <v>427</v>
      </c>
      <c r="D6" s="306" t="s">
        <v>484</v>
      </c>
      <c r="E6" s="306" t="s">
        <v>458</v>
      </c>
      <c r="F6" s="306" t="s">
        <v>435</v>
      </c>
      <c r="G6" s="306" t="s">
        <v>436</v>
      </c>
      <c r="H6" s="306" t="s">
        <v>485</v>
      </c>
      <c r="I6" s="306" t="s">
        <v>578</v>
      </c>
      <c r="J6" s="306" t="s">
        <v>579</v>
      </c>
      <c r="K6" s="306" t="s">
        <v>989</v>
      </c>
      <c r="L6" s="306" t="s">
        <v>993</v>
      </c>
      <c r="M6" s="306" t="s">
        <v>997</v>
      </c>
      <c r="N6" s="91" t="s">
        <v>997</v>
      </c>
      <c r="O6" s="4"/>
      <c r="P6" s="4"/>
      <c r="Q6" s="4"/>
      <c r="R6" s="4"/>
      <c r="S6" s="4"/>
      <c r="T6" s="4"/>
      <c r="U6" s="4"/>
      <c r="V6" s="4"/>
      <c r="W6" s="4"/>
      <c r="X6" s="4"/>
      <c r="Y6" s="4"/>
      <c r="Z6" s="4"/>
      <c r="AA6" s="4"/>
      <c r="AB6" s="4"/>
    </row>
    <row r="7" spans="1:59" x14ac:dyDescent="0.25">
      <c r="A7" s="879"/>
      <c r="B7" s="881"/>
      <c r="C7" s="881"/>
      <c r="D7" s="307" t="s">
        <v>437</v>
      </c>
      <c r="E7" s="307" t="s">
        <v>437</v>
      </c>
      <c r="F7" s="307" t="s">
        <v>437</v>
      </c>
      <c r="G7" s="307" t="s">
        <v>437</v>
      </c>
      <c r="H7" s="307" t="s">
        <v>437</v>
      </c>
      <c r="I7" s="307" t="s">
        <v>437</v>
      </c>
      <c r="J7" s="307" t="s">
        <v>437</v>
      </c>
      <c r="K7" s="307" t="s">
        <v>437</v>
      </c>
      <c r="L7" s="307" t="s">
        <v>437</v>
      </c>
      <c r="M7" s="307" t="s">
        <v>437</v>
      </c>
      <c r="N7" s="92" t="s">
        <v>437</v>
      </c>
      <c r="O7" s="4"/>
      <c r="P7" s="4"/>
      <c r="Q7" s="4"/>
      <c r="R7" s="4"/>
      <c r="S7" s="4"/>
      <c r="T7" s="4"/>
      <c r="U7" s="4"/>
      <c r="V7" s="4"/>
      <c r="W7" s="4"/>
      <c r="X7" s="4"/>
      <c r="Y7" s="4"/>
      <c r="Z7" s="4"/>
      <c r="AA7" s="4"/>
      <c r="AB7" s="4"/>
    </row>
    <row r="8" spans="1:59" x14ac:dyDescent="0.25">
      <c r="A8" s="363" t="s">
        <v>5</v>
      </c>
      <c r="B8" s="362">
        <f>SUMIFS(Camplist_HH,Camplist_Township,'NFI Distribution (by Tship)'!$A8,Camplist_Type_Of_Acc,"Camp")</f>
        <v>1290</v>
      </c>
      <c r="C8" s="362">
        <f>SUMIFS(Camplist_Popl,Camplist_Township,'NFI Distribution (by Tship)'!$A8,Camplist_Type_Of_Acc,"Camp")</f>
        <v>7195</v>
      </c>
      <c r="D8" s="33">
        <f t="shared" ref="D8:D28" si="0">SUMIF(NFI_Township,$A8,NFI_Mosquito_Track)</f>
        <v>0</v>
      </c>
      <c r="E8" s="33">
        <f t="shared" ref="E8:E28" si="1">SUMIF(NFI_Township,$A8,NFI_Tarpaulin_Track)</f>
        <v>14</v>
      </c>
      <c r="F8" s="33">
        <f t="shared" ref="F8:F28" si="2">SUMIF(NFI_Township,$A8,NFI_Blanket_Track)</f>
        <v>0</v>
      </c>
      <c r="G8" s="33">
        <f t="shared" ref="G8:G28" si="3">SUMIF(NFI_Township,$A8,NFI_Kitchen_Track)</f>
        <v>0</v>
      </c>
      <c r="H8" s="33">
        <f t="shared" ref="H8:H28" si="4">SUMIF(NFI_Township,$A8,NFI_Clothes_Track)</f>
        <v>0</v>
      </c>
      <c r="I8" s="33">
        <f t="shared" ref="I8:I28" si="5">SUMIF(NFI_Township,$A8,NFI_Plastic_Bucket_Track)</f>
        <v>0</v>
      </c>
      <c r="J8" s="33">
        <f t="shared" ref="J8:J28" si="6">SUMIF(NFI_Township,$A8,NFI_Plastic_Mat_Track)</f>
        <v>0</v>
      </c>
      <c r="K8" s="33">
        <f t="shared" ref="K8:K28" si="7">SUMIF(NFI_Township,$A8,NFI_Winter_Clothes_Adult_Track)</f>
        <v>0</v>
      </c>
      <c r="L8" s="33">
        <f t="shared" ref="L8:L28" si="8">SUMIF(NFI_Township,$A8,NFI_Winter_Clothes_Children_Track)</f>
        <v>0</v>
      </c>
      <c r="M8" s="33">
        <f t="shared" ref="M8:M28" si="9">SUMIF(NFI_Township,$A8,NFI_Winter_Items_Other_Track)</f>
        <v>0</v>
      </c>
      <c r="N8" s="364">
        <f t="shared" ref="N8:N28" si="10">SUMIF(NFI_Township,$A8,NFI_Winter_Blanket_Track)</f>
        <v>0</v>
      </c>
      <c r="O8" s="4"/>
      <c r="P8" s="4"/>
      <c r="Q8" s="4"/>
      <c r="R8" s="4"/>
      <c r="S8" s="4"/>
      <c r="T8" s="4"/>
      <c r="U8" s="4"/>
      <c r="V8" s="4"/>
      <c r="W8" s="4"/>
      <c r="X8" s="4"/>
      <c r="Y8" s="4"/>
      <c r="Z8" s="4"/>
      <c r="AA8" s="4"/>
      <c r="AB8" s="4"/>
    </row>
    <row r="9" spans="1:59" x14ac:dyDescent="0.25">
      <c r="A9" s="363" t="s">
        <v>27</v>
      </c>
      <c r="B9" s="362">
        <f>SUMIFS(Camplist_HH,Camplist_Township,'NFI Distribution (by Tship)'!$A9,Camplist_Type_Of_Acc,"Camp")</f>
        <v>494</v>
      </c>
      <c r="C9" s="362">
        <f>SUMIFS(Camplist_Popl,Camplist_Township,'NFI Distribution (by Tship)'!$A9,Camplist_Type_Of_Acc,"Camp")</f>
        <v>2609</v>
      </c>
      <c r="D9" s="33">
        <f t="shared" si="0"/>
        <v>0</v>
      </c>
      <c r="E9" s="33">
        <f t="shared" si="1"/>
        <v>0</v>
      </c>
      <c r="F9" s="33">
        <f t="shared" si="2"/>
        <v>345</v>
      </c>
      <c r="G9" s="33">
        <f t="shared" si="3"/>
        <v>0</v>
      </c>
      <c r="H9" s="33">
        <f t="shared" si="4"/>
        <v>0</v>
      </c>
      <c r="I9" s="33">
        <f t="shared" si="5"/>
        <v>0</v>
      </c>
      <c r="J9" s="33">
        <f t="shared" si="6"/>
        <v>0</v>
      </c>
      <c r="K9" s="33">
        <f t="shared" si="7"/>
        <v>0</v>
      </c>
      <c r="L9" s="33">
        <f t="shared" si="8"/>
        <v>765</v>
      </c>
      <c r="M9" s="33">
        <f t="shared" si="9"/>
        <v>0</v>
      </c>
      <c r="N9" s="364">
        <f t="shared" si="10"/>
        <v>0</v>
      </c>
      <c r="O9" s="4"/>
      <c r="P9" s="4"/>
      <c r="Q9" s="4"/>
      <c r="R9" s="4"/>
      <c r="S9" s="4"/>
      <c r="T9" s="4"/>
      <c r="U9" s="4"/>
      <c r="V9" s="4"/>
      <c r="W9" s="4"/>
      <c r="X9" s="4"/>
      <c r="Y9" s="4"/>
      <c r="Z9" s="4"/>
      <c r="AA9" s="4"/>
      <c r="AB9" s="4"/>
    </row>
    <row r="10" spans="1:59" x14ac:dyDescent="0.25">
      <c r="A10" s="363" t="s">
        <v>528</v>
      </c>
      <c r="B10" s="362">
        <f>SUMIFS(Camplist_HH,Camplist_Township,'NFI Distribution (by Tship)'!$A10,Camplist_Type_Of_Acc,"Camp")</f>
        <v>694</v>
      </c>
      <c r="C10" s="362">
        <f>SUMIFS(Camplist_Popl,Camplist_Township,'NFI Distribution (by Tship)'!$A10,Camplist_Type_Of_Acc,"Camp")</f>
        <v>3482</v>
      </c>
      <c r="D10" s="33">
        <f t="shared" si="0"/>
        <v>0</v>
      </c>
      <c r="E10" s="33">
        <f t="shared" si="1"/>
        <v>0</v>
      </c>
      <c r="F10" s="33">
        <f t="shared" si="2"/>
        <v>0</v>
      </c>
      <c r="G10" s="33">
        <f t="shared" si="3"/>
        <v>0</v>
      </c>
      <c r="H10" s="33">
        <f t="shared" si="4"/>
        <v>0</v>
      </c>
      <c r="I10" s="33">
        <f t="shared" si="5"/>
        <v>0</v>
      </c>
      <c r="J10" s="33">
        <f t="shared" si="6"/>
        <v>0</v>
      </c>
      <c r="K10" s="33">
        <f t="shared" si="7"/>
        <v>0</v>
      </c>
      <c r="L10" s="33">
        <f t="shared" si="8"/>
        <v>0</v>
      </c>
      <c r="M10" s="33">
        <f t="shared" si="9"/>
        <v>0</v>
      </c>
      <c r="N10" s="364">
        <f t="shared" si="10"/>
        <v>0</v>
      </c>
    </row>
    <row r="11" spans="1:59" x14ac:dyDescent="0.25">
      <c r="A11" s="363" t="s">
        <v>780</v>
      </c>
      <c r="B11" s="362">
        <f>SUMIFS(Camplist_HH,Camplist_Township,'NFI Distribution (by Tship)'!$A11,Camplist_Type_Of_Acc,"Camp")</f>
        <v>58</v>
      </c>
      <c r="C11" s="362">
        <f>SUMIFS(Camplist_Popl,Camplist_Township,'NFI Distribution (by Tship)'!$A11,Camplist_Type_Of_Acc,"Camp")</f>
        <v>277</v>
      </c>
      <c r="D11" s="33">
        <f t="shared" si="0"/>
        <v>0</v>
      </c>
      <c r="E11" s="33">
        <f t="shared" si="1"/>
        <v>0</v>
      </c>
      <c r="F11" s="33">
        <f t="shared" si="2"/>
        <v>0</v>
      </c>
      <c r="G11" s="33">
        <f t="shared" si="3"/>
        <v>0</v>
      </c>
      <c r="H11" s="33">
        <f t="shared" si="4"/>
        <v>0</v>
      </c>
      <c r="I11" s="33">
        <f t="shared" si="5"/>
        <v>0</v>
      </c>
      <c r="J11" s="33">
        <f t="shared" si="6"/>
        <v>0</v>
      </c>
      <c r="K11" s="33">
        <f t="shared" si="7"/>
        <v>0</v>
      </c>
      <c r="L11" s="33">
        <f t="shared" si="8"/>
        <v>0</v>
      </c>
      <c r="M11" s="33">
        <f t="shared" si="9"/>
        <v>0</v>
      </c>
      <c r="N11" s="364">
        <f t="shared" si="10"/>
        <v>0</v>
      </c>
    </row>
    <row r="12" spans="1:59" x14ac:dyDescent="0.25">
      <c r="A12" s="363" t="s">
        <v>363</v>
      </c>
      <c r="B12" s="362">
        <f>SUMIFS(Camplist_HH,Camplist_Township,'NFI Distribution (by Tship)'!$A12,Camplist_Type_Of_Acc,"Camp")</f>
        <v>0</v>
      </c>
      <c r="C12" s="362">
        <f>SUMIFS(Camplist_Popl,Camplist_Township,'NFI Distribution (by Tship)'!$A12,Camplist_Type_Of_Acc,"Camp")</f>
        <v>0</v>
      </c>
      <c r="D12" s="33">
        <f t="shared" si="0"/>
        <v>0</v>
      </c>
      <c r="E12" s="33">
        <f t="shared" si="1"/>
        <v>0</v>
      </c>
      <c r="F12" s="33">
        <f t="shared" si="2"/>
        <v>0</v>
      </c>
      <c r="G12" s="33">
        <f t="shared" si="3"/>
        <v>0</v>
      </c>
      <c r="H12" s="33">
        <f t="shared" si="4"/>
        <v>0</v>
      </c>
      <c r="I12" s="33">
        <f t="shared" si="5"/>
        <v>0</v>
      </c>
      <c r="J12" s="33">
        <f t="shared" si="6"/>
        <v>0</v>
      </c>
      <c r="K12" s="33">
        <f t="shared" si="7"/>
        <v>0</v>
      </c>
      <c r="L12" s="33">
        <f t="shared" si="8"/>
        <v>0</v>
      </c>
      <c r="M12" s="33">
        <f t="shared" si="9"/>
        <v>0</v>
      </c>
      <c r="N12" s="364">
        <f t="shared" si="10"/>
        <v>0</v>
      </c>
    </row>
    <row r="13" spans="1:59" s="76" customFormat="1" x14ac:dyDescent="0.25">
      <c r="A13" s="363" t="s">
        <v>144</v>
      </c>
      <c r="B13" s="362">
        <f>SUMIFS(Camplist_HH,Camplist_Township,'NFI Distribution (by Tship)'!$A13,Camplist_Type_Of_Acc,"Camp")</f>
        <v>11</v>
      </c>
      <c r="C13" s="362">
        <f>SUMIFS(Camplist_Popl,Camplist_Township,'NFI Distribution (by Tship)'!$A13,Camplist_Type_Of_Acc,"Camp")</f>
        <v>17</v>
      </c>
      <c r="D13" s="33">
        <f t="shared" si="0"/>
        <v>0</v>
      </c>
      <c r="E13" s="33">
        <f t="shared" si="1"/>
        <v>0</v>
      </c>
      <c r="F13" s="33">
        <f t="shared" si="2"/>
        <v>0</v>
      </c>
      <c r="G13" s="33">
        <f t="shared" si="3"/>
        <v>0</v>
      </c>
      <c r="H13" s="33">
        <f t="shared" si="4"/>
        <v>0</v>
      </c>
      <c r="I13" s="33">
        <f t="shared" si="5"/>
        <v>0</v>
      </c>
      <c r="J13" s="33">
        <f t="shared" si="6"/>
        <v>0</v>
      </c>
      <c r="K13" s="33">
        <f t="shared" si="7"/>
        <v>0</v>
      </c>
      <c r="L13" s="33">
        <f t="shared" si="8"/>
        <v>0</v>
      </c>
      <c r="M13" s="33">
        <f t="shared" si="9"/>
        <v>0</v>
      </c>
      <c r="N13" s="364">
        <f t="shared" si="10"/>
        <v>0</v>
      </c>
    </row>
    <row r="14" spans="1:59" s="76" customFormat="1" x14ac:dyDescent="0.25">
      <c r="A14" s="363" t="s">
        <v>146</v>
      </c>
      <c r="B14" s="362">
        <f>SUMIFS(Camplist_HH,Camplist_Township,'NFI Distribution (by Tship)'!$A14,Camplist_Type_Of_Acc,"Camp")</f>
        <v>1051</v>
      </c>
      <c r="C14" s="362">
        <f>SUMIFS(Camplist_Popl,Camplist_Township,'NFI Distribution (by Tship)'!$A14,Camplist_Type_Of_Acc,"Camp")</f>
        <v>5060</v>
      </c>
      <c r="D14" s="33">
        <f t="shared" si="0"/>
        <v>600</v>
      </c>
      <c r="E14" s="33">
        <f t="shared" si="1"/>
        <v>0</v>
      </c>
      <c r="F14" s="33">
        <f t="shared" si="2"/>
        <v>0</v>
      </c>
      <c r="G14" s="33">
        <f t="shared" si="3"/>
        <v>0</v>
      </c>
      <c r="H14" s="33">
        <f t="shared" si="4"/>
        <v>0</v>
      </c>
      <c r="I14" s="33">
        <f t="shared" si="5"/>
        <v>0</v>
      </c>
      <c r="J14" s="33">
        <f t="shared" si="6"/>
        <v>0</v>
      </c>
      <c r="K14" s="33">
        <f t="shared" si="7"/>
        <v>0</v>
      </c>
      <c r="L14" s="33">
        <f t="shared" si="8"/>
        <v>0</v>
      </c>
      <c r="M14" s="33">
        <f t="shared" si="9"/>
        <v>0</v>
      </c>
      <c r="N14" s="364">
        <f t="shared" si="10"/>
        <v>0</v>
      </c>
    </row>
    <row r="15" spans="1:59" s="76" customFormat="1" x14ac:dyDescent="0.25">
      <c r="A15" s="363" t="s">
        <v>894</v>
      </c>
      <c r="B15" s="362">
        <f>SUMIFS(Camplist_HH,Camplist_Township,'NFI Distribution (by Tship)'!$A15,Camplist_Type_Of_Acc,"Camp")</f>
        <v>0</v>
      </c>
      <c r="C15" s="362">
        <f>SUMIFS(Camplist_Popl,Camplist_Township,'NFI Distribution (by Tship)'!$A15,Camplist_Type_Of_Acc,"Camp")</f>
        <v>0</v>
      </c>
      <c r="D15" s="33">
        <f t="shared" si="0"/>
        <v>0</v>
      </c>
      <c r="E15" s="33">
        <f t="shared" si="1"/>
        <v>0</v>
      </c>
      <c r="F15" s="33">
        <f t="shared" si="2"/>
        <v>0</v>
      </c>
      <c r="G15" s="33">
        <f t="shared" si="3"/>
        <v>0</v>
      </c>
      <c r="H15" s="33">
        <f t="shared" si="4"/>
        <v>0</v>
      </c>
      <c r="I15" s="33">
        <f t="shared" si="5"/>
        <v>0</v>
      </c>
      <c r="J15" s="33">
        <f t="shared" si="6"/>
        <v>0</v>
      </c>
      <c r="K15" s="33">
        <f t="shared" si="7"/>
        <v>0</v>
      </c>
      <c r="L15" s="33">
        <f t="shared" si="8"/>
        <v>0</v>
      </c>
      <c r="M15" s="33">
        <f t="shared" si="9"/>
        <v>0</v>
      </c>
      <c r="N15" s="364">
        <f t="shared" si="10"/>
        <v>0</v>
      </c>
    </row>
    <row r="16" spans="1:59" s="76" customFormat="1" x14ac:dyDescent="0.25">
      <c r="A16" s="363" t="s">
        <v>151</v>
      </c>
      <c r="B16" s="362">
        <f>SUMIFS(Camplist_HH,Camplist_Township,'NFI Distribution (by Tship)'!$A16,Camplist_Type_Of_Acc,"Camp")</f>
        <v>2519</v>
      </c>
      <c r="C16" s="362">
        <f>SUMIFS(Camplist_Popl,Camplist_Township,'NFI Distribution (by Tship)'!$A16,Camplist_Type_Of_Acc,"Camp")</f>
        <v>11540</v>
      </c>
      <c r="D16" s="33">
        <f t="shared" si="0"/>
        <v>332</v>
      </c>
      <c r="E16" s="33">
        <f t="shared" si="1"/>
        <v>210</v>
      </c>
      <c r="F16" s="33">
        <f t="shared" si="2"/>
        <v>332</v>
      </c>
      <c r="G16" s="33">
        <f t="shared" si="3"/>
        <v>185</v>
      </c>
      <c r="H16" s="33">
        <f t="shared" si="4"/>
        <v>0</v>
      </c>
      <c r="I16" s="33">
        <f t="shared" si="5"/>
        <v>185</v>
      </c>
      <c r="J16" s="33">
        <f t="shared" si="6"/>
        <v>2312.5</v>
      </c>
      <c r="K16" s="33">
        <f t="shared" si="7"/>
        <v>0</v>
      </c>
      <c r="L16" s="33">
        <f t="shared" si="8"/>
        <v>0</v>
      </c>
      <c r="M16" s="33">
        <f t="shared" si="9"/>
        <v>0</v>
      </c>
      <c r="N16" s="364">
        <f t="shared" si="10"/>
        <v>0</v>
      </c>
    </row>
    <row r="17" spans="1:15" x14ac:dyDescent="0.25">
      <c r="A17" s="363" t="s">
        <v>166</v>
      </c>
      <c r="B17" s="362">
        <f>SUMIFS(Camplist_HH,Camplist_Township,'NFI Distribution (by Tship)'!$A17,Camplist_Type_Of_Acc,"Camp")</f>
        <v>102</v>
      </c>
      <c r="C17" s="362">
        <f>SUMIFS(Camplist_Popl,Camplist_Township,'NFI Distribution (by Tship)'!$A17,Camplist_Type_Of_Acc,"Camp")</f>
        <v>504</v>
      </c>
      <c r="D17" s="33">
        <f t="shared" si="0"/>
        <v>0</v>
      </c>
      <c r="E17" s="33">
        <f t="shared" si="1"/>
        <v>0</v>
      </c>
      <c r="F17" s="33">
        <f t="shared" si="2"/>
        <v>0</v>
      </c>
      <c r="G17" s="33">
        <f t="shared" si="3"/>
        <v>0</v>
      </c>
      <c r="H17" s="33">
        <f t="shared" si="4"/>
        <v>0</v>
      </c>
      <c r="I17" s="33">
        <f t="shared" si="5"/>
        <v>0</v>
      </c>
      <c r="J17" s="33">
        <f t="shared" si="6"/>
        <v>0</v>
      </c>
      <c r="K17" s="33">
        <f t="shared" si="7"/>
        <v>0</v>
      </c>
      <c r="L17" s="33">
        <f t="shared" si="8"/>
        <v>0</v>
      </c>
      <c r="M17" s="33">
        <f t="shared" si="9"/>
        <v>0</v>
      </c>
      <c r="N17" s="364">
        <f t="shared" si="10"/>
        <v>0</v>
      </c>
    </row>
    <row r="18" spans="1:15" x14ac:dyDescent="0.25">
      <c r="A18" s="363" t="s">
        <v>173</v>
      </c>
      <c r="B18" s="362">
        <f>SUMIFS(Camplist_HH,Camplist_Township,'NFI Distribution (by Tship)'!$A18,Camplist_Type_Of_Acc,"Camp")</f>
        <v>78</v>
      </c>
      <c r="C18" s="362">
        <f>SUMIFS(Camplist_Popl,Camplist_Township,'NFI Distribution (by Tship)'!$A18,Camplist_Type_Of_Acc,"Camp")</f>
        <v>350</v>
      </c>
      <c r="D18" s="33">
        <f t="shared" si="0"/>
        <v>27</v>
      </c>
      <c r="E18" s="33">
        <f t="shared" si="1"/>
        <v>21</v>
      </c>
      <c r="F18" s="33">
        <f t="shared" si="2"/>
        <v>13</v>
      </c>
      <c r="G18" s="33">
        <f t="shared" si="3"/>
        <v>7</v>
      </c>
      <c r="H18" s="33">
        <f t="shared" si="4"/>
        <v>7</v>
      </c>
      <c r="I18" s="33">
        <f t="shared" si="5"/>
        <v>13</v>
      </c>
      <c r="J18" s="33">
        <f t="shared" si="6"/>
        <v>0</v>
      </c>
      <c r="K18" s="33">
        <f t="shared" si="7"/>
        <v>0</v>
      </c>
      <c r="L18" s="33">
        <f t="shared" si="8"/>
        <v>0</v>
      </c>
      <c r="M18" s="33">
        <f t="shared" si="9"/>
        <v>0</v>
      </c>
      <c r="N18" s="364">
        <f t="shared" si="10"/>
        <v>0</v>
      </c>
    </row>
    <row r="19" spans="1:15" x14ac:dyDescent="0.25">
      <c r="A19" s="363" t="s">
        <v>180</v>
      </c>
      <c r="B19" s="362">
        <f>SUMIFS(Camplist_HH,Camplist_Township,'NFI Distribution (by Tship)'!$A19,Camplist_Type_Of_Acc,"Camp")</f>
        <v>31</v>
      </c>
      <c r="C19" s="362">
        <f>SUMIFS(Camplist_Popl,Camplist_Township,'NFI Distribution (by Tship)'!$A19,Camplist_Type_Of_Acc,"Camp")</f>
        <v>161</v>
      </c>
      <c r="D19" s="33">
        <f t="shared" si="0"/>
        <v>0</v>
      </c>
      <c r="E19" s="33">
        <f t="shared" si="1"/>
        <v>0</v>
      </c>
      <c r="F19" s="33">
        <f t="shared" si="2"/>
        <v>0</v>
      </c>
      <c r="G19" s="33">
        <f t="shared" si="3"/>
        <v>0</v>
      </c>
      <c r="H19" s="33">
        <f t="shared" si="4"/>
        <v>0</v>
      </c>
      <c r="I19" s="33">
        <f t="shared" si="5"/>
        <v>0</v>
      </c>
      <c r="J19" s="33">
        <f t="shared" si="6"/>
        <v>0</v>
      </c>
      <c r="K19" s="33">
        <f t="shared" si="7"/>
        <v>0</v>
      </c>
      <c r="L19" s="33">
        <f t="shared" si="8"/>
        <v>0</v>
      </c>
      <c r="M19" s="33">
        <f t="shared" si="9"/>
        <v>0</v>
      </c>
      <c r="N19" s="364">
        <f t="shared" si="10"/>
        <v>0</v>
      </c>
    </row>
    <row r="20" spans="1:15" x14ac:dyDescent="0.25">
      <c r="A20" s="363" t="s">
        <v>185</v>
      </c>
      <c r="B20" s="362">
        <f>SUMIFS(Camplist_HH,Camplist_Township,'NFI Distribution (by Tship)'!$A20,Camplist_Type_Of_Acc,"Camp")</f>
        <v>2698</v>
      </c>
      <c r="C20" s="362">
        <f>SUMIFS(Camplist_Popl,Camplist_Township,'NFI Distribution (by Tship)'!$A20,Camplist_Type_Of_Acc,"Camp")</f>
        <v>14026</v>
      </c>
      <c r="D20" s="33">
        <f t="shared" si="0"/>
        <v>0</v>
      </c>
      <c r="E20" s="33">
        <f t="shared" si="1"/>
        <v>0</v>
      </c>
      <c r="F20" s="33">
        <f t="shared" si="2"/>
        <v>0</v>
      </c>
      <c r="G20" s="33">
        <f t="shared" si="3"/>
        <v>0</v>
      </c>
      <c r="H20" s="33">
        <f t="shared" si="4"/>
        <v>0</v>
      </c>
      <c r="I20" s="33">
        <f t="shared" si="5"/>
        <v>0</v>
      </c>
      <c r="J20" s="33">
        <f t="shared" si="6"/>
        <v>0</v>
      </c>
      <c r="K20" s="33">
        <f t="shared" si="7"/>
        <v>0</v>
      </c>
      <c r="L20" s="33">
        <f t="shared" si="8"/>
        <v>0</v>
      </c>
      <c r="M20" s="33">
        <f t="shared" si="9"/>
        <v>0</v>
      </c>
      <c r="N20" s="364">
        <f t="shared" si="10"/>
        <v>0</v>
      </c>
    </row>
    <row r="21" spans="1:15" x14ac:dyDescent="0.25">
      <c r="A21" s="363" t="s">
        <v>230</v>
      </c>
      <c r="B21" s="362">
        <f>SUMIFS(Camplist_HH,Camplist_Township,'NFI Distribution (by Tship)'!$A21,Camplist_Type_Of_Acc,"Camp")</f>
        <v>78</v>
      </c>
      <c r="C21" s="362">
        <f>SUMIFS(Camplist_Popl,Camplist_Township,'NFI Distribution (by Tship)'!$A21,Camplist_Type_Of_Acc,"Camp")</f>
        <v>330</v>
      </c>
      <c r="D21" s="33">
        <f>SUMIF(NFI_Township,$A21,NFI_Mosquito_Track)</f>
        <v>0</v>
      </c>
      <c r="E21" s="33">
        <f t="shared" si="1"/>
        <v>0</v>
      </c>
      <c r="F21" s="33">
        <f t="shared" si="2"/>
        <v>0</v>
      </c>
      <c r="G21" s="33">
        <f t="shared" si="3"/>
        <v>0</v>
      </c>
      <c r="H21" s="33">
        <f t="shared" si="4"/>
        <v>0</v>
      </c>
      <c r="I21" s="33">
        <f t="shared" si="5"/>
        <v>0</v>
      </c>
      <c r="J21" s="33">
        <f t="shared" si="6"/>
        <v>0</v>
      </c>
      <c r="K21" s="33">
        <f t="shared" si="7"/>
        <v>0</v>
      </c>
      <c r="L21" s="33">
        <f t="shared" si="8"/>
        <v>0</v>
      </c>
      <c r="M21" s="33">
        <f t="shared" si="9"/>
        <v>0</v>
      </c>
      <c r="N21" s="364">
        <f t="shared" si="10"/>
        <v>0</v>
      </c>
    </row>
    <row r="22" spans="1:15" x14ac:dyDescent="0.25">
      <c r="A22" s="363" t="s">
        <v>237</v>
      </c>
      <c r="B22" s="362">
        <f>SUMIFS(Camplist_HH,Camplist_Township,'NFI Distribution (by Tship)'!$A22,Camplist_Type_Of_Acc,"Camp")</f>
        <v>1409</v>
      </c>
      <c r="C22" s="362">
        <f>SUMIFS(Camplist_Popl,Camplist_Township,'NFI Distribution (by Tship)'!$A22,Camplist_Type_Of_Acc,"Camp")</f>
        <v>7181</v>
      </c>
      <c r="D22" s="33">
        <f>SUMIF(NFI_Township,$A22,NFI_Mosquito_Track)</f>
        <v>34</v>
      </c>
      <c r="E22" s="33">
        <f t="shared" si="1"/>
        <v>27</v>
      </c>
      <c r="F22" s="33">
        <f t="shared" si="2"/>
        <v>27</v>
      </c>
      <c r="G22" s="33">
        <f t="shared" si="3"/>
        <v>22</v>
      </c>
      <c r="H22" s="33">
        <f t="shared" si="4"/>
        <v>0</v>
      </c>
      <c r="I22" s="33">
        <f t="shared" si="5"/>
        <v>22</v>
      </c>
      <c r="J22" s="33">
        <f t="shared" si="6"/>
        <v>197.5</v>
      </c>
      <c r="K22" s="33">
        <f t="shared" si="7"/>
        <v>0</v>
      </c>
      <c r="L22" s="33">
        <f t="shared" si="8"/>
        <v>0</v>
      </c>
      <c r="M22" s="33">
        <f t="shared" si="9"/>
        <v>0</v>
      </c>
      <c r="N22" s="364">
        <f t="shared" si="10"/>
        <v>88</v>
      </c>
    </row>
    <row r="23" spans="1:15" x14ac:dyDescent="0.25">
      <c r="A23" s="363" t="s">
        <v>289</v>
      </c>
      <c r="B23" s="362">
        <f>SUMIFS(Camplist_HH,Camplist_Township,'NFI Distribution (by Tship)'!$A23,Camplist_Type_Of_Acc,"Camp")</f>
        <v>601</v>
      </c>
      <c r="C23" s="362">
        <f>SUMIFS(Camplist_Popl,Camplist_Township,'NFI Distribution (by Tship)'!$A23,Camplist_Type_Of_Acc,"Camp")</f>
        <v>2805</v>
      </c>
      <c r="D23" s="33">
        <f>SUMIF(NFI_Township,$A23,NFI_Mosquito_Track)</f>
        <v>126</v>
      </c>
      <c r="E23" s="33">
        <f t="shared" si="1"/>
        <v>0</v>
      </c>
      <c r="F23" s="33">
        <f t="shared" si="2"/>
        <v>126</v>
      </c>
      <c r="G23" s="33">
        <f t="shared" si="3"/>
        <v>64</v>
      </c>
      <c r="H23" s="33">
        <f t="shared" si="4"/>
        <v>0</v>
      </c>
      <c r="I23" s="33">
        <f t="shared" si="5"/>
        <v>0</v>
      </c>
      <c r="J23" s="33">
        <f t="shared" si="6"/>
        <v>305</v>
      </c>
      <c r="K23" s="33">
        <f t="shared" si="7"/>
        <v>0</v>
      </c>
      <c r="L23" s="33">
        <f t="shared" si="8"/>
        <v>0</v>
      </c>
      <c r="M23" s="33">
        <f t="shared" si="9"/>
        <v>0</v>
      </c>
      <c r="N23" s="364">
        <f t="shared" si="10"/>
        <v>0</v>
      </c>
    </row>
    <row r="24" spans="1:15" x14ac:dyDescent="0.25">
      <c r="A24" s="363" t="s">
        <v>298</v>
      </c>
      <c r="B24" s="362">
        <f>SUMIFS(Camplist_HH,Camplist_Township,'NFI Distribution (by Tship)'!$A24,Camplist_Type_Of_Acc,"Camp")</f>
        <v>28</v>
      </c>
      <c r="C24" s="362">
        <f>SUMIFS(Camplist_Popl,Camplist_Township,'NFI Distribution (by Tship)'!$A24,Camplist_Type_Of_Acc,"Camp")</f>
        <v>119</v>
      </c>
      <c r="D24" s="33">
        <f>SUMIF(NFI_Township,$A24,NFI_Mosquito_Track)</f>
        <v>35</v>
      </c>
      <c r="E24" s="33">
        <f t="shared" si="1"/>
        <v>0</v>
      </c>
      <c r="F24" s="33">
        <f t="shared" si="2"/>
        <v>35</v>
      </c>
      <c r="G24" s="33">
        <f t="shared" si="3"/>
        <v>18</v>
      </c>
      <c r="H24" s="33">
        <f t="shared" si="4"/>
        <v>0</v>
      </c>
      <c r="I24" s="33">
        <f t="shared" si="5"/>
        <v>18</v>
      </c>
      <c r="J24" s="33">
        <f t="shared" si="6"/>
        <v>205</v>
      </c>
      <c r="K24" s="33">
        <f t="shared" si="7"/>
        <v>0</v>
      </c>
      <c r="L24" s="33">
        <f t="shared" si="8"/>
        <v>0</v>
      </c>
      <c r="M24" s="33">
        <f t="shared" si="9"/>
        <v>0</v>
      </c>
      <c r="N24" s="364">
        <f t="shared" si="10"/>
        <v>0</v>
      </c>
    </row>
    <row r="25" spans="1:15" x14ac:dyDescent="0.25">
      <c r="A25" s="363" t="s">
        <v>300</v>
      </c>
      <c r="B25" s="362">
        <f>SUMIFS(Camplist_HH,Camplist_Township,'NFI Distribution (by Tship)'!$A25,Camplist_Type_Of_Acc,"Camp")</f>
        <v>59</v>
      </c>
      <c r="C25" s="362">
        <f>SUMIFS(Camplist_Popl,Camplist_Township,'NFI Distribution (by Tship)'!$A25,Camplist_Type_Of_Acc,"Camp")</f>
        <v>370</v>
      </c>
      <c r="D25" s="33">
        <f t="shared" si="0"/>
        <v>0</v>
      </c>
      <c r="E25" s="33">
        <f t="shared" si="1"/>
        <v>0</v>
      </c>
      <c r="F25" s="33">
        <f t="shared" si="2"/>
        <v>0</v>
      </c>
      <c r="G25" s="33">
        <f t="shared" si="3"/>
        <v>0</v>
      </c>
      <c r="H25" s="33">
        <f t="shared" si="4"/>
        <v>0</v>
      </c>
      <c r="I25" s="33">
        <f>SUMIF(NFI_Township,$A25,NFI_Plastic_Bucket_Track)</f>
        <v>0</v>
      </c>
      <c r="J25" s="33">
        <f t="shared" si="6"/>
        <v>0</v>
      </c>
      <c r="K25" s="33">
        <f t="shared" si="7"/>
        <v>0</v>
      </c>
      <c r="L25" s="33">
        <f t="shared" si="8"/>
        <v>0</v>
      </c>
      <c r="M25" s="33">
        <f t="shared" si="9"/>
        <v>0</v>
      </c>
      <c r="N25" s="364">
        <f t="shared" si="10"/>
        <v>0</v>
      </c>
    </row>
    <row r="26" spans="1:15" s="76" customFormat="1" x14ac:dyDescent="0.25">
      <c r="A26" s="363" t="s">
        <v>302</v>
      </c>
      <c r="B26" s="362">
        <f>SUMIFS(Camplist_HH,Camplist_Township,'NFI Distribution (by Tship)'!$A26,Camplist_Type_Of_Acc,"Camp")</f>
        <v>127</v>
      </c>
      <c r="C26" s="362">
        <f>SUMIFS(Camplist_Popl,Camplist_Township,'NFI Distribution (by Tship)'!$A26,Camplist_Type_Of_Acc,"Camp")</f>
        <v>465</v>
      </c>
      <c r="D26" s="33">
        <f t="shared" si="0"/>
        <v>0</v>
      </c>
      <c r="E26" s="33">
        <f t="shared" si="1"/>
        <v>17</v>
      </c>
      <c r="F26" s="33">
        <f t="shared" si="2"/>
        <v>51</v>
      </c>
      <c r="G26" s="33">
        <f t="shared" si="3"/>
        <v>17</v>
      </c>
      <c r="H26" s="33">
        <f t="shared" si="4"/>
        <v>0</v>
      </c>
      <c r="I26" s="33">
        <f t="shared" si="5"/>
        <v>16</v>
      </c>
      <c r="J26" s="33">
        <f t="shared" si="6"/>
        <v>152.5</v>
      </c>
      <c r="K26" s="33">
        <f t="shared" si="7"/>
        <v>0</v>
      </c>
      <c r="L26" s="33">
        <f t="shared" si="8"/>
        <v>0</v>
      </c>
      <c r="M26" s="33">
        <f t="shared" si="9"/>
        <v>0</v>
      </c>
      <c r="N26" s="364">
        <f t="shared" si="10"/>
        <v>0</v>
      </c>
    </row>
    <row r="27" spans="1:15" s="76" customFormat="1" x14ac:dyDescent="0.25">
      <c r="A27" s="363" t="s">
        <v>809</v>
      </c>
      <c r="B27" s="362">
        <f>SUMIFS(Camplist_HH,Camplist_Township,'NFI Distribution (by Tship)'!$A27,Camplist_Type_Of_Acc,"Camp")</f>
        <v>166</v>
      </c>
      <c r="C27" s="362">
        <f>SUMIFS(Camplist_Popl,Camplist_Township,'NFI Distribution (by Tship)'!$A27,Camplist_Type_Of_Acc,"Camp")</f>
        <v>1232</v>
      </c>
      <c r="D27" s="33">
        <f t="shared" si="0"/>
        <v>0</v>
      </c>
      <c r="E27" s="33">
        <f t="shared" si="1"/>
        <v>0</v>
      </c>
      <c r="F27" s="33">
        <f t="shared" si="2"/>
        <v>0</v>
      </c>
      <c r="G27" s="33">
        <f t="shared" si="3"/>
        <v>0</v>
      </c>
      <c r="H27" s="33">
        <f t="shared" si="4"/>
        <v>0</v>
      </c>
      <c r="I27" s="33">
        <f t="shared" si="5"/>
        <v>0</v>
      </c>
      <c r="J27" s="33">
        <f t="shared" si="6"/>
        <v>0</v>
      </c>
      <c r="K27" s="33">
        <f t="shared" si="7"/>
        <v>0</v>
      </c>
      <c r="L27" s="33">
        <f t="shared" si="8"/>
        <v>0</v>
      </c>
      <c r="M27" s="33">
        <f t="shared" si="9"/>
        <v>0</v>
      </c>
      <c r="N27" s="364">
        <f t="shared" si="10"/>
        <v>0</v>
      </c>
    </row>
    <row r="28" spans="1:15" x14ac:dyDescent="0.25">
      <c r="A28" s="363" t="s">
        <v>310</v>
      </c>
      <c r="B28" s="362">
        <f>SUMIFS(Camplist_HH,Camplist_Township,'NFI Distribution (by Tship)'!$A28,Camplist_Type_Of_Acc,"Camp")</f>
        <v>6298</v>
      </c>
      <c r="C28" s="362">
        <f>SUMIFS(Camplist_Popl,Camplist_Township,'NFI Distribution (by Tship)'!$A28,Camplist_Type_Of_Acc,"Camp")</f>
        <v>31427</v>
      </c>
      <c r="D28" s="33">
        <f t="shared" si="0"/>
        <v>41</v>
      </c>
      <c r="E28" s="33">
        <f t="shared" si="1"/>
        <v>16</v>
      </c>
      <c r="F28" s="33">
        <f t="shared" si="2"/>
        <v>41</v>
      </c>
      <c r="G28" s="33">
        <f t="shared" si="3"/>
        <v>16</v>
      </c>
      <c r="H28" s="33">
        <f t="shared" si="4"/>
        <v>0</v>
      </c>
      <c r="I28" s="33">
        <f t="shared" si="5"/>
        <v>16</v>
      </c>
      <c r="J28" s="33">
        <f t="shared" si="6"/>
        <v>200</v>
      </c>
      <c r="K28" s="33">
        <f t="shared" si="7"/>
        <v>710</v>
      </c>
      <c r="L28" s="33">
        <f t="shared" si="8"/>
        <v>1380</v>
      </c>
      <c r="M28" s="33">
        <f t="shared" si="9"/>
        <v>0</v>
      </c>
      <c r="N28" s="364">
        <f t="shared" si="10"/>
        <v>346</v>
      </c>
    </row>
    <row r="29" spans="1:15" ht="21" customHeight="1" thickBot="1" x14ac:dyDescent="0.3">
      <c r="A29" s="94" t="s">
        <v>3</v>
      </c>
      <c r="B29" s="95">
        <f t="shared" ref="B29:N29" si="11">SUM(B8:B28)</f>
        <v>17792</v>
      </c>
      <c r="C29" s="95">
        <f t="shared" si="11"/>
        <v>89150</v>
      </c>
      <c r="D29" s="95">
        <f t="shared" si="11"/>
        <v>1195</v>
      </c>
      <c r="E29" s="95">
        <f t="shared" si="11"/>
        <v>305</v>
      </c>
      <c r="F29" s="95">
        <f t="shared" si="11"/>
        <v>970</v>
      </c>
      <c r="G29" s="95">
        <f t="shared" si="11"/>
        <v>329</v>
      </c>
      <c r="H29" s="95">
        <f t="shared" si="11"/>
        <v>7</v>
      </c>
      <c r="I29" s="95">
        <f t="shared" si="11"/>
        <v>270</v>
      </c>
      <c r="J29" s="365">
        <f t="shared" si="11"/>
        <v>3372.5</v>
      </c>
      <c r="K29" s="95">
        <f t="shared" si="11"/>
        <v>710</v>
      </c>
      <c r="L29" s="95">
        <f t="shared" si="11"/>
        <v>2145</v>
      </c>
      <c r="M29" s="95">
        <f t="shared" si="11"/>
        <v>0</v>
      </c>
      <c r="N29" s="96">
        <f t="shared" si="11"/>
        <v>434</v>
      </c>
    </row>
    <row r="30" spans="1:15" s="122" customFormat="1" ht="21" hidden="1" customHeight="1" x14ac:dyDescent="0.25">
      <c r="A30" s="142"/>
      <c r="B30" s="142"/>
      <c r="C30" s="142"/>
      <c r="D30" s="142"/>
      <c r="E30" s="142"/>
      <c r="F30" s="142"/>
      <c r="G30" s="142"/>
      <c r="H30" s="142"/>
      <c r="I30" s="142"/>
      <c r="J30" s="142"/>
      <c r="K30" s="142"/>
      <c r="L30" s="142"/>
      <c r="M30" s="142"/>
      <c r="N30" s="142"/>
    </row>
    <row r="31" spans="1:15" s="76" customFormat="1" ht="21" hidden="1" customHeight="1" thickBot="1" x14ac:dyDescent="0.3">
      <c r="A31"/>
      <c r="B31"/>
      <c r="C31"/>
      <c r="D31"/>
      <c r="E31"/>
      <c r="F31"/>
      <c r="G31"/>
      <c r="H31"/>
      <c r="I31"/>
      <c r="J31"/>
    </row>
    <row r="32" spans="1:15" s="76" customFormat="1" ht="21" hidden="1" customHeight="1" x14ac:dyDescent="0.25">
      <c r="A32" s="878" t="s">
        <v>0</v>
      </c>
      <c r="B32" s="880" t="s">
        <v>426</v>
      </c>
      <c r="C32" s="880" t="s">
        <v>427</v>
      </c>
      <c r="D32" s="883" t="s">
        <v>456</v>
      </c>
      <c r="E32" s="883"/>
      <c r="F32" s="883"/>
      <c r="G32" s="884"/>
      <c r="H32" s="123" t="s">
        <v>404</v>
      </c>
      <c r="I32" s="124"/>
      <c r="J32" s="124"/>
      <c r="K32" s="125"/>
      <c r="L32" s="882" t="s">
        <v>457</v>
      </c>
      <c r="M32" s="883"/>
      <c r="N32" s="883"/>
      <c r="O32" s="884"/>
    </row>
    <row r="33" spans="1:15" s="76" customFormat="1" ht="21" hidden="1" customHeight="1" x14ac:dyDescent="0.25">
      <c r="A33" s="879"/>
      <c r="B33" s="881"/>
      <c r="C33" s="881"/>
      <c r="D33" s="86" t="s">
        <v>437</v>
      </c>
      <c r="E33" s="87" t="s">
        <v>440</v>
      </c>
      <c r="F33" s="87" t="s">
        <v>410</v>
      </c>
      <c r="G33" s="12" t="s">
        <v>438</v>
      </c>
      <c r="H33" s="87" t="s">
        <v>437</v>
      </c>
      <c r="I33" s="87" t="s">
        <v>440</v>
      </c>
      <c r="J33" s="87" t="s">
        <v>410</v>
      </c>
      <c r="K33" s="12" t="s">
        <v>438</v>
      </c>
      <c r="L33" s="87" t="s">
        <v>437</v>
      </c>
      <c r="M33" s="87" t="s">
        <v>440</v>
      </c>
      <c r="N33" s="87" t="s">
        <v>410</v>
      </c>
      <c r="O33" s="12" t="s">
        <v>438</v>
      </c>
    </row>
    <row r="34" spans="1:15" s="76" customFormat="1" ht="21" hidden="1" customHeight="1" x14ac:dyDescent="0.25">
      <c r="A34" s="93" t="s">
        <v>5</v>
      </c>
      <c r="B34" s="8">
        <f>SUMIF(Camplist_Township,'NFI Distribution (by Tship)'!$A34,Camplist_HH)</f>
        <v>1501</v>
      </c>
      <c r="C34" s="8">
        <f>SUMIF(Camplist_Township,'NFI Distribution (by Tship)'!$A34,Camplist_Popl)</f>
        <v>8184</v>
      </c>
      <c r="D34" s="89">
        <f t="shared" ref="D34:D53" si="12">SUMIF(NFI_Township,$A34,NFI_Hygiene_Track)</f>
        <v>0</v>
      </c>
      <c r="E34" s="8">
        <f t="shared" ref="E34:E53" si="13">SUMIF(NFI_Pipeline_Township,$A34,NFI_Hygiene_Stock)</f>
        <v>0</v>
      </c>
      <c r="F34" s="8">
        <f t="shared" ref="F34:F53" si="14">SUMIF(NFI_Pipeline_Township,$A32,NFI_Hygiene_Pipeline)</f>
        <v>0</v>
      </c>
      <c r="G34" s="13">
        <f t="shared" ref="G34:G53" si="15">IF(B34-(D34+E34+F34)&lt;0,0,B34-(D34+E34+F34))</f>
        <v>1501</v>
      </c>
      <c r="H34" s="7">
        <f t="shared" ref="H34:H53" si="16">SUMIF(NFI_Township,$A34,NFI_Core_Track)</f>
        <v>0</v>
      </c>
      <c r="I34" s="7">
        <f t="shared" ref="I34:I53" si="17">SUMIF(NFI_Pipeline_Township,$A34,NFI_Core_Stock)</f>
        <v>609</v>
      </c>
      <c r="J34" s="7">
        <f t="shared" ref="J34:J53" si="18">SUMIF(NFI_Pipeline_Township,$A32,NFI_Core_Pipeline)</f>
        <v>0</v>
      </c>
      <c r="K34" s="15">
        <f t="shared" ref="K34:K53" si="19">IF(B34-(H34+I34+J34)&lt;0,0,B34-(H34+I34+J34))</f>
        <v>892</v>
      </c>
      <c r="L34" s="7">
        <f t="shared" ref="L34:L53" si="20">SUMIF(NFI_Township,$A34,NFI_Sanitary_Track)</f>
        <v>1539</v>
      </c>
      <c r="M34" s="7">
        <f t="shared" ref="M34:M53" si="21">SUMIF(NFI_Pipeline_Township,$A34,NFI_Sanitary_Stock)</f>
        <v>309</v>
      </c>
      <c r="N34" s="7">
        <f t="shared" ref="N34:N53" si="22">SUMIF(NFI_Pipeline_Township,$A32,NFI_Sanitary_Pipeline)</f>
        <v>0</v>
      </c>
      <c r="O34" s="15">
        <f t="shared" ref="O34:O53" si="23">IF(B34-(L34+M34+N34)&lt;0,0,B34-(L34+M34+N34))</f>
        <v>0</v>
      </c>
    </row>
    <row r="35" spans="1:15" s="76" customFormat="1" ht="21" hidden="1" customHeight="1" x14ac:dyDescent="0.25">
      <c r="A35" s="93" t="s">
        <v>27</v>
      </c>
      <c r="B35" s="8">
        <f>SUMIF(Camplist_Township,'NFI Distribution (by Tship)'!$A35,Camplist_HH)</f>
        <v>494</v>
      </c>
      <c r="C35" s="8">
        <f>SUMIF(Camplist_Township,'NFI Distribution (by Tship)'!$A35,Camplist_Popl)</f>
        <v>2609</v>
      </c>
      <c r="D35" s="89">
        <f t="shared" si="12"/>
        <v>0</v>
      </c>
      <c r="E35" s="8">
        <f t="shared" si="13"/>
        <v>0</v>
      </c>
      <c r="F35" s="8">
        <f t="shared" si="14"/>
        <v>0</v>
      </c>
      <c r="G35" s="13">
        <f t="shared" si="15"/>
        <v>494</v>
      </c>
      <c r="H35" s="7">
        <f t="shared" si="16"/>
        <v>0</v>
      </c>
      <c r="I35" s="7">
        <f t="shared" si="17"/>
        <v>0</v>
      </c>
      <c r="J35" s="7">
        <f t="shared" si="18"/>
        <v>0</v>
      </c>
      <c r="K35" s="15">
        <f t="shared" si="19"/>
        <v>494</v>
      </c>
      <c r="L35" s="7">
        <f t="shared" si="20"/>
        <v>0</v>
      </c>
      <c r="M35" s="7">
        <f t="shared" si="21"/>
        <v>0</v>
      </c>
      <c r="N35" s="7">
        <f t="shared" si="22"/>
        <v>0</v>
      </c>
      <c r="O35" s="15">
        <f t="shared" si="23"/>
        <v>494</v>
      </c>
    </row>
    <row r="36" spans="1:15" s="76" customFormat="1" ht="21" hidden="1" customHeight="1" x14ac:dyDescent="0.25">
      <c r="A36" s="93" t="s">
        <v>528</v>
      </c>
      <c r="B36" s="8">
        <f>SUMIF(Camplist_Township,'NFI Distribution (by Tship)'!$A36,Camplist_HH)</f>
        <v>694</v>
      </c>
      <c r="C36" s="8">
        <f>SUMIF(Camplist_Township,'NFI Distribution (by Tship)'!$A36,Camplist_Popl)</f>
        <v>3482</v>
      </c>
      <c r="D36" s="89">
        <f t="shared" si="12"/>
        <v>0</v>
      </c>
      <c r="E36" s="8">
        <f t="shared" si="13"/>
        <v>0</v>
      </c>
      <c r="F36" s="8">
        <f t="shared" si="14"/>
        <v>0</v>
      </c>
      <c r="G36" s="13">
        <f t="shared" si="15"/>
        <v>694</v>
      </c>
      <c r="H36" s="7">
        <f t="shared" si="16"/>
        <v>0</v>
      </c>
      <c r="I36" s="7">
        <f t="shared" si="17"/>
        <v>0</v>
      </c>
      <c r="J36" s="7">
        <f t="shared" si="18"/>
        <v>0</v>
      </c>
      <c r="K36" s="15">
        <f t="shared" si="19"/>
        <v>694</v>
      </c>
      <c r="L36" s="7">
        <f t="shared" si="20"/>
        <v>0</v>
      </c>
      <c r="M36" s="7">
        <f t="shared" si="21"/>
        <v>0</v>
      </c>
      <c r="N36" s="7">
        <f t="shared" si="22"/>
        <v>0</v>
      </c>
      <c r="O36" s="15">
        <f t="shared" si="23"/>
        <v>694</v>
      </c>
    </row>
    <row r="37" spans="1:15" s="76" customFormat="1" ht="21" hidden="1" customHeight="1" x14ac:dyDescent="0.25">
      <c r="A37" s="93" t="s">
        <v>780</v>
      </c>
      <c r="B37" s="8">
        <f>SUMIF(Camplist_Township,'NFI Distribution (by Tship)'!$A37,Camplist_HH)</f>
        <v>125</v>
      </c>
      <c r="C37" s="8">
        <f>SUMIF(Camplist_Township,'NFI Distribution (by Tship)'!$A37,Camplist_Popl)</f>
        <v>669</v>
      </c>
      <c r="D37" s="89">
        <f t="shared" si="12"/>
        <v>0</v>
      </c>
      <c r="E37" s="8">
        <f t="shared" si="13"/>
        <v>0</v>
      </c>
      <c r="F37" s="8">
        <f t="shared" si="14"/>
        <v>0</v>
      </c>
      <c r="G37" s="13">
        <f t="shared" si="15"/>
        <v>125</v>
      </c>
      <c r="H37" s="7">
        <f t="shared" si="16"/>
        <v>0</v>
      </c>
      <c r="I37" s="7">
        <f t="shared" si="17"/>
        <v>0</v>
      </c>
      <c r="J37" s="7">
        <f t="shared" si="18"/>
        <v>0</v>
      </c>
      <c r="K37" s="15">
        <f t="shared" si="19"/>
        <v>125</v>
      </c>
      <c r="L37" s="7">
        <f t="shared" si="20"/>
        <v>0</v>
      </c>
      <c r="M37" s="7">
        <f t="shared" si="21"/>
        <v>0</v>
      </c>
      <c r="N37" s="7">
        <f t="shared" si="22"/>
        <v>0</v>
      </c>
      <c r="O37" s="15">
        <f t="shared" si="23"/>
        <v>125</v>
      </c>
    </row>
    <row r="38" spans="1:15" s="76" customFormat="1" ht="21" hidden="1" customHeight="1" x14ac:dyDescent="0.25">
      <c r="A38" s="93" t="s">
        <v>363</v>
      </c>
      <c r="B38" s="8">
        <f>SUMIF(Camplist_Township,'NFI Distribution (by Tship)'!$A38,Camplist_HH)</f>
        <v>0</v>
      </c>
      <c r="C38" s="8">
        <f>SUMIF(Camplist_Township,'NFI Distribution (by Tship)'!$A38,Camplist_Popl)</f>
        <v>0</v>
      </c>
      <c r="D38" s="89">
        <f t="shared" si="12"/>
        <v>0</v>
      </c>
      <c r="E38" s="8">
        <f t="shared" si="13"/>
        <v>0</v>
      </c>
      <c r="F38" s="8">
        <f t="shared" si="14"/>
        <v>0</v>
      </c>
      <c r="G38" s="13">
        <f t="shared" si="15"/>
        <v>0</v>
      </c>
      <c r="H38" s="7">
        <f t="shared" si="16"/>
        <v>0</v>
      </c>
      <c r="I38" s="7">
        <f t="shared" si="17"/>
        <v>0</v>
      </c>
      <c r="J38" s="7">
        <f t="shared" si="18"/>
        <v>0</v>
      </c>
      <c r="K38" s="15">
        <f t="shared" si="19"/>
        <v>0</v>
      </c>
      <c r="L38" s="7">
        <f t="shared" si="20"/>
        <v>0</v>
      </c>
      <c r="M38" s="7">
        <f t="shared" si="21"/>
        <v>0</v>
      </c>
      <c r="N38" s="7">
        <f t="shared" si="22"/>
        <v>0</v>
      </c>
      <c r="O38" s="15">
        <f t="shared" si="23"/>
        <v>0</v>
      </c>
    </row>
    <row r="39" spans="1:15" s="76" customFormat="1" ht="21" hidden="1" customHeight="1" x14ac:dyDescent="0.25">
      <c r="A39" s="93" t="s">
        <v>144</v>
      </c>
      <c r="B39" s="8">
        <f>SUMIF(Camplist_Township,'NFI Distribution (by Tship)'!$A39,Camplist_HH)</f>
        <v>11</v>
      </c>
      <c r="C39" s="8">
        <f>SUMIF(Camplist_Township,'NFI Distribution (by Tship)'!$A39,Camplist_Popl)</f>
        <v>17</v>
      </c>
      <c r="D39" s="89">
        <f t="shared" si="12"/>
        <v>0</v>
      </c>
      <c r="E39" s="8">
        <f t="shared" si="13"/>
        <v>0</v>
      </c>
      <c r="F39" s="8">
        <f t="shared" si="14"/>
        <v>0</v>
      </c>
      <c r="G39" s="13">
        <f t="shared" si="15"/>
        <v>11</v>
      </c>
      <c r="H39" s="7">
        <f t="shared" si="16"/>
        <v>0</v>
      </c>
      <c r="I39" s="7">
        <f t="shared" si="17"/>
        <v>0</v>
      </c>
      <c r="J39" s="7">
        <f t="shared" si="18"/>
        <v>0</v>
      </c>
      <c r="K39" s="15">
        <f t="shared" si="19"/>
        <v>11</v>
      </c>
      <c r="L39" s="7">
        <f t="shared" si="20"/>
        <v>0</v>
      </c>
      <c r="M39" s="7">
        <f t="shared" si="21"/>
        <v>0</v>
      </c>
      <c r="N39" s="7">
        <f t="shared" si="22"/>
        <v>0</v>
      </c>
      <c r="O39" s="15">
        <f t="shared" si="23"/>
        <v>11</v>
      </c>
    </row>
    <row r="40" spans="1:15" s="76" customFormat="1" ht="21" hidden="1" customHeight="1" x14ac:dyDescent="0.25">
      <c r="A40" s="93" t="s">
        <v>146</v>
      </c>
      <c r="B40" s="8">
        <f>SUMIF(Camplist_Township,'NFI Distribution (by Tship)'!$A40,Camplist_HH)</f>
        <v>1051</v>
      </c>
      <c r="C40" s="8">
        <f>SUMIF(Camplist_Township,'NFI Distribution (by Tship)'!$A40,Camplist_Popl)</f>
        <v>5060</v>
      </c>
      <c r="D40" s="89">
        <f t="shared" si="12"/>
        <v>0</v>
      </c>
      <c r="E40" s="8">
        <f t="shared" si="13"/>
        <v>0</v>
      </c>
      <c r="F40" s="8">
        <f t="shared" si="14"/>
        <v>0</v>
      </c>
      <c r="G40" s="13">
        <f t="shared" si="15"/>
        <v>1051</v>
      </c>
      <c r="H40" s="7">
        <f t="shared" si="16"/>
        <v>0</v>
      </c>
      <c r="I40" s="7">
        <f t="shared" si="17"/>
        <v>0</v>
      </c>
      <c r="J40" s="7">
        <f t="shared" si="18"/>
        <v>0</v>
      </c>
      <c r="K40" s="15">
        <f t="shared" si="19"/>
        <v>1051</v>
      </c>
      <c r="L40" s="7">
        <f t="shared" si="20"/>
        <v>0</v>
      </c>
      <c r="M40" s="7">
        <f t="shared" si="21"/>
        <v>0</v>
      </c>
      <c r="N40" s="7">
        <f t="shared" si="22"/>
        <v>0</v>
      </c>
      <c r="O40" s="15">
        <f t="shared" si="23"/>
        <v>1051</v>
      </c>
    </row>
    <row r="41" spans="1:15" s="76" customFormat="1" ht="21" hidden="1" customHeight="1" x14ac:dyDescent="0.25">
      <c r="A41" s="93" t="s">
        <v>151</v>
      </c>
      <c r="B41" s="8">
        <f>SUMIF(Camplist_Township,'NFI Distribution (by Tship)'!$A41,Camplist_HH)</f>
        <v>2770</v>
      </c>
      <c r="C41" s="8">
        <f>SUMIF(Camplist_Township,'NFI Distribution (by Tship)'!$A41,Camplist_Popl)</f>
        <v>12630</v>
      </c>
      <c r="D41" s="89">
        <f t="shared" si="12"/>
        <v>25</v>
      </c>
      <c r="E41" s="8">
        <f t="shared" si="13"/>
        <v>0</v>
      </c>
      <c r="F41" s="8">
        <f t="shared" si="14"/>
        <v>0</v>
      </c>
      <c r="G41" s="13">
        <f t="shared" si="15"/>
        <v>2745</v>
      </c>
      <c r="H41" s="7">
        <f t="shared" si="16"/>
        <v>102</v>
      </c>
      <c r="I41" s="7">
        <f t="shared" si="17"/>
        <v>0</v>
      </c>
      <c r="J41" s="7">
        <f t="shared" si="18"/>
        <v>0</v>
      </c>
      <c r="K41" s="15">
        <f t="shared" si="19"/>
        <v>2668</v>
      </c>
      <c r="L41" s="7">
        <f t="shared" si="20"/>
        <v>600</v>
      </c>
      <c r="M41" s="7">
        <f t="shared" si="21"/>
        <v>0</v>
      </c>
      <c r="N41" s="7">
        <f t="shared" si="22"/>
        <v>0</v>
      </c>
      <c r="O41" s="15">
        <f t="shared" si="23"/>
        <v>2170</v>
      </c>
    </row>
    <row r="42" spans="1:15" s="76" customFormat="1" ht="21" hidden="1" customHeight="1" x14ac:dyDescent="0.25">
      <c r="A42" s="93" t="s">
        <v>166</v>
      </c>
      <c r="B42" s="8">
        <f>SUMIF(Camplist_Township,'NFI Distribution (by Tship)'!$A42,Camplist_HH)</f>
        <v>102</v>
      </c>
      <c r="C42" s="8">
        <f>SUMIF(Camplist_Township,'NFI Distribution (by Tship)'!$A42,Camplist_Popl)</f>
        <v>504</v>
      </c>
      <c r="D42" s="89">
        <f t="shared" si="12"/>
        <v>0</v>
      </c>
      <c r="E42" s="8">
        <f t="shared" si="13"/>
        <v>0</v>
      </c>
      <c r="F42" s="8">
        <f t="shared" si="14"/>
        <v>0</v>
      </c>
      <c r="G42" s="13">
        <f t="shared" si="15"/>
        <v>102</v>
      </c>
      <c r="H42" s="7">
        <f t="shared" si="16"/>
        <v>0</v>
      </c>
      <c r="I42" s="7">
        <f t="shared" si="17"/>
        <v>0</v>
      </c>
      <c r="J42" s="7">
        <f t="shared" si="18"/>
        <v>0</v>
      </c>
      <c r="K42" s="15">
        <f t="shared" si="19"/>
        <v>102</v>
      </c>
      <c r="L42" s="7">
        <f t="shared" si="20"/>
        <v>0</v>
      </c>
      <c r="M42" s="7">
        <f t="shared" si="21"/>
        <v>0</v>
      </c>
      <c r="N42" s="7">
        <f t="shared" si="22"/>
        <v>0</v>
      </c>
      <c r="O42" s="15">
        <f t="shared" si="23"/>
        <v>102</v>
      </c>
    </row>
    <row r="43" spans="1:15" s="76" customFormat="1" ht="21" hidden="1" customHeight="1" x14ac:dyDescent="0.25">
      <c r="A43" s="93" t="s">
        <v>173</v>
      </c>
      <c r="B43" s="8">
        <f>SUMIF(Camplist_Township,'NFI Distribution (by Tship)'!$A43,Camplist_HH)</f>
        <v>102</v>
      </c>
      <c r="C43" s="8">
        <f>SUMIF(Camplist_Township,'NFI Distribution (by Tship)'!$A43,Camplist_Popl)</f>
        <v>433</v>
      </c>
      <c r="D43" s="89">
        <f t="shared" si="12"/>
        <v>0</v>
      </c>
      <c r="E43" s="8">
        <f t="shared" si="13"/>
        <v>0</v>
      </c>
      <c r="F43" s="8">
        <f t="shared" si="14"/>
        <v>0</v>
      </c>
      <c r="G43" s="13">
        <f t="shared" si="15"/>
        <v>102</v>
      </c>
      <c r="H43" s="7">
        <f t="shared" si="16"/>
        <v>7</v>
      </c>
      <c r="I43" s="7">
        <f t="shared" si="17"/>
        <v>0</v>
      </c>
      <c r="J43" s="7">
        <f t="shared" si="18"/>
        <v>0</v>
      </c>
      <c r="K43" s="15">
        <f t="shared" si="19"/>
        <v>95</v>
      </c>
      <c r="L43" s="7">
        <f t="shared" si="20"/>
        <v>7</v>
      </c>
      <c r="M43" s="7">
        <f t="shared" si="21"/>
        <v>0</v>
      </c>
      <c r="N43" s="7">
        <f t="shared" si="22"/>
        <v>0</v>
      </c>
      <c r="O43" s="15">
        <f t="shared" si="23"/>
        <v>95</v>
      </c>
    </row>
    <row r="44" spans="1:15" s="76" customFormat="1" ht="21" hidden="1" customHeight="1" x14ac:dyDescent="0.25">
      <c r="A44" s="93" t="s">
        <v>180</v>
      </c>
      <c r="B44" s="8">
        <f>SUMIF(Camplist_Township,'NFI Distribution (by Tship)'!$A44,Camplist_HH)</f>
        <v>82</v>
      </c>
      <c r="C44" s="8">
        <f>SUMIF(Camplist_Township,'NFI Distribution (by Tship)'!$A44,Camplist_Popl)</f>
        <v>378</v>
      </c>
      <c r="D44" s="89">
        <f t="shared" si="12"/>
        <v>0</v>
      </c>
      <c r="E44" s="8">
        <f t="shared" si="13"/>
        <v>0</v>
      </c>
      <c r="F44" s="8">
        <f t="shared" si="14"/>
        <v>0</v>
      </c>
      <c r="G44" s="13">
        <f t="shared" si="15"/>
        <v>82</v>
      </c>
      <c r="H44" s="7">
        <f t="shared" si="16"/>
        <v>0</v>
      </c>
      <c r="I44" s="7">
        <f t="shared" si="17"/>
        <v>0</v>
      </c>
      <c r="J44" s="7">
        <f t="shared" si="18"/>
        <v>0</v>
      </c>
      <c r="K44" s="15">
        <f t="shared" si="19"/>
        <v>82</v>
      </c>
      <c r="L44" s="7">
        <f t="shared" si="20"/>
        <v>0</v>
      </c>
      <c r="M44" s="7">
        <f t="shared" si="21"/>
        <v>0</v>
      </c>
      <c r="N44" s="7">
        <f t="shared" si="22"/>
        <v>0</v>
      </c>
      <c r="O44" s="15">
        <f t="shared" si="23"/>
        <v>82</v>
      </c>
    </row>
    <row r="45" spans="1:15" s="76" customFormat="1" ht="21" hidden="1" customHeight="1" x14ac:dyDescent="0.25">
      <c r="A45" s="93" t="s">
        <v>185</v>
      </c>
      <c r="B45" s="8">
        <f>SUMIF(Camplist_Township,'NFI Distribution (by Tship)'!$A45,Camplist_HH)</f>
        <v>3114</v>
      </c>
      <c r="C45" s="8">
        <f>SUMIF(Camplist_Township,'NFI Distribution (by Tship)'!$A45,Camplist_Popl)</f>
        <v>15638</v>
      </c>
      <c r="D45" s="89">
        <f t="shared" si="12"/>
        <v>0</v>
      </c>
      <c r="E45" s="8">
        <f t="shared" si="13"/>
        <v>0</v>
      </c>
      <c r="F45" s="8">
        <f t="shared" si="14"/>
        <v>0</v>
      </c>
      <c r="G45" s="13">
        <f t="shared" si="15"/>
        <v>3114</v>
      </c>
      <c r="H45" s="7">
        <f t="shared" si="16"/>
        <v>0</v>
      </c>
      <c r="I45" s="7">
        <f t="shared" si="17"/>
        <v>0</v>
      </c>
      <c r="J45" s="7">
        <f t="shared" si="18"/>
        <v>0</v>
      </c>
      <c r="K45" s="15">
        <f t="shared" si="19"/>
        <v>3114</v>
      </c>
      <c r="L45" s="7">
        <f t="shared" si="20"/>
        <v>2464</v>
      </c>
      <c r="M45" s="7">
        <f t="shared" si="21"/>
        <v>0</v>
      </c>
      <c r="N45" s="7">
        <f t="shared" si="22"/>
        <v>0</v>
      </c>
      <c r="O45" s="15">
        <f t="shared" si="23"/>
        <v>650</v>
      </c>
    </row>
    <row r="46" spans="1:15" s="76" customFormat="1" ht="21" hidden="1" customHeight="1" x14ac:dyDescent="0.25">
      <c r="A46" s="93" t="s">
        <v>230</v>
      </c>
      <c r="B46" s="8">
        <f>SUMIF(Camplist_Township,'NFI Distribution (by Tship)'!$A46,Camplist_HH)</f>
        <v>271</v>
      </c>
      <c r="C46" s="8">
        <f>SUMIF(Camplist_Township,'NFI Distribution (by Tship)'!$A46,Camplist_Popl)</f>
        <v>1020</v>
      </c>
      <c r="D46" s="89">
        <f t="shared" si="12"/>
        <v>0</v>
      </c>
      <c r="E46" s="8">
        <f t="shared" si="13"/>
        <v>0</v>
      </c>
      <c r="F46" s="8">
        <f t="shared" si="14"/>
        <v>0</v>
      </c>
      <c r="G46" s="13">
        <f t="shared" si="15"/>
        <v>271</v>
      </c>
      <c r="H46" s="7">
        <f t="shared" si="16"/>
        <v>0</v>
      </c>
      <c r="I46" s="7">
        <f t="shared" si="17"/>
        <v>156</v>
      </c>
      <c r="J46" s="7">
        <f t="shared" si="18"/>
        <v>0</v>
      </c>
      <c r="K46" s="15">
        <f t="shared" si="19"/>
        <v>115</v>
      </c>
      <c r="L46" s="7">
        <f t="shared" si="20"/>
        <v>0</v>
      </c>
      <c r="M46" s="7">
        <f t="shared" si="21"/>
        <v>0</v>
      </c>
      <c r="N46" s="7">
        <f t="shared" si="22"/>
        <v>0</v>
      </c>
      <c r="O46" s="15">
        <f t="shared" si="23"/>
        <v>271</v>
      </c>
    </row>
    <row r="47" spans="1:15" s="76" customFormat="1" ht="21" hidden="1" customHeight="1" x14ac:dyDescent="0.25">
      <c r="A47" s="93" t="s">
        <v>237</v>
      </c>
      <c r="B47" s="8">
        <f>SUMIF(Camplist_Township,'NFI Distribution (by Tship)'!$A47,Camplist_HH)</f>
        <v>1409</v>
      </c>
      <c r="C47" s="8">
        <f>SUMIF(Camplist_Township,'NFI Distribution (by Tship)'!$A47,Camplist_Popl)</f>
        <v>7181</v>
      </c>
      <c r="D47" s="89">
        <f t="shared" si="12"/>
        <v>0</v>
      </c>
      <c r="E47" s="8">
        <f t="shared" si="13"/>
        <v>0</v>
      </c>
      <c r="F47" s="8">
        <f t="shared" si="14"/>
        <v>0</v>
      </c>
      <c r="G47" s="13">
        <f t="shared" si="15"/>
        <v>1409</v>
      </c>
      <c r="H47" s="7">
        <f t="shared" si="16"/>
        <v>11</v>
      </c>
      <c r="I47" s="7">
        <f t="shared" si="17"/>
        <v>2587</v>
      </c>
      <c r="J47" s="7">
        <f t="shared" si="18"/>
        <v>0</v>
      </c>
      <c r="K47" s="15">
        <f t="shared" si="19"/>
        <v>0</v>
      </c>
      <c r="L47" s="7">
        <f t="shared" si="20"/>
        <v>11</v>
      </c>
      <c r="M47" s="7">
        <f t="shared" si="21"/>
        <v>438</v>
      </c>
      <c r="N47" s="7">
        <f t="shared" si="22"/>
        <v>0</v>
      </c>
      <c r="O47" s="15">
        <f t="shared" si="23"/>
        <v>960</v>
      </c>
    </row>
    <row r="48" spans="1:15" s="76" customFormat="1" ht="21" hidden="1" customHeight="1" x14ac:dyDescent="0.25">
      <c r="A48" s="93" t="s">
        <v>289</v>
      </c>
      <c r="B48" s="8">
        <f>SUMIF(Camplist_Township,'NFI Distribution (by Tship)'!$A48,Camplist_HH)</f>
        <v>601</v>
      </c>
      <c r="C48" s="8">
        <f>SUMIF(Camplist_Township,'NFI Distribution (by Tship)'!$A48,Camplist_Popl)</f>
        <v>2805</v>
      </c>
      <c r="D48" s="89">
        <f t="shared" si="12"/>
        <v>0</v>
      </c>
      <c r="E48" s="8">
        <f t="shared" si="13"/>
        <v>0</v>
      </c>
      <c r="F48" s="8">
        <f t="shared" si="14"/>
        <v>0</v>
      </c>
      <c r="G48" s="13">
        <f t="shared" si="15"/>
        <v>601</v>
      </c>
      <c r="H48" s="7">
        <f t="shared" si="16"/>
        <v>0</v>
      </c>
      <c r="I48" s="7">
        <f t="shared" si="17"/>
        <v>0</v>
      </c>
      <c r="J48" s="7">
        <f t="shared" si="18"/>
        <v>0</v>
      </c>
      <c r="K48" s="15">
        <f t="shared" si="19"/>
        <v>601</v>
      </c>
      <c r="L48" s="7">
        <f t="shared" si="20"/>
        <v>0</v>
      </c>
      <c r="M48" s="7">
        <f t="shared" si="21"/>
        <v>0</v>
      </c>
      <c r="N48" s="7">
        <f t="shared" si="22"/>
        <v>0</v>
      </c>
      <c r="O48" s="15">
        <f t="shared" si="23"/>
        <v>601</v>
      </c>
    </row>
    <row r="49" spans="1:15" s="76" customFormat="1" ht="21" hidden="1" customHeight="1" x14ac:dyDescent="0.25">
      <c r="A49" s="93" t="s">
        <v>298</v>
      </c>
      <c r="B49" s="8">
        <f>SUMIF(Camplist_Township,'NFI Distribution (by Tship)'!$A49,Camplist_HH)</f>
        <v>146</v>
      </c>
      <c r="C49" s="8">
        <f>SUMIF(Camplist_Township,'NFI Distribution (by Tship)'!$A49,Camplist_Popl)</f>
        <v>639</v>
      </c>
      <c r="D49" s="89">
        <f t="shared" si="12"/>
        <v>0</v>
      </c>
      <c r="E49" s="8">
        <f t="shared" si="13"/>
        <v>0</v>
      </c>
      <c r="F49" s="8">
        <f t="shared" si="14"/>
        <v>0</v>
      </c>
      <c r="G49" s="13">
        <f t="shared" si="15"/>
        <v>146</v>
      </c>
      <c r="H49" s="7">
        <f t="shared" si="16"/>
        <v>0</v>
      </c>
      <c r="I49" s="7">
        <f t="shared" si="17"/>
        <v>0</v>
      </c>
      <c r="J49" s="7">
        <f t="shared" si="18"/>
        <v>0</v>
      </c>
      <c r="K49" s="15">
        <f t="shared" si="19"/>
        <v>146</v>
      </c>
      <c r="L49" s="7">
        <f t="shared" si="20"/>
        <v>0</v>
      </c>
      <c r="M49" s="7">
        <f t="shared" si="21"/>
        <v>0</v>
      </c>
      <c r="N49" s="7">
        <f t="shared" si="22"/>
        <v>0</v>
      </c>
      <c r="O49" s="15">
        <f t="shared" si="23"/>
        <v>146</v>
      </c>
    </row>
    <row r="50" spans="1:15" s="76" customFormat="1" ht="21" hidden="1" customHeight="1" x14ac:dyDescent="0.25">
      <c r="A50" s="93" t="s">
        <v>300</v>
      </c>
      <c r="B50" s="8">
        <f>SUMIF(Camplist_Township,'NFI Distribution (by Tship)'!$A50,Camplist_HH)</f>
        <v>83</v>
      </c>
      <c r="C50" s="8">
        <f>SUMIF(Camplist_Township,'NFI Distribution (by Tship)'!$A50,Camplist_Popl)</f>
        <v>490</v>
      </c>
      <c r="D50" s="89">
        <f t="shared" si="12"/>
        <v>0</v>
      </c>
      <c r="E50" s="8">
        <f t="shared" si="13"/>
        <v>0</v>
      </c>
      <c r="F50" s="8">
        <f t="shared" si="14"/>
        <v>0</v>
      </c>
      <c r="G50" s="13">
        <f t="shared" si="15"/>
        <v>83</v>
      </c>
      <c r="H50" s="7">
        <f t="shared" si="16"/>
        <v>0</v>
      </c>
      <c r="I50" s="7">
        <f t="shared" si="17"/>
        <v>0</v>
      </c>
      <c r="J50" s="7">
        <f t="shared" si="18"/>
        <v>0</v>
      </c>
      <c r="K50" s="15">
        <f t="shared" si="19"/>
        <v>83</v>
      </c>
      <c r="L50" s="7">
        <f t="shared" si="20"/>
        <v>0</v>
      </c>
      <c r="M50" s="7">
        <f t="shared" si="21"/>
        <v>0</v>
      </c>
      <c r="N50" s="7">
        <f t="shared" si="22"/>
        <v>0</v>
      </c>
      <c r="O50" s="15">
        <f t="shared" si="23"/>
        <v>83</v>
      </c>
    </row>
    <row r="51" spans="1:15" s="76" customFormat="1" ht="21" hidden="1" customHeight="1" x14ac:dyDescent="0.25">
      <c r="A51" s="93" t="s">
        <v>302</v>
      </c>
      <c r="B51" s="8">
        <f>SUMIF(Camplist_Township,'NFI Distribution (by Tship)'!$A51,Camplist_HH)</f>
        <v>511</v>
      </c>
      <c r="C51" s="8">
        <f>SUMIF(Camplist_Township,'NFI Distribution (by Tship)'!$A51,Camplist_Popl)</f>
        <v>2186</v>
      </c>
      <c r="D51" s="89">
        <f t="shared" si="12"/>
        <v>0</v>
      </c>
      <c r="E51" s="8">
        <f t="shared" si="13"/>
        <v>0</v>
      </c>
      <c r="F51" s="8">
        <f t="shared" si="14"/>
        <v>0</v>
      </c>
      <c r="G51" s="13">
        <f t="shared" si="15"/>
        <v>511</v>
      </c>
      <c r="H51" s="7">
        <f t="shared" si="16"/>
        <v>0</v>
      </c>
      <c r="I51" s="7">
        <f t="shared" si="17"/>
        <v>0</v>
      </c>
      <c r="J51" s="7">
        <f t="shared" si="18"/>
        <v>0</v>
      </c>
      <c r="K51" s="15">
        <f t="shared" si="19"/>
        <v>511</v>
      </c>
      <c r="L51" s="7">
        <f t="shared" si="20"/>
        <v>0</v>
      </c>
      <c r="M51" s="7">
        <f t="shared" si="21"/>
        <v>0</v>
      </c>
      <c r="N51" s="7">
        <f t="shared" si="22"/>
        <v>0</v>
      </c>
      <c r="O51" s="15">
        <f t="shared" si="23"/>
        <v>511</v>
      </c>
    </row>
    <row r="52" spans="1:15" s="76" customFormat="1" ht="21" hidden="1" customHeight="1" x14ac:dyDescent="0.25">
      <c r="A52" s="93" t="s">
        <v>809</v>
      </c>
      <c r="B52" s="8">
        <f>SUMIF(Camplist_Township,'NFI Distribution (by Tship)'!$A52,Camplist_HH)</f>
        <v>166</v>
      </c>
      <c r="C52" s="8">
        <f>SUMIF(Camplist_Township,'NFI Distribution (by Tship)'!$A52,Camplist_Popl)</f>
        <v>1232</v>
      </c>
      <c r="D52" s="89">
        <f t="shared" si="12"/>
        <v>0</v>
      </c>
      <c r="E52" s="8">
        <f t="shared" si="13"/>
        <v>0</v>
      </c>
      <c r="F52" s="8">
        <f t="shared" si="14"/>
        <v>0</v>
      </c>
      <c r="G52" s="13">
        <f t="shared" si="15"/>
        <v>166</v>
      </c>
      <c r="H52" s="7">
        <f t="shared" si="16"/>
        <v>0</v>
      </c>
      <c r="I52" s="7">
        <f t="shared" si="17"/>
        <v>0</v>
      </c>
      <c r="J52" s="7">
        <f t="shared" si="18"/>
        <v>0</v>
      </c>
      <c r="K52" s="15">
        <f t="shared" si="19"/>
        <v>166</v>
      </c>
      <c r="L52" s="7">
        <f t="shared" si="20"/>
        <v>0</v>
      </c>
      <c r="M52" s="7">
        <f t="shared" si="21"/>
        <v>0</v>
      </c>
      <c r="N52" s="7">
        <f t="shared" si="22"/>
        <v>0</v>
      </c>
      <c r="O52" s="15">
        <f t="shared" si="23"/>
        <v>166</v>
      </c>
    </row>
    <row r="53" spans="1:15" s="76" customFormat="1" ht="21" hidden="1" customHeight="1" x14ac:dyDescent="0.25">
      <c r="A53" s="93" t="s">
        <v>310</v>
      </c>
      <c r="B53" s="8">
        <f>SUMIF(Camplist_Township,'NFI Distribution (by Tship)'!$A53,Camplist_HH)</f>
        <v>6653</v>
      </c>
      <c r="C53" s="8">
        <f>SUMIF(Camplist_Township,'NFI Distribution (by Tship)'!$A53,Camplist_Popl)</f>
        <v>36924</v>
      </c>
      <c r="D53" s="89">
        <f t="shared" si="12"/>
        <v>0</v>
      </c>
      <c r="E53" s="8">
        <f t="shared" si="13"/>
        <v>0</v>
      </c>
      <c r="F53" s="8">
        <f t="shared" si="14"/>
        <v>0</v>
      </c>
      <c r="G53" s="13">
        <f t="shared" si="15"/>
        <v>6653</v>
      </c>
      <c r="H53" s="7">
        <f t="shared" si="16"/>
        <v>0</v>
      </c>
      <c r="I53" s="7">
        <f t="shared" si="17"/>
        <v>0</v>
      </c>
      <c r="J53" s="7">
        <f t="shared" si="18"/>
        <v>0</v>
      </c>
      <c r="K53" s="15">
        <f t="shared" si="19"/>
        <v>6653</v>
      </c>
      <c r="L53" s="7">
        <f t="shared" si="20"/>
        <v>0</v>
      </c>
      <c r="M53" s="7">
        <f t="shared" si="21"/>
        <v>0</v>
      </c>
      <c r="N53" s="7">
        <f t="shared" si="22"/>
        <v>0</v>
      </c>
      <c r="O53" s="15">
        <f t="shared" si="23"/>
        <v>6653</v>
      </c>
    </row>
    <row r="54" spans="1:15" ht="21" hidden="1" customHeight="1" thickBot="1" x14ac:dyDescent="0.3">
      <c r="A54" s="94" t="s">
        <v>3</v>
      </c>
      <c r="B54" s="95">
        <f t="shared" ref="B54:J54" si="24">SUM(B34:B53)</f>
        <v>19886</v>
      </c>
      <c r="C54" s="95">
        <f t="shared" si="24"/>
        <v>102081</v>
      </c>
      <c r="D54" s="90">
        <f t="shared" si="24"/>
        <v>25</v>
      </c>
      <c r="E54" s="9">
        <f t="shared" si="24"/>
        <v>0</v>
      </c>
      <c r="F54" s="9">
        <f t="shared" si="24"/>
        <v>0</v>
      </c>
      <c r="G54" s="14">
        <f t="shared" si="24"/>
        <v>19861</v>
      </c>
      <c r="H54" s="9">
        <f t="shared" si="24"/>
        <v>120</v>
      </c>
      <c r="I54" s="9">
        <f t="shared" si="24"/>
        <v>3352</v>
      </c>
      <c r="J54" s="9">
        <f t="shared" si="24"/>
        <v>0</v>
      </c>
      <c r="K54" s="14">
        <f>SUM(K34:K53)</f>
        <v>17603</v>
      </c>
      <c r="L54" s="9">
        <f>SUM(L34:L53)</f>
        <v>4621</v>
      </c>
      <c r="M54" s="9">
        <f>SUM(M34:M53)</f>
        <v>747</v>
      </c>
      <c r="N54" s="9">
        <f>SUM(N34:N53)</f>
        <v>0</v>
      </c>
      <c r="O54" s="35">
        <f>SUM(O34:O53)</f>
        <v>14865</v>
      </c>
    </row>
    <row r="55" spans="1:15" ht="21" customHeight="1" x14ac:dyDescent="0.25"/>
    <row r="56" spans="1:15" ht="17.25" hidden="1" customHeight="1" x14ac:dyDescent="0.25">
      <c r="I56" s="36"/>
    </row>
    <row r="57" spans="1:15" hidden="1" x14ac:dyDescent="0.25">
      <c r="I57" s="36"/>
    </row>
    <row r="59" spans="1:15" x14ac:dyDescent="0.25">
      <c r="A59" s="334" t="s">
        <v>499</v>
      </c>
      <c r="B59" s="25" t="s">
        <v>501</v>
      </c>
    </row>
    <row r="60" spans="1:15" x14ac:dyDescent="0.25">
      <c r="A60" s="334" t="s">
        <v>1137</v>
      </c>
      <c r="B60" s="25" t="s">
        <v>1124</v>
      </c>
      <c r="C60" s="36"/>
      <c r="D60" s="36"/>
      <c r="E60" s="36"/>
      <c r="F60" s="36"/>
      <c r="G60" s="36"/>
      <c r="H60" s="36"/>
    </row>
    <row r="61" spans="1:15" x14ac:dyDescent="0.25">
      <c r="A61" s="36"/>
      <c r="B61" s="36"/>
      <c r="C61" s="36"/>
      <c r="D61" s="36"/>
      <c r="E61" s="36"/>
      <c r="F61" s="36"/>
      <c r="G61" s="36"/>
      <c r="H61" s="36"/>
    </row>
    <row r="62" spans="1:15" x14ac:dyDescent="0.25">
      <c r="A62" s="334" t="s">
        <v>414</v>
      </c>
      <c r="B62" s="25" t="s">
        <v>1228</v>
      </c>
      <c r="C62" s="25" t="s">
        <v>458</v>
      </c>
      <c r="D62" s="25" t="s">
        <v>435</v>
      </c>
      <c r="E62" s="25" t="s">
        <v>436</v>
      </c>
      <c r="F62" s="25" t="s">
        <v>1229</v>
      </c>
      <c r="G62" s="25" t="s">
        <v>1230</v>
      </c>
    </row>
    <row r="63" spans="1:15" s="122" customFormat="1" x14ac:dyDescent="0.25">
      <c r="A63" s="333" t="s">
        <v>907</v>
      </c>
      <c r="B63" s="476"/>
      <c r="C63" s="476"/>
      <c r="D63" s="476"/>
      <c r="E63" s="476"/>
      <c r="F63" s="476"/>
      <c r="G63" s="476"/>
      <c r="H63"/>
      <c r="I63"/>
      <c r="J63"/>
      <c r="K63"/>
      <c r="L63"/>
    </row>
    <row r="64" spans="1:15" s="122" customFormat="1" x14ac:dyDescent="0.25">
      <c r="A64" s="333" t="s">
        <v>453</v>
      </c>
      <c r="B64" s="476">
        <v>753</v>
      </c>
      <c r="C64" s="476">
        <v>407</v>
      </c>
      <c r="D64" s="476">
        <v>878</v>
      </c>
      <c r="E64" s="476">
        <v>207</v>
      </c>
      <c r="F64" s="476">
        <v>213</v>
      </c>
      <c r="G64" s="476">
        <v>975</v>
      </c>
      <c r="H64"/>
    </row>
    <row r="65" spans="1:12" s="122" customFormat="1" x14ac:dyDescent="0.25">
      <c r="A65" s="333" t="s">
        <v>415</v>
      </c>
      <c r="B65" s="476">
        <v>753</v>
      </c>
      <c r="C65" s="476">
        <v>407</v>
      </c>
      <c r="D65" s="476">
        <v>878</v>
      </c>
      <c r="E65" s="476">
        <v>207</v>
      </c>
      <c r="F65" s="476">
        <v>213</v>
      </c>
      <c r="G65" s="476">
        <v>975</v>
      </c>
      <c r="H65"/>
    </row>
    <row r="66" spans="1:12" s="122" customFormat="1" x14ac:dyDescent="0.25">
      <c r="A66"/>
      <c r="B66"/>
      <c r="C66"/>
      <c r="D66"/>
      <c r="E66"/>
      <c r="F66"/>
      <c r="G66"/>
      <c r="H66"/>
    </row>
    <row r="67" spans="1:12" s="122" customFormat="1" x14ac:dyDescent="0.25">
      <c r="A67"/>
      <c r="B67"/>
      <c r="C67"/>
      <c r="D67"/>
      <c r="E67"/>
      <c r="F67"/>
      <c r="G67"/>
      <c r="H67"/>
    </row>
    <row r="68" spans="1:12" s="122" customFormat="1" x14ac:dyDescent="0.25">
      <c r="A68" s="334" t="s">
        <v>499</v>
      </c>
      <c r="B68" s="25" t="s">
        <v>501</v>
      </c>
      <c r="C68"/>
      <c r="D68"/>
      <c r="E68"/>
      <c r="F68"/>
      <c r="G68"/>
      <c r="H68"/>
    </row>
    <row r="69" spans="1:12" s="122" customFormat="1" x14ac:dyDescent="0.25">
      <c r="A69" s="334" t="s">
        <v>1082</v>
      </c>
      <c r="B69" s="25" t="s">
        <v>1079</v>
      </c>
      <c r="E69"/>
      <c r="F69"/>
      <c r="G69"/>
    </row>
    <row r="70" spans="1:12" x14ac:dyDescent="0.25">
      <c r="A70" s="334" t="s">
        <v>1153</v>
      </c>
      <c r="B70" s="333">
        <v>1</v>
      </c>
      <c r="C70" s="122"/>
      <c r="D70" s="122"/>
      <c r="H70" s="122"/>
    </row>
    <row r="71" spans="1:12" x14ac:dyDescent="0.25">
      <c r="A71" s="122"/>
      <c r="B71" s="122"/>
      <c r="C71" s="122"/>
      <c r="D71" s="122"/>
      <c r="H71" s="122"/>
    </row>
    <row r="72" spans="1:12" s="132" customFormat="1" ht="45" x14ac:dyDescent="0.25">
      <c r="A72" s="366" t="s">
        <v>414</v>
      </c>
      <c r="B72" s="367" t="s">
        <v>1001</v>
      </c>
      <c r="C72" s="367" t="s">
        <v>1002</v>
      </c>
      <c r="D72" s="367" t="s">
        <v>1227</v>
      </c>
    </row>
    <row r="73" spans="1:12" x14ac:dyDescent="0.25">
      <c r="A73" s="333" t="s">
        <v>1106</v>
      </c>
      <c r="B73" s="476"/>
      <c r="C73" s="476"/>
      <c r="D73" s="476">
        <v>684</v>
      </c>
    </row>
    <row r="74" spans="1:12" x14ac:dyDescent="0.25">
      <c r="A74" s="333" t="s">
        <v>454</v>
      </c>
      <c r="B74" s="476">
        <v>944</v>
      </c>
      <c r="C74" s="476">
        <v>553</v>
      </c>
      <c r="D74" s="476"/>
    </row>
    <row r="75" spans="1:12" x14ac:dyDescent="0.25">
      <c r="A75" s="333" t="s">
        <v>1096</v>
      </c>
      <c r="B75" s="476">
        <v>941</v>
      </c>
      <c r="C75" s="476">
        <v>619</v>
      </c>
      <c r="D75" s="476">
        <v>549</v>
      </c>
    </row>
    <row r="76" spans="1:12" x14ac:dyDescent="0.25">
      <c r="A76" s="333" t="s">
        <v>1038</v>
      </c>
      <c r="B76" s="476"/>
      <c r="C76" s="476">
        <v>1333</v>
      </c>
      <c r="D76" s="476"/>
      <c r="L76" s="3"/>
    </row>
    <row r="77" spans="1:12" x14ac:dyDescent="0.25">
      <c r="A77" s="333" t="s">
        <v>907</v>
      </c>
      <c r="B77" s="476">
        <v>1155</v>
      </c>
      <c r="C77" s="476">
        <v>2263</v>
      </c>
      <c r="D77" s="476">
        <v>3418</v>
      </c>
    </row>
    <row r="78" spans="1:12" x14ac:dyDescent="0.25">
      <c r="A78" s="333" t="s">
        <v>453</v>
      </c>
      <c r="B78" s="476">
        <v>2342</v>
      </c>
      <c r="C78" s="476">
        <v>4566</v>
      </c>
      <c r="D78" s="476">
        <v>3416</v>
      </c>
    </row>
    <row r="79" spans="1:12" x14ac:dyDescent="0.25">
      <c r="A79" s="333" t="s">
        <v>415</v>
      </c>
      <c r="B79" s="476">
        <v>5382</v>
      </c>
      <c r="C79" s="476">
        <v>9334</v>
      </c>
      <c r="D79" s="476">
        <v>8067</v>
      </c>
    </row>
  </sheetData>
  <sortState ref="A8:T17">
    <sortCondition ref="A8:A17"/>
  </sortState>
  <mergeCells count="10">
    <mergeCell ref="L32:O32"/>
    <mergeCell ref="A32:A33"/>
    <mergeCell ref="B32:B33"/>
    <mergeCell ref="C32:C33"/>
    <mergeCell ref="D32:G32"/>
    <mergeCell ref="A2:H2"/>
    <mergeCell ref="A3:H3"/>
    <mergeCell ref="A6:A7"/>
    <mergeCell ref="B6:B7"/>
    <mergeCell ref="C6:C7"/>
  </mergeCells>
  <pageMargins left="0.25" right="0.25" top="0.75" bottom="0.75" header="0.3" footer="0.3"/>
  <pageSetup paperSize="9" scale="40"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39997558519241921"/>
  </sheetPr>
  <dimension ref="A1:T168"/>
  <sheetViews>
    <sheetView zoomScale="80" zoomScaleNormal="80" workbookViewId="0">
      <selection activeCell="J37" sqref="J37"/>
    </sheetView>
  </sheetViews>
  <sheetFormatPr defaultRowHeight="15" x14ac:dyDescent="0.25"/>
  <cols>
    <col min="1" max="1" width="19.7109375" style="122" customWidth="1"/>
    <col min="2" max="2" width="11.85546875" customWidth="1"/>
    <col min="3" max="3" width="38.7109375" customWidth="1"/>
    <col min="4" max="4" width="11.5703125" bestFit="1" customWidth="1"/>
    <col min="5" max="5" width="10.7109375" customWidth="1"/>
    <col min="6" max="6" width="7.7109375" customWidth="1"/>
    <col min="7" max="7" width="23.42578125" customWidth="1"/>
    <col min="8" max="8" width="20.28515625" customWidth="1"/>
    <col min="9" max="9" width="19" bestFit="1" customWidth="1"/>
    <col min="10" max="10" width="14.7109375" bestFit="1" customWidth="1"/>
    <col min="11" max="11" width="17" customWidth="1"/>
    <col min="12" max="12" width="17.42578125" customWidth="1"/>
    <col min="13" max="13" width="13" style="141" customWidth="1"/>
    <col min="14" max="14" width="11.140625" customWidth="1"/>
    <col min="17" max="17" width="13.85546875" customWidth="1"/>
    <col min="18" max="18" width="21.7109375" bestFit="1" customWidth="1"/>
    <col min="19" max="19" width="21.42578125" customWidth="1"/>
    <col min="20" max="20" width="21.5703125" bestFit="1" customWidth="1"/>
    <col min="21" max="21" width="6" customWidth="1"/>
    <col min="22" max="22" width="21.140625" bestFit="1" customWidth="1"/>
    <col min="23" max="23" width="6" customWidth="1"/>
    <col min="24" max="24" width="26.5703125" bestFit="1" customWidth="1"/>
    <col min="25" max="26" width="26.28515625" bestFit="1" customWidth="1"/>
  </cols>
  <sheetData>
    <row r="1" spans="1:20" s="132" customFormat="1" ht="30" x14ac:dyDescent="0.25">
      <c r="A1" s="373" t="s">
        <v>559</v>
      </c>
      <c r="B1" s="374" t="s">
        <v>1082</v>
      </c>
      <c r="C1" s="374" t="s">
        <v>555</v>
      </c>
      <c r="D1" s="374" t="s">
        <v>0</v>
      </c>
      <c r="E1" s="374" t="s">
        <v>2</v>
      </c>
      <c r="F1" s="374" t="s">
        <v>1083</v>
      </c>
      <c r="G1" s="374" t="s">
        <v>1001</v>
      </c>
      <c r="H1" s="374" t="s">
        <v>1002</v>
      </c>
      <c r="I1" s="374" t="s">
        <v>1003</v>
      </c>
      <c r="J1" s="374" t="s">
        <v>1084</v>
      </c>
      <c r="K1" s="374" t="s">
        <v>1086</v>
      </c>
      <c r="L1" s="374" t="s">
        <v>1085</v>
      </c>
      <c r="M1" s="375" t="s">
        <v>1093</v>
      </c>
      <c r="N1" s="376" t="s">
        <v>1090</v>
      </c>
      <c r="Q1" s="132">
        <f>SUM(N:N)</f>
        <v>0</v>
      </c>
      <c r="R1" s="132">
        <f>COUNTA(A:A)-1</f>
        <v>167</v>
      </c>
    </row>
    <row r="2" spans="1:20" x14ac:dyDescent="0.25">
      <c r="A2" s="312" t="s">
        <v>30</v>
      </c>
      <c r="B2" s="25" t="str">
        <f ca="1">OFFSET(CampList[Priority],MATCH(Table10[[#This Row],[Pcode]],CampList[CP_Pcode],0)-1,0,1,1)</f>
        <v>P1</v>
      </c>
      <c r="C2" s="25" t="str">
        <f ca="1">OFFSET(CampList[Camp],MATCH(Table10[[#This Row],[Pcode]],CampList[CP_Pcode],0)-1,0,1,1)</f>
        <v>Chipwi KBC camp</v>
      </c>
      <c r="D2" s="25" t="str">
        <f ca="1">OFFSET(CampList[Township],MATCH(Table10[[#This Row],[Pcode]],CampList[CP_Pcode],0)-1,0,1,1)</f>
        <v>Chipwi</v>
      </c>
      <c r="E2" s="25">
        <f ca="1">OFFSET(CampList[HH],MATCH(Table10[[#This Row],[Pcode]],CampList[CP_Pcode],0)-1,0,1,1)</f>
        <v>109</v>
      </c>
      <c r="F2" s="25">
        <f ca="1">OFFSET(CampList[Total],MATCH(Table10[[#This Row],[Pcode]],CampList[CP_Pcode],0)-1,0,1,1)</f>
        <v>504</v>
      </c>
      <c r="G2" s="335">
        <f>SUMIF('NFI Tracking'!AO$12:AO$1048576,Table10[[#This Row],[Pcode]],'NFI Tracking'!AI$12:AI$1048576)</f>
        <v>0</v>
      </c>
      <c r="H2" s="335">
        <f>SUMIF('NFI Tracking'!AO$12:AO$1048576,Table10[[#This Row],[Pcode]],'NFI Tracking'!AJ$12:AJ$1048576)</f>
        <v>0</v>
      </c>
      <c r="I2" s="335">
        <f>SUMIF('NFI Tracking'!AO$12:AO$1048576,Table10[[#This Row],[Pcode]],'NFI Tracking'!AK$12:AK$1048576)</f>
        <v>0</v>
      </c>
      <c r="J2" s="335">
        <f ca="1">MAX(Table10[[#This Row],[HH]]*VLOOKUP("Winter Clothes Adult",NFI,6)-Table10[[#This Row],[Winter Clothes Adult ]],0)</f>
        <v>218</v>
      </c>
      <c r="K2" s="335">
        <f ca="1">MAX(Table10[[#This Row],[HH]]*VLOOKUP("Winter Clothes Children ",NFI,6)-Table10[[#This Row],[Winter Clothes Children ]],0)</f>
        <v>109</v>
      </c>
      <c r="L2" s="335">
        <f ca="1">MAX(Table10[[#This Row],[HH]]*VLOOKUP("Winter Items Other ",NFI,6)-Table10[[#This Row],[Winter Items Other ]],0)</f>
        <v>109</v>
      </c>
      <c r="M2" s="368" t="str">
        <f>IF(OR(Table10[[#This Row],[Winter Clothes Adult ]]&lt;&gt;0,Table10[[#This Row],[Winter Clothes Children ]]&lt;&gt;0,Table10[[#This Row],[Winter Items Other ]]&lt;&gt;0),"No","")</f>
        <v/>
      </c>
      <c r="N2" s="369">
        <f>COUNTIF(A:A,Table10[[#This Row],[Pcode]])-1</f>
        <v>0</v>
      </c>
    </row>
    <row r="3" spans="1:20" x14ac:dyDescent="0.25">
      <c r="A3" s="312" t="s">
        <v>31</v>
      </c>
      <c r="B3" s="25" t="str">
        <f ca="1">OFFSET(CampList[Priority],MATCH(Table10[[#This Row],[Pcode]],CampList[CP_Pcode],0)-1,0,1,1)</f>
        <v>P1</v>
      </c>
      <c r="C3" s="25" t="str">
        <f ca="1">OFFSET(CampList[Camp],MATCH(Table10[[#This Row],[Pcode]],CampList[CP_Pcode],0)-1,0,1,1)</f>
        <v>Gant Gwin</v>
      </c>
      <c r="D3" s="25" t="str">
        <f ca="1">OFFSET(CampList[Township],MATCH(Table10[[#This Row],[Pcode]],CampList[CP_Pcode],0)-1,0,1,1)</f>
        <v>Chipwi</v>
      </c>
      <c r="E3" s="25">
        <f ca="1">OFFSET(CampList[HH],MATCH(Table10[[#This Row],[Pcode]],CampList[CP_Pcode],0)-1,0,1,1)</f>
        <v>0</v>
      </c>
      <c r="F3" s="25">
        <f ca="1">OFFSET(CampList[Total],MATCH(Table10[[#This Row],[Pcode]],CampList[CP_Pcode],0)-1,0,1,1)</f>
        <v>0</v>
      </c>
      <c r="G3" s="335">
        <f>SUMIF('NFI Tracking'!AO$12:AO$1048576,Table10[[#This Row],[Pcode]],'NFI Tracking'!AI$12:AI$1048576)</f>
        <v>0</v>
      </c>
      <c r="H3" s="335">
        <f>SUMIF('NFI Tracking'!AO$12:AO$1048576,Table10[[#This Row],[Pcode]],'NFI Tracking'!AJ$12:AJ$1048576)</f>
        <v>0</v>
      </c>
      <c r="I3" s="335">
        <f>SUMIF('NFI Tracking'!AO$12:AO$1048576,Table10[[#This Row],[Pcode]],'NFI Tracking'!AK$12:AK$1048576)</f>
        <v>0</v>
      </c>
      <c r="J3" s="335">
        <f ca="1">MAX(Table10[[#This Row],[HH]]*VLOOKUP("Winter Clothes Adult",NFI,6)-Table10[[#This Row],[Winter Clothes Adult ]],0)</f>
        <v>0</v>
      </c>
      <c r="K3" s="335">
        <f ca="1">MAX(Table10[[#This Row],[HH]]*VLOOKUP("Winter Clothes Children ",NFI,6)-Table10[[#This Row],[Winter Clothes Children ]],0)</f>
        <v>0</v>
      </c>
      <c r="L3" s="335">
        <f ca="1">MAX(Table10[[#This Row],[HH]]*VLOOKUP("Winter Items Other ",NFI,6)-Table10[[#This Row],[Winter Items Other ]],0)</f>
        <v>0</v>
      </c>
      <c r="M3" s="368" t="str">
        <f>IF(OR(Table10[[#This Row],[Winter Clothes Adult ]]&lt;&gt;0,Table10[[#This Row],[Winter Clothes Children ]]&lt;&gt;0,Table10[[#This Row],[Winter Items Other ]]&lt;&gt;0),"No","")</f>
        <v/>
      </c>
      <c r="N3" s="369">
        <f>COUNTIF(A:A,Table10[[#This Row],[Pcode]])-1</f>
        <v>0</v>
      </c>
    </row>
    <row r="4" spans="1:20" x14ac:dyDescent="0.25">
      <c r="A4" s="312" t="s">
        <v>29</v>
      </c>
      <c r="B4" s="25" t="str">
        <f ca="1">OFFSET(CampList[Priority],MATCH(Table10[[#This Row],[Pcode]],CampList[CP_Pcode],0)-1,0,1,1)</f>
        <v>P1</v>
      </c>
      <c r="C4" s="25" t="str">
        <f ca="1">OFFSET(CampList[Camp],MATCH(Table10[[#This Row],[Pcode]],CampList[CP_Pcode],0)-1,0,1,1)</f>
        <v>Hpare Hkyer - BP6</v>
      </c>
      <c r="D4" s="25" t="str">
        <f ca="1">OFFSET(CampList[Township],MATCH(Table10[[#This Row],[Pcode]],CampList[CP_Pcode],0)-1,0,1,1)</f>
        <v>Chipwi</v>
      </c>
      <c r="E4" s="25">
        <f ca="1">OFFSET(CampList[HH],MATCH(Table10[[#This Row],[Pcode]],CampList[CP_Pcode],0)-1,0,1,1)</f>
        <v>152</v>
      </c>
      <c r="F4" s="25">
        <f ca="1">OFFSET(CampList[Total],MATCH(Table10[[#This Row],[Pcode]],CampList[CP_Pcode],0)-1,0,1,1)</f>
        <v>1015</v>
      </c>
      <c r="G4" s="335">
        <f>SUMIF('NFI Tracking'!AO$12:AO$1048576,Table10[[#This Row],[Pcode]],'NFI Tracking'!AI$12:AI$1048576)</f>
        <v>380</v>
      </c>
      <c r="H4" s="335">
        <f>SUMIF('NFI Tracking'!AO$12:AO$1048576,Table10[[#This Row],[Pcode]],'NFI Tracking'!AJ$12:AJ$1048576)</f>
        <v>1145</v>
      </c>
      <c r="I4" s="335">
        <f>SUMIF('NFI Tracking'!AO$12:AO$1048576,Table10[[#This Row],[Pcode]],'NFI Tracking'!AK$12:AK$1048576)</f>
        <v>0</v>
      </c>
      <c r="J4" s="335">
        <f ca="1">MAX(Table10[[#This Row],[HH]]*VLOOKUP("Winter Clothes Adult",NFI,6)-Table10[[#This Row],[Winter Clothes Adult ]],0)</f>
        <v>0</v>
      </c>
      <c r="K4" s="335">
        <f ca="1">MAX(Table10[[#This Row],[HH]]*VLOOKUP("Winter Clothes Children ",NFI,6)-Table10[[#This Row],[Winter Clothes Children ]],0)</f>
        <v>0</v>
      </c>
      <c r="L4" s="335">
        <f ca="1">MAX(Table10[[#This Row],[HH]]*VLOOKUP("Winter Items Other ",NFI,6)-Table10[[#This Row],[Winter Items Other ]],0)</f>
        <v>152</v>
      </c>
      <c r="M4" s="368" t="str">
        <f>IF(OR(Table10[[#This Row],[Winter Clothes Adult ]]&lt;&gt;0,Table10[[#This Row],[Winter Clothes Children ]]&lt;&gt;0,Table10[[#This Row],[Winter Items Other ]]&lt;&gt;0),"No","")</f>
        <v>No</v>
      </c>
      <c r="N4" s="369">
        <f>COUNTIF(A:A,Table10[[#This Row],[Pcode]])-1</f>
        <v>0</v>
      </c>
    </row>
    <row r="5" spans="1:20" x14ac:dyDescent="0.25">
      <c r="A5" s="312" t="s">
        <v>33</v>
      </c>
      <c r="B5" s="25" t="str">
        <f ca="1">OFFSET(CampList[Priority],MATCH(Table10[[#This Row],[Pcode]],CampList[CP_Pcode],0)-1,0,1,1)</f>
        <v>P1</v>
      </c>
      <c r="C5" s="25" t="str">
        <f ca="1">OFFSET(CampList[Camp],MATCH(Table10[[#This Row],[Pcode]],CampList[CP_Pcode],0)-1,0,1,1)</f>
        <v xml:space="preserve">Lan Jaw </v>
      </c>
      <c r="D5" s="25" t="str">
        <f ca="1">OFFSET(CampList[Township],MATCH(Table10[[#This Row],[Pcode]],CampList[CP_Pcode],0)-1,0,1,1)</f>
        <v>Chipwi</v>
      </c>
      <c r="E5" s="25">
        <f ca="1">OFFSET(CampList[HH],MATCH(Table10[[#This Row],[Pcode]],CampList[CP_Pcode],0)-1,0,1,1)</f>
        <v>0</v>
      </c>
      <c r="F5" s="25">
        <f ca="1">OFFSET(CampList[Total],MATCH(Table10[[#This Row],[Pcode]],CampList[CP_Pcode],0)-1,0,1,1)</f>
        <v>0</v>
      </c>
      <c r="G5" s="335">
        <f>SUMIF('NFI Tracking'!AO$12:AO$1048576,Table10[[#This Row],[Pcode]],'NFI Tracking'!AI$12:AI$1048576)</f>
        <v>0</v>
      </c>
      <c r="H5" s="335">
        <f>SUMIF('NFI Tracking'!AO$12:AO$1048576,Table10[[#This Row],[Pcode]],'NFI Tracking'!AJ$12:AJ$1048576)</f>
        <v>0</v>
      </c>
      <c r="I5" s="335">
        <f>SUMIF('NFI Tracking'!AO$12:AO$1048576,Table10[[#This Row],[Pcode]],'NFI Tracking'!AK$12:AK$1048576)</f>
        <v>0</v>
      </c>
      <c r="J5" s="335">
        <f ca="1">MAX(Table10[[#This Row],[HH]]*VLOOKUP("Winter Clothes Adult",NFI,6)-Table10[[#This Row],[Winter Clothes Adult ]],0)</f>
        <v>0</v>
      </c>
      <c r="K5" s="335">
        <f ca="1">MAX(Table10[[#This Row],[HH]]*VLOOKUP("Winter Clothes Children ",NFI,6)-Table10[[#This Row],[Winter Clothes Children ]],0)</f>
        <v>0</v>
      </c>
      <c r="L5" s="335">
        <f ca="1">MAX(Table10[[#This Row],[HH]]*VLOOKUP("Winter Items Other ",NFI,6)-Table10[[#This Row],[Winter Items Other ]],0)</f>
        <v>0</v>
      </c>
      <c r="M5" s="368" t="str">
        <f>IF(OR(Table10[[#This Row],[Winter Clothes Adult ]]&lt;&gt;0,Table10[[#This Row],[Winter Clothes Children ]]&lt;&gt;0,Table10[[#This Row],[Winter Items Other ]]&lt;&gt;0),"No","")</f>
        <v/>
      </c>
      <c r="N5" s="369">
        <f>COUNTIF(A:A,Table10[[#This Row],[Pcode]])-1</f>
        <v>0</v>
      </c>
    </row>
    <row r="6" spans="1:20" x14ac:dyDescent="0.25">
      <c r="A6" s="312" t="s">
        <v>378</v>
      </c>
      <c r="B6" s="25" t="str">
        <f ca="1">OFFSET(CampList[Priority],MATCH(Table10[[#This Row],[Pcode]],CampList[CP_Pcode],0)-1,0,1,1)</f>
        <v>P1</v>
      </c>
      <c r="C6" s="25" t="str">
        <f ca="1">OFFSET(CampList[Camp],MATCH(Table10[[#This Row],[Pcode]],CampList[CP_Pcode],0)-1,0,1,1)</f>
        <v>Lhaovao Baptist Church (LBC)</v>
      </c>
      <c r="D6" s="25" t="str">
        <f ca="1">OFFSET(CampList[Township],MATCH(Table10[[#This Row],[Pcode]],CampList[CP_Pcode],0)-1,0,1,1)</f>
        <v>Chipwi</v>
      </c>
      <c r="E6" s="25">
        <f ca="1">OFFSET(CampList[HH],MATCH(Table10[[#This Row],[Pcode]],CampList[CP_Pcode],0)-1,0,1,1)</f>
        <v>143</v>
      </c>
      <c r="F6" s="25">
        <f ca="1">OFFSET(CampList[Total],MATCH(Table10[[#This Row],[Pcode]],CampList[CP_Pcode],0)-1,0,1,1)</f>
        <v>638</v>
      </c>
      <c r="G6" s="335">
        <f>SUMIF('NFI Tracking'!AO$12:AO$1048576,Table10[[#This Row],[Pcode]],'NFI Tracking'!AI$12:AI$1048576)</f>
        <v>0</v>
      </c>
      <c r="H6" s="335">
        <f>SUMIF('NFI Tracking'!AO$12:AO$1048576,Table10[[#This Row],[Pcode]],'NFI Tracking'!AJ$12:AJ$1048576)</f>
        <v>0</v>
      </c>
      <c r="I6" s="335">
        <f>SUMIF('NFI Tracking'!AO$12:AO$1048576,Table10[[#This Row],[Pcode]],'NFI Tracking'!AK$12:AK$1048576)</f>
        <v>0</v>
      </c>
      <c r="J6" s="335">
        <f ca="1">MAX(Table10[[#This Row],[HH]]*VLOOKUP("Winter Clothes Adult",NFI,6)-Table10[[#This Row],[Winter Clothes Adult ]],0)</f>
        <v>286</v>
      </c>
      <c r="K6" s="335">
        <f ca="1">MAX(Table10[[#This Row],[HH]]*VLOOKUP("Winter Clothes Children ",NFI,6)-Table10[[#This Row],[Winter Clothes Children ]],0)</f>
        <v>143</v>
      </c>
      <c r="L6" s="335">
        <f ca="1">MAX(Table10[[#This Row],[HH]]*VLOOKUP("Winter Items Other ",NFI,6)-Table10[[#This Row],[Winter Items Other ]],0)</f>
        <v>143</v>
      </c>
      <c r="M6" s="368" t="str">
        <f>IF(OR(Table10[[#This Row],[Winter Clothes Adult ]]&lt;&gt;0,Table10[[#This Row],[Winter Clothes Children ]]&lt;&gt;0,Table10[[#This Row],[Winter Items Other ]]&lt;&gt;0),"No","")</f>
        <v/>
      </c>
      <c r="N6" s="369">
        <f>COUNTIF(A:A,Table10[[#This Row],[Pcode]])-1</f>
        <v>0</v>
      </c>
    </row>
    <row r="7" spans="1:20" x14ac:dyDescent="0.25">
      <c r="A7" s="312" t="s">
        <v>1022</v>
      </c>
      <c r="B7" s="25" t="str">
        <f ca="1">OFFSET(CampList[Priority],MATCH(Table10[[#This Row],[Pcode]],CampList[CP_Pcode],0)-1,0,1,1)</f>
        <v>P1</v>
      </c>
      <c r="C7" s="25" t="str">
        <f ca="1">OFFSET(CampList[Camp],MATCH(Table10[[#This Row],[Pcode]],CampList[CP_Pcode],0)-1,0,1,1)</f>
        <v>Saw Zam</v>
      </c>
      <c r="D7" s="25" t="str">
        <f ca="1">OFFSET(CampList[Township],MATCH(Table10[[#This Row],[Pcode]],CampList[CP_Pcode],0)-1,0,1,1)</f>
        <v>Chipwi</v>
      </c>
      <c r="E7" s="25">
        <f ca="1">OFFSET(CampList[HH],MATCH(Table10[[#This Row],[Pcode]],CampList[CP_Pcode],0)-1,0,1,1)</f>
        <v>30</v>
      </c>
      <c r="F7" s="25">
        <f ca="1">OFFSET(CampList[Total],MATCH(Table10[[#This Row],[Pcode]],CampList[CP_Pcode],0)-1,0,1,1)</f>
        <v>175</v>
      </c>
      <c r="G7" s="335">
        <f>SUMIF('NFI Tracking'!AO$12:AO$1048576,Table10[[#This Row],[Pcode]],'NFI Tracking'!AI$12:AI$1048576)</f>
        <v>0</v>
      </c>
      <c r="H7" s="335">
        <f>SUMIF('NFI Tracking'!AO$12:AO$1048576,Table10[[#This Row],[Pcode]],'NFI Tracking'!AJ$12:AJ$1048576)</f>
        <v>0</v>
      </c>
      <c r="I7" s="335">
        <f>SUMIF('NFI Tracking'!AO$12:AO$1048576,Table10[[#This Row],[Pcode]],'NFI Tracking'!AK$12:AK$1048576)</f>
        <v>0</v>
      </c>
      <c r="J7" s="335">
        <f ca="1">MAX(Table10[[#This Row],[HH]]*VLOOKUP("Winter Clothes Adult",NFI,6)-Table10[[#This Row],[Winter Clothes Adult ]],0)</f>
        <v>60</v>
      </c>
      <c r="K7" s="335">
        <f ca="1">MAX(Table10[[#This Row],[HH]]*VLOOKUP("Winter Clothes Children ",NFI,6)-Table10[[#This Row],[Winter Clothes Children ]],0)</f>
        <v>30</v>
      </c>
      <c r="L7" s="335">
        <f ca="1">MAX(Table10[[#This Row],[HH]]*VLOOKUP("Winter Items Other ",NFI,6)-Table10[[#This Row],[Winter Items Other ]],0)</f>
        <v>30</v>
      </c>
      <c r="M7" s="368" t="str">
        <f>IF(OR(Table10[[#This Row],[Winter Clothes Adult ]]&lt;&gt;0,Table10[[#This Row],[Winter Clothes Children ]]&lt;&gt;0,Table10[[#This Row],[Winter Items Other ]]&lt;&gt;0),"No","")</f>
        <v/>
      </c>
      <c r="N7" s="369">
        <f>COUNTIF(A:A,Table10[[#This Row],[Pcode]])-1</f>
        <v>0</v>
      </c>
    </row>
    <row r="8" spans="1:20" x14ac:dyDescent="0.25">
      <c r="A8" s="312" t="s">
        <v>864</v>
      </c>
      <c r="B8" s="25" t="str">
        <f ca="1">OFFSET(CampList[Priority],MATCH(Table10[[#This Row],[Pcode]],CampList[CP_Pcode],0)-1,0,1,1)</f>
        <v>P1</v>
      </c>
      <c r="C8" s="25" t="str">
        <f ca="1">OFFSET(CampList[Camp],MATCH(Table10[[#This Row],[Pcode]],CampList[CP_Pcode],0)-1,0,1,1)</f>
        <v>Pan Wa</v>
      </c>
      <c r="D8" s="25" t="str">
        <f ca="1">OFFSET(CampList[Township],MATCH(Table10[[#This Row],[Pcode]],CampList[CP_Pcode],0)-1,0,1,1)</f>
        <v>Chipwi</v>
      </c>
      <c r="E8" s="25">
        <f ca="1">OFFSET(CampList[HH],MATCH(Table10[[#This Row],[Pcode]],CampList[CP_Pcode],0)-1,0,1,1)</f>
        <v>60</v>
      </c>
      <c r="F8" s="25">
        <f ca="1">OFFSET(CampList[Total],MATCH(Table10[[#This Row],[Pcode]],CampList[CP_Pcode],0)-1,0,1,1)</f>
        <v>277</v>
      </c>
      <c r="G8" s="335">
        <f>SUMIF('NFI Tracking'!AO$12:AO$1048576,Table10[[#This Row],[Pcode]],'NFI Tracking'!AI$12:AI$1048576)</f>
        <v>0</v>
      </c>
      <c r="H8" s="335">
        <f>SUMIF('NFI Tracking'!AO$12:AO$1048576,Table10[[#This Row],[Pcode]],'NFI Tracking'!AJ$12:AJ$1048576)</f>
        <v>0</v>
      </c>
      <c r="I8" s="335">
        <f>SUMIF('NFI Tracking'!AO$12:AO$1048576,Table10[[#This Row],[Pcode]],'NFI Tracking'!AK$12:AK$1048576)</f>
        <v>0</v>
      </c>
      <c r="J8" s="335">
        <f ca="1">MAX(Table10[[#This Row],[HH]]*VLOOKUP("Winter Clothes Adult",NFI,6)-Table10[[#This Row],[Winter Clothes Adult ]],0)</f>
        <v>120</v>
      </c>
      <c r="K8" s="335">
        <f ca="1">MAX(Table10[[#This Row],[HH]]*VLOOKUP("Winter Clothes Children ",NFI,6)-Table10[[#This Row],[Winter Clothes Children ]],0)</f>
        <v>60</v>
      </c>
      <c r="L8" s="335">
        <f ca="1">MAX(Table10[[#This Row],[HH]]*VLOOKUP("Winter Items Other ",NFI,6)-Table10[[#This Row],[Winter Items Other ]],0)</f>
        <v>60</v>
      </c>
      <c r="M8" s="368" t="str">
        <f>IF(OR(Table10[[#This Row],[Winter Clothes Adult ]]&lt;&gt;0,Table10[[#This Row],[Winter Clothes Children ]]&lt;&gt;0,Table10[[#This Row],[Winter Items Other ]]&lt;&gt;0),"No","")</f>
        <v/>
      </c>
      <c r="N8" s="369">
        <f>COUNTIF(A:A,Table10[[#This Row],[Pcode]])-1</f>
        <v>0</v>
      </c>
    </row>
    <row r="9" spans="1:20" x14ac:dyDescent="0.25">
      <c r="A9" s="312" t="s">
        <v>335</v>
      </c>
      <c r="B9" s="25" t="str">
        <f ca="1">OFFSET(CampList[Priority],MATCH(Table10[[#This Row],[Pcode]],CampList[CP_Pcode],0)-1,0,1,1)</f>
        <v>P1</v>
      </c>
      <c r="C9" s="25" t="str">
        <f ca="1">OFFSET(CampList[Camp],MATCH(Table10[[#This Row],[Pcode]],CampList[CP_Pcode],0)-1,0,1,1)</f>
        <v>Hkau Shau (BP 12)</v>
      </c>
      <c r="D9" s="25" t="str">
        <f ca="1">OFFSET(CampList[Township],MATCH(Table10[[#This Row],[Pcode]],CampList[CP_Pcode],0)-1,0,1,1)</f>
        <v>Waingmaw</v>
      </c>
      <c r="E9" s="25">
        <f ca="1">OFFSET(CampList[HH],MATCH(Table10[[#This Row],[Pcode]],CampList[CP_Pcode],0)-1,0,1,1)</f>
        <v>146</v>
      </c>
      <c r="F9" s="25">
        <f ca="1">OFFSET(CampList[Total],MATCH(Table10[[#This Row],[Pcode]],CampList[CP_Pcode],0)-1,0,1,1)</f>
        <v>1072</v>
      </c>
      <c r="G9" s="335">
        <f>SUMIF('NFI Tracking'!AO$12:AO$1048576,Table10[[#This Row],[Pcode]],'NFI Tracking'!AI$12:AI$1048576)</f>
        <v>0</v>
      </c>
      <c r="H9" s="335">
        <f>SUMIF('NFI Tracking'!AO$12:AO$1048576,Table10[[#This Row],[Pcode]],'NFI Tracking'!AJ$12:AJ$1048576)</f>
        <v>0</v>
      </c>
      <c r="I9" s="335">
        <f>SUMIF('NFI Tracking'!AO$12:AO$1048576,Table10[[#This Row],[Pcode]],'NFI Tracking'!AK$12:AK$1048576)</f>
        <v>0</v>
      </c>
      <c r="J9" s="335">
        <f ca="1">MAX(Table10[[#This Row],[HH]]*VLOOKUP("Winter Clothes Adult",NFI,6)-Table10[[#This Row],[Winter Clothes Adult ]],0)</f>
        <v>292</v>
      </c>
      <c r="K9" s="335">
        <f ca="1">MAX(Table10[[#This Row],[HH]]*VLOOKUP("Winter Clothes Children ",NFI,6)-Table10[[#This Row],[Winter Clothes Children ]],0)</f>
        <v>146</v>
      </c>
      <c r="L9" s="335">
        <f ca="1">MAX(Table10[[#This Row],[HH]]*VLOOKUP("Winter Items Other ",NFI,6)-Table10[[#This Row],[Winter Items Other ]],0)</f>
        <v>146</v>
      </c>
      <c r="M9" s="368" t="str">
        <f>IF(OR(Table10[[#This Row],[Winter Clothes Adult ]]&lt;&gt;0,Table10[[#This Row],[Winter Clothes Children ]]&lt;&gt;0,Table10[[#This Row],[Winter Items Other ]]&lt;&gt;0),"No","")</f>
        <v/>
      </c>
      <c r="N9" s="369">
        <f>COUNTIF(A:A,Table10[[#This Row],[Pcode]])-1</f>
        <v>0</v>
      </c>
    </row>
    <row r="10" spans="1:20" x14ac:dyDescent="0.25">
      <c r="A10" s="312" t="s">
        <v>345</v>
      </c>
      <c r="B10" s="25" t="str">
        <f ca="1">OFFSET(CampList[Priority],MATCH(Table10[[#This Row],[Pcode]],CampList[CP_Pcode],0)-1,0,1,1)</f>
        <v>P1</v>
      </c>
      <c r="C10" s="25" t="str">
        <f ca="1">OFFSET(CampList[Camp],MATCH(Table10[[#This Row],[Pcode]],CampList[CP_Pcode],0)-1,0,1,1)</f>
        <v>Pajau - Jan Mai</v>
      </c>
      <c r="D10" s="25" t="str">
        <f ca="1">OFFSET(CampList[Township],MATCH(Table10[[#This Row],[Pcode]],CampList[CP_Pcode],0)-1,0,1,1)</f>
        <v>Waingmaw</v>
      </c>
      <c r="E10" s="25">
        <f ca="1">OFFSET(CampList[HH],MATCH(Table10[[#This Row],[Pcode]],CampList[CP_Pcode],0)-1,0,1,1)</f>
        <v>177</v>
      </c>
      <c r="F10" s="25">
        <f ca="1">OFFSET(CampList[Total],MATCH(Table10[[#This Row],[Pcode]],CampList[CP_Pcode],0)-1,0,1,1)</f>
        <v>844</v>
      </c>
      <c r="G10" s="335">
        <f>SUMIF('NFI Tracking'!AO$12:AO$1048576,Table10[[#This Row],[Pcode]],'NFI Tracking'!AI$12:AI$1048576)</f>
        <v>330</v>
      </c>
      <c r="H10" s="335">
        <f>SUMIF('NFI Tracking'!AO$12:AO$1048576,Table10[[#This Row],[Pcode]],'NFI Tracking'!AJ$12:AJ$1048576)</f>
        <v>1000</v>
      </c>
      <c r="I10" s="335">
        <f>SUMIF('NFI Tracking'!AO$12:AO$1048576,Table10[[#This Row],[Pcode]],'NFI Tracking'!AK$12:AK$1048576)</f>
        <v>0</v>
      </c>
      <c r="J10" s="335">
        <f ca="1">MAX(Table10[[#This Row],[HH]]*VLOOKUP("Winter Clothes Adult",NFI,6)-Table10[[#This Row],[Winter Clothes Adult ]],0)</f>
        <v>24</v>
      </c>
      <c r="K10" s="335">
        <f ca="1">MAX(Table10[[#This Row],[HH]]*VLOOKUP("Winter Clothes Children ",NFI,6)-Table10[[#This Row],[Winter Clothes Children ]],0)</f>
        <v>0</v>
      </c>
      <c r="L10" s="335">
        <f ca="1">MAX(Table10[[#This Row],[HH]]*VLOOKUP("Winter Items Other ",NFI,6)-Table10[[#This Row],[Winter Items Other ]],0)</f>
        <v>177</v>
      </c>
      <c r="M10" s="368" t="str">
        <f>IF(OR(Table10[[#This Row],[Winter Clothes Adult ]]&lt;&gt;0,Table10[[#This Row],[Winter Clothes Children ]]&lt;&gt;0,Table10[[#This Row],[Winter Items Other ]]&lt;&gt;0),"No","")</f>
        <v>No</v>
      </c>
      <c r="N10" s="369">
        <f>COUNTIF(A:A,Table10[[#This Row],[Pcode]])-1</f>
        <v>0</v>
      </c>
    </row>
    <row r="11" spans="1:20" x14ac:dyDescent="0.25">
      <c r="A11" s="312" t="s">
        <v>354</v>
      </c>
      <c r="B11" s="25" t="str">
        <f ca="1">OFFSET(CampList[Priority],MATCH(Table10[[#This Row],[Pcode]],CampList[CP_Pcode],0)-1,0,1,1)</f>
        <v>P1</v>
      </c>
      <c r="C11" s="25" t="str">
        <f ca="1">OFFSET(CampList[Camp],MATCH(Table10[[#This Row],[Pcode]],CampList[CP_Pcode],0)-1,0,1,1)</f>
        <v>Post 6 Camp</v>
      </c>
      <c r="D11" s="25" t="str">
        <f ca="1">OFFSET(CampList[Township],MATCH(Table10[[#This Row],[Pcode]],CampList[CP_Pcode],0)-1,0,1,1)</f>
        <v>Waingmaw</v>
      </c>
      <c r="E11" s="25">
        <f ca="1">OFFSET(CampList[HH],MATCH(Table10[[#This Row],[Pcode]],CampList[CP_Pcode],0)-1,0,1,1)</f>
        <v>98</v>
      </c>
      <c r="F11" s="25">
        <f ca="1">OFFSET(CampList[Total],MATCH(Table10[[#This Row],[Pcode]],CampList[CP_Pcode],0)-1,0,1,1)</f>
        <v>554</v>
      </c>
      <c r="G11" s="335">
        <f>SUMIF('NFI Tracking'!AO$12:AO$1048576,Table10[[#This Row],[Pcode]],'NFI Tracking'!AI$12:AI$1048576)</f>
        <v>0</v>
      </c>
      <c r="H11" s="335">
        <f>SUMIF('NFI Tracking'!AO$12:AO$1048576,Table10[[#This Row],[Pcode]],'NFI Tracking'!AJ$12:AJ$1048576)</f>
        <v>0</v>
      </c>
      <c r="I11" s="335">
        <f>SUMIF('NFI Tracking'!AO$12:AO$1048576,Table10[[#This Row],[Pcode]],'NFI Tracking'!AK$12:AK$1048576)</f>
        <v>0</v>
      </c>
      <c r="J11" s="335">
        <f ca="1">MAX(Table10[[#This Row],[HH]]*VLOOKUP("Winter Clothes Adult",NFI,6)-Table10[[#This Row],[Winter Clothes Adult ]],0)</f>
        <v>196</v>
      </c>
      <c r="K11" s="335">
        <f ca="1">MAX(Table10[[#This Row],[HH]]*VLOOKUP("Winter Clothes Children ",NFI,6)-Table10[[#This Row],[Winter Clothes Children ]],0)</f>
        <v>98</v>
      </c>
      <c r="L11" s="335">
        <f ca="1">MAX(Table10[[#This Row],[HH]]*VLOOKUP("Winter Items Other ",NFI,6)-Table10[[#This Row],[Winter Items Other ]],0)</f>
        <v>98</v>
      </c>
      <c r="M11" s="368" t="str">
        <f>IF(OR(Table10[[#This Row],[Winter Clothes Adult ]]&lt;&gt;0,Table10[[#This Row],[Winter Clothes Children ]]&lt;&gt;0,Table10[[#This Row],[Winter Items Other ]]&lt;&gt;0),"No","")</f>
        <v/>
      </c>
      <c r="N11" s="369">
        <f>COUNTIF(A:A,Table10[[#This Row],[Pcode]])-1</f>
        <v>0</v>
      </c>
    </row>
    <row r="12" spans="1:20" x14ac:dyDescent="0.25">
      <c r="A12" s="312" t="s">
        <v>333</v>
      </c>
      <c r="B12" s="25" t="str">
        <f ca="1">OFFSET(CampList[Priority],MATCH(Table10[[#This Row],[Pcode]],CampList[CP_Pcode],0)-1,0,1,1)</f>
        <v>P1</v>
      </c>
      <c r="C12" s="25" t="str">
        <f ca="1">OFFSET(CampList[Camp],MATCH(Table10[[#This Row],[Pcode]],CampList[CP_Pcode],0)-1,0,1,1)</f>
        <v>Border Post 8</v>
      </c>
      <c r="D12" s="25" t="str">
        <f ca="1">OFFSET(CampList[Township],MATCH(Table10[[#This Row],[Pcode]],CampList[CP_Pcode],0)-1,0,1,1)</f>
        <v>Waingmaw</v>
      </c>
      <c r="E12" s="25">
        <f ca="1">OFFSET(CampList[HH],MATCH(Table10[[#This Row],[Pcode]],CampList[CP_Pcode],0)-1,0,1,1)</f>
        <v>160</v>
      </c>
      <c r="F12" s="25">
        <f ca="1">OFFSET(CampList[Total],MATCH(Table10[[#This Row],[Pcode]],CampList[CP_Pcode],0)-1,0,1,1)</f>
        <v>648</v>
      </c>
      <c r="G12" s="335">
        <f>SUMIF('NFI Tracking'!AO$12:AO$1048576,Table10[[#This Row],[Pcode]],'NFI Tracking'!AI$12:AI$1048576)</f>
        <v>0</v>
      </c>
      <c r="H12" s="335">
        <f>SUMIF('NFI Tracking'!AO$12:AO$1048576,Table10[[#This Row],[Pcode]],'NFI Tracking'!AJ$12:AJ$1048576)</f>
        <v>0</v>
      </c>
      <c r="I12" s="335">
        <f>SUMIF('NFI Tracking'!AO$12:AO$1048576,Table10[[#This Row],[Pcode]],'NFI Tracking'!AK$12:AK$1048576)</f>
        <v>0</v>
      </c>
      <c r="J12" s="335">
        <f ca="1">MAX(Table10[[#This Row],[HH]]*VLOOKUP("Winter Clothes Adult",NFI,6)-Table10[[#This Row],[Winter Clothes Adult ]],0)</f>
        <v>320</v>
      </c>
      <c r="K12" s="335">
        <f ca="1">MAX(Table10[[#This Row],[HH]]*VLOOKUP("Winter Clothes Children ",NFI,6)-Table10[[#This Row],[Winter Clothes Children ]],0)</f>
        <v>160</v>
      </c>
      <c r="L12" s="335">
        <f ca="1">MAX(Table10[[#This Row],[HH]]*VLOOKUP("Winter Items Other ",NFI,6)-Table10[[#This Row],[Winter Items Other ]],0)</f>
        <v>160</v>
      </c>
      <c r="M12" s="368" t="str">
        <f>IF(OR(Table10[[#This Row],[Winter Clothes Adult ]]&lt;&gt;0,Table10[[#This Row],[Winter Clothes Children ]]&lt;&gt;0,Table10[[#This Row],[Winter Items Other ]]&lt;&gt;0),"No","")</f>
        <v/>
      </c>
      <c r="N12" s="369">
        <f>COUNTIF(A:A,Table10[[#This Row],[Pcode]])-1</f>
        <v>0</v>
      </c>
    </row>
    <row r="13" spans="1:20" x14ac:dyDescent="0.25">
      <c r="A13" s="312" t="s">
        <v>346</v>
      </c>
      <c r="B13" s="25" t="str">
        <f ca="1">OFFSET(CampList[Priority],MATCH(Table10[[#This Row],[Pcode]],CampList[CP_Pcode],0)-1,0,1,1)</f>
        <v>P1</v>
      </c>
      <c r="C13" s="25" t="str">
        <f ca="1">OFFSET(CampList[Camp],MATCH(Table10[[#This Row],[Pcode]],CampList[CP_Pcode],0)-1,0,1,1)</f>
        <v>Shing Jai</v>
      </c>
      <c r="D13" s="25" t="str">
        <f ca="1">OFFSET(CampList[Township],MATCH(Table10[[#This Row],[Pcode]],CampList[CP_Pcode],0)-1,0,1,1)</f>
        <v>Waingmaw</v>
      </c>
      <c r="E13" s="25">
        <f ca="1">OFFSET(CampList[HH],MATCH(Table10[[#This Row],[Pcode]],CampList[CP_Pcode],0)-1,0,1,1)</f>
        <v>179</v>
      </c>
      <c r="F13" s="25">
        <f ca="1">OFFSET(CampList[Total],MATCH(Table10[[#This Row],[Pcode]],CampList[CP_Pcode],0)-1,0,1,1)</f>
        <v>940</v>
      </c>
      <c r="G13" s="335">
        <f>SUMIF('NFI Tracking'!AO$12:AO$1048576,Table10[[#This Row],[Pcode]],'NFI Tracking'!AI$12:AI$1048576)</f>
        <v>0</v>
      </c>
      <c r="H13" s="335">
        <f>SUMIF('NFI Tracking'!AO$12:AO$1048576,Table10[[#This Row],[Pcode]],'NFI Tracking'!AJ$12:AJ$1048576)</f>
        <v>0</v>
      </c>
      <c r="I13" s="335">
        <f>SUMIF('NFI Tracking'!AO$12:AO$1048576,Table10[[#This Row],[Pcode]],'NFI Tracking'!AK$12:AK$1048576)</f>
        <v>0</v>
      </c>
      <c r="J13" s="335">
        <f ca="1">MAX(Table10[[#This Row],[HH]]*VLOOKUP("Winter Clothes Adult",NFI,6)-Table10[[#This Row],[Winter Clothes Adult ]],0)</f>
        <v>358</v>
      </c>
      <c r="K13" s="335">
        <f ca="1">MAX(Table10[[#This Row],[HH]]*VLOOKUP("Winter Clothes Children ",NFI,6)-Table10[[#This Row],[Winter Clothes Children ]],0)</f>
        <v>179</v>
      </c>
      <c r="L13" s="335">
        <f ca="1">MAX(Table10[[#This Row],[HH]]*VLOOKUP("Winter Items Other ",NFI,6)-Table10[[#This Row],[Winter Items Other ]],0)</f>
        <v>179</v>
      </c>
      <c r="M13" s="368" t="str">
        <f>IF(OR(Table10[[#This Row],[Winter Clothes Adult ]]&lt;&gt;0,Table10[[#This Row],[Winter Clothes Children ]]&lt;&gt;0,Table10[[#This Row],[Winter Items Other ]]&lt;&gt;0),"No","")</f>
        <v/>
      </c>
      <c r="N13" s="369">
        <f>COUNTIF(A:A,Table10[[#This Row],[Pcode]])-1</f>
        <v>0</v>
      </c>
    </row>
    <row r="14" spans="1:20" x14ac:dyDescent="0.25">
      <c r="A14" s="312" t="s">
        <v>214</v>
      </c>
      <c r="B14" s="25" t="str">
        <f ca="1">OFFSET(CampList[Priority],MATCH(Table10[[#This Row],[Pcode]],CampList[CP_Pcode],0)-1,0,1,1)</f>
        <v>P1</v>
      </c>
      <c r="C14" s="25" t="str">
        <f ca="1">OFFSET(CampList[Camp],MATCH(Table10[[#This Row],[Pcode]],CampList[CP_Pcode],0)-1,0,1,1)</f>
        <v xml:space="preserve">Nhkawng Pa </v>
      </c>
      <c r="D14" s="25" t="str">
        <f ca="1">OFFSET(CampList[Township],MATCH(Table10[[#This Row],[Pcode]],CampList[CP_Pcode],0)-1,0,1,1)</f>
        <v>Momauk</v>
      </c>
      <c r="E14" s="25">
        <f ca="1">OFFSET(CampList[HH],MATCH(Table10[[#This Row],[Pcode]],CampList[CP_Pcode],0)-1,0,1,1)</f>
        <v>375</v>
      </c>
      <c r="F14" s="25">
        <f ca="1">OFFSET(CampList[Total],MATCH(Table10[[#This Row],[Pcode]],CampList[CP_Pcode],0)-1,0,1,1)</f>
        <v>1598</v>
      </c>
      <c r="G14" s="335">
        <f>SUMIF('NFI Tracking'!AO$12:AO$1048576,Table10[[#This Row],[Pcode]],'NFI Tracking'!AI$12:AI$1048576)</f>
        <v>0</v>
      </c>
      <c r="H14" s="335">
        <f>SUMIF('NFI Tracking'!AO$12:AO$1048576,Table10[[#This Row],[Pcode]],'NFI Tracking'!AJ$12:AJ$1048576)</f>
        <v>0</v>
      </c>
      <c r="I14" s="335">
        <f>SUMIF('NFI Tracking'!AO$12:AO$1048576,Table10[[#This Row],[Pcode]],'NFI Tracking'!AK$12:AK$1048576)</f>
        <v>0</v>
      </c>
      <c r="J14" s="335">
        <f ca="1">MAX(Table10[[#This Row],[HH]]*VLOOKUP("Winter Clothes Adult",NFI,6)-Table10[[#This Row],[Winter Clothes Adult ]],0)</f>
        <v>750</v>
      </c>
      <c r="K14" s="335">
        <f ca="1">MAX(Table10[[#This Row],[HH]]*VLOOKUP("Winter Clothes Children ",NFI,6)-Table10[[#This Row],[Winter Clothes Children ]],0)</f>
        <v>375</v>
      </c>
      <c r="L14" s="335">
        <f ca="1">MAX(Table10[[#This Row],[HH]]*VLOOKUP("Winter Items Other ",NFI,6)-Table10[[#This Row],[Winter Items Other ]],0)</f>
        <v>375</v>
      </c>
      <c r="M14" s="368" t="str">
        <f>IF(OR(Table10[[#This Row],[Winter Clothes Adult ]]&lt;&gt;0,Table10[[#This Row],[Winter Clothes Children ]]&lt;&gt;0,Table10[[#This Row],[Winter Items Other ]]&lt;&gt;0),"No","")</f>
        <v/>
      </c>
      <c r="N14" s="369">
        <f>COUNTIF(A:A,Table10[[#This Row],[Pcode]])-1</f>
        <v>0</v>
      </c>
    </row>
    <row r="15" spans="1:20" x14ac:dyDescent="0.25">
      <c r="A15" s="312" t="s">
        <v>147</v>
      </c>
      <c r="B15" s="25" t="str">
        <f ca="1">OFFSET(CampList[Priority],MATCH(Table10[[#This Row],[Pcode]],CampList[CP_Pcode],0)-1,0,1,1)</f>
        <v>P1</v>
      </c>
      <c r="C15" s="25" t="str">
        <f ca="1">OFFSET(CampList[Camp],MATCH(Table10[[#This Row],[Pcode]],CampList[CP_Pcode],0)-1,0,1,1)</f>
        <v xml:space="preserve">Mungji Pa Dabang (Baptist Church)         </v>
      </c>
      <c r="D15" s="25" t="str">
        <f ca="1">OFFSET(CampList[Township],MATCH(Table10[[#This Row],[Pcode]],CampList[CP_Pcode],0)-1,0,1,1)</f>
        <v>Kutkai</v>
      </c>
      <c r="E15" s="25">
        <f ca="1">OFFSET(CampList[HH],MATCH(Table10[[#This Row],[Pcode]],CampList[CP_Pcode],0)-1,0,1,1)</f>
        <v>62</v>
      </c>
      <c r="F15" s="25">
        <f ca="1">OFFSET(CampList[Total],MATCH(Table10[[#This Row],[Pcode]],CampList[CP_Pcode],0)-1,0,1,1)</f>
        <v>281</v>
      </c>
      <c r="G15" s="335">
        <f>SUMIF('NFI Tracking'!AO$12:AO$1048576,Table10[[#This Row],[Pcode]],'NFI Tracking'!AI$12:AI$1048576)</f>
        <v>0</v>
      </c>
      <c r="H15" s="335">
        <f>SUMIF('NFI Tracking'!AO$12:AO$1048576,Table10[[#This Row],[Pcode]],'NFI Tracking'!AJ$12:AJ$1048576)</f>
        <v>0</v>
      </c>
      <c r="I15" s="335">
        <f>SUMIF('NFI Tracking'!AO$12:AO$1048576,Table10[[#This Row],[Pcode]],'NFI Tracking'!AK$12:AK$1048576)</f>
        <v>0</v>
      </c>
      <c r="J15" s="335">
        <f ca="1">MAX(Table10[[#This Row],[HH]]*VLOOKUP("Winter Clothes Adult",NFI,6)-Table10[[#This Row],[Winter Clothes Adult ]],0)</f>
        <v>124</v>
      </c>
      <c r="K15" s="335">
        <f ca="1">MAX(Table10[[#This Row],[HH]]*VLOOKUP("Winter Clothes Children ",NFI,6)-Table10[[#This Row],[Winter Clothes Children ]],0)</f>
        <v>62</v>
      </c>
      <c r="L15" s="335">
        <f ca="1">MAX(Table10[[#This Row],[HH]]*VLOOKUP("Winter Items Other ",NFI,6)-Table10[[#This Row],[Winter Items Other ]],0)</f>
        <v>62</v>
      </c>
      <c r="M15" s="368" t="str">
        <f>IF(OR(Table10[[#This Row],[Winter Clothes Adult ]]&lt;&gt;0,Table10[[#This Row],[Winter Clothes Children ]]&lt;&gt;0,Table10[[#This Row],[Winter Items Other ]]&lt;&gt;0),"No","")</f>
        <v/>
      </c>
      <c r="N15" s="369">
        <f>COUNTIF(A:A,Table10[[#This Row],[Pcode]])-1</f>
        <v>0</v>
      </c>
    </row>
    <row r="16" spans="1:20" x14ac:dyDescent="0.25">
      <c r="A16" s="312" t="s">
        <v>234</v>
      </c>
      <c r="B16" s="25" t="str">
        <f ca="1">OFFSET(CampList[Priority],MATCH(Table10[[#This Row],[Pcode]],CampList[CP_Pcode],0)-1,0,1,1)</f>
        <v>P1</v>
      </c>
      <c r="C16" s="25" t="str">
        <f ca="1">OFFSET(CampList[Camp],MATCH(Table10[[#This Row],[Pcode]],CampList[CP_Pcode],0)-1,0,1,1)</f>
        <v xml:space="preserve">Mung Baw </v>
      </c>
      <c r="D16" s="25" t="str">
        <f ca="1">OFFSET(CampList[Township],MATCH(Table10[[#This Row],[Pcode]],CampList[CP_Pcode],0)-1,0,1,1)</f>
        <v>Muse</v>
      </c>
      <c r="E16" s="25">
        <f ca="1">OFFSET(CampList[HH],MATCH(Table10[[#This Row],[Pcode]],CampList[CP_Pcode],0)-1,0,1,1)</f>
        <v>123</v>
      </c>
      <c r="F16" s="25">
        <f ca="1">OFFSET(CampList[Total],MATCH(Table10[[#This Row],[Pcode]],CampList[CP_Pcode],0)-1,0,1,1)</f>
        <v>503</v>
      </c>
      <c r="G16" s="335">
        <f>SUMIF('NFI Tracking'!AO$12:AO$1048576,Table10[[#This Row],[Pcode]],'NFI Tracking'!AI$12:AI$1048576)</f>
        <v>0</v>
      </c>
      <c r="H16" s="335">
        <f>SUMIF('NFI Tracking'!AO$12:AO$1048576,Table10[[#This Row],[Pcode]],'NFI Tracking'!AJ$12:AJ$1048576)</f>
        <v>0</v>
      </c>
      <c r="I16" s="335">
        <f>SUMIF('NFI Tracking'!AO$12:AO$1048576,Table10[[#This Row],[Pcode]],'NFI Tracking'!AK$12:AK$1048576)</f>
        <v>0</v>
      </c>
      <c r="J16" s="335">
        <f ca="1">MAX(Table10[[#This Row],[HH]]*VLOOKUP("Winter Clothes Adult",NFI,6)-Table10[[#This Row],[Winter Clothes Adult ]],0)</f>
        <v>246</v>
      </c>
      <c r="K16" s="335">
        <f ca="1">MAX(Table10[[#This Row],[HH]]*VLOOKUP("Winter Clothes Children ",NFI,6)-Table10[[#This Row],[Winter Clothes Children ]],0)</f>
        <v>123</v>
      </c>
      <c r="L16" s="335">
        <f ca="1">MAX(Table10[[#This Row],[HH]]*VLOOKUP("Winter Items Other ",NFI,6)-Table10[[#This Row],[Winter Items Other ]],0)</f>
        <v>123</v>
      </c>
      <c r="M16" s="368" t="str">
        <f>IF(OR(Table10[[#This Row],[Winter Clothes Adult ]]&lt;&gt;0,Table10[[#This Row],[Winter Clothes Children ]]&lt;&gt;0,Table10[[#This Row],[Winter Items Other ]]&lt;&gt;0),"No","")</f>
        <v/>
      </c>
      <c r="N16" s="369">
        <f>COUNTIF(A:A,Table10[[#This Row],[Pcode]])-1</f>
        <v>0</v>
      </c>
      <c r="Q16" s="334" t="s">
        <v>414</v>
      </c>
      <c r="R16" s="25" t="s">
        <v>1087</v>
      </c>
      <c r="S16" s="25" t="s">
        <v>1088</v>
      </c>
      <c r="T16" s="25" t="s">
        <v>1089</v>
      </c>
    </row>
    <row r="17" spans="1:20" x14ac:dyDescent="0.25">
      <c r="A17" s="312" t="s">
        <v>232</v>
      </c>
      <c r="B17" s="25" t="str">
        <f ca="1">OFFSET(CampList[Priority],MATCH(Table10[[#This Row],[Pcode]],CampList[CP_Pcode],0)-1,0,1,1)</f>
        <v>P1</v>
      </c>
      <c r="C17" s="25" t="str">
        <f ca="1">OFFSET(CampList[Camp],MATCH(Table10[[#This Row],[Pcode]],CampList[CP_Pcode],0)-1,0,1,1)</f>
        <v xml:space="preserve">Munekoe Pa (Giwang) - Hka San (Mung  Go  Pa ) </v>
      </c>
      <c r="D17" s="25" t="str">
        <f ca="1">OFFSET(CampList[Township],MATCH(Table10[[#This Row],[Pcode]],CampList[CP_Pcode],0)-1,0,1,1)</f>
        <v>Muse</v>
      </c>
      <c r="E17" s="25">
        <f ca="1">OFFSET(CampList[HH],MATCH(Table10[[#This Row],[Pcode]],CampList[CP_Pcode],0)-1,0,1,1)</f>
        <v>0</v>
      </c>
      <c r="F17" s="25">
        <f ca="1">OFFSET(CampList[Total],MATCH(Table10[[#This Row],[Pcode]],CampList[CP_Pcode],0)-1,0,1,1)</f>
        <v>0</v>
      </c>
      <c r="G17" s="335">
        <f>SUMIF('NFI Tracking'!AO$12:AO$1048576,Table10[[#This Row],[Pcode]],'NFI Tracking'!AI$12:AI$1048576)</f>
        <v>0</v>
      </c>
      <c r="H17" s="335">
        <f>SUMIF('NFI Tracking'!AO$12:AO$1048576,Table10[[#This Row],[Pcode]],'NFI Tracking'!AJ$12:AJ$1048576)</f>
        <v>0</v>
      </c>
      <c r="I17" s="335">
        <f>SUMIF('NFI Tracking'!AO$12:AO$1048576,Table10[[#This Row],[Pcode]],'NFI Tracking'!AK$12:AK$1048576)</f>
        <v>0</v>
      </c>
      <c r="J17" s="335">
        <f ca="1">MAX(Table10[[#This Row],[HH]]*VLOOKUP("Winter Clothes Adult",NFI,6)-Table10[[#This Row],[Winter Clothes Adult ]],0)</f>
        <v>0</v>
      </c>
      <c r="K17" s="335">
        <f ca="1">MAX(Table10[[#This Row],[HH]]*VLOOKUP("Winter Clothes Children ",NFI,6)-Table10[[#This Row],[Winter Clothes Children ]],0)</f>
        <v>0</v>
      </c>
      <c r="L17" s="335">
        <f ca="1">MAX(Table10[[#This Row],[HH]]*VLOOKUP("Winter Items Other ",NFI,6)-Table10[[#This Row],[Winter Items Other ]],0)</f>
        <v>0</v>
      </c>
      <c r="M17" s="368" t="str">
        <f>IF(OR(Table10[[#This Row],[Winter Clothes Adult ]]&lt;&gt;0,Table10[[#This Row],[Winter Clothes Children ]]&lt;&gt;0,Table10[[#This Row],[Winter Items Other ]]&lt;&gt;0),"No","")</f>
        <v/>
      </c>
      <c r="N17" s="369">
        <f>COUNTIF(A:A,Table10[[#This Row],[Pcode]])-1</f>
        <v>0</v>
      </c>
      <c r="Q17" s="333" t="s">
        <v>1079</v>
      </c>
      <c r="R17" s="337">
        <v>1982</v>
      </c>
      <c r="S17" s="337">
        <v>3386</v>
      </c>
      <c r="T17" s="337">
        <v>3902</v>
      </c>
    </row>
    <row r="18" spans="1:20" x14ac:dyDescent="0.25">
      <c r="A18" s="312" t="s">
        <v>187</v>
      </c>
      <c r="B18" s="25" t="str">
        <f ca="1">OFFSET(CampList[Priority],MATCH(Table10[[#This Row],[Pcode]],CampList[CP_Pcode],0)-1,0,1,1)</f>
        <v>P2</v>
      </c>
      <c r="C18" s="25" t="str">
        <f ca="1">OFFSET(CampList[Camp],MATCH(Table10[[#This Row],[Pcode]],CampList[CP_Pcode],0)-1,0,1,1)</f>
        <v xml:space="preserve">Bum Tsit Pa </v>
      </c>
      <c r="D18" s="25" t="str">
        <f ca="1">OFFSET(CampList[Township],MATCH(Table10[[#This Row],[Pcode]],CampList[CP_Pcode],0)-1,0,1,1)</f>
        <v>Mansi</v>
      </c>
      <c r="E18" s="25">
        <f ca="1">OFFSET(CampList[HH],MATCH(Table10[[#This Row],[Pcode]],CampList[CP_Pcode],0)-1,0,1,1)</f>
        <v>245</v>
      </c>
      <c r="F18" s="25">
        <f ca="1">OFFSET(CampList[Total],MATCH(Table10[[#This Row],[Pcode]],CampList[CP_Pcode],0)-1,0,1,1)</f>
        <v>1232</v>
      </c>
      <c r="G18" s="335">
        <f>SUMIF('NFI Tracking'!AO$12:AO$1048576,Table10[[#This Row],[Pcode]],'NFI Tracking'!AI$12:AI$1048576)</f>
        <v>0</v>
      </c>
      <c r="H18" s="335">
        <f>SUMIF('NFI Tracking'!AO$12:AO$1048576,Table10[[#This Row],[Pcode]],'NFI Tracking'!AJ$12:AJ$1048576)</f>
        <v>0</v>
      </c>
      <c r="I18" s="335">
        <f>SUMIF('NFI Tracking'!AO$12:AO$1048576,Table10[[#This Row],[Pcode]],'NFI Tracking'!AK$12:AK$1048576)</f>
        <v>0</v>
      </c>
      <c r="J18" s="335">
        <f ca="1">MAX(Table10[[#This Row],[HH]]*VLOOKUP("Winter Clothes Adult",NFI,6)-Table10[[#This Row],[Winter Clothes Adult ]],0)</f>
        <v>490</v>
      </c>
      <c r="K18" s="335">
        <f ca="1">MAX(Table10[[#This Row],[HH]]*VLOOKUP("Winter Clothes Children ",NFI,6)-Table10[[#This Row],[Winter Clothes Children ]],0)</f>
        <v>245</v>
      </c>
      <c r="L18" s="335">
        <f ca="1">MAX(Table10[[#This Row],[HH]]*VLOOKUP("Winter Items Other ",NFI,6)-Table10[[#This Row],[Winter Items Other ]],0)</f>
        <v>245</v>
      </c>
      <c r="M18" s="368" t="str">
        <f>IF(OR(Table10[[#This Row],[Winter Clothes Adult ]]&lt;&gt;0,Table10[[#This Row],[Winter Clothes Children ]]&lt;&gt;0,Table10[[#This Row],[Winter Items Other ]]&lt;&gt;0),"No","")</f>
        <v/>
      </c>
      <c r="N18" s="369">
        <f>COUNTIF(A:A,Table10[[#This Row],[Pcode]])-1</f>
        <v>0</v>
      </c>
      <c r="Q18" s="333" t="s">
        <v>1080</v>
      </c>
      <c r="R18" s="337">
        <v>8138</v>
      </c>
      <c r="S18" s="337">
        <v>11436</v>
      </c>
      <c r="T18" s="337">
        <v>11898</v>
      </c>
    </row>
    <row r="19" spans="1:20" x14ac:dyDescent="0.25">
      <c r="A19" s="312" t="s">
        <v>1037</v>
      </c>
      <c r="B19" s="25" t="str">
        <f ca="1">OFFSET(CampList[Priority],MATCH(Table10[[#This Row],[Pcode]],CampList[CP_Pcode],0)-1,0,1,1)</f>
        <v>P2</v>
      </c>
      <c r="C19" s="25" t="str">
        <f ca="1">OFFSET(CampList[Camp],MATCH(Table10[[#This Row],[Pcode]],CampList[CP_Pcode],0)-1,0,1,1)</f>
        <v>Bum Tsit Pa Camp II</v>
      </c>
      <c r="D19" s="25" t="str">
        <f ca="1">OFFSET(CampList[Township],MATCH(Table10[[#This Row],[Pcode]],CampList[CP_Pcode],0)-1,0,1,1)</f>
        <v>Mansi</v>
      </c>
      <c r="E19" s="25">
        <f ca="1">OFFSET(CampList[HH],MATCH(Table10[[#This Row],[Pcode]],CampList[CP_Pcode],0)-1,0,1,1)</f>
        <v>219</v>
      </c>
      <c r="F19" s="25">
        <f ca="1">OFFSET(CampList[Total],MATCH(Table10[[#This Row],[Pcode]],CampList[CP_Pcode],0)-1,0,1,1)</f>
        <v>891</v>
      </c>
      <c r="G19" s="335">
        <f>SUMIF('NFI Tracking'!AO$12:AO$1048576,Table10[[#This Row],[Pcode]],'NFI Tracking'!AI$12:AI$1048576)</f>
        <v>0</v>
      </c>
      <c r="H19" s="335">
        <f>SUMIF('NFI Tracking'!AO$12:AO$1048576,Table10[[#This Row],[Pcode]],'NFI Tracking'!AJ$12:AJ$1048576)</f>
        <v>0</v>
      </c>
      <c r="I19" s="335">
        <f>SUMIF('NFI Tracking'!AO$12:AO$1048576,Table10[[#This Row],[Pcode]],'NFI Tracking'!AK$12:AK$1048576)</f>
        <v>0</v>
      </c>
      <c r="J19" s="335">
        <f ca="1">MAX(Table10[[#This Row],[HH]]*VLOOKUP("Winter Clothes Adult",NFI,6)-Table10[[#This Row],[Winter Clothes Adult ]],0)</f>
        <v>438</v>
      </c>
      <c r="K19" s="335">
        <f ca="1">MAX(Table10[[#This Row],[HH]]*VLOOKUP("Winter Clothes Children ",NFI,6)-Table10[[#This Row],[Winter Clothes Children ]],0)</f>
        <v>219</v>
      </c>
      <c r="L19" s="335">
        <f ca="1">MAX(Table10[[#This Row],[HH]]*VLOOKUP("Winter Items Other ",NFI,6)-Table10[[#This Row],[Winter Items Other ]],0)</f>
        <v>219</v>
      </c>
      <c r="M19" s="368" t="str">
        <f>IF(OR(Table10[[#This Row],[Winter Clothes Adult ]]&lt;&gt;0,Table10[[#This Row],[Winter Clothes Children ]]&lt;&gt;0,Table10[[#This Row],[Winter Items Other ]]&lt;&gt;0),"No","")</f>
        <v/>
      </c>
      <c r="N19" s="369">
        <f>COUNTIF(A:A,Table10[[#This Row],[Pcode]])-1</f>
        <v>0</v>
      </c>
      <c r="Q19" s="333" t="s">
        <v>1081</v>
      </c>
      <c r="R19" s="337">
        <v>1850</v>
      </c>
      <c r="S19" s="337">
        <v>3280</v>
      </c>
      <c r="T19" s="337">
        <v>2658</v>
      </c>
    </row>
    <row r="20" spans="1:20" x14ac:dyDescent="0.25">
      <c r="A20" s="312" t="s">
        <v>197</v>
      </c>
      <c r="B20" s="25" t="str">
        <f ca="1">OFFSET(CampList[Priority],MATCH(Table10[[#This Row],[Pcode]],CampList[CP_Pcode],0)-1,0,1,1)</f>
        <v>P2</v>
      </c>
      <c r="C20" s="25" t="str">
        <f ca="1">OFFSET(CampList[Camp],MATCH(Table10[[#This Row],[Pcode]],CampList[CP_Pcode],0)-1,0,1,1)</f>
        <v xml:space="preserve">Lana Zup Ja </v>
      </c>
      <c r="D20" s="25" t="str">
        <f ca="1">OFFSET(CampList[Township],MATCH(Table10[[#This Row],[Pcode]],CampList[CP_Pcode],0)-1,0,1,1)</f>
        <v>Mansi</v>
      </c>
      <c r="E20" s="25">
        <f ca="1">OFFSET(CampList[HH],MATCH(Table10[[#This Row],[Pcode]],CampList[CP_Pcode],0)-1,0,1,1)</f>
        <v>545</v>
      </c>
      <c r="F20" s="25">
        <f ca="1">OFFSET(CampList[Total],MATCH(Table10[[#This Row],[Pcode]],CampList[CP_Pcode],0)-1,0,1,1)</f>
        <v>2560</v>
      </c>
      <c r="G20" s="335">
        <f>SUMIF('NFI Tracking'!AO$12:AO$1048576,Table10[[#This Row],[Pcode]],'NFI Tracking'!AI$12:AI$1048576)</f>
        <v>0</v>
      </c>
      <c r="H20" s="335">
        <f>SUMIF('NFI Tracking'!AO$12:AO$1048576,Table10[[#This Row],[Pcode]],'NFI Tracking'!AJ$12:AJ$1048576)</f>
        <v>0</v>
      </c>
      <c r="I20" s="335">
        <f>SUMIF('NFI Tracking'!AO$12:AO$1048576,Table10[[#This Row],[Pcode]],'NFI Tracking'!AK$12:AK$1048576)</f>
        <v>0</v>
      </c>
      <c r="J20" s="335">
        <f ca="1">MAX(Table10[[#This Row],[HH]]*VLOOKUP("Winter Clothes Adult",NFI,6)-Table10[[#This Row],[Winter Clothes Adult ]],0)</f>
        <v>1090</v>
      </c>
      <c r="K20" s="335">
        <f ca="1">MAX(Table10[[#This Row],[HH]]*VLOOKUP("Winter Clothes Children ",NFI,6)-Table10[[#This Row],[Winter Clothes Children ]],0)</f>
        <v>545</v>
      </c>
      <c r="L20" s="335">
        <f ca="1">MAX(Table10[[#This Row],[HH]]*VLOOKUP("Winter Items Other ",NFI,6)-Table10[[#This Row],[Winter Items Other ]],0)</f>
        <v>545</v>
      </c>
      <c r="M20" s="368" t="str">
        <f>IF(OR(Table10[[#This Row],[Winter Clothes Adult ]]&lt;&gt;0,Table10[[#This Row],[Winter Clothes Children ]]&lt;&gt;0,Table10[[#This Row],[Winter Items Other ]]&lt;&gt;0),"No","")</f>
        <v/>
      </c>
      <c r="N20" s="369">
        <f>COUNTIF(A:A,Table10[[#This Row],[Pcode]])-1</f>
        <v>0</v>
      </c>
      <c r="Q20" s="333" t="s">
        <v>1095</v>
      </c>
      <c r="R20" s="337">
        <v>17942</v>
      </c>
      <c r="S20" s="337">
        <v>27631</v>
      </c>
      <c r="T20" s="337">
        <v>20936</v>
      </c>
    </row>
    <row r="21" spans="1:20" x14ac:dyDescent="0.25">
      <c r="A21" s="312" t="s">
        <v>157</v>
      </c>
      <c r="B21" s="25" t="str">
        <f ca="1">OFFSET(CampList[Priority],MATCH(Table10[[#This Row],[Pcode]],CampList[CP_Pcode],0)-1,0,1,1)</f>
        <v>P2</v>
      </c>
      <c r="C21" s="25" t="str">
        <f ca="1">OFFSET(CampList[Camp],MATCH(Table10[[#This Row],[Pcode]],CampList[CP_Pcode],0)-1,0,1,1)</f>
        <v>Lung Kawk  ( Hka Hkye Zup)</v>
      </c>
      <c r="D21" s="25" t="str">
        <f ca="1">OFFSET(CampList[Township],MATCH(Table10[[#This Row],[Pcode]],CampList[CP_Pcode],0)-1,0,1,1)</f>
        <v>Mansi</v>
      </c>
      <c r="E21" s="25">
        <f ca="1">OFFSET(CampList[HH],MATCH(Table10[[#This Row],[Pcode]],CampList[CP_Pcode],0)-1,0,1,1)</f>
        <v>0</v>
      </c>
      <c r="F21" s="25">
        <f ca="1">OFFSET(CampList[Total],MATCH(Table10[[#This Row],[Pcode]],CampList[CP_Pcode],0)-1,0,1,1)</f>
        <v>0</v>
      </c>
      <c r="G21" s="335">
        <f>SUMIF('NFI Tracking'!AO$12:AO$1048576,Table10[[#This Row],[Pcode]],'NFI Tracking'!AI$12:AI$1048576)</f>
        <v>0</v>
      </c>
      <c r="H21" s="335">
        <f>SUMIF('NFI Tracking'!AO$12:AO$1048576,Table10[[#This Row],[Pcode]],'NFI Tracking'!AJ$12:AJ$1048576)</f>
        <v>0</v>
      </c>
      <c r="I21" s="335">
        <f>SUMIF('NFI Tracking'!AO$12:AO$1048576,Table10[[#This Row],[Pcode]],'NFI Tracking'!AK$12:AK$1048576)</f>
        <v>0</v>
      </c>
      <c r="J21" s="335">
        <f ca="1">MAX(Table10[[#This Row],[HH]]*VLOOKUP("Winter Clothes Adult",NFI,6)-Table10[[#This Row],[Winter Clothes Adult ]],0)</f>
        <v>0</v>
      </c>
      <c r="K21" s="335">
        <f ca="1">MAX(Table10[[#This Row],[HH]]*VLOOKUP("Winter Clothes Children ",NFI,6)-Table10[[#This Row],[Winter Clothes Children ]],0)</f>
        <v>0</v>
      </c>
      <c r="L21" s="335">
        <f ca="1">MAX(Table10[[#This Row],[HH]]*VLOOKUP("Winter Items Other ",NFI,6)-Table10[[#This Row],[Winter Items Other ]],0)</f>
        <v>0</v>
      </c>
      <c r="M21" s="368" t="str">
        <f>IF(OR(Table10[[#This Row],[Winter Clothes Adult ]]&lt;&gt;0,Table10[[#This Row],[Winter Clothes Children ]]&lt;&gt;0,Table10[[#This Row],[Winter Items Other ]]&lt;&gt;0),"No","")</f>
        <v/>
      </c>
      <c r="N21" s="369">
        <f>COUNTIF(A:A,Table10[[#This Row],[Pcode]])-1</f>
        <v>0</v>
      </c>
      <c r="Q21" s="333" t="s">
        <v>415</v>
      </c>
      <c r="R21" s="337">
        <v>29912</v>
      </c>
      <c r="S21" s="337">
        <v>45733</v>
      </c>
      <c r="T21" s="337">
        <v>39394</v>
      </c>
    </row>
    <row r="22" spans="1:20" x14ac:dyDescent="0.25">
      <c r="A22" s="312" t="s">
        <v>193</v>
      </c>
      <c r="B22" s="25" t="str">
        <f ca="1">OFFSET(CampList[Priority],MATCH(Table10[[#This Row],[Pcode]],CampList[CP_Pcode],0)-1,0,1,1)</f>
        <v>P2</v>
      </c>
      <c r="C22" s="25" t="str">
        <f ca="1">OFFSET(CampList[Camp],MATCH(Table10[[#This Row],[Pcode]],CampList[CP_Pcode],0)-1,0,1,1)</f>
        <v xml:space="preserve">Hpun Lum Yang </v>
      </c>
      <c r="D22" s="25" t="str">
        <f ca="1">OFFSET(CampList[Township],MATCH(Table10[[#This Row],[Pcode]],CampList[CP_Pcode],0)-1,0,1,1)</f>
        <v>Momauk</v>
      </c>
      <c r="E22" s="25">
        <f ca="1">OFFSET(CampList[HH],MATCH(Table10[[#This Row],[Pcode]],CampList[CP_Pcode],0)-1,0,1,1)</f>
        <v>604</v>
      </c>
      <c r="F22" s="25">
        <f ca="1">OFFSET(CampList[Total],MATCH(Table10[[#This Row],[Pcode]],CampList[CP_Pcode],0)-1,0,1,1)</f>
        <v>2888</v>
      </c>
      <c r="G22" s="335">
        <f>SUMIF('NFI Tracking'!AO$12:AO$1048576,Table10[[#This Row],[Pcode]],'NFI Tracking'!AI$12:AI$1048576)</f>
        <v>0</v>
      </c>
      <c r="H22" s="335">
        <f>SUMIF('NFI Tracking'!AO$12:AO$1048576,Table10[[#This Row],[Pcode]],'NFI Tracking'!AJ$12:AJ$1048576)</f>
        <v>0</v>
      </c>
      <c r="I22" s="335">
        <f>SUMIF('NFI Tracking'!AO$12:AO$1048576,Table10[[#This Row],[Pcode]],'NFI Tracking'!AK$12:AK$1048576)</f>
        <v>0</v>
      </c>
      <c r="J22" s="335">
        <f ca="1">MAX(Table10[[#This Row],[HH]]*VLOOKUP("Winter Clothes Adult",NFI,6)-Table10[[#This Row],[Winter Clothes Adult ]],0)</f>
        <v>1208</v>
      </c>
      <c r="K22" s="335">
        <f ca="1">MAX(Table10[[#This Row],[HH]]*VLOOKUP("Winter Clothes Children ",NFI,6)-Table10[[#This Row],[Winter Clothes Children ]],0)</f>
        <v>604</v>
      </c>
      <c r="L22" s="335">
        <f ca="1">MAX(Table10[[#This Row],[HH]]*VLOOKUP("Winter Items Other ",NFI,6)-Table10[[#This Row],[Winter Items Other ]],0)</f>
        <v>604</v>
      </c>
      <c r="M22" s="368" t="str">
        <f>IF(OR(Table10[[#This Row],[Winter Clothes Adult ]]&lt;&gt;0,Table10[[#This Row],[Winter Clothes Children ]]&lt;&gt;0,Table10[[#This Row],[Winter Items Other ]]&lt;&gt;0),"No","")</f>
        <v/>
      </c>
      <c r="N22" s="369">
        <f>COUNTIF(A:A,Table10[[#This Row],[Pcode]])-1</f>
        <v>0</v>
      </c>
    </row>
    <row r="23" spans="1:20" x14ac:dyDescent="0.25">
      <c r="A23" s="312" t="s">
        <v>195</v>
      </c>
      <c r="B23" s="25" t="str">
        <f ca="1">OFFSET(CampList[Priority],MATCH(Table10[[#This Row],[Pcode]],CampList[CP_Pcode],0)-1,0,1,1)</f>
        <v>P2</v>
      </c>
      <c r="C23" s="25" t="str">
        <f ca="1">OFFSET(CampList[Camp],MATCH(Table10[[#This Row],[Pcode]],CampList[CP_Pcode],0)-1,0,1,1)</f>
        <v xml:space="preserve">Je Yang Hka </v>
      </c>
      <c r="D23" s="25" t="str">
        <f ca="1">OFFSET(CampList[Township],MATCH(Table10[[#This Row],[Pcode]],CampList[CP_Pcode],0)-1,0,1,1)</f>
        <v>Waingmaw</v>
      </c>
      <c r="E23" s="25">
        <f ca="1">OFFSET(CampList[HH],MATCH(Table10[[#This Row],[Pcode]],CampList[CP_Pcode],0)-1,0,1,1)</f>
        <v>1658</v>
      </c>
      <c r="F23" s="25">
        <f ca="1">OFFSET(CampList[Total],MATCH(Table10[[#This Row],[Pcode]],CampList[CP_Pcode],0)-1,0,1,1)</f>
        <v>8585</v>
      </c>
      <c r="G23" s="335">
        <f>SUMIF('NFI Tracking'!AO$12:AO$1048576,Table10[[#This Row],[Pcode]],'NFI Tracking'!AI$12:AI$1048576)</f>
        <v>0</v>
      </c>
      <c r="H23" s="335">
        <f>SUMIF('NFI Tracking'!AO$12:AO$1048576,Table10[[#This Row],[Pcode]],'NFI Tracking'!AJ$12:AJ$1048576)</f>
        <v>0</v>
      </c>
      <c r="I23" s="335">
        <f>SUMIF('NFI Tracking'!AO$12:AO$1048576,Table10[[#This Row],[Pcode]],'NFI Tracking'!AK$12:AK$1048576)</f>
        <v>0</v>
      </c>
      <c r="J23" s="335">
        <f ca="1">MAX(Table10[[#This Row],[HH]]*VLOOKUP("Winter Clothes Adult",NFI,6)-Table10[[#This Row],[Winter Clothes Adult ]],0)</f>
        <v>3316</v>
      </c>
      <c r="K23" s="335">
        <f ca="1">MAX(Table10[[#This Row],[HH]]*VLOOKUP("Winter Clothes Children ",NFI,6)-Table10[[#This Row],[Winter Clothes Children ]],0)</f>
        <v>1658</v>
      </c>
      <c r="L23" s="335">
        <f ca="1">MAX(Table10[[#This Row],[HH]]*VLOOKUP("Winter Items Other ",NFI,6)-Table10[[#This Row],[Winter Items Other ]],0)</f>
        <v>1658</v>
      </c>
      <c r="M23" s="368" t="str">
        <f>IF(OR(Table10[[#This Row],[Winter Clothes Adult ]]&lt;&gt;0,Table10[[#This Row],[Winter Clothes Children ]]&lt;&gt;0,Table10[[#This Row],[Winter Items Other ]]&lt;&gt;0),"No","")</f>
        <v/>
      </c>
      <c r="N23" s="369">
        <f>COUNTIF(A:A,Table10[[#This Row],[Pcode]])-1</f>
        <v>0</v>
      </c>
    </row>
    <row r="24" spans="1:20" x14ac:dyDescent="0.25">
      <c r="A24" s="312" t="s">
        <v>218</v>
      </c>
      <c r="B24" s="25" t="str">
        <f ca="1">OFFSET(CampList[Priority],MATCH(Table10[[#This Row],[Pcode]],CampList[CP_Pcode],0)-1,0,1,1)</f>
        <v>P2</v>
      </c>
      <c r="C24" s="25" t="str">
        <f ca="1">OFFSET(CampList[Camp],MATCH(Table10[[#This Row],[Pcode]],CampList[CP_Pcode],0)-1,0,1,1)</f>
        <v xml:space="preserve">Pa Kahtawng </v>
      </c>
      <c r="D24" s="25" t="str">
        <f ca="1">OFFSET(CampList[Township],MATCH(Table10[[#This Row],[Pcode]],CampList[CP_Pcode],0)-1,0,1,1)</f>
        <v>Momauk</v>
      </c>
      <c r="E24" s="25">
        <f ca="1">OFFSET(CampList[HH],MATCH(Table10[[#This Row],[Pcode]],CampList[CP_Pcode],0)-1,0,1,1)</f>
        <v>677</v>
      </c>
      <c r="F24" s="25">
        <f ca="1">OFFSET(CampList[Total],MATCH(Table10[[#This Row],[Pcode]],CampList[CP_Pcode],0)-1,0,1,1)</f>
        <v>3622</v>
      </c>
      <c r="G24" s="335">
        <f>SUMIF('NFI Tracking'!AO$12:AO$1048576,Table10[[#This Row],[Pcode]],'NFI Tracking'!AI$12:AI$1048576)</f>
        <v>0</v>
      </c>
      <c r="H24" s="335">
        <f>SUMIF('NFI Tracking'!AO$12:AO$1048576,Table10[[#This Row],[Pcode]],'NFI Tracking'!AJ$12:AJ$1048576)</f>
        <v>0</v>
      </c>
      <c r="I24" s="335">
        <f>SUMIF('NFI Tracking'!AO$12:AO$1048576,Table10[[#This Row],[Pcode]],'NFI Tracking'!AK$12:AK$1048576)</f>
        <v>0</v>
      </c>
      <c r="J24" s="335">
        <f ca="1">MAX(Table10[[#This Row],[HH]]*VLOOKUP("Winter Clothes Adult",NFI,6)-Table10[[#This Row],[Winter Clothes Adult ]],0)</f>
        <v>1354</v>
      </c>
      <c r="K24" s="335">
        <f ca="1">MAX(Table10[[#This Row],[HH]]*VLOOKUP("Winter Clothes Children ",NFI,6)-Table10[[#This Row],[Winter Clothes Children ]],0)</f>
        <v>677</v>
      </c>
      <c r="L24" s="335">
        <f ca="1">MAX(Table10[[#This Row],[HH]]*VLOOKUP("Winter Items Other ",NFI,6)-Table10[[#This Row],[Winter Items Other ]],0)</f>
        <v>677</v>
      </c>
      <c r="M24" s="368" t="str">
        <f>IF(OR(Table10[[#This Row],[Winter Clothes Adult ]]&lt;&gt;0,Table10[[#This Row],[Winter Clothes Children ]]&lt;&gt;0,Table10[[#This Row],[Winter Items Other ]]&lt;&gt;0),"No","")</f>
        <v/>
      </c>
      <c r="N24" s="369">
        <f>COUNTIF(A:A,Table10[[#This Row],[Pcode]])-1</f>
        <v>0</v>
      </c>
    </row>
    <row r="25" spans="1:20" x14ac:dyDescent="0.25">
      <c r="A25" s="312" t="s">
        <v>191</v>
      </c>
      <c r="B25" s="25" t="str">
        <f ca="1">OFFSET(CampList[Priority],MATCH(Table10[[#This Row],[Pcode]],CampList[CP_Pcode],0)-1,0,1,1)</f>
        <v>P2</v>
      </c>
      <c r="C25" s="25" t="str">
        <f ca="1">OFFSET(CampList[Camp],MATCH(Table10[[#This Row],[Pcode]],CampList[CP_Pcode],0)-1,0,1,1)</f>
        <v xml:space="preserve">Dum Bung </v>
      </c>
      <c r="D25" s="25" t="str">
        <f ca="1">OFFSET(CampList[Township],MATCH(Table10[[#This Row],[Pcode]],CampList[CP_Pcode],0)-1,0,1,1)</f>
        <v>Momauk</v>
      </c>
      <c r="E25" s="25">
        <f ca="1">OFFSET(CampList[HH],MATCH(Table10[[#This Row],[Pcode]],CampList[CP_Pcode],0)-1,0,1,1)</f>
        <v>116</v>
      </c>
      <c r="F25" s="25">
        <f ca="1">OFFSET(CampList[Total],MATCH(Table10[[#This Row],[Pcode]],CampList[CP_Pcode],0)-1,0,1,1)</f>
        <v>602</v>
      </c>
      <c r="G25" s="335">
        <f>SUMIF('NFI Tracking'!AO$12:AO$1048576,Table10[[#This Row],[Pcode]],'NFI Tracking'!AI$12:AI$1048576)</f>
        <v>0</v>
      </c>
      <c r="H25" s="335">
        <f>SUMIF('NFI Tracking'!AO$12:AO$1048576,Table10[[#This Row],[Pcode]],'NFI Tracking'!AJ$12:AJ$1048576)</f>
        <v>0</v>
      </c>
      <c r="I25" s="335">
        <f>SUMIF('NFI Tracking'!AO$12:AO$1048576,Table10[[#This Row],[Pcode]],'NFI Tracking'!AK$12:AK$1048576)</f>
        <v>0</v>
      </c>
      <c r="J25" s="335">
        <f ca="1">MAX(Table10[[#This Row],[HH]]*VLOOKUP("Winter Clothes Adult",NFI,6)-Table10[[#This Row],[Winter Clothes Adult ]],0)</f>
        <v>232</v>
      </c>
      <c r="K25" s="335">
        <f ca="1">MAX(Table10[[#This Row],[HH]]*VLOOKUP("Winter Clothes Children ",NFI,6)-Table10[[#This Row],[Winter Clothes Children ]],0)</f>
        <v>116</v>
      </c>
      <c r="L25" s="335">
        <f ca="1">MAX(Table10[[#This Row],[HH]]*VLOOKUP("Winter Items Other ",NFI,6)-Table10[[#This Row],[Winter Items Other ]],0)</f>
        <v>116</v>
      </c>
      <c r="M25" s="368" t="str">
        <f>IF(OR(Table10[[#This Row],[Winter Clothes Adult ]]&lt;&gt;0,Table10[[#This Row],[Winter Clothes Children ]]&lt;&gt;0,Table10[[#This Row],[Winter Items Other ]]&lt;&gt;0),"No","")</f>
        <v/>
      </c>
      <c r="N25" s="369">
        <f>COUNTIF(A:A,Table10[[#This Row],[Pcode]])-1</f>
        <v>0</v>
      </c>
    </row>
    <row r="26" spans="1:20" x14ac:dyDescent="0.25">
      <c r="A26" s="312" t="s">
        <v>815</v>
      </c>
      <c r="B26" s="25" t="str">
        <f ca="1">OFFSET(CampList[Priority],MATCH(Table10[[#This Row],[Pcode]],CampList[CP_Pcode],0)-1,0,1,1)</f>
        <v>P2</v>
      </c>
      <c r="C26" s="25" t="str">
        <f ca="1">OFFSET(CampList[Camp],MATCH(Table10[[#This Row],[Pcode]],CampList[CP_Pcode],0)-1,0,1,1)</f>
        <v>IDP Boarding School, A Len Bum</v>
      </c>
      <c r="D26" s="25" t="str">
        <f ca="1">OFFSET(CampList[Township],MATCH(Table10[[#This Row],[Pcode]],CampList[CP_Pcode],0)-1,0,1,1)</f>
        <v>Waingmaw</v>
      </c>
      <c r="E26" s="25">
        <f ca="1">OFFSET(CampList[HH],MATCH(Table10[[#This Row],[Pcode]],CampList[CP_Pcode],0)-1,0,1,1)</f>
        <v>0</v>
      </c>
      <c r="F26" s="25">
        <f ca="1">OFFSET(CampList[Total],MATCH(Table10[[#This Row],[Pcode]],CampList[CP_Pcode],0)-1,0,1,1)</f>
        <v>1047</v>
      </c>
      <c r="G26" s="335">
        <f>SUMIF('NFI Tracking'!AO$12:AO$1048576,Table10[[#This Row],[Pcode]],'NFI Tracking'!AI$12:AI$1048576)</f>
        <v>0</v>
      </c>
      <c r="H26" s="335">
        <f>SUMIF('NFI Tracking'!AO$12:AO$1048576,Table10[[#This Row],[Pcode]],'NFI Tracking'!AJ$12:AJ$1048576)</f>
        <v>0</v>
      </c>
      <c r="I26" s="335">
        <f>SUMIF('NFI Tracking'!AO$12:AO$1048576,Table10[[#This Row],[Pcode]],'NFI Tracking'!AK$12:AK$1048576)</f>
        <v>0</v>
      </c>
      <c r="J26" s="335">
        <f ca="1">MAX(Table10[[#This Row],[HH]]*VLOOKUP("Winter Clothes Adult",NFI,6)-Table10[[#This Row],[Winter Clothes Adult ]],0)</f>
        <v>0</v>
      </c>
      <c r="K26" s="335">
        <f ca="1">MAX(Table10[[#This Row],[HH]]*VLOOKUP("Winter Clothes Children ",NFI,6)-Table10[[#This Row],[Winter Clothes Children ]],0)</f>
        <v>0</v>
      </c>
      <c r="L26" s="335">
        <f ca="1">MAX(Table10[[#This Row],[HH]]*VLOOKUP("Winter Items Other ",NFI,6)-Table10[[#This Row],[Winter Items Other ]],0)</f>
        <v>0</v>
      </c>
      <c r="M26" s="368" t="str">
        <f>IF(OR(Table10[[#This Row],[Winter Clothes Adult ]]&lt;&gt;0,Table10[[#This Row],[Winter Clothes Children ]]&lt;&gt;0,Table10[[#This Row],[Winter Items Other ]]&lt;&gt;0),"No","")</f>
        <v/>
      </c>
      <c r="N26" s="369">
        <f>COUNTIF(A:A,Table10[[#This Row],[Pcode]])-1</f>
        <v>0</v>
      </c>
    </row>
    <row r="27" spans="1:20" x14ac:dyDescent="0.25">
      <c r="A27" s="312" t="s">
        <v>314</v>
      </c>
      <c r="B27" s="25" t="str">
        <f ca="1">OFFSET(CampList[Priority],MATCH(Table10[[#This Row],[Pcode]],CampList[CP_Pcode],0)-1,0,1,1)</f>
        <v>P2</v>
      </c>
      <c r="C27" s="25" t="str">
        <f ca="1">OFFSET(CampList[Camp],MATCH(Table10[[#This Row],[Pcode]],CampList[CP_Pcode],0)-1,0,1,1)</f>
        <v>Laiza Market 3 - Laiza Gat</v>
      </c>
      <c r="D27" s="25" t="str">
        <f ca="1">OFFSET(CampList[Township],MATCH(Table10[[#This Row],[Pcode]],CampList[CP_Pcode],0)-1,0,1,1)</f>
        <v>Waingmaw</v>
      </c>
      <c r="E27" s="25">
        <f ca="1">OFFSET(CampList[HH],MATCH(Table10[[#This Row],[Pcode]],CampList[CP_Pcode],0)-1,0,1,1)</f>
        <v>0</v>
      </c>
      <c r="F27" s="25">
        <f ca="1">OFFSET(CampList[Total],MATCH(Table10[[#This Row],[Pcode]],CampList[CP_Pcode],0)-1,0,1,1)</f>
        <v>0</v>
      </c>
      <c r="G27" s="335">
        <f>SUMIF('NFI Tracking'!AO$12:AO$1048576,Table10[[#This Row],[Pcode]],'NFI Tracking'!AI$12:AI$1048576)</f>
        <v>0</v>
      </c>
      <c r="H27" s="335">
        <f>SUMIF('NFI Tracking'!AO$12:AO$1048576,Table10[[#This Row],[Pcode]],'NFI Tracking'!AJ$12:AJ$1048576)</f>
        <v>0</v>
      </c>
      <c r="I27" s="335">
        <f>SUMIF('NFI Tracking'!AO$12:AO$1048576,Table10[[#This Row],[Pcode]],'NFI Tracking'!AK$12:AK$1048576)</f>
        <v>0</v>
      </c>
      <c r="J27" s="335">
        <f ca="1">MAX(Table10[[#This Row],[HH]]*VLOOKUP("Winter Clothes Adult",NFI,6)-Table10[[#This Row],[Winter Clothes Adult ]],0)</f>
        <v>0</v>
      </c>
      <c r="K27" s="335">
        <f ca="1">MAX(Table10[[#This Row],[HH]]*VLOOKUP("Winter Clothes Children ",NFI,6)-Table10[[#This Row],[Winter Clothes Children ]],0)</f>
        <v>0</v>
      </c>
      <c r="L27" s="335">
        <f ca="1">MAX(Table10[[#This Row],[HH]]*VLOOKUP("Winter Items Other ",NFI,6)-Table10[[#This Row],[Winter Items Other ]],0)</f>
        <v>0</v>
      </c>
      <c r="M27" s="368" t="str">
        <f>IF(OR(Table10[[#This Row],[Winter Clothes Adult ]]&lt;&gt;0,Table10[[#This Row],[Winter Clothes Children ]]&lt;&gt;0,Table10[[#This Row],[Winter Items Other ]]&lt;&gt;0),"No","")</f>
        <v/>
      </c>
      <c r="N27" s="369">
        <f>COUNTIF(A:A,Table10[[#This Row],[Pcode]])-1</f>
        <v>0</v>
      </c>
    </row>
    <row r="28" spans="1:20" x14ac:dyDescent="0.25">
      <c r="A28" s="312" t="s">
        <v>356</v>
      </c>
      <c r="B28" s="25" t="str">
        <f ca="1">OFFSET(CampList[Priority],MATCH(Table10[[#This Row],[Pcode]],CampList[CP_Pcode],0)-1,0,1,1)</f>
        <v>P2</v>
      </c>
      <c r="C28" s="25" t="str">
        <f ca="1">OFFSET(CampList[Camp],MATCH(Table10[[#This Row],[Pcode]],CampList[CP_Pcode],0)-1,0,1,1)</f>
        <v>Zai Awng - Mung Ga Zup</v>
      </c>
      <c r="D28" s="25" t="str">
        <f ca="1">OFFSET(CampList[Township],MATCH(Table10[[#This Row],[Pcode]],CampList[CP_Pcode],0)-1,0,1,1)</f>
        <v>Waingmaw</v>
      </c>
      <c r="E28" s="25">
        <f ca="1">OFFSET(CampList[HH],MATCH(Table10[[#This Row],[Pcode]],CampList[CP_Pcode],0)-1,0,1,1)</f>
        <v>604</v>
      </c>
      <c r="F28" s="25">
        <f ca="1">OFFSET(CampList[Total],MATCH(Table10[[#This Row],[Pcode]],CampList[CP_Pcode],0)-1,0,1,1)</f>
        <v>2785</v>
      </c>
      <c r="G28" s="335">
        <f>SUMIF('NFI Tracking'!AO$12:AO$1048576,Table10[[#This Row],[Pcode]],'NFI Tracking'!AI$12:AI$1048576)</f>
        <v>0</v>
      </c>
      <c r="H28" s="335">
        <f>SUMIF('NFI Tracking'!AO$12:AO$1048576,Table10[[#This Row],[Pcode]],'NFI Tracking'!AJ$12:AJ$1048576)</f>
        <v>0</v>
      </c>
      <c r="I28" s="335">
        <f>SUMIF('NFI Tracking'!AO$12:AO$1048576,Table10[[#This Row],[Pcode]],'NFI Tracking'!AK$12:AK$1048576)</f>
        <v>0</v>
      </c>
      <c r="J28" s="335">
        <f ca="1">MAX(Table10[[#This Row],[HH]]*VLOOKUP("Winter Clothes Adult",NFI,6)-Table10[[#This Row],[Winter Clothes Adult ]],0)</f>
        <v>1208</v>
      </c>
      <c r="K28" s="335">
        <f ca="1">MAX(Table10[[#This Row],[HH]]*VLOOKUP("Winter Clothes Children ",NFI,6)-Table10[[#This Row],[Winter Clothes Children ]],0)</f>
        <v>604</v>
      </c>
      <c r="L28" s="335">
        <f ca="1">MAX(Table10[[#This Row],[HH]]*VLOOKUP("Winter Items Other ",NFI,6)-Table10[[#This Row],[Winter Items Other ]],0)</f>
        <v>604</v>
      </c>
      <c r="M28" s="368" t="str">
        <f>IF(OR(Table10[[#This Row],[Winter Clothes Adult ]]&lt;&gt;0,Table10[[#This Row],[Winter Clothes Children ]]&lt;&gt;0,Table10[[#This Row],[Winter Items Other ]]&lt;&gt;0),"No","")</f>
        <v/>
      </c>
      <c r="N28" s="369">
        <f>COUNTIF(A:A,Table10[[#This Row],[Pcode]])-1</f>
        <v>0</v>
      </c>
    </row>
    <row r="29" spans="1:20" x14ac:dyDescent="0.25">
      <c r="A29" s="312" t="s">
        <v>321</v>
      </c>
      <c r="B29" s="25" t="str">
        <f ca="1">OFFSET(CampList[Priority],MATCH(Table10[[#This Row],[Pcode]],CampList[CP_Pcode],0)-1,0,1,1)</f>
        <v>P2</v>
      </c>
      <c r="C29" s="25" t="str">
        <f ca="1">OFFSET(CampList[Camp],MATCH(Table10[[#This Row],[Pcode]],CampList[CP_Pcode],0)-1,0,1,1)</f>
        <v xml:space="preserve">Maga Yang </v>
      </c>
      <c r="D29" s="25" t="str">
        <f ca="1">OFFSET(CampList[Township],MATCH(Table10[[#This Row],[Pcode]],CampList[CP_Pcode],0)-1,0,1,1)</f>
        <v>Waingmaw</v>
      </c>
      <c r="E29" s="25">
        <f ca="1">OFFSET(CampList[HH],MATCH(Table10[[#This Row],[Pcode]],CampList[CP_Pcode],0)-1,0,1,1)</f>
        <v>586</v>
      </c>
      <c r="F29" s="25">
        <f ca="1">OFFSET(CampList[Total],MATCH(Table10[[#This Row],[Pcode]],CampList[CP_Pcode],0)-1,0,1,1)</f>
        <v>2574</v>
      </c>
      <c r="G29" s="335">
        <f>SUMIF('NFI Tracking'!AO$12:AO$1048576,Table10[[#This Row],[Pcode]],'NFI Tracking'!AI$12:AI$1048576)</f>
        <v>0</v>
      </c>
      <c r="H29" s="335">
        <f>SUMIF('NFI Tracking'!AO$12:AO$1048576,Table10[[#This Row],[Pcode]],'NFI Tracking'!AJ$12:AJ$1048576)</f>
        <v>0</v>
      </c>
      <c r="I29" s="335">
        <f>SUMIF('NFI Tracking'!AO$12:AO$1048576,Table10[[#This Row],[Pcode]],'NFI Tracking'!AK$12:AK$1048576)</f>
        <v>0</v>
      </c>
      <c r="J29" s="335">
        <f ca="1">MAX(Table10[[#This Row],[HH]]*VLOOKUP("Winter Clothes Adult",NFI,6)-Table10[[#This Row],[Winter Clothes Adult ]],0)</f>
        <v>1172</v>
      </c>
      <c r="K29" s="335">
        <f ca="1">MAX(Table10[[#This Row],[HH]]*VLOOKUP("Winter Clothes Children ",NFI,6)-Table10[[#This Row],[Winter Clothes Children ]],0)</f>
        <v>586</v>
      </c>
      <c r="L29" s="335">
        <f ca="1">MAX(Table10[[#This Row],[HH]]*VLOOKUP("Winter Items Other ",NFI,6)-Table10[[#This Row],[Winter Items Other ]],0)</f>
        <v>586</v>
      </c>
      <c r="M29" s="368" t="str">
        <f>IF(OR(Table10[[#This Row],[Winter Clothes Adult ]]&lt;&gt;0,Table10[[#This Row],[Winter Clothes Children ]]&lt;&gt;0,Table10[[#This Row],[Winter Items Other ]]&lt;&gt;0),"No","")</f>
        <v/>
      </c>
      <c r="N29" s="369">
        <f>COUNTIF(A:A,Table10[[#This Row],[Pcode]])-1</f>
        <v>0</v>
      </c>
    </row>
    <row r="30" spans="1:20" x14ac:dyDescent="0.25">
      <c r="A30" s="312" t="s">
        <v>165</v>
      </c>
      <c r="B30" s="25" t="str">
        <f ca="1">OFFSET(CampList[Priority],MATCH(Table10[[#This Row],[Pcode]],CampList[CP_Pcode],0)-1,0,1,1)</f>
        <v>P2</v>
      </c>
      <c r="C30" s="25" t="str">
        <f ca="1">OFFSET(CampList[Camp],MATCH(Table10[[#This Row],[Pcode]],CampList[CP_Pcode],0)-1,0,1,1)</f>
        <v>Mandung - Jinghpaw</v>
      </c>
      <c r="D30" s="25" t="str">
        <f ca="1">OFFSET(CampList[Township],MATCH(Table10[[#This Row],[Pcode]],CampList[CP_Pcode],0)-1,0,1,1)</f>
        <v>Manton</v>
      </c>
      <c r="E30" s="25">
        <f ca="1">OFFSET(CampList[HH],MATCH(Table10[[#This Row],[Pcode]],CampList[CP_Pcode],0)-1,0,1,1)</f>
        <v>37</v>
      </c>
      <c r="F30" s="25">
        <f ca="1">OFFSET(CampList[Total],MATCH(Table10[[#This Row],[Pcode]],CampList[CP_Pcode],0)-1,0,1,1)</f>
        <v>159</v>
      </c>
      <c r="G30" s="335">
        <f>SUMIF('NFI Tracking'!AO$12:AO$1048576,Table10[[#This Row],[Pcode]],'NFI Tracking'!AI$12:AI$1048576)</f>
        <v>0</v>
      </c>
      <c r="H30" s="335">
        <f>SUMIF('NFI Tracking'!AO$12:AO$1048576,Table10[[#This Row],[Pcode]],'NFI Tracking'!AJ$12:AJ$1048576)</f>
        <v>0</v>
      </c>
      <c r="I30" s="335">
        <f>SUMIF('NFI Tracking'!AO$12:AO$1048576,Table10[[#This Row],[Pcode]],'NFI Tracking'!AK$12:AK$1048576)</f>
        <v>0</v>
      </c>
      <c r="J30" s="335">
        <f ca="1">MAX(Table10[[#This Row],[HH]]*VLOOKUP("Winter Clothes Adult",NFI,6)-Table10[[#This Row],[Winter Clothes Adult ]],0)</f>
        <v>74</v>
      </c>
      <c r="K30" s="335">
        <f ca="1">MAX(Table10[[#This Row],[HH]]*VLOOKUP("Winter Clothes Children ",NFI,6)-Table10[[#This Row],[Winter Clothes Children ]],0)</f>
        <v>37</v>
      </c>
      <c r="L30" s="335">
        <f ca="1">MAX(Table10[[#This Row],[HH]]*VLOOKUP("Winter Items Other ",NFI,6)-Table10[[#This Row],[Winter Items Other ]],0)</f>
        <v>37</v>
      </c>
      <c r="M30" s="368" t="str">
        <f>IF(OR(Table10[[#This Row],[Winter Clothes Adult ]]&lt;&gt;0,Table10[[#This Row],[Winter Clothes Children ]]&lt;&gt;0,Table10[[#This Row],[Winter Items Other ]]&lt;&gt;0),"No","")</f>
        <v/>
      </c>
      <c r="N30" s="369">
        <f>COUNTIF(A:A,Table10[[#This Row],[Pcode]])-1</f>
        <v>0</v>
      </c>
    </row>
    <row r="31" spans="1:20" x14ac:dyDescent="0.25">
      <c r="A31" s="312" t="s">
        <v>838</v>
      </c>
      <c r="B31" s="25" t="str">
        <f ca="1">OFFSET(CampList[Priority],MATCH(Table10[[#This Row],[Pcode]],CampList[CP_Pcode],0)-1,0,1,1)</f>
        <v>P2</v>
      </c>
      <c r="C31" s="25" t="str">
        <f ca="1">OFFSET(CampList[Camp],MATCH(Table10[[#This Row],[Pcode]],CampList[CP_Pcode],0)-1,0,1,1)</f>
        <v>Nam Hkawng</v>
      </c>
      <c r="D31" s="25" t="str">
        <f ca="1">OFFSET(CampList[Township],MATCH(Table10[[#This Row],[Pcode]],CampList[CP_Pcode],0)-1,0,1,1)</f>
        <v>Muse</v>
      </c>
      <c r="E31" s="25">
        <f ca="1">OFFSET(CampList[HH],MATCH(Table10[[#This Row],[Pcode]],CampList[CP_Pcode],0)-1,0,1,1)</f>
        <v>0</v>
      </c>
      <c r="F31" s="25">
        <f ca="1">OFFSET(CampList[Total],MATCH(Table10[[#This Row],[Pcode]],CampList[CP_Pcode],0)-1,0,1,1)</f>
        <v>0</v>
      </c>
      <c r="G31" s="335">
        <f>SUMIF('NFI Tracking'!AO$12:AO$1048576,Table10[[#This Row],[Pcode]],'NFI Tracking'!AI$12:AI$1048576)</f>
        <v>0</v>
      </c>
      <c r="H31" s="335">
        <f>SUMIF('NFI Tracking'!AO$12:AO$1048576,Table10[[#This Row],[Pcode]],'NFI Tracking'!AJ$12:AJ$1048576)</f>
        <v>0</v>
      </c>
      <c r="I31" s="335">
        <f>SUMIF('NFI Tracking'!AO$12:AO$1048576,Table10[[#This Row],[Pcode]],'NFI Tracking'!AK$12:AK$1048576)</f>
        <v>0</v>
      </c>
      <c r="J31" s="335">
        <f ca="1">MAX(Table10[[#This Row],[HH]]*VLOOKUP("Winter Clothes Adult",NFI,6)-Table10[[#This Row],[Winter Clothes Adult ]],0)</f>
        <v>0</v>
      </c>
      <c r="K31" s="335">
        <f ca="1">MAX(Table10[[#This Row],[HH]]*VLOOKUP("Winter Clothes Children ",NFI,6)-Table10[[#This Row],[Winter Clothes Children ]],0)</f>
        <v>0</v>
      </c>
      <c r="L31" s="335">
        <f ca="1">MAX(Table10[[#This Row],[HH]]*VLOOKUP("Winter Items Other ",NFI,6)-Table10[[#This Row],[Winter Items Other ]],0)</f>
        <v>0</v>
      </c>
      <c r="M31" s="368" t="str">
        <f>IF(OR(Table10[[#This Row],[Winter Clothes Adult ]]&lt;&gt;0,Table10[[#This Row],[Winter Clothes Children ]]&lt;&gt;0,Table10[[#This Row],[Winter Items Other ]]&lt;&gt;0),"No","")</f>
        <v/>
      </c>
      <c r="N31" s="369">
        <f>COUNTIF(A:A,Table10[[#This Row],[Pcode]])-1</f>
        <v>0</v>
      </c>
    </row>
    <row r="32" spans="1:20" x14ac:dyDescent="0.25">
      <c r="A32" s="312" t="s">
        <v>184</v>
      </c>
      <c r="B32" s="25" t="str">
        <f ca="1">OFFSET(CampList[Priority],MATCH(Table10[[#This Row],[Pcode]],CampList[CP_Pcode],0)-1,0,1,1)</f>
        <v>P3</v>
      </c>
      <c r="C32" s="25" t="str">
        <f ca="1">OFFSET(CampList[Camp],MATCH(Table10[[#This Row],[Pcode]],CampList[CP_Pcode],0)-1,0,1,1)</f>
        <v>Loi Je Baptist Church</v>
      </c>
      <c r="D32" s="25" t="str">
        <f ca="1">OFFSET(CampList[Township],MATCH(Table10[[#This Row],[Pcode]],CampList[CP_Pcode],0)-1,0,1,1)</f>
        <v>Momauk</v>
      </c>
      <c r="E32" s="25">
        <f ca="1">OFFSET(CampList[HH],MATCH(Table10[[#This Row],[Pcode]],CampList[CP_Pcode],0)-1,0,1,1)</f>
        <v>36</v>
      </c>
      <c r="F32" s="25">
        <f ca="1">OFFSET(CampList[Total],MATCH(Table10[[#This Row],[Pcode]],CampList[CP_Pcode],0)-1,0,1,1)</f>
        <v>215</v>
      </c>
      <c r="G32" s="335">
        <f>SUMIF('NFI Tracking'!AO$12:AO$1048576,Table10[[#This Row],[Pcode]],'NFI Tracking'!AI$12:AI$1048576)</f>
        <v>0</v>
      </c>
      <c r="H32" s="335">
        <f>SUMIF('NFI Tracking'!AO$12:AO$1048576,Table10[[#This Row],[Pcode]],'NFI Tracking'!AJ$12:AJ$1048576)</f>
        <v>0</v>
      </c>
      <c r="I32" s="335">
        <f>SUMIF('NFI Tracking'!AO$12:AO$1048576,Table10[[#This Row],[Pcode]],'NFI Tracking'!AK$12:AK$1048576)</f>
        <v>0</v>
      </c>
      <c r="J32" s="335">
        <f ca="1">MAX(Table10[[#This Row],[HH]]*VLOOKUP("Winter Clothes Adult",NFI,6)-Table10[[#This Row],[Winter Clothes Adult ]],0)</f>
        <v>72</v>
      </c>
      <c r="K32" s="335">
        <f ca="1">MAX(Table10[[#This Row],[HH]]*VLOOKUP("Winter Clothes Children ",NFI,6)-Table10[[#This Row],[Winter Clothes Children ]],0)</f>
        <v>36</v>
      </c>
      <c r="L32" s="335">
        <f ca="1">MAX(Table10[[#This Row],[HH]]*VLOOKUP("Winter Items Other ",NFI,6)-Table10[[#This Row],[Winter Items Other ]],0)</f>
        <v>36</v>
      </c>
      <c r="M32" s="368" t="str">
        <f>IF(OR(Table10[[#This Row],[Winter Clothes Adult ]]&lt;&gt;0,Table10[[#This Row],[Winter Clothes Children ]]&lt;&gt;0,Table10[[#This Row],[Winter Items Other ]]&lt;&gt;0),"No","")</f>
        <v/>
      </c>
      <c r="N32" s="369">
        <f>COUNTIF(A:A,Table10[[#This Row],[Pcode]])-1</f>
        <v>0</v>
      </c>
    </row>
    <row r="33" spans="1:14" x14ac:dyDescent="0.25">
      <c r="A33" s="312" t="s">
        <v>222</v>
      </c>
      <c r="B33" s="25" t="str">
        <f ca="1">OFFSET(CampList[Priority],MATCH(Table10[[#This Row],[Pcode]],CampList[CP_Pcode],0)-1,0,1,1)</f>
        <v>P3</v>
      </c>
      <c r="C33" s="25" t="str">
        <f ca="1">OFFSET(CampList[Camp],MATCH(Table10[[#This Row],[Pcode]],CampList[CP_Pcode],0)-1,0,1,1)</f>
        <v>Loi Je Catholic Church</v>
      </c>
      <c r="D33" s="25" t="str">
        <f ca="1">OFFSET(CampList[Township],MATCH(Table10[[#This Row],[Pcode]],CampList[CP_Pcode],0)-1,0,1,1)</f>
        <v>Momauk</v>
      </c>
      <c r="E33" s="25">
        <f ca="1">OFFSET(CampList[HH],MATCH(Table10[[#This Row],[Pcode]],CampList[CP_Pcode],0)-1,0,1,1)</f>
        <v>124</v>
      </c>
      <c r="F33" s="25">
        <f ca="1">OFFSET(CampList[Total],MATCH(Table10[[#This Row],[Pcode]],CampList[CP_Pcode],0)-1,0,1,1)</f>
        <v>544</v>
      </c>
      <c r="G33" s="335">
        <f>SUMIF('NFI Tracking'!AO$12:AO$1048576,Table10[[#This Row],[Pcode]],'NFI Tracking'!AI$12:AI$1048576)</f>
        <v>0</v>
      </c>
      <c r="H33" s="335">
        <f>SUMIF('NFI Tracking'!AO$12:AO$1048576,Table10[[#This Row],[Pcode]],'NFI Tracking'!AJ$12:AJ$1048576)</f>
        <v>0</v>
      </c>
      <c r="I33" s="335">
        <f>SUMIF('NFI Tracking'!AO$12:AO$1048576,Table10[[#This Row],[Pcode]],'NFI Tracking'!AK$12:AK$1048576)</f>
        <v>0</v>
      </c>
      <c r="J33" s="335">
        <f ca="1">MAX(Table10[[#This Row],[HH]]*VLOOKUP("Winter Clothes Adult",NFI,6)-Table10[[#This Row],[Winter Clothes Adult ]],0)</f>
        <v>248</v>
      </c>
      <c r="K33" s="335">
        <f ca="1">MAX(Table10[[#This Row],[HH]]*VLOOKUP("Winter Clothes Children ",NFI,6)-Table10[[#This Row],[Winter Clothes Children ]],0)</f>
        <v>124</v>
      </c>
      <c r="L33" s="335">
        <f ca="1">MAX(Table10[[#This Row],[HH]]*VLOOKUP("Winter Items Other ",NFI,6)-Table10[[#This Row],[Winter Items Other ]],0)</f>
        <v>124</v>
      </c>
      <c r="M33" s="368" t="str">
        <f>IF(OR(Table10[[#This Row],[Winter Clothes Adult ]]&lt;&gt;0,Table10[[#This Row],[Winter Clothes Children ]]&lt;&gt;0,Table10[[#This Row],[Winter Items Other ]]&lt;&gt;0),"No","")</f>
        <v/>
      </c>
      <c r="N33" s="369">
        <f>COUNTIF(A:A,Table10[[#This Row],[Pcode]])-1</f>
        <v>0</v>
      </c>
    </row>
    <row r="34" spans="1:14" x14ac:dyDescent="0.25">
      <c r="A34" s="312" t="s">
        <v>189</v>
      </c>
      <c r="B34" s="25" t="str">
        <f ca="1">OFFSET(CampList[Priority],MATCH(Table10[[#This Row],[Pcode]],CampList[CP_Pcode],0)-1,0,1,1)</f>
        <v>P3</v>
      </c>
      <c r="C34" s="25" t="str">
        <f ca="1">OFFSET(CampList[Camp],MATCH(Table10[[#This Row],[Pcode]],CampList[CP_Pcode],0)-1,0,1,1)</f>
        <v>Loi Je Lisu Camp</v>
      </c>
      <c r="D34" s="25" t="str">
        <f ca="1">OFFSET(CampList[Township],MATCH(Table10[[#This Row],[Pcode]],CampList[CP_Pcode],0)-1,0,1,1)</f>
        <v>Momauk</v>
      </c>
      <c r="E34" s="25">
        <f ca="1">OFFSET(CampList[HH],MATCH(Table10[[#This Row],[Pcode]],CampList[CP_Pcode],0)-1,0,1,1)</f>
        <v>190</v>
      </c>
      <c r="F34" s="25">
        <f ca="1">OFFSET(CampList[Total],MATCH(Table10[[#This Row],[Pcode]],CampList[CP_Pcode],0)-1,0,1,1)</f>
        <v>1021</v>
      </c>
      <c r="G34" s="335">
        <f>SUMIF('NFI Tracking'!AO$12:AO$1048576,Table10[[#This Row],[Pcode]],'NFI Tracking'!AI$12:AI$1048576)</f>
        <v>0</v>
      </c>
      <c r="H34" s="335">
        <f>SUMIF('NFI Tracking'!AO$12:AO$1048576,Table10[[#This Row],[Pcode]],'NFI Tracking'!AJ$12:AJ$1048576)</f>
        <v>0</v>
      </c>
      <c r="I34" s="335">
        <f>SUMIF('NFI Tracking'!AO$12:AO$1048576,Table10[[#This Row],[Pcode]],'NFI Tracking'!AK$12:AK$1048576)</f>
        <v>0</v>
      </c>
      <c r="J34" s="335">
        <f ca="1">MAX(Table10[[#This Row],[HH]]*VLOOKUP("Winter Clothes Adult",NFI,6)-Table10[[#This Row],[Winter Clothes Adult ]],0)</f>
        <v>380</v>
      </c>
      <c r="K34" s="335">
        <f ca="1">MAX(Table10[[#This Row],[HH]]*VLOOKUP("Winter Clothes Children ",NFI,6)-Table10[[#This Row],[Winter Clothes Children ]],0)</f>
        <v>190</v>
      </c>
      <c r="L34" s="335">
        <f ca="1">MAX(Table10[[#This Row],[HH]]*VLOOKUP("Winter Items Other ",NFI,6)-Table10[[#This Row],[Winter Items Other ]],0)</f>
        <v>190</v>
      </c>
      <c r="M34" s="368" t="str">
        <f>IF(OR(Table10[[#This Row],[Winter Clothes Adult ]]&lt;&gt;0,Table10[[#This Row],[Winter Clothes Children ]]&lt;&gt;0,Table10[[#This Row],[Winter Items Other ]]&lt;&gt;0),"No","")</f>
        <v/>
      </c>
      <c r="N34" s="369">
        <f>COUNTIF(A:A,Table10[[#This Row],[Pcode]])-1</f>
        <v>0</v>
      </c>
    </row>
    <row r="35" spans="1:14" x14ac:dyDescent="0.25">
      <c r="A35" s="312" t="s">
        <v>224</v>
      </c>
      <c r="B35" s="25" t="str">
        <f ca="1">OFFSET(CampList[Priority],MATCH(Table10[[#This Row],[Pcode]],CampList[CP_Pcode],0)-1,0,1,1)</f>
        <v>P3</v>
      </c>
      <c r="C35" s="25" t="str">
        <f ca="1">OFFSET(CampList[Camp],MATCH(Table10[[#This Row],[Pcode]],CampList[CP_Pcode],0)-1,0,1,1)</f>
        <v xml:space="preserve">Seng Ja </v>
      </c>
      <c r="D35" s="25" t="str">
        <f ca="1">OFFSET(CampList[Township],MATCH(Table10[[#This Row],[Pcode]],CampList[CP_Pcode],0)-1,0,1,1)</f>
        <v>Momauk</v>
      </c>
      <c r="E35" s="25">
        <f ca="1">OFFSET(CampList[HH],MATCH(Table10[[#This Row],[Pcode]],CampList[CP_Pcode],0)-1,0,1,1)</f>
        <v>39</v>
      </c>
      <c r="F35" s="25">
        <f ca="1">OFFSET(CampList[Total],MATCH(Table10[[#This Row],[Pcode]],CampList[CP_Pcode],0)-1,0,1,1)</f>
        <v>248</v>
      </c>
      <c r="G35" s="335">
        <f>SUMIF('NFI Tracking'!AO$12:AO$1048576,Table10[[#This Row],[Pcode]],'NFI Tracking'!AI$12:AI$1048576)</f>
        <v>0</v>
      </c>
      <c r="H35" s="335">
        <f>SUMIF('NFI Tracking'!AO$12:AO$1048576,Table10[[#This Row],[Pcode]],'NFI Tracking'!AJ$12:AJ$1048576)</f>
        <v>0</v>
      </c>
      <c r="I35" s="335">
        <f>SUMIF('NFI Tracking'!AO$12:AO$1048576,Table10[[#This Row],[Pcode]],'NFI Tracking'!AK$12:AK$1048576)</f>
        <v>0</v>
      </c>
      <c r="J35" s="335">
        <f ca="1">MAX(Table10[[#This Row],[HH]]*VLOOKUP("Winter Clothes Adult",NFI,6)-Table10[[#This Row],[Winter Clothes Adult ]],0)</f>
        <v>78</v>
      </c>
      <c r="K35" s="335">
        <f ca="1">MAX(Table10[[#This Row],[HH]]*VLOOKUP("Winter Clothes Children ",NFI,6)-Table10[[#This Row],[Winter Clothes Children ]],0)</f>
        <v>39</v>
      </c>
      <c r="L35" s="335">
        <f ca="1">MAX(Table10[[#This Row],[HH]]*VLOOKUP("Winter Items Other ",NFI,6)-Table10[[#This Row],[Winter Items Other ]],0)</f>
        <v>39</v>
      </c>
      <c r="M35" s="368" t="str">
        <f>IF(OR(Table10[[#This Row],[Winter Clothes Adult ]]&lt;&gt;0,Table10[[#This Row],[Winter Clothes Children ]]&lt;&gt;0,Table10[[#This Row],[Winter Items Other ]]&lt;&gt;0),"No","")</f>
        <v/>
      </c>
      <c r="N35" s="369">
        <f>COUNTIF(A:A,Table10[[#This Row],[Pcode]])-1</f>
        <v>0</v>
      </c>
    </row>
    <row r="36" spans="1:14" x14ac:dyDescent="0.25">
      <c r="A36" s="312" t="s">
        <v>228</v>
      </c>
      <c r="B36" s="25" t="str">
        <f ca="1">OFFSET(CampList[Priority],MATCH(Table10[[#This Row],[Pcode]],CampList[CP_Pcode],0)-1,0,1,1)</f>
        <v>P3</v>
      </c>
      <c r="C36" s="25" t="str">
        <f ca="1">OFFSET(CampList[Camp],MATCH(Table10[[#This Row],[Pcode]],CampList[CP_Pcode],0)-1,0,1,1)</f>
        <v xml:space="preserve">Nyaung Na Pin </v>
      </c>
      <c r="D36" s="25" t="str">
        <f ca="1">OFFSET(CampList[Township],MATCH(Table10[[#This Row],[Pcode]],CampList[CP_Pcode],0)-1,0,1,1)</f>
        <v>Momauk</v>
      </c>
      <c r="E36" s="25">
        <f ca="1">OFFSET(CampList[HH],MATCH(Table10[[#This Row],[Pcode]],CampList[CP_Pcode],0)-1,0,1,1)</f>
        <v>50</v>
      </c>
      <c r="F36" s="25">
        <f ca="1">OFFSET(CampList[Total],MATCH(Table10[[#This Row],[Pcode]],CampList[CP_Pcode],0)-1,0,1,1)</f>
        <v>309</v>
      </c>
      <c r="G36" s="335">
        <f>SUMIF('NFI Tracking'!AO$12:AO$1048576,Table10[[#This Row],[Pcode]],'NFI Tracking'!AI$12:AI$1048576)</f>
        <v>0</v>
      </c>
      <c r="H36" s="335">
        <f>SUMIF('NFI Tracking'!AO$12:AO$1048576,Table10[[#This Row],[Pcode]],'NFI Tracking'!AJ$12:AJ$1048576)</f>
        <v>0</v>
      </c>
      <c r="I36" s="335">
        <f>SUMIF('NFI Tracking'!AO$12:AO$1048576,Table10[[#This Row],[Pcode]],'NFI Tracking'!AK$12:AK$1048576)</f>
        <v>0</v>
      </c>
      <c r="J36" s="335">
        <f ca="1">MAX(Table10[[#This Row],[HH]]*VLOOKUP("Winter Clothes Adult",NFI,6)-Table10[[#This Row],[Winter Clothes Adult ]],0)</f>
        <v>100</v>
      </c>
      <c r="K36" s="335">
        <f ca="1">MAX(Table10[[#This Row],[HH]]*VLOOKUP("Winter Clothes Children ",NFI,6)-Table10[[#This Row],[Winter Clothes Children ]],0)</f>
        <v>50</v>
      </c>
      <c r="L36" s="335">
        <f ca="1">MAX(Table10[[#This Row],[HH]]*VLOOKUP("Winter Items Other ",NFI,6)-Table10[[#This Row],[Winter Items Other ]],0)</f>
        <v>50</v>
      </c>
      <c r="M36" s="368" t="str">
        <f>IF(OR(Table10[[#This Row],[Winter Clothes Adult ]]&lt;&gt;0,Table10[[#This Row],[Winter Clothes Children ]]&lt;&gt;0,Table10[[#This Row],[Winter Items Other ]]&lt;&gt;0),"No","")</f>
        <v/>
      </c>
      <c r="N36" s="369">
        <f>COUNTIF(A:A,Table10[[#This Row],[Pcode]])-1</f>
        <v>0</v>
      </c>
    </row>
    <row r="37" spans="1:14" x14ac:dyDescent="0.25">
      <c r="A37" s="312" t="s">
        <v>897</v>
      </c>
      <c r="B37" s="25" t="str">
        <f ca="1">OFFSET(CampList[Priority],MATCH(Table10[[#This Row],[Pcode]],CampList[CP_Pcode],0)-1,0,1,1)</f>
        <v>P3</v>
      </c>
      <c r="C37" s="25" t="str">
        <f ca="1">OFFSET(CampList[Camp],MATCH(Table10[[#This Row],[Pcode]],CampList[CP_Pcode],0)-1,0,1,1)</f>
        <v>Machanbaw - KBC</v>
      </c>
      <c r="D37" s="25" t="str">
        <f ca="1">OFFSET(CampList[Township],MATCH(Table10[[#This Row],[Pcode]],CampList[CP_Pcode],0)-1,0,1,1)</f>
        <v>Machanbaw</v>
      </c>
      <c r="E37" s="25">
        <f ca="1">OFFSET(CampList[HH],MATCH(Table10[[#This Row],[Pcode]],CampList[CP_Pcode],0)-1,0,1,1)</f>
        <v>0</v>
      </c>
      <c r="F37" s="25">
        <f ca="1">OFFSET(CampList[Total],MATCH(Table10[[#This Row],[Pcode]],CampList[CP_Pcode],0)-1,0,1,1)</f>
        <v>0</v>
      </c>
      <c r="G37" s="335">
        <f>SUMIF('NFI Tracking'!AO$12:AO$1048576,Table10[[#This Row],[Pcode]],'NFI Tracking'!AI$12:AI$1048576)</f>
        <v>0</v>
      </c>
      <c r="H37" s="335">
        <f>SUMIF('NFI Tracking'!AO$12:AO$1048576,Table10[[#This Row],[Pcode]],'NFI Tracking'!AJ$12:AJ$1048576)</f>
        <v>0</v>
      </c>
      <c r="I37" s="335">
        <f>SUMIF('NFI Tracking'!AO$12:AO$1048576,Table10[[#This Row],[Pcode]],'NFI Tracking'!AK$12:AK$1048576)</f>
        <v>0</v>
      </c>
      <c r="J37" s="335">
        <f ca="1">MAX(Table10[[#This Row],[HH]]*VLOOKUP("Winter Clothes Adult",NFI,6)-Table10[[#This Row],[Winter Clothes Adult ]],0)</f>
        <v>0</v>
      </c>
      <c r="K37" s="335">
        <f ca="1">MAX(Table10[[#This Row],[HH]]*VLOOKUP("Winter Clothes Children ",NFI,6)-Table10[[#This Row],[Winter Clothes Children ]],0)</f>
        <v>0</v>
      </c>
      <c r="L37" s="335">
        <f ca="1">MAX(Table10[[#This Row],[HH]]*VLOOKUP("Winter Items Other ",NFI,6)-Table10[[#This Row],[Winter Items Other ]],0)</f>
        <v>0</v>
      </c>
      <c r="M37" s="368" t="str">
        <f>IF(OR(Table10[[#This Row],[Winter Clothes Adult ]]&lt;&gt;0,Table10[[#This Row],[Winter Clothes Children ]]&lt;&gt;0,Table10[[#This Row],[Winter Items Other ]]&lt;&gt;0),"No","")</f>
        <v/>
      </c>
      <c r="N37" s="369">
        <f>COUNTIF(A:A,Table10[[#This Row],[Pcode]])-1</f>
        <v>0</v>
      </c>
    </row>
    <row r="38" spans="1:14" x14ac:dyDescent="0.25">
      <c r="A38" s="312" t="s">
        <v>1045</v>
      </c>
      <c r="B38" s="25" t="str">
        <f ca="1">OFFSET(CampList[Priority],MATCH(Table10[[#This Row],[Pcode]],CampList[CP_Pcode],0)-1,0,1,1)</f>
        <v>P3</v>
      </c>
      <c r="C38" s="25" t="str">
        <f ca="1">OFFSET(CampList[Camp],MATCH(Table10[[#This Row],[Pcode]],CampList[CP_Pcode],0)-1,0,1,1)</f>
        <v>Inn Lel Yan - Host Families</v>
      </c>
      <c r="D38" s="25" t="str">
        <f ca="1">OFFSET(CampList[Township],MATCH(Table10[[#This Row],[Pcode]],CampList[CP_Pcode],0)-1,0,1,1)</f>
        <v>Puta-O</v>
      </c>
      <c r="E38" s="25">
        <f ca="1">OFFSET(CampList[HH],MATCH(Table10[[#This Row],[Pcode]],CampList[CP_Pcode],0)-1,0,1,1)</f>
        <v>10</v>
      </c>
      <c r="F38" s="25">
        <f ca="1">OFFSET(CampList[Total],MATCH(Table10[[#This Row],[Pcode]],CampList[CP_Pcode],0)-1,0,1,1)</f>
        <v>56</v>
      </c>
      <c r="G38" s="335">
        <f>SUMIF('NFI Tracking'!AO$12:AO$1048576,Table10[[#This Row],[Pcode]],'NFI Tracking'!AI$12:AI$1048576)</f>
        <v>0</v>
      </c>
      <c r="H38" s="335">
        <f>SUMIF('NFI Tracking'!AO$12:AO$1048576,Table10[[#This Row],[Pcode]],'NFI Tracking'!AJ$12:AJ$1048576)</f>
        <v>0</v>
      </c>
      <c r="I38" s="335">
        <f>SUMIF('NFI Tracking'!AO$12:AO$1048576,Table10[[#This Row],[Pcode]],'NFI Tracking'!AK$12:AK$1048576)</f>
        <v>0</v>
      </c>
      <c r="J38" s="335">
        <f ca="1">MAX(Table10[[#This Row],[HH]]*VLOOKUP("Winter Clothes Adult",NFI,6)-Table10[[#This Row],[Winter Clothes Adult ]],0)</f>
        <v>20</v>
      </c>
      <c r="K38" s="335">
        <f ca="1">MAX(Table10[[#This Row],[HH]]*VLOOKUP("Winter Clothes Children ",NFI,6)-Table10[[#This Row],[Winter Clothes Children ]],0)</f>
        <v>10</v>
      </c>
      <c r="L38" s="335">
        <f ca="1">MAX(Table10[[#This Row],[HH]]*VLOOKUP("Winter Items Other ",NFI,6)-Table10[[#This Row],[Winter Items Other ]],0)</f>
        <v>10</v>
      </c>
      <c r="M38" s="368" t="str">
        <f>IF(OR(Table10[[#This Row],[Winter Clothes Adult ]]&lt;&gt;0,Table10[[#This Row],[Winter Clothes Children ]]&lt;&gt;0,Table10[[#This Row],[Winter Items Other ]]&lt;&gt;0),"No","")</f>
        <v/>
      </c>
      <c r="N38" s="369">
        <f>COUNTIF(A:A,Table10[[#This Row],[Pcode]])-1</f>
        <v>0</v>
      </c>
    </row>
    <row r="39" spans="1:14" x14ac:dyDescent="0.25">
      <c r="A39" s="312" t="s">
        <v>893</v>
      </c>
      <c r="B39" s="25" t="str">
        <f ca="1">OFFSET(CampList[Priority],MATCH(Table10[[#This Row],[Pcode]],CampList[CP_Pcode],0)-1,0,1,1)</f>
        <v>P3</v>
      </c>
      <c r="C39" s="25" t="str">
        <f ca="1">OFFSET(CampList[Camp],MATCH(Table10[[#This Row],[Pcode]],CampList[CP_Pcode],0)-1,0,1,1)</f>
        <v>Naung Khaing</v>
      </c>
      <c r="D39" s="25" t="str">
        <f ca="1">OFFSET(CampList[Township],MATCH(Table10[[#This Row],[Pcode]],CampList[CP_Pcode],0)-1,0,1,1)</f>
        <v>Puta-O</v>
      </c>
      <c r="E39" s="25">
        <f ca="1">OFFSET(CampList[HH],MATCH(Table10[[#This Row],[Pcode]],CampList[CP_Pcode],0)-1,0,1,1)</f>
        <v>0</v>
      </c>
      <c r="F39" s="25">
        <f ca="1">OFFSET(CampList[Total],MATCH(Table10[[#This Row],[Pcode]],CampList[CP_Pcode],0)-1,0,1,1)</f>
        <v>0</v>
      </c>
      <c r="G39" s="335">
        <f>SUMIF('NFI Tracking'!AO$12:AO$1048576,Table10[[#This Row],[Pcode]],'NFI Tracking'!AI$12:AI$1048576)</f>
        <v>0</v>
      </c>
      <c r="H39" s="335">
        <f>SUMIF('NFI Tracking'!AO$12:AO$1048576,Table10[[#This Row],[Pcode]],'NFI Tracking'!AJ$12:AJ$1048576)</f>
        <v>0</v>
      </c>
      <c r="I39" s="335">
        <f>SUMIF('NFI Tracking'!AO$12:AO$1048576,Table10[[#This Row],[Pcode]],'NFI Tracking'!AK$12:AK$1048576)</f>
        <v>0</v>
      </c>
      <c r="J39" s="335">
        <f ca="1">MAX(Table10[[#This Row],[HH]]*VLOOKUP("Winter Clothes Adult",NFI,6)-Table10[[#This Row],[Winter Clothes Adult ]],0)</f>
        <v>0</v>
      </c>
      <c r="K39" s="335">
        <f ca="1">MAX(Table10[[#This Row],[HH]]*VLOOKUP("Winter Clothes Children ",NFI,6)-Table10[[#This Row],[Winter Clothes Children ]],0)</f>
        <v>0</v>
      </c>
      <c r="L39" s="335">
        <f ca="1">MAX(Table10[[#This Row],[HH]]*VLOOKUP("Winter Items Other ",NFI,6)-Table10[[#This Row],[Winter Items Other ]],0)</f>
        <v>0</v>
      </c>
      <c r="M39" s="368" t="str">
        <f>IF(OR(Table10[[#This Row],[Winter Clothes Adult ]]&lt;&gt;0,Table10[[#This Row],[Winter Clothes Children ]]&lt;&gt;0,Table10[[#This Row],[Winter Items Other ]]&lt;&gt;0),"No","")</f>
        <v/>
      </c>
      <c r="N39" s="369">
        <f>COUNTIF(A:A,Table10[[#This Row],[Pcode]])-1</f>
        <v>0</v>
      </c>
    </row>
    <row r="40" spans="1:14" x14ac:dyDescent="0.25">
      <c r="A40" s="312" t="s">
        <v>299</v>
      </c>
      <c r="B40" s="25" t="str">
        <f ca="1">OFFSET(CampList[Priority],MATCH(Table10[[#This Row],[Pcode]],CampList[CP_Pcode],0)-1,0,1,1)</f>
        <v>P3</v>
      </c>
      <c r="C40" s="25" t="str">
        <f ca="1">OFFSET(CampList[Camp],MATCH(Table10[[#This Row],[Pcode]],CampList[CP_Pcode],0)-1,0,1,1)</f>
        <v>Tote Tan Ward</v>
      </c>
      <c r="D40" s="25" t="str">
        <f ca="1">OFFSET(CampList[Township],MATCH(Table10[[#This Row],[Pcode]],CampList[CP_Pcode],0)-1,0,1,1)</f>
        <v>Puta-O</v>
      </c>
      <c r="E40" s="25">
        <f ca="1">OFFSET(CampList[HH],MATCH(Table10[[#This Row],[Pcode]],CampList[CP_Pcode],0)-1,0,1,1)</f>
        <v>14</v>
      </c>
      <c r="F40" s="25">
        <f ca="1">OFFSET(CampList[Total],MATCH(Table10[[#This Row],[Pcode]],CampList[CP_Pcode],0)-1,0,1,1)</f>
        <v>64</v>
      </c>
      <c r="G40" s="335">
        <f>SUMIF('NFI Tracking'!AO$12:AO$1048576,Table10[[#This Row],[Pcode]],'NFI Tracking'!AI$12:AI$1048576)</f>
        <v>0</v>
      </c>
      <c r="H40" s="335">
        <f>SUMIF('NFI Tracking'!AO$12:AO$1048576,Table10[[#This Row],[Pcode]],'NFI Tracking'!AJ$12:AJ$1048576)</f>
        <v>0</v>
      </c>
      <c r="I40" s="335">
        <f>SUMIF('NFI Tracking'!AO$12:AO$1048576,Table10[[#This Row],[Pcode]],'NFI Tracking'!AK$12:AK$1048576)</f>
        <v>0</v>
      </c>
      <c r="J40" s="335">
        <f ca="1">MAX(Table10[[#This Row],[HH]]*VLOOKUP("Winter Clothes Adult",NFI,6)-Table10[[#This Row],[Winter Clothes Adult ]],0)</f>
        <v>28</v>
      </c>
      <c r="K40" s="335">
        <f ca="1">MAX(Table10[[#This Row],[HH]]*VLOOKUP("Winter Clothes Children ",NFI,6)-Table10[[#This Row],[Winter Clothes Children ]],0)</f>
        <v>14</v>
      </c>
      <c r="L40" s="335">
        <f ca="1">MAX(Table10[[#This Row],[HH]]*VLOOKUP("Winter Items Other ",NFI,6)-Table10[[#This Row],[Winter Items Other ]],0)</f>
        <v>14</v>
      </c>
      <c r="M40" s="368" t="str">
        <f>IF(OR(Table10[[#This Row],[Winter Clothes Adult ]]&lt;&gt;0,Table10[[#This Row],[Winter Clothes Children ]]&lt;&gt;0,Table10[[#This Row],[Winter Items Other ]]&lt;&gt;0),"No","")</f>
        <v/>
      </c>
      <c r="N40" s="369">
        <f>COUNTIF(A:A,Table10[[#This Row],[Pcode]])-1</f>
        <v>0</v>
      </c>
    </row>
    <row r="41" spans="1:14" x14ac:dyDescent="0.25">
      <c r="A41" s="312" t="s">
        <v>382</v>
      </c>
      <c r="B41" s="25" t="str">
        <f ca="1">OFFSET(CampList[Priority],MATCH(Table10[[#This Row],[Pcode]],CampList[CP_Pcode],0)-1,0,1,1)</f>
        <v>P3</v>
      </c>
      <c r="C41" s="25" t="str">
        <f ca="1">OFFSET(CampList[Camp],MATCH(Table10[[#This Row],[Pcode]],CampList[CP_Pcode],0)-1,0,1,1)</f>
        <v>Kone Khem Camp</v>
      </c>
      <c r="D41" s="25" t="str">
        <f ca="1">OFFSET(CampList[Township],MATCH(Table10[[#This Row],[Pcode]],CampList[CP_Pcode],0)-1,0,1,1)</f>
        <v>Kutkai</v>
      </c>
      <c r="E41" s="25">
        <f ca="1">OFFSET(CampList[HH],MATCH(Table10[[#This Row],[Pcode]],CampList[CP_Pcode],0)-1,0,1,1)</f>
        <v>88</v>
      </c>
      <c r="F41" s="25">
        <f ca="1">OFFSET(CampList[Total],MATCH(Table10[[#This Row],[Pcode]],CampList[CP_Pcode],0)-1,0,1,1)</f>
        <v>505</v>
      </c>
      <c r="G41" s="335">
        <f>SUMIF('NFI Tracking'!AO$12:AO$1048576,Table10[[#This Row],[Pcode]],'NFI Tracking'!AI$12:AI$1048576)</f>
        <v>0</v>
      </c>
      <c r="H41" s="335">
        <f>SUMIF('NFI Tracking'!AO$12:AO$1048576,Table10[[#This Row],[Pcode]],'NFI Tracking'!AJ$12:AJ$1048576)</f>
        <v>0</v>
      </c>
      <c r="I41" s="335">
        <f>SUMIF('NFI Tracking'!AO$12:AO$1048576,Table10[[#This Row],[Pcode]],'NFI Tracking'!AK$12:AK$1048576)</f>
        <v>0</v>
      </c>
      <c r="J41" s="335">
        <f ca="1">MAX(Table10[[#This Row],[HH]]*VLOOKUP("Winter Clothes Adult",NFI,6)-Table10[[#This Row],[Winter Clothes Adult ]],0)</f>
        <v>176</v>
      </c>
      <c r="K41" s="335">
        <f ca="1">MAX(Table10[[#This Row],[HH]]*VLOOKUP("Winter Clothes Children ",NFI,6)-Table10[[#This Row],[Winter Clothes Children ]],0)</f>
        <v>88</v>
      </c>
      <c r="L41" s="335">
        <f ca="1">MAX(Table10[[#This Row],[HH]]*VLOOKUP("Winter Items Other ",NFI,6)-Table10[[#This Row],[Winter Items Other ]],0)</f>
        <v>88</v>
      </c>
      <c r="M41" s="368" t="str">
        <f>IF(OR(Table10[[#This Row],[Winter Clothes Adult ]]&lt;&gt;0,Table10[[#This Row],[Winter Clothes Children ]]&lt;&gt;0,Table10[[#This Row],[Winter Items Other ]]&lt;&gt;0),"No","")</f>
        <v/>
      </c>
      <c r="N41" s="369">
        <f>COUNTIF(A:A,Table10[[#This Row],[Pcode]])-1</f>
        <v>0</v>
      </c>
    </row>
    <row r="42" spans="1:14" x14ac:dyDescent="0.25">
      <c r="A42" s="312" t="s">
        <v>383</v>
      </c>
      <c r="B42" s="25" t="str">
        <f ca="1">OFFSET(CampList[Priority],MATCH(Table10[[#This Row],[Pcode]],CampList[CP_Pcode],0)-1,0,1,1)</f>
        <v>P3</v>
      </c>
      <c r="C42" s="25" t="str">
        <f ca="1">OFFSET(CampList[Camp],MATCH(Table10[[#This Row],[Pcode]],CampList[CP_Pcode],0)-1,0,1,1)</f>
        <v>Kutkai downtown (KBC Church)</v>
      </c>
      <c r="D42" s="25" t="str">
        <f ca="1">OFFSET(CampList[Township],MATCH(Table10[[#This Row],[Pcode]],CampList[CP_Pcode],0)-1,0,1,1)</f>
        <v>Kutkai</v>
      </c>
      <c r="E42" s="25">
        <f ca="1">OFFSET(CampList[HH],MATCH(Table10[[#This Row],[Pcode]],CampList[CP_Pcode],0)-1,0,1,1)</f>
        <v>63</v>
      </c>
      <c r="F42" s="25">
        <f ca="1">OFFSET(CampList[Total],MATCH(Table10[[#This Row],[Pcode]],CampList[CP_Pcode],0)-1,0,1,1)</f>
        <v>286</v>
      </c>
      <c r="G42" s="335">
        <f>SUMIF('NFI Tracking'!AO$12:AO$1048576,Table10[[#This Row],[Pcode]],'NFI Tracking'!AI$12:AI$1048576)</f>
        <v>0</v>
      </c>
      <c r="H42" s="335">
        <f>SUMIF('NFI Tracking'!AO$12:AO$1048576,Table10[[#This Row],[Pcode]],'NFI Tracking'!AJ$12:AJ$1048576)</f>
        <v>0</v>
      </c>
      <c r="I42" s="335">
        <f>SUMIF('NFI Tracking'!AO$12:AO$1048576,Table10[[#This Row],[Pcode]],'NFI Tracking'!AK$12:AK$1048576)</f>
        <v>0</v>
      </c>
      <c r="J42" s="335">
        <f ca="1">MAX(Table10[[#This Row],[HH]]*VLOOKUP("Winter Clothes Adult",NFI,6)-Table10[[#This Row],[Winter Clothes Adult ]],0)</f>
        <v>126</v>
      </c>
      <c r="K42" s="335">
        <f ca="1">MAX(Table10[[#This Row],[HH]]*VLOOKUP("Winter Clothes Children ",NFI,6)-Table10[[#This Row],[Winter Clothes Children ]],0)</f>
        <v>63</v>
      </c>
      <c r="L42" s="335">
        <f ca="1">MAX(Table10[[#This Row],[HH]]*VLOOKUP("Winter Items Other ",NFI,6)-Table10[[#This Row],[Winter Items Other ]],0)</f>
        <v>63</v>
      </c>
      <c r="M42" s="368" t="str">
        <f>IF(OR(Table10[[#This Row],[Winter Clothes Adult ]]&lt;&gt;0,Table10[[#This Row],[Winter Clothes Children ]]&lt;&gt;0,Table10[[#This Row],[Winter Items Other ]]&lt;&gt;0),"No","")</f>
        <v/>
      </c>
      <c r="N42" s="369">
        <f>COUNTIF(A:A,Table10[[#This Row],[Pcode]])-1</f>
        <v>0</v>
      </c>
    </row>
    <row r="43" spans="1:14" x14ac:dyDescent="0.25">
      <c r="A43" s="312" t="s">
        <v>384</v>
      </c>
      <c r="B43" s="25" t="str">
        <f ca="1">OFFSET(CampList[Priority],MATCH(Table10[[#This Row],[Pcode]],CampList[CP_Pcode],0)-1,0,1,1)</f>
        <v>P3</v>
      </c>
      <c r="C43" s="25" t="str">
        <f ca="1">OFFSET(CampList[Camp],MATCH(Table10[[#This Row],[Pcode]],CampList[CP_Pcode],0)-1,0,1,1)</f>
        <v>Kutkai downtown (RC Church)</v>
      </c>
      <c r="D43" s="25" t="str">
        <f ca="1">OFFSET(CampList[Township],MATCH(Table10[[#This Row],[Pcode]],CampList[CP_Pcode],0)-1,0,1,1)</f>
        <v>Kutkai</v>
      </c>
      <c r="E43" s="25">
        <f ca="1">OFFSET(CampList[HH],MATCH(Table10[[#This Row],[Pcode]],CampList[CP_Pcode],0)-1,0,1,1)</f>
        <v>30</v>
      </c>
      <c r="F43" s="25">
        <f ca="1">OFFSET(CampList[Total],MATCH(Table10[[#This Row],[Pcode]],CampList[CP_Pcode],0)-1,0,1,1)</f>
        <v>139</v>
      </c>
      <c r="G43" s="335">
        <f>SUMIF('NFI Tracking'!AO$12:AO$1048576,Table10[[#This Row],[Pcode]],'NFI Tracking'!AI$12:AI$1048576)</f>
        <v>0</v>
      </c>
      <c r="H43" s="335">
        <f>SUMIF('NFI Tracking'!AO$12:AO$1048576,Table10[[#This Row],[Pcode]],'NFI Tracking'!AJ$12:AJ$1048576)</f>
        <v>0</v>
      </c>
      <c r="I43" s="335">
        <f>SUMIF('NFI Tracking'!AO$12:AO$1048576,Table10[[#This Row],[Pcode]],'NFI Tracking'!AK$12:AK$1048576)</f>
        <v>0</v>
      </c>
      <c r="J43" s="335">
        <f ca="1">MAX(Table10[[#This Row],[HH]]*VLOOKUP("Winter Clothes Adult",NFI,6)-Table10[[#This Row],[Winter Clothes Adult ]],0)</f>
        <v>60</v>
      </c>
      <c r="K43" s="335">
        <f ca="1">MAX(Table10[[#This Row],[HH]]*VLOOKUP("Winter Clothes Children ",NFI,6)-Table10[[#This Row],[Winter Clothes Children ]],0)</f>
        <v>30</v>
      </c>
      <c r="L43" s="335">
        <f ca="1">MAX(Table10[[#This Row],[HH]]*VLOOKUP("Winter Items Other ",NFI,6)-Table10[[#This Row],[Winter Items Other ]],0)</f>
        <v>30</v>
      </c>
      <c r="M43" s="368" t="str">
        <f>IF(OR(Table10[[#This Row],[Winter Clothes Adult ]]&lt;&gt;0,Table10[[#This Row],[Winter Clothes Children ]]&lt;&gt;0,Table10[[#This Row],[Winter Items Other ]]&lt;&gt;0),"No","")</f>
        <v/>
      </c>
      <c r="N43" s="369">
        <f>COUNTIF(A:A,Table10[[#This Row],[Pcode]])-1</f>
        <v>0</v>
      </c>
    </row>
    <row r="44" spans="1:14" x14ac:dyDescent="0.25">
      <c r="A44" s="312" t="s">
        <v>385</v>
      </c>
      <c r="B44" s="25" t="str">
        <f ca="1">OFFSET(CampList[Priority],MATCH(Table10[[#This Row],[Pcode]],CampList[CP_Pcode],0)-1,0,1,1)</f>
        <v>P3</v>
      </c>
      <c r="C44" s="25" t="str">
        <f ca="1">OFFSET(CampList[Camp],MATCH(Table10[[#This Row],[Pcode]],CampList[CP_Pcode],0)-1,0,1,1)</f>
        <v>Mine Yu Lay village</v>
      </c>
      <c r="D44" s="25" t="str">
        <f ca="1">OFFSET(CampList[Township],MATCH(Table10[[#This Row],[Pcode]],CampList[CP_Pcode],0)-1,0,1,1)</f>
        <v>Kutkai</v>
      </c>
      <c r="E44" s="25">
        <f ca="1">OFFSET(CampList[HH],MATCH(Table10[[#This Row],[Pcode]],CampList[CP_Pcode],0)-1,0,1,1)</f>
        <v>69</v>
      </c>
      <c r="F44" s="25">
        <f ca="1">OFFSET(CampList[Total],MATCH(Table10[[#This Row],[Pcode]],CampList[CP_Pcode],0)-1,0,1,1)</f>
        <v>305</v>
      </c>
      <c r="G44" s="335">
        <f>SUMIF('NFI Tracking'!AO$12:AO$1048576,Table10[[#This Row],[Pcode]],'NFI Tracking'!AI$12:AI$1048576)</f>
        <v>0</v>
      </c>
      <c r="H44" s="335">
        <f>SUMIF('NFI Tracking'!AO$12:AO$1048576,Table10[[#This Row],[Pcode]],'NFI Tracking'!AJ$12:AJ$1048576)</f>
        <v>0</v>
      </c>
      <c r="I44" s="335">
        <f>SUMIF('NFI Tracking'!AO$12:AO$1048576,Table10[[#This Row],[Pcode]],'NFI Tracking'!AK$12:AK$1048576)</f>
        <v>0</v>
      </c>
      <c r="J44" s="335">
        <f ca="1">MAX(Table10[[#This Row],[HH]]*VLOOKUP("Winter Clothes Adult",NFI,6)-Table10[[#This Row],[Winter Clothes Adult ]],0)</f>
        <v>138</v>
      </c>
      <c r="K44" s="335">
        <f ca="1">MAX(Table10[[#This Row],[HH]]*VLOOKUP("Winter Clothes Children ",NFI,6)-Table10[[#This Row],[Winter Clothes Children ]],0)</f>
        <v>69</v>
      </c>
      <c r="L44" s="335">
        <f ca="1">MAX(Table10[[#This Row],[HH]]*VLOOKUP("Winter Items Other ",NFI,6)-Table10[[#This Row],[Winter Items Other ]],0)</f>
        <v>69</v>
      </c>
      <c r="M44" s="368" t="str">
        <f>IF(OR(Table10[[#This Row],[Winter Clothes Adult ]]&lt;&gt;0,Table10[[#This Row],[Winter Clothes Children ]]&lt;&gt;0,Table10[[#This Row],[Winter Items Other ]]&lt;&gt;0),"No","")</f>
        <v/>
      </c>
      <c r="N44" s="369">
        <f>COUNTIF(A:A,Table10[[#This Row],[Pcode]])-1</f>
        <v>0</v>
      </c>
    </row>
    <row r="45" spans="1:14" x14ac:dyDescent="0.25">
      <c r="A45" s="312" t="s">
        <v>148</v>
      </c>
      <c r="B45" s="25" t="str">
        <f ca="1">OFFSET(CampList[Priority],MATCH(Table10[[#This Row],[Pcode]],CampList[CP_Pcode],0)-1,0,1,1)</f>
        <v>P3</v>
      </c>
      <c r="C45" s="25" t="str">
        <f ca="1">OFFSET(CampList[Camp],MATCH(Table10[[#This Row],[Pcode]],CampList[CP_Pcode],0)-1,0,1,1)</f>
        <v xml:space="preserve">Nam Hpak Ka Mare </v>
      </c>
      <c r="D45" s="25" t="str">
        <f ca="1">OFFSET(CampList[Township],MATCH(Table10[[#This Row],[Pcode]],CampList[CP_Pcode],0)-1,0,1,1)</f>
        <v>Kutkai</v>
      </c>
      <c r="E45" s="25">
        <f ca="1">OFFSET(CampList[HH],MATCH(Table10[[#This Row],[Pcode]],CampList[CP_Pcode],0)-1,0,1,1)</f>
        <v>62</v>
      </c>
      <c r="F45" s="25">
        <f ca="1">OFFSET(CampList[Total],MATCH(Table10[[#This Row],[Pcode]],CampList[CP_Pcode],0)-1,0,1,1)</f>
        <v>281</v>
      </c>
      <c r="G45" s="335">
        <f>SUMIF('NFI Tracking'!AO$12:AO$1048576,Table10[[#This Row],[Pcode]],'NFI Tracking'!AI$12:AI$1048576)</f>
        <v>0</v>
      </c>
      <c r="H45" s="335">
        <f>SUMIF('NFI Tracking'!AO$12:AO$1048576,Table10[[#This Row],[Pcode]],'NFI Tracking'!AJ$12:AJ$1048576)</f>
        <v>0</v>
      </c>
      <c r="I45" s="335">
        <f>SUMIF('NFI Tracking'!AO$12:AO$1048576,Table10[[#This Row],[Pcode]],'NFI Tracking'!AK$12:AK$1048576)</f>
        <v>0</v>
      </c>
      <c r="J45" s="335">
        <f ca="1">MAX(Table10[[#This Row],[HH]]*VLOOKUP("Winter Clothes Adult",NFI,6)-Table10[[#This Row],[Winter Clothes Adult ]],0)</f>
        <v>124</v>
      </c>
      <c r="K45" s="335">
        <f ca="1">MAX(Table10[[#This Row],[HH]]*VLOOKUP("Winter Clothes Children ",NFI,6)-Table10[[#This Row],[Winter Clothes Children ]],0)</f>
        <v>62</v>
      </c>
      <c r="L45" s="335">
        <f ca="1">MAX(Table10[[#This Row],[HH]]*VLOOKUP("Winter Items Other ",NFI,6)-Table10[[#This Row],[Winter Items Other ]],0)</f>
        <v>62</v>
      </c>
      <c r="M45" s="368" t="str">
        <f>IF(OR(Table10[[#This Row],[Winter Clothes Adult ]]&lt;&gt;0,Table10[[#This Row],[Winter Clothes Children ]]&lt;&gt;0,Table10[[#This Row],[Winter Items Other ]]&lt;&gt;0),"No","")</f>
        <v/>
      </c>
      <c r="N45" s="369">
        <f>COUNTIF(A:A,Table10[[#This Row],[Pcode]])-1</f>
        <v>0</v>
      </c>
    </row>
    <row r="46" spans="1:14" x14ac:dyDescent="0.25">
      <c r="A46" s="312" t="s">
        <v>387</v>
      </c>
      <c r="B46" s="25" t="str">
        <f ca="1">OFFSET(CampList[Priority],MATCH(Table10[[#This Row],[Pcode]],CampList[CP_Pcode],0)-1,0,1,1)</f>
        <v>P3</v>
      </c>
      <c r="C46" s="25" t="str">
        <f ca="1">OFFSET(CampList[Camp],MATCH(Table10[[#This Row],[Pcode]],CampList[CP_Pcode],0)-1,0,1,1)</f>
        <v>Zup Aung Camp</v>
      </c>
      <c r="D46" s="25" t="str">
        <f ca="1">OFFSET(CampList[Township],MATCH(Table10[[#This Row],[Pcode]],CampList[CP_Pcode],0)-1,0,1,1)</f>
        <v>Kutkai</v>
      </c>
      <c r="E46" s="25">
        <f ca="1">OFFSET(CampList[HH],MATCH(Table10[[#This Row],[Pcode]],CampList[CP_Pcode],0)-1,0,1,1)</f>
        <v>202</v>
      </c>
      <c r="F46" s="25">
        <f ca="1">OFFSET(CampList[Total],MATCH(Table10[[#This Row],[Pcode]],CampList[CP_Pcode],0)-1,0,1,1)</f>
        <v>906</v>
      </c>
      <c r="G46" s="335">
        <f>SUMIF('NFI Tracking'!AO$12:AO$1048576,Table10[[#This Row],[Pcode]],'NFI Tracking'!AI$12:AI$1048576)</f>
        <v>0</v>
      </c>
      <c r="H46" s="335">
        <f>SUMIF('NFI Tracking'!AO$12:AO$1048576,Table10[[#This Row],[Pcode]],'NFI Tracking'!AJ$12:AJ$1048576)</f>
        <v>0</v>
      </c>
      <c r="I46" s="335">
        <f>SUMIF('NFI Tracking'!AO$12:AO$1048576,Table10[[#This Row],[Pcode]],'NFI Tracking'!AK$12:AK$1048576)</f>
        <v>0</v>
      </c>
      <c r="J46" s="335">
        <f ca="1">MAX(Table10[[#This Row],[HH]]*VLOOKUP("Winter Clothes Adult",NFI,6)-Table10[[#This Row],[Winter Clothes Adult ]],0)</f>
        <v>404</v>
      </c>
      <c r="K46" s="335">
        <f ca="1">MAX(Table10[[#This Row],[HH]]*VLOOKUP("Winter Clothes Children ",NFI,6)-Table10[[#This Row],[Winter Clothes Children ]],0)</f>
        <v>202</v>
      </c>
      <c r="L46" s="335">
        <f ca="1">MAX(Table10[[#This Row],[HH]]*VLOOKUP("Winter Items Other ",NFI,6)-Table10[[#This Row],[Winter Items Other ]],0)</f>
        <v>202</v>
      </c>
      <c r="M46" s="368" t="str">
        <f>IF(OR(Table10[[#This Row],[Winter Clothes Adult ]]&lt;&gt;0,Table10[[#This Row],[Winter Clothes Children ]]&lt;&gt;0,Table10[[#This Row],[Winter Items Other ]]&lt;&gt;0),"No","")</f>
        <v/>
      </c>
      <c r="N46" s="369">
        <f>COUNTIF(A:A,Table10[[#This Row],[Pcode]])-1</f>
        <v>0</v>
      </c>
    </row>
    <row r="47" spans="1:14" x14ac:dyDescent="0.25">
      <c r="A47" s="312" t="s">
        <v>824</v>
      </c>
      <c r="B47" s="25" t="str">
        <f ca="1">OFFSET(CampList[Priority],MATCH(Table10[[#This Row],[Pcode]],CampList[CP_Pcode],0)-1,0,1,1)</f>
        <v>P3</v>
      </c>
      <c r="C47" s="25" t="str">
        <f ca="1">OFFSET(CampList[Camp],MATCH(Table10[[#This Row],[Pcode]],CampList[CP_Pcode],0)-1,0,1,1)</f>
        <v>Mandung - RC</v>
      </c>
      <c r="D47" s="25" t="str">
        <f ca="1">OFFSET(CampList[Township],MATCH(Table10[[#This Row],[Pcode]],CampList[CP_Pcode],0)-1,0,1,1)</f>
        <v>Manton</v>
      </c>
      <c r="E47" s="25">
        <f ca="1">OFFSET(CampList[HH],MATCH(Table10[[#This Row],[Pcode]],CampList[CP_Pcode],0)-1,0,1,1)</f>
        <v>29</v>
      </c>
      <c r="F47" s="25">
        <f ca="1">OFFSET(CampList[Total],MATCH(Table10[[#This Row],[Pcode]],CampList[CP_Pcode],0)-1,0,1,1)</f>
        <v>157</v>
      </c>
      <c r="G47" s="335">
        <f>SUMIF('NFI Tracking'!AO$12:AO$1048576,Table10[[#This Row],[Pcode]],'NFI Tracking'!AI$12:AI$1048576)</f>
        <v>0</v>
      </c>
      <c r="H47" s="335">
        <f>SUMIF('NFI Tracking'!AO$12:AO$1048576,Table10[[#This Row],[Pcode]],'NFI Tracking'!AJ$12:AJ$1048576)</f>
        <v>0</v>
      </c>
      <c r="I47" s="335">
        <f>SUMIF('NFI Tracking'!AO$12:AO$1048576,Table10[[#This Row],[Pcode]],'NFI Tracking'!AK$12:AK$1048576)</f>
        <v>0</v>
      </c>
      <c r="J47" s="335">
        <f ca="1">MAX(Table10[[#This Row],[HH]]*VLOOKUP("Winter Clothes Adult",NFI,6)-Table10[[#This Row],[Winter Clothes Adult ]],0)</f>
        <v>58</v>
      </c>
      <c r="K47" s="335">
        <f ca="1">MAX(Table10[[#This Row],[HH]]*VLOOKUP("Winter Clothes Children ",NFI,6)-Table10[[#This Row],[Winter Clothes Children ]],0)</f>
        <v>29</v>
      </c>
      <c r="L47" s="335">
        <f ca="1">MAX(Table10[[#This Row],[HH]]*VLOOKUP("Winter Items Other ",NFI,6)-Table10[[#This Row],[Winter Items Other ]],0)</f>
        <v>29</v>
      </c>
      <c r="M47" s="368" t="str">
        <f>IF(OR(Table10[[#This Row],[Winter Clothes Adult ]]&lt;&gt;0,Table10[[#This Row],[Winter Clothes Children ]]&lt;&gt;0,Table10[[#This Row],[Winter Items Other ]]&lt;&gt;0),"No","")</f>
        <v/>
      </c>
      <c r="N47" s="369">
        <f>COUNTIF(A:A,Table10[[#This Row],[Pcode]])-1</f>
        <v>0</v>
      </c>
    </row>
    <row r="48" spans="1:14" x14ac:dyDescent="0.25">
      <c r="A48" s="312" t="s">
        <v>168</v>
      </c>
      <c r="B48" s="25" t="str">
        <f ca="1">OFFSET(CampList[Priority],MATCH(Table10[[#This Row],[Pcode]],CampList[CP_Pcode],0)-1,0,1,1)</f>
        <v>P3</v>
      </c>
      <c r="C48" s="25" t="str">
        <f ca="1">OFFSET(CampList[Camp],MATCH(Table10[[#This Row],[Pcode]],CampList[CP_Pcode],0)-1,0,1,1)</f>
        <v>Howa</v>
      </c>
      <c r="D48" s="25" t="str">
        <f ca="1">OFFSET(CampList[Township],MATCH(Table10[[#This Row],[Pcode]],CampList[CP_Pcode],0)-1,0,1,1)</f>
        <v>Muse</v>
      </c>
      <c r="E48" s="25">
        <f ca="1">OFFSET(CampList[HH],MATCH(Table10[[#This Row],[Pcode]],CampList[CP_Pcode],0)-1,0,1,1)</f>
        <v>32</v>
      </c>
      <c r="F48" s="25">
        <f ca="1">OFFSET(CampList[Total],MATCH(Table10[[#This Row],[Pcode]],CampList[CP_Pcode],0)-1,0,1,1)</f>
        <v>0</v>
      </c>
      <c r="G48" s="335">
        <f>SUMIF('NFI Tracking'!AO$12:AO$1048576,Table10[[#This Row],[Pcode]],'NFI Tracking'!AI$12:AI$1048576)</f>
        <v>0</v>
      </c>
      <c r="H48" s="335">
        <f>SUMIF('NFI Tracking'!AO$12:AO$1048576,Table10[[#This Row],[Pcode]],'NFI Tracking'!AJ$12:AJ$1048576)</f>
        <v>0</v>
      </c>
      <c r="I48" s="335">
        <f>SUMIF('NFI Tracking'!AO$12:AO$1048576,Table10[[#This Row],[Pcode]],'NFI Tracking'!AK$12:AK$1048576)</f>
        <v>0</v>
      </c>
      <c r="J48" s="335">
        <f ca="1">MAX(Table10[[#This Row],[HH]]*VLOOKUP("Winter Clothes Adult",NFI,6)-Table10[[#This Row],[Winter Clothes Adult ]],0)</f>
        <v>64</v>
      </c>
      <c r="K48" s="335">
        <f ca="1">MAX(Table10[[#This Row],[HH]]*VLOOKUP("Winter Clothes Children ",NFI,6)-Table10[[#This Row],[Winter Clothes Children ]],0)</f>
        <v>32</v>
      </c>
      <c r="L48" s="335">
        <f ca="1">MAX(Table10[[#This Row],[HH]]*VLOOKUP("Winter Items Other ",NFI,6)-Table10[[#This Row],[Winter Items Other ]],0)</f>
        <v>32</v>
      </c>
      <c r="M48" s="368" t="str">
        <f>IF(OR(Table10[[#This Row],[Winter Clothes Adult ]]&lt;&gt;0,Table10[[#This Row],[Winter Clothes Children ]]&lt;&gt;0,Table10[[#This Row],[Winter Items Other ]]&lt;&gt;0),"No","")</f>
        <v/>
      </c>
      <c r="N48" s="369">
        <f>COUNTIF(A:A,Table10[[#This Row],[Pcode]])-1</f>
        <v>0</v>
      </c>
    </row>
    <row r="49" spans="1:14" x14ac:dyDescent="0.25">
      <c r="A49" s="312" t="s">
        <v>170</v>
      </c>
      <c r="B49" s="25" t="str">
        <f ca="1">OFFSET(CampList[Priority],MATCH(Table10[[#This Row],[Pcode]],CampList[CP_Pcode],0)-1,0,1,1)</f>
        <v>P3</v>
      </c>
      <c r="C49" s="25" t="str">
        <f ca="1">OFFSET(CampList[Camp],MATCH(Table10[[#This Row],[Pcode]],CampList[CP_Pcode],0)-1,0,1,1)</f>
        <v>Nam Hkyet</v>
      </c>
      <c r="D49" s="25" t="str">
        <f ca="1">OFFSET(CampList[Township],MATCH(Table10[[#This Row],[Pcode]],CampList[CP_Pcode],0)-1,0,1,1)</f>
        <v>Muse</v>
      </c>
      <c r="E49" s="25">
        <f ca="1">OFFSET(CampList[HH],MATCH(Table10[[#This Row],[Pcode]],CampList[CP_Pcode],0)-1,0,1,1)</f>
        <v>6</v>
      </c>
      <c r="F49" s="25">
        <f ca="1">OFFSET(CampList[Total],MATCH(Table10[[#This Row],[Pcode]],CampList[CP_Pcode],0)-1,0,1,1)</f>
        <v>0</v>
      </c>
      <c r="G49" s="335">
        <f>SUMIF('NFI Tracking'!AO$12:AO$1048576,Table10[[#This Row],[Pcode]],'NFI Tracking'!AI$12:AI$1048576)</f>
        <v>0</v>
      </c>
      <c r="H49" s="335">
        <f>SUMIF('NFI Tracking'!AO$12:AO$1048576,Table10[[#This Row],[Pcode]],'NFI Tracking'!AJ$12:AJ$1048576)</f>
        <v>0</v>
      </c>
      <c r="I49" s="335">
        <f>SUMIF('NFI Tracking'!AO$12:AO$1048576,Table10[[#This Row],[Pcode]],'NFI Tracking'!AK$12:AK$1048576)</f>
        <v>0</v>
      </c>
      <c r="J49" s="335">
        <f ca="1">MAX(Table10[[#This Row],[HH]]*VLOOKUP("Winter Clothes Adult",NFI,6)-Table10[[#This Row],[Winter Clothes Adult ]],0)</f>
        <v>12</v>
      </c>
      <c r="K49" s="335">
        <f ca="1">MAX(Table10[[#This Row],[HH]]*VLOOKUP("Winter Clothes Children ",NFI,6)-Table10[[#This Row],[Winter Clothes Children ]],0)</f>
        <v>6</v>
      </c>
      <c r="L49" s="335">
        <f ca="1">MAX(Table10[[#This Row],[HH]]*VLOOKUP("Winter Items Other ",NFI,6)-Table10[[#This Row],[Winter Items Other ]],0)</f>
        <v>6</v>
      </c>
      <c r="M49" s="368" t="str">
        <f>IF(OR(Table10[[#This Row],[Winter Clothes Adult ]]&lt;&gt;0,Table10[[#This Row],[Winter Clothes Children ]]&lt;&gt;0,Table10[[#This Row],[Winter Items Other ]]&lt;&gt;0),"No","")</f>
        <v/>
      </c>
      <c r="N49" s="369">
        <f>COUNTIF(A:A,Table10[[#This Row],[Pcode]])-1</f>
        <v>0</v>
      </c>
    </row>
    <row r="50" spans="1:14" x14ac:dyDescent="0.25">
      <c r="A50" s="312" t="s">
        <v>291</v>
      </c>
      <c r="B50" s="25" t="str">
        <f ca="1">OFFSET(CampList[Priority],MATCH(Table10[[#This Row],[Pcode]],CampList[CP_Pcode],0)-1,0,1,1)</f>
        <v>P3</v>
      </c>
      <c r="C50" s="25" t="str">
        <f ca="1">OFFSET(CampList[Camp],MATCH(Table10[[#This Row],[Pcode]],CampList[CP_Pcode],0)-1,0,1,1)</f>
        <v>Nam Hkam - Nay Win Ni (Palawng)</v>
      </c>
      <c r="D50" s="25" t="str">
        <f ca="1">OFFSET(CampList[Township],MATCH(Table10[[#This Row],[Pcode]],CampList[CP_Pcode],0)-1,0,1,1)</f>
        <v>Namhkan</v>
      </c>
      <c r="E50" s="25">
        <f ca="1">OFFSET(CampList[HH],MATCH(Table10[[#This Row],[Pcode]],CampList[CP_Pcode],0)-1,0,1,1)</f>
        <v>70</v>
      </c>
      <c r="F50" s="25">
        <f ca="1">OFFSET(CampList[Total],MATCH(Table10[[#This Row],[Pcode]],CampList[CP_Pcode],0)-1,0,1,1)</f>
        <v>363</v>
      </c>
      <c r="G50" s="335">
        <f>SUMIF('NFI Tracking'!AO$12:AO$1048576,Table10[[#This Row],[Pcode]],'NFI Tracking'!AI$12:AI$1048576)</f>
        <v>0</v>
      </c>
      <c r="H50" s="335">
        <f>SUMIF('NFI Tracking'!AO$12:AO$1048576,Table10[[#This Row],[Pcode]],'NFI Tracking'!AJ$12:AJ$1048576)</f>
        <v>0</v>
      </c>
      <c r="I50" s="335">
        <f>SUMIF('NFI Tracking'!AO$12:AO$1048576,Table10[[#This Row],[Pcode]],'NFI Tracking'!AK$12:AK$1048576)</f>
        <v>0</v>
      </c>
      <c r="J50" s="335">
        <f ca="1">MAX(Table10[[#This Row],[HH]]*VLOOKUP("Winter Clothes Adult",NFI,6)-Table10[[#This Row],[Winter Clothes Adult ]],0)</f>
        <v>140</v>
      </c>
      <c r="K50" s="335">
        <f ca="1">MAX(Table10[[#This Row],[HH]]*VLOOKUP("Winter Clothes Children ",NFI,6)-Table10[[#This Row],[Winter Clothes Children ]],0)</f>
        <v>70</v>
      </c>
      <c r="L50" s="335">
        <f ca="1">MAX(Table10[[#This Row],[HH]]*VLOOKUP("Winter Items Other ",NFI,6)-Table10[[#This Row],[Winter Items Other ]],0)</f>
        <v>70</v>
      </c>
      <c r="M50" s="368" t="str">
        <f>IF(OR(Table10[[#This Row],[Winter Clothes Adult ]]&lt;&gt;0,Table10[[#This Row],[Winter Clothes Children ]]&lt;&gt;0,Table10[[#This Row],[Winter Items Other ]]&lt;&gt;0),"No","")</f>
        <v/>
      </c>
      <c r="N50" s="369">
        <f>COUNTIF(A:A,Table10[[#This Row],[Pcode]])-1</f>
        <v>0</v>
      </c>
    </row>
    <row r="51" spans="1:14" x14ac:dyDescent="0.25">
      <c r="A51" s="312" t="s">
        <v>288</v>
      </c>
      <c r="B51" s="25" t="str">
        <f ca="1">OFFSET(CampList[Priority],MATCH(Table10[[#This Row],[Pcode]],CampList[CP_Pcode],0)-1,0,1,1)</f>
        <v>P3</v>
      </c>
      <c r="C51" s="25" t="str">
        <f ca="1">OFFSET(CampList[Camp],MATCH(Table10[[#This Row],[Pcode]],CampList[CP_Pcode],0)-1,0,1,1)</f>
        <v>Nam Hkam (KBC Jaw Wang)</v>
      </c>
      <c r="D51" s="25" t="str">
        <f ca="1">OFFSET(CampList[Township],MATCH(Table10[[#This Row],[Pcode]],CampList[CP_Pcode],0)-1,0,1,1)</f>
        <v>Namhkan</v>
      </c>
      <c r="E51" s="25">
        <f ca="1">OFFSET(CampList[HH],MATCH(Table10[[#This Row],[Pcode]],CampList[CP_Pcode],0)-1,0,1,1)</f>
        <v>68</v>
      </c>
      <c r="F51" s="25">
        <f ca="1">OFFSET(CampList[Total],MATCH(Table10[[#This Row],[Pcode]],CampList[CP_Pcode],0)-1,0,1,1)</f>
        <v>380</v>
      </c>
      <c r="G51" s="335">
        <f>SUMIF('NFI Tracking'!AO$12:AO$1048576,Table10[[#This Row],[Pcode]],'NFI Tracking'!AI$12:AI$1048576)</f>
        <v>0</v>
      </c>
      <c r="H51" s="335">
        <f>SUMIF('NFI Tracking'!AO$12:AO$1048576,Table10[[#This Row],[Pcode]],'NFI Tracking'!AJ$12:AJ$1048576)</f>
        <v>0</v>
      </c>
      <c r="I51" s="335">
        <f>SUMIF('NFI Tracking'!AO$12:AO$1048576,Table10[[#This Row],[Pcode]],'NFI Tracking'!AK$12:AK$1048576)</f>
        <v>0</v>
      </c>
      <c r="J51" s="335">
        <f ca="1">MAX(Table10[[#This Row],[HH]]*VLOOKUP("Winter Clothes Adult",NFI,6)-Table10[[#This Row],[Winter Clothes Adult ]],0)</f>
        <v>136</v>
      </c>
      <c r="K51" s="335">
        <f ca="1">MAX(Table10[[#This Row],[HH]]*VLOOKUP("Winter Clothes Children ",NFI,6)-Table10[[#This Row],[Winter Clothes Children ]],0)</f>
        <v>68</v>
      </c>
      <c r="L51" s="335">
        <f ca="1">MAX(Table10[[#This Row],[HH]]*VLOOKUP("Winter Items Other ",NFI,6)-Table10[[#This Row],[Winter Items Other ]],0)</f>
        <v>68</v>
      </c>
      <c r="M51" s="368" t="str">
        <f>IF(OR(Table10[[#This Row],[Winter Clothes Adult ]]&lt;&gt;0,Table10[[#This Row],[Winter Clothes Children ]]&lt;&gt;0,Table10[[#This Row],[Winter Items Other ]]&lt;&gt;0),"No","")</f>
        <v/>
      </c>
      <c r="N51" s="369">
        <f>COUNTIF(A:A,Table10[[#This Row],[Pcode]])-1</f>
        <v>0</v>
      </c>
    </row>
    <row r="52" spans="1:14" x14ac:dyDescent="0.25">
      <c r="A52" s="312" t="s">
        <v>295</v>
      </c>
      <c r="B52" s="25" t="str">
        <f ca="1">OFFSET(CampList[Priority],MATCH(Table10[[#This Row],[Pcode]],CampList[CP_Pcode],0)-1,0,1,1)</f>
        <v>P3</v>
      </c>
      <c r="C52" s="25" t="str">
        <f ca="1">OFFSET(CampList[Camp],MATCH(Table10[[#This Row],[Pcode]],CampList[CP_Pcode],0)-1,0,1,1)</f>
        <v>Nam Hkam Catholic Church ( St. Thomas I)</v>
      </c>
      <c r="D52" s="25" t="str">
        <f ca="1">OFFSET(CampList[Township],MATCH(Table10[[#This Row],[Pcode]],CampList[CP_Pcode],0)-1,0,1,1)</f>
        <v>Namhkan</v>
      </c>
      <c r="E52" s="25">
        <f ca="1">OFFSET(CampList[HH],MATCH(Table10[[#This Row],[Pcode]],CampList[CP_Pcode],0)-1,0,1,1)</f>
        <v>44</v>
      </c>
      <c r="F52" s="25">
        <f ca="1">OFFSET(CampList[Total],MATCH(Table10[[#This Row],[Pcode]],CampList[CP_Pcode],0)-1,0,1,1)</f>
        <v>215</v>
      </c>
      <c r="G52" s="335">
        <f>SUMIF('NFI Tracking'!AO$12:AO$1048576,Table10[[#This Row],[Pcode]],'NFI Tracking'!AI$12:AI$1048576)</f>
        <v>0</v>
      </c>
      <c r="H52" s="335">
        <f>SUMIF('NFI Tracking'!AO$12:AO$1048576,Table10[[#This Row],[Pcode]],'NFI Tracking'!AJ$12:AJ$1048576)</f>
        <v>0</v>
      </c>
      <c r="I52" s="335">
        <f>SUMIF('NFI Tracking'!AO$12:AO$1048576,Table10[[#This Row],[Pcode]],'NFI Tracking'!AK$12:AK$1048576)</f>
        <v>0</v>
      </c>
      <c r="J52" s="335">
        <f ca="1">MAX(Table10[[#This Row],[HH]]*VLOOKUP("Winter Clothes Adult",NFI,6)-Table10[[#This Row],[Winter Clothes Adult ]],0)</f>
        <v>88</v>
      </c>
      <c r="K52" s="335">
        <f ca="1">MAX(Table10[[#This Row],[HH]]*VLOOKUP("Winter Clothes Children ",NFI,6)-Table10[[#This Row],[Winter Clothes Children ]],0)</f>
        <v>44</v>
      </c>
      <c r="L52" s="335">
        <f ca="1">MAX(Table10[[#This Row],[HH]]*VLOOKUP("Winter Items Other ",NFI,6)-Table10[[#This Row],[Winter Items Other ]],0)</f>
        <v>44</v>
      </c>
      <c r="M52" s="368" t="str">
        <f>IF(OR(Table10[[#This Row],[Winter Clothes Adult ]]&lt;&gt;0,Table10[[#This Row],[Winter Clothes Children ]]&lt;&gt;0,Table10[[#This Row],[Winter Items Other ]]&lt;&gt;0),"No","")</f>
        <v/>
      </c>
      <c r="N52" s="369">
        <f>COUNTIF(A:A,Table10[[#This Row],[Pcode]])-1</f>
        <v>0</v>
      </c>
    </row>
    <row r="53" spans="1:14" x14ac:dyDescent="0.25">
      <c r="A53" s="312" t="s">
        <v>297</v>
      </c>
      <c r="B53" s="25" t="str">
        <f ca="1">OFFSET(CampList[Priority],MATCH(Table10[[#This Row],[Pcode]],CampList[CP_Pcode],0)-1,0,1,1)</f>
        <v>P3</v>
      </c>
      <c r="C53" s="25" t="str">
        <f ca="1">OFFSET(CampList[Camp],MATCH(Table10[[#This Row],[Pcode]],CampList[CP_Pcode],0)-1,0,1,1)</f>
        <v>Nam Tu Baptist</v>
      </c>
      <c r="D53" s="25" t="str">
        <f ca="1">OFFSET(CampList[Township],MATCH(Table10[[#This Row],[Pcode]],CampList[CP_Pcode],0)-1,0,1,1)</f>
        <v>Namtu</v>
      </c>
      <c r="E53" s="25">
        <f ca="1">OFFSET(CampList[HH],MATCH(Table10[[#This Row],[Pcode]],CampList[CP_Pcode],0)-1,0,1,1)</f>
        <v>9</v>
      </c>
      <c r="F53" s="25">
        <f ca="1">OFFSET(CampList[Total],MATCH(Table10[[#This Row],[Pcode]],CampList[CP_Pcode],0)-1,0,1,1)</f>
        <v>37</v>
      </c>
      <c r="G53" s="335">
        <f>SUMIF('NFI Tracking'!AO$12:AO$1048576,Table10[[#This Row],[Pcode]],'NFI Tracking'!AI$12:AI$1048576)</f>
        <v>0</v>
      </c>
      <c r="H53" s="335">
        <f>SUMIF('NFI Tracking'!AO$12:AO$1048576,Table10[[#This Row],[Pcode]],'NFI Tracking'!AJ$12:AJ$1048576)</f>
        <v>0</v>
      </c>
      <c r="I53" s="335">
        <f>SUMIF('NFI Tracking'!AO$12:AO$1048576,Table10[[#This Row],[Pcode]],'NFI Tracking'!AK$12:AK$1048576)</f>
        <v>0</v>
      </c>
      <c r="J53" s="335">
        <f ca="1">MAX(Table10[[#This Row],[HH]]*VLOOKUP("Winter Clothes Adult",NFI,6)-Table10[[#This Row],[Winter Clothes Adult ]],0)</f>
        <v>18</v>
      </c>
      <c r="K53" s="335">
        <f ca="1">MAX(Table10[[#This Row],[HH]]*VLOOKUP("Winter Clothes Children ",NFI,6)-Table10[[#This Row],[Winter Clothes Children ]],0)</f>
        <v>9</v>
      </c>
      <c r="L53" s="335">
        <f ca="1">MAX(Table10[[#This Row],[HH]]*VLOOKUP("Winter Items Other ",NFI,6)-Table10[[#This Row],[Winter Items Other ]],0)</f>
        <v>9</v>
      </c>
      <c r="M53" s="368" t="str">
        <f>IF(OR(Table10[[#This Row],[Winter Clothes Adult ]]&lt;&gt;0,Table10[[#This Row],[Winter Clothes Children ]]&lt;&gt;0,Table10[[#This Row],[Winter Items Other ]]&lt;&gt;0),"No","")</f>
        <v/>
      </c>
      <c r="N53" s="369">
        <f>COUNTIF(A:A,Table10[[#This Row],[Pcode]])-1</f>
        <v>0</v>
      </c>
    </row>
    <row r="54" spans="1:14" x14ac:dyDescent="0.25">
      <c r="A54" s="312" t="s">
        <v>825</v>
      </c>
      <c r="B54" s="25" t="str">
        <f ca="1">OFFSET(CampList[Priority],MATCH(Table10[[#This Row],[Pcode]],CampList[CP_Pcode],0)-1,0,1,1)</f>
        <v>P3</v>
      </c>
      <c r="C54" s="25" t="str">
        <f ca="1">OFFSET(CampList[Camp],MATCH(Table10[[#This Row],[Pcode]],CampList[CP_Pcode],0)-1,0,1,1)</f>
        <v>Nam Tu RC</v>
      </c>
      <c r="D54" s="25" t="str">
        <f ca="1">OFFSET(CampList[Township],MATCH(Table10[[#This Row],[Pcode]],CampList[CP_Pcode],0)-1,0,1,1)</f>
        <v>Namtu</v>
      </c>
      <c r="E54" s="25">
        <f ca="1">OFFSET(CampList[HH],MATCH(Table10[[#This Row],[Pcode]],CampList[CP_Pcode],0)-1,0,1,1)</f>
        <v>118</v>
      </c>
      <c r="F54" s="25">
        <f ca="1">OFFSET(CampList[Total],MATCH(Table10[[#This Row],[Pcode]],CampList[CP_Pcode],0)-1,0,1,1)</f>
        <v>520</v>
      </c>
      <c r="G54" s="335">
        <f>SUMIF('NFI Tracking'!AO$12:AO$1048576,Table10[[#This Row],[Pcode]],'NFI Tracking'!AI$12:AI$1048576)</f>
        <v>0</v>
      </c>
      <c r="H54" s="335">
        <f>SUMIF('NFI Tracking'!AO$12:AO$1048576,Table10[[#This Row],[Pcode]],'NFI Tracking'!AJ$12:AJ$1048576)</f>
        <v>0</v>
      </c>
      <c r="I54" s="335">
        <f>SUMIF('NFI Tracking'!AO$12:AO$1048576,Table10[[#This Row],[Pcode]],'NFI Tracking'!AK$12:AK$1048576)</f>
        <v>0</v>
      </c>
      <c r="J54" s="335">
        <f ca="1">MAX(Table10[[#This Row],[HH]]*VLOOKUP("Winter Clothes Adult",NFI,6)-Table10[[#This Row],[Winter Clothes Adult ]],0)</f>
        <v>236</v>
      </c>
      <c r="K54" s="335">
        <f ca="1">MAX(Table10[[#This Row],[HH]]*VLOOKUP("Winter Clothes Children ",NFI,6)-Table10[[#This Row],[Winter Clothes Children ]],0)</f>
        <v>118</v>
      </c>
      <c r="L54" s="335">
        <f ca="1">MAX(Table10[[#This Row],[HH]]*VLOOKUP("Winter Items Other ",NFI,6)-Table10[[#This Row],[Winter Items Other ]],0)</f>
        <v>118</v>
      </c>
      <c r="M54" s="368" t="str">
        <f>IF(OR(Table10[[#This Row],[Winter Clothes Adult ]]&lt;&gt;0,Table10[[#This Row],[Winter Clothes Children ]]&lt;&gt;0,Table10[[#This Row],[Winter Items Other ]]&lt;&gt;0),"No","")</f>
        <v/>
      </c>
      <c r="N54" s="369">
        <f>COUNTIF(A:A,Table10[[#This Row],[Pcode]])-1</f>
        <v>0</v>
      </c>
    </row>
    <row r="55" spans="1:14" x14ac:dyDescent="0.25">
      <c r="A55" s="312" t="s">
        <v>61</v>
      </c>
      <c r="B55" s="25" t="str">
        <f ca="1">OFFSET(CampList[Priority],MATCH(Table10[[#This Row],[Pcode]],CampList[CP_Pcode],0)-1,0,1,1)</f>
        <v>P4</v>
      </c>
      <c r="C55" s="25" t="str">
        <f ca="1">OFFSET(CampList[Camp],MATCH(Table10[[#This Row],[Pcode]],CampList[CP_Pcode],0)-1,0,1,1)</f>
        <v>5 Ward Baptist Church(lon Khin)</v>
      </c>
      <c r="D55" s="25" t="str">
        <f ca="1">OFFSET(CampList[Township],MATCH(Table10[[#This Row],[Pcode]],CampList[CP_Pcode],0)-1,0,1,1)</f>
        <v>Hpakant</v>
      </c>
      <c r="E55" s="335">
        <f ca="1">OFFSET(CampList[HH],MATCH(Table10[[#This Row],[Pcode]],CampList[CP_Pcode],0)-1,0,1,1)</f>
        <v>73</v>
      </c>
      <c r="F55" s="335">
        <f ca="1">OFFSET(CampList[Total],MATCH(Table10[[#This Row],[Pcode]],CampList[CP_Pcode],0)-1,0,1,1)</f>
        <v>350</v>
      </c>
      <c r="G55" s="335">
        <f>SUMIF('NFI Tracking'!AO$12:AO$1048576,Table10[[#This Row],[Pcode]],'NFI Tracking'!AI$12:AI$1048576)</f>
        <v>0</v>
      </c>
      <c r="H55" s="335">
        <f>SUMIF('NFI Tracking'!AO$12:AO$1048576,Table10[[#This Row],[Pcode]],'NFI Tracking'!AJ$12:AJ$1048576)</f>
        <v>0</v>
      </c>
      <c r="I55" s="335">
        <f>SUMIF('NFI Tracking'!AO$12:AO$1048576,Table10[[#This Row],[Pcode]],'NFI Tracking'!AK$12:AK$1048576)</f>
        <v>0</v>
      </c>
      <c r="J55" s="335">
        <f ca="1">MAX(Table10[[#This Row],[HH]]*VLOOKUP("Winter Clothes Adult",NFI,6)-Table10[[#This Row],[Winter Clothes Adult ]],0)</f>
        <v>146</v>
      </c>
      <c r="K55" s="335">
        <f ca="1">MAX(Table10[[#This Row],[HH]]*VLOOKUP("Winter Clothes Children ",NFI,6)-Table10[[#This Row],[Winter Clothes Children ]],0)</f>
        <v>73</v>
      </c>
      <c r="L55" s="335">
        <f ca="1">MAX(Table10[[#This Row],[HH]]*VLOOKUP("Winter Items Other ",NFI,6)-Table10[[#This Row],[Winter Items Other ]],0)</f>
        <v>73</v>
      </c>
      <c r="M55" s="368" t="str">
        <f>IF(OR(Table10[[#This Row],[Winter Clothes Adult ]]&lt;&gt;0,Table10[[#This Row],[Winter Clothes Children ]]&lt;&gt;0,Table10[[#This Row],[Winter Items Other ]]&lt;&gt;0),"No","")</f>
        <v/>
      </c>
      <c r="N55" s="369">
        <f>COUNTIF(A:A,Table10[[#This Row],[Pcode]])-1</f>
        <v>0</v>
      </c>
    </row>
    <row r="56" spans="1:14" x14ac:dyDescent="0.25">
      <c r="A56" s="312" t="s">
        <v>119</v>
      </c>
      <c r="B56" s="25" t="str">
        <f ca="1">OFFSET(CampList[Priority],MATCH(Table10[[#This Row],[Pcode]],CampList[CP_Pcode],0)-1,0,1,1)</f>
        <v>P4</v>
      </c>
      <c r="C56" s="25" t="str">
        <f ca="1">OFFSET(CampList[Camp],MATCH(Table10[[#This Row],[Pcode]],CampList[CP_Pcode],0)-1,0,1,1)</f>
        <v>5 Ward RC Church(lon Khin)</v>
      </c>
      <c r="D56" s="25" t="str">
        <f ca="1">OFFSET(CampList[Township],MATCH(Table10[[#This Row],[Pcode]],CampList[CP_Pcode],0)-1,0,1,1)</f>
        <v>Hpakant</v>
      </c>
      <c r="E56" s="335">
        <f ca="1">OFFSET(CampList[HH],MATCH(Table10[[#This Row],[Pcode]],CampList[CP_Pcode],0)-1,0,1,1)</f>
        <v>77</v>
      </c>
      <c r="F56" s="335">
        <f ca="1">OFFSET(CampList[Total],MATCH(Table10[[#This Row],[Pcode]],CampList[CP_Pcode],0)-1,0,1,1)</f>
        <v>411</v>
      </c>
      <c r="G56" s="335">
        <f>SUMIF('NFI Tracking'!AO$12:AO$1048576,Table10[[#This Row],[Pcode]],'NFI Tracking'!AI$12:AI$1048576)</f>
        <v>0</v>
      </c>
      <c r="H56" s="335">
        <f>SUMIF('NFI Tracking'!AO$12:AO$1048576,Table10[[#This Row],[Pcode]],'NFI Tracking'!AJ$12:AJ$1048576)</f>
        <v>0</v>
      </c>
      <c r="I56" s="335">
        <f>SUMIF('NFI Tracking'!AO$12:AO$1048576,Table10[[#This Row],[Pcode]],'NFI Tracking'!AK$12:AK$1048576)</f>
        <v>0</v>
      </c>
      <c r="J56" s="335">
        <f ca="1">MAX(Table10[[#This Row],[HH]]*VLOOKUP("Winter Clothes Adult",NFI,6)-Table10[[#This Row],[Winter Clothes Adult ]],0)</f>
        <v>154</v>
      </c>
      <c r="K56" s="335">
        <f ca="1">MAX(Table10[[#This Row],[HH]]*VLOOKUP("Winter Clothes Children ",NFI,6)-Table10[[#This Row],[Winter Clothes Children ]],0)</f>
        <v>77</v>
      </c>
      <c r="L56" s="335">
        <f ca="1">MAX(Table10[[#This Row],[HH]]*VLOOKUP("Winter Items Other ",NFI,6)-Table10[[#This Row],[Winter Items Other ]],0)</f>
        <v>77</v>
      </c>
      <c r="M56" s="368" t="str">
        <f>IF(OR(Table10[[#This Row],[Winter Clothes Adult ]]&lt;&gt;0,Table10[[#This Row],[Winter Clothes Children ]]&lt;&gt;0,Table10[[#This Row],[Winter Items Other ]]&lt;&gt;0),"No","")</f>
        <v/>
      </c>
      <c r="N56" s="369">
        <f>COUNTIF(A:A,Table10[[#This Row],[Pcode]])-1</f>
        <v>0</v>
      </c>
    </row>
    <row r="57" spans="1:14" x14ac:dyDescent="0.25">
      <c r="A57" s="312" t="s">
        <v>4</v>
      </c>
      <c r="B57" s="25" t="str">
        <f ca="1">OFFSET(CampList[Priority],MATCH(Table10[[#This Row],[Pcode]],CampList[CP_Pcode],0)-1,0,1,1)</f>
        <v>P4</v>
      </c>
      <c r="C57" s="25" t="str">
        <f ca="1">OFFSET(CampList[Camp],MATCH(Table10[[#This Row],[Pcode]],CampList[CP_Pcode],0)-1,0,1,1)</f>
        <v>AD-2000 Tharthana Compound</v>
      </c>
      <c r="D57" s="25" t="str">
        <f ca="1">OFFSET(CampList[Township],MATCH(Table10[[#This Row],[Pcode]],CampList[CP_Pcode],0)-1,0,1,1)</f>
        <v>Bhamo</v>
      </c>
      <c r="E57" s="335">
        <f ca="1">OFFSET(CampList[HH],MATCH(Table10[[#This Row],[Pcode]],CampList[CP_Pcode],0)-1,0,1,1)</f>
        <v>274</v>
      </c>
      <c r="F57" s="335">
        <f ca="1">OFFSET(CampList[Total],MATCH(Table10[[#This Row],[Pcode]],CampList[CP_Pcode],0)-1,0,1,1)</f>
        <v>1349</v>
      </c>
      <c r="G57" s="335">
        <f>SUMIF('NFI Tracking'!AO$12:AO$1048576,Table10[[#This Row],[Pcode]],'NFI Tracking'!AI$12:AI$1048576)</f>
        <v>0</v>
      </c>
      <c r="H57" s="335">
        <f>SUMIF('NFI Tracking'!AO$12:AO$1048576,Table10[[#This Row],[Pcode]],'NFI Tracking'!AJ$12:AJ$1048576)</f>
        <v>0</v>
      </c>
      <c r="I57" s="335">
        <f>SUMIF('NFI Tracking'!AO$12:AO$1048576,Table10[[#This Row],[Pcode]],'NFI Tracking'!AK$12:AK$1048576)</f>
        <v>0</v>
      </c>
      <c r="J57" s="335">
        <f ca="1">MAX(Table10[[#This Row],[HH]]*VLOOKUP("Winter Clothes Adult",NFI,6)-Table10[[#This Row],[Winter Clothes Adult ]],0)</f>
        <v>548</v>
      </c>
      <c r="K57" s="335">
        <f ca="1">MAX(Table10[[#This Row],[HH]]*VLOOKUP("Winter Clothes Children ",NFI,6)-Table10[[#This Row],[Winter Clothes Children ]],0)</f>
        <v>274</v>
      </c>
      <c r="L57" s="335">
        <f ca="1">MAX(Table10[[#This Row],[HH]]*VLOOKUP("Winter Items Other ",NFI,6)-Table10[[#This Row],[Winter Items Other ]],0)</f>
        <v>274</v>
      </c>
      <c r="M57" s="368" t="str">
        <f>IF(OR(Table10[[#This Row],[Winter Clothes Adult ]]&lt;&gt;0,Table10[[#This Row],[Winter Clothes Children ]]&lt;&gt;0,Table10[[#This Row],[Winter Items Other ]]&lt;&gt;0),"No","")</f>
        <v/>
      </c>
      <c r="N57" s="369">
        <f>COUNTIF(A:A,Table10[[#This Row],[Pcode]])-1</f>
        <v>0</v>
      </c>
    </row>
    <row r="58" spans="1:14" x14ac:dyDescent="0.25">
      <c r="A58" s="312" t="s">
        <v>40</v>
      </c>
      <c r="B58" s="25" t="str">
        <f ca="1">OFFSET(CampList[Priority],MATCH(Table10[[#This Row],[Pcode]],CampList[CP_Pcode],0)-1,0,1,1)</f>
        <v>P4</v>
      </c>
      <c r="C58" s="25" t="str">
        <f ca="1">OFFSET(CampList[Camp],MATCH(Table10[[#This Row],[Pcode]],CampList[CP_Pcode],0)-1,0,1,1)</f>
        <v>AG Church, Hmaw Si Sa</v>
      </c>
      <c r="D58" s="25" t="str">
        <f ca="1">OFFSET(CampList[Township],MATCH(Table10[[#This Row],[Pcode]],CampList[CP_Pcode],0)-1,0,1,1)</f>
        <v>Hpakant</v>
      </c>
      <c r="E58" s="335">
        <f ca="1">OFFSET(CampList[HH],MATCH(Table10[[#This Row],[Pcode]],CampList[CP_Pcode],0)-1,0,1,1)</f>
        <v>67</v>
      </c>
      <c r="F58" s="335">
        <f ca="1">OFFSET(CampList[Total],MATCH(Table10[[#This Row],[Pcode]],CampList[CP_Pcode],0)-1,0,1,1)</f>
        <v>350</v>
      </c>
      <c r="G58" s="335">
        <f>SUMIF('NFI Tracking'!AO$12:AO$1048576,Table10[[#This Row],[Pcode]],'NFI Tracking'!AI$12:AI$1048576)</f>
        <v>0</v>
      </c>
      <c r="H58" s="335">
        <f>SUMIF('NFI Tracking'!AO$12:AO$1048576,Table10[[#This Row],[Pcode]],'NFI Tracking'!AJ$12:AJ$1048576)</f>
        <v>0</v>
      </c>
      <c r="I58" s="335">
        <f>SUMIF('NFI Tracking'!AO$12:AO$1048576,Table10[[#This Row],[Pcode]],'NFI Tracking'!AK$12:AK$1048576)</f>
        <v>0</v>
      </c>
      <c r="J58" s="335">
        <f ca="1">MAX(Table10[[#This Row],[HH]]*VLOOKUP("Winter Clothes Adult",NFI,6)-Table10[[#This Row],[Winter Clothes Adult ]],0)</f>
        <v>134</v>
      </c>
      <c r="K58" s="335">
        <f ca="1">MAX(Table10[[#This Row],[HH]]*VLOOKUP("Winter Clothes Children ",NFI,6)-Table10[[#This Row],[Winter Clothes Children ]],0)</f>
        <v>67</v>
      </c>
      <c r="L58" s="335">
        <f ca="1">MAX(Table10[[#This Row],[HH]]*VLOOKUP("Winter Items Other ",NFI,6)-Table10[[#This Row],[Winter Items Other ]],0)</f>
        <v>67</v>
      </c>
      <c r="M58" s="368" t="str">
        <f>IF(OR(Table10[[#This Row],[Winter Clothes Adult ]]&lt;&gt;0,Table10[[#This Row],[Winter Clothes Children ]]&lt;&gt;0,Table10[[#This Row],[Winter Items Other ]]&lt;&gt;0),"No","")</f>
        <v/>
      </c>
      <c r="N58" s="369">
        <f>COUNTIF(A:A,Table10[[#This Row],[Pcode]])-1</f>
        <v>0</v>
      </c>
    </row>
    <row r="59" spans="1:14" x14ac:dyDescent="0.25">
      <c r="A59" s="312" t="s">
        <v>42</v>
      </c>
      <c r="B59" s="25" t="str">
        <f ca="1">OFFSET(CampList[Priority],MATCH(Table10[[#This Row],[Pcode]],CampList[CP_Pcode],0)-1,0,1,1)</f>
        <v>P4</v>
      </c>
      <c r="C59" s="25" t="str">
        <f ca="1">OFFSET(CampList[Camp],MATCH(Table10[[#This Row],[Pcode]],CampList[CP_Pcode],0)-1,0,1,1)</f>
        <v>AG Church, Maw Wan</v>
      </c>
      <c r="D59" s="25" t="str">
        <f ca="1">OFFSET(CampList[Township],MATCH(Table10[[#This Row],[Pcode]],CampList[CP_Pcode],0)-1,0,1,1)</f>
        <v>Hpakant</v>
      </c>
      <c r="E59" s="335">
        <f ca="1">OFFSET(CampList[HH],MATCH(Table10[[#This Row],[Pcode]],CampList[CP_Pcode],0)-1,0,1,1)</f>
        <v>14</v>
      </c>
      <c r="F59" s="335">
        <f ca="1">OFFSET(CampList[Total],MATCH(Table10[[#This Row],[Pcode]],CampList[CP_Pcode],0)-1,0,1,1)</f>
        <v>83</v>
      </c>
      <c r="G59" s="335">
        <f>SUMIF('NFI Tracking'!AO$12:AO$1048576,Table10[[#This Row],[Pcode]],'NFI Tracking'!AI$12:AI$1048576)</f>
        <v>0</v>
      </c>
      <c r="H59" s="335">
        <f>SUMIF('NFI Tracking'!AO$12:AO$1048576,Table10[[#This Row],[Pcode]],'NFI Tracking'!AJ$12:AJ$1048576)</f>
        <v>0</v>
      </c>
      <c r="I59" s="335">
        <f>SUMIF('NFI Tracking'!AO$12:AO$1048576,Table10[[#This Row],[Pcode]],'NFI Tracking'!AK$12:AK$1048576)</f>
        <v>0</v>
      </c>
      <c r="J59" s="335">
        <f ca="1">MAX(Table10[[#This Row],[HH]]*VLOOKUP("Winter Clothes Adult",NFI,6)-Table10[[#This Row],[Winter Clothes Adult ]],0)</f>
        <v>28</v>
      </c>
      <c r="K59" s="335">
        <f ca="1">MAX(Table10[[#This Row],[HH]]*VLOOKUP("Winter Clothes Children ",NFI,6)-Table10[[#This Row],[Winter Clothes Children ]],0)</f>
        <v>14</v>
      </c>
      <c r="L59" s="335">
        <f ca="1">MAX(Table10[[#This Row],[HH]]*VLOOKUP("Winter Items Other ",NFI,6)-Table10[[#This Row],[Winter Items Other ]],0)</f>
        <v>14</v>
      </c>
      <c r="M59" s="368" t="str">
        <f>IF(OR(Table10[[#This Row],[Winter Clothes Adult ]]&lt;&gt;0,Table10[[#This Row],[Winter Clothes Children ]]&lt;&gt;0,Table10[[#This Row],[Winter Items Other ]]&lt;&gt;0),"No","")</f>
        <v/>
      </c>
      <c r="N59" s="369">
        <f>COUNTIF(A:A,Table10[[#This Row],[Pcode]])-1</f>
        <v>0</v>
      </c>
    </row>
    <row r="60" spans="1:14" x14ac:dyDescent="0.25">
      <c r="A60" s="312" t="s">
        <v>377</v>
      </c>
      <c r="B60" s="25" t="str">
        <f ca="1">OFFSET(CampList[Priority],MATCH(Table10[[#This Row],[Pcode]],CampList[CP_Pcode],0)-1,0,1,1)</f>
        <v>P4</v>
      </c>
      <c r="C60" s="25" t="str">
        <f ca="1">OFFSET(CampList[Camp],MATCH(Table10[[#This Row],[Pcode]],CampList[CP_Pcode],0)-1,0,1,1)</f>
        <v>Aung Thar Church</v>
      </c>
      <c r="D60" s="25" t="str">
        <f ca="1">OFFSET(CampList[Township],MATCH(Table10[[#This Row],[Pcode]],CampList[CP_Pcode],0)-1,0,1,1)</f>
        <v>Bhamo</v>
      </c>
      <c r="E60" s="335">
        <f ca="1">OFFSET(CampList[HH],MATCH(Table10[[#This Row],[Pcode]],CampList[CP_Pcode],0)-1,0,1,1)</f>
        <v>12</v>
      </c>
      <c r="F60" s="335">
        <f ca="1">OFFSET(CampList[Total],MATCH(Table10[[#This Row],[Pcode]],CampList[CP_Pcode],0)-1,0,1,1)</f>
        <v>55</v>
      </c>
      <c r="G60" s="335">
        <f>SUMIF('NFI Tracking'!AO$12:AO$1048576,Table10[[#This Row],[Pcode]],'NFI Tracking'!AI$12:AI$1048576)</f>
        <v>0</v>
      </c>
      <c r="H60" s="335">
        <f>SUMIF('NFI Tracking'!AO$12:AO$1048576,Table10[[#This Row],[Pcode]],'NFI Tracking'!AJ$12:AJ$1048576)</f>
        <v>0</v>
      </c>
      <c r="I60" s="335">
        <f>SUMIF('NFI Tracking'!AO$12:AO$1048576,Table10[[#This Row],[Pcode]],'NFI Tracking'!AK$12:AK$1048576)</f>
        <v>0</v>
      </c>
      <c r="J60" s="335">
        <f ca="1">MAX(Table10[[#This Row],[HH]]*VLOOKUP("Winter Clothes Adult",NFI,6)-Table10[[#This Row],[Winter Clothes Adult ]],0)</f>
        <v>24</v>
      </c>
      <c r="K60" s="335">
        <f ca="1">MAX(Table10[[#This Row],[HH]]*VLOOKUP("Winter Clothes Children ",NFI,6)-Table10[[#This Row],[Winter Clothes Children ]],0)</f>
        <v>12</v>
      </c>
      <c r="L60" s="335">
        <f ca="1">MAX(Table10[[#This Row],[HH]]*VLOOKUP("Winter Items Other ",NFI,6)-Table10[[#This Row],[Winter Items Other ]],0)</f>
        <v>12</v>
      </c>
      <c r="M60" s="368" t="str">
        <f>IF(OR(Table10[[#This Row],[Winter Clothes Adult ]]&lt;&gt;0,Table10[[#This Row],[Winter Clothes Children ]]&lt;&gt;0,Table10[[#This Row],[Winter Items Other ]]&lt;&gt;0),"No","")</f>
        <v/>
      </c>
      <c r="N60" s="369">
        <f>COUNTIF(A:A,Table10[[#This Row],[Pcode]])-1</f>
        <v>0</v>
      </c>
    </row>
    <row r="61" spans="1:14" x14ac:dyDescent="0.25">
      <c r="A61" s="312" t="s">
        <v>882</v>
      </c>
      <c r="B61" s="25" t="str">
        <f ca="1">OFFSET(CampList[Priority],MATCH(Table10[[#This Row],[Pcode]],CampList[CP_Pcode],0)-1,0,1,1)</f>
        <v>P4</v>
      </c>
      <c r="C61" s="25" t="str">
        <f ca="1">OFFSET(CampList[Camp],MATCH(Table10[[#This Row],[Pcode]],CampList[CP_Pcode],0)-1,0,1,1)</f>
        <v>Ban Hkung Yang</v>
      </c>
      <c r="D61" s="25" t="str">
        <f ca="1">OFFSET(CampList[Township],MATCH(Table10[[#This Row],[Pcode]],CampList[CP_Pcode],0)-1,0,1,1)</f>
        <v>Mansi</v>
      </c>
      <c r="E61" s="335">
        <f ca="1">OFFSET(CampList[HH],MATCH(Table10[[#This Row],[Pcode]],CampList[CP_Pcode],0)-1,0,1,1)</f>
        <v>0</v>
      </c>
      <c r="F61" s="335">
        <f ca="1">OFFSET(CampList[Total],MATCH(Table10[[#This Row],[Pcode]],CampList[CP_Pcode],0)-1,0,1,1)</f>
        <v>0</v>
      </c>
      <c r="G61" s="335">
        <f>SUMIF('NFI Tracking'!AO$12:AO$1048576,Table10[[#This Row],[Pcode]],'NFI Tracking'!AI$12:AI$1048576)</f>
        <v>0</v>
      </c>
      <c r="H61" s="335">
        <f>SUMIF('NFI Tracking'!AO$12:AO$1048576,Table10[[#This Row],[Pcode]],'NFI Tracking'!AJ$12:AJ$1048576)</f>
        <v>0</v>
      </c>
      <c r="I61" s="335">
        <f>SUMIF('NFI Tracking'!AO$12:AO$1048576,Table10[[#This Row],[Pcode]],'NFI Tracking'!AK$12:AK$1048576)</f>
        <v>0</v>
      </c>
      <c r="J61" s="335">
        <f ca="1">MAX(Table10[[#This Row],[HH]]*VLOOKUP("Winter Clothes Adult",NFI,6)-Table10[[#This Row],[Winter Clothes Adult ]],0)</f>
        <v>0</v>
      </c>
      <c r="K61" s="335">
        <f ca="1">MAX(Table10[[#This Row],[HH]]*VLOOKUP("Winter Clothes Children ",NFI,6)-Table10[[#This Row],[Winter Clothes Children ]],0)</f>
        <v>0</v>
      </c>
      <c r="L61" s="335">
        <f ca="1">MAX(Table10[[#This Row],[HH]]*VLOOKUP("Winter Items Other ",NFI,6)-Table10[[#This Row],[Winter Items Other ]],0)</f>
        <v>0</v>
      </c>
      <c r="M61" s="368" t="str">
        <f>IF(OR(Table10[[#This Row],[Winter Clothes Adult ]]&lt;&gt;0,Table10[[#This Row],[Winter Clothes Children ]]&lt;&gt;0,Table10[[#This Row],[Winter Items Other ]]&lt;&gt;0),"No","")</f>
        <v/>
      </c>
      <c r="N61" s="369">
        <f>COUNTIF(A:A,Table10[[#This Row],[Pcode]])-1</f>
        <v>0</v>
      </c>
    </row>
    <row r="62" spans="1:14" x14ac:dyDescent="0.25">
      <c r="A62" s="312" t="s">
        <v>51</v>
      </c>
      <c r="B62" s="25" t="str">
        <f ca="1">OFFSET(CampList[Priority],MATCH(Table10[[#This Row],[Pcode]],CampList[CP_Pcode],0)-1,0,1,1)</f>
        <v>P4</v>
      </c>
      <c r="C62" s="25" t="str">
        <f ca="1">OFFSET(CampList[Camp],MATCH(Table10[[#This Row],[Pcode]],CampList[CP_Pcode],0)-1,0,1,1)</f>
        <v>Baptist Church, Hmaw Si Sar(Lon Khin)</v>
      </c>
      <c r="D62" s="25" t="str">
        <f ca="1">OFFSET(CampList[Township],MATCH(Table10[[#This Row],[Pcode]],CampList[CP_Pcode],0)-1,0,1,1)</f>
        <v>Hpakant</v>
      </c>
      <c r="E62" s="335">
        <f ca="1">OFFSET(CampList[HH],MATCH(Table10[[#This Row],[Pcode]],CampList[CP_Pcode],0)-1,0,1,1)</f>
        <v>35</v>
      </c>
      <c r="F62" s="335">
        <f ca="1">OFFSET(CampList[Total],MATCH(Table10[[#This Row],[Pcode]],CampList[CP_Pcode],0)-1,0,1,1)</f>
        <v>226</v>
      </c>
      <c r="G62" s="335">
        <f>SUMIF('NFI Tracking'!AO$12:AO$1048576,Table10[[#This Row],[Pcode]],'NFI Tracking'!AI$12:AI$1048576)</f>
        <v>0</v>
      </c>
      <c r="H62" s="335">
        <f>SUMIF('NFI Tracking'!AO$12:AO$1048576,Table10[[#This Row],[Pcode]],'NFI Tracking'!AJ$12:AJ$1048576)</f>
        <v>0</v>
      </c>
      <c r="I62" s="335">
        <f>SUMIF('NFI Tracking'!AO$12:AO$1048576,Table10[[#This Row],[Pcode]],'NFI Tracking'!AK$12:AK$1048576)</f>
        <v>0</v>
      </c>
      <c r="J62" s="335">
        <f ca="1">MAX(Table10[[#This Row],[HH]]*VLOOKUP("Winter Clothes Adult",NFI,6)-Table10[[#This Row],[Winter Clothes Adult ]],0)</f>
        <v>70</v>
      </c>
      <c r="K62" s="335">
        <f ca="1">MAX(Table10[[#This Row],[HH]]*VLOOKUP("Winter Clothes Children ",NFI,6)-Table10[[#This Row],[Winter Clothes Children ]],0)</f>
        <v>35</v>
      </c>
      <c r="L62" s="335">
        <f ca="1">MAX(Table10[[#This Row],[HH]]*VLOOKUP("Winter Items Other ",NFI,6)-Table10[[#This Row],[Winter Items Other ]],0)</f>
        <v>35</v>
      </c>
      <c r="M62" s="368" t="str">
        <f>IF(OR(Table10[[#This Row],[Winter Clothes Adult ]]&lt;&gt;0,Table10[[#This Row],[Winter Clothes Children ]]&lt;&gt;0,Table10[[#This Row],[Winter Items Other ]]&lt;&gt;0),"No","")</f>
        <v/>
      </c>
      <c r="N62" s="369">
        <f>COUNTIF(A:A,Table10[[#This Row],[Pcode]])-1</f>
        <v>0</v>
      </c>
    </row>
    <row r="63" spans="1:14" x14ac:dyDescent="0.25">
      <c r="A63" s="312" t="s">
        <v>57</v>
      </c>
      <c r="B63" s="25" t="str">
        <f ca="1">OFFSET(CampList[Priority],MATCH(Table10[[#This Row],[Pcode]],CampList[CP_Pcode],0)-1,0,1,1)</f>
        <v>P4</v>
      </c>
      <c r="C63" s="25" t="str">
        <f ca="1">OFFSET(CampList[Camp],MATCH(Table10[[#This Row],[Pcode]],CampList[CP_Pcode],0)-1,0,1,1)</f>
        <v>Baptist Church, Naung Hmee VT</v>
      </c>
      <c r="D63" s="25" t="str">
        <f ca="1">OFFSET(CampList[Township],MATCH(Table10[[#This Row],[Pcode]],CampList[CP_Pcode],0)-1,0,1,1)</f>
        <v>Hpakant</v>
      </c>
      <c r="E63" s="335">
        <f ca="1">OFFSET(CampList[HH],MATCH(Table10[[#This Row],[Pcode]],CampList[CP_Pcode],0)-1,0,1,1)</f>
        <v>0</v>
      </c>
      <c r="F63" s="335">
        <f ca="1">OFFSET(CampList[Total],MATCH(Table10[[#This Row],[Pcode]],CampList[CP_Pcode],0)-1,0,1,1)</f>
        <v>0</v>
      </c>
      <c r="G63" s="335">
        <f>SUMIF('NFI Tracking'!AO$12:AO$1048576,Table10[[#This Row],[Pcode]],'NFI Tracking'!AI$12:AI$1048576)</f>
        <v>0</v>
      </c>
      <c r="H63" s="335">
        <f>SUMIF('NFI Tracking'!AO$12:AO$1048576,Table10[[#This Row],[Pcode]],'NFI Tracking'!AJ$12:AJ$1048576)</f>
        <v>0</v>
      </c>
      <c r="I63" s="335">
        <f>SUMIF('NFI Tracking'!AO$12:AO$1048576,Table10[[#This Row],[Pcode]],'NFI Tracking'!AK$12:AK$1048576)</f>
        <v>0</v>
      </c>
      <c r="J63" s="335">
        <f ca="1">MAX(Table10[[#This Row],[HH]]*VLOOKUP("Winter Clothes Adult",NFI,6)-Table10[[#This Row],[Winter Clothes Adult ]],0)</f>
        <v>0</v>
      </c>
      <c r="K63" s="335">
        <f ca="1">MAX(Table10[[#This Row],[HH]]*VLOOKUP("Winter Clothes Children ",NFI,6)-Table10[[#This Row],[Winter Clothes Children ]],0)</f>
        <v>0</v>
      </c>
      <c r="L63" s="335">
        <f ca="1">MAX(Table10[[#This Row],[HH]]*VLOOKUP("Winter Items Other ",NFI,6)-Table10[[#This Row],[Winter Items Other ]],0)</f>
        <v>0</v>
      </c>
      <c r="M63" s="368" t="str">
        <f>IF(OR(Table10[[#This Row],[Winter Clothes Adult ]]&lt;&gt;0,Table10[[#This Row],[Winter Clothes Children ]]&lt;&gt;0,Table10[[#This Row],[Winter Items Other ]]&lt;&gt;0),"No","")</f>
        <v/>
      </c>
      <c r="N63" s="369">
        <f>COUNTIF(A:A,Table10[[#This Row],[Pcode]])-1</f>
        <v>0</v>
      </c>
    </row>
    <row r="64" spans="1:14" x14ac:dyDescent="0.25">
      <c r="A64" s="312" t="s">
        <v>71</v>
      </c>
      <c r="B64" s="25" t="str">
        <f ca="1">OFFSET(CampList[Priority],MATCH(Table10[[#This Row],[Pcode]],CampList[CP_Pcode],0)-1,0,1,1)</f>
        <v>P4</v>
      </c>
      <c r="C64" s="25" t="str">
        <f ca="1">OFFSET(CampList[Camp],MATCH(Table10[[#This Row],[Pcode]],CampList[CP_Pcode],0)-1,0,1,1)</f>
        <v>Chin Church, Seik Mu</v>
      </c>
      <c r="D64" s="25" t="str">
        <f ca="1">OFFSET(CampList[Township],MATCH(Table10[[#This Row],[Pcode]],CampList[CP_Pcode],0)-1,0,1,1)</f>
        <v>Hpakant</v>
      </c>
      <c r="E64" s="335">
        <f ca="1">OFFSET(CampList[HH],MATCH(Table10[[#This Row],[Pcode]],CampList[CP_Pcode],0)-1,0,1,1)</f>
        <v>6</v>
      </c>
      <c r="F64" s="335">
        <f ca="1">OFFSET(CampList[Total],MATCH(Table10[[#This Row],[Pcode]],CampList[CP_Pcode],0)-1,0,1,1)</f>
        <v>30</v>
      </c>
      <c r="G64" s="335">
        <f>SUMIF('NFI Tracking'!AO$12:AO$1048576,Table10[[#This Row],[Pcode]],'NFI Tracking'!AI$12:AI$1048576)</f>
        <v>0</v>
      </c>
      <c r="H64" s="335">
        <f>SUMIF('NFI Tracking'!AO$12:AO$1048576,Table10[[#This Row],[Pcode]],'NFI Tracking'!AJ$12:AJ$1048576)</f>
        <v>0</v>
      </c>
      <c r="I64" s="335">
        <f>SUMIF('NFI Tracking'!AO$12:AO$1048576,Table10[[#This Row],[Pcode]],'NFI Tracking'!AK$12:AK$1048576)</f>
        <v>0</v>
      </c>
      <c r="J64" s="335">
        <f ca="1">MAX(Table10[[#This Row],[HH]]*VLOOKUP("Winter Clothes Adult",NFI,6)-Table10[[#This Row],[Winter Clothes Adult ]],0)</f>
        <v>12</v>
      </c>
      <c r="K64" s="335">
        <f ca="1">MAX(Table10[[#This Row],[HH]]*VLOOKUP("Winter Clothes Children ",NFI,6)-Table10[[#This Row],[Winter Clothes Children ]],0)</f>
        <v>6</v>
      </c>
      <c r="L64" s="335">
        <f ca="1">MAX(Table10[[#This Row],[HH]]*VLOOKUP("Winter Items Other ",NFI,6)-Table10[[#This Row],[Winter Items Other ]],0)</f>
        <v>6</v>
      </c>
      <c r="M64" s="368" t="str">
        <f>IF(OR(Table10[[#This Row],[Winter Clothes Adult ]]&lt;&gt;0,Table10[[#This Row],[Winter Clothes Children ]]&lt;&gt;0,Table10[[#This Row],[Winter Items Other ]]&lt;&gt;0),"No","")</f>
        <v/>
      </c>
      <c r="N64" s="369">
        <f>COUNTIF(A:A,Table10[[#This Row],[Pcode]])-1</f>
        <v>0</v>
      </c>
    </row>
    <row r="65" spans="1:14" x14ac:dyDescent="0.25">
      <c r="A65" s="312" t="s">
        <v>75</v>
      </c>
      <c r="B65" s="25" t="str">
        <f ca="1">OFFSET(CampList[Priority],MATCH(Table10[[#This Row],[Pcode]],CampList[CP_Pcode],0)-1,0,1,1)</f>
        <v>P4</v>
      </c>
      <c r="C65" s="25" t="str">
        <f ca="1">OFFSET(CampList[Camp],MATCH(Table10[[#This Row],[Pcode]],CampList[CP_Pcode],0)-1,0,1,1)</f>
        <v>Dhama Rakhita, Nyein Chan Tar Yar Ward(Lon Khin)</v>
      </c>
      <c r="D65" s="25" t="str">
        <f ca="1">OFFSET(CampList[Township],MATCH(Table10[[#This Row],[Pcode]],CampList[CP_Pcode],0)-1,0,1,1)</f>
        <v>Hpakant</v>
      </c>
      <c r="E65" s="335">
        <f ca="1">OFFSET(CampList[HH],MATCH(Table10[[#This Row],[Pcode]],CampList[CP_Pcode],0)-1,0,1,1)</f>
        <v>66</v>
      </c>
      <c r="F65" s="335">
        <f ca="1">OFFSET(CampList[Total],MATCH(Table10[[#This Row],[Pcode]],CampList[CP_Pcode],0)-1,0,1,1)</f>
        <v>356</v>
      </c>
      <c r="G65" s="335">
        <f>SUMIF('NFI Tracking'!AO$12:AO$1048576,Table10[[#This Row],[Pcode]],'NFI Tracking'!AI$12:AI$1048576)</f>
        <v>0</v>
      </c>
      <c r="H65" s="335">
        <f>SUMIF('NFI Tracking'!AO$12:AO$1048576,Table10[[#This Row],[Pcode]],'NFI Tracking'!AJ$12:AJ$1048576)</f>
        <v>0</v>
      </c>
      <c r="I65" s="335">
        <f>SUMIF('NFI Tracking'!AO$12:AO$1048576,Table10[[#This Row],[Pcode]],'NFI Tracking'!AK$12:AK$1048576)</f>
        <v>0</v>
      </c>
      <c r="J65" s="335">
        <f ca="1">MAX(Table10[[#This Row],[HH]]*VLOOKUP("Winter Clothes Adult",NFI,6)-Table10[[#This Row],[Winter Clothes Adult ]],0)</f>
        <v>132</v>
      </c>
      <c r="K65" s="335">
        <f ca="1">MAX(Table10[[#This Row],[HH]]*VLOOKUP("Winter Clothes Children ",NFI,6)-Table10[[#This Row],[Winter Clothes Children ]],0)</f>
        <v>66</v>
      </c>
      <c r="L65" s="335">
        <f ca="1">MAX(Table10[[#This Row],[HH]]*VLOOKUP("Winter Items Other ",NFI,6)-Table10[[#This Row],[Winter Items Other ]],0)</f>
        <v>66</v>
      </c>
      <c r="M65" s="368" t="str">
        <f>IF(OR(Table10[[#This Row],[Winter Clothes Adult ]]&lt;&gt;0,Table10[[#This Row],[Winter Clothes Children ]]&lt;&gt;0,Table10[[#This Row],[Winter Items Other ]]&lt;&gt;0),"No","")</f>
        <v/>
      </c>
      <c r="N65" s="369">
        <f>COUNTIF(A:A,Table10[[#This Row],[Pcode]])-1</f>
        <v>0</v>
      </c>
    </row>
    <row r="66" spans="1:14" x14ac:dyDescent="0.25">
      <c r="A66" s="312" t="s">
        <v>242</v>
      </c>
      <c r="B66" s="25" t="str">
        <f ca="1">OFFSET(CampList[Priority],MATCH(Table10[[#This Row],[Pcode]],CampList[CP_Pcode],0)-1,0,1,1)</f>
        <v>P4</v>
      </c>
      <c r="C66" s="25" t="str">
        <f ca="1">OFFSET(CampList[Camp],MATCH(Table10[[#This Row],[Pcode]],CampList[CP_Pcode],0)-1,0,1,1)</f>
        <v>Du Kahtawng Qtr. 14</v>
      </c>
      <c r="D66" s="25" t="str">
        <f ca="1">OFFSET(CampList[Township],MATCH(Table10[[#This Row],[Pcode]],CampList[CP_Pcode],0)-1,0,1,1)</f>
        <v>Myitkyina</v>
      </c>
      <c r="E66" s="335">
        <f ca="1">OFFSET(CampList[HH],MATCH(Table10[[#This Row],[Pcode]],CampList[CP_Pcode],0)-1,0,1,1)</f>
        <v>6</v>
      </c>
      <c r="F66" s="335">
        <f ca="1">OFFSET(CampList[Total],MATCH(Table10[[#This Row],[Pcode]],CampList[CP_Pcode],0)-1,0,1,1)</f>
        <v>28</v>
      </c>
      <c r="G66" s="335">
        <f>SUMIF('NFI Tracking'!AO$12:AO$1048576,Table10[[#This Row],[Pcode]],'NFI Tracking'!AI$12:AI$1048576)</f>
        <v>0</v>
      </c>
      <c r="H66" s="335">
        <f>SUMIF('NFI Tracking'!AO$12:AO$1048576,Table10[[#This Row],[Pcode]],'NFI Tracking'!AJ$12:AJ$1048576)</f>
        <v>0</v>
      </c>
      <c r="I66" s="335">
        <f>SUMIF('NFI Tracking'!AO$12:AO$1048576,Table10[[#This Row],[Pcode]],'NFI Tracking'!AK$12:AK$1048576)</f>
        <v>0</v>
      </c>
      <c r="J66" s="335">
        <f ca="1">MAX(Table10[[#This Row],[HH]]*VLOOKUP("Winter Clothes Adult",NFI,6)-Table10[[#This Row],[Winter Clothes Adult ]],0)</f>
        <v>12</v>
      </c>
      <c r="K66" s="335">
        <f ca="1">MAX(Table10[[#This Row],[HH]]*VLOOKUP("Winter Clothes Children ",NFI,6)-Table10[[#This Row],[Winter Clothes Children ]],0)</f>
        <v>6</v>
      </c>
      <c r="L66" s="335">
        <f ca="1">MAX(Table10[[#This Row],[HH]]*VLOOKUP("Winter Items Other ",NFI,6)-Table10[[#This Row],[Winter Items Other ]],0)</f>
        <v>6</v>
      </c>
      <c r="M66" s="368" t="str">
        <f>IF(OR(Table10[[#This Row],[Winter Clothes Adult ]]&lt;&gt;0,Table10[[#This Row],[Winter Clothes Children ]]&lt;&gt;0,Table10[[#This Row],[Winter Items Other ]]&lt;&gt;0),"No","")</f>
        <v/>
      </c>
      <c r="N66" s="369">
        <f>COUNTIF(A:A,Table10[[#This Row],[Pcode]])-1</f>
        <v>0</v>
      </c>
    </row>
    <row r="67" spans="1:14" x14ac:dyDescent="0.25">
      <c r="A67" s="312" t="s">
        <v>244</v>
      </c>
      <c r="B67" s="25" t="str">
        <f ca="1">OFFSET(CampList[Priority],MATCH(Table10[[#This Row],[Pcode]],CampList[CP_Pcode],0)-1,0,1,1)</f>
        <v>P4</v>
      </c>
      <c r="C67" s="25" t="str">
        <f ca="1">OFFSET(CampList[Camp],MATCH(Table10[[#This Row],[Pcode]],CampList[CP_Pcode],0)-1,0,1,1)</f>
        <v>Du Kahtawng Qtr. 4</v>
      </c>
      <c r="D67" s="25" t="str">
        <f ca="1">OFFSET(CampList[Township],MATCH(Table10[[#This Row],[Pcode]],CampList[CP_Pcode],0)-1,0,1,1)</f>
        <v>Myitkyina</v>
      </c>
      <c r="E67" s="335">
        <f ca="1">OFFSET(CampList[HH],MATCH(Table10[[#This Row],[Pcode]],CampList[CP_Pcode],0)-1,0,1,1)</f>
        <v>6</v>
      </c>
      <c r="F67" s="335">
        <f ca="1">OFFSET(CampList[Total],MATCH(Table10[[#This Row],[Pcode]],CampList[CP_Pcode],0)-1,0,1,1)</f>
        <v>39</v>
      </c>
      <c r="G67" s="335">
        <f>SUMIF('NFI Tracking'!AO$12:AO$1048576,Table10[[#This Row],[Pcode]],'NFI Tracking'!AI$12:AI$1048576)</f>
        <v>0</v>
      </c>
      <c r="H67" s="335">
        <f>SUMIF('NFI Tracking'!AO$12:AO$1048576,Table10[[#This Row],[Pcode]],'NFI Tracking'!AJ$12:AJ$1048576)</f>
        <v>0</v>
      </c>
      <c r="I67" s="335">
        <f>SUMIF('NFI Tracking'!AO$12:AO$1048576,Table10[[#This Row],[Pcode]],'NFI Tracking'!AK$12:AK$1048576)</f>
        <v>0</v>
      </c>
      <c r="J67" s="335">
        <f ca="1">MAX(Table10[[#This Row],[HH]]*VLOOKUP("Winter Clothes Adult",NFI,6)-Table10[[#This Row],[Winter Clothes Adult ]],0)</f>
        <v>12</v>
      </c>
      <c r="K67" s="335">
        <f ca="1">MAX(Table10[[#This Row],[HH]]*VLOOKUP("Winter Clothes Children ",NFI,6)-Table10[[#This Row],[Winter Clothes Children ]],0)</f>
        <v>6</v>
      </c>
      <c r="L67" s="335">
        <f ca="1">MAX(Table10[[#This Row],[HH]]*VLOOKUP("Winter Items Other ",NFI,6)-Table10[[#This Row],[Winter Items Other ]],0)</f>
        <v>6</v>
      </c>
      <c r="M67" s="368" t="str">
        <f>IF(OR(Table10[[#This Row],[Winter Clothes Adult ]]&lt;&gt;0,Table10[[#This Row],[Winter Clothes Children ]]&lt;&gt;0,Table10[[#This Row],[Winter Items Other ]]&lt;&gt;0),"No","")</f>
        <v/>
      </c>
      <c r="N67" s="369">
        <f>COUNTIF(A:A,Table10[[#This Row],[Pcode]])-1</f>
        <v>0</v>
      </c>
    </row>
    <row r="68" spans="1:14" x14ac:dyDescent="0.25">
      <c r="A68" s="312" t="s">
        <v>246</v>
      </c>
      <c r="B68" s="25" t="str">
        <f ca="1">OFFSET(CampList[Priority],MATCH(Table10[[#This Row],[Pcode]],CampList[CP_Pcode],0)-1,0,1,1)</f>
        <v>P4</v>
      </c>
      <c r="C68" s="25" t="str">
        <f ca="1">OFFSET(CampList[Camp],MATCH(Table10[[#This Row],[Pcode]],CampList[CP_Pcode],0)-1,0,1,1)</f>
        <v>Du Kahtawng Qtr. 5</v>
      </c>
      <c r="D68" s="25" t="str">
        <f ca="1">OFFSET(CampList[Township],MATCH(Table10[[#This Row],[Pcode]],CampList[CP_Pcode],0)-1,0,1,1)</f>
        <v>Myitkyina</v>
      </c>
      <c r="E68" s="335">
        <f ca="1">OFFSET(CampList[HH],MATCH(Table10[[#This Row],[Pcode]],CampList[CP_Pcode],0)-1,0,1,1)</f>
        <v>44</v>
      </c>
      <c r="F68" s="335">
        <f ca="1">OFFSET(CampList[Total],MATCH(Table10[[#This Row],[Pcode]],CampList[CP_Pcode],0)-1,0,1,1)</f>
        <v>212</v>
      </c>
      <c r="G68" s="335">
        <f>SUMIF('NFI Tracking'!AO$12:AO$1048576,Table10[[#This Row],[Pcode]],'NFI Tracking'!AI$12:AI$1048576)</f>
        <v>0</v>
      </c>
      <c r="H68" s="335">
        <f>SUMIF('NFI Tracking'!AO$12:AO$1048576,Table10[[#This Row],[Pcode]],'NFI Tracking'!AJ$12:AJ$1048576)</f>
        <v>0</v>
      </c>
      <c r="I68" s="335">
        <f>SUMIF('NFI Tracking'!AO$12:AO$1048576,Table10[[#This Row],[Pcode]],'NFI Tracking'!AK$12:AK$1048576)</f>
        <v>0</v>
      </c>
      <c r="J68" s="335">
        <f ca="1">MAX(Table10[[#This Row],[HH]]*VLOOKUP("Winter Clothes Adult",NFI,6)-Table10[[#This Row],[Winter Clothes Adult ]],0)</f>
        <v>88</v>
      </c>
      <c r="K68" s="335">
        <f ca="1">MAX(Table10[[#This Row],[HH]]*VLOOKUP("Winter Clothes Children ",NFI,6)-Table10[[#This Row],[Winter Clothes Children ]],0)</f>
        <v>44</v>
      </c>
      <c r="L68" s="335">
        <f ca="1">MAX(Table10[[#This Row],[HH]]*VLOOKUP("Winter Items Other ",NFI,6)-Table10[[#This Row],[Winter Items Other ]],0)</f>
        <v>44</v>
      </c>
      <c r="M68" s="368" t="str">
        <f>IF(OR(Table10[[#This Row],[Winter Clothes Adult ]]&lt;&gt;0,Table10[[#This Row],[Winter Clothes Children ]]&lt;&gt;0,Table10[[#This Row],[Winter Items Other ]]&lt;&gt;0),"No","")</f>
        <v/>
      </c>
      <c r="N68" s="369">
        <f>COUNTIF(A:A,Table10[[#This Row],[Pcode]])-1</f>
        <v>0</v>
      </c>
    </row>
    <row r="69" spans="1:14" x14ac:dyDescent="0.25">
      <c r="A69" s="312" t="s">
        <v>312</v>
      </c>
      <c r="B69" s="25" t="str">
        <f ca="1">OFFSET(CampList[Priority],MATCH(Table10[[#This Row],[Pcode]],CampList[CP_Pcode],0)-1,0,1,1)</f>
        <v>P4</v>
      </c>
      <c r="C69" s="25" t="str">
        <f ca="1">OFFSET(CampList[Camp],MATCH(Table10[[#This Row],[Pcode]],CampList[CP_Pcode],0)-1,0,1,1)</f>
        <v xml:space="preserve">Hkat Cho </v>
      </c>
      <c r="D69" s="25" t="str">
        <f ca="1">OFFSET(CampList[Township],MATCH(Table10[[#This Row],[Pcode]],CampList[CP_Pcode],0)-1,0,1,1)</f>
        <v>Waingmaw</v>
      </c>
      <c r="E69" s="335">
        <f ca="1">OFFSET(CampList[HH],MATCH(Table10[[#This Row],[Pcode]],CampList[CP_Pcode],0)-1,0,1,1)</f>
        <v>99</v>
      </c>
      <c r="F69" s="335">
        <f ca="1">OFFSET(CampList[Total],MATCH(Table10[[#This Row],[Pcode]],CampList[CP_Pcode],0)-1,0,1,1)</f>
        <v>480</v>
      </c>
      <c r="G69" s="335">
        <f>SUMIF('NFI Tracking'!AO$12:AO$1048576,Table10[[#This Row],[Pcode]],'NFI Tracking'!AI$12:AI$1048576)</f>
        <v>0</v>
      </c>
      <c r="H69" s="335">
        <f>SUMIF('NFI Tracking'!AO$12:AO$1048576,Table10[[#This Row],[Pcode]],'NFI Tracking'!AJ$12:AJ$1048576)</f>
        <v>0</v>
      </c>
      <c r="I69" s="335">
        <f>SUMIF('NFI Tracking'!AO$12:AO$1048576,Table10[[#This Row],[Pcode]],'NFI Tracking'!AK$12:AK$1048576)</f>
        <v>0</v>
      </c>
      <c r="J69" s="335">
        <f ca="1">MAX(Table10[[#This Row],[HH]]*VLOOKUP("Winter Clothes Adult",NFI,6)-Table10[[#This Row],[Winter Clothes Adult ]],0)</f>
        <v>198</v>
      </c>
      <c r="K69" s="335">
        <f ca="1">MAX(Table10[[#This Row],[HH]]*VLOOKUP("Winter Clothes Children ",NFI,6)-Table10[[#This Row],[Winter Clothes Children ]],0)</f>
        <v>99</v>
      </c>
      <c r="L69" s="335">
        <f ca="1">MAX(Table10[[#This Row],[HH]]*VLOOKUP("Winter Items Other ",NFI,6)-Table10[[#This Row],[Winter Items Other ]],0)</f>
        <v>99</v>
      </c>
      <c r="M69" s="368" t="str">
        <f>IF(OR(Table10[[#This Row],[Winter Clothes Adult ]]&lt;&gt;0,Table10[[#This Row],[Winter Clothes Children ]]&lt;&gt;0,Table10[[#This Row],[Winter Items Other ]]&lt;&gt;0),"No","")</f>
        <v/>
      </c>
      <c r="N69" s="369">
        <f>COUNTIF(A:A,Table10[[#This Row],[Pcode]])-1</f>
        <v>0</v>
      </c>
    </row>
    <row r="70" spans="1:14" x14ac:dyDescent="0.25">
      <c r="A70" s="312" t="s">
        <v>87</v>
      </c>
      <c r="B70" s="25" t="str">
        <f ca="1">OFFSET(CampList[Priority],MATCH(Table10[[#This Row],[Pcode]],CampList[CP_Pcode],0)-1,0,1,1)</f>
        <v>P4</v>
      </c>
      <c r="C70" s="25" t="str">
        <f ca="1">OFFSET(CampList[Camp],MATCH(Table10[[#This Row],[Pcode]],CampList[CP_Pcode],0)-1,0,1,1)</f>
        <v>Hlaing Naung Baptist</v>
      </c>
      <c r="D70" s="25" t="str">
        <f ca="1">OFFSET(CampList[Township],MATCH(Table10[[#This Row],[Pcode]],CampList[CP_Pcode],0)-1,0,1,1)</f>
        <v>Hpakant</v>
      </c>
      <c r="E70" s="335">
        <f ca="1">OFFSET(CampList[HH],MATCH(Table10[[#This Row],[Pcode]],CampList[CP_Pcode],0)-1,0,1,1)</f>
        <v>14</v>
      </c>
      <c r="F70" s="335">
        <f ca="1">OFFSET(CampList[Total],MATCH(Table10[[#This Row],[Pcode]],CampList[CP_Pcode],0)-1,0,1,1)</f>
        <v>46</v>
      </c>
      <c r="G70" s="335">
        <f>SUMIF('NFI Tracking'!AO$12:AO$1048576,Table10[[#This Row],[Pcode]],'NFI Tracking'!AI$12:AI$1048576)</f>
        <v>0</v>
      </c>
      <c r="H70" s="335">
        <f>SUMIF('NFI Tracking'!AO$12:AO$1048576,Table10[[#This Row],[Pcode]],'NFI Tracking'!AJ$12:AJ$1048576)</f>
        <v>0</v>
      </c>
      <c r="I70" s="335">
        <f>SUMIF('NFI Tracking'!AO$12:AO$1048576,Table10[[#This Row],[Pcode]],'NFI Tracking'!AK$12:AK$1048576)</f>
        <v>0</v>
      </c>
      <c r="J70" s="335">
        <f ca="1">MAX(Table10[[#This Row],[HH]]*VLOOKUP("Winter Clothes Adult",NFI,6)-Table10[[#This Row],[Winter Clothes Adult ]],0)</f>
        <v>28</v>
      </c>
      <c r="K70" s="335">
        <f ca="1">MAX(Table10[[#This Row],[HH]]*VLOOKUP("Winter Clothes Children ",NFI,6)-Table10[[#This Row],[Winter Clothes Children ]],0)</f>
        <v>14</v>
      </c>
      <c r="L70" s="335">
        <f ca="1">MAX(Table10[[#This Row],[HH]]*VLOOKUP("Winter Items Other ",NFI,6)-Table10[[#This Row],[Winter Items Other ]],0)</f>
        <v>14</v>
      </c>
      <c r="M70" s="368" t="str">
        <f>IF(OR(Table10[[#This Row],[Winter Clothes Adult ]]&lt;&gt;0,Table10[[#This Row],[Winter Clothes Children ]]&lt;&gt;0,Table10[[#This Row],[Winter Items Other ]]&lt;&gt;0),"No","")</f>
        <v/>
      </c>
      <c r="N70" s="369">
        <f>COUNTIF(A:A,Table10[[#This Row],[Pcode]])-1</f>
        <v>0</v>
      </c>
    </row>
    <row r="71" spans="1:14" x14ac:dyDescent="0.25">
      <c r="A71" s="312" t="s">
        <v>45</v>
      </c>
      <c r="B71" s="25" t="str">
        <f ca="1">OFFSET(CampList[Priority],MATCH(Table10[[#This Row],[Pcode]],CampList[CP_Pcode],0)-1,0,1,1)</f>
        <v>P4</v>
      </c>
      <c r="C71" s="25" t="str">
        <f ca="1">OFFSET(CampList[Camp],MATCH(Table10[[#This Row],[Pcode]],CampList[CP_Pcode],0)-1,0,1,1)</f>
        <v>Hmaw Wan, Anglican</v>
      </c>
      <c r="D71" s="25" t="str">
        <f ca="1">OFFSET(CampList[Township],MATCH(Table10[[#This Row],[Pcode]],CampList[CP_Pcode],0)-1,0,1,1)</f>
        <v>Hpakant</v>
      </c>
      <c r="E71" s="335">
        <f ca="1">OFFSET(CampList[HH],MATCH(Table10[[#This Row],[Pcode]],CampList[CP_Pcode],0)-1,0,1,1)</f>
        <v>8</v>
      </c>
      <c r="F71" s="335">
        <f ca="1">OFFSET(CampList[Total],MATCH(Table10[[#This Row],[Pcode]],CampList[CP_Pcode],0)-1,0,1,1)</f>
        <v>46</v>
      </c>
      <c r="G71" s="335">
        <f>SUMIF('NFI Tracking'!AO$12:AO$1048576,Table10[[#This Row],[Pcode]],'NFI Tracking'!AI$12:AI$1048576)</f>
        <v>0</v>
      </c>
      <c r="H71" s="335">
        <f>SUMIF('NFI Tracking'!AO$12:AO$1048576,Table10[[#This Row],[Pcode]],'NFI Tracking'!AJ$12:AJ$1048576)</f>
        <v>0</v>
      </c>
      <c r="I71" s="335">
        <f>SUMIF('NFI Tracking'!AO$12:AO$1048576,Table10[[#This Row],[Pcode]],'NFI Tracking'!AK$12:AK$1048576)</f>
        <v>0</v>
      </c>
      <c r="J71" s="335">
        <f ca="1">MAX(Table10[[#This Row],[HH]]*VLOOKUP("Winter Clothes Adult",NFI,6)-Table10[[#This Row],[Winter Clothes Adult ]],0)</f>
        <v>16</v>
      </c>
      <c r="K71" s="335">
        <f ca="1">MAX(Table10[[#This Row],[HH]]*VLOOKUP("Winter Clothes Children ",NFI,6)-Table10[[#This Row],[Winter Clothes Children ]],0)</f>
        <v>8</v>
      </c>
      <c r="L71" s="335">
        <f ca="1">MAX(Table10[[#This Row],[HH]]*VLOOKUP("Winter Items Other ",NFI,6)-Table10[[#This Row],[Winter Items Other ]],0)</f>
        <v>8</v>
      </c>
      <c r="M71" s="368" t="str">
        <f>IF(OR(Table10[[#This Row],[Winter Clothes Adult ]]&lt;&gt;0,Table10[[#This Row],[Winter Clothes Children ]]&lt;&gt;0,Table10[[#This Row],[Winter Items Other ]]&lt;&gt;0),"No","")</f>
        <v/>
      </c>
      <c r="N71" s="369">
        <f>COUNTIF(A:A,Table10[[#This Row],[Pcode]])-1</f>
        <v>0</v>
      </c>
    </row>
    <row r="72" spans="1:14" x14ac:dyDescent="0.25">
      <c r="A72" s="312" t="s">
        <v>11</v>
      </c>
      <c r="B72" s="25" t="str">
        <f ca="1">OFFSET(CampList[Priority],MATCH(Table10[[#This Row],[Pcode]],CampList[CP_Pcode],0)-1,0,1,1)</f>
        <v>P4</v>
      </c>
      <c r="C72" s="25" t="str">
        <f ca="1">OFFSET(CampList[Camp],MATCH(Table10[[#This Row],[Pcode]],CampList[CP_Pcode],0)-1,0,1,1)</f>
        <v>Host Families</v>
      </c>
      <c r="D72" s="25" t="str">
        <f ca="1">OFFSET(CampList[Township],MATCH(Table10[[#This Row],[Pcode]],CampList[CP_Pcode],0)-1,0,1,1)</f>
        <v>Bhamo</v>
      </c>
      <c r="E72" s="335">
        <f ca="1">OFFSET(CampList[HH],MATCH(Table10[[#This Row],[Pcode]],CampList[CP_Pcode],0)-1,0,1,1)</f>
        <v>211</v>
      </c>
      <c r="F72" s="335">
        <f ca="1">OFFSET(CampList[Total],MATCH(Table10[[#This Row],[Pcode]],CampList[CP_Pcode],0)-1,0,1,1)</f>
        <v>989</v>
      </c>
      <c r="G72" s="335">
        <f>SUMIF('NFI Tracking'!AO$12:AO$1048576,Table10[[#This Row],[Pcode]],'NFI Tracking'!AI$12:AI$1048576)</f>
        <v>0</v>
      </c>
      <c r="H72" s="335">
        <f>SUMIF('NFI Tracking'!AO$12:AO$1048576,Table10[[#This Row],[Pcode]],'NFI Tracking'!AJ$12:AJ$1048576)</f>
        <v>0</v>
      </c>
      <c r="I72" s="335">
        <f>SUMIF('NFI Tracking'!AO$12:AO$1048576,Table10[[#This Row],[Pcode]],'NFI Tracking'!AK$12:AK$1048576)</f>
        <v>0</v>
      </c>
      <c r="J72" s="335">
        <f ca="1">MAX(Table10[[#This Row],[HH]]*VLOOKUP("Winter Clothes Adult",NFI,6)-Table10[[#This Row],[Winter Clothes Adult ]],0)</f>
        <v>422</v>
      </c>
      <c r="K72" s="335">
        <f ca="1">MAX(Table10[[#This Row],[HH]]*VLOOKUP("Winter Clothes Children ",NFI,6)-Table10[[#This Row],[Winter Clothes Children ]],0)</f>
        <v>211</v>
      </c>
      <c r="L72" s="335">
        <f ca="1">MAX(Table10[[#This Row],[HH]]*VLOOKUP("Winter Items Other ",NFI,6)-Table10[[#This Row],[Winter Items Other ]],0)</f>
        <v>211</v>
      </c>
      <c r="M72" s="368" t="str">
        <f>IF(OR(Table10[[#This Row],[Winter Clothes Adult ]]&lt;&gt;0,Table10[[#This Row],[Winter Clothes Children ]]&lt;&gt;0,Table10[[#This Row],[Winter Items Other ]]&lt;&gt;0),"No","")</f>
        <v/>
      </c>
      <c r="N72" s="369">
        <f>COUNTIF(A:A,Table10[[#This Row],[Pcode]])-1</f>
        <v>0</v>
      </c>
    </row>
    <row r="73" spans="1:14" x14ac:dyDescent="0.25">
      <c r="A73" s="312" t="s">
        <v>390</v>
      </c>
      <c r="B73" s="25" t="str">
        <f ca="1">OFFSET(CampList[Priority],MATCH(Table10[[#This Row],[Pcode]],CampList[CP_Pcode],0)-1,0,1,1)</f>
        <v>P4</v>
      </c>
      <c r="C73" s="25" t="str">
        <f ca="1">OFFSET(CampList[Camp],MATCH(Table10[[#This Row],[Pcode]],CampList[CP_Pcode],0)-1,0,1,1)</f>
        <v>Host Families</v>
      </c>
      <c r="D73" s="25" t="str">
        <f ca="1">OFFSET(CampList[Township],MATCH(Table10[[#This Row],[Pcode]],CampList[CP_Pcode],0)-1,0,1,1)</f>
        <v>Mansi</v>
      </c>
      <c r="E73" s="335">
        <f ca="1">OFFSET(CampList[HH],MATCH(Table10[[#This Row],[Pcode]],CampList[CP_Pcode],0)-1,0,1,1)</f>
        <v>76</v>
      </c>
      <c r="F73" s="335">
        <f ca="1">OFFSET(CampList[Total],MATCH(Table10[[#This Row],[Pcode]],CampList[CP_Pcode],0)-1,0,1,1)</f>
        <v>256</v>
      </c>
      <c r="G73" s="335">
        <f>SUMIF('NFI Tracking'!AO$12:AO$1048576,Table10[[#This Row],[Pcode]],'NFI Tracking'!AI$12:AI$1048576)</f>
        <v>0</v>
      </c>
      <c r="H73" s="335">
        <f>SUMIF('NFI Tracking'!AO$12:AO$1048576,Table10[[#This Row],[Pcode]],'NFI Tracking'!AJ$12:AJ$1048576)</f>
        <v>0</v>
      </c>
      <c r="I73" s="335">
        <f>SUMIF('NFI Tracking'!AO$12:AO$1048576,Table10[[#This Row],[Pcode]],'NFI Tracking'!AK$12:AK$1048576)</f>
        <v>0</v>
      </c>
      <c r="J73" s="335">
        <f ca="1">MAX(Table10[[#This Row],[HH]]*VLOOKUP("Winter Clothes Adult",NFI,6)-Table10[[#This Row],[Winter Clothes Adult ]],0)</f>
        <v>152</v>
      </c>
      <c r="K73" s="335">
        <f ca="1">MAX(Table10[[#This Row],[HH]]*VLOOKUP("Winter Clothes Children ",NFI,6)-Table10[[#This Row],[Winter Clothes Children ]],0)</f>
        <v>76</v>
      </c>
      <c r="L73" s="335">
        <f ca="1">MAX(Table10[[#This Row],[HH]]*VLOOKUP("Winter Items Other ",NFI,6)-Table10[[#This Row],[Winter Items Other ]],0)</f>
        <v>76</v>
      </c>
      <c r="M73" s="368" t="str">
        <f>IF(OR(Table10[[#This Row],[Winter Clothes Adult ]]&lt;&gt;0,Table10[[#This Row],[Winter Clothes Children ]]&lt;&gt;0,Table10[[#This Row],[Winter Items Other ]]&lt;&gt;0),"No","")</f>
        <v/>
      </c>
      <c r="N73" s="369">
        <f>COUNTIF(A:A,Table10[[#This Row],[Pcode]])-1</f>
        <v>0</v>
      </c>
    </row>
    <row r="74" spans="1:14" x14ac:dyDescent="0.25">
      <c r="A74" s="312" t="s">
        <v>391</v>
      </c>
      <c r="B74" s="25" t="str">
        <f ca="1">OFFSET(CampList[Priority],MATCH(Table10[[#This Row],[Pcode]],CampList[CP_Pcode],0)-1,0,1,1)</f>
        <v>P4</v>
      </c>
      <c r="C74" s="25" t="str">
        <f ca="1">OFFSET(CampList[Camp],MATCH(Table10[[#This Row],[Pcode]],CampList[CP_Pcode],0)-1,0,1,1)</f>
        <v>Host Families</v>
      </c>
      <c r="D74" s="25" t="str">
        <f ca="1">OFFSET(CampList[Township],MATCH(Table10[[#This Row],[Pcode]],CampList[CP_Pcode],0)-1,0,1,1)</f>
        <v>Momauk</v>
      </c>
      <c r="E74" s="335">
        <f ca="1">OFFSET(CampList[HH],MATCH(Table10[[#This Row],[Pcode]],CampList[CP_Pcode],0)-1,0,1,1)</f>
        <v>320</v>
      </c>
      <c r="F74" s="335">
        <f ca="1">OFFSET(CampList[Total],MATCH(Table10[[#This Row],[Pcode]],CampList[CP_Pcode],0)-1,0,1,1)</f>
        <v>1125</v>
      </c>
      <c r="G74" s="335">
        <f>SUMIF('NFI Tracking'!AO$12:AO$1048576,Table10[[#This Row],[Pcode]],'NFI Tracking'!AI$12:AI$1048576)</f>
        <v>0</v>
      </c>
      <c r="H74" s="335">
        <f>SUMIF('NFI Tracking'!AO$12:AO$1048576,Table10[[#This Row],[Pcode]],'NFI Tracking'!AJ$12:AJ$1048576)</f>
        <v>0</v>
      </c>
      <c r="I74" s="335">
        <f>SUMIF('NFI Tracking'!AO$12:AO$1048576,Table10[[#This Row],[Pcode]],'NFI Tracking'!AK$12:AK$1048576)</f>
        <v>0</v>
      </c>
      <c r="J74" s="335">
        <f ca="1">MAX(Table10[[#This Row],[HH]]*VLOOKUP("Winter Clothes Adult",NFI,6)-Table10[[#This Row],[Winter Clothes Adult ]],0)</f>
        <v>640</v>
      </c>
      <c r="K74" s="335">
        <f ca="1">MAX(Table10[[#This Row],[HH]]*VLOOKUP("Winter Clothes Children ",NFI,6)-Table10[[#This Row],[Winter Clothes Children ]],0)</f>
        <v>320</v>
      </c>
      <c r="L74" s="335">
        <f ca="1">MAX(Table10[[#This Row],[HH]]*VLOOKUP("Winter Items Other ",NFI,6)-Table10[[#This Row],[Winter Items Other ]],0)</f>
        <v>320</v>
      </c>
      <c r="M74" s="368" t="str">
        <f>IF(OR(Table10[[#This Row],[Winter Clothes Adult ]]&lt;&gt;0,Table10[[#This Row],[Winter Clothes Children ]]&lt;&gt;0,Table10[[#This Row],[Winter Items Other ]]&lt;&gt;0),"No","")</f>
        <v/>
      </c>
      <c r="N74" s="369">
        <f>COUNTIF(A:A,Table10[[#This Row],[Pcode]])-1</f>
        <v>0</v>
      </c>
    </row>
    <row r="75" spans="1:14" x14ac:dyDescent="0.25">
      <c r="A75" s="312" t="s">
        <v>393</v>
      </c>
      <c r="B75" s="25" t="str">
        <f ca="1">OFFSET(CampList[Priority],MATCH(Table10[[#This Row],[Pcode]],CampList[CP_Pcode],0)-1,0,1,1)</f>
        <v>P4</v>
      </c>
      <c r="C75" s="25" t="str">
        <f ca="1">OFFSET(CampList[Camp],MATCH(Table10[[#This Row],[Pcode]],CampList[CP_Pcode],0)-1,0,1,1)</f>
        <v>Host Families</v>
      </c>
      <c r="D75" s="25" t="str">
        <f ca="1">OFFSET(CampList[Township],MATCH(Table10[[#This Row],[Pcode]],CampList[CP_Pcode],0)-1,0,1,1)</f>
        <v>Shwegu</v>
      </c>
      <c r="E75" s="335">
        <f ca="1">OFFSET(CampList[HH],MATCH(Table10[[#This Row],[Pcode]],CampList[CP_Pcode],0)-1,0,1,1)</f>
        <v>9</v>
      </c>
      <c r="F75" s="335">
        <f ca="1">OFFSET(CampList[Total],MATCH(Table10[[#This Row],[Pcode]],CampList[CP_Pcode],0)-1,0,1,1)</f>
        <v>30</v>
      </c>
      <c r="G75" s="335">
        <f>SUMIF('NFI Tracking'!AO$12:AO$1048576,Table10[[#This Row],[Pcode]],'NFI Tracking'!AI$12:AI$1048576)</f>
        <v>0</v>
      </c>
      <c r="H75" s="335">
        <f>SUMIF('NFI Tracking'!AO$12:AO$1048576,Table10[[#This Row],[Pcode]],'NFI Tracking'!AJ$12:AJ$1048576)</f>
        <v>0</v>
      </c>
      <c r="I75" s="335">
        <f>SUMIF('NFI Tracking'!AO$12:AO$1048576,Table10[[#This Row],[Pcode]],'NFI Tracking'!AK$12:AK$1048576)</f>
        <v>0</v>
      </c>
      <c r="J75" s="335">
        <f ca="1">MAX(Table10[[#This Row],[HH]]*VLOOKUP("Winter Clothes Adult",NFI,6)-Table10[[#This Row],[Winter Clothes Adult ]],0)</f>
        <v>18</v>
      </c>
      <c r="K75" s="335">
        <f ca="1">MAX(Table10[[#This Row],[HH]]*VLOOKUP("Winter Clothes Children ",NFI,6)-Table10[[#This Row],[Winter Clothes Children ]],0)</f>
        <v>9</v>
      </c>
      <c r="L75" s="335">
        <f ca="1">MAX(Table10[[#This Row],[HH]]*VLOOKUP("Winter Items Other ",NFI,6)-Table10[[#This Row],[Winter Items Other ]],0)</f>
        <v>9</v>
      </c>
      <c r="M75" s="368" t="str">
        <f>IF(OR(Table10[[#This Row],[Winter Clothes Adult ]]&lt;&gt;0,Table10[[#This Row],[Winter Clothes Children ]]&lt;&gt;0,Table10[[#This Row],[Winter Items Other ]]&lt;&gt;0),"No","")</f>
        <v/>
      </c>
      <c r="N75" s="369">
        <f>COUNTIF(A:A,Table10[[#This Row],[Pcode]])-1</f>
        <v>0</v>
      </c>
    </row>
    <row r="76" spans="1:14" x14ac:dyDescent="0.25">
      <c r="A76" s="312" t="s">
        <v>388</v>
      </c>
      <c r="B76" s="25" t="str">
        <f ca="1">OFFSET(CampList[Priority],MATCH(Table10[[#This Row],[Pcode]],CampList[CP_Pcode],0)-1,0,1,1)</f>
        <v>P4</v>
      </c>
      <c r="C76" s="25" t="str">
        <f ca="1">OFFSET(CampList[Camp],MATCH(Table10[[#This Row],[Pcode]],CampList[CP_Pcode],0)-1,0,1,1)</f>
        <v>Hpai Kawng Mare</v>
      </c>
      <c r="D76" s="25" t="str">
        <f ca="1">OFFSET(CampList[Township],MATCH(Table10[[#This Row],[Pcode]],CampList[CP_Pcode],0)-1,0,1,1)</f>
        <v>Muse</v>
      </c>
      <c r="E76" s="335">
        <f ca="1">OFFSET(CampList[HH],MATCH(Table10[[#This Row],[Pcode]],CampList[CP_Pcode],0)-1,0,1,1)</f>
        <v>32</v>
      </c>
      <c r="F76" s="335">
        <f ca="1">OFFSET(CampList[Total],MATCH(Table10[[#This Row],[Pcode]],CampList[CP_Pcode],0)-1,0,1,1)</f>
        <v>187</v>
      </c>
      <c r="G76" s="335">
        <f>SUMIF('NFI Tracking'!AO$12:AO$1048576,Table10[[#This Row],[Pcode]],'NFI Tracking'!AI$12:AI$1048576)</f>
        <v>0</v>
      </c>
      <c r="H76" s="335">
        <f>SUMIF('NFI Tracking'!AO$12:AO$1048576,Table10[[#This Row],[Pcode]],'NFI Tracking'!AJ$12:AJ$1048576)</f>
        <v>0</v>
      </c>
      <c r="I76" s="335">
        <f>SUMIF('NFI Tracking'!AO$12:AO$1048576,Table10[[#This Row],[Pcode]],'NFI Tracking'!AK$12:AK$1048576)</f>
        <v>0</v>
      </c>
      <c r="J76" s="335">
        <f ca="1">MAX(Table10[[#This Row],[HH]]*VLOOKUP("Winter Clothes Adult",NFI,6)-Table10[[#This Row],[Winter Clothes Adult ]],0)</f>
        <v>64</v>
      </c>
      <c r="K76" s="335">
        <f ca="1">MAX(Table10[[#This Row],[HH]]*VLOOKUP("Winter Clothes Children ",NFI,6)-Table10[[#This Row],[Winter Clothes Children ]],0)</f>
        <v>32</v>
      </c>
      <c r="L76" s="335">
        <f ca="1">MAX(Table10[[#This Row],[HH]]*VLOOKUP("Winter Items Other ",NFI,6)-Table10[[#This Row],[Winter Items Other ]],0)</f>
        <v>32</v>
      </c>
      <c r="M76" s="368" t="str">
        <f>IF(OR(Table10[[#This Row],[Winter Clothes Adult ]]&lt;&gt;0,Table10[[#This Row],[Winter Clothes Children ]]&lt;&gt;0,Table10[[#This Row],[Winter Items Other ]]&lt;&gt;0),"No","")</f>
        <v/>
      </c>
      <c r="N76" s="369">
        <f>COUNTIF(A:A,Table10[[#This Row],[Pcode]])-1</f>
        <v>0</v>
      </c>
    </row>
    <row r="77" spans="1:14" x14ac:dyDescent="0.25">
      <c r="A77" s="312" t="s">
        <v>1068</v>
      </c>
      <c r="B77" s="25" t="str">
        <f ca="1">OFFSET(CampList[Priority],MATCH(Table10[[#This Row],[Pcode]],CampList[CP_Pcode],0)-1,0,1,1)</f>
        <v>P4</v>
      </c>
      <c r="C77" s="25" t="str">
        <f ca="1">OFFSET(CampList[Camp],MATCH(Table10[[#This Row],[Pcode]],CampList[CP_Pcode],0)-1,0,1,1)</f>
        <v>Hpakant Baptist Church, Nam Ma Hpit</v>
      </c>
      <c r="D77" s="25" t="str">
        <f ca="1">OFFSET(CampList[Township],MATCH(Table10[[#This Row],[Pcode]],CampList[CP_Pcode],0)-1,0,1,1)</f>
        <v>Hpakant</v>
      </c>
      <c r="E77" s="335">
        <f ca="1">OFFSET(CampList[HH],MATCH(Table10[[#This Row],[Pcode]],CampList[CP_Pcode],0)-1,0,1,1)</f>
        <v>105</v>
      </c>
      <c r="F77" s="335">
        <f ca="1">OFFSET(CampList[Total],MATCH(Table10[[#This Row],[Pcode]],CampList[CP_Pcode],0)-1,0,1,1)</f>
        <v>506</v>
      </c>
      <c r="G77" s="335">
        <f>SUMIF('NFI Tracking'!AO$12:AO$1048576,Table10[[#This Row],[Pcode]],'NFI Tracking'!AI$12:AI$1048576)</f>
        <v>0</v>
      </c>
      <c r="H77" s="335">
        <f>SUMIF('NFI Tracking'!AO$12:AO$1048576,Table10[[#This Row],[Pcode]],'NFI Tracking'!AJ$12:AJ$1048576)</f>
        <v>0</v>
      </c>
      <c r="I77" s="335">
        <f>SUMIF('NFI Tracking'!AO$12:AO$1048576,Table10[[#This Row],[Pcode]],'NFI Tracking'!AK$12:AK$1048576)</f>
        <v>0</v>
      </c>
      <c r="J77" s="335">
        <f ca="1">MAX(Table10[[#This Row],[HH]]*VLOOKUP("Winter Clothes Adult",NFI,6)-Table10[[#This Row],[Winter Clothes Adult ]],0)</f>
        <v>210</v>
      </c>
      <c r="K77" s="335">
        <f ca="1">MAX(Table10[[#This Row],[HH]]*VLOOKUP("Winter Clothes Children ",NFI,6)-Table10[[#This Row],[Winter Clothes Children ]],0)</f>
        <v>105</v>
      </c>
      <c r="L77" s="335">
        <f ca="1">MAX(Table10[[#This Row],[HH]]*VLOOKUP("Winter Items Other ",NFI,6)-Table10[[#This Row],[Winter Items Other ]],0)</f>
        <v>105</v>
      </c>
      <c r="M77" s="368" t="str">
        <f>IF(OR(Table10[[#This Row],[Winter Clothes Adult ]]&lt;&gt;0,Table10[[#This Row],[Winter Clothes Children ]]&lt;&gt;0,Table10[[#This Row],[Winter Items Other ]]&lt;&gt;0),"No","")</f>
        <v/>
      </c>
      <c r="N77" s="369">
        <f>COUNTIF(A:A,Table10[[#This Row],[Pcode]])-1</f>
        <v>0</v>
      </c>
    </row>
    <row r="78" spans="1:14" x14ac:dyDescent="0.25">
      <c r="A78" s="312" t="s">
        <v>13</v>
      </c>
      <c r="B78" s="25" t="str">
        <f ca="1">OFFSET(CampList[Priority],MATCH(Table10[[#This Row],[Pcode]],CampList[CP_Pcode],0)-1,0,1,1)</f>
        <v>P4</v>
      </c>
      <c r="C78" s="25" t="str">
        <f ca="1">OFFSET(CampList[Camp],MATCH(Table10[[#This Row],[Pcode]],CampList[CP_Pcode],0)-1,0,1,1)</f>
        <v>Htoi San Church</v>
      </c>
      <c r="D78" s="25" t="str">
        <f ca="1">OFFSET(CampList[Township],MATCH(Table10[[#This Row],[Pcode]],CampList[CP_Pcode],0)-1,0,1,1)</f>
        <v>Bhamo</v>
      </c>
      <c r="E78" s="335">
        <f ca="1">OFFSET(CampList[HH],MATCH(Table10[[#This Row],[Pcode]],CampList[CP_Pcode],0)-1,0,1,1)</f>
        <v>39</v>
      </c>
      <c r="F78" s="335">
        <f ca="1">OFFSET(CampList[Total],MATCH(Table10[[#This Row],[Pcode]],CampList[CP_Pcode],0)-1,0,1,1)</f>
        <v>232</v>
      </c>
      <c r="G78" s="335">
        <f>SUMIF('NFI Tracking'!AO$12:AO$1048576,Table10[[#This Row],[Pcode]],'NFI Tracking'!AI$12:AI$1048576)</f>
        <v>0</v>
      </c>
      <c r="H78" s="335">
        <f>SUMIF('NFI Tracking'!AO$12:AO$1048576,Table10[[#This Row],[Pcode]],'NFI Tracking'!AJ$12:AJ$1048576)</f>
        <v>0</v>
      </c>
      <c r="I78" s="335">
        <f>SUMIF('NFI Tracking'!AO$12:AO$1048576,Table10[[#This Row],[Pcode]],'NFI Tracking'!AK$12:AK$1048576)</f>
        <v>0</v>
      </c>
      <c r="J78" s="335">
        <f ca="1">MAX(Table10[[#This Row],[HH]]*VLOOKUP("Winter Clothes Adult",NFI,6)-Table10[[#This Row],[Winter Clothes Adult ]],0)</f>
        <v>78</v>
      </c>
      <c r="K78" s="335">
        <f ca="1">MAX(Table10[[#This Row],[HH]]*VLOOKUP("Winter Clothes Children ",NFI,6)-Table10[[#This Row],[Winter Clothes Children ]],0)</f>
        <v>39</v>
      </c>
      <c r="L78" s="335">
        <f ca="1">MAX(Table10[[#This Row],[HH]]*VLOOKUP("Winter Items Other ",NFI,6)-Table10[[#This Row],[Winter Items Other ]],0)</f>
        <v>39</v>
      </c>
      <c r="M78" s="368" t="str">
        <f>IF(OR(Table10[[#This Row],[Winter Clothes Adult ]]&lt;&gt;0,Table10[[#This Row],[Winter Clothes Children ]]&lt;&gt;0,Table10[[#This Row],[Winter Items Other ]]&lt;&gt;0),"No","")</f>
        <v/>
      </c>
      <c r="N78" s="369">
        <f>COUNTIF(A:A,Table10[[#This Row],[Pcode]])-1</f>
        <v>0</v>
      </c>
    </row>
    <row r="79" spans="1:14" x14ac:dyDescent="0.25">
      <c r="A79" s="312" t="s">
        <v>252</v>
      </c>
      <c r="B79" s="25" t="str">
        <f ca="1">OFFSET(CampList[Priority],MATCH(Table10[[#This Row],[Pcode]],CampList[CP_Pcode],0)-1,0,1,1)</f>
        <v>P4</v>
      </c>
      <c r="C79" s="25" t="str">
        <f ca="1">OFFSET(CampList[Camp],MATCH(Table10[[#This Row],[Pcode]],CampList[CP_Pcode],0)-1,0,1,1)</f>
        <v>Jan Mai Kawng Baptist Church</v>
      </c>
      <c r="D79" s="25" t="str">
        <f ca="1">OFFSET(CampList[Township],MATCH(Table10[[#This Row],[Pcode]],CampList[CP_Pcode],0)-1,0,1,1)</f>
        <v>Myitkyina</v>
      </c>
      <c r="E79" s="335">
        <f ca="1">OFFSET(CampList[HH],MATCH(Table10[[#This Row],[Pcode]],CampList[CP_Pcode],0)-1,0,1,1)</f>
        <v>198</v>
      </c>
      <c r="F79" s="335">
        <f ca="1">OFFSET(CampList[Total],MATCH(Table10[[#This Row],[Pcode]],CampList[CP_Pcode],0)-1,0,1,1)</f>
        <v>1084</v>
      </c>
      <c r="G79" s="335">
        <f>SUMIF('NFI Tracking'!AO$12:AO$1048576,Table10[[#This Row],[Pcode]],'NFI Tracking'!AI$12:AI$1048576)</f>
        <v>0</v>
      </c>
      <c r="H79" s="335">
        <f>SUMIF('NFI Tracking'!AO$12:AO$1048576,Table10[[#This Row],[Pcode]],'NFI Tracking'!AJ$12:AJ$1048576)</f>
        <v>0</v>
      </c>
      <c r="I79" s="335">
        <f>SUMIF('NFI Tracking'!AO$12:AO$1048576,Table10[[#This Row],[Pcode]],'NFI Tracking'!AK$12:AK$1048576)</f>
        <v>0</v>
      </c>
      <c r="J79" s="335">
        <f ca="1">MAX(Table10[[#This Row],[HH]]*VLOOKUP("Winter Clothes Adult",NFI,6)-Table10[[#This Row],[Winter Clothes Adult ]],0)</f>
        <v>396</v>
      </c>
      <c r="K79" s="335">
        <f ca="1">MAX(Table10[[#This Row],[HH]]*VLOOKUP("Winter Clothes Children ",NFI,6)-Table10[[#This Row],[Winter Clothes Children ]],0)</f>
        <v>198</v>
      </c>
      <c r="L79" s="335">
        <f ca="1">MAX(Table10[[#This Row],[HH]]*VLOOKUP("Winter Items Other ",NFI,6)-Table10[[#This Row],[Winter Items Other ]],0)</f>
        <v>198</v>
      </c>
      <c r="M79" s="368" t="str">
        <f>IF(OR(Table10[[#This Row],[Winter Clothes Adult ]]&lt;&gt;0,Table10[[#This Row],[Winter Clothes Children ]]&lt;&gt;0,Table10[[#This Row],[Winter Items Other ]]&lt;&gt;0),"No","")</f>
        <v/>
      </c>
      <c r="N79" s="369">
        <f>COUNTIF(A:A,Table10[[#This Row],[Pcode]])-1</f>
        <v>0</v>
      </c>
    </row>
    <row r="80" spans="1:14" x14ac:dyDescent="0.25">
      <c r="A80" s="312" t="s">
        <v>254</v>
      </c>
      <c r="B80" s="25" t="str">
        <f ca="1">OFFSET(CampList[Priority],MATCH(Table10[[#This Row],[Pcode]],CampList[CP_Pcode],0)-1,0,1,1)</f>
        <v>P4</v>
      </c>
      <c r="C80" s="25" t="str">
        <f ca="1">OFFSET(CampList[Camp],MATCH(Table10[[#This Row],[Pcode]],CampList[CP_Pcode],0)-1,0,1,1)</f>
        <v>Jan Mai Kawng Catholic Church</v>
      </c>
      <c r="D80" s="25" t="str">
        <f ca="1">OFFSET(CampList[Township],MATCH(Table10[[#This Row],[Pcode]],CampList[CP_Pcode],0)-1,0,1,1)</f>
        <v>Myitkyina</v>
      </c>
      <c r="E80" s="335">
        <f ca="1">OFFSET(CampList[HH],MATCH(Table10[[#This Row],[Pcode]],CampList[CP_Pcode],0)-1,0,1,1)</f>
        <v>101</v>
      </c>
      <c r="F80" s="335">
        <f ca="1">OFFSET(CampList[Total],MATCH(Table10[[#This Row],[Pcode]],CampList[CP_Pcode],0)-1,0,1,1)</f>
        <v>451</v>
      </c>
      <c r="G80" s="335">
        <f>SUMIF('NFI Tracking'!AO$12:AO$1048576,Table10[[#This Row],[Pcode]],'NFI Tracking'!AI$12:AI$1048576)</f>
        <v>0</v>
      </c>
      <c r="H80" s="335">
        <f>SUMIF('NFI Tracking'!AO$12:AO$1048576,Table10[[#This Row],[Pcode]],'NFI Tracking'!AJ$12:AJ$1048576)</f>
        <v>0</v>
      </c>
      <c r="I80" s="335">
        <f>SUMIF('NFI Tracking'!AO$12:AO$1048576,Table10[[#This Row],[Pcode]],'NFI Tracking'!AK$12:AK$1048576)</f>
        <v>0</v>
      </c>
      <c r="J80" s="335">
        <f ca="1">MAX(Table10[[#This Row],[HH]]*VLOOKUP("Winter Clothes Adult",NFI,6)-Table10[[#This Row],[Winter Clothes Adult ]],0)</f>
        <v>202</v>
      </c>
      <c r="K80" s="335">
        <f ca="1">MAX(Table10[[#This Row],[HH]]*VLOOKUP("Winter Clothes Children ",NFI,6)-Table10[[#This Row],[Winter Clothes Children ]],0)</f>
        <v>101</v>
      </c>
      <c r="L80" s="335">
        <f ca="1">MAX(Table10[[#This Row],[HH]]*VLOOKUP("Winter Items Other ",NFI,6)-Table10[[#This Row],[Winter Items Other ]],0)</f>
        <v>101</v>
      </c>
      <c r="M80" s="368" t="str">
        <f>IF(OR(Table10[[#This Row],[Winter Clothes Adult ]]&lt;&gt;0,Table10[[#This Row],[Winter Clothes Children ]]&lt;&gt;0,Table10[[#This Row],[Winter Items Other ]]&lt;&gt;0),"No","")</f>
        <v/>
      </c>
      <c r="N80" s="369">
        <f>COUNTIF(A:A,Table10[[#This Row],[Pcode]])-1</f>
        <v>0</v>
      </c>
    </row>
    <row r="81" spans="1:14" x14ac:dyDescent="0.25">
      <c r="A81" s="312" t="s">
        <v>523</v>
      </c>
      <c r="B81" s="25" t="str">
        <f ca="1">OFFSET(CampList[Priority],MATCH(Table10[[#This Row],[Pcode]],CampList[CP_Pcode],0)-1,0,1,1)</f>
        <v>P4</v>
      </c>
      <c r="C81" s="25" t="str">
        <f ca="1">OFFSET(CampList[Camp],MATCH(Table10[[#This Row],[Pcode]],CampList[CP_Pcode],0)-1,0,1,1)</f>
        <v>Khun Sint Village</v>
      </c>
      <c r="D81" s="25" t="str">
        <f ca="1">OFFSET(CampList[Township],MATCH(Table10[[#This Row],[Pcode]],CampList[CP_Pcode],0)-1,0,1,1)</f>
        <v>Momauk</v>
      </c>
      <c r="E81" s="335">
        <f ca="1">OFFSET(CampList[HH],MATCH(Table10[[#This Row],[Pcode]],CampList[CP_Pcode],0)-1,0,1,1)</f>
        <v>4</v>
      </c>
      <c r="F81" s="335">
        <f ca="1">OFFSET(CampList[Total],MATCH(Table10[[#This Row],[Pcode]],CampList[CP_Pcode],0)-1,0,1,1)</f>
        <v>26</v>
      </c>
      <c r="G81" s="335">
        <f>SUMIF('NFI Tracking'!AO$12:AO$1048576,Table10[[#This Row],[Pcode]],'NFI Tracking'!AI$12:AI$1048576)</f>
        <v>0</v>
      </c>
      <c r="H81" s="335">
        <f>SUMIF('NFI Tracking'!AO$12:AO$1048576,Table10[[#This Row],[Pcode]],'NFI Tracking'!AJ$12:AJ$1048576)</f>
        <v>0</v>
      </c>
      <c r="I81" s="335">
        <f>SUMIF('NFI Tracking'!AO$12:AO$1048576,Table10[[#This Row],[Pcode]],'NFI Tracking'!AK$12:AK$1048576)</f>
        <v>0</v>
      </c>
      <c r="J81" s="335">
        <f ca="1">MAX(Table10[[#This Row],[HH]]*VLOOKUP("Winter Clothes Adult",NFI,6)-Table10[[#This Row],[Winter Clothes Adult ]],0)</f>
        <v>8</v>
      </c>
      <c r="K81" s="335">
        <f ca="1">MAX(Table10[[#This Row],[HH]]*VLOOKUP("Winter Clothes Children ",NFI,6)-Table10[[#This Row],[Winter Clothes Children ]],0)</f>
        <v>4</v>
      </c>
      <c r="L81" s="335">
        <f ca="1">MAX(Table10[[#This Row],[HH]]*VLOOKUP("Winter Items Other ",NFI,6)-Table10[[#This Row],[Winter Items Other ]],0)</f>
        <v>4</v>
      </c>
      <c r="M81" s="368" t="str">
        <f>IF(OR(Table10[[#This Row],[Winter Clothes Adult ]]&lt;&gt;0,Table10[[#This Row],[Winter Clothes Children ]]&lt;&gt;0,Table10[[#This Row],[Winter Items Other ]]&lt;&gt;0),"No","")</f>
        <v/>
      </c>
      <c r="N81" s="369">
        <f>COUNTIF(A:A,Table10[[#This Row],[Pcode]])-1</f>
        <v>0</v>
      </c>
    </row>
    <row r="82" spans="1:14" x14ac:dyDescent="0.25">
      <c r="A82" s="312" t="s">
        <v>256</v>
      </c>
      <c r="B82" s="25" t="str">
        <f ca="1">OFFSET(CampList[Priority],MATCH(Table10[[#This Row],[Pcode]],CampList[CP_Pcode],0)-1,0,1,1)</f>
        <v>P4</v>
      </c>
      <c r="C82" s="25" t="str">
        <f ca="1">OFFSET(CampList[Camp],MATCH(Table10[[#This Row],[Pcode]],CampList[CP_Pcode],0)-1,0,1,1)</f>
        <v>Kyun Pin Thar Baptist Church</v>
      </c>
      <c r="D82" s="25" t="str">
        <f ca="1">OFFSET(CampList[Township],MATCH(Table10[[#This Row],[Pcode]],CampList[CP_Pcode],0)-1,0,1,1)</f>
        <v>Myitkyina</v>
      </c>
      <c r="E82" s="335">
        <f ca="1">OFFSET(CampList[HH],MATCH(Table10[[#This Row],[Pcode]],CampList[CP_Pcode],0)-1,0,1,1)</f>
        <v>44</v>
      </c>
      <c r="F82" s="335">
        <f ca="1">OFFSET(CampList[Total],MATCH(Table10[[#This Row],[Pcode]],CampList[CP_Pcode],0)-1,0,1,1)</f>
        <v>194</v>
      </c>
      <c r="G82" s="335">
        <f>SUMIF('NFI Tracking'!AO$12:AO$1048576,Table10[[#This Row],[Pcode]],'NFI Tracking'!AI$12:AI$1048576)</f>
        <v>0</v>
      </c>
      <c r="H82" s="335">
        <f>SUMIF('NFI Tracking'!AO$12:AO$1048576,Table10[[#This Row],[Pcode]],'NFI Tracking'!AJ$12:AJ$1048576)</f>
        <v>0</v>
      </c>
      <c r="I82" s="335">
        <f>SUMIF('NFI Tracking'!AO$12:AO$1048576,Table10[[#This Row],[Pcode]],'NFI Tracking'!AK$12:AK$1048576)</f>
        <v>0</v>
      </c>
      <c r="J82" s="335">
        <f ca="1">MAX(Table10[[#This Row],[HH]]*VLOOKUP("Winter Clothes Adult",NFI,6)-Table10[[#This Row],[Winter Clothes Adult ]],0)</f>
        <v>88</v>
      </c>
      <c r="K82" s="335">
        <f ca="1">MAX(Table10[[#This Row],[HH]]*VLOOKUP("Winter Clothes Children ",NFI,6)-Table10[[#This Row],[Winter Clothes Children ]],0)</f>
        <v>44</v>
      </c>
      <c r="L82" s="335">
        <f ca="1">MAX(Table10[[#This Row],[HH]]*VLOOKUP("Winter Items Other ",NFI,6)-Table10[[#This Row],[Winter Items Other ]],0)</f>
        <v>44</v>
      </c>
      <c r="M82" s="368" t="str">
        <f>IF(OR(Table10[[#This Row],[Winter Clothes Adult ]]&lt;&gt;0,Table10[[#This Row],[Winter Clothes Children ]]&lt;&gt;0,Table10[[#This Row],[Winter Items Other ]]&lt;&gt;0),"No","")</f>
        <v/>
      </c>
      <c r="N82" s="369">
        <f>COUNTIF(A:A,Table10[[#This Row],[Pcode]])-1</f>
        <v>0</v>
      </c>
    </row>
    <row r="83" spans="1:14" x14ac:dyDescent="0.25">
      <c r="A83" s="312" t="s">
        <v>172</v>
      </c>
      <c r="B83" s="25" t="str">
        <f ca="1">OFFSET(CampList[Priority],MATCH(Table10[[#This Row],[Pcode]],CampList[CP_Pcode],0)-1,0,1,1)</f>
        <v>P4</v>
      </c>
      <c r="C83" s="25" t="str">
        <f ca="1">OFFSET(CampList[Camp],MATCH(Table10[[#This Row],[Pcode]],CampList[CP_Pcode],0)-1,0,1,1)</f>
        <v xml:space="preserve">Kyun Taw Baptist Church </v>
      </c>
      <c r="D83" s="25" t="str">
        <f ca="1">OFFSET(CampList[Township],MATCH(Table10[[#This Row],[Pcode]],CampList[CP_Pcode],0)-1,0,1,1)</f>
        <v>Mogaung</v>
      </c>
      <c r="E83" s="335">
        <f ca="1">OFFSET(CampList[HH],MATCH(Table10[[#This Row],[Pcode]],CampList[CP_Pcode],0)-1,0,1,1)</f>
        <v>13</v>
      </c>
      <c r="F83" s="335">
        <f ca="1">OFFSET(CampList[Total],MATCH(Table10[[#This Row],[Pcode]],CampList[CP_Pcode],0)-1,0,1,1)</f>
        <v>64</v>
      </c>
      <c r="G83" s="335">
        <f>SUMIF('NFI Tracking'!AO$12:AO$1048576,Table10[[#This Row],[Pcode]],'NFI Tracking'!AI$12:AI$1048576)</f>
        <v>0</v>
      </c>
      <c r="H83" s="335">
        <f>SUMIF('NFI Tracking'!AO$12:AO$1048576,Table10[[#This Row],[Pcode]],'NFI Tracking'!AJ$12:AJ$1048576)</f>
        <v>0</v>
      </c>
      <c r="I83" s="335">
        <f>SUMIF('NFI Tracking'!AO$12:AO$1048576,Table10[[#This Row],[Pcode]],'NFI Tracking'!AK$12:AK$1048576)</f>
        <v>0</v>
      </c>
      <c r="J83" s="335">
        <f ca="1">MAX(Table10[[#This Row],[HH]]*VLOOKUP("Winter Clothes Adult",NFI,6)-Table10[[#This Row],[Winter Clothes Adult ]],0)</f>
        <v>26</v>
      </c>
      <c r="K83" s="335">
        <f ca="1">MAX(Table10[[#This Row],[HH]]*VLOOKUP("Winter Clothes Children ",NFI,6)-Table10[[#This Row],[Winter Clothes Children ]],0)</f>
        <v>13</v>
      </c>
      <c r="L83" s="335">
        <f ca="1">MAX(Table10[[#This Row],[HH]]*VLOOKUP("Winter Items Other ",NFI,6)-Table10[[#This Row],[Winter Items Other ]],0)</f>
        <v>13</v>
      </c>
      <c r="M83" s="368" t="str">
        <f>IF(OR(Table10[[#This Row],[Winter Clothes Adult ]]&lt;&gt;0,Table10[[#This Row],[Winter Clothes Children ]]&lt;&gt;0,Table10[[#This Row],[Winter Items Other ]]&lt;&gt;0),"No","")</f>
        <v/>
      </c>
      <c r="N83" s="369">
        <f>COUNTIF(A:A,Table10[[#This Row],[Pcode]])-1</f>
        <v>0</v>
      </c>
    </row>
    <row r="84" spans="1:14" x14ac:dyDescent="0.25">
      <c r="A84" s="312" t="s">
        <v>143</v>
      </c>
      <c r="B84" s="25" t="str">
        <f ca="1">OFFSET(CampList[Priority],MATCH(Table10[[#This Row],[Pcode]],CampList[CP_Pcode],0)-1,0,1,1)</f>
        <v>P4</v>
      </c>
      <c r="C84" s="25" t="str">
        <f ca="1">OFFSET(CampList[Camp],MATCH(Table10[[#This Row],[Pcode]],CampList[CP_Pcode],0)-1,0,1,1)</f>
        <v>La Ja</v>
      </c>
      <c r="D84" s="25" t="str">
        <f ca="1">OFFSET(CampList[Township],MATCH(Table10[[#This Row],[Pcode]],CampList[CP_Pcode],0)-1,0,1,1)</f>
        <v>Khaunglanhpu</v>
      </c>
      <c r="E84" s="335">
        <f ca="1">OFFSET(CampList[HH],MATCH(Table10[[#This Row],[Pcode]],CampList[CP_Pcode],0)-1,0,1,1)</f>
        <v>11</v>
      </c>
      <c r="F84" s="335">
        <f ca="1">OFFSET(CampList[Total],MATCH(Table10[[#This Row],[Pcode]],CampList[CP_Pcode],0)-1,0,1,1)</f>
        <v>17</v>
      </c>
      <c r="G84" s="335">
        <f>SUMIF('NFI Tracking'!AO$12:AO$1048576,Table10[[#This Row],[Pcode]],'NFI Tracking'!AI$12:AI$1048576)</f>
        <v>0</v>
      </c>
      <c r="H84" s="335">
        <f>SUMIF('NFI Tracking'!AO$12:AO$1048576,Table10[[#This Row],[Pcode]],'NFI Tracking'!AJ$12:AJ$1048576)</f>
        <v>0</v>
      </c>
      <c r="I84" s="335">
        <f>SUMIF('NFI Tracking'!AO$12:AO$1048576,Table10[[#This Row],[Pcode]],'NFI Tracking'!AK$12:AK$1048576)</f>
        <v>0</v>
      </c>
      <c r="J84" s="335">
        <f ca="1">MAX(Table10[[#This Row],[HH]]*VLOOKUP("Winter Clothes Adult",NFI,6)-Table10[[#This Row],[Winter Clothes Adult ]],0)</f>
        <v>22</v>
      </c>
      <c r="K84" s="335">
        <f ca="1">MAX(Table10[[#This Row],[HH]]*VLOOKUP("Winter Clothes Children ",NFI,6)-Table10[[#This Row],[Winter Clothes Children ]],0)</f>
        <v>11</v>
      </c>
      <c r="L84" s="335">
        <f ca="1">MAX(Table10[[#This Row],[HH]]*VLOOKUP("Winter Items Other ",NFI,6)-Table10[[#This Row],[Winter Items Other ]],0)</f>
        <v>11</v>
      </c>
      <c r="M84" s="368" t="str">
        <f>IF(OR(Table10[[#This Row],[Winter Clothes Adult ]]&lt;&gt;0,Table10[[#This Row],[Winter Clothes Children ]]&lt;&gt;0,Table10[[#This Row],[Winter Items Other ]]&lt;&gt;0),"No","")</f>
        <v/>
      </c>
      <c r="N84" s="369">
        <f>COUNTIF(A:A,Table10[[#This Row],[Pcode]])-1</f>
        <v>0</v>
      </c>
    </row>
    <row r="85" spans="1:14" x14ac:dyDescent="0.25">
      <c r="A85" s="312" t="s">
        <v>518</v>
      </c>
      <c r="B85" s="25" t="str">
        <f ca="1">OFFSET(CampList[Priority],MATCH(Table10[[#This Row],[Pcode]],CampList[CP_Pcode],0)-1,0,1,1)</f>
        <v>P4</v>
      </c>
      <c r="C85" s="25" t="str">
        <f ca="1">OFFSET(CampList[Camp],MATCH(Table10[[#This Row],[Pcode]],CampList[CP_Pcode],0)-1,0,1,1)</f>
        <v xml:space="preserve">Lagatyan </v>
      </c>
      <c r="D85" s="25" t="str">
        <f ca="1">OFFSET(CampList[Township],MATCH(Table10[[#This Row],[Pcode]],CampList[CP_Pcode],0)-1,0,1,1)</f>
        <v>Mansi</v>
      </c>
      <c r="E85" s="335">
        <f ca="1">OFFSET(CampList[HH],MATCH(Table10[[#This Row],[Pcode]],CampList[CP_Pcode],0)-1,0,1,1)</f>
        <v>0</v>
      </c>
      <c r="F85" s="335">
        <f ca="1">OFFSET(CampList[Total],MATCH(Table10[[#This Row],[Pcode]],CampList[CP_Pcode],0)-1,0,1,1)</f>
        <v>0</v>
      </c>
      <c r="G85" s="335">
        <f>SUMIF('NFI Tracking'!AO$12:AO$1048576,Table10[[#This Row],[Pcode]],'NFI Tracking'!AI$12:AI$1048576)</f>
        <v>0</v>
      </c>
      <c r="H85" s="335">
        <f>SUMIF('NFI Tracking'!AO$12:AO$1048576,Table10[[#This Row],[Pcode]],'NFI Tracking'!AJ$12:AJ$1048576)</f>
        <v>0</v>
      </c>
      <c r="I85" s="335">
        <f>SUMIF('NFI Tracking'!AO$12:AO$1048576,Table10[[#This Row],[Pcode]],'NFI Tracking'!AK$12:AK$1048576)</f>
        <v>0</v>
      </c>
      <c r="J85" s="335">
        <f ca="1">MAX(Table10[[#This Row],[HH]]*VLOOKUP("Winter Clothes Adult",NFI,6)-Table10[[#This Row],[Winter Clothes Adult ]],0)</f>
        <v>0</v>
      </c>
      <c r="K85" s="335">
        <f ca="1">MAX(Table10[[#This Row],[HH]]*VLOOKUP("Winter Clothes Children ",NFI,6)-Table10[[#This Row],[Winter Clothes Children ]],0)</f>
        <v>0</v>
      </c>
      <c r="L85" s="335">
        <f ca="1">MAX(Table10[[#This Row],[HH]]*VLOOKUP("Winter Items Other ",NFI,6)-Table10[[#This Row],[Winter Items Other ]],0)</f>
        <v>0</v>
      </c>
      <c r="M85" s="368" t="str">
        <f>IF(OR(Table10[[#This Row],[Winter Clothes Adult ]]&lt;&gt;0,Table10[[#This Row],[Winter Clothes Children ]]&lt;&gt;0,Table10[[#This Row],[Winter Items Other ]]&lt;&gt;0),"No","")</f>
        <v/>
      </c>
      <c r="N85" s="369">
        <f>COUNTIF(A:A,Table10[[#This Row],[Pcode]])-1</f>
        <v>0</v>
      </c>
    </row>
    <row r="86" spans="1:14" x14ac:dyDescent="0.25">
      <c r="A86" s="312" t="s">
        <v>339</v>
      </c>
      <c r="B86" s="25" t="str">
        <f ca="1">OFFSET(CampList[Priority],MATCH(Table10[[#This Row],[Pcode]],CampList[CP_Pcode],0)-1,0,1,1)</f>
        <v>P4</v>
      </c>
      <c r="C86" s="25" t="str">
        <f ca="1">OFFSET(CampList[Camp],MATCH(Table10[[#This Row],[Pcode]],CampList[CP_Pcode],0)-1,0,1,1)</f>
        <v>Laiza Muklum Hpyen  Yen Mungshawa ni</v>
      </c>
      <c r="D86" s="25" t="str">
        <f ca="1">OFFSET(CampList[Township],MATCH(Table10[[#This Row],[Pcode]],CampList[CP_Pcode],0)-1,0,1,1)</f>
        <v>Waingmaw</v>
      </c>
      <c r="E86" s="335">
        <f ca="1">OFFSET(CampList[HH],MATCH(Table10[[#This Row],[Pcode]],CampList[CP_Pcode],0)-1,0,1,1)</f>
        <v>355</v>
      </c>
      <c r="F86" s="335">
        <f ca="1">OFFSET(CampList[Total],MATCH(Table10[[#This Row],[Pcode]],CampList[CP_Pcode],0)-1,0,1,1)</f>
        <v>4450</v>
      </c>
      <c r="G86" s="335">
        <f>SUMIF('NFI Tracking'!AO$12:AO$1048576,Table10[[#This Row],[Pcode]],'NFI Tracking'!AI$12:AI$1048576)</f>
        <v>0</v>
      </c>
      <c r="H86" s="335">
        <f>SUMIF('NFI Tracking'!AO$12:AO$1048576,Table10[[#This Row],[Pcode]],'NFI Tracking'!AJ$12:AJ$1048576)</f>
        <v>0</v>
      </c>
      <c r="I86" s="335">
        <f>SUMIF('NFI Tracking'!AO$12:AO$1048576,Table10[[#This Row],[Pcode]],'NFI Tracking'!AK$12:AK$1048576)</f>
        <v>0</v>
      </c>
      <c r="J86" s="335">
        <f ca="1">MAX(Table10[[#This Row],[HH]]*VLOOKUP("Winter Clothes Adult",NFI,6)-Table10[[#This Row],[Winter Clothes Adult ]],0)</f>
        <v>710</v>
      </c>
      <c r="K86" s="335">
        <f ca="1">MAX(Table10[[#This Row],[HH]]*VLOOKUP("Winter Clothes Children ",NFI,6)-Table10[[#This Row],[Winter Clothes Children ]],0)</f>
        <v>355</v>
      </c>
      <c r="L86" s="335">
        <f ca="1">MAX(Table10[[#This Row],[HH]]*VLOOKUP("Winter Items Other ",NFI,6)-Table10[[#This Row],[Winter Items Other ]],0)</f>
        <v>355</v>
      </c>
      <c r="M86" s="368" t="str">
        <f>IF(OR(Table10[[#This Row],[Winter Clothes Adult ]]&lt;&gt;0,Table10[[#This Row],[Winter Clothes Children ]]&lt;&gt;0,Table10[[#This Row],[Winter Items Other ]]&lt;&gt;0),"No","")</f>
        <v/>
      </c>
      <c r="N86" s="369">
        <f>COUNTIF(A:A,Table10[[#This Row],[Pcode]])-1</f>
        <v>0</v>
      </c>
    </row>
    <row r="87" spans="1:14" x14ac:dyDescent="0.25">
      <c r="A87" s="312" t="s">
        <v>303</v>
      </c>
      <c r="B87" s="25" t="str">
        <f ca="1">OFFSET(CampList[Priority],MATCH(Table10[[#This Row],[Pcode]],CampList[CP_Pcode],0)-1,0,1,1)</f>
        <v>P4</v>
      </c>
      <c r="C87" s="25" t="str">
        <f ca="1">OFFSET(CampList[Camp],MATCH(Table10[[#This Row],[Pcode]],CampList[CP_Pcode],0)-1,0,1,1)</f>
        <v>Lawk Awng Mare D. (Sinbo Area)</v>
      </c>
      <c r="D87" s="25" t="str">
        <f ca="1">OFFSET(CampList[Township],MATCH(Table10[[#This Row],[Pcode]],CampList[CP_Pcode],0)-1,0,1,1)</f>
        <v>Shwegu</v>
      </c>
      <c r="E87" s="335">
        <f ca="1">OFFSET(CampList[HH],MATCH(Table10[[#This Row],[Pcode]],CampList[CP_Pcode],0)-1,0,1,1)</f>
        <v>375</v>
      </c>
      <c r="F87" s="335">
        <f ca="1">OFFSET(CampList[Total],MATCH(Table10[[#This Row],[Pcode]],CampList[CP_Pcode],0)-1,0,1,1)</f>
        <v>1691</v>
      </c>
      <c r="G87" s="335">
        <f>SUMIF('NFI Tracking'!AO$12:AO$1048576,Table10[[#This Row],[Pcode]],'NFI Tracking'!AI$12:AI$1048576)</f>
        <v>0</v>
      </c>
      <c r="H87" s="335">
        <f>SUMIF('NFI Tracking'!AO$12:AO$1048576,Table10[[#This Row],[Pcode]],'NFI Tracking'!AJ$12:AJ$1048576)</f>
        <v>0</v>
      </c>
      <c r="I87" s="335">
        <f>SUMIF('NFI Tracking'!AO$12:AO$1048576,Table10[[#This Row],[Pcode]],'NFI Tracking'!AK$12:AK$1048576)</f>
        <v>0</v>
      </c>
      <c r="J87" s="335">
        <f ca="1">MAX(Table10[[#This Row],[HH]]*VLOOKUP("Winter Clothes Adult",NFI,6)-Table10[[#This Row],[Winter Clothes Adult ]],0)</f>
        <v>750</v>
      </c>
      <c r="K87" s="335">
        <f ca="1">MAX(Table10[[#This Row],[HH]]*VLOOKUP("Winter Clothes Children ",NFI,6)-Table10[[#This Row],[Winter Clothes Children ]],0)</f>
        <v>375</v>
      </c>
      <c r="L87" s="335">
        <f ca="1">MAX(Table10[[#This Row],[HH]]*VLOOKUP("Winter Items Other ",NFI,6)-Table10[[#This Row],[Winter Items Other ]],0)</f>
        <v>375</v>
      </c>
      <c r="M87" s="368" t="str">
        <f>IF(OR(Table10[[#This Row],[Winter Clothes Adult ]]&lt;&gt;0,Table10[[#This Row],[Winter Clothes Children ]]&lt;&gt;0,Table10[[#This Row],[Winter Items Other ]]&lt;&gt;0),"No","")</f>
        <v/>
      </c>
      <c r="N87" s="369">
        <f>COUNTIF(A:A,Table10[[#This Row],[Pcode]])-1</f>
        <v>0</v>
      </c>
    </row>
    <row r="88" spans="1:14" x14ac:dyDescent="0.25">
      <c r="A88" s="312" t="s">
        <v>239</v>
      </c>
      <c r="B88" s="25" t="str">
        <f ca="1">OFFSET(CampList[Priority],MATCH(Table10[[#This Row],[Pcode]],CampList[CP_Pcode],0)-1,0,1,1)</f>
        <v>P4</v>
      </c>
      <c r="C88" s="25" t="str">
        <f ca="1">OFFSET(CampList[Camp],MATCH(Table10[[#This Row],[Pcode]],CampList[CP_Pcode],0)-1,0,1,1)</f>
        <v>Le Kone Bethlehem Church</v>
      </c>
      <c r="D88" s="25" t="str">
        <f ca="1">OFFSET(CampList[Township],MATCH(Table10[[#This Row],[Pcode]],CampList[CP_Pcode],0)-1,0,1,1)</f>
        <v>Myitkyina</v>
      </c>
      <c r="E88" s="335">
        <f ca="1">OFFSET(CampList[HH],MATCH(Table10[[#This Row],[Pcode]],CampList[CP_Pcode],0)-1,0,1,1)</f>
        <v>96</v>
      </c>
      <c r="F88" s="335">
        <f ca="1">OFFSET(CampList[Total],MATCH(Table10[[#This Row],[Pcode]],CampList[CP_Pcode],0)-1,0,1,1)</f>
        <v>544</v>
      </c>
      <c r="G88" s="335">
        <f>SUMIF('NFI Tracking'!AO$12:AO$1048576,Table10[[#This Row],[Pcode]],'NFI Tracking'!AI$12:AI$1048576)</f>
        <v>0</v>
      </c>
      <c r="H88" s="335">
        <f>SUMIF('NFI Tracking'!AO$12:AO$1048576,Table10[[#This Row],[Pcode]],'NFI Tracking'!AJ$12:AJ$1048576)</f>
        <v>0</v>
      </c>
      <c r="I88" s="335">
        <f>SUMIF('NFI Tracking'!AO$12:AO$1048576,Table10[[#This Row],[Pcode]],'NFI Tracking'!AK$12:AK$1048576)</f>
        <v>0</v>
      </c>
      <c r="J88" s="335">
        <f ca="1">MAX(Table10[[#This Row],[HH]]*VLOOKUP("Winter Clothes Adult",NFI,6)-Table10[[#This Row],[Winter Clothes Adult ]],0)</f>
        <v>192</v>
      </c>
      <c r="K88" s="335">
        <f ca="1">MAX(Table10[[#This Row],[HH]]*VLOOKUP("Winter Clothes Children ",NFI,6)-Table10[[#This Row],[Winter Clothes Children ]],0)</f>
        <v>96</v>
      </c>
      <c r="L88" s="335">
        <f ca="1">MAX(Table10[[#This Row],[HH]]*VLOOKUP("Winter Items Other ",NFI,6)-Table10[[#This Row],[Winter Items Other ]],0)</f>
        <v>96</v>
      </c>
      <c r="M88" s="368" t="str">
        <f>IF(OR(Table10[[#This Row],[Winter Clothes Adult ]]&lt;&gt;0,Table10[[#This Row],[Winter Clothes Children ]]&lt;&gt;0,Table10[[#This Row],[Winter Items Other ]]&lt;&gt;0),"No","")</f>
        <v/>
      </c>
      <c r="N88" s="369">
        <f>COUNTIF(A:A,Table10[[#This Row],[Pcode]])-1</f>
        <v>0</v>
      </c>
    </row>
    <row r="89" spans="1:14" x14ac:dyDescent="0.25">
      <c r="A89" s="312" t="s">
        <v>284</v>
      </c>
      <c r="B89" s="25" t="str">
        <f ca="1">OFFSET(CampList[Priority],MATCH(Table10[[#This Row],[Pcode]],CampList[CP_Pcode],0)-1,0,1,1)</f>
        <v>P4</v>
      </c>
      <c r="C89" s="25" t="str">
        <f ca="1">OFFSET(CampList[Camp],MATCH(Table10[[#This Row],[Pcode]],CampList[CP_Pcode],0)-1,0,1,1)</f>
        <v xml:space="preserve">Le Kone Ziun Baptist Church </v>
      </c>
      <c r="D89" s="25" t="str">
        <f ca="1">OFFSET(CampList[Township],MATCH(Table10[[#This Row],[Pcode]],CampList[CP_Pcode],0)-1,0,1,1)</f>
        <v>Myitkyina</v>
      </c>
      <c r="E89" s="335">
        <f ca="1">OFFSET(CampList[HH],MATCH(Table10[[#This Row],[Pcode]],CampList[CP_Pcode],0)-1,0,1,1)</f>
        <v>138</v>
      </c>
      <c r="F89" s="335">
        <f ca="1">OFFSET(CampList[Total],MATCH(Table10[[#This Row],[Pcode]],CampList[CP_Pcode],0)-1,0,1,1)</f>
        <v>697</v>
      </c>
      <c r="G89" s="335">
        <f>SUMIF('NFI Tracking'!AO$12:AO$1048576,Table10[[#This Row],[Pcode]],'NFI Tracking'!AI$12:AI$1048576)</f>
        <v>0</v>
      </c>
      <c r="H89" s="335">
        <f>SUMIF('NFI Tracking'!AO$12:AO$1048576,Table10[[#This Row],[Pcode]],'NFI Tracking'!AJ$12:AJ$1048576)</f>
        <v>0</v>
      </c>
      <c r="I89" s="335">
        <f>SUMIF('NFI Tracking'!AO$12:AO$1048576,Table10[[#This Row],[Pcode]],'NFI Tracking'!AK$12:AK$1048576)</f>
        <v>0</v>
      </c>
      <c r="J89" s="335">
        <f ca="1">MAX(Table10[[#This Row],[HH]]*VLOOKUP("Winter Clothes Adult",NFI,6)-Table10[[#This Row],[Winter Clothes Adult ]],0)</f>
        <v>276</v>
      </c>
      <c r="K89" s="335">
        <f ca="1">MAX(Table10[[#This Row],[HH]]*VLOOKUP("Winter Clothes Children ",NFI,6)-Table10[[#This Row],[Winter Clothes Children ]],0)</f>
        <v>138</v>
      </c>
      <c r="L89" s="335">
        <f ca="1">MAX(Table10[[#This Row],[HH]]*VLOOKUP("Winter Items Other ",NFI,6)-Table10[[#This Row],[Winter Items Other ]],0)</f>
        <v>138</v>
      </c>
      <c r="M89" s="368" t="str">
        <f>IF(OR(Table10[[#This Row],[Winter Clothes Adult ]]&lt;&gt;0,Table10[[#This Row],[Winter Clothes Children ]]&lt;&gt;0,Table10[[#This Row],[Winter Items Other ]]&lt;&gt;0),"No","")</f>
        <v/>
      </c>
      <c r="N89" s="369">
        <f>COUNTIF(A:A,Table10[[#This Row],[Pcode]])-1</f>
        <v>0</v>
      </c>
    </row>
    <row r="90" spans="1:14" x14ac:dyDescent="0.25">
      <c r="A90" s="312" t="s">
        <v>89</v>
      </c>
      <c r="B90" s="25" t="str">
        <f ca="1">OFFSET(CampList[Priority],MATCH(Table10[[#This Row],[Pcode]],CampList[CP_Pcode],0)-1,0,1,1)</f>
        <v>P4</v>
      </c>
      <c r="C90" s="25" t="str">
        <f ca="1">OFFSET(CampList[Camp],MATCH(Table10[[#This Row],[Pcode]],CampList[CP_Pcode],0)-1,0,1,1)</f>
        <v>Lisu Baptist Church, Maw Shan Vil,. Seik Mu</v>
      </c>
      <c r="D90" s="25" t="str">
        <f ca="1">OFFSET(CampList[Township],MATCH(Table10[[#This Row],[Pcode]],CampList[CP_Pcode],0)-1,0,1,1)</f>
        <v>Hpakant</v>
      </c>
      <c r="E90" s="335">
        <f ca="1">OFFSET(CampList[HH],MATCH(Table10[[#This Row],[Pcode]],CampList[CP_Pcode],0)-1,0,1,1)</f>
        <v>25</v>
      </c>
      <c r="F90" s="335">
        <f ca="1">OFFSET(CampList[Total],MATCH(Table10[[#This Row],[Pcode]],CampList[CP_Pcode],0)-1,0,1,1)</f>
        <v>133</v>
      </c>
      <c r="G90" s="335">
        <f>SUMIF('NFI Tracking'!AO$12:AO$1048576,Table10[[#This Row],[Pcode]],'NFI Tracking'!AI$12:AI$1048576)</f>
        <v>0</v>
      </c>
      <c r="H90" s="335">
        <f>SUMIF('NFI Tracking'!AO$12:AO$1048576,Table10[[#This Row],[Pcode]],'NFI Tracking'!AJ$12:AJ$1048576)</f>
        <v>0</v>
      </c>
      <c r="I90" s="335">
        <f>SUMIF('NFI Tracking'!AO$12:AO$1048576,Table10[[#This Row],[Pcode]],'NFI Tracking'!AK$12:AK$1048576)</f>
        <v>0</v>
      </c>
      <c r="J90" s="335">
        <f ca="1">MAX(Table10[[#This Row],[HH]]*VLOOKUP("Winter Clothes Adult",NFI,6)-Table10[[#This Row],[Winter Clothes Adult ]],0)</f>
        <v>50</v>
      </c>
      <c r="K90" s="335">
        <f ca="1">MAX(Table10[[#This Row],[HH]]*VLOOKUP("Winter Clothes Children ",NFI,6)-Table10[[#This Row],[Winter Clothes Children ]],0)</f>
        <v>25</v>
      </c>
      <c r="L90" s="335">
        <f ca="1">MAX(Table10[[#This Row],[HH]]*VLOOKUP("Winter Items Other ",NFI,6)-Table10[[#This Row],[Winter Items Other ]],0)</f>
        <v>25</v>
      </c>
      <c r="M90" s="368" t="str">
        <f>IF(OR(Table10[[#This Row],[Winter Clothes Adult ]]&lt;&gt;0,Table10[[#This Row],[Winter Clothes Children ]]&lt;&gt;0,Table10[[#This Row],[Winter Items Other ]]&lt;&gt;0),"No","")</f>
        <v/>
      </c>
      <c r="N90" s="369">
        <f>COUNTIF(A:A,Table10[[#This Row],[Pcode]])-1</f>
        <v>0</v>
      </c>
    </row>
    <row r="91" spans="1:14" x14ac:dyDescent="0.25">
      <c r="A91" s="312" t="s">
        <v>91</v>
      </c>
      <c r="B91" s="25" t="str">
        <f ca="1">OFFSET(CampList[Priority],MATCH(Table10[[#This Row],[Pcode]],CampList[CP_Pcode],0)-1,0,1,1)</f>
        <v>P4</v>
      </c>
      <c r="C91" s="25" t="str">
        <f ca="1">OFFSET(CampList[Camp],MATCH(Table10[[#This Row],[Pcode]],CampList[CP_Pcode],0)-1,0,1,1)</f>
        <v>Lisu Baptist Church, Maw Wan Ward</v>
      </c>
      <c r="D91" s="25" t="str">
        <f ca="1">OFFSET(CampList[Township],MATCH(Table10[[#This Row],[Pcode]],CampList[CP_Pcode],0)-1,0,1,1)</f>
        <v>Hpakant</v>
      </c>
      <c r="E91" s="335">
        <f ca="1">OFFSET(CampList[HH],MATCH(Table10[[#This Row],[Pcode]],CampList[CP_Pcode],0)-1,0,1,1)</f>
        <v>15</v>
      </c>
      <c r="F91" s="335">
        <f ca="1">OFFSET(CampList[Total],MATCH(Table10[[#This Row],[Pcode]],CampList[CP_Pcode],0)-1,0,1,1)</f>
        <v>74</v>
      </c>
      <c r="G91" s="335">
        <f>SUMIF('NFI Tracking'!AO$12:AO$1048576,Table10[[#This Row],[Pcode]],'NFI Tracking'!AI$12:AI$1048576)</f>
        <v>0</v>
      </c>
      <c r="H91" s="335">
        <f>SUMIF('NFI Tracking'!AO$12:AO$1048576,Table10[[#This Row],[Pcode]],'NFI Tracking'!AJ$12:AJ$1048576)</f>
        <v>0</v>
      </c>
      <c r="I91" s="335">
        <f>SUMIF('NFI Tracking'!AO$12:AO$1048576,Table10[[#This Row],[Pcode]],'NFI Tracking'!AK$12:AK$1048576)</f>
        <v>0</v>
      </c>
      <c r="J91" s="335">
        <f ca="1">MAX(Table10[[#This Row],[HH]]*VLOOKUP("Winter Clothes Adult",NFI,6)-Table10[[#This Row],[Winter Clothes Adult ]],0)</f>
        <v>30</v>
      </c>
      <c r="K91" s="335">
        <f ca="1">MAX(Table10[[#This Row],[HH]]*VLOOKUP("Winter Clothes Children ",NFI,6)-Table10[[#This Row],[Winter Clothes Children ]],0)</f>
        <v>15</v>
      </c>
      <c r="L91" s="335">
        <f ca="1">MAX(Table10[[#This Row],[HH]]*VLOOKUP("Winter Items Other ",NFI,6)-Table10[[#This Row],[Winter Items Other ]],0)</f>
        <v>15</v>
      </c>
      <c r="M91" s="368" t="str">
        <f>IF(OR(Table10[[#This Row],[Winter Clothes Adult ]]&lt;&gt;0,Table10[[#This Row],[Winter Clothes Children ]]&lt;&gt;0,Table10[[#This Row],[Winter Items Other ]]&lt;&gt;0),"No","")</f>
        <v/>
      </c>
      <c r="N91" s="369">
        <f>COUNTIF(A:A,Table10[[#This Row],[Pcode]])-1</f>
        <v>0</v>
      </c>
    </row>
    <row r="92" spans="1:14" x14ac:dyDescent="0.25">
      <c r="A92" s="312" t="s">
        <v>17</v>
      </c>
      <c r="B92" s="25" t="str">
        <f ca="1">OFFSET(CampList[Priority],MATCH(Table10[[#This Row],[Pcode]],CampList[CP_Pcode],0)-1,0,1,1)</f>
        <v>P4</v>
      </c>
      <c r="C92" s="25" t="str">
        <f ca="1">OFFSET(CampList[Camp],MATCH(Table10[[#This Row],[Pcode]],CampList[CP_Pcode],0)-1,0,1,1)</f>
        <v>Lisu Boarding-House</v>
      </c>
      <c r="D92" s="25" t="str">
        <f ca="1">OFFSET(CampList[Township],MATCH(Table10[[#This Row],[Pcode]],CampList[CP_Pcode],0)-1,0,1,1)</f>
        <v>Bhamo</v>
      </c>
      <c r="E92" s="335">
        <f ca="1">OFFSET(CampList[HH],MATCH(Table10[[#This Row],[Pcode]],CampList[CP_Pcode],0)-1,0,1,1)</f>
        <v>116</v>
      </c>
      <c r="F92" s="335">
        <f ca="1">OFFSET(CampList[Total],MATCH(Table10[[#This Row],[Pcode]],CampList[CP_Pcode],0)-1,0,1,1)</f>
        <v>659</v>
      </c>
      <c r="G92" s="335">
        <f>SUMIF('NFI Tracking'!AO$12:AO$1048576,Table10[[#This Row],[Pcode]],'NFI Tracking'!AI$12:AI$1048576)</f>
        <v>0</v>
      </c>
      <c r="H92" s="335">
        <f>SUMIF('NFI Tracking'!AO$12:AO$1048576,Table10[[#This Row],[Pcode]],'NFI Tracking'!AJ$12:AJ$1048576)</f>
        <v>0</v>
      </c>
      <c r="I92" s="335">
        <f>SUMIF('NFI Tracking'!AO$12:AO$1048576,Table10[[#This Row],[Pcode]],'NFI Tracking'!AK$12:AK$1048576)</f>
        <v>0</v>
      </c>
      <c r="J92" s="335">
        <f ca="1">MAX(Table10[[#This Row],[HH]]*VLOOKUP("Winter Clothes Adult",NFI,6)-Table10[[#This Row],[Winter Clothes Adult ]],0)</f>
        <v>232</v>
      </c>
      <c r="K92" s="335">
        <f ca="1">MAX(Table10[[#This Row],[HH]]*VLOOKUP("Winter Clothes Children ",NFI,6)-Table10[[#This Row],[Winter Clothes Children ]],0)</f>
        <v>116</v>
      </c>
      <c r="L92" s="335">
        <f ca="1">MAX(Table10[[#This Row],[HH]]*VLOOKUP("Winter Items Other ",NFI,6)-Table10[[#This Row],[Winter Items Other ]],0)</f>
        <v>116</v>
      </c>
      <c r="M92" s="368" t="str">
        <f>IF(OR(Table10[[#This Row],[Winter Clothes Adult ]]&lt;&gt;0,Table10[[#This Row],[Winter Clothes Children ]]&lt;&gt;0,Table10[[#This Row],[Winter Items Other ]]&lt;&gt;0),"No","")</f>
        <v/>
      </c>
      <c r="N92" s="369">
        <f>COUNTIF(A:A,Table10[[#This Row],[Pcode]])-1</f>
        <v>0</v>
      </c>
    </row>
    <row r="93" spans="1:14" x14ac:dyDescent="0.25">
      <c r="A93" s="312" t="s">
        <v>319</v>
      </c>
      <c r="B93" s="25" t="str">
        <f ca="1">OFFSET(CampList[Priority],MATCH(Table10[[#This Row],[Pcode]],CampList[CP_Pcode],0)-1,0,1,1)</f>
        <v>P4</v>
      </c>
      <c r="C93" s="25" t="str">
        <f ca="1">OFFSET(CampList[Camp],MATCH(Table10[[#This Row],[Pcode]],CampList[CP_Pcode],0)-1,0,1,1)</f>
        <v>Mading Baptist Church</v>
      </c>
      <c r="D93" s="25" t="str">
        <f ca="1">OFFSET(CampList[Township],MATCH(Table10[[#This Row],[Pcode]],CampList[CP_Pcode],0)-1,0,1,1)</f>
        <v>Waingmaw</v>
      </c>
      <c r="E93" s="335">
        <f ca="1">OFFSET(CampList[HH],MATCH(Table10[[#This Row],[Pcode]],CampList[CP_Pcode],0)-1,0,1,1)</f>
        <v>22</v>
      </c>
      <c r="F93" s="335">
        <f ca="1">OFFSET(CampList[Total],MATCH(Table10[[#This Row],[Pcode]],CampList[CP_Pcode],0)-1,0,1,1)</f>
        <v>128</v>
      </c>
      <c r="G93" s="335">
        <f>SUMIF('NFI Tracking'!AO$12:AO$1048576,Table10[[#This Row],[Pcode]],'NFI Tracking'!AI$12:AI$1048576)</f>
        <v>0</v>
      </c>
      <c r="H93" s="335">
        <f>SUMIF('NFI Tracking'!AO$12:AO$1048576,Table10[[#This Row],[Pcode]],'NFI Tracking'!AJ$12:AJ$1048576)</f>
        <v>0</v>
      </c>
      <c r="I93" s="335">
        <f>SUMIF('NFI Tracking'!AO$12:AO$1048576,Table10[[#This Row],[Pcode]],'NFI Tracking'!AK$12:AK$1048576)</f>
        <v>0</v>
      </c>
      <c r="J93" s="335">
        <f ca="1">MAX(Table10[[#This Row],[HH]]*VLOOKUP("Winter Clothes Adult",NFI,6)-Table10[[#This Row],[Winter Clothes Adult ]],0)</f>
        <v>44</v>
      </c>
      <c r="K93" s="335">
        <f ca="1">MAX(Table10[[#This Row],[HH]]*VLOOKUP("Winter Clothes Children ",NFI,6)-Table10[[#This Row],[Winter Clothes Children ]],0)</f>
        <v>22</v>
      </c>
      <c r="L93" s="335">
        <f ca="1">MAX(Table10[[#This Row],[HH]]*VLOOKUP("Winter Items Other ",NFI,6)-Table10[[#This Row],[Winter Items Other ]],0)</f>
        <v>22</v>
      </c>
      <c r="M93" s="368" t="str">
        <f>IF(OR(Table10[[#This Row],[Winter Clothes Adult ]]&lt;&gt;0,Table10[[#This Row],[Winter Clothes Children ]]&lt;&gt;0,Table10[[#This Row],[Winter Items Other ]]&lt;&gt;0),"No","")</f>
        <v/>
      </c>
      <c r="N93" s="369">
        <f>COUNTIF(A:A,Table10[[#This Row],[Pcode]])-1</f>
        <v>0</v>
      </c>
    </row>
    <row r="94" spans="1:14" x14ac:dyDescent="0.25">
      <c r="A94" s="312" t="s">
        <v>199</v>
      </c>
      <c r="B94" s="25" t="str">
        <f ca="1">OFFSET(CampList[Priority],MATCH(Table10[[#This Row],[Pcode]],CampList[CP_Pcode],0)-1,0,1,1)</f>
        <v>P4</v>
      </c>
      <c r="C94" s="25" t="str">
        <f ca="1">OFFSET(CampList[Camp],MATCH(Table10[[#This Row],[Pcode]],CampList[CP_Pcode],0)-1,0,1,1)</f>
        <v xml:space="preserve">Mai Khat </v>
      </c>
      <c r="D94" s="25" t="str">
        <f ca="1">OFFSET(CampList[Township],MATCH(Table10[[#This Row],[Pcode]],CampList[CP_Pcode],0)-1,0,1,1)</f>
        <v>Momauk</v>
      </c>
      <c r="E94" s="335">
        <f ca="1">OFFSET(CampList[HH],MATCH(Table10[[#This Row],[Pcode]],CampList[CP_Pcode],0)-1,0,1,1)</f>
        <v>2</v>
      </c>
      <c r="F94" s="335">
        <f ca="1">OFFSET(CampList[Total],MATCH(Table10[[#This Row],[Pcode]],CampList[CP_Pcode],0)-1,0,1,1)</f>
        <v>9</v>
      </c>
      <c r="G94" s="335">
        <f>SUMIF('NFI Tracking'!AO$12:AO$1048576,Table10[[#This Row],[Pcode]],'NFI Tracking'!AI$12:AI$1048576)</f>
        <v>0</v>
      </c>
      <c r="H94" s="335">
        <f>SUMIF('NFI Tracking'!AO$12:AO$1048576,Table10[[#This Row],[Pcode]],'NFI Tracking'!AJ$12:AJ$1048576)</f>
        <v>0</v>
      </c>
      <c r="I94" s="335">
        <f>SUMIF('NFI Tracking'!AO$12:AO$1048576,Table10[[#This Row],[Pcode]],'NFI Tracking'!AK$12:AK$1048576)</f>
        <v>0</v>
      </c>
      <c r="J94" s="335">
        <f ca="1">MAX(Table10[[#This Row],[HH]]*VLOOKUP("Winter Clothes Adult",NFI,6)-Table10[[#This Row],[Winter Clothes Adult ]],0)</f>
        <v>4</v>
      </c>
      <c r="K94" s="335">
        <f ca="1">MAX(Table10[[#This Row],[HH]]*VLOOKUP("Winter Clothes Children ",NFI,6)-Table10[[#This Row],[Winter Clothes Children ]],0)</f>
        <v>2</v>
      </c>
      <c r="L94" s="335">
        <f ca="1">MAX(Table10[[#This Row],[HH]]*VLOOKUP("Winter Items Other ",NFI,6)-Table10[[#This Row],[Winter Items Other ]],0)</f>
        <v>2</v>
      </c>
      <c r="M94" s="368" t="str">
        <f>IF(OR(Table10[[#This Row],[Winter Clothes Adult ]]&lt;&gt;0,Table10[[#This Row],[Winter Clothes Children ]]&lt;&gt;0,Table10[[#This Row],[Winter Items Other ]]&lt;&gt;0),"No","")</f>
        <v/>
      </c>
      <c r="N94" s="369">
        <f>COUNTIF(A:A,Table10[[#This Row],[Pcode]])-1</f>
        <v>0</v>
      </c>
    </row>
    <row r="95" spans="1:14" x14ac:dyDescent="0.25">
      <c r="A95" s="312" t="s">
        <v>327</v>
      </c>
      <c r="B95" s="25" t="str">
        <f ca="1">OFFSET(CampList[Priority],MATCH(Table10[[#This Row],[Pcode]],CampList[CP_Pcode],0)-1,0,1,1)</f>
        <v>P4</v>
      </c>
      <c r="C95" s="25" t="str">
        <f ca="1">OFFSET(CampList[Camp],MATCH(Table10[[#This Row],[Pcode]],CampList[CP_Pcode],0)-1,0,1,1)</f>
        <v>Maina AG Church</v>
      </c>
      <c r="D95" s="25" t="str">
        <f ca="1">OFFSET(CampList[Township],MATCH(Table10[[#This Row],[Pcode]],CampList[CP_Pcode],0)-1,0,1,1)</f>
        <v>Waingmaw</v>
      </c>
      <c r="E95" s="335">
        <f ca="1">OFFSET(CampList[HH],MATCH(Table10[[#This Row],[Pcode]],CampList[CP_Pcode],0)-1,0,1,1)</f>
        <v>143</v>
      </c>
      <c r="F95" s="335">
        <f ca="1">OFFSET(CampList[Total],MATCH(Table10[[#This Row],[Pcode]],CampList[CP_Pcode],0)-1,0,1,1)</f>
        <v>800</v>
      </c>
      <c r="G95" s="335">
        <f>SUMIF('NFI Tracking'!AO$12:AO$1048576,Table10[[#This Row],[Pcode]],'NFI Tracking'!AI$12:AI$1048576)</f>
        <v>0</v>
      </c>
      <c r="H95" s="335">
        <f>SUMIF('NFI Tracking'!AO$12:AO$1048576,Table10[[#This Row],[Pcode]],'NFI Tracking'!AJ$12:AJ$1048576)</f>
        <v>0</v>
      </c>
      <c r="I95" s="335">
        <f>SUMIF('NFI Tracking'!AO$12:AO$1048576,Table10[[#This Row],[Pcode]],'NFI Tracking'!AK$12:AK$1048576)</f>
        <v>0</v>
      </c>
      <c r="J95" s="335">
        <f ca="1">MAX(Table10[[#This Row],[HH]]*VLOOKUP("Winter Clothes Adult",NFI,6)-Table10[[#This Row],[Winter Clothes Adult ]],0)</f>
        <v>286</v>
      </c>
      <c r="K95" s="335">
        <f ca="1">MAX(Table10[[#This Row],[HH]]*VLOOKUP("Winter Clothes Children ",NFI,6)-Table10[[#This Row],[Winter Clothes Children ]],0)</f>
        <v>143</v>
      </c>
      <c r="L95" s="335">
        <f ca="1">MAX(Table10[[#This Row],[HH]]*VLOOKUP("Winter Items Other ",NFI,6)-Table10[[#This Row],[Winter Items Other ]],0)</f>
        <v>143</v>
      </c>
      <c r="M95" s="368" t="str">
        <f>IF(OR(Table10[[#This Row],[Winter Clothes Adult ]]&lt;&gt;0,Table10[[#This Row],[Winter Clothes Children ]]&lt;&gt;0,Table10[[#This Row],[Winter Items Other ]]&lt;&gt;0),"No","")</f>
        <v/>
      </c>
      <c r="N95" s="369">
        <f>COUNTIF(A:A,Table10[[#This Row],[Pcode]])-1</f>
        <v>0</v>
      </c>
    </row>
    <row r="96" spans="1:14" x14ac:dyDescent="0.25">
      <c r="A96" s="312" t="s">
        <v>329</v>
      </c>
      <c r="B96" s="25" t="str">
        <f ca="1">OFFSET(CampList[Priority],MATCH(Table10[[#This Row],[Pcode]],CampList[CP_Pcode],0)-1,0,1,1)</f>
        <v>P4</v>
      </c>
      <c r="C96" s="25" t="str">
        <f ca="1">OFFSET(CampList[Camp],MATCH(Table10[[#This Row],[Pcode]],CampList[CP_Pcode],0)-1,0,1,1)</f>
        <v>Maina Catholic Church (St. Joseph)</v>
      </c>
      <c r="D96" s="25" t="str">
        <f ca="1">OFFSET(CampList[Township],MATCH(Table10[[#This Row],[Pcode]],CampList[CP_Pcode],0)-1,0,1,1)</f>
        <v>Waingmaw</v>
      </c>
      <c r="E96" s="335">
        <f ca="1">OFFSET(CampList[HH],MATCH(Table10[[#This Row],[Pcode]],CampList[CP_Pcode],0)-1,0,1,1)</f>
        <v>222</v>
      </c>
      <c r="F96" s="335">
        <f ca="1">OFFSET(CampList[Total],MATCH(Table10[[#This Row],[Pcode]],CampList[CP_Pcode],0)-1,0,1,1)</f>
        <v>1251</v>
      </c>
      <c r="G96" s="335">
        <f>SUMIF('NFI Tracking'!AO$12:AO$1048576,Table10[[#This Row],[Pcode]],'NFI Tracking'!AI$12:AI$1048576)</f>
        <v>0</v>
      </c>
      <c r="H96" s="335">
        <f>SUMIF('NFI Tracking'!AO$12:AO$1048576,Table10[[#This Row],[Pcode]],'NFI Tracking'!AJ$12:AJ$1048576)</f>
        <v>0</v>
      </c>
      <c r="I96" s="335">
        <f>SUMIF('NFI Tracking'!AO$12:AO$1048576,Table10[[#This Row],[Pcode]],'NFI Tracking'!AK$12:AK$1048576)</f>
        <v>0</v>
      </c>
      <c r="J96" s="335">
        <f ca="1">MAX(Table10[[#This Row],[HH]]*VLOOKUP("Winter Clothes Adult",NFI,6)-Table10[[#This Row],[Winter Clothes Adult ]],0)</f>
        <v>444</v>
      </c>
      <c r="K96" s="335">
        <f ca="1">MAX(Table10[[#This Row],[HH]]*VLOOKUP("Winter Clothes Children ",NFI,6)-Table10[[#This Row],[Winter Clothes Children ]],0)</f>
        <v>222</v>
      </c>
      <c r="L96" s="335">
        <f ca="1">MAX(Table10[[#This Row],[HH]]*VLOOKUP("Winter Items Other ",NFI,6)-Table10[[#This Row],[Winter Items Other ]],0)</f>
        <v>222</v>
      </c>
      <c r="M96" s="368" t="str">
        <f>IF(OR(Table10[[#This Row],[Winter Clothes Adult ]]&lt;&gt;0,Table10[[#This Row],[Winter Clothes Children ]]&lt;&gt;0,Table10[[#This Row],[Winter Items Other ]]&lt;&gt;0),"No","")</f>
        <v/>
      </c>
      <c r="N96" s="369">
        <f>COUNTIF(A:A,Table10[[#This Row],[Pcode]])-1</f>
        <v>0</v>
      </c>
    </row>
    <row r="97" spans="1:14" x14ac:dyDescent="0.25">
      <c r="A97" s="312" t="s">
        <v>323</v>
      </c>
      <c r="B97" s="25" t="str">
        <f ca="1">OFFSET(CampList[Priority],MATCH(Table10[[#This Row],[Pcode]],CampList[CP_Pcode],0)-1,0,1,1)</f>
        <v>P4</v>
      </c>
      <c r="C97" s="25" t="str">
        <f ca="1">OFFSET(CampList[Camp],MATCH(Table10[[#This Row],[Pcode]],CampList[CP_Pcode],0)-1,0,1,1)</f>
        <v>Maina KBC (Bawng Ring)</v>
      </c>
      <c r="D97" s="25" t="str">
        <f ca="1">OFFSET(CampList[Township],MATCH(Table10[[#This Row],[Pcode]],CampList[CP_Pcode],0)-1,0,1,1)</f>
        <v>Waingmaw</v>
      </c>
      <c r="E97" s="335">
        <f ca="1">OFFSET(CampList[HH],MATCH(Table10[[#This Row],[Pcode]],CampList[CP_Pcode],0)-1,0,1,1)</f>
        <v>396</v>
      </c>
      <c r="F97" s="335">
        <f ca="1">OFFSET(CampList[Total],MATCH(Table10[[#This Row],[Pcode]],CampList[CP_Pcode],0)-1,0,1,1)</f>
        <v>2120</v>
      </c>
      <c r="G97" s="335">
        <f>SUMIF('NFI Tracking'!AO$12:AO$1048576,Table10[[#This Row],[Pcode]],'NFI Tracking'!AI$12:AI$1048576)</f>
        <v>0</v>
      </c>
      <c r="H97" s="335">
        <f>SUMIF('NFI Tracking'!AO$12:AO$1048576,Table10[[#This Row],[Pcode]],'NFI Tracking'!AJ$12:AJ$1048576)</f>
        <v>0</v>
      </c>
      <c r="I97" s="335">
        <f>SUMIF('NFI Tracking'!AO$12:AO$1048576,Table10[[#This Row],[Pcode]],'NFI Tracking'!AK$12:AK$1048576)</f>
        <v>0</v>
      </c>
      <c r="J97" s="335">
        <f ca="1">MAX(Table10[[#This Row],[HH]]*VLOOKUP("Winter Clothes Adult",NFI,6)-Table10[[#This Row],[Winter Clothes Adult ]],0)</f>
        <v>792</v>
      </c>
      <c r="K97" s="335">
        <f ca="1">MAX(Table10[[#This Row],[HH]]*VLOOKUP("Winter Clothes Children ",NFI,6)-Table10[[#This Row],[Winter Clothes Children ]],0)</f>
        <v>396</v>
      </c>
      <c r="L97" s="335">
        <f ca="1">MAX(Table10[[#This Row],[HH]]*VLOOKUP("Winter Items Other ",NFI,6)-Table10[[#This Row],[Winter Items Other ]],0)</f>
        <v>396</v>
      </c>
      <c r="M97" s="368" t="str">
        <f>IF(OR(Table10[[#This Row],[Winter Clothes Adult ]]&lt;&gt;0,Table10[[#This Row],[Winter Clothes Children ]]&lt;&gt;0,Table10[[#This Row],[Winter Items Other ]]&lt;&gt;0),"No","")</f>
        <v/>
      </c>
      <c r="N97" s="369">
        <f>COUNTIF(A:A,Table10[[#This Row],[Pcode]])-1</f>
        <v>0</v>
      </c>
    </row>
    <row r="98" spans="1:14" x14ac:dyDescent="0.25">
      <c r="A98" s="312" t="s">
        <v>325</v>
      </c>
      <c r="B98" s="25" t="str">
        <f ca="1">OFFSET(CampList[Priority],MATCH(Table10[[#This Row],[Pcode]],CampList[CP_Pcode],0)-1,0,1,1)</f>
        <v>P4</v>
      </c>
      <c r="C98" s="25" t="str">
        <f ca="1">OFFSET(CampList[Camp],MATCH(Table10[[#This Row],[Pcode]],CampList[CP_Pcode],0)-1,0,1,1)</f>
        <v>Maina Lawang Baptist Church</v>
      </c>
      <c r="D98" s="25" t="str">
        <f ca="1">OFFSET(CampList[Township],MATCH(Table10[[#This Row],[Pcode]],CampList[CP_Pcode],0)-1,0,1,1)</f>
        <v>Waingmaw</v>
      </c>
      <c r="E98" s="335">
        <f ca="1">OFFSET(CampList[HH],MATCH(Table10[[#This Row],[Pcode]],CampList[CP_Pcode],0)-1,0,1,1)</f>
        <v>46</v>
      </c>
      <c r="F98" s="335">
        <f ca="1">OFFSET(CampList[Total],MATCH(Table10[[#This Row],[Pcode]],CampList[CP_Pcode],0)-1,0,1,1)</f>
        <v>192</v>
      </c>
      <c r="G98" s="335">
        <f>SUMIF('NFI Tracking'!AO$12:AO$1048576,Table10[[#This Row],[Pcode]],'NFI Tracking'!AI$12:AI$1048576)</f>
        <v>0</v>
      </c>
      <c r="H98" s="335">
        <f>SUMIF('NFI Tracking'!AO$12:AO$1048576,Table10[[#This Row],[Pcode]],'NFI Tracking'!AJ$12:AJ$1048576)</f>
        <v>0</v>
      </c>
      <c r="I98" s="335">
        <f>SUMIF('NFI Tracking'!AO$12:AO$1048576,Table10[[#This Row],[Pcode]],'NFI Tracking'!AK$12:AK$1048576)</f>
        <v>0</v>
      </c>
      <c r="J98" s="335">
        <f ca="1">MAX(Table10[[#This Row],[HH]]*VLOOKUP("Winter Clothes Adult",NFI,6)-Table10[[#This Row],[Winter Clothes Adult ]],0)</f>
        <v>92</v>
      </c>
      <c r="K98" s="335">
        <f ca="1">MAX(Table10[[#This Row],[HH]]*VLOOKUP("Winter Clothes Children ",NFI,6)-Table10[[#This Row],[Winter Clothes Children ]],0)</f>
        <v>46</v>
      </c>
      <c r="L98" s="335">
        <f ca="1">MAX(Table10[[#This Row],[HH]]*VLOOKUP("Winter Items Other ",NFI,6)-Table10[[#This Row],[Winter Items Other ]],0)</f>
        <v>46</v>
      </c>
      <c r="M98" s="368" t="str">
        <f>IF(OR(Table10[[#This Row],[Winter Clothes Adult ]]&lt;&gt;0,Table10[[#This Row],[Winter Clothes Children ]]&lt;&gt;0,Table10[[#This Row],[Winter Items Other ]]&lt;&gt;0),"No","")</f>
        <v/>
      </c>
      <c r="N98" s="369">
        <f>COUNTIF(A:A,Table10[[#This Row],[Pcode]])-1</f>
        <v>0</v>
      </c>
    </row>
    <row r="99" spans="1:14" x14ac:dyDescent="0.25">
      <c r="A99" s="312" t="s">
        <v>887</v>
      </c>
      <c r="B99" s="25" t="str">
        <f ca="1">OFFSET(CampList[Priority],MATCH(Table10[[#This Row],[Pcode]],CampList[CP_Pcode],0)-1,0,1,1)</f>
        <v>P4</v>
      </c>
      <c r="C99" s="25" t="str">
        <f ca="1">OFFSET(CampList[Camp],MATCH(Table10[[#This Row],[Pcode]],CampList[CP_Pcode],0)-1,0,1,1)</f>
        <v>Maing Khaung</v>
      </c>
      <c r="D99" s="25" t="str">
        <f ca="1">OFFSET(CampList[Township],MATCH(Table10[[#This Row],[Pcode]],CampList[CP_Pcode],0)-1,0,1,1)</f>
        <v>Mansi</v>
      </c>
      <c r="E99" s="335">
        <f ca="1">OFFSET(CampList[HH],MATCH(Table10[[#This Row],[Pcode]],CampList[CP_Pcode],0)-1,0,1,1)</f>
        <v>390</v>
      </c>
      <c r="F99" s="335">
        <f ca="1">OFFSET(CampList[Total],MATCH(Table10[[#This Row],[Pcode]],CampList[CP_Pcode],0)-1,0,1,1)</f>
        <v>1672</v>
      </c>
      <c r="G99" s="335">
        <f>SUMIF('NFI Tracking'!AO$12:AO$1048576,Table10[[#This Row],[Pcode]],'NFI Tracking'!AI$12:AI$1048576)</f>
        <v>0</v>
      </c>
      <c r="H99" s="335">
        <f>SUMIF('NFI Tracking'!AO$12:AO$1048576,Table10[[#This Row],[Pcode]],'NFI Tracking'!AJ$12:AJ$1048576)</f>
        <v>0</v>
      </c>
      <c r="I99" s="335">
        <f>SUMIF('NFI Tracking'!AO$12:AO$1048576,Table10[[#This Row],[Pcode]],'NFI Tracking'!AK$12:AK$1048576)</f>
        <v>0</v>
      </c>
      <c r="J99" s="335">
        <f ca="1">MAX(Table10[[#This Row],[HH]]*VLOOKUP("Winter Clothes Adult",NFI,6)-Table10[[#This Row],[Winter Clothes Adult ]],0)</f>
        <v>780</v>
      </c>
      <c r="K99" s="335">
        <f ca="1">MAX(Table10[[#This Row],[HH]]*VLOOKUP("Winter Clothes Children ",NFI,6)-Table10[[#This Row],[Winter Clothes Children ]],0)</f>
        <v>390</v>
      </c>
      <c r="L99" s="335">
        <f ca="1">MAX(Table10[[#This Row],[HH]]*VLOOKUP("Winter Items Other ",NFI,6)-Table10[[#This Row],[Winter Items Other ]],0)</f>
        <v>390</v>
      </c>
      <c r="M99" s="368" t="str">
        <f>IF(OR(Table10[[#This Row],[Winter Clothes Adult ]]&lt;&gt;0,Table10[[#This Row],[Winter Clothes Children ]]&lt;&gt;0,Table10[[#This Row],[Winter Items Other ]]&lt;&gt;0),"No","")</f>
        <v/>
      </c>
      <c r="N99" s="369">
        <f>COUNTIF(A:A,Table10[[#This Row],[Pcode]])-1</f>
        <v>0</v>
      </c>
    </row>
    <row r="100" spans="1:14" x14ac:dyDescent="0.25">
      <c r="A100" s="312" t="s">
        <v>943</v>
      </c>
      <c r="B100" s="25" t="str">
        <f ca="1">OFFSET(CampList[Priority],MATCH(Table10[[#This Row],[Pcode]],CampList[CP_Pcode],0)-1,0,1,1)</f>
        <v>P4</v>
      </c>
      <c r="C100" s="25" t="str">
        <f ca="1">OFFSET(CampList[Camp],MATCH(Table10[[#This Row],[Pcode]],CampList[CP_Pcode],0)-1,0,1,1)</f>
        <v>Maing Khaung Catholic Church</v>
      </c>
      <c r="D100" s="25" t="str">
        <f ca="1">OFFSET(CampList[Township],MATCH(Table10[[#This Row],[Pcode]],CampList[CP_Pcode],0)-1,0,1,1)</f>
        <v>Mansi</v>
      </c>
      <c r="E100" s="335">
        <f ca="1">OFFSET(CampList[HH],MATCH(Table10[[#This Row],[Pcode]],CampList[CP_Pcode],0)-1,0,1,1)</f>
        <v>123</v>
      </c>
      <c r="F100" s="335">
        <f ca="1">OFFSET(CampList[Total],MATCH(Table10[[#This Row],[Pcode]],CampList[CP_Pcode],0)-1,0,1,1)</f>
        <v>582</v>
      </c>
      <c r="G100" s="335">
        <f>SUMIF('NFI Tracking'!AO$12:AO$1048576,Table10[[#This Row],[Pcode]],'NFI Tracking'!AI$12:AI$1048576)</f>
        <v>0</v>
      </c>
      <c r="H100" s="335">
        <f>SUMIF('NFI Tracking'!AO$12:AO$1048576,Table10[[#This Row],[Pcode]],'NFI Tracking'!AJ$12:AJ$1048576)</f>
        <v>0</v>
      </c>
      <c r="I100" s="335">
        <f>SUMIF('NFI Tracking'!AO$12:AO$1048576,Table10[[#This Row],[Pcode]],'NFI Tracking'!AK$12:AK$1048576)</f>
        <v>0</v>
      </c>
      <c r="J100" s="335">
        <f ca="1">MAX(Table10[[#This Row],[HH]]*VLOOKUP("Winter Clothes Adult",NFI,6)-Table10[[#This Row],[Winter Clothes Adult ]],0)</f>
        <v>246</v>
      </c>
      <c r="K100" s="335">
        <f ca="1">MAX(Table10[[#This Row],[HH]]*VLOOKUP("Winter Clothes Children ",NFI,6)-Table10[[#This Row],[Winter Clothes Children ]],0)</f>
        <v>123</v>
      </c>
      <c r="L100" s="335">
        <f ca="1">MAX(Table10[[#This Row],[HH]]*VLOOKUP("Winter Items Other ",NFI,6)-Table10[[#This Row],[Winter Items Other ]],0)</f>
        <v>123</v>
      </c>
      <c r="M100" s="368" t="str">
        <f>IF(OR(Table10[[#This Row],[Winter Clothes Adult ]]&lt;&gt;0,Table10[[#This Row],[Winter Clothes Children ]]&lt;&gt;0,Table10[[#This Row],[Winter Items Other ]]&lt;&gt;0),"No","")</f>
        <v/>
      </c>
      <c r="N100" s="369">
        <f>COUNTIF(A:A,Table10[[#This Row],[Pcode]])-1</f>
        <v>0</v>
      </c>
    </row>
    <row r="101" spans="1:14" x14ac:dyDescent="0.25">
      <c r="A101" s="312" t="s">
        <v>258</v>
      </c>
      <c r="B101" s="25" t="str">
        <f ca="1">OFFSET(CampList[Priority],MATCH(Table10[[#This Row],[Pcode]],CampList[CP_Pcode],0)-1,0,1,1)</f>
        <v>P4</v>
      </c>
      <c r="C101" s="25" t="str">
        <f ca="1">OFFSET(CampList[Camp],MATCH(Table10[[#This Row],[Pcode]],CampList[CP_Pcode],0)-1,0,1,1)</f>
        <v>Maliyang Baptist Church</v>
      </c>
      <c r="D101" s="25" t="str">
        <f ca="1">OFFSET(CampList[Township],MATCH(Table10[[#This Row],[Pcode]],CampList[CP_Pcode],0)-1,0,1,1)</f>
        <v>Myitkyina</v>
      </c>
      <c r="E101" s="335">
        <f ca="1">OFFSET(CampList[HH],MATCH(Table10[[#This Row],[Pcode]],CampList[CP_Pcode],0)-1,0,1,1)</f>
        <v>60</v>
      </c>
      <c r="F101" s="335">
        <f ca="1">OFFSET(CampList[Total],MATCH(Table10[[#This Row],[Pcode]],CampList[CP_Pcode],0)-1,0,1,1)</f>
        <v>293</v>
      </c>
      <c r="G101" s="335">
        <f>SUMIF('NFI Tracking'!AO$12:AO$1048576,Table10[[#This Row],[Pcode]],'NFI Tracking'!AI$12:AI$1048576)</f>
        <v>0</v>
      </c>
      <c r="H101" s="335">
        <f>SUMIF('NFI Tracking'!AO$12:AO$1048576,Table10[[#This Row],[Pcode]],'NFI Tracking'!AJ$12:AJ$1048576)</f>
        <v>0</v>
      </c>
      <c r="I101" s="335">
        <f>SUMIF('NFI Tracking'!AO$12:AO$1048576,Table10[[#This Row],[Pcode]],'NFI Tracking'!AK$12:AK$1048576)</f>
        <v>0</v>
      </c>
      <c r="J101" s="335">
        <f ca="1">MAX(Table10[[#This Row],[HH]]*VLOOKUP("Winter Clothes Adult",NFI,6)-Table10[[#This Row],[Winter Clothes Adult ]],0)</f>
        <v>120</v>
      </c>
      <c r="K101" s="335">
        <f ca="1">MAX(Table10[[#This Row],[HH]]*VLOOKUP("Winter Clothes Children ",NFI,6)-Table10[[#This Row],[Winter Clothes Children ]],0)</f>
        <v>60</v>
      </c>
      <c r="L101" s="335">
        <f ca="1">MAX(Table10[[#This Row],[HH]]*VLOOKUP("Winter Items Other ",NFI,6)-Table10[[#This Row],[Winter Items Other ]],0)</f>
        <v>60</v>
      </c>
      <c r="M101" s="368" t="str">
        <f>IF(OR(Table10[[#This Row],[Winter Clothes Adult ]]&lt;&gt;0,Table10[[#This Row],[Winter Clothes Children ]]&lt;&gt;0,Table10[[#This Row],[Winter Items Other ]]&lt;&gt;0),"No","")</f>
        <v/>
      </c>
      <c r="N101" s="369">
        <f>COUNTIF(A:A,Table10[[#This Row],[Pcode]])-1</f>
        <v>0</v>
      </c>
    </row>
    <row r="102" spans="1:14" x14ac:dyDescent="0.25">
      <c r="A102" s="312" t="s">
        <v>201</v>
      </c>
      <c r="B102" s="25" t="str">
        <f ca="1">OFFSET(CampList[Priority],MATCH(Table10[[#This Row],[Pcode]],CampList[CP_Pcode],0)-1,0,1,1)</f>
        <v>P4</v>
      </c>
      <c r="C102" s="25" t="str">
        <f ca="1">OFFSET(CampList[Camp],MATCH(Table10[[#This Row],[Pcode]],CampList[CP_Pcode],0)-1,0,1,1)</f>
        <v>Man Bung Catholic compound</v>
      </c>
      <c r="D102" s="25" t="str">
        <f ca="1">OFFSET(CampList[Township],MATCH(Table10[[#This Row],[Pcode]],CampList[CP_Pcode],0)-1,0,1,1)</f>
        <v>Momauk</v>
      </c>
      <c r="E102" s="335">
        <f ca="1">OFFSET(CampList[HH],MATCH(Table10[[#This Row],[Pcode]],CampList[CP_Pcode],0)-1,0,1,1)</f>
        <v>261</v>
      </c>
      <c r="F102" s="335">
        <f ca="1">OFFSET(CampList[Total],MATCH(Table10[[#This Row],[Pcode]],CampList[CP_Pcode],0)-1,0,1,1)</f>
        <v>1155</v>
      </c>
      <c r="G102" s="335">
        <f>SUMIF('NFI Tracking'!AO$12:AO$1048576,Table10[[#This Row],[Pcode]],'NFI Tracking'!AI$12:AI$1048576)</f>
        <v>0</v>
      </c>
      <c r="H102" s="335">
        <f>SUMIF('NFI Tracking'!AO$12:AO$1048576,Table10[[#This Row],[Pcode]],'NFI Tracking'!AJ$12:AJ$1048576)</f>
        <v>0</v>
      </c>
      <c r="I102" s="335">
        <f>SUMIF('NFI Tracking'!AO$12:AO$1048576,Table10[[#This Row],[Pcode]],'NFI Tracking'!AK$12:AK$1048576)</f>
        <v>0</v>
      </c>
      <c r="J102" s="335">
        <f ca="1">MAX(Table10[[#This Row],[HH]]*VLOOKUP("Winter Clothes Adult",NFI,6)-Table10[[#This Row],[Winter Clothes Adult ]],0)</f>
        <v>522</v>
      </c>
      <c r="K102" s="335">
        <f ca="1">MAX(Table10[[#This Row],[HH]]*VLOOKUP("Winter Clothes Children ",NFI,6)-Table10[[#This Row],[Winter Clothes Children ]],0)</f>
        <v>261</v>
      </c>
      <c r="L102" s="335">
        <f ca="1">MAX(Table10[[#This Row],[HH]]*VLOOKUP("Winter Items Other ",NFI,6)-Table10[[#This Row],[Winter Items Other ]],0)</f>
        <v>261</v>
      </c>
      <c r="M102" s="368" t="str">
        <f>IF(OR(Table10[[#This Row],[Winter Clothes Adult ]]&lt;&gt;0,Table10[[#This Row],[Winter Clothes Children ]]&lt;&gt;0,Table10[[#This Row],[Winter Items Other ]]&lt;&gt;0),"No","")</f>
        <v/>
      </c>
      <c r="N102" s="369">
        <f>COUNTIF(A:A,Table10[[#This Row],[Pcode]])-1</f>
        <v>0</v>
      </c>
    </row>
    <row r="103" spans="1:14" x14ac:dyDescent="0.25">
      <c r="A103" s="312" t="s">
        <v>260</v>
      </c>
      <c r="B103" s="25" t="str">
        <f ca="1">OFFSET(CampList[Priority],MATCH(Table10[[#This Row],[Pcode]],CampList[CP_Pcode],0)-1,0,1,1)</f>
        <v>P4</v>
      </c>
      <c r="C103" s="25" t="str">
        <f ca="1">OFFSET(CampList[Camp],MATCH(Table10[[#This Row],[Pcode]],CampList[CP_Pcode],0)-1,0,1,1)</f>
        <v>Man Hkring Baptist Church</v>
      </c>
      <c r="D103" s="25" t="str">
        <f ca="1">OFFSET(CampList[Township],MATCH(Table10[[#This Row],[Pcode]],CampList[CP_Pcode],0)-1,0,1,1)</f>
        <v>Myitkyina</v>
      </c>
      <c r="E103" s="335">
        <f ca="1">OFFSET(CampList[HH],MATCH(Table10[[#This Row],[Pcode]],CampList[CP_Pcode],0)-1,0,1,1)</f>
        <v>99</v>
      </c>
      <c r="F103" s="335">
        <f ca="1">OFFSET(CampList[Total],MATCH(Table10[[#This Row],[Pcode]],CampList[CP_Pcode],0)-1,0,1,1)</f>
        <v>537</v>
      </c>
      <c r="G103" s="335">
        <f>SUMIF('NFI Tracking'!AO$12:AO$1048576,Table10[[#This Row],[Pcode]],'NFI Tracking'!AI$12:AI$1048576)</f>
        <v>0</v>
      </c>
      <c r="H103" s="335">
        <f>SUMIF('NFI Tracking'!AO$12:AO$1048576,Table10[[#This Row],[Pcode]],'NFI Tracking'!AJ$12:AJ$1048576)</f>
        <v>0</v>
      </c>
      <c r="I103" s="335">
        <f>SUMIF('NFI Tracking'!AO$12:AO$1048576,Table10[[#This Row],[Pcode]],'NFI Tracking'!AK$12:AK$1048576)</f>
        <v>0</v>
      </c>
      <c r="J103" s="335">
        <f ca="1">MAX(Table10[[#This Row],[HH]]*VLOOKUP("Winter Clothes Adult",NFI,6)-Table10[[#This Row],[Winter Clothes Adult ]],0)</f>
        <v>198</v>
      </c>
      <c r="K103" s="335">
        <f ca="1">MAX(Table10[[#This Row],[HH]]*VLOOKUP("Winter Clothes Children ",NFI,6)-Table10[[#This Row],[Winter Clothes Children ]],0)</f>
        <v>99</v>
      </c>
      <c r="L103" s="335">
        <f ca="1">MAX(Table10[[#This Row],[HH]]*VLOOKUP("Winter Items Other ",NFI,6)-Table10[[#This Row],[Winter Items Other ]],0)</f>
        <v>99</v>
      </c>
      <c r="M103" s="368" t="str">
        <f>IF(OR(Table10[[#This Row],[Winter Clothes Adult ]]&lt;&gt;0,Table10[[#This Row],[Winter Clothes Children ]]&lt;&gt;0,Table10[[#This Row],[Winter Items Other ]]&lt;&gt;0),"No","")</f>
        <v/>
      </c>
      <c r="N103" s="369">
        <f>COUNTIF(A:A,Table10[[#This Row],[Pcode]])-1</f>
        <v>0</v>
      </c>
    </row>
    <row r="104" spans="1:14" x14ac:dyDescent="0.25">
      <c r="A104" s="312" t="s">
        <v>203</v>
      </c>
      <c r="B104" s="25" t="str">
        <f ca="1">OFFSET(CampList[Priority],MATCH(Table10[[#This Row],[Pcode]],CampList[CP_Pcode],0)-1,0,1,1)</f>
        <v>P4</v>
      </c>
      <c r="C104" s="25" t="str">
        <f ca="1">OFFSET(CampList[Camp],MATCH(Table10[[#This Row],[Pcode]],CampList[CP_Pcode],0)-1,0,1,1)</f>
        <v xml:space="preserve">Man Nawng </v>
      </c>
      <c r="D104" s="25" t="str">
        <f ca="1">OFFSET(CampList[Township],MATCH(Table10[[#This Row],[Pcode]],CampList[CP_Pcode],0)-1,0,1,1)</f>
        <v>Momauk</v>
      </c>
      <c r="E104" s="335">
        <f ca="1">OFFSET(CampList[HH],MATCH(Table10[[#This Row],[Pcode]],CampList[CP_Pcode],0)-1,0,1,1)</f>
        <v>28</v>
      </c>
      <c r="F104" s="335">
        <f ca="1">OFFSET(CampList[Total],MATCH(Table10[[#This Row],[Pcode]],CampList[CP_Pcode],0)-1,0,1,1)</f>
        <v>136</v>
      </c>
      <c r="G104" s="335">
        <f>SUMIF('NFI Tracking'!AO$12:AO$1048576,Table10[[#This Row],[Pcode]],'NFI Tracking'!AI$12:AI$1048576)</f>
        <v>0</v>
      </c>
      <c r="H104" s="335">
        <f>SUMIF('NFI Tracking'!AO$12:AO$1048576,Table10[[#This Row],[Pcode]],'NFI Tracking'!AJ$12:AJ$1048576)</f>
        <v>0</v>
      </c>
      <c r="I104" s="335">
        <f>SUMIF('NFI Tracking'!AO$12:AO$1048576,Table10[[#This Row],[Pcode]],'NFI Tracking'!AK$12:AK$1048576)</f>
        <v>0</v>
      </c>
      <c r="J104" s="335">
        <f ca="1">MAX(Table10[[#This Row],[HH]]*VLOOKUP("Winter Clothes Adult",NFI,6)-Table10[[#This Row],[Winter Clothes Adult ]],0)</f>
        <v>56</v>
      </c>
      <c r="K104" s="335">
        <f ca="1">MAX(Table10[[#This Row],[HH]]*VLOOKUP("Winter Clothes Children ",NFI,6)-Table10[[#This Row],[Winter Clothes Children ]],0)</f>
        <v>28</v>
      </c>
      <c r="L104" s="335">
        <f ca="1">MAX(Table10[[#This Row],[HH]]*VLOOKUP("Winter Items Other ",NFI,6)-Table10[[#This Row],[Winter Items Other ]],0)</f>
        <v>28</v>
      </c>
      <c r="M104" s="368" t="str">
        <f>IF(OR(Table10[[#This Row],[Winter Clothes Adult ]]&lt;&gt;0,Table10[[#This Row],[Winter Clothes Children ]]&lt;&gt;0,Table10[[#This Row],[Winter Items Other ]]&lt;&gt;0),"No","")</f>
        <v/>
      </c>
      <c r="N104" s="369">
        <f>COUNTIF(A:A,Table10[[#This Row],[Pcode]])-1</f>
        <v>0</v>
      </c>
    </row>
    <row r="105" spans="1:14" x14ac:dyDescent="0.25">
      <c r="A105" s="312" t="s">
        <v>392</v>
      </c>
      <c r="B105" s="25" t="str">
        <f ca="1">OFFSET(CampList[Priority],MATCH(Table10[[#This Row],[Pcode]],CampList[CP_Pcode],0)-1,0,1,1)</f>
        <v>P4</v>
      </c>
      <c r="C105" s="25" t="str">
        <f ca="1">OFFSET(CampList[Camp],MATCH(Table10[[#This Row],[Pcode]],CampList[CP_Pcode],0)-1,0,1,1)</f>
        <v>Man Ting</v>
      </c>
      <c r="D105" s="25" t="str">
        <f ca="1">OFFSET(CampList[Township],MATCH(Table10[[#This Row],[Pcode]],CampList[CP_Pcode],0)-1,0,1,1)</f>
        <v>Momauk</v>
      </c>
      <c r="E105" s="335">
        <f ca="1">OFFSET(CampList[HH],MATCH(Table10[[#This Row],[Pcode]],CampList[CP_Pcode],0)-1,0,1,1)</f>
        <v>0</v>
      </c>
      <c r="F105" s="335">
        <f ca="1">OFFSET(CampList[Total],MATCH(Table10[[#This Row],[Pcode]],CampList[CP_Pcode],0)-1,0,1,1)</f>
        <v>0</v>
      </c>
      <c r="G105" s="335">
        <f>SUMIF('NFI Tracking'!AO$12:AO$1048576,Table10[[#This Row],[Pcode]],'NFI Tracking'!AI$12:AI$1048576)</f>
        <v>0</v>
      </c>
      <c r="H105" s="335">
        <f>SUMIF('NFI Tracking'!AO$12:AO$1048576,Table10[[#This Row],[Pcode]],'NFI Tracking'!AJ$12:AJ$1048576)</f>
        <v>0</v>
      </c>
      <c r="I105" s="335">
        <f>SUMIF('NFI Tracking'!AO$12:AO$1048576,Table10[[#This Row],[Pcode]],'NFI Tracking'!AK$12:AK$1048576)</f>
        <v>0</v>
      </c>
      <c r="J105" s="335">
        <f ca="1">MAX(Table10[[#This Row],[HH]]*VLOOKUP("Winter Clothes Adult",NFI,6)-Table10[[#This Row],[Winter Clothes Adult ]],0)</f>
        <v>0</v>
      </c>
      <c r="K105" s="335">
        <f ca="1">MAX(Table10[[#This Row],[HH]]*VLOOKUP("Winter Clothes Children ",NFI,6)-Table10[[#This Row],[Winter Clothes Children ]],0)</f>
        <v>0</v>
      </c>
      <c r="L105" s="335">
        <f ca="1">MAX(Table10[[#This Row],[HH]]*VLOOKUP("Winter Items Other ",NFI,6)-Table10[[#This Row],[Winter Items Other ]],0)</f>
        <v>0</v>
      </c>
      <c r="M105" s="368" t="str">
        <f>IF(OR(Table10[[#This Row],[Winter Clothes Adult ]]&lt;&gt;0,Table10[[#This Row],[Winter Clothes Children ]]&lt;&gt;0,Table10[[#This Row],[Winter Items Other ]]&lt;&gt;0),"No","")</f>
        <v/>
      </c>
      <c r="N105" s="369">
        <f>COUNTIF(A:A,Table10[[#This Row],[Pcode]])-1</f>
        <v>0</v>
      </c>
    </row>
    <row r="106" spans="1:14" x14ac:dyDescent="0.25">
      <c r="A106" s="312" t="s">
        <v>159</v>
      </c>
      <c r="B106" s="25" t="str">
        <f ca="1">OFFSET(CampList[Priority],MATCH(Table10[[#This Row],[Pcode]],CampList[CP_Pcode],0)-1,0,1,1)</f>
        <v>P4</v>
      </c>
      <c r="C106" s="25" t="str">
        <f ca="1">OFFSET(CampList[Camp],MATCH(Table10[[#This Row],[Pcode]],CampList[CP_Pcode],0)-1,0,1,1)</f>
        <v>Man Wing Baptist Church</v>
      </c>
      <c r="D106" s="25" t="str">
        <f ca="1">OFFSET(CampList[Township],MATCH(Table10[[#This Row],[Pcode]],CampList[CP_Pcode],0)-1,0,1,1)</f>
        <v>Mansi</v>
      </c>
      <c r="E106" s="335">
        <f ca="1">OFFSET(CampList[HH],MATCH(Table10[[#This Row],[Pcode]],CampList[CP_Pcode],0)-1,0,1,1)</f>
        <v>107</v>
      </c>
      <c r="F106" s="335">
        <f ca="1">OFFSET(CampList[Total],MATCH(Table10[[#This Row],[Pcode]],CampList[CP_Pcode],0)-1,0,1,1)</f>
        <v>525</v>
      </c>
      <c r="G106" s="335">
        <f>SUMIF('NFI Tracking'!AO$12:AO$1048576,Table10[[#This Row],[Pcode]],'NFI Tracking'!AI$12:AI$1048576)</f>
        <v>0</v>
      </c>
      <c r="H106" s="335">
        <f>SUMIF('NFI Tracking'!AO$12:AO$1048576,Table10[[#This Row],[Pcode]],'NFI Tracking'!AJ$12:AJ$1048576)</f>
        <v>0</v>
      </c>
      <c r="I106" s="335">
        <f>SUMIF('NFI Tracking'!AO$12:AO$1048576,Table10[[#This Row],[Pcode]],'NFI Tracking'!AK$12:AK$1048576)</f>
        <v>0</v>
      </c>
      <c r="J106" s="335">
        <f ca="1">MAX(Table10[[#This Row],[HH]]*VLOOKUP("Winter Clothes Adult",NFI,6)-Table10[[#This Row],[Winter Clothes Adult ]],0)</f>
        <v>214</v>
      </c>
      <c r="K106" s="335">
        <f ca="1">MAX(Table10[[#This Row],[HH]]*VLOOKUP("Winter Clothes Children ",NFI,6)-Table10[[#This Row],[Winter Clothes Children ]],0)</f>
        <v>107</v>
      </c>
      <c r="L106" s="335">
        <f ca="1">MAX(Table10[[#This Row],[HH]]*VLOOKUP("Winter Items Other ",NFI,6)-Table10[[#This Row],[Winter Items Other ]],0)</f>
        <v>107</v>
      </c>
      <c r="M106" s="368" t="str">
        <f>IF(OR(Table10[[#This Row],[Winter Clothes Adult ]]&lt;&gt;0,Table10[[#This Row],[Winter Clothes Children ]]&lt;&gt;0,Table10[[#This Row],[Winter Items Other ]]&lt;&gt;0),"No","")</f>
        <v/>
      </c>
      <c r="N106" s="369">
        <f>COUNTIF(A:A,Table10[[#This Row],[Pcode]])-1</f>
        <v>0</v>
      </c>
    </row>
    <row r="107" spans="1:14" x14ac:dyDescent="0.25">
      <c r="A107" s="312" t="s">
        <v>153</v>
      </c>
      <c r="B107" s="25" t="str">
        <f ca="1">OFFSET(CampList[Priority],MATCH(Table10[[#This Row],[Pcode]],CampList[CP_Pcode],0)-1,0,1,1)</f>
        <v>P4</v>
      </c>
      <c r="C107" s="25" t="str">
        <f ca="1">OFFSET(CampList[Camp],MATCH(Table10[[#This Row],[Pcode]],CampList[CP_Pcode],0)-1,0,1,1)</f>
        <v>Man Wing Catholic Church</v>
      </c>
      <c r="D107" s="25" t="str">
        <f ca="1">OFFSET(CampList[Township],MATCH(Table10[[#This Row],[Pcode]],CampList[CP_Pcode],0)-1,0,1,1)</f>
        <v>Mansi</v>
      </c>
      <c r="E107" s="335">
        <f ca="1">OFFSET(CampList[HH],MATCH(Table10[[#This Row],[Pcode]],CampList[CP_Pcode],0)-1,0,1,1)</f>
        <v>458</v>
      </c>
      <c r="F107" s="335">
        <f ca="1">OFFSET(CampList[Total],MATCH(Table10[[#This Row],[Pcode]],CampList[CP_Pcode],0)-1,0,1,1)</f>
        <v>2139</v>
      </c>
      <c r="G107" s="335">
        <f>SUMIF('NFI Tracking'!AO$12:AO$1048576,Table10[[#This Row],[Pcode]],'NFI Tracking'!AI$12:AI$1048576)</f>
        <v>0</v>
      </c>
      <c r="H107" s="335">
        <f>SUMIF('NFI Tracking'!AO$12:AO$1048576,Table10[[#This Row],[Pcode]],'NFI Tracking'!AJ$12:AJ$1048576)</f>
        <v>0</v>
      </c>
      <c r="I107" s="335">
        <f>SUMIF('NFI Tracking'!AO$12:AO$1048576,Table10[[#This Row],[Pcode]],'NFI Tracking'!AK$12:AK$1048576)</f>
        <v>0</v>
      </c>
      <c r="J107" s="335">
        <f ca="1">MAX(Table10[[#This Row],[HH]]*VLOOKUP("Winter Clothes Adult",NFI,6)-Table10[[#This Row],[Winter Clothes Adult ]],0)</f>
        <v>916</v>
      </c>
      <c r="K107" s="335">
        <f ca="1">MAX(Table10[[#This Row],[HH]]*VLOOKUP("Winter Clothes Children ",NFI,6)-Table10[[#This Row],[Winter Clothes Children ]],0)</f>
        <v>458</v>
      </c>
      <c r="L107" s="335">
        <f ca="1">MAX(Table10[[#This Row],[HH]]*VLOOKUP("Winter Items Other ",NFI,6)-Table10[[#This Row],[Winter Items Other ]],0)</f>
        <v>458</v>
      </c>
      <c r="M107" s="368" t="str">
        <f>IF(OR(Table10[[#This Row],[Winter Clothes Adult ]]&lt;&gt;0,Table10[[#This Row],[Winter Clothes Children ]]&lt;&gt;0,Table10[[#This Row],[Winter Items Other ]]&lt;&gt;0),"No","")</f>
        <v/>
      </c>
      <c r="N107" s="369">
        <f>COUNTIF(A:A,Table10[[#This Row],[Pcode]])-1</f>
        <v>0</v>
      </c>
    </row>
    <row r="108" spans="1:14" x14ac:dyDescent="0.25">
      <c r="A108" s="312" t="s">
        <v>1064</v>
      </c>
      <c r="B108" s="25" t="str">
        <f ca="1">OFFSET(CampList[Priority],MATCH(Table10[[#This Row],[Pcode]],CampList[CP_Pcode],0)-1,0,1,1)</f>
        <v>P4</v>
      </c>
      <c r="C108" s="25" t="str">
        <f ca="1">OFFSET(CampList[Camp],MATCH(Table10[[#This Row],[Pcode]],CampList[CP_Pcode],0)-1,0,1,1)</f>
        <v>Man Wing Catholic Church II</v>
      </c>
      <c r="D108" s="25" t="str">
        <f ca="1">OFFSET(CampList[Township],MATCH(Table10[[#This Row],[Pcode]],CampList[CP_Pcode],0)-1,0,1,1)</f>
        <v>Mansi</v>
      </c>
      <c r="E108" s="335">
        <f ca="1">OFFSET(CampList[HH],MATCH(Table10[[#This Row],[Pcode]],CampList[CP_Pcode],0)-1,0,1,1)</f>
        <v>123</v>
      </c>
      <c r="F108" s="335">
        <f ca="1">OFFSET(CampList[Total],MATCH(Table10[[#This Row],[Pcode]],CampList[CP_Pcode],0)-1,0,1,1)</f>
        <v>555</v>
      </c>
      <c r="G108" s="335">
        <f>SUMIF('NFI Tracking'!AO$12:AO$1048576,Table10[[#This Row],[Pcode]],'NFI Tracking'!AI$12:AI$1048576)</f>
        <v>0</v>
      </c>
      <c r="H108" s="335">
        <f>SUMIF('NFI Tracking'!AO$12:AO$1048576,Table10[[#This Row],[Pcode]],'NFI Tracking'!AJ$12:AJ$1048576)</f>
        <v>0</v>
      </c>
      <c r="I108" s="335">
        <f>SUMIF('NFI Tracking'!AO$12:AO$1048576,Table10[[#This Row],[Pcode]],'NFI Tracking'!AK$12:AK$1048576)</f>
        <v>0</v>
      </c>
      <c r="J108" s="335">
        <f ca="1">MAX(Table10[[#This Row],[HH]]*VLOOKUP("Winter Clothes Adult",NFI,6)-Table10[[#This Row],[Winter Clothes Adult ]],0)</f>
        <v>246</v>
      </c>
      <c r="K108" s="335">
        <f ca="1">MAX(Table10[[#This Row],[HH]]*VLOOKUP("Winter Clothes Children ",NFI,6)-Table10[[#This Row],[Winter Clothes Children ]],0)</f>
        <v>123</v>
      </c>
      <c r="L108" s="335">
        <f ca="1">MAX(Table10[[#This Row],[HH]]*VLOOKUP("Winter Items Other ",NFI,6)-Table10[[#This Row],[Winter Items Other ]],0)</f>
        <v>123</v>
      </c>
      <c r="M108" s="368" t="str">
        <f>IF(OR(Table10[[#This Row],[Winter Clothes Adult ]]&lt;&gt;0,Table10[[#This Row],[Winter Clothes Children ]]&lt;&gt;0,Table10[[#This Row],[Winter Items Other ]]&lt;&gt;0),"No","")</f>
        <v/>
      </c>
      <c r="N108" s="369">
        <f>COUNTIF(A:A,Table10[[#This Row],[Pcode]])-1</f>
        <v>0</v>
      </c>
    </row>
    <row r="109" spans="1:14" x14ac:dyDescent="0.25">
      <c r="A109" s="312" t="s">
        <v>155</v>
      </c>
      <c r="B109" s="25" t="str">
        <f ca="1">OFFSET(CampList[Priority],MATCH(Table10[[#This Row],[Pcode]],CampList[CP_Pcode],0)-1,0,1,1)</f>
        <v>P4</v>
      </c>
      <c r="C109" s="25" t="str">
        <f ca="1">OFFSET(CampList[Camp],MATCH(Table10[[#This Row],[Pcode]],CampList[CP_Pcode],0)-1,0,1,1)</f>
        <v>Man Wing Host Families</v>
      </c>
      <c r="D109" s="25" t="str">
        <f ca="1">OFFSET(CampList[Township],MATCH(Table10[[#This Row],[Pcode]],CampList[CP_Pcode],0)-1,0,1,1)</f>
        <v>Mansi</v>
      </c>
      <c r="E109" s="335">
        <f ca="1">OFFSET(CampList[HH],MATCH(Table10[[#This Row],[Pcode]],CampList[CP_Pcode],0)-1,0,1,1)</f>
        <v>175</v>
      </c>
      <c r="F109" s="335">
        <f ca="1">OFFSET(CampList[Total],MATCH(Table10[[#This Row],[Pcode]],CampList[CP_Pcode],0)-1,0,1,1)</f>
        <v>834</v>
      </c>
      <c r="G109" s="335">
        <f>SUMIF('NFI Tracking'!AO$12:AO$1048576,Table10[[#This Row],[Pcode]],'NFI Tracking'!AI$12:AI$1048576)</f>
        <v>0</v>
      </c>
      <c r="H109" s="335">
        <f>SUMIF('NFI Tracking'!AO$12:AO$1048576,Table10[[#This Row],[Pcode]],'NFI Tracking'!AJ$12:AJ$1048576)</f>
        <v>0</v>
      </c>
      <c r="I109" s="335">
        <f>SUMIF('NFI Tracking'!AO$12:AO$1048576,Table10[[#This Row],[Pcode]],'NFI Tracking'!AK$12:AK$1048576)</f>
        <v>0</v>
      </c>
      <c r="J109" s="335">
        <f ca="1">MAX(Table10[[#This Row],[HH]]*VLOOKUP("Winter Clothes Adult",NFI,6)-Table10[[#This Row],[Winter Clothes Adult ]],0)</f>
        <v>350</v>
      </c>
      <c r="K109" s="335">
        <f ca="1">MAX(Table10[[#This Row],[HH]]*VLOOKUP("Winter Clothes Children ",NFI,6)-Table10[[#This Row],[Winter Clothes Children ]],0)</f>
        <v>175</v>
      </c>
      <c r="L109" s="335">
        <f ca="1">MAX(Table10[[#This Row],[HH]]*VLOOKUP("Winter Items Other ",NFI,6)-Table10[[#This Row],[Winter Items Other ]],0)</f>
        <v>175</v>
      </c>
      <c r="M109" s="368" t="str">
        <f>IF(OR(Table10[[#This Row],[Winter Clothes Adult ]]&lt;&gt;0,Table10[[#This Row],[Winter Clothes Children ]]&lt;&gt;0,Table10[[#This Row],[Winter Items Other ]]&lt;&gt;0),"No","")</f>
        <v/>
      </c>
      <c r="N109" s="369">
        <f>COUNTIF(A:A,Table10[[#This Row],[Pcode]])-1</f>
        <v>0</v>
      </c>
    </row>
    <row r="110" spans="1:14" x14ac:dyDescent="0.25">
      <c r="A110" s="312" t="s">
        <v>206</v>
      </c>
      <c r="B110" s="25" t="str">
        <f ca="1">OFFSET(CampList[Priority],MATCH(Table10[[#This Row],[Pcode]],CampList[CP_Pcode],0)-1,0,1,1)</f>
        <v>P4</v>
      </c>
      <c r="C110" s="25" t="str">
        <f ca="1">OFFSET(CampList[Camp],MATCH(Table10[[#This Row],[Pcode]],CampList[CP_Pcode],0)-1,0,1,1)</f>
        <v>Mandalay Monestry</v>
      </c>
      <c r="D110" s="25" t="str">
        <f ca="1">OFFSET(CampList[Township],MATCH(Table10[[#This Row],[Pcode]],CampList[CP_Pcode],0)-1,0,1,1)</f>
        <v>Momauk</v>
      </c>
      <c r="E110" s="335">
        <f ca="1">OFFSET(CampList[HH],MATCH(Table10[[#This Row],[Pcode]],CampList[CP_Pcode],0)-1,0,1,1)</f>
        <v>0</v>
      </c>
      <c r="F110" s="335">
        <f ca="1">OFFSET(CampList[Total],MATCH(Table10[[#This Row],[Pcode]],CampList[CP_Pcode],0)-1,0,1,1)</f>
        <v>0</v>
      </c>
      <c r="G110" s="335">
        <f>SUMIF('NFI Tracking'!AO$12:AO$1048576,Table10[[#This Row],[Pcode]],'NFI Tracking'!AI$12:AI$1048576)</f>
        <v>0</v>
      </c>
      <c r="H110" s="335">
        <f>SUMIF('NFI Tracking'!AO$12:AO$1048576,Table10[[#This Row],[Pcode]],'NFI Tracking'!AJ$12:AJ$1048576)</f>
        <v>0</v>
      </c>
      <c r="I110" s="335">
        <f>SUMIF('NFI Tracking'!AO$12:AO$1048576,Table10[[#This Row],[Pcode]],'NFI Tracking'!AK$12:AK$1048576)</f>
        <v>0</v>
      </c>
      <c r="J110" s="335">
        <f ca="1">MAX(Table10[[#This Row],[HH]]*VLOOKUP("Winter Clothes Adult",NFI,6)-Table10[[#This Row],[Winter Clothes Adult ]],0)</f>
        <v>0</v>
      </c>
      <c r="K110" s="335">
        <f ca="1">MAX(Table10[[#This Row],[HH]]*VLOOKUP("Winter Clothes Children ",NFI,6)-Table10[[#This Row],[Winter Clothes Children ]],0)</f>
        <v>0</v>
      </c>
      <c r="L110" s="335">
        <f ca="1">MAX(Table10[[#This Row],[HH]]*VLOOKUP("Winter Items Other ",NFI,6)-Table10[[#This Row],[Winter Items Other ]],0)</f>
        <v>0</v>
      </c>
      <c r="M110" s="368" t="str">
        <f>IF(OR(Table10[[#This Row],[Winter Clothes Adult ]]&lt;&gt;0,Table10[[#This Row],[Winter Clothes Children ]]&lt;&gt;0,Table10[[#This Row],[Winter Items Other ]]&lt;&gt;0),"No","")</f>
        <v/>
      </c>
      <c r="N110" s="369">
        <f>COUNTIF(A:A,Table10[[#This Row],[Pcode]])-1</f>
        <v>0</v>
      </c>
    </row>
    <row r="111" spans="1:14" x14ac:dyDescent="0.25">
      <c r="A111" s="312" t="s">
        <v>175</v>
      </c>
      <c r="B111" s="25" t="str">
        <f ca="1">OFFSET(CampList[Priority],MATCH(Table10[[#This Row],[Pcode]],CampList[CP_Pcode],0)-1,0,1,1)</f>
        <v>P4</v>
      </c>
      <c r="C111" s="25" t="str">
        <f ca="1">OFFSET(CampList[Camp],MATCH(Table10[[#This Row],[Pcode]],CampList[CP_Pcode],0)-1,0,1,1)</f>
        <v>Mang Hawng Baptist Church</v>
      </c>
      <c r="D111" s="25" t="str">
        <f ca="1">OFFSET(CampList[Township],MATCH(Table10[[#This Row],[Pcode]],CampList[CP_Pcode],0)-1,0,1,1)</f>
        <v>Mogaung</v>
      </c>
      <c r="E111" s="335">
        <f ca="1">OFFSET(CampList[HH],MATCH(Table10[[#This Row],[Pcode]],CampList[CP_Pcode],0)-1,0,1,1)</f>
        <v>16</v>
      </c>
      <c r="F111" s="335">
        <f ca="1">OFFSET(CampList[Total],MATCH(Table10[[#This Row],[Pcode]],CampList[CP_Pcode],0)-1,0,1,1)</f>
        <v>71</v>
      </c>
      <c r="G111" s="335">
        <f>SUMIF('NFI Tracking'!AO$12:AO$1048576,Table10[[#This Row],[Pcode]],'NFI Tracking'!AI$12:AI$1048576)</f>
        <v>0</v>
      </c>
      <c r="H111" s="335">
        <f>SUMIF('NFI Tracking'!AO$12:AO$1048576,Table10[[#This Row],[Pcode]],'NFI Tracking'!AJ$12:AJ$1048576)</f>
        <v>0</v>
      </c>
      <c r="I111" s="335">
        <f>SUMIF('NFI Tracking'!AO$12:AO$1048576,Table10[[#This Row],[Pcode]],'NFI Tracking'!AK$12:AK$1048576)</f>
        <v>0</v>
      </c>
      <c r="J111" s="335">
        <f ca="1">MAX(Table10[[#This Row],[HH]]*VLOOKUP("Winter Clothes Adult",NFI,6)-Table10[[#This Row],[Winter Clothes Adult ]],0)</f>
        <v>32</v>
      </c>
      <c r="K111" s="335">
        <f ca="1">MAX(Table10[[#This Row],[HH]]*VLOOKUP("Winter Clothes Children ",NFI,6)-Table10[[#This Row],[Winter Clothes Children ]],0)</f>
        <v>16</v>
      </c>
      <c r="L111" s="335">
        <f ca="1">MAX(Table10[[#This Row],[HH]]*VLOOKUP("Winter Items Other ",NFI,6)-Table10[[#This Row],[Winter Items Other ]],0)</f>
        <v>16</v>
      </c>
      <c r="M111" s="368" t="str">
        <f>IF(OR(Table10[[#This Row],[Winter Clothes Adult ]]&lt;&gt;0,Table10[[#This Row],[Winter Clothes Children ]]&lt;&gt;0,Table10[[#This Row],[Winter Items Other ]]&lt;&gt;0),"No","")</f>
        <v/>
      </c>
      <c r="N111" s="369">
        <f>COUNTIF(A:A,Table10[[#This Row],[Pcode]])-1</f>
        <v>0</v>
      </c>
    </row>
    <row r="112" spans="1:14" x14ac:dyDescent="0.25">
      <c r="A112" s="312" t="s">
        <v>150</v>
      </c>
      <c r="B112" s="25" t="str">
        <f ca="1">OFFSET(CampList[Priority],MATCH(Table10[[#This Row],[Pcode]],CampList[CP_Pcode],0)-1,0,1,1)</f>
        <v>P4</v>
      </c>
      <c r="C112" s="25" t="str">
        <f ca="1">OFFSET(CampList[Camp],MATCH(Table10[[#This Row],[Pcode]],CampList[CP_Pcode],0)-1,0,1,1)</f>
        <v>Mansi Baptist Church</v>
      </c>
      <c r="D112" s="25" t="str">
        <f ca="1">OFFSET(CampList[Township],MATCH(Table10[[#This Row],[Pcode]],CampList[CP_Pcode],0)-1,0,1,1)</f>
        <v>Mansi</v>
      </c>
      <c r="E112" s="335">
        <f ca="1">OFFSET(CampList[HH],MATCH(Table10[[#This Row],[Pcode]],CampList[CP_Pcode],0)-1,0,1,1)</f>
        <v>196</v>
      </c>
      <c r="F112" s="335">
        <f ca="1">OFFSET(CampList[Total],MATCH(Table10[[#This Row],[Pcode]],CampList[CP_Pcode],0)-1,0,1,1)</f>
        <v>908</v>
      </c>
      <c r="G112" s="335">
        <f>SUMIF('NFI Tracking'!AO$12:AO$1048576,Table10[[#This Row],[Pcode]],'NFI Tracking'!AI$12:AI$1048576)</f>
        <v>0</v>
      </c>
      <c r="H112" s="335">
        <f>SUMIF('NFI Tracking'!AO$12:AO$1048576,Table10[[#This Row],[Pcode]],'NFI Tracking'!AJ$12:AJ$1048576)</f>
        <v>0</v>
      </c>
      <c r="I112" s="335">
        <f>SUMIF('NFI Tracking'!AO$12:AO$1048576,Table10[[#This Row],[Pcode]],'NFI Tracking'!AK$12:AK$1048576)</f>
        <v>0</v>
      </c>
      <c r="J112" s="335">
        <f ca="1">MAX(Table10[[#This Row],[HH]]*VLOOKUP("Winter Clothes Adult",NFI,6)-Table10[[#This Row],[Winter Clothes Adult ]],0)</f>
        <v>392</v>
      </c>
      <c r="K112" s="335">
        <f ca="1">MAX(Table10[[#This Row],[HH]]*VLOOKUP("Winter Clothes Children ",NFI,6)-Table10[[#This Row],[Winter Clothes Children ]],0)</f>
        <v>196</v>
      </c>
      <c r="L112" s="335">
        <f ca="1">MAX(Table10[[#This Row],[HH]]*VLOOKUP("Winter Items Other ",NFI,6)-Table10[[#This Row],[Winter Items Other ]],0)</f>
        <v>196</v>
      </c>
      <c r="M112" s="368" t="str">
        <f>IF(OR(Table10[[#This Row],[Winter Clothes Adult ]]&lt;&gt;0,Table10[[#This Row],[Winter Clothes Children ]]&lt;&gt;0,Table10[[#This Row],[Winter Items Other ]]&lt;&gt;0),"No","")</f>
        <v/>
      </c>
      <c r="N112" s="369">
        <f>COUNTIF(A:A,Table10[[#This Row],[Pcode]])-1</f>
        <v>0</v>
      </c>
    </row>
    <row r="113" spans="1:14" x14ac:dyDescent="0.25">
      <c r="A113" s="312" t="s">
        <v>262</v>
      </c>
      <c r="B113" s="25" t="str">
        <f ca="1">OFFSET(CampList[Priority],MATCH(Table10[[#This Row],[Pcode]],CampList[CP_Pcode],0)-1,0,1,1)</f>
        <v>P4</v>
      </c>
      <c r="C113" s="25" t="str">
        <f ca="1">OFFSET(CampList[Camp],MATCH(Table10[[#This Row],[Pcode]],CampList[CP_Pcode],0)-1,0,1,1)</f>
        <v>Maw Hpawng Hka Nan Baptist Church</v>
      </c>
      <c r="D113" s="25" t="str">
        <f ca="1">OFFSET(CampList[Township],MATCH(Table10[[#This Row],[Pcode]],CampList[CP_Pcode],0)-1,0,1,1)</f>
        <v>Myitkyina</v>
      </c>
      <c r="E113" s="335">
        <f ca="1">OFFSET(CampList[HH],MATCH(Table10[[#This Row],[Pcode]],CampList[CP_Pcode],0)-1,0,1,1)</f>
        <v>21</v>
      </c>
      <c r="F113" s="335">
        <f ca="1">OFFSET(CampList[Total],MATCH(Table10[[#This Row],[Pcode]],CampList[CP_Pcode],0)-1,0,1,1)</f>
        <v>97</v>
      </c>
      <c r="G113" s="335">
        <f>SUMIF('NFI Tracking'!AO$12:AO$1048576,Table10[[#This Row],[Pcode]],'NFI Tracking'!AI$12:AI$1048576)</f>
        <v>0</v>
      </c>
      <c r="H113" s="335">
        <f>SUMIF('NFI Tracking'!AO$12:AO$1048576,Table10[[#This Row],[Pcode]],'NFI Tracking'!AJ$12:AJ$1048576)</f>
        <v>0</v>
      </c>
      <c r="I113" s="335">
        <f>SUMIF('NFI Tracking'!AO$12:AO$1048576,Table10[[#This Row],[Pcode]],'NFI Tracking'!AK$12:AK$1048576)</f>
        <v>0</v>
      </c>
      <c r="J113" s="335">
        <f ca="1">MAX(Table10[[#This Row],[HH]]*VLOOKUP("Winter Clothes Adult",NFI,6)-Table10[[#This Row],[Winter Clothes Adult ]],0)</f>
        <v>42</v>
      </c>
      <c r="K113" s="335">
        <f ca="1">MAX(Table10[[#This Row],[HH]]*VLOOKUP("Winter Clothes Children ",NFI,6)-Table10[[#This Row],[Winter Clothes Children ]],0)</f>
        <v>21</v>
      </c>
      <c r="L113" s="335">
        <f ca="1">MAX(Table10[[#This Row],[HH]]*VLOOKUP("Winter Items Other ",NFI,6)-Table10[[#This Row],[Winter Items Other ]],0)</f>
        <v>21</v>
      </c>
      <c r="M113" s="368" t="str">
        <f>IF(OR(Table10[[#This Row],[Winter Clothes Adult ]]&lt;&gt;0,Table10[[#This Row],[Winter Clothes Children ]]&lt;&gt;0,Table10[[#This Row],[Winter Items Other ]]&lt;&gt;0),"No","")</f>
        <v/>
      </c>
      <c r="N113" s="369">
        <f>COUNTIF(A:A,Table10[[#This Row],[Pcode]])-1</f>
        <v>0</v>
      </c>
    </row>
    <row r="114" spans="1:14" x14ac:dyDescent="0.25">
      <c r="A114" s="312" t="s">
        <v>264</v>
      </c>
      <c r="B114" s="25" t="str">
        <f ca="1">OFFSET(CampList[Priority],MATCH(Table10[[#This Row],[Pcode]],CampList[CP_Pcode],0)-1,0,1,1)</f>
        <v>P4</v>
      </c>
      <c r="C114" s="25" t="str">
        <f ca="1">OFFSET(CampList[Camp],MATCH(Table10[[#This Row],[Pcode]],CampList[CP_Pcode],0)-1,0,1,1)</f>
        <v>Maw Hpawng Lhaovo Baptist Church</v>
      </c>
      <c r="D114" s="25" t="str">
        <f ca="1">OFFSET(CampList[Township],MATCH(Table10[[#This Row],[Pcode]],CampList[CP_Pcode],0)-1,0,1,1)</f>
        <v>Myitkyina</v>
      </c>
      <c r="E114" s="335">
        <f ca="1">OFFSET(CampList[HH],MATCH(Table10[[#This Row],[Pcode]],CampList[CP_Pcode],0)-1,0,1,1)</f>
        <v>14</v>
      </c>
      <c r="F114" s="335">
        <f ca="1">OFFSET(CampList[Total],MATCH(Table10[[#This Row],[Pcode]],CampList[CP_Pcode],0)-1,0,1,1)</f>
        <v>71</v>
      </c>
      <c r="G114" s="335">
        <f>SUMIF('NFI Tracking'!AO$12:AO$1048576,Table10[[#This Row],[Pcode]],'NFI Tracking'!AI$12:AI$1048576)</f>
        <v>0</v>
      </c>
      <c r="H114" s="335">
        <f>SUMIF('NFI Tracking'!AO$12:AO$1048576,Table10[[#This Row],[Pcode]],'NFI Tracking'!AJ$12:AJ$1048576)</f>
        <v>0</v>
      </c>
      <c r="I114" s="335">
        <f>SUMIF('NFI Tracking'!AO$12:AO$1048576,Table10[[#This Row],[Pcode]],'NFI Tracking'!AK$12:AK$1048576)</f>
        <v>0</v>
      </c>
      <c r="J114" s="335">
        <f ca="1">MAX(Table10[[#This Row],[HH]]*VLOOKUP("Winter Clothes Adult",NFI,6)-Table10[[#This Row],[Winter Clothes Adult ]],0)</f>
        <v>28</v>
      </c>
      <c r="K114" s="335">
        <f ca="1">MAX(Table10[[#This Row],[HH]]*VLOOKUP("Winter Clothes Children ",NFI,6)-Table10[[#This Row],[Winter Clothes Children ]],0)</f>
        <v>14</v>
      </c>
      <c r="L114" s="335">
        <f ca="1">MAX(Table10[[#This Row],[HH]]*VLOOKUP("Winter Items Other ",NFI,6)-Table10[[#This Row],[Winter Items Other ]],0)</f>
        <v>14</v>
      </c>
      <c r="M114" s="368" t="str">
        <f>IF(OR(Table10[[#This Row],[Winter Clothes Adult ]]&lt;&gt;0,Table10[[#This Row],[Winter Clothes Children ]]&lt;&gt;0,Table10[[#This Row],[Winter Items Other ]]&lt;&gt;0),"No","")</f>
        <v/>
      </c>
      <c r="N114" s="369">
        <f>COUNTIF(A:A,Table10[[#This Row],[Pcode]])-1</f>
        <v>0</v>
      </c>
    </row>
    <row r="115" spans="1:14" x14ac:dyDescent="0.25">
      <c r="A115" s="312" t="s">
        <v>99</v>
      </c>
      <c r="B115" s="25" t="str">
        <f ca="1">OFFSET(CampList[Priority],MATCH(Table10[[#This Row],[Pcode]],CampList[CP_Pcode],0)-1,0,1,1)</f>
        <v>P4</v>
      </c>
      <c r="C115" s="25" t="str">
        <f ca="1">OFFSET(CampList[Camp],MATCH(Table10[[#This Row],[Pcode]],CampList[CP_Pcode],0)-1,0,1,1)</f>
        <v>Maw Wan, Mu-yin Baptist Church</v>
      </c>
      <c r="D115" s="25" t="str">
        <f ca="1">OFFSET(CampList[Township],MATCH(Table10[[#This Row],[Pcode]],CampList[CP_Pcode],0)-1,0,1,1)</f>
        <v>Hpakant</v>
      </c>
      <c r="E115" s="335">
        <f ca="1">OFFSET(CampList[HH],MATCH(Table10[[#This Row],[Pcode]],CampList[CP_Pcode],0)-1,0,1,1)</f>
        <v>5</v>
      </c>
      <c r="F115" s="335">
        <f ca="1">OFFSET(CampList[Total],MATCH(Table10[[#This Row],[Pcode]],CampList[CP_Pcode],0)-1,0,1,1)</f>
        <v>26</v>
      </c>
      <c r="G115" s="335">
        <f>SUMIF('NFI Tracking'!AO$12:AO$1048576,Table10[[#This Row],[Pcode]],'NFI Tracking'!AI$12:AI$1048576)</f>
        <v>0</v>
      </c>
      <c r="H115" s="335">
        <f>SUMIF('NFI Tracking'!AO$12:AO$1048576,Table10[[#This Row],[Pcode]],'NFI Tracking'!AJ$12:AJ$1048576)</f>
        <v>0</v>
      </c>
      <c r="I115" s="335">
        <f>SUMIF('NFI Tracking'!AO$12:AO$1048576,Table10[[#This Row],[Pcode]],'NFI Tracking'!AK$12:AK$1048576)</f>
        <v>0</v>
      </c>
      <c r="J115" s="335">
        <f ca="1">MAX(Table10[[#This Row],[HH]]*VLOOKUP("Winter Clothes Adult",NFI,6)-Table10[[#This Row],[Winter Clothes Adult ]],0)</f>
        <v>10</v>
      </c>
      <c r="K115" s="335">
        <f ca="1">MAX(Table10[[#This Row],[HH]]*VLOOKUP("Winter Clothes Children ",NFI,6)-Table10[[#This Row],[Winter Clothes Children ]],0)</f>
        <v>5</v>
      </c>
      <c r="L115" s="335">
        <f ca="1">MAX(Table10[[#This Row],[HH]]*VLOOKUP("Winter Items Other ",NFI,6)-Table10[[#This Row],[Winter Items Other ]],0)</f>
        <v>5</v>
      </c>
      <c r="M115" s="368" t="str">
        <f>IF(OR(Table10[[#This Row],[Winter Clothes Adult ]]&lt;&gt;0,Table10[[#This Row],[Winter Clothes Children ]]&lt;&gt;0,Table10[[#This Row],[Winter Items Other ]]&lt;&gt;0),"No","")</f>
        <v/>
      </c>
      <c r="N115" s="369">
        <f>COUNTIF(A:A,Table10[[#This Row],[Pcode]])-1</f>
        <v>0</v>
      </c>
    </row>
    <row r="116" spans="1:14" x14ac:dyDescent="0.25">
      <c r="A116" s="312" t="s">
        <v>208</v>
      </c>
      <c r="B116" s="25" t="str">
        <f ca="1">OFFSET(CampList[Priority],MATCH(Table10[[#This Row],[Pcode]],CampList[CP_Pcode],0)-1,0,1,1)</f>
        <v>P4</v>
      </c>
      <c r="C116" s="25" t="str">
        <f ca="1">OFFSET(CampList[Camp],MATCH(Table10[[#This Row],[Pcode]],CampList[CP_Pcode],0)-1,0,1,1)</f>
        <v>Momauk Baptist Church</v>
      </c>
      <c r="D116" s="25" t="str">
        <f ca="1">OFFSET(CampList[Township],MATCH(Table10[[#This Row],[Pcode]],CampList[CP_Pcode],0)-1,0,1,1)</f>
        <v>Momauk</v>
      </c>
      <c r="E116" s="335">
        <f ca="1">OFFSET(CampList[HH],MATCH(Table10[[#This Row],[Pcode]],CampList[CP_Pcode],0)-1,0,1,1)</f>
        <v>226</v>
      </c>
      <c r="F116" s="335">
        <f ca="1">OFFSET(CampList[Total],MATCH(Table10[[#This Row],[Pcode]],CampList[CP_Pcode],0)-1,0,1,1)</f>
        <v>1824</v>
      </c>
      <c r="G116" s="335">
        <f>SUMIF('NFI Tracking'!AO$12:AO$1048576,Table10[[#This Row],[Pcode]],'NFI Tracking'!AI$12:AI$1048576)</f>
        <v>0</v>
      </c>
      <c r="H116" s="335">
        <f>SUMIF('NFI Tracking'!AO$12:AO$1048576,Table10[[#This Row],[Pcode]],'NFI Tracking'!AJ$12:AJ$1048576)</f>
        <v>0</v>
      </c>
      <c r="I116" s="335">
        <f>SUMIF('NFI Tracking'!AO$12:AO$1048576,Table10[[#This Row],[Pcode]],'NFI Tracking'!AK$12:AK$1048576)</f>
        <v>0</v>
      </c>
      <c r="J116" s="335">
        <f ca="1">MAX(Table10[[#This Row],[HH]]*VLOOKUP("Winter Clothes Adult",NFI,6)-Table10[[#This Row],[Winter Clothes Adult ]],0)</f>
        <v>452</v>
      </c>
      <c r="K116" s="335">
        <f ca="1">MAX(Table10[[#This Row],[HH]]*VLOOKUP("Winter Clothes Children ",NFI,6)-Table10[[#This Row],[Winter Clothes Children ]],0)</f>
        <v>226</v>
      </c>
      <c r="L116" s="335">
        <f ca="1">MAX(Table10[[#This Row],[HH]]*VLOOKUP("Winter Items Other ",NFI,6)-Table10[[#This Row],[Winter Items Other ]],0)</f>
        <v>226</v>
      </c>
      <c r="M116" s="368" t="str">
        <f>IF(OR(Table10[[#This Row],[Winter Clothes Adult ]]&lt;&gt;0,Table10[[#This Row],[Winter Clothes Children ]]&lt;&gt;0,Table10[[#This Row],[Winter Items Other ]]&lt;&gt;0),"No","")</f>
        <v/>
      </c>
      <c r="N116" s="369">
        <f>COUNTIF(A:A,Table10[[#This Row],[Pcode]])-1</f>
        <v>0</v>
      </c>
    </row>
    <row r="117" spans="1:14" x14ac:dyDescent="0.25">
      <c r="A117" s="312" t="s">
        <v>210</v>
      </c>
      <c r="B117" s="25" t="str">
        <f ca="1">OFFSET(CampList[Priority],MATCH(Table10[[#This Row],[Pcode]],CampList[CP_Pcode],0)-1,0,1,1)</f>
        <v>P4</v>
      </c>
      <c r="C117" s="25" t="str">
        <f ca="1">OFFSET(CampList[Camp],MATCH(Table10[[#This Row],[Pcode]],CampList[CP_Pcode],0)-1,0,1,1)</f>
        <v>Momauk Catholic Church (St. Patrick)</v>
      </c>
      <c r="D117" s="25" t="str">
        <f ca="1">OFFSET(CampList[Township],MATCH(Table10[[#This Row],[Pcode]],CampList[CP_Pcode],0)-1,0,1,1)</f>
        <v>Momauk</v>
      </c>
      <c r="E117" s="335">
        <f ca="1">OFFSET(CampList[HH],MATCH(Table10[[#This Row],[Pcode]],CampList[CP_Pcode],0)-1,0,1,1)</f>
        <v>0</v>
      </c>
      <c r="F117" s="335">
        <f ca="1">OFFSET(CampList[Total],MATCH(Table10[[#This Row],[Pcode]],CampList[CP_Pcode],0)-1,0,1,1)</f>
        <v>0</v>
      </c>
      <c r="G117" s="335">
        <f>SUMIF('NFI Tracking'!AO$12:AO$1048576,Table10[[#This Row],[Pcode]],'NFI Tracking'!AI$12:AI$1048576)</f>
        <v>0</v>
      </c>
      <c r="H117" s="335">
        <f>SUMIF('NFI Tracking'!AO$12:AO$1048576,Table10[[#This Row],[Pcode]],'NFI Tracking'!AJ$12:AJ$1048576)</f>
        <v>0</v>
      </c>
      <c r="I117" s="335">
        <f>SUMIF('NFI Tracking'!AO$12:AO$1048576,Table10[[#This Row],[Pcode]],'NFI Tracking'!AK$12:AK$1048576)</f>
        <v>0</v>
      </c>
      <c r="J117" s="335">
        <f ca="1">MAX(Table10[[#This Row],[HH]]*VLOOKUP("Winter Clothes Adult",NFI,6)-Table10[[#This Row],[Winter Clothes Adult ]],0)</f>
        <v>0</v>
      </c>
      <c r="K117" s="335">
        <f ca="1">MAX(Table10[[#This Row],[HH]]*VLOOKUP("Winter Clothes Children ",NFI,6)-Table10[[#This Row],[Winter Clothes Children ]],0)</f>
        <v>0</v>
      </c>
      <c r="L117" s="335">
        <f ca="1">MAX(Table10[[#This Row],[HH]]*VLOOKUP("Winter Items Other ",NFI,6)-Table10[[#This Row],[Winter Items Other ]],0)</f>
        <v>0</v>
      </c>
      <c r="M117" s="368" t="str">
        <f>IF(OR(Table10[[#This Row],[Winter Clothes Adult ]]&lt;&gt;0,Table10[[#This Row],[Winter Clothes Children ]]&lt;&gt;0,Table10[[#This Row],[Winter Items Other ]]&lt;&gt;0),"No","")</f>
        <v/>
      </c>
      <c r="N117" s="369">
        <f>COUNTIF(A:A,Table10[[#This Row],[Pcode]])-1</f>
        <v>0</v>
      </c>
    </row>
    <row r="118" spans="1:14" x14ac:dyDescent="0.25">
      <c r="A118" s="312" t="s">
        <v>1056</v>
      </c>
      <c r="B118" s="25" t="str">
        <f ca="1">OFFSET(CampList[Priority],MATCH(Table10[[#This Row],[Pcode]],CampList[CP_Pcode],0)-1,0,1,1)</f>
        <v>P4</v>
      </c>
      <c r="C118" s="25" t="str">
        <f ca="1">OFFSET(CampList[Camp],MATCH(Table10[[#This Row],[Pcode]],CampList[CP_Pcode],0)-1,0,1,1)</f>
        <v>Muse Baptist Church</v>
      </c>
      <c r="D118" s="25" t="str">
        <f ca="1">OFFSET(CampList[Township],MATCH(Table10[[#This Row],[Pcode]],CampList[CP_Pcode],0)-1,0,1,1)</f>
        <v>Muse</v>
      </c>
      <c r="E118" s="335">
        <f ca="1">OFFSET(CampList[HH],MATCH(Table10[[#This Row],[Pcode]],CampList[CP_Pcode],0)-1,0,1,1)</f>
        <v>52</v>
      </c>
      <c r="F118" s="335">
        <f ca="1">OFFSET(CampList[Total],MATCH(Table10[[#This Row],[Pcode]],CampList[CP_Pcode],0)-1,0,1,1)</f>
        <v>212</v>
      </c>
      <c r="G118" s="335">
        <f>SUMIF('NFI Tracking'!AO$12:AO$1048576,Table10[[#This Row],[Pcode]],'NFI Tracking'!AI$12:AI$1048576)</f>
        <v>0</v>
      </c>
      <c r="H118" s="335">
        <f>SUMIF('NFI Tracking'!AO$12:AO$1048576,Table10[[#This Row],[Pcode]],'NFI Tracking'!AJ$12:AJ$1048576)</f>
        <v>0</v>
      </c>
      <c r="I118" s="335">
        <f>SUMIF('NFI Tracking'!AO$12:AO$1048576,Table10[[#This Row],[Pcode]],'NFI Tracking'!AK$12:AK$1048576)</f>
        <v>0</v>
      </c>
      <c r="J118" s="335">
        <f ca="1">MAX(Table10[[#This Row],[HH]]*VLOOKUP("Winter Clothes Adult",NFI,6)-Table10[[#This Row],[Winter Clothes Adult ]],0)</f>
        <v>104</v>
      </c>
      <c r="K118" s="335">
        <f ca="1">MAX(Table10[[#This Row],[HH]]*VLOOKUP("Winter Clothes Children ",NFI,6)-Table10[[#This Row],[Winter Clothes Children ]],0)</f>
        <v>52</v>
      </c>
      <c r="L118" s="335">
        <f ca="1">MAX(Table10[[#This Row],[HH]]*VLOOKUP("Winter Items Other ",NFI,6)-Table10[[#This Row],[Winter Items Other ]],0)</f>
        <v>52</v>
      </c>
      <c r="M118" s="368" t="str">
        <f>IF(OR(Table10[[#This Row],[Winter Clothes Adult ]]&lt;&gt;0,Table10[[#This Row],[Winter Clothes Children ]]&lt;&gt;0,Table10[[#This Row],[Winter Items Other ]]&lt;&gt;0),"No","")</f>
        <v/>
      </c>
      <c r="N118" s="369">
        <f>COUNTIF(A:A,Table10[[#This Row],[Pcode]])-1</f>
        <v>0</v>
      </c>
    </row>
    <row r="119" spans="1:14" x14ac:dyDescent="0.25">
      <c r="A119" s="312" t="s">
        <v>1066</v>
      </c>
      <c r="B119" s="25" t="str">
        <f ca="1">OFFSET(CampList[Priority],MATCH(Table10[[#This Row],[Pcode]],CampList[CP_Pcode],0)-1,0,1,1)</f>
        <v>P4</v>
      </c>
      <c r="C119" s="25" t="str">
        <f ca="1">OFFSET(CampList[Camp],MATCH(Table10[[#This Row],[Pcode]],CampList[CP_Pcode],0)-1,0,1,1)</f>
        <v>Muse Catholic Church</v>
      </c>
      <c r="D119" s="25" t="str">
        <f ca="1">OFFSET(CampList[Township],MATCH(Table10[[#This Row],[Pcode]],CampList[CP_Pcode],0)-1,0,1,1)</f>
        <v>Muse</v>
      </c>
      <c r="E119" s="335">
        <f ca="1">OFFSET(CampList[HH],MATCH(Table10[[#This Row],[Pcode]],CampList[CP_Pcode],0)-1,0,1,1)</f>
        <v>26</v>
      </c>
      <c r="F119" s="335">
        <f ca="1">OFFSET(CampList[Total],MATCH(Table10[[#This Row],[Pcode]],CampList[CP_Pcode],0)-1,0,1,1)</f>
        <v>118</v>
      </c>
      <c r="G119" s="335">
        <f>SUMIF('NFI Tracking'!AO$12:AO$1048576,Table10[[#This Row],[Pcode]],'NFI Tracking'!AI$12:AI$1048576)</f>
        <v>0</v>
      </c>
      <c r="H119" s="335">
        <f>SUMIF('NFI Tracking'!AO$12:AO$1048576,Table10[[#This Row],[Pcode]],'NFI Tracking'!AJ$12:AJ$1048576)</f>
        <v>0</v>
      </c>
      <c r="I119" s="335">
        <f>SUMIF('NFI Tracking'!AO$12:AO$1048576,Table10[[#This Row],[Pcode]],'NFI Tracking'!AK$12:AK$1048576)</f>
        <v>0</v>
      </c>
      <c r="J119" s="335">
        <f ca="1">MAX(Table10[[#This Row],[HH]]*VLOOKUP("Winter Clothes Adult",NFI,6)-Table10[[#This Row],[Winter Clothes Adult ]],0)</f>
        <v>52</v>
      </c>
      <c r="K119" s="335">
        <f ca="1">MAX(Table10[[#This Row],[HH]]*VLOOKUP("Winter Clothes Children ",NFI,6)-Table10[[#This Row],[Winter Clothes Children ]],0)</f>
        <v>26</v>
      </c>
      <c r="L119" s="335">
        <f ca="1">MAX(Table10[[#This Row],[HH]]*VLOOKUP("Winter Items Other ",NFI,6)-Table10[[#This Row],[Winter Items Other ]],0)</f>
        <v>26</v>
      </c>
      <c r="M119" s="368" t="str">
        <f>IF(OR(Table10[[#This Row],[Winter Clothes Adult ]]&lt;&gt;0,Table10[[#This Row],[Winter Clothes Children ]]&lt;&gt;0,Table10[[#This Row],[Winter Items Other ]]&lt;&gt;0),"No","")</f>
        <v/>
      </c>
      <c r="N119" s="369">
        <f>COUNTIF(A:A,Table10[[#This Row],[Pcode]])-1</f>
        <v>0</v>
      </c>
    </row>
    <row r="120" spans="1:14" x14ac:dyDescent="0.25">
      <c r="A120" s="312" t="s">
        <v>7</v>
      </c>
      <c r="B120" s="25" t="str">
        <f ca="1">OFFSET(CampList[Priority],MATCH(Table10[[#This Row],[Pcode]],CampList[CP_Pcode],0)-1,0,1,1)</f>
        <v>P4</v>
      </c>
      <c r="C120" s="25" t="str">
        <f ca="1">OFFSET(CampList[Camp],MATCH(Table10[[#This Row],[Pcode]],CampList[CP_Pcode],0)-1,0,1,1)</f>
        <v>Mu-yin Baptist Church</v>
      </c>
      <c r="D120" s="25" t="str">
        <f ca="1">OFFSET(CampList[Township],MATCH(Table10[[#This Row],[Pcode]],CampList[CP_Pcode],0)-1,0,1,1)</f>
        <v>Bhamo</v>
      </c>
      <c r="E120" s="335">
        <f ca="1">OFFSET(CampList[HH],MATCH(Table10[[#This Row],[Pcode]],CampList[CP_Pcode],0)-1,0,1,1)</f>
        <v>14</v>
      </c>
      <c r="F120" s="335">
        <f ca="1">OFFSET(CampList[Total],MATCH(Table10[[#This Row],[Pcode]],CampList[CP_Pcode],0)-1,0,1,1)</f>
        <v>65</v>
      </c>
      <c r="G120" s="335">
        <f>SUMIF('NFI Tracking'!AO$12:AO$1048576,Table10[[#This Row],[Pcode]],'NFI Tracking'!AI$12:AI$1048576)</f>
        <v>0</v>
      </c>
      <c r="H120" s="335">
        <f>SUMIF('NFI Tracking'!AO$12:AO$1048576,Table10[[#This Row],[Pcode]],'NFI Tracking'!AJ$12:AJ$1048576)</f>
        <v>0</v>
      </c>
      <c r="I120" s="335">
        <f>SUMIF('NFI Tracking'!AO$12:AO$1048576,Table10[[#This Row],[Pcode]],'NFI Tracking'!AK$12:AK$1048576)</f>
        <v>0</v>
      </c>
      <c r="J120" s="335">
        <f ca="1">MAX(Table10[[#This Row],[HH]]*VLOOKUP("Winter Clothes Adult",NFI,6)-Table10[[#This Row],[Winter Clothes Adult ]],0)</f>
        <v>28</v>
      </c>
      <c r="K120" s="335">
        <f ca="1">MAX(Table10[[#This Row],[HH]]*VLOOKUP("Winter Clothes Children ",NFI,6)-Table10[[#This Row],[Winter Clothes Children ]],0)</f>
        <v>14</v>
      </c>
      <c r="L120" s="335">
        <f ca="1">MAX(Table10[[#This Row],[HH]]*VLOOKUP("Winter Items Other ",NFI,6)-Table10[[#This Row],[Winter Items Other ]],0)</f>
        <v>14</v>
      </c>
      <c r="M120" s="368" t="str">
        <f>IF(OR(Table10[[#This Row],[Winter Clothes Adult ]]&lt;&gt;0,Table10[[#This Row],[Winter Clothes Children ]]&lt;&gt;0,Table10[[#This Row],[Winter Items Other ]]&lt;&gt;0),"No","")</f>
        <v/>
      </c>
      <c r="N120" s="369">
        <f>COUNTIF(A:A,Table10[[#This Row],[Pcode]])-1</f>
        <v>0</v>
      </c>
    </row>
    <row r="121" spans="1:14" x14ac:dyDescent="0.25">
      <c r="A121" s="312" t="s">
        <v>266</v>
      </c>
      <c r="B121" s="25" t="str">
        <f ca="1">OFFSET(CampList[Priority],MATCH(Table10[[#This Row],[Pcode]],CampList[CP_Pcode],0)-1,0,1,1)</f>
        <v>P4</v>
      </c>
      <c r="C121" s="25" t="str">
        <f ca="1">OFFSET(CampList[Camp],MATCH(Table10[[#This Row],[Pcode]],CampList[CP_Pcode],0)-1,0,1,1)</f>
        <v>Myay Myint Baptist Church</v>
      </c>
      <c r="D121" s="25" t="str">
        <f ca="1">OFFSET(CampList[Township],MATCH(Table10[[#This Row],[Pcode]],CampList[CP_Pcode],0)-1,0,1,1)</f>
        <v>Myitkyina</v>
      </c>
      <c r="E121" s="335">
        <f ca="1">OFFSET(CampList[HH],MATCH(Table10[[#This Row],[Pcode]],CampList[CP_Pcode],0)-1,0,1,1)</f>
        <v>0</v>
      </c>
      <c r="F121" s="335">
        <f ca="1">OFFSET(CampList[Total],MATCH(Table10[[#This Row],[Pcode]],CampList[CP_Pcode],0)-1,0,1,1)</f>
        <v>0</v>
      </c>
      <c r="G121" s="335">
        <f>SUMIF('NFI Tracking'!AO$12:AO$1048576,Table10[[#This Row],[Pcode]],'NFI Tracking'!AI$12:AI$1048576)</f>
        <v>0</v>
      </c>
      <c r="H121" s="335">
        <f>SUMIF('NFI Tracking'!AO$12:AO$1048576,Table10[[#This Row],[Pcode]],'NFI Tracking'!AJ$12:AJ$1048576)</f>
        <v>0</v>
      </c>
      <c r="I121" s="335">
        <f>SUMIF('NFI Tracking'!AO$12:AO$1048576,Table10[[#This Row],[Pcode]],'NFI Tracking'!AK$12:AK$1048576)</f>
        <v>0</v>
      </c>
      <c r="J121" s="335">
        <f ca="1">MAX(Table10[[#This Row],[HH]]*VLOOKUP("Winter Clothes Adult",NFI,6)-Table10[[#This Row],[Winter Clothes Adult ]],0)</f>
        <v>0</v>
      </c>
      <c r="K121" s="335">
        <f ca="1">MAX(Table10[[#This Row],[HH]]*VLOOKUP("Winter Clothes Children ",NFI,6)-Table10[[#This Row],[Winter Clothes Children ]],0)</f>
        <v>0</v>
      </c>
      <c r="L121" s="335">
        <f ca="1">MAX(Table10[[#This Row],[HH]]*VLOOKUP("Winter Items Other ",NFI,6)-Table10[[#This Row],[Winter Items Other ]],0)</f>
        <v>0</v>
      </c>
      <c r="M121" s="368" t="str">
        <f>IF(OR(Table10[[#This Row],[Winter Clothes Adult ]]&lt;&gt;0,Table10[[#This Row],[Winter Clothes Children ]]&lt;&gt;0,Table10[[#This Row],[Winter Items Other ]]&lt;&gt;0),"No","")</f>
        <v/>
      </c>
      <c r="N121" s="369">
        <f>COUNTIF(A:A,Table10[[#This Row],[Pcode]])-1</f>
        <v>0</v>
      </c>
    </row>
    <row r="122" spans="1:14" x14ac:dyDescent="0.25">
      <c r="A122" s="312" t="s">
        <v>212</v>
      </c>
      <c r="B122" s="25" t="str">
        <f ca="1">OFFSET(CampList[Priority],MATCH(Table10[[#This Row],[Pcode]],CampList[CP_Pcode],0)-1,0,1,1)</f>
        <v>P4</v>
      </c>
      <c r="C122" s="25" t="str">
        <f ca="1">OFFSET(CampList[Camp],MATCH(Table10[[#This Row],[Pcode]],CampList[CP_Pcode],0)-1,0,1,1)</f>
        <v xml:space="preserve">Myo Thit </v>
      </c>
      <c r="D122" s="25" t="str">
        <f ca="1">OFFSET(CampList[Township],MATCH(Table10[[#This Row],[Pcode]],CampList[CP_Pcode],0)-1,0,1,1)</f>
        <v>Momauk</v>
      </c>
      <c r="E122" s="335">
        <f ca="1">OFFSET(CampList[HH],MATCH(Table10[[#This Row],[Pcode]],CampList[CP_Pcode],0)-1,0,1,1)</f>
        <v>13</v>
      </c>
      <c r="F122" s="335">
        <f ca="1">OFFSET(CampList[Total],MATCH(Table10[[#This Row],[Pcode]],CampList[CP_Pcode],0)-1,0,1,1)</f>
        <v>53</v>
      </c>
      <c r="G122" s="335">
        <f>SUMIF('NFI Tracking'!AO$12:AO$1048576,Table10[[#This Row],[Pcode]],'NFI Tracking'!AI$12:AI$1048576)</f>
        <v>0</v>
      </c>
      <c r="H122" s="335">
        <f>SUMIF('NFI Tracking'!AO$12:AO$1048576,Table10[[#This Row],[Pcode]],'NFI Tracking'!AJ$12:AJ$1048576)</f>
        <v>0</v>
      </c>
      <c r="I122" s="335">
        <f>SUMIF('NFI Tracking'!AO$12:AO$1048576,Table10[[#This Row],[Pcode]],'NFI Tracking'!AK$12:AK$1048576)</f>
        <v>0</v>
      </c>
      <c r="J122" s="335">
        <f ca="1">MAX(Table10[[#This Row],[HH]]*VLOOKUP("Winter Clothes Adult",NFI,6)-Table10[[#This Row],[Winter Clothes Adult ]],0)</f>
        <v>26</v>
      </c>
      <c r="K122" s="335">
        <f ca="1">MAX(Table10[[#This Row],[HH]]*VLOOKUP("Winter Clothes Children ",NFI,6)-Table10[[#This Row],[Winter Clothes Children ]],0)</f>
        <v>13</v>
      </c>
      <c r="L122" s="335">
        <f ca="1">MAX(Table10[[#This Row],[HH]]*VLOOKUP("Winter Items Other ",NFI,6)-Table10[[#This Row],[Winter Items Other ]],0)</f>
        <v>13</v>
      </c>
      <c r="M122" s="368" t="str">
        <f>IF(OR(Table10[[#This Row],[Winter Clothes Adult ]]&lt;&gt;0,Table10[[#This Row],[Winter Clothes Children ]]&lt;&gt;0,Table10[[#This Row],[Winter Items Other ]]&lt;&gt;0),"No","")</f>
        <v/>
      </c>
      <c r="N122" s="369">
        <f>COUNTIF(A:A,Table10[[#This Row],[Pcode]])-1</f>
        <v>0</v>
      </c>
    </row>
    <row r="123" spans="1:14" x14ac:dyDescent="0.25">
      <c r="A123" s="312" t="s">
        <v>1058</v>
      </c>
      <c r="B123" s="25" t="str">
        <f ca="1">OFFSET(CampList[Priority],MATCH(Table10[[#This Row],[Pcode]],CampList[CP_Pcode],0)-1,0,1,1)</f>
        <v>P4</v>
      </c>
      <c r="C123" s="25" t="str">
        <f ca="1">OFFSET(CampList[Camp],MATCH(Table10[[#This Row],[Pcode]],CampList[CP_Pcode],0)-1,0,1,1)</f>
        <v>Nam Hkam (KBC Jaw Wang) II</v>
      </c>
      <c r="D123" s="25" t="str">
        <f ca="1">OFFSET(CampList[Township],MATCH(Table10[[#This Row],[Pcode]],CampList[CP_Pcode],0)-1,0,1,1)</f>
        <v>Namhkan</v>
      </c>
      <c r="E123" s="335">
        <f ca="1">OFFSET(CampList[HH],MATCH(Table10[[#This Row],[Pcode]],CampList[CP_Pcode],0)-1,0,1,1)</f>
        <v>35</v>
      </c>
      <c r="F123" s="335">
        <f ca="1">OFFSET(CampList[Total],MATCH(Table10[[#This Row],[Pcode]],CampList[CP_Pcode],0)-1,0,1,1)</f>
        <v>198</v>
      </c>
      <c r="G123" s="335">
        <f>SUMIF('NFI Tracking'!AO$12:AO$1048576,Table10[[#This Row],[Pcode]],'NFI Tracking'!AI$12:AI$1048576)</f>
        <v>0</v>
      </c>
      <c r="H123" s="335">
        <f>SUMIF('NFI Tracking'!AO$12:AO$1048576,Table10[[#This Row],[Pcode]],'NFI Tracking'!AJ$12:AJ$1048576)</f>
        <v>0</v>
      </c>
      <c r="I123" s="335">
        <f>SUMIF('NFI Tracking'!AO$12:AO$1048576,Table10[[#This Row],[Pcode]],'NFI Tracking'!AK$12:AK$1048576)</f>
        <v>0</v>
      </c>
      <c r="J123" s="335">
        <f ca="1">MAX(Table10[[#This Row],[HH]]*VLOOKUP("Winter Clothes Adult",NFI,6)-Table10[[#This Row],[Winter Clothes Adult ]],0)</f>
        <v>70</v>
      </c>
      <c r="K123" s="335">
        <f ca="1">MAX(Table10[[#This Row],[HH]]*VLOOKUP("Winter Clothes Children ",NFI,6)-Table10[[#This Row],[Winter Clothes Children ]],0)</f>
        <v>35</v>
      </c>
      <c r="L123" s="335">
        <f ca="1">MAX(Table10[[#This Row],[HH]]*VLOOKUP("Winter Items Other ",NFI,6)-Table10[[#This Row],[Winter Items Other ]],0)</f>
        <v>35</v>
      </c>
      <c r="M123" s="368" t="str">
        <f>IF(OR(Table10[[#This Row],[Winter Clothes Adult ]]&lt;&gt;0,Table10[[#This Row],[Winter Clothes Children ]]&lt;&gt;0,Table10[[#This Row],[Winter Items Other ]]&lt;&gt;0),"No","")</f>
        <v/>
      </c>
      <c r="N123" s="369">
        <f>COUNTIF(A:A,Table10[[#This Row],[Pcode]])-1</f>
        <v>0</v>
      </c>
    </row>
    <row r="124" spans="1:14" x14ac:dyDescent="0.25">
      <c r="A124" s="312" t="s">
        <v>46</v>
      </c>
      <c r="B124" s="25" t="str">
        <f ca="1">OFFSET(CampList[Priority],MATCH(Table10[[#This Row],[Pcode]],CampList[CP_Pcode],0)-1,0,1,1)</f>
        <v>P4</v>
      </c>
      <c r="C124" s="25" t="str">
        <f ca="1">OFFSET(CampList[Camp],MATCH(Table10[[#This Row],[Pcode]],CampList[CP_Pcode],0)-1,0,1,1)</f>
        <v>Nam Ma Phyit, COC</v>
      </c>
      <c r="D124" s="25" t="str">
        <f ca="1">OFFSET(CampList[Township],MATCH(Table10[[#This Row],[Pcode]],CampList[CP_Pcode],0)-1,0,1,1)</f>
        <v>Hpakant</v>
      </c>
      <c r="E124" s="335">
        <f ca="1">OFFSET(CampList[HH],MATCH(Table10[[#This Row],[Pcode]],CampList[CP_Pcode],0)-1,0,1,1)</f>
        <v>17</v>
      </c>
      <c r="F124" s="335">
        <f ca="1">OFFSET(CampList[Total],MATCH(Table10[[#This Row],[Pcode]],CampList[CP_Pcode],0)-1,0,1,1)</f>
        <v>64</v>
      </c>
      <c r="G124" s="335">
        <f>SUMIF('NFI Tracking'!AO$12:AO$1048576,Table10[[#This Row],[Pcode]],'NFI Tracking'!AI$12:AI$1048576)</f>
        <v>0</v>
      </c>
      <c r="H124" s="335">
        <f>SUMIF('NFI Tracking'!AO$12:AO$1048576,Table10[[#This Row],[Pcode]],'NFI Tracking'!AJ$12:AJ$1048576)</f>
        <v>0</v>
      </c>
      <c r="I124" s="335">
        <f>SUMIF('NFI Tracking'!AO$12:AO$1048576,Table10[[#This Row],[Pcode]],'NFI Tracking'!AK$12:AK$1048576)</f>
        <v>0</v>
      </c>
      <c r="J124" s="335">
        <f ca="1">MAX(Table10[[#This Row],[HH]]*VLOOKUP("Winter Clothes Adult",NFI,6)-Table10[[#This Row],[Winter Clothes Adult ]],0)</f>
        <v>34</v>
      </c>
      <c r="K124" s="335">
        <f ca="1">MAX(Table10[[#This Row],[HH]]*VLOOKUP("Winter Clothes Children ",NFI,6)-Table10[[#This Row],[Winter Clothes Children ]],0)</f>
        <v>17</v>
      </c>
      <c r="L124" s="335">
        <f ca="1">MAX(Table10[[#This Row],[HH]]*VLOOKUP("Winter Items Other ",NFI,6)-Table10[[#This Row],[Winter Items Other ]],0)</f>
        <v>17</v>
      </c>
      <c r="M124" s="368" t="str">
        <f>IF(OR(Table10[[#This Row],[Winter Clothes Adult ]]&lt;&gt;0,Table10[[#This Row],[Winter Clothes Children ]]&lt;&gt;0,Table10[[#This Row],[Winter Items Other ]]&lt;&gt;0),"No","")</f>
        <v/>
      </c>
      <c r="N124" s="369">
        <f>COUNTIF(A:A,Table10[[#This Row],[Pcode]])-1</f>
        <v>0</v>
      </c>
    </row>
    <row r="125" spans="1:14" x14ac:dyDescent="0.25">
      <c r="A125" s="312" t="s">
        <v>1062</v>
      </c>
      <c r="B125" s="25" t="str">
        <f ca="1">OFFSET(CampList[Priority],MATCH(Table10[[#This Row],[Pcode]],CampList[CP_Pcode],0)-1,0,1,1)</f>
        <v>P4</v>
      </c>
      <c r="C125" s="25" t="str">
        <f ca="1">OFFSET(CampList[Camp],MATCH(Table10[[#This Row],[Pcode]],CampList[CP_Pcode],0)-1,0,1,1)</f>
        <v>Namhkan - Pang Long KBC</v>
      </c>
      <c r="D125" s="25" t="str">
        <f ca="1">OFFSET(CampList[Township],MATCH(Table10[[#This Row],[Pcode]],CampList[CP_Pcode],0)-1,0,1,1)</f>
        <v>Namhkan</v>
      </c>
      <c r="E125" s="335">
        <f ca="1">OFFSET(CampList[HH],MATCH(Table10[[#This Row],[Pcode]],CampList[CP_Pcode],0)-1,0,1,1)</f>
        <v>123</v>
      </c>
      <c r="F125" s="335">
        <f ca="1">OFFSET(CampList[Total],MATCH(Table10[[#This Row],[Pcode]],CampList[CP_Pcode],0)-1,0,1,1)</f>
        <v>575</v>
      </c>
      <c r="G125" s="335">
        <f>SUMIF('NFI Tracking'!AO$12:AO$1048576,Table10[[#This Row],[Pcode]],'NFI Tracking'!AI$12:AI$1048576)</f>
        <v>0</v>
      </c>
      <c r="H125" s="335">
        <f>SUMIF('NFI Tracking'!AO$12:AO$1048576,Table10[[#This Row],[Pcode]],'NFI Tracking'!AJ$12:AJ$1048576)</f>
        <v>0</v>
      </c>
      <c r="I125" s="335">
        <f>SUMIF('NFI Tracking'!AO$12:AO$1048576,Table10[[#This Row],[Pcode]],'NFI Tracking'!AK$12:AK$1048576)</f>
        <v>0</v>
      </c>
      <c r="J125" s="335">
        <f ca="1">MAX(Table10[[#This Row],[HH]]*VLOOKUP("Winter Clothes Adult",NFI,6)-Table10[[#This Row],[Winter Clothes Adult ]],0)</f>
        <v>246</v>
      </c>
      <c r="K125" s="335">
        <f ca="1">MAX(Table10[[#This Row],[HH]]*VLOOKUP("Winter Clothes Children ",NFI,6)-Table10[[#This Row],[Winter Clothes Children ]],0)</f>
        <v>123</v>
      </c>
      <c r="L125" s="335">
        <f ca="1">MAX(Table10[[#This Row],[HH]]*VLOOKUP("Winter Items Other ",NFI,6)-Table10[[#This Row],[Winter Items Other ]],0)</f>
        <v>123</v>
      </c>
      <c r="M125" s="368" t="str">
        <f>IF(OR(Table10[[#This Row],[Winter Clothes Adult ]]&lt;&gt;0,Table10[[#This Row],[Winter Clothes Children ]]&lt;&gt;0,Table10[[#This Row],[Winter Items Other ]]&lt;&gt;0),"No","")</f>
        <v/>
      </c>
      <c r="N125" s="369">
        <f>COUNTIF(A:A,Table10[[#This Row],[Pcode]])-1</f>
        <v>0</v>
      </c>
    </row>
    <row r="126" spans="1:14" x14ac:dyDescent="0.25">
      <c r="A126" s="312" t="s">
        <v>270</v>
      </c>
      <c r="B126" s="25" t="str">
        <f ca="1">OFFSET(CampList[Priority],MATCH(Table10[[#This Row],[Pcode]],CampList[CP_Pcode],0)-1,0,1,1)</f>
        <v>P4</v>
      </c>
      <c r="C126" s="25" t="str">
        <f ca="1">OFFSET(CampList[Camp],MATCH(Table10[[#This Row],[Pcode]],CampList[CP_Pcode],0)-1,0,1,1)</f>
        <v>Nan Kway St. John Catholic Church</v>
      </c>
      <c r="D126" s="25" t="str">
        <f ca="1">OFFSET(CampList[Township],MATCH(Table10[[#This Row],[Pcode]],CampList[CP_Pcode],0)-1,0,1,1)</f>
        <v>Myitkyina</v>
      </c>
      <c r="E126" s="335">
        <f ca="1">OFFSET(CampList[HH],MATCH(Table10[[#This Row],[Pcode]],CampList[CP_Pcode],0)-1,0,1,1)</f>
        <v>68</v>
      </c>
      <c r="F126" s="335">
        <f ca="1">OFFSET(CampList[Total],MATCH(Table10[[#This Row],[Pcode]],CampList[CP_Pcode],0)-1,0,1,1)</f>
        <v>333</v>
      </c>
      <c r="G126" s="335">
        <f>SUMIF('NFI Tracking'!AO$12:AO$1048576,Table10[[#This Row],[Pcode]],'NFI Tracking'!AI$12:AI$1048576)</f>
        <v>0</v>
      </c>
      <c r="H126" s="335">
        <f>SUMIF('NFI Tracking'!AO$12:AO$1048576,Table10[[#This Row],[Pcode]],'NFI Tracking'!AJ$12:AJ$1048576)</f>
        <v>0</v>
      </c>
      <c r="I126" s="335">
        <f>SUMIF('NFI Tracking'!AO$12:AO$1048576,Table10[[#This Row],[Pcode]],'NFI Tracking'!AK$12:AK$1048576)</f>
        <v>0</v>
      </c>
      <c r="J126" s="335">
        <f ca="1">MAX(Table10[[#This Row],[HH]]*VLOOKUP("Winter Clothes Adult",NFI,6)-Table10[[#This Row],[Winter Clothes Adult ]],0)</f>
        <v>136</v>
      </c>
      <c r="K126" s="335">
        <f ca="1">MAX(Table10[[#This Row],[HH]]*VLOOKUP("Winter Clothes Children ",NFI,6)-Table10[[#This Row],[Winter Clothes Children ]],0)</f>
        <v>68</v>
      </c>
      <c r="L126" s="335">
        <f ca="1">MAX(Table10[[#This Row],[HH]]*VLOOKUP("Winter Items Other ",NFI,6)-Table10[[#This Row],[Winter Items Other ]],0)</f>
        <v>68</v>
      </c>
      <c r="M126" s="368" t="str">
        <f>IF(OR(Table10[[#This Row],[Winter Clothes Adult ]]&lt;&gt;0,Table10[[#This Row],[Winter Clothes Children ]]&lt;&gt;0,Table10[[#This Row],[Winter Items Other ]]&lt;&gt;0),"No","")</f>
        <v/>
      </c>
      <c r="N126" s="369">
        <f>COUNTIF(A:A,Table10[[#This Row],[Pcode]])-1</f>
        <v>0</v>
      </c>
    </row>
    <row r="127" spans="1:14" x14ac:dyDescent="0.25">
      <c r="A127" s="312" t="s">
        <v>19</v>
      </c>
      <c r="B127" s="25" t="str">
        <f ca="1">OFFSET(CampList[Priority],MATCH(Table10[[#This Row],[Pcode]],CampList[CP_Pcode],0)-1,0,1,1)</f>
        <v>P4</v>
      </c>
      <c r="C127" s="25" t="str">
        <f ca="1">OFFSET(CampList[Camp],MATCH(Table10[[#This Row],[Pcode]],CampList[CP_Pcode],0)-1,0,1,1)</f>
        <v>Nant Hlaing Church</v>
      </c>
      <c r="D127" s="25" t="str">
        <f ca="1">OFFSET(CampList[Township],MATCH(Table10[[#This Row],[Pcode]],CampList[CP_Pcode],0)-1,0,1,1)</f>
        <v>Bhamo</v>
      </c>
      <c r="E127" s="335">
        <f ca="1">OFFSET(CampList[HH],MATCH(Table10[[#This Row],[Pcode]],CampList[CP_Pcode],0)-1,0,1,1)</f>
        <v>20</v>
      </c>
      <c r="F127" s="335">
        <f ca="1">OFFSET(CampList[Total],MATCH(Table10[[#This Row],[Pcode]],CampList[CP_Pcode],0)-1,0,1,1)</f>
        <v>103</v>
      </c>
      <c r="G127" s="335">
        <f>SUMIF('NFI Tracking'!AO$12:AO$1048576,Table10[[#This Row],[Pcode]],'NFI Tracking'!AI$12:AI$1048576)</f>
        <v>0</v>
      </c>
      <c r="H127" s="335">
        <f>SUMIF('NFI Tracking'!AO$12:AO$1048576,Table10[[#This Row],[Pcode]],'NFI Tracking'!AJ$12:AJ$1048576)</f>
        <v>0</v>
      </c>
      <c r="I127" s="335">
        <f>SUMIF('NFI Tracking'!AO$12:AO$1048576,Table10[[#This Row],[Pcode]],'NFI Tracking'!AK$12:AK$1048576)</f>
        <v>0</v>
      </c>
      <c r="J127" s="335">
        <f ca="1">MAX(Table10[[#This Row],[HH]]*VLOOKUP("Winter Clothes Adult",NFI,6)-Table10[[#This Row],[Winter Clothes Adult ]],0)</f>
        <v>40</v>
      </c>
      <c r="K127" s="335">
        <f ca="1">MAX(Table10[[#This Row],[HH]]*VLOOKUP("Winter Clothes Children ",NFI,6)-Table10[[#This Row],[Winter Clothes Children ]],0)</f>
        <v>20</v>
      </c>
      <c r="L127" s="335">
        <f ca="1">MAX(Table10[[#This Row],[HH]]*VLOOKUP("Winter Items Other ",NFI,6)-Table10[[#This Row],[Winter Items Other ]],0)</f>
        <v>20</v>
      </c>
      <c r="M127" s="368" t="str">
        <f>IF(OR(Table10[[#This Row],[Winter Clothes Adult ]]&lt;&gt;0,Table10[[#This Row],[Winter Clothes Children ]]&lt;&gt;0,Table10[[#This Row],[Winter Items Other ]]&lt;&gt;0),"No","")</f>
        <v/>
      </c>
      <c r="N127" s="369">
        <f>COUNTIF(A:A,Table10[[#This Row],[Pcode]])-1</f>
        <v>0</v>
      </c>
    </row>
    <row r="128" spans="1:14" x14ac:dyDescent="0.25">
      <c r="A128" s="312" t="s">
        <v>107</v>
      </c>
      <c r="B128" s="25" t="str">
        <f ca="1">OFFSET(CampList[Priority],MATCH(Table10[[#This Row],[Pcode]],CampList[CP_Pcode],0)-1,0,1,1)</f>
        <v>P4</v>
      </c>
      <c r="C128" s="25" t="str">
        <f ca="1">OFFSET(CampList[Camp],MATCH(Table10[[#This Row],[Pcode]],CampList[CP_Pcode],0)-1,0,1,1)</f>
        <v>Nant Ma Hpit Catholic Church</v>
      </c>
      <c r="D128" s="25" t="str">
        <f ca="1">OFFSET(CampList[Township],MATCH(Table10[[#This Row],[Pcode]],CampList[CP_Pcode],0)-1,0,1,1)</f>
        <v>Hpakant</v>
      </c>
      <c r="E128" s="335">
        <f ca="1">OFFSET(CampList[HH],MATCH(Table10[[#This Row],[Pcode]],CampList[CP_Pcode],0)-1,0,1,1)</f>
        <v>52</v>
      </c>
      <c r="F128" s="335">
        <f ca="1">OFFSET(CampList[Total],MATCH(Table10[[#This Row],[Pcode]],CampList[CP_Pcode],0)-1,0,1,1)</f>
        <v>240</v>
      </c>
      <c r="G128" s="335">
        <f>SUMIF('NFI Tracking'!AO$12:AO$1048576,Table10[[#This Row],[Pcode]],'NFI Tracking'!AI$12:AI$1048576)</f>
        <v>0</v>
      </c>
      <c r="H128" s="335">
        <f>SUMIF('NFI Tracking'!AO$12:AO$1048576,Table10[[#This Row],[Pcode]],'NFI Tracking'!AJ$12:AJ$1048576)</f>
        <v>0</v>
      </c>
      <c r="I128" s="335">
        <f>SUMIF('NFI Tracking'!AO$12:AO$1048576,Table10[[#This Row],[Pcode]],'NFI Tracking'!AK$12:AK$1048576)</f>
        <v>0</v>
      </c>
      <c r="J128" s="335">
        <f ca="1">MAX(Table10[[#This Row],[HH]]*VLOOKUP("Winter Clothes Adult",NFI,6)-Table10[[#This Row],[Winter Clothes Adult ]],0)</f>
        <v>104</v>
      </c>
      <c r="K128" s="335">
        <f ca="1">MAX(Table10[[#This Row],[HH]]*VLOOKUP("Winter Clothes Children ",NFI,6)-Table10[[#This Row],[Winter Clothes Children ]],0)</f>
        <v>52</v>
      </c>
      <c r="L128" s="335">
        <f ca="1">MAX(Table10[[#This Row],[HH]]*VLOOKUP("Winter Items Other ",NFI,6)-Table10[[#This Row],[Winter Items Other ]],0)</f>
        <v>52</v>
      </c>
      <c r="M128" s="368" t="str">
        <f>IF(OR(Table10[[#This Row],[Winter Clothes Adult ]]&lt;&gt;0,Table10[[#This Row],[Winter Clothes Children ]]&lt;&gt;0,Table10[[#This Row],[Winter Items Other ]]&lt;&gt;0),"No","")</f>
        <v/>
      </c>
      <c r="N128" s="369">
        <f>COUNTIF(A:A,Table10[[#This Row],[Pcode]])-1</f>
        <v>0</v>
      </c>
    </row>
    <row r="129" spans="1:14" x14ac:dyDescent="0.25">
      <c r="A129" s="312" t="s">
        <v>182</v>
      </c>
      <c r="B129" s="25" t="str">
        <f ca="1">OFFSET(CampList[Priority],MATCH(Table10[[#This Row],[Pcode]],CampList[CP_Pcode],0)-1,0,1,1)</f>
        <v>P4</v>
      </c>
      <c r="C129" s="25" t="str">
        <f ca="1">OFFSET(CampList[Camp],MATCH(Table10[[#This Row],[Pcode]],CampList[CP_Pcode],0)-1,0,1,1)</f>
        <v>Nant Mun</v>
      </c>
      <c r="D129" s="25" t="str">
        <f ca="1">OFFSET(CampList[Township],MATCH(Table10[[#This Row],[Pcode]],CampList[CP_Pcode],0)-1,0,1,1)</f>
        <v>Mohnyin</v>
      </c>
      <c r="E129" s="335">
        <f ca="1">OFFSET(CampList[HH],MATCH(Table10[[#This Row],[Pcode]],CampList[CP_Pcode],0)-1,0,1,1)</f>
        <v>0</v>
      </c>
      <c r="F129" s="335">
        <f ca="1">OFFSET(CampList[Total],MATCH(Table10[[#This Row],[Pcode]],CampList[CP_Pcode],0)-1,0,1,1)</f>
        <v>0</v>
      </c>
      <c r="G129" s="335">
        <f>SUMIF('NFI Tracking'!AO$12:AO$1048576,Table10[[#This Row],[Pcode]],'NFI Tracking'!AI$12:AI$1048576)</f>
        <v>0</v>
      </c>
      <c r="H129" s="335">
        <f>SUMIF('NFI Tracking'!AO$12:AO$1048576,Table10[[#This Row],[Pcode]],'NFI Tracking'!AJ$12:AJ$1048576)</f>
        <v>0</v>
      </c>
      <c r="I129" s="335">
        <f>SUMIF('NFI Tracking'!AO$12:AO$1048576,Table10[[#This Row],[Pcode]],'NFI Tracking'!AK$12:AK$1048576)</f>
        <v>0</v>
      </c>
      <c r="J129" s="335">
        <f ca="1">MAX(Table10[[#This Row],[HH]]*VLOOKUP("Winter Clothes Adult",NFI,6)-Table10[[#This Row],[Winter Clothes Adult ]],0)</f>
        <v>0</v>
      </c>
      <c r="K129" s="335">
        <f ca="1">MAX(Table10[[#This Row],[HH]]*VLOOKUP("Winter Clothes Children ",NFI,6)-Table10[[#This Row],[Winter Clothes Children ]],0)</f>
        <v>0</v>
      </c>
      <c r="L129" s="335">
        <f ca="1">MAX(Table10[[#This Row],[HH]]*VLOOKUP("Winter Items Other ",NFI,6)-Table10[[#This Row],[Winter Items Other ]],0)</f>
        <v>0</v>
      </c>
      <c r="M129" s="368" t="str">
        <f>IF(OR(Table10[[#This Row],[Winter Clothes Adult ]]&lt;&gt;0,Table10[[#This Row],[Winter Clothes Children ]]&lt;&gt;0,Table10[[#This Row],[Winter Items Other ]]&lt;&gt;0),"No","")</f>
        <v/>
      </c>
      <c r="N129" s="369">
        <f>COUNTIF(A:A,Table10[[#This Row],[Pcode]])-1</f>
        <v>0</v>
      </c>
    </row>
    <row r="130" spans="1:14" x14ac:dyDescent="0.25">
      <c r="A130" s="312" t="s">
        <v>839</v>
      </c>
      <c r="B130" s="25" t="str">
        <f ca="1">OFFSET(CampList[Priority],MATCH(Table10[[#This Row],[Pcode]],CampList[CP_Pcode],0)-1,0,1,1)</f>
        <v>P4</v>
      </c>
      <c r="C130" s="25" t="str">
        <f ca="1">OFFSET(CampList[Camp],MATCH(Table10[[#This Row],[Pcode]],CampList[CP_Pcode],0)-1,0,1,1)</f>
        <v>Narte</v>
      </c>
      <c r="D130" s="25" t="str">
        <f ca="1">OFFSET(CampList[Township],MATCH(Table10[[#This Row],[Pcode]],CampList[CP_Pcode],0)-1,0,1,1)</f>
        <v>Hseni</v>
      </c>
      <c r="E130" s="335">
        <f ca="1">OFFSET(CampList[HH],MATCH(Table10[[#This Row],[Pcode]],CampList[CP_Pcode],0)-1,0,1,1)</f>
        <v>67</v>
      </c>
      <c r="F130" s="335">
        <f ca="1">OFFSET(CampList[Total],MATCH(Table10[[#This Row],[Pcode]],CampList[CP_Pcode],0)-1,0,1,1)</f>
        <v>392</v>
      </c>
      <c r="G130" s="335">
        <f>SUMIF('NFI Tracking'!AO$12:AO$1048576,Table10[[#This Row],[Pcode]],'NFI Tracking'!AI$12:AI$1048576)</f>
        <v>0</v>
      </c>
      <c r="H130" s="335">
        <f>SUMIF('NFI Tracking'!AO$12:AO$1048576,Table10[[#This Row],[Pcode]],'NFI Tracking'!AJ$12:AJ$1048576)</f>
        <v>0</v>
      </c>
      <c r="I130" s="335">
        <f>SUMIF('NFI Tracking'!AO$12:AO$1048576,Table10[[#This Row],[Pcode]],'NFI Tracking'!AK$12:AK$1048576)</f>
        <v>0</v>
      </c>
      <c r="J130" s="335">
        <f ca="1">MAX(Table10[[#This Row],[HH]]*VLOOKUP("Winter Clothes Adult",NFI,6)-Table10[[#This Row],[Winter Clothes Adult ]],0)</f>
        <v>134</v>
      </c>
      <c r="K130" s="335">
        <f ca="1">MAX(Table10[[#This Row],[HH]]*VLOOKUP("Winter Clothes Children ",NFI,6)-Table10[[#This Row],[Winter Clothes Children ]],0)</f>
        <v>67</v>
      </c>
      <c r="L130" s="335">
        <f ca="1">MAX(Table10[[#This Row],[HH]]*VLOOKUP("Winter Items Other ",NFI,6)-Table10[[#This Row],[Winter Items Other ]],0)</f>
        <v>67</v>
      </c>
      <c r="M130" s="368" t="str">
        <f>IF(OR(Table10[[#This Row],[Winter Clothes Adult ]]&lt;&gt;0,Table10[[#This Row],[Winter Clothes Children ]]&lt;&gt;0,Table10[[#This Row],[Winter Items Other ]]&lt;&gt;0),"No","")</f>
        <v/>
      </c>
      <c r="N130" s="369">
        <f>COUNTIF(A:A,Table10[[#This Row],[Pcode]])-1</f>
        <v>0</v>
      </c>
    </row>
    <row r="131" spans="1:14" x14ac:dyDescent="0.25">
      <c r="A131" s="312" t="s">
        <v>177</v>
      </c>
      <c r="B131" s="25" t="str">
        <f ca="1">OFFSET(CampList[Priority],MATCH(Table10[[#This Row],[Pcode]],CampList[CP_Pcode],0)-1,0,1,1)</f>
        <v>P4</v>
      </c>
      <c r="C131" s="25" t="str">
        <f ca="1">OFFSET(CampList[Camp],MATCH(Table10[[#This Row],[Pcode]],CampList[CP_Pcode],0)-1,0,1,1)</f>
        <v xml:space="preserve">Nat Gyi Kone Baptist Church </v>
      </c>
      <c r="D131" s="25" t="str">
        <f ca="1">OFFSET(CampList[Township],MATCH(Table10[[#This Row],[Pcode]],CampList[CP_Pcode],0)-1,0,1,1)</f>
        <v>Mogaung</v>
      </c>
      <c r="E131" s="335">
        <f ca="1">OFFSET(CampList[HH],MATCH(Table10[[#This Row],[Pcode]],CampList[CP_Pcode],0)-1,0,1,1)</f>
        <v>12</v>
      </c>
      <c r="F131" s="335">
        <f ca="1">OFFSET(CampList[Total],MATCH(Table10[[#This Row],[Pcode]],CampList[CP_Pcode],0)-1,0,1,1)</f>
        <v>46</v>
      </c>
      <c r="G131" s="335">
        <f>SUMIF('NFI Tracking'!AO$12:AO$1048576,Table10[[#This Row],[Pcode]],'NFI Tracking'!AI$12:AI$1048576)</f>
        <v>0</v>
      </c>
      <c r="H131" s="335">
        <f>SUMIF('NFI Tracking'!AO$12:AO$1048576,Table10[[#This Row],[Pcode]],'NFI Tracking'!AJ$12:AJ$1048576)</f>
        <v>0</v>
      </c>
      <c r="I131" s="335">
        <f>SUMIF('NFI Tracking'!AO$12:AO$1048576,Table10[[#This Row],[Pcode]],'NFI Tracking'!AK$12:AK$1048576)</f>
        <v>0</v>
      </c>
      <c r="J131" s="335">
        <f ca="1">MAX(Table10[[#This Row],[HH]]*VLOOKUP("Winter Clothes Adult",NFI,6)-Table10[[#This Row],[Winter Clothes Adult ]],0)</f>
        <v>24</v>
      </c>
      <c r="K131" s="335">
        <f ca="1">MAX(Table10[[#This Row],[HH]]*VLOOKUP("Winter Clothes Children ",NFI,6)-Table10[[#This Row],[Winter Clothes Children ]],0)</f>
        <v>12</v>
      </c>
      <c r="L131" s="335">
        <f ca="1">MAX(Table10[[#This Row],[HH]]*VLOOKUP("Winter Items Other ",NFI,6)-Table10[[#This Row],[Winter Items Other ]],0)</f>
        <v>12</v>
      </c>
      <c r="M131" s="368" t="str">
        <f>IF(OR(Table10[[#This Row],[Winter Clothes Adult ]]&lt;&gt;0,Table10[[#This Row],[Winter Clothes Children ]]&lt;&gt;0,Table10[[#This Row],[Winter Items Other ]]&lt;&gt;0),"No","")</f>
        <v/>
      </c>
      <c r="N131" s="369">
        <f>COUNTIF(A:A,Table10[[#This Row],[Pcode]])-1</f>
        <v>0</v>
      </c>
    </row>
    <row r="132" spans="1:14" x14ac:dyDescent="0.25">
      <c r="A132" s="312" t="s">
        <v>343</v>
      </c>
      <c r="B132" s="25" t="str">
        <f ca="1">OFFSET(CampList[Priority],MATCH(Table10[[#This Row],[Pcode]],CampList[CP_Pcode],0)-1,0,1,1)</f>
        <v>P4</v>
      </c>
      <c r="C132" s="25" t="str">
        <f ca="1">OFFSET(CampList[Camp],MATCH(Table10[[#This Row],[Pcode]],CampList[CP_Pcode],0)-1,0,1,1)</f>
        <v>Nawng Hee Village</v>
      </c>
      <c r="D132" s="25" t="str">
        <f ca="1">OFFSET(CampList[Township],MATCH(Table10[[#This Row],[Pcode]],CampList[CP_Pcode],0)-1,0,1,1)</f>
        <v>Waingmaw</v>
      </c>
      <c r="E132" s="335">
        <f ca="1">OFFSET(CampList[HH],MATCH(Table10[[#This Row],[Pcode]],CampList[CP_Pcode],0)-1,0,1,1)</f>
        <v>18</v>
      </c>
      <c r="F132" s="335">
        <f ca="1">OFFSET(CampList[Total],MATCH(Table10[[#This Row],[Pcode]],CampList[CP_Pcode],0)-1,0,1,1)</f>
        <v>82</v>
      </c>
      <c r="G132" s="335">
        <f>SUMIF('NFI Tracking'!AO$12:AO$1048576,Table10[[#This Row],[Pcode]],'NFI Tracking'!AI$12:AI$1048576)</f>
        <v>0</v>
      </c>
      <c r="H132" s="335">
        <f>SUMIF('NFI Tracking'!AO$12:AO$1048576,Table10[[#This Row],[Pcode]],'NFI Tracking'!AJ$12:AJ$1048576)</f>
        <v>0</v>
      </c>
      <c r="I132" s="335">
        <f>SUMIF('NFI Tracking'!AO$12:AO$1048576,Table10[[#This Row],[Pcode]],'NFI Tracking'!AK$12:AK$1048576)</f>
        <v>0</v>
      </c>
      <c r="J132" s="335">
        <f ca="1">MAX(Table10[[#This Row],[HH]]*VLOOKUP("Winter Clothes Adult",NFI,6)-Table10[[#This Row],[Winter Clothes Adult ]],0)</f>
        <v>36</v>
      </c>
      <c r="K132" s="335">
        <f ca="1">MAX(Table10[[#This Row],[HH]]*VLOOKUP("Winter Clothes Children ",NFI,6)-Table10[[#This Row],[Winter Clothes Children ]],0)</f>
        <v>18</v>
      </c>
      <c r="L132" s="335">
        <f ca="1">MAX(Table10[[#This Row],[HH]]*VLOOKUP("Winter Items Other ",NFI,6)-Table10[[#This Row],[Winter Items Other ]],0)</f>
        <v>18</v>
      </c>
      <c r="M132" s="368" t="str">
        <f>IF(OR(Table10[[#This Row],[Winter Clothes Adult ]]&lt;&gt;0,Table10[[#This Row],[Winter Clothes Children ]]&lt;&gt;0,Table10[[#This Row],[Winter Items Other ]]&lt;&gt;0),"No","")</f>
        <v/>
      </c>
      <c r="N132" s="369">
        <f>COUNTIF(A:A,Table10[[#This Row],[Pcode]])-1</f>
        <v>0</v>
      </c>
    </row>
    <row r="133" spans="1:14" x14ac:dyDescent="0.25">
      <c r="A133" s="312" t="s">
        <v>286</v>
      </c>
      <c r="B133" s="25" t="str">
        <f ca="1">OFFSET(CampList[Priority],MATCH(Table10[[#This Row],[Pcode]],CampList[CP_Pcode],0)-1,0,1,1)</f>
        <v>P4</v>
      </c>
      <c r="C133" s="25" t="str">
        <f ca="1">OFFSET(CampList[Camp],MATCH(Table10[[#This Row],[Pcode]],CampList[CP_Pcode],0)-1,0,1,1)</f>
        <v xml:space="preserve">Nawng Ing (Indawgyi) Baptist Church  </v>
      </c>
      <c r="D133" s="25" t="str">
        <f ca="1">OFFSET(CampList[Township],MATCH(Table10[[#This Row],[Pcode]],CampList[CP_Pcode],0)-1,0,1,1)</f>
        <v>Mohnyin</v>
      </c>
      <c r="E133" s="335">
        <f ca="1">OFFSET(CampList[HH],MATCH(Table10[[#This Row],[Pcode]],CampList[CP_Pcode],0)-1,0,1,1)</f>
        <v>19</v>
      </c>
      <c r="F133" s="335">
        <f ca="1">OFFSET(CampList[Total],MATCH(Table10[[#This Row],[Pcode]],CampList[CP_Pcode],0)-1,0,1,1)</f>
        <v>100</v>
      </c>
      <c r="G133" s="335">
        <f>SUMIF('NFI Tracking'!AO$12:AO$1048576,Table10[[#This Row],[Pcode]],'NFI Tracking'!AI$12:AI$1048576)</f>
        <v>0</v>
      </c>
      <c r="H133" s="335">
        <f>SUMIF('NFI Tracking'!AO$12:AO$1048576,Table10[[#This Row],[Pcode]],'NFI Tracking'!AJ$12:AJ$1048576)</f>
        <v>0</v>
      </c>
      <c r="I133" s="335">
        <f>SUMIF('NFI Tracking'!AO$12:AO$1048576,Table10[[#This Row],[Pcode]],'NFI Tracking'!AK$12:AK$1048576)</f>
        <v>0</v>
      </c>
      <c r="J133" s="335">
        <f ca="1">MAX(Table10[[#This Row],[HH]]*VLOOKUP("Winter Clothes Adult",NFI,6)-Table10[[#This Row],[Winter Clothes Adult ]],0)</f>
        <v>38</v>
      </c>
      <c r="K133" s="335">
        <f ca="1">MAX(Table10[[#This Row],[HH]]*VLOOKUP("Winter Clothes Children ",NFI,6)-Table10[[#This Row],[Winter Clothes Children ]],0)</f>
        <v>19</v>
      </c>
      <c r="L133" s="335">
        <f ca="1">MAX(Table10[[#This Row],[HH]]*VLOOKUP("Winter Items Other ",NFI,6)-Table10[[#This Row],[Winter Items Other ]],0)</f>
        <v>19</v>
      </c>
      <c r="M133" s="368" t="str">
        <f>IF(OR(Table10[[#This Row],[Winter Clothes Adult ]]&lt;&gt;0,Table10[[#This Row],[Winter Clothes Children ]]&lt;&gt;0,Table10[[#This Row],[Winter Items Other ]]&lt;&gt;0),"No","")</f>
        <v/>
      </c>
      <c r="N133" s="369">
        <f>COUNTIF(A:A,Table10[[#This Row],[Pcode]])-1</f>
        <v>0</v>
      </c>
    </row>
    <row r="134" spans="1:14" x14ac:dyDescent="0.25">
      <c r="A134" s="312" t="s">
        <v>216</v>
      </c>
      <c r="B134" s="25" t="str">
        <f ca="1">OFFSET(CampList[Priority],MATCH(Table10[[#This Row],[Pcode]],CampList[CP_Pcode],0)-1,0,1,1)</f>
        <v>P4</v>
      </c>
      <c r="C134" s="25" t="str">
        <f ca="1">OFFSET(CampList[Camp],MATCH(Table10[[#This Row],[Pcode]],CampList[CP_Pcode],0)-1,0,1,1)</f>
        <v>Ni Thaw Ka Monestry</v>
      </c>
      <c r="D134" s="25" t="str">
        <f ca="1">OFFSET(CampList[Township],MATCH(Table10[[#This Row],[Pcode]],CampList[CP_Pcode],0)-1,0,1,1)</f>
        <v>Momauk</v>
      </c>
      <c r="E134" s="335">
        <f ca="1">OFFSET(CampList[HH],MATCH(Table10[[#This Row],[Pcode]],CampList[CP_Pcode],0)-1,0,1,1)</f>
        <v>0</v>
      </c>
      <c r="F134" s="335">
        <f ca="1">OFFSET(CampList[Total],MATCH(Table10[[#This Row],[Pcode]],CampList[CP_Pcode],0)-1,0,1,1)</f>
        <v>0</v>
      </c>
      <c r="G134" s="335">
        <f>SUMIF('NFI Tracking'!AO$12:AO$1048576,Table10[[#This Row],[Pcode]],'NFI Tracking'!AI$12:AI$1048576)</f>
        <v>0</v>
      </c>
      <c r="H134" s="335">
        <f>SUMIF('NFI Tracking'!AO$12:AO$1048576,Table10[[#This Row],[Pcode]],'NFI Tracking'!AJ$12:AJ$1048576)</f>
        <v>0</v>
      </c>
      <c r="I134" s="335">
        <f>SUMIF('NFI Tracking'!AO$12:AO$1048576,Table10[[#This Row],[Pcode]],'NFI Tracking'!AK$12:AK$1048576)</f>
        <v>0</v>
      </c>
      <c r="J134" s="335">
        <f ca="1">MAX(Table10[[#This Row],[HH]]*VLOOKUP("Winter Clothes Adult",NFI,6)-Table10[[#This Row],[Winter Clothes Adult ]],0)</f>
        <v>0</v>
      </c>
      <c r="K134" s="335">
        <f ca="1">MAX(Table10[[#This Row],[HH]]*VLOOKUP("Winter Clothes Children ",NFI,6)-Table10[[#This Row],[Winter Clothes Children ]],0)</f>
        <v>0</v>
      </c>
      <c r="L134" s="335">
        <f ca="1">MAX(Table10[[#This Row],[HH]]*VLOOKUP("Winter Items Other ",NFI,6)-Table10[[#This Row],[Winter Items Other ]],0)</f>
        <v>0</v>
      </c>
      <c r="M134" s="368" t="str">
        <f>IF(OR(Table10[[#This Row],[Winter Clothes Adult ]]&lt;&gt;0,Table10[[#This Row],[Winter Clothes Children ]]&lt;&gt;0,Table10[[#This Row],[Winter Items Other ]]&lt;&gt;0),"No","")</f>
        <v/>
      </c>
      <c r="N134" s="369">
        <f>COUNTIF(A:A,Table10[[#This Row],[Pcode]])-1</f>
        <v>0</v>
      </c>
    </row>
    <row r="135" spans="1:14" x14ac:dyDescent="0.25">
      <c r="A135" s="312" t="s">
        <v>268</v>
      </c>
      <c r="B135" s="25" t="str">
        <f ca="1">OFFSET(CampList[Priority],MATCH(Table10[[#This Row],[Pcode]],CampList[CP_Pcode],0)-1,0,1,1)</f>
        <v>P4</v>
      </c>
      <c r="C135" s="25" t="str">
        <f ca="1">OFFSET(CampList[Camp],MATCH(Table10[[#This Row],[Pcode]],CampList[CP_Pcode],0)-1,0,1,1)</f>
        <v xml:space="preserve">Njang Dung Baptist Church </v>
      </c>
      <c r="D135" s="25" t="str">
        <f ca="1">OFFSET(CampList[Township],MATCH(Table10[[#This Row],[Pcode]],CampList[CP_Pcode],0)-1,0,1,1)</f>
        <v>Myitkyina</v>
      </c>
      <c r="E135" s="335">
        <f ca="1">OFFSET(CampList[HH],MATCH(Table10[[#This Row],[Pcode]],CampList[CP_Pcode],0)-1,0,1,1)</f>
        <v>60</v>
      </c>
      <c r="F135" s="335">
        <f ca="1">OFFSET(CampList[Total],MATCH(Table10[[#This Row],[Pcode]],CampList[CP_Pcode],0)-1,0,1,1)</f>
        <v>256</v>
      </c>
      <c r="G135" s="335">
        <f>SUMIF('NFI Tracking'!AO$12:AO$1048576,Table10[[#This Row],[Pcode]],'NFI Tracking'!AI$12:AI$1048576)</f>
        <v>0</v>
      </c>
      <c r="H135" s="335">
        <f>SUMIF('NFI Tracking'!AO$12:AO$1048576,Table10[[#This Row],[Pcode]],'NFI Tracking'!AJ$12:AJ$1048576)</f>
        <v>0</v>
      </c>
      <c r="I135" s="335">
        <f>SUMIF('NFI Tracking'!AO$12:AO$1048576,Table10[[#This Row],[Pcode]],'NFI Tracking'!AK$12:AK$1048576)</f>
        <v>0</v>
      </c>
      <c r="J135" s="335">
        <f ca="1">MAX(Table10[[#This Row],[HH]]*VLOOKUP("Winter Clothes Adult",NFI,6)-Table10[[#This Row],[Winter Clothes Adult ]],0)</f>
        <v>120</v>
      </c>
      <c r="K135" s="335">
        <f ca="1">MAX(Table10[[#This Row],[HH]]*VLOOKUP("Winter Clothes Children ",NFI,6)-Table10[[#This Row],[Winter Clothes Children ]],0)</f>
        <v>60</v>
      </c>
      <c r="L135" s="335">
        <f ca="1">MAX(Table10[[#This Row],[HH]]*VLOOKUP("Winter Items Other ",NFI,6)-Table10[[#This Row],[Winter Items Other ]],0)</f>
        <v>60</v>
      </c>
      <c r="M135" s="368" t="str">
        <f>IF(OR(Table10[[#This Row],[Winter Clothes Adult ]]&lt;&gt;0,Table10[[#This Row],[Winter Clothes Children ]]&lt;&gt;0,Table10[[#This Row],[Winter Items Other ]]&lt;&gt;0),"No","")</f>
        <v/>
      </c>
      <c r="N135" s="369">
        <f>COUNTIF(A:A,Table10[[#This Row],[Pcode]])-1</f>
        <v>0</v>
      </c>
    </row>
    <row r="136" spans="1:14" x14ac:dyDescent="0.25">
      <c r="A136" s="312" t="s">
        <v>272</v>
      </c>
      <c r="B136" s="25" t="str">
        <f ca="1">OFFSET(CampList[Priority],MATCH(Table10[[#This Row],[Pcode]],CampList[CP_Pcode],0)-1,0,1,1)</f>
        <v>P4</v>
      </c>
      <c r="C136" s="25" t="str">
        <f ca="1">OFFSET(CampList[Camp],MATCH(Table10[[#This Row],[Pcode]],CampList[CP_Pcode],0)-1,0,1,1)</f>
        <v>Pa Dauk Myaing(Pa La Na)</v>
      </c>
      <c r="D136" s="25" t="str">
        <f ca="1">OFFSET(CampList[Township],MATCH(Table10[[#This Row],[Pcode]],CampList[CP_Pcode],0)-1,0,1,1)</f>
        <v>Myitkyina</v>
      </c>
      <c r="E136" s="335">
        <f ca="1">OFFSET(CampList[HH],MATCH(Table10[[#This Row],[Pcode]],CampList[CP_Pcode],0)-1,0,1,1)</f>
        <v>44</v>
      </c>
      <c r="F136" s="335">
        <f ca="1">OFFSET(CampList[Total],MATCH(Table10[[#This Row],[Pcode]],CampList[CP_Pcode],0)-1,0,1,1)</f>
        <v>274</v>
      </c>
      <c r="G136" s="335">
        <f>SUMIF('NFI Tracking'!AO$12:AO$1048576,Table10[[#This Row],[Pcode]],'NFI Tracking'!AI$12:AI$1048576)</f>
        <v>0</v>
      </c>
      <c r="H136" s="335">
        <f>SUMIF('NFI Tracking'!AO$12:AO$1048576,Table10[[#This Row],[Pcode]],'NFI Tracking'!AJ$12:AJ$1048576)</f>
        <v>0</v>
      </c>
      <c r="I136" s="335">
        <f>SUMIF('NFI Tracking'!AO$12:AO$1048576,Table10[[#This Row],[Pcode]],'NFI Tracking'!AK$12:AK$1048576)</f>
        <v>0</v>
      </c>
      <c r="J136" s="335">
        <f ca="1">MAX(Table10[[#This Row],[HH]]*VLOOKUP("Winter Clothes Adult",NFI,6)-Table10[[#This Row],[Winter Clothes Adult ]],0)</f>
        <v>88</v>
      </c>
      <c r="K136" s="335">
        <f ca="1">MAX(Table10[[#This Row],[HH]]*VLOOKUP("Winter Clothes Children ",NFI,6)-Table10[[#This Row],[Winter Clothes Children ]],0)</f>
        <v>44</v>
      </c>
      <c r="L136" s="335">
        <f ca="1">MAX(Table10[[#This Row],[HH]]*VLOOKUP("Winter Items Other ",NFI,6)-Table10[[#This Row],[Winter Items Other ]],0)</f>
        <v>44</v>
      </c>
      <c r="M136" s="368" t="str">
        <f>IF(OR(Table10[[#This Row],[Winter Clothes Adult ]]&lt;&gt;0,Table10[[#This Row],[Winter Clothes Children ]]&lt;&gt;0,Table10[[#This Row],[Winter Items Other ]]&lt;&gt;0),"No","")</f>
        <v/>
      </c>
      <c r="N136" s="369">
        <f>COUNTIF(A:A,Table10[[#This Row],[Pcode]])-1</f>
        <v>0</v>
      </c>
    </row>
    <row r="137" spans="1:14" x14ac:dyDescent="0.25">
      <c r="A137" s="312" t="s">
        <v>376</v>
      </c>
      <c r="B137" s="25" t="str">
        <f ca="1">OFFSET(CampList[Priority],MATCH(Table10[[#This Row],[Pcode]],CampList[CP_Pcode],0)-1,0,1,1)</f>
        <v>P4</v>
      </c>
      <c r="C137" s="25" t="str">
        <f ca="1">OFFSET(CampList[Camp],MATCH(Table10[[#This Row],[Pcode]],CampList[CP_Pcode],0)-1,0,1,1)</f>
        <v>Phan Khar Kone</v>
      </c>
      <c r="D137" s="25" t="str">
        <f ca="1">OFFSET(CampList[Township],MATCH(Table10[[#This Row],[Pcode]],CampList[CP_Pcode],0)-1,0,1,1)</f>
        <v>Bhamo</v>
      </c>
      <c r="E137" s="335">
        <f ca="1">OFFSET(CampList[HH],MATCH(Table10[[#This Row],[Pcode]],CampList[CP_Pcode],0)-1,0,1,1)</f>
        <v>150</v>
      </c>
      <c r="F137" s="335">
        <f ca="1">OFFSET(CampList[Total],MATCH(Table10[[#This Row],[Pcode]],CampList[CP_Pcode],0)-1,0,1,1)</f>
        <v>761</v>
      </c>
      <c r="G137" s="335">
        <f>SUMIF('NFI Tracking'!AO$12:AO$1048576,Table10[[#This Row],[Pcode]],'NFI Tracking'!AI$12:AI$1048576)</f>
        <v>0</v>
      </c>
      <c r="H137" s="335">
        <f>SUMIF('NFI Tracking'!AO$12:AO$1048576,Table10[[#This Row],[Pcode]],'NFI Tracking'!AJ$12:AJ$1048576)</f>
        <v>0</v>
      </c>
      <c r="I137" s="335">
        <f>SUMIF('NFI Tracking'!AO$12:AO$1048576,Table10[[#This Row],[Pcode]],'NFI Tracking'!AK$12:AK$1048576)</f>
        <v>0</v>
      </c>
      <c r="J137" s="335">
        <f ca="1">MAX(Table10[[#This Row],[HH]]*VLOOKUP("Winter Clothes Adult",NFI,6)-Table10[[#This Row],[Winter Clothes Adult ]],0)</f>
        <v>300</v>
      </c>
      <c r="K137" s="335">
        <f ca="1">MAX(Table10[[#This Row],[HH]]*VLOOKUP("Winter Clothes Children ",NFI,6)-Table10[[#This Row],[Winter Clothes Children ]],0)</f>
        <v>150</v>
      </c>
      <c r="L137" s="335">
        <f ca="1">MAX(Table10[[#This Row],[HH]]*VLOOKUP("Winter Items Other ",NFI,6)-Table10[[#This Row],[Winter Items Other ]],0)</f>
        <v>150</v>
      </c>
      <c r="M137" s="368" t="str">
        <f>IF(OR(Table10[[#This Row],[Winter Clothes Adult ]]&lt;&gt;0,Table10[[#This Row],[Winter Clothes Children ]]&lt;&gt;0,Table10[[#This Row],[Winter Items Other ]]&lt;&gt;0),"No","")</f>
        <v/>
      </c>
      <c r="N137" s="369">
        <f>COUNTIF(A:A,Table10[[#This Row],[Pcode]])-1</f>
        <v>0</v>
      </c>
    </row>
    <row r="138" spans="1:14" x14ac:dyDescent="0.25">
      <c r="A138" s="312" t="s">
        <v>220</v>
      </c>
      <c r="B138" s="25" t="str">
        <f ca="1">OFFSET(CampList[Priority],MATCH(Table10[[#This Row],[Pcode]],CampList[CP_Pcode],0)-1,0,1,1)</f>
        <v>P4</v>
      </c>
      <c r="C138" s="25" t="str">
        <f ca="1">OFFSET(CampList[Camp],MATCH(Table10[[#This Row],[Pcode]],CampList[CP_Pcode],0)-1,0,1,1)</f>
        <v xml:space="preserve">Phar Kay/Nant Waing </v>
      </c>
      <c r="D138" s="25" t="str">
        <f ca="1">OFFSET(CampList[Township],MATCH(Table10[[#This Row],[Pcode]],CampList[CP_Pcode],0)-1,0,1,1)</f>
        <v>Momauk</v>
      </c>
      <c r="E138" s="335">
        <f ca="1">OFFSET(CampList[HH],MATCH(Table10[[#This Row],[Pcode]],CampList[CP_Pcode],0)-1,0,1,1)</f>
        <v>39</v>
      </c>
      <c r="F138" s="335">
        <f ca="1">OFFSET(CampList[Total],MATCH(Table10[[#This Row],[Pcode]],CampList[CP_Pcode],0)-1,0,1,1)</f>
        <v>176</v>
      </c>
      <c r="G138" s="335">
        <f>SUMIF('NFI Tracking'!AO$12:AO$1048576,Table10[[#This Row],[Pcode]],'NFI Tracking'!AI$12:AI$1048576)</f>
        <v>0</v>
      </c>
      <c r="H138" s="335">
        <f>SUMIF('NFI Tracking'!AO$12:AO$1048576,Table10[[#This Row],[Pcode]],'NFI Tracking'!AJ$12:AJ$1048576)</f>
        <v>0</v>
      </c>
      <c r="I138" s="335">
        <f>SUMIF('NFI Tracking'!AO$12:AO$1048576,Table10[[#This Row],[Pcode]],'NFI Tracking'!AK$12:AK$1048576)</f>
        <v>0</v>
      </c>
      <c r="J138" s="335">
        <f ca="1">MAX(Table10[[#This Row],[HH]]*VLOOKUP("Winter Clothes Adult",NFI,6)-Table10[[#This Row],[Winter Clothes Adult ]],0)</f>
        <v>78</v>
      </c>
      <c r="K138" s="335">
        <f ca="1">MAX(Table10[[#This Row],[HH]]*VLOOKUP("Winter Clothes Children ",NFI,6)-Table10[[#This Row],[Winter Clothes Children ]],0)</f>
        <v>39</v>
      </c>
      <c r="L138" s="335">
        <f ca="1">MAX(Table10[[#This Row],[HH]]*VLOOKUP("Winter Items Other ",NFI,6)-Table10[[#This Row],[Winter Items Other ]],0)</f>
        <v>39</v>
      </c>
      <c r="M138" s="368" t="str">
        <f>IF(OR(Table10[[#This Row],[Winter Clothes Adult ]]&lt;&gt;0,Table10[[#This Row],[Winter Clothes Children ]]&lt;&gt;0,Table10[[#This Row],[Winter Items Other ]]&lt;&gt;0),"No","")</f>
        <v/>
      </c>
      <c r="N138" s="369">
        <f>COUNTIF(A:A,Table10[[#This Row],[Pcode]])-1</f>
        <v>0</v>
      </c>
    </row>
    <row r="139" spans="1:14" x14ac:dyDescent="0.25">
      <c r="A139" s="312" t="s">
        <v>317</v>
      </c>
      <c r="B139" s="25" t="str">
        <f ca="1">OFFSET(CampList[Priority],MATCH(Table10[[#This Row],[Pcode]],CampList[CP_Pcode],0)-1,0,1,1)</f>
        <v>P4</v>
      </c>
      <c r="C139" s="25" t="str">
        <f ca="1">OFFSET(CampList[Camp],MATCH(Table10[[#This Row],[Pcode]],CampList[CP_Pcode],0)-1,0,1,1)</f>
        <v>Qtr. 2 Lhaovo Baptist Church</v>
      </c>
      <c r="D139" s="25" t="str">
        <f ca="1">OFFSET(CampList[Township],MATCH(Table10[[#This Row],[Pcode]],CampList[CP_Pcode],0)-1,0,1,1)</f>
        <v>Waingmaw</v>
      </c>
      <c r="E139" s="335">
        <f ca="1">OFFSET(CampList[HH],MATCH(Table10[[#This Row],[Pcode]],CampList[CP_Pcode],0)-1,0,1,1)</f>
        <v>91</v>
      </c>
      <c r="F139" s="335">
        <f ca="1">OFFSET(CampList[Total],MATCH(Table10[[#This Row],[Pcode]],CampList[CP_Pcode],0)-1,0,1,1)</f>
        <v>329</v>
      </c>
      <c r="G139" s="335">
        <f>SUMIF('NFI Tracking'!AO$12:AO$1048576,Table10[[#This Row],[Pcode]],'NFI Tracking'!AI$12:AI$1048576)</f>
        <v>0</v>
      </c>
      <c r="H139" s="335">
        <f>SUMIF('NFI Tracking'!AO$12:AO$1048576,Table10[[#This Row],[Pcode]],'NFI Tracking'!AJ$12:AJ$1048576)</f>
        <v>0</v>
      </c>
      <c r="I139" s="335">
        <f>SUMIF('NFI Tracking'!AO$12:AO$1048576,Table10[[#This Row],[Pcode]],'NFI Tracking'!AK$12:AK$1048576)</f>
        <v>0</v>
      </c>
      <c r="J139" s="335">
        <f ca="1">MAX(Table10[[#This Row],[HH]]*VLOOKUP("Winter Clothes Adult",NFI,6)-Table10[[#This Row],[Winter Clothes Adult ]],0)</f>
        <v>182</v>
      </c>
      <c r="K139" s="335">
        <f ca="1">MAX(Table10[[#This Row],[HH]]*VLOOKUP("Winter Clothes Children ",NFI,6)-Table10[[#This Row],[Winter Clothes Children ]],0)</f>
        <v>91</v>
      </c>
      <c r="L139" s="335">
        <f ca="1">MAX(Table10[[#This Row],[HH]]*VLOOKUP("Winter Items Other ",NFI,6)-Table10[[#This Row],[Winter Items Other ]],0)</f>
        <v>91</v>
      </c>
      <c r="M139" s="368" t="str">
        <f>IF(OR(Table10[[#This Row],[Winter Clothes Adult ]]&lt;&gt;0,Table10[[#This Row],[Winter Clothes Children ]]&lt;&gt;0,Table10[[#This Row],[Winter Items Other ]]&lt;&gt;0),"No","")</f>
        <v/>
      </c>
      <c r="N139" s="369">
        <f>COUNTIF(A:A,Table10[[#This Row],[Pcode]])-1</f>
        <v>0</v>
      </c>
    </row>
    <row r="140" spans="1:14" x14ac:dyDescent="0.25">
      <c r="A140" s="312" t="s">
        <v>341</v>
      </c>
      <c r="B140" s="25" t="str">
        <f ca="1">OFFSET(CampList[Priority],MATCH(Table10[[#This Row],[Pcode]],CampList[CP_Pcode],0)-1,0,1,1)</f>
        <v>P4</v>
      </c>
      <c r="C140" s="25" t="str">
        <f ca="1">OFFSET(CampList[Camp],MATCH(Table10[[#This Row],[Pcode]],CampList[CP_Pcode],0)-1,0,1,1)</f>
        <v>Qtr. 2 Myoma Baptist Church</v>
      </c>
      <c r="D140" s="25" t="str">
        <f ca="1">OFFSET(CampList[Township],MATCH(Table10[[#This Row],[Pcode]],CampList[CP_Pcode],0)-1,0,1,1)</f>
        <v>Waingmaw</v>
      </c>
      <c r="E140" s="335">
        <f ca="1">OFFSET(CampList[HH],MATCH(Table10[[#This Row],[Pcode]],CampList[CP_Pcode],0)-1,0,1,1)</f>
        <v>65</v>
      </c>
      <c r="F140" s="335">
        <f ca="1">OFFSET(CampList[Total],MATCH(Table10[[#This Row],[Pcode]],CampList[CP_Pcode],0)-1,0,1,1)</f>
        <v>328</v>
      </c>
      <c r="G140" s="335">
        <f>SUMIF('NFI Tracking'!AO$12:AO$1048576,Table10[[#This Row],[Pcode]],'NFI Tracking'!AI$12:AI$1048576)</f>
        <v>0</v>
      </c>
      <c r="H140" s="335">
        <f>SUMIF('NFI Tracking'!AO$12:AO$1048576,Table10[[#This Row],[Pcode]],'NFI Tracking'!AJ$12:AJ$1048576)</f>
        <v>0</v>
      </c>
      <c r="I140" s="335">
        <f>SUMIF('NFI Tracking'!AO$12:AO$1048576,Table10[[#This Row],[Pcode]],'NFI Tracking'!AK$12:AK$1048576)</f>
        <v>0</v>
      </c>
      <c r="J140" s="335">
        <f ca="1">MAX(Table10[[#This Row],[HH]]*VLOOKUP("Winter Clothes Adult",NFI,6)-Table10[[#This Row],[Winter Clothes Adult ]],0)</f>
        <v>130</v>
      </c>
      <c r="K140" s="335">
        <f ca="1">MAX(Table10[[#This Row],[HH]]*VLOOKUP("Winter Clothes Children ",NFI,6)-Table10[[#This Row],[Winter Clothes Children ]],0)</f>
        <v>65</v>
      </c>
      <c r="L140" s="335">
        <f ca="1">MAX(Table10[[#This Row],[HH]]*VLOOKUP("Winter Items Other ",NFI,6)-Table10[[#This Row],[Winter Items Other ]],0)</f>
        <v>65</v>
      </c>
      <c r="M140" s="368" t="str">
        <f>IF(OR(Table10[[#This Row],[Winter Clothes Adult ]]&lt;&gt;0,Table10[[#This Row],[Winter Clothes Children ]]&lt;&gt;0,Table10[[#This Row],[Winter Items Other ]]&lt;&gt;0),"No","")</f>
        <v/>
      </c>
      <c r="N140" s="369">
        <f>COUNTIF(A:A,Table10[[#This Row],[Pcode]])-1</f>
        <v>0</v>
      </c>
    </row>
    <row r="141" spans="1:14" x14ac:dyDescent="0.25">
      <c r="A141" s="312" t="s">
        <v>337</v>
      </c>
      <c r="B141" s="25" t="str">
        <f ca="1">OFFSET(CampList[Priority],MATCH(Table10[[#This Row],[Pcode]],CampList[CP_Pcode],0)-1,0,1,1)</f>
        <v>P4</v>
      </c>
      <c r="C141" s="25" t="str">
        <f ca="1">OFFSET(CampList[Camp],MATCH(Table10[[#This Row],[Pcode]],CampList[CP_Pcode],0)-1,0,1,1)</f>
        <v>Qtr. 3 Mu-yin  Baptist Church</v>
      </c>
      <c r="D141" s="25" t="str">
        <f ca="1">OFFSET(CampList[Township],MATCH(Table10[[#This Row],[Pcode]],CampList[CP_Pcode],0)-1,0,1,1)</f>
        <v>Waingmaw</v>
      </c>
      <c r="E141" s="335">
        <f ca="1">OFFSET(CampList[HH],MATCH(Table10[[#This Row],[Pcode]],CampList[CP_Pcode],0)-1,0,1,1)</f>
        <v>31</v>
      </c>
      <c r="F141" s="335">
        <f ca="1">OFFSET(CampList[Total],MATCH(Table10[[#This Row],[Pcode]],CampList[CP_Pcode],0)-1,0,1,1)</f>
        <v>171</v>
      </c>
      <c r="G141" s="335">
        <f>SUMIF('NFI Tracking'!AO$12:AO$1048576,Table10[[#This Row],[Pcode]],'NFI Tracking'!AI$12:AI$1048576)</f>
        <v>0</v>
      </c>
      <c r="H141" s="335">
        <f>SUMIF('NFI Tracking'!AO$12:AO$1048576,Table10[[#This Row],[Pcode]],'NFI Tracking'!AJ$12:AJ$1048576)</f>
        <v>0</v>
      </c>
      <c r="I141" s="335">
        <f>SUMIF('NFI Tracking'!AO$12:AO$1048576,Table10[[#This Row],[Pcode]],'NFI Tracking'!AK$12:AK$1048576)</f>
        <v>0</v>
      </c>
      <c r="J141" s="335">
        <f ca="1">MAX(Table10[[#This Row],[HH]]*VLOOKUP("Winter Clothes Adult",NFI,6)-Table10[[#This Row],[Winter Clothes Adult ]],0)</f>
        <v>62</v>
      </c>
      <c r="K141" s="335">
        <f ca="1">MAX(Table10[[#This Row],[HH]]*VLOOKUP("Winter Clothes Children ",NFI,6)-Table10[[#This Row],[Winter Clothes Children ]],0)</f>
        <v>31</v>
      </c>
      <c r="L141" s="335">
        <f ca="1">MAX(Table10[[#This Row],[HH]]*VLOOKUP("Winter Items Other ",NFI,6)-Table10[[#This Row],[Winter Items Other ]],0)</f>
        <v>31</v>
      </c>
      <c r="M141" s="368" t="str">
        <f>IF(OR(Table10[[#This Row],[Winter Clothes Adult ]]&lt;&gt;0,Table10[[#This Row],[Winter Clothes Children ]]&lt;&gt;0,Table10[[#This Row],[Winter Items Other ]]&lt;&gt;0),"No","")</f>
        <v/>
      </c>
      <c r="N141" s="369">
        <f>COUNTIF(A:A,Table10[[#This Row],[Pcode]])-1</f>
        <v>0</v>
      </c>
    </row>
    <row r="142" spans="1:14" x14ac:dyDescent="0.25">
      <c r="A142" s="312" t="s">
        <v>350</v>
      </c>
      <c r="B142" s="25" t="str">
        <f ca="1">OFFSET(CampList[Priority],MATCH(Table10[[#This Row],[Pcode]],CampList[CP_Pcode],0)-1,0,1,1)</f>
        <v>P4</v>
      </c>
      <c r="C142" s="25" t="str">
        <f ca="1">OFFSET(CampList[Camp],MATCH(Table10[[#This Row],[Pcode]],CampList[CP_Pcode],0)-1,0,1,1)</f>
        <v>Qtr. 4 Monestry (Thargaya Thayett Taw)</v>
      </c>
      <c r="D142" s="25" t="str">
        <f ca="1">OFFSET(CampList[Township],MATCH(Table10[[#This Row],[Pcode]],CampList[CP_Pcode],0)-1,0,1,1)</f>
        <v>Waingmaw</v>
      </c>
      <c r="E142" s="335">
        <f ca="1">OFFSET(CampList[HH],MATCH(Table10[[#This Row],[Pcode]],CampList[CP_Pcode],0)-1,0,1,1)</f>
        <v>88</v>
      </c>
      <c r="F142" s="335">
        <f ca="1">OFFSET(CampList[Total],MATCH(Table10[[#This Row],[Pcode]],CampList[CP_Pcode],0)-1,0,1,1)</f>
        <v>482</v>
      </c>
      <c r="G142" s="335">
        <f>SUMIF('NFI Tracking'!AO$12:AO$1048576,Table10[[#This Row],[Pcode]],'NFI Tracking'!AI$12:AI$1048576)</f>
        <v>0</v>
      </c>
      <c r="H142" s="335">
        <f>SUMIF('NFI Tracking'!AO$12:AO$1048576,Table10[[#This Row],[Pcode]],'NFI Tracking'!AJ$12:AJ$1048576)</f>
        <v>0</v>
      </c>
      <c r="I142" s="335">
        <f>SUMIF('NFI Tracking'!AO$12:AO$1048576,Table10[[#This Row],[Pcode]],'NFI Tracking'!AK$12:AK$1048576)</f>
        <v>0</v>
      </c>
      <c r="J142" s="335">
        <f ca="1">MAX(Table10[[#This Row],[HH]]*VLOOKUP("Winter Clothes Adult",NFI,6)-Table10[[#This Row],[Winter Clothes Adult ]],0)</f>
        <v>176</v>
      </c>
      <c r="K142" s="335">
        <f ca="1">MAX(Table10[[#This Row],[HH]]*VLOOKUP("Winter Clothes Children ",NFI,6)-Table10[[#This Row],[Winter Clothes Children ]],0)</f>
        <v>88</v>
      </c>
      <c r="L142" s="335">
        <f ca="1">MAX(Table10[[#This Row],[HH]]*VLOOKUP("Winter Items Other ",NFI,6)-Table10[[#This Row],[Winter Items Other ]],0)</f>
        <v>88</v>
      </c>
      <c r="M142" s="368" t="str">
        <f>IF(OR(Table10[[#This Row],[Winter Clothes Adult ]]&lt;&gt;0,Table10[[#This Row],[Winter Clothes Children ]]&lt;&gt;0,Table10[[#This Row],[Winter Items Other ]]&lt;&gt;0),"No","")</f>
        <v/>
      </c>
      <c r="N142" s="369">
        <f>COUNTIF(A:A,Table10[[#This Row],[Pcode]])-1</f>
        <v>0</v>
      </c>
    </row>
    <row r="143" spans="1:14" x14ac:dyDescent="0.25">
      <c r="A143" s="312" t="s">
        <v>117</v>
      </c>
      <c r="B143" s="25" t="str">
        <f ca="1">OFFSET(CampList[Priority],MATCH(Table10[[#This Row],[Pcode]],CampList[CP_Pcode],0)-1,0,1,1)</f>
        <v>P4</v>
      </c>
      <c r="C143" s="25" t="str">
        <f ca="1">OFFSET(CampList[Camp],MATCH(Table10[[#This Row],[Pcode]],CampList[CP_Pcode],0)-1,0,1,1)</f>
        <v>Rawan Baptist Church, Maw Shan Vil., Seik Mu</v>
      </c>
      <c r="D143" s="25" t="str">
        <f ca="1">OFFSET(CampList[Township],MATCH(Table10[[#This Row],[Pcode]],CampList[CP_Pcode],0)-1,0,1,1)</f>
        <v>Hpakant</v>
      </c>
      <c r="E143" s="335">
        <f ca="1">OFFSET(CampList[HH],MATCH(Table10[[#This Row],[Pcode]],CampList[CP_Pcode],0)-1,0,1,1)</f>
        <v>10</v>
      </c>
      <c r="F143" s="335">
        <f ca="1">OFFSET(CampList[Total],MATCH(Table10[[#This Row],[Pcode]],CampList[CP_Pcode],0)-1,0,1,1)</f>
        <v>39</v>
      </c>
      <c r="G143" s="335">
        <f>SUMIF('NFI Tracking'!AO$12:AO$1048576,Table10[[#This Row],[Pcode]],'NFI Tracking'!AI$12:AI$1048576)</f>
        <v>0</v>
      </c>
      <c r="H143" s="335">
        <f>SUMIF('NFI Tracking'!AO$12:AO$1048576,Table10[[#This Row],[Pcode]],'NFI Tracking'!AJ$12:AJ$1048576)</f>
        <v>0</v>
      </c>
      <c r="I143" s="335">
        <f>SUMIF('NFI Tracking'!AO$12:AO$1048576,Table10[[#This Row],[Pcode]],'NFI Tracking'!AK$12:AK$1048576)</f>
        <v>0</v>
      </c>
      <c r="J143" s="335">
        <f ca="1">MAX(Table10[[#This Row],[HH]]*VLOOKUP("Winter Clothes Adult",NFI,6)-Table10[[#This Row],[Winter Clothes Adult ]],0)</f>
        <v>20</v>
      </c>
      <c r="K143" s="335">
        <f ca="1">MAX(Table10[[#This Row],[HH]]*VLOOKUP("Winter Clothes Children ",NFI,6)-Table10[[#This Row],[Winter Clothes Children ]],0)</f>
        <v>10</v>
      </c>
      <c r="L143" s="335">
        <f ca="1">MAX(Table10[[#This Row],[HH]]*VLOOKUP("Winter Items Other ",NFI,6)-Table10[[#This Row],[Winter Items Other ]],0)</f>
        <v>10</v>
      </c>
      <c r="M143" s="368" t="str">
        <f>IF(OR(Table10[[#This Row],[Winter Clothes Adult ]]&lt;&gt;0,Table10[[#This Row],[Winter Clothes Children ]]&lt;&gt;0,Table10[[#This Row],[Winter Items Other ]]&lt;&gt;0),"No","")</f>
        <v/>
      </c>
      <c r="N143" s="369">
        <f>COUNTIF(A:A,Table10[[#This Row],[Pcode]])-1</f>
        <v>0</v>
      </c>
    </row>
    <row r="144" spans="1:14" x14ac:dyDescent="0.25">
      <c r="A144" s="312" t="s">
        <v>21</v>
      </c>
      <c r="B144" s="25" t="str">
        <f ca="1">OFFSET(CampList[Priority],MATCH(Table10[[#This Row],[Pcode]],CampList[CP_Pcode],0)-1,0,1,1)</f>
        <v>P4</v>
      </c>
      <c r="C144" s="25" t="str">
        <f ca="1">OFFSET(CampList[Camp],MATCH(Table10[[#This Row],[Pcode]],CampList[CP_Pcode],0)-1,0,1,1)</f>
        <v>Robert Church</v>
      </c>
      <c r="D144" s="25" t="str">
        <f ca="1">OFFSET(CampList[Township],MATCH(Table10[[#This Row],[Pcode]],CampList[CP_Pcode],0)-1,0,1,1)</f>
        <v>Bhamo</v>
      </c>
      <c r="E144" s="335">
        <f ca="1">OFFSET(CampList[HH],MATCH(Table10[[#This Row],[Pcode]],CampList[CP_Pcode],0)-1,0,1,1)</f>
        <v>629</v>
      </c>
      <c r="F144" s="335">
        <f ca="1">OFFSET(CampList[Total],MATCH(Table10[[#This Row],[Pcode]],CampList[CP_Pcode],0)-1,0,1,1)</f>
        <v>3801</v>
      </c>
      <c r="G144" s="335">
        <f>SUMIF('NFI Tracking'!AO$12:AO$1048576,Table10[[#This Row],[Pcode]],'NFI Tracking'!AI$12:AI$1048576)</f>
        <v>0</v>
      </c>
      <c r="H144" s="335">
        <f>SUMIF('NFI Tracking'!AO$12:AO$1048576,Table10[[#This Row],[Pcode]],'NFI Tracking'!AJ$12:AJ$1048576)</f>
        <v>0</v>
      </c>
      <c r="I144" s="335">
        <f>SUMIF('NFI Tracking'!AO$12:AO$1048576,Table10[[#This Row],[Pcode]],'NFI Tracking'!AK$12:AK$1048576)</f>
        <v>0</v>
      </c>
      <c r="J144" s="335">
        <f ca="1">MAX(Table10[[#This Row],[HH]]*VLOOKUP("Winter Clothes Adult",NFI,6)-Table10[[#This Row],[Winter Clothes Adult ]],0)</f>
        <v>1258</v>
      </c>
      <c r="K144" s="335">
        <f ca="1">MAX(Table10[[#This Row],[HH]]*VLOOKUP("Winter Clothes Children ",NFI,6)-Table10[[#This Row],[Winter Clothes Children ]],0)</f>
        <v>629</v>
      </c>
      <c r="L144" s="335">
        <f ca="1">MAX(Table10[[#This Row],[HH]]*VLOOKUP("Winter Items Other ",NFI,6)-Table10[[#This Row],[Winter Items Other ]],0)</f>
        <v>629</v>
      </c>
      <c r="M144" s="368" t="str">
        <f>IF(OR(Table10[[#This Row],[Winter Clothes Adult ]]&lt;&gt;0,Table10[[#This Row],[Winter Clothes Children ]]&lt;&gt;0,Table10[[#This Row],[Winter Items Other ]]&lt;&gt;0),"No","")</f>
        <v/>
      </c>
      <c r="N144" s="369">
        <f>COUNTIF(A:A,Table10[[#This Row],[Pcode]])-1</f>
        <v>0</v>
      </c>
    </row>
    <row r="145" spans="1:14" x14ac:dyDescent="0.25">
      <c r="A145" s="312" t="s">
        <v>123</v>
      </c>
      <c r="B145" s="25" t="str">
        <f ca="1">OFFSET(CampList[Priority],MATCH(Table10[[#This Row],[Pcode]],CampList[CP_Pcode],0)-1,0,1,1)</f>
        <v>P4</v>
      </c>
      <c r="C145" s="25" t="str">
        <f ca="1">OFFSET(CampList[Camp],MATCH(Table10[[#This Row],[Pcode]],CampList[CP_Pcode],0)-1,0,1,1)</f>
        <v>Sai Nai Baptish Church, Maw Shan Vil., Seki Mu</v>
      </c>
      <c r="D145" s="25" t="str">
        <f ca="1">OFFSET(CampList[Township],MATCH(Table10[[#This Row],[Pcode]],CampList[CP_Pcode],0)-1,0,1,1)</f>
        <v>Hpakant</v>
      </c>
      <c r="E145" s="335">
        <f ca="1">OFFSET(CampList[HH],MATCH(Table10[[#This Row],[Pcode]],CampList[CP_Pcode],0)-1,0,1,1)</f>
        <v>8</v>
      </c>
      <c r="F145" s="335">
        <f ca="1">OFFSET(CampList[Total],MATCH(Table10[[#This Row],[Pcode]],CampList[CP_Pcode],0)-1,0,1,1)</f>
        <v>40</v>
      </c>
      <c r="G145" s="335">
        <f>SUMIF('NFI Tracking'!AO$12:AO$1048576,Table10[[#This Row],[Pcode]],'NFI Tracking'!AI$12:AI$1048576)</f>
        <v>0</v>
      </c>
      <c r="H145" s="335">
        <f>SUMIF('NFI Tracking'!AO$12:AO$1048576,Table10[[#This Row],[Pcode]],'NFI Tracking'!AJ$12:AJ$1048576)</f>
        <v>0</v>
      </c>
      <c r="I145" s="335">
        <f>SUMIF('NFI Tracking'!AO$12:AO$1048576,Table10[[#This Row],[Pcode]],'NFI Tracking'!AK$12:AK$1048576)</f>
        <v>0</v>
      </c>
      <c r="J145" s="335">
        <f ca="1">MAX(Table10[[#This Row],[HH]]*VLOOKUP("Winter Clothes Adult",NFI,6)-Table10[[#This Row],[Winter Clothes Adult ]],0)</f>
        <v>16</v>
      </c>
      <c r="K145" s="335">
        <f ca="1">MAX(Table10[[#This Row],[HH]]*VLOOKUP("Winter Clothes Children ",NFI,6)-Table10[[#This Row],[Winter Clothes Children ]],0)</f>
        <v>8</v>
      </c>
      <c r="L145" s="335">
        <f ca="1">MAX(Table10[[#This Row],[HH]]*VLOOKUP("Winter Items Other ",NFI,6)-Table10[[#This Row],[Winter Items Other ]],0)</f>
        <v>8</v>
      </c>
      <c r="M145" s="368" t="str">
        <f>IF(OR(Table10[[#This Row],[Winter Clothes Adult ]]&lt;&gt;0,Table10[[#This Row],[Winter Clothes Children ]]&lt;&gt;0,Table10[[#This Row],[Winter Items Other ]]&lt;&gt;0),"No","")</f>
        <v/>
      </c>
      <c r="N145" s="369">
        <f>COUNTIF(A:A,Table10[[#This Row],[Pcode]])-1</f>
        <v>0</v>
      </c>
    </row>
    <row r="146" spans="1:14" x14ac:dyDescent="0.25">
      <c r="A146" s="312" t="s">
        <v>276</v>
      </c>
      <c r="B146" s="25" t="str">
        <f ca="1">OFFSET(CampList[Priority],MATCH(Table10[[#This Row],[Pcode]],CampList[CP_Pcode],0)-1,0,1,1)</f>
        <v>P4</v>
      </c>
      <c r="C146" s="25" t="str">
        <f ca="1">OFFSET(CampList[Camp],MATCH(Table10[[#This Row],[Pcode]],CampList[CP_Pcode],0)-1,0,1,1)</f>
        <v>Shatapru Sut Ngai Tawng</v>
      </c>
      <c r="D146" s="25" t="str">
        <f ca="1">OFFSET(CampList[Township],MATCH(Table10[[#This Row],[Pcode]],CampList[CP_Pcode],0)-1,0,1,1)</f>
        <v>Myitkyina</v>
      </c>
      <c r="E146" s="335">
        <f ca="1">OFFSET(CampList[HH],MATCH(Table10[[#This Row],[Pcode]],CampList[CP_Pcode],0)-1,0,1,1)</f>
        <v>90</v>
      </c>
      <c r="F146" s="335">
        <f ca="1">OFFSET(CampList[Total],MATCH(Table10[[#This Row],[Pcode]],CampList[CP_Pcode],0)-1,0,1,1)</f>
        <v>394</v>
      </c>
      <c r="G146" s="335">
        <f>SUMIF('NFI Tracking'!AO$12:AO$1048576,Table10[[#This Row],[Pcode]],'NFI Tracking'!AI$12:AI$1048576)</f>
        <v>0</v>
      </c>
      <c r="H146" s="335">
        <f>SUMIF('NFI Tracking'!AO$12:AO$1048576,Table10[[#This Row],[Pcode]],'NFI Tracking'!AJ$12:AJ$1048576)</f>
        <v>0</v>
      </c>
      <c r="I146" s="335">
        <f>SUMIF('NFI Tracking'!AO$12:AO$1048576,Table10[[#This Row],[Pcode]],'NFI Tracking'!AK$12:AK$1048576)</f>
        <v>0</v>
      </c>
      <c r="J146" s="335">
        <f ca="1">MAX(Table10[[#This Row],[HH]]*VLOOKUP("Winter Clothes Adult",NFI,6)-Table10[[#This Row],[Winter Clothes Adult ]],0)</f>
        <v>180</v>
      </c>
      <c r="K146" s="335">
        <f ca="1">MAX(Table10[[#This Row],[HH]]*VLOOKUP("Winter Clothes Children ",NFI,6)-Table10[[#This Row],[Winter Clothes Children ]],0)</f>
        <v>90</v>
      </c>
      <c r="L146" s="335">
        <f ca="1">MAX(Table10[[#This Row],[HH]]*VLOOKUP("Winter Items Other ",NFI,6)-Table10[[#This Row],[Winter Items Other ]],0)</f>
        <v>90</v>
      </c>
      <c r="M146" s="368" t="str">
        <f>IF(OR(Table10[[#This Row],[Winter Clothes Adult ]]&lt;&gt;0,Table10[[#This Row],[Winter Clothes Children ]]&lt;&gt;0,Table10[[#This Row],[Winter Items Other ]]&lt;&gt;0),"No","")</f>
        <v/>
      </c>
      <c r="N146" s="369">
        <f>COUNTIF(A:A,Table10[[#This Row],[Pcode]])-1</f>
        <v>0</v>
      </c>
    </row>
    <row r="147" spans="1:14" x14ac:dyDescent="0.25">
      <c r="A147" s="312" t="s">
        <v>278</v>
      </c>
      <c r="B147" s="25" t="str">
        <f ca="1">OFFSET(CampList[Priority],MATCH(Table10[[#This Row],[Pcode]],CampList[CP_Pcode],0)-1,0,1,1)</f>
        <v>P4</v>
      </c>
      <c r="C147" s="25" t="str">
        <f ca="1">OFFSET(CampList[Camp],MATCH(Table10[[#This Row],[Pcode]],CampList[CP_Pcode],0)-1,0,1,1)</f>
        <v>Shatapru Thida Aye Baptist Church</v>
      </c>
      <c r="D147" s="25" t="str">
        <f ca="1">OFFSET(CampList[Township],MATCH(Table10[[#This Row],[Pcode]],CampList[CP_Pcode],0)-1,0,1,1)</f>
        <v>Myitkyina</v>
      </c>
      <c r="E147" s="335">
        <f ca="1">OFFSET(CampList[HH],MATCH(Table10[[#This Row],[Pcode]],CampList[CP_Pcode],0)-1,0,1,1)</f>
        <v>22</v>
      </c>
      <c r="F147" s="335">
        <f ca="1">OFFSET(CampList[Total],MATCH(Table10[[#This Row],[Pcode]],CampList[CP_Pcode],0)-1,0,1,1)</f>
        <v>111</v>
      </c>
      <c r="G147" s="335">
        <f>SUMIF('NFI Tracking'!AO$12:AO$1048576,Table10[[#This Row],[Pcode]],'NFI Tracking'!AI$12:AI$1048576)</f>
        <v>0</v>
      </c>
      <c r="H147" s="335">
        <f>SUMIF('NFI Tracking'!AO$12:AO$1048576,Table10[[#This Row],[Pcode]],'NFI Tracking'!AJ$12:AJ$1048576)</f>
        <v>0</v>
      </c>
      <c r="I147" s="335">
        <f>SUMIF('NFI Tracking'!AO$12:AO$1048576,Table10[[#This Row],[Pcode]],'NFI Tracking'!AK$12:AK$1048576)</f>
        <v>0</v>
      </c>
      <c r="J147" s="335">
        <f ca="1">MAX(Table10[[#This Row],[HH]]*VLOOKUP("Winter Clothes Adult",NFI,6)-Table10[[#This Row],[Winter Clothes Adult ]],0)</f>
        <v>44</v>
      </c>
      <c r="K147" s="335">
        <f ca="1">MAX(Table10[[#This Row],[HH]]*VLOOKUP("Winter Clothes Children ",NFI,6)-Table10[[#This Row],[Winter Clothes Children ]],0)</f>
        <v>22</v>
      </c>
      <c r="L147" s="335">
        <f ca="1">MAX(Table10[[#This Row],[HH]]*VLOOKUP("Winter Items Other ",NFI,6)-Table10[[#This Row],[Winter Items Other ]],0)</f>
        <v>22</v>
      </c>
      <c r="M147" s="368" t="str">
        <f>IF(OR(Table10[[#This Row],[Winter Clothes Adult ]]&lt;&gt;0,Table10[[#This Row],[Winter Clothes Children ]]&lt;&gt;0,Table10[[#This Row],[Winter Items Other ]]&lt;&gt;0),"No","")</f>
        <v/>
      </c>
      <c r="N147" s="369">
        <f>COUNTIF(A:A,Table10[[#This Row],[Pcode]])-1</f>
        <v>0</v>
      </c>
    </row>
    <row r="148" spans="1:14" x14ac:dyDescent="0.25">
      <c r="A148" s="312" t="s">
        <v>305</v>
      </c>
      <c r="B148" s="25" t="str">
        <f ca="1">OFFSET(CampList[Priority],MATCH(Table10[[#This Row],[Pcode]],CampList[CP_Pcode],0)-1,0,1,1)</f>
        <v>P4</v>
      </c>
      <c r="C148" s="25" t="str">
        <f ca="1">OFFSET(CampList[Camp],MATCH(Table10[[#This Row],[Pcode]],CampList[CP_Pcode],0)-1,0,1,1)</f>
        <v>Shwe Gu Baptist Church</v>
      </c>
      <c r="D148" s="25" t="str">
        <f ca="1">OFFSET(CampList[Township],MATCH(Table10[[#This Row],[Pcode]],CampList[CP_Pcode],0)-1,0,1,1)</f>
        <v>Shwegu</v>
      </c>
      <c r="E148" s="335">
        <f ca="1">OFFSET(CampList[HH],MATCH(Table10[[#This Row],[Pcode]],CampList[CP_Pcode],0)-1,0,1,1)</f>
        <v>86</v>
      </c>
      <c r="F148" s="335">
        <f ca="1">OFFSET(CampList[Total],MATCH(Table10[[#This Row],[Pcode]],CampList[CP_Pcode],0)-1,0,1,1)</f>
        <v>313</v>
      </c>
      <c r="G148" s="335">
        <f>SUMIF('NFI Tracking'!AO$12:AO$1048576,Table10[[#This Row],[Pcode]],'NFI Tracking'!AI$12:AI$1048576)</f>
        <v>0</v>
      </c>
      <c r="H148" s="335">
        <f>SUMIF('NFI Tracking'!AO$12:AO$1048576,Table10[[#This Row],[Pcode]],'NFI Tracking'!AJ$12:AJ$1048576)</f>
        <v>0</v>
      </c>
      <c r="I148" s="335">
        <f>SUMIF('NFI Tracking'!AO$12:AO$1048576,Table10[[#This Row],[Pcode]],'NFI Tracking'!AK$12:AK$1048576)</f>
        <v>0</v>
      </c>
      <c r="J148" s="335">
        <f ca="1">MAX(Table10[[#This Row],[HH]]*VLOOKUP("Winter Clothes Adult",NFI,6)-Table10[[#This Row],[Winter Clothes Adult ]],0)</f>
        <v>172</v>
      </c>
      <c r="K148" s="335">
        <f ca="1">MAX(Table10[[#This Row],[HH]]*VLOOKUP("Winter Clothes Children ",NFI,6)-Table10[[#This Row],[Winter Clothes Children ]],0)</f>
        <v>86</v>
      </c>
      <c r="L148" s="335">
        <f ca="1">MAX(Table10[[#This Row],[HH]]*VLOOKUP("Winter Items Other ",NFI,6)-Table10[[#This Row],[Winter Items Other ]],0)</f>
        <v>86</v>
      </c>
      <c r="M148" s="368" t="str">
        <f>IF(OR(Table10[[#This Row],[Winter Clothes Adult ]]&lt;&gt;0,Table10[[#This Row],[Winter Clothes Children ]]&lt;&gt;0,Table10[[#This Row],[Winter Items Other ]]&lt;&gt;0),"No","")</f>
        <v/>
      </c>
      <c r="N148" s="369">
        <f>COUNTIF(A:A,Table10[[#This Row],[Pcode]])-1</f>
        <v>0</v>
      </c>
    </row>
    <row r="149" spans="1:14" x14ac:dyDescent="0.25">
      <c r="A149" s="312" t="s">
        <v>307</v>
      </c>
      <c r="B149" s="25" t="str">
        <f ca="1">OFFSET(CampList[Priority],MATCH(Table10[[#This Row],[Pcode]],CampList[CP_Pcode],0)-1,0,1,1)</f>
        <v>P4</v>
      </c>
      <c r="C149" s="25" t="str">
        <f ca="1">OFFSET(CampList[Camp],MATCH(Table10[[#This Row],[Pcode]],CampList[CP_Pcode],0)-1,0,1,1)</f>
        <v>Shwe Gu Catholic Church</v>
      </c>
      <c r="D149" s="25" t="str">
        <f ca="1">OFFSET(CampList[Township],MATCH(Table10[[#This Row],[Pcode]],CampList[CP_Pcode],0)-1,0,1,1)</f>
        <v>Shwegu</v>
      </c>
      <c r="E149" s="335">
        <f ca="1">OFFSET(CampList[HH],MATCH(Table10[[#This Row],[Pcode]],CampList[CP_Pcode],0)-1,0,1,1)</f>
        <v>41</v>
      </c>
      <c r="F149" s="335">
        <f ca="1">OFFSET(CampList[Total],MATCH(Table10[[#This Row],[Pcode]],CampList[CP_Pcode],0)-1,0,1,1)</f>
        <v>152</v>
      </c>
      <c r="G149" s="335">
        <f>SUMIF('NFI Tracking'!AO$12:AO$1048576,Table10[[#This Row],[Pcode]],'NFI Tracking'!AI$12:AI$1048576)</f>
        <v>0</v>
      </c>
      <c r="H149" s="335">
        <f>SUMIF('NFI Tracking'!AO$12:AO$1048576,Table10[[#This Row],[Pcode]],'NFI Tracking'!AJ$12:AJ$1048576)</f>
        <v>0</v>
      </c>
      <c r="I149" s="335">
        <f>SUMIF('NFI Tracking'!AO$12:AO$1048576,Table10[[#This Row],[Pcode]],'NFI Tracking'!AK$12:AK$1048576)</f>
        <v>0</v>
      </c>
      <c r="J149" s="335">
        <f ca="1">MAX(Table10[[#This Row],[HH]]*VLOOKUP("Winter Clothes Adult",NFI,6)-Table10[[#This Row],[Winter Clothes Adult ]],0)</f>
        <v>82</v>
      </c>
      <c r="K149" s="335">
        <f ca="1">MAX(Table10[[#This Row],[HH]]*VLOOKUP("Winter Clothes Children ",NFI,6)-Table10[[#This Row],[Winter Clothes Children ]],0)</f>
        <v>41</v>
      </c>
      <c r="L149" s="335">
        <f ca="1">MAX(Table10[[#This Row],[HH]]*VLOOKUP("Winter Items Other ",NFI,6)-Table10[[#This Row],[Winter Items Other ]],0)</f>
        <v>41</v>
      </c>
      <c r="M149" s="368" t="str">
        <f>IF(OR(Table10[[#This Row],[Winter Clothes Adult ]]&lt;&gt;0,Table10[[#This Row],[Winter Clothes Children ]]&lt;&gt;0,Table10[[#This Row],[Winter Items Other ]]&lt;&gt;0),"No","")</f>
        <v/>
      </c>
      <c r="N149" s="369">
        <f>COUNTIF(A:A,Table10[[#This Row],[Pcode]])-1</f>
        <v>0</v>
      </c>
    </row>
    <row r="150" spans="1:14" x14ac:dyDescent="0.25">
      <c r="A150" s="312" t="s">
        <v>280</v>
      </c>
      <c r="B150" s="25" t="str">
        <f ca="1">OFFSET(CampList[Priority],MATCH(Table10[[#This Row],[Pcode]],CampList[CP_Pcode],0)-1,0,1,1)</f>
        <v>P4</v>
      </c>
      <c r="C150" s="25" t="str">
        <f ca="1">OFFSET(CampList[Camp],MATCH(Table10[[#This Row],[Pcode]],CampList[CP_Pcode],0)-1,0,1,1)</f>
        <v>Shwe Zet Baptist Church</v>
      </c>
      <c r="D150" s="25" t="str">
        <f ca="1">OFFSET(CampList[Township],MATCH(Table10[[#This Row],[Pcode]],CampList[CP_Pcode],0)-1,0,1,1)</f>
        <v>Myitkyina</v>
      </c>
      <c r="E150" s="335">
        <f ca="1">OFFSET(CampList[HH],MATCH(Table10[[#This Row],[Pcode]],CampList[CP_Pcode],0)-1,0,1,1)</f>
        <v>89</v>
      </c>
      <c r="F150" s="335">
        <f ca="1">OFFSET(CampList[Total],MATCH(Table10[[#This Row],[Pcode]],CampList[CP_Pcode],0)-1,0,1,1)</f>
        <v>492</v>
      </c>
      <c r="G150" s="335">
        <f>SUMIF('NFI Tracking'!AO$12:AO$1048576,Table10[[#This Row],[Pcode]],'NFI Tracking'!AI$12:AI$1048576)</f>
        <v>0</v>
      </c>
      <c r="H150" s="335">
        <f>SUMIF('NFI Tracking'!AO$12:AO$1048576,Table10[[#This Row],[Pcode]],'NFI Tracking'!AJ$12:AJ$1048576)</f>
        <v>0</v>
      </c>
      <c r="I150" s="335">
        <f>SUMIF('NFI Tracking'!AO$12:AO$1048576,Table10[[#This Row],[Pcode]],'NFI Tracking'!AK$12:AK$1048576)</f>
        <v>0</v>
      </c>
      <c r="J150" s="335">
        <f ca="1">MAX(Table10[[#This Row],[HH]]*VLOOKUP("Winter Clothes Adult",NFI,6)-Table10[[#This Row],[Winter Clothes Adult ]],0)</f>
        <v>178</v>
      </c>
      <c r="K150" s="335">
        <f ca="1">MAX(Table10[[#This Row],[HH]]*VLOOKUP("Winter Clothes Children ",NFI,6)-Table10[[#This Row],[Winter Clothes Children ]],0)</f>
        <v>89</v>
      </c>
      <c r="L150" s="335">
        <f ca="1">MAX(Table10[[#This Row],[HH]]*VLOOKUP("Winter Items Other ",NFI,6)-Table10[[#This Row],[Winter Items Other ]],0)</f>
        <v>89</v>
      </c>
      <c r="M150" s="368" t="str">
        <f>IF(OR(Table10[[#This Row],[Winter Clothes Adult ]]&lt;&gt;0,Table10[[#This Row],[Winter Clothes Children ]]&lt;&gt;0,Table10[[#This Row],[Winter Items Other ]]&lt;&gt;0),"No","")</f>
        <v/>
      </c>
      <c r="N150" s="369">
        <f>COUNTIF(A:A,Table10[[#This Row],[Pcode]])-1</f>
        <v>0</v>
      </c>
    </row>
    <row r="151" spans="1:14" x14ac:dyDescent="0.25">
      <c r="A151" s="312" t="s">
        <v>179</v>
      </c>
      <c r="B151" s="25" t="str">
        <f ca="1">OFFSET(CampList[Priority],MATCH(Table10[[#This Row],[Pcode]],CampList[CP_Pcode],0)-1,0,1,1)</f>
        <v>P4</v>
      </c>
      <c r="C151" s="25" t="str">
        <f ca="1">OFFSET(CampList[Camp],MATCH(Table10[[#This Row],[Pcode]],CampList[CP_Pcode],0)-1,0,1,1)</f>
        <v xml:space="preserve">St. Patrick Catholic Church </v>
      </c>
      <c r="D151" s="25" t="str">
        <f ca="1">OFFSET(CampList[Township],MATCH(Table10[[#This Row],[Pcode]],CampList[CP_Pcode],0)-1,0,1,1)</f>
        <v>Mohnyin</v>
      </c>
      <c r="E151" s="335">
        <f ca="1">OFFSET(CampList[HH],MATCH(Table10[[#This Row],[Pcode]],CampList[CP_Pcode],0)-1,0,1,1)</f>
        <v>12</v>
      </c>
      <c r="F151" s="335">
        <f ca="1">OFFSET(CampList[Total],MATCH(Table10[[#This Row],[Pcode]],CampList[CP_Pcode],0)-1,0,1,1)</f>
        <v>61</v>
      </c>
      <c r="G151" s="335">
        <f>SUMIF('NFI Tracking'!AO$12:AO$1048576,Table10[[#This Row],[Pcode]],'NFI Tracking'!AI$12:AI$1048576)</f>
        <v>0</v>
      </c>
      <c r="H151" s="335">
        <f>SUMIF('NFI Tracking'!AO$12:AO$1048576,Table10[[#This Row],[Pcode]],'NFI Tracking'!AJ$12:AJ$1048576)</f>
        <v>0</v>
      </c>
      <c r="I151" s="335">
        <f>SUMIF('NFI Tracking'!AO$12:AO$1048576,Table10[[#This Row],[Pcode]],'NFI Tracking'!AK$12:AK$1048576)</f>
        <v>0</v>
      </c>
      <c r="J151" s="335">
        <f ca="1">MAX(Table10[[#This Row],[HH]]*VLOOKUP("Winter Clothes Adult",NFI,6)-Table10[[#This Row],[Winter Clothes Adult ]],0)</f>
        <v>24</v>
      </c>
      <c r="K151" s="335">
        <f ca="1">MAX(Table10[[#This Row],[HH]]*VLOOKUP("Winter Clothes Children ",NFI,6)-Table10[[#This Row],[Winter Clothes Children ]],0)</f>
        <v>12</v>
      </c>
      <c r="L151" s="335">
        <f ca="1">MAX(Table10[[#This Row],[HH]]*VLOOKUP("Winter Items Other ",NFI,6)-Table10[[#This Row],[Winter Items Other ]],0)</f>
        <v>12</v>
      </c>
      <c r="M151" s="368" t="str">
        <f>IF(OR(Table10[[#This Row],[Winter Clothes Adult ]]&lt;&gt;0,Table10[[#This Row],[Winter Clothes Children ]]&lt;&gt;0,Table10[[#This Row],[Winter Items Other ]]&lt;&gt;0),"No","")</f>
        <v/>
      </c>
      <c r="N151" s="369">
        <f>COUNTIF(A:A,Table10[[#This Row],[Pcode]])-1</f>
        <v>0</v>
      </c>
    </row>
    <row r="152" spans="1:14" x14ac:dyDescent="0.25">
      <c r="A152" s="312" t="s">
        <v>813</v>
      </c>
      <c r="B152" s="25" t="str">
        <f ca="1">OFFSET(CampList[Priority],MATCH(Table10[[#This Row],[Pcode]],CampList[CP_Pcode],0)-1,0,1,1)</f>
        <v>P4</v>
      </c>
      <c r="C152" s="25" t="str">
        <f ca="1">OFFSET(CampList[Camp],MATCH(Table10[[#This Row],[Pcode]],CampList[CP_Pcode],0)-1,0,1,1)</f>
        <v>Sumprabum</v>
      </c>
      <c r="D152" s="25" t="str">
        <f ca="1">OFFSET(CampList[Township],MATCH(Table10[[#This Row],[Pcode]],CampList[CP_Pcode],0)-1,0,1,1)</f>
        <v>Sumprabum</v>
      </c>
      <c r="E152" s="335">
        <f ca="1">OFFSET(CampList[HH],MATCH(Table10[[#This Row],[Pcode]],CampList[CP_Pcode],0)-1,0,1,1)</f>
        <v>5</v>
      </c>
      <c r="F152" s="335">
        <f ca="1">OFFSET(CampList[Total],MATCH(Table10[[#This Row],[Pcode]],CampList[CP_Pcode],0)-1,0,1,1)</f>
        <v>32</v>
      </c>
      <c r="G152" s="335">
        <f>SUMIF('NFI Tracking'!AO$12:AO$1048576,Table10[[#This Row],[Pcode]],'NFI Tracking'!AI$12:AI$1048576)</f>
        <v>0</v>
      </c>
      <c r="H152" s="335">
        <f>SUMIF('NFI Tracking'!AO$12:AO$1048576,Table10[[#This Row],[Pcode]],'NFI Tracking'!AJ$12:AJ$1048576)</f>
        <v>0</v>
      </c>
      <c r="I152" s="335">
        <f>SUMIF('NFI Tracking'!AO$12:AO$1048576,Table10[[#This Row],[Pcode]],'NFI Tracking'!AK$12:AK$1048576)</f>
        <v>0</v>
      </c>
      <c r="J152" s="335">
        <f ca="1">MAX(Table10[[#This Row],[HH]]*VLOOKUP("Winter Clothes Adult",NFI,6)-Table10[[#This Row],[Winter Clothes Adult ]],0)</f>
        <v>10</v>
      </c>
      <c r="K152" s="335">
        <f ca="1">MAX(Table10[[#This Row],[HH]]*VLOOKUP("Winter Clothes Children ",NFI,6)-Table10[[#This Row],[Winter Clothes Children ]],0)</f>
        <v>5</v>
      </c>
      <c r="L152" s="335">
        <f ca="1">MAX(Table10[[#This Row],[HH]]*VLOOKUP("Winter Items Other ",NFI,6)-Table10[[#This Row],[Winter Items Other ]],0)</f>
        <v>5</v>
      </c>
      <c r="M152" s="368" t="str">
        <f>IF(OR(Table10[[#This Row],[Winter Clothes Adult ]]&lt;&gt;0,Table10[[#This Row],[Winter Clothes Children ]]&lt;&gt;0,Table10[[#This Row],[Winter Items Other ]]&lt;&gt;0),"No","")</f>
        <v/>
      </c>
      <c r="N152" s="369">
        <f>COUNTIF(A:A,Table10[[#This Row],[Pcode]])-1</f>
        <v>0</v>
      </c>
    </row>
    <row r="153" spans="1:14" x14ac:dyDescent="0.25">
      <c r="A153" s="312" t="s">
        <v>23</v>
      </c>
      <c r="B153" s="25" t="str">
        <f ca="1">OFFSET(CampList[Priority],MATCH(Table10[[#This Row],[Pcode]],CampList[CP_Pcode],0)-1,0,1,1)</f>
        <v>P4</v>
      </c>
      <c r="C153" s="25" t="str">
        <f ca="1">OFFSET(CampList[Camp],MATCH(Table10[[#This Row],[Pcode]],CampList[CP_Pcode],0)-1,0,1,1)</f>
        <v>Ta Gun Taing Monastery (Shwe Kyi Na)</v>
      </c>
      <c r="D153" s="25" t="str">
        <f ca="1">OFFSET(CampList[Township],MATCH(Table10[[#This Row],[Pcode]],CampList[CP_Pcode],0)-1,0,1,1)</f>
        <v>Bhamo</v>
      </c>
      <c r="E153" s="335">
        <f ca="1">OFFSET(CampList[HH],MATCH(Table10[[#This Row],[Pcode]],CampList[CP_Pcode],0)-1,0,1,1)</f>
        <v>21</v>
      </c>
      <c r="F153" s="335">
        <f ca="1">OFFSET(CampList[Total],MATCH(Table10[[#This Row],[Pcode]],CampList[CP_Pcode],0)-1,0,1,1)</f>
        <v>97</v>
      </c>
      <c r="G153" s="335">
        <f>SUMIF('NFI Tracking'!AO$12:AO$1048576,Table10[[#This Row],[Pcode]],'NFI Tracking'!AI$12:AI$1048576)</f>
        <v>0</v>
      </c>
      <c r="H153" s="335">
        <f>SUMIF('NFI Tracking'!AO$12:AO$1048576,Table10[[#This Row],[Pcode]],'NFI Tracking'!AJ$12:AJ$1048576)</f>
        <v>0</v>
      </c>
      <c r="I153" s="335">
        <f>SUMIF('NFI Tracking'!AO$12:AO$1048576,Table10[[#This Row],[Pcode]],'NFI Tracking'!AK$12:AK$1048576)</f>
        <v>0</v>
      </c>
      <c r="J153" s="335">
        <f ca="1">MAX(Table10[[#This Row],[HH]]*VLOOKUP("Winter Clothes Adult",NFI,6)-Table10[[#This Row],[Winter Clothes Adult ]],0)</f>
        <v>42</v>
      </c>
      <c r="K153" s="335">
        <f ca="1">MAX(Table10[[#This Row],[HH]]*VLOOKUP("Winter Clothes Children ",NFI,6)-Table10[[#This Row],[Winter Clothes Children ]],0)</f>
        <v>21</v>
      </c>
      <c r="L153" s="335">
        <f ca="1">MAX(Table10[[#This Row],[HH]]*VLOOKUP("Winter Items Other ",NFI,6)-Table10[[#This Row],[Winter Items Other ]],0)</f>
        <v>21</v>
      </c>
      <c r="M153" s="368" t="str">
        <f>IF(OR(Table10[[#This Row],[Winter Clothes Adult ]]&lt;&gt;0,Table10[[#This Row],[Winter Clothes Children ]]&lt;&gt;0,Table10[[#This Row],[Winter Items Other ]]&lt;&gt;0),"No","")</f>
        <v/>
      </c>
      <c r="N153" s="369">
        <f>COUNTIF(A:A,Table10[[#This Row],[Pcode]])-1</f>
        <v>0</v>
      </c>
    </row>
    <row r="154" spans="1:14" x14ac:dyDescent="0.25">
      <c r="A154" s="312" t="s">
        <v>226</v>
      </c>
      <c r="B154" s="25" t="str">
        <f ca="1">OFFSET(CampList[Priority],MATCH(Table10[[#This Row],[Pcode]],CampList[CP_Pcode],0)-1,0,1,1)</f>
        <v>P4</v>
      </c>
      <c r="C154" s="25" t="str">
        <f ca="1">OFFSET(CampList[Camp],MATCH(Table10[[#This Row],[Pcode]],CampList[CP_Pcode],0)-1,0,1,1)</f>
        <v xml:space="preserve">Tarli </v>
      </c>
      <c r="D154" s="25" t="str">
        <f ca="1">OFFSET(CampList[Township],MATCH(Table10[[#This Row],[Pcode]],CampList[CP_Pcode],0)-1,0,1,1)</f>
        <v>Momauk</v>
      </c>
      <c r="E154" s="335">
        <f ca="1">OFFSET(CampList[HH],MATCH(Table10[[#This Row],[Pcode]],CampList[CP_Pcode],0)-1,0,1,1)</f>
        <v>10</v>
      </c>
      <c r="F154" s="335">
        <f ca="1">OFFSET(CampList[Total],MATCH(Table10[[#This Row],[Pcode]],CampList[CP_Pcode],0)-1,0,1,1)</f>
        <v>38</v>
      </c>
      <c r="G154" s="335">
        <f>SUMIF('NFI Tracking'!AO$12:AO$1048576,Table10[[#This Row],[Pcode]],'NFI Tracking'!AI$12:AI$1048576)</f>
        <v>0</v>
      </c>
      <c r="H154" s="335">
        <f>SUMIF('NFI Tracking'!AO$12:AO$1048576,Table10[[#This Row],[Pcode]],'NFI Tracking'!AJ$12:AJ$1048576)</f>
        <v>0</v>
      </c>
      <c r="I154" s="335">
        <f>SUMIF('NFI Tracking'!AO$12:AO$1048576,Table10[[#This Row],[Pcode]],'NFI Tracking'!AK$12:AK$1048576)</f>
        <v>0</v>
      </c>
      <c r="J154" s="335">
        <f ca="1">MAX(Table10[[#This Row],[HH]]*VLOOKUP("Winter Clothes Adult",NFI,6)-Table10[[#This Row],[Winter Clothes Adult ]],0)</f>
        <v>20</v>
      </c>
      <c r="K154" s="335">
        <f ca="1">MAX(Table10[[#This Row],[HH]]*VLOOKUP("Winter Clothes Children ",NFI,6)-Table10[[#This Row],[Winter Clothes Children ]],0)</f>
        <v>10</v>
      </c>
      <c r="L154" s="335">
        <f ca="1">MAX(Table10[[#This Row],[HH]]*VLOOKUP("Winter Items Other ",NFI,6)-Table10[[#This Row],[Winter Items Other ]],0)</f>
        <v>10</v>
      </c>
      <c r="M154" s="368" t="str">
        <f>IF(OR(Table10[[#This Row],[Winter Clothes Adult ]]&lt;&gt;0,Table10[[#This Row],[Winter Clothes Children ]]&lt;&gt;0,Table10[[#This Row],[Winter Items Other ]]&lt;&gt;0),"No","")</f>
        <v/>
      </c>
      <c r="N154" s="369">
        <f>COUNTIF(A:A,Table10[[#This Row],[Pcode]])-1</f>
        <v>0</v>
      </c>
    </row>
    <row r="155" spans="1:14" x14ac:dyDescent="0.25">
      <c r="A155" s="312" t="s">
        <v>236</v>
      </c>
      <c r="B155" s="25" t="str">
        <f ca="1">OFFSET(CampList[Priority],MATCH(Table10[[#This Row],[Pcode]],CampList[CP_Pcode],0)-1,0,1,1)</f>
        <v>P4</v>
      </c>
      <c r="C155" s="25" t="str">
        <f ca="1">OFFSET(CampList[Camp],MATCH(Table10[[#This Row],[Pcode]],CampList[CP_Pcode],0)-1,0,1,1)</f>
        <v>Tat Kone Baptist Church</v>
      </c>
      <c r="D155" s="25" t="str">
        <f ca="1">OFFSET(CampList[Township],MATCH(Table10[[#This Row],[Pcode]],CampList[CP_Pcode],0)-1,0,1,1)</f>
        <v>Myitkyina</v>
      </c>
      <c r="E155" s="335">
        <f ca="1">OFFSET(CampList[HH],MATCH(Table10[[#This Row],[Pcode]],CampList[CP_Pcode],0)-1,0,1,1)</f>
        <v>67</v>
      </c>
      <c r="F155" s="335">
        <f ca="1">OFFSET(CampList[Total],MATCH(Table10[[#This Row],[Pcode]],CampList[CP_Pcode],0)-1,0,1,1)</f>
        <v>365</v>
      </c>
      <c r="G155" s="335">
        <f>SUMIF('NFI Tracking'!AO$12:AO$1048576,Table10[[#This Row],[Pcode]],'NFI Tracking'!AI$12:AI$1048576)</f>
        <v>0</v>
      </c>
      <c r="H155" s="335">
        <f>SUMIF('NFI Tracking'!AO$12:AO$1048576,Table10[[#This Row],[Pcode]],'NFI Tracking'!AJ$12:AJ$1048576)</f>
        <v>0</v>
      </c>
      <c r="I155" s="335">
        <f>SUMIF('NFI Tracking'!AO$12:AO$1048576,Table10[[#This Row],[Pcode]],'NFI Tracking'!AK$12:AK$1048576)</f>
        <v>0</v>
      </c>
      <c r="J155" s="335">
        <f ca="1">MAX(Table10[[#This Row],[HH]]*VLOOKUP("Winter Clothes Adult",NFI,6)-Table10[[#This Row],[Winter Clothes Adult ]],0)</f>
        <v>134</v>
      </c>
      <c r="K155" s="335">
        <f ca="1">MAX(Table10[[#This Row],[HH]]*VLOOKUP("Winter Clothes Children ",NFI,6)-Table10[[#This Row],[Winter Clothes Children ]],0)</f>
        <v>67</v>
      </c>
      <c r="L155" s="335">
        <f ca="1">MAX(Table10[[#This Row],[HH]]*VLOOKUP("Winter Items Other ",NFI,6)-Table10[[#This Row],[Winter Items Other ]],0)</f>
        <v>67</v>
      </c>
      <c r="M155" s="368" t="str">
        <f>IF(OR(Table10[[#This Row],[Winter Clothes Adult ]]&lt;&gt;0,Table10[[#This Row],[Winter Clothes Children ]]&lt;&gt;0,Table10[[#This Row],[Winter Items Other ]]&lt;&gt;0),"No","")</f>
        <v/>
      </c>
      <c r="N155" s="369">
        <f>COUNTIF(A:A,Table10[[#This Row],[Pcode]])-1</f>
        <v>0</v>
      </c>
    </row>
    <row r="156" spans="1:14" x14ac:dyDescent="0.25">
      <c r="A156" s="312" t="s">
        <v>241</v>
      </c>
      <c r="B156" s="25" t="str">
        <f ca="1">OFFSET(CampList[Priority],MATCH(Table10[[#This Row],[Pcode]],CampList[CP_Pcode],0)-1,0,1,1)</f>
        <v>P4</v>
      </c>
      <c r="C156" s="25" t="str">
        <f ca="1">OFFSET(CampList[Camp],MATCH(Table10[[#This Row],[Pcode]],CampList[CP_Pcode],0)-1,0,1,1)</f>
        <v>Tat Kone COC Baptist - Tat Kone Htoi San</v>
      </c>
      <c r="D156" s="25" t="str">
        <f ca="1">OFFSET(CampList[Township],MATCH(Table10[[#This Row],[Pcode]],CampList[CP_Pcode],0)-1,0,1,1)</f>
        <v>Myitkyina</v>
      </c>
      <c r="E156" s="335">
        <f ca="1">OFFSET(CampList[HH],MATCH(Table10[[#This Row],[Pcode]],CampList[CP_Pcode],0)-1,0,1,1)</f>
        <v>54</v>
      </c>
      <c r="F156" s="335">
        <f ca="1">OFFSET(CampList[Total],MATCH(Table10[[#This Row],[Pcode]],CampList[CP_Pcode],0)-1,0,1,1)</f>
        <v>258</v>
      </c>
      <c r="G156" s="335">
        <f>SUMIF('NFI Tracking'!AO$12:AO$1048576,Table10[[#This Row],[Pcode]],'NFI Tracking'!AI$12:AI$1048576)</f>
        <v>0</v>
      </c>
      <c r="H156" s="335">
        <f>SUMIF('NFI Tracking'!AO$12:AO$1048576,Table10[[#This Row],[Pcode]],'NFI Tracking'!AJ$12:AJ$1048576)</f>
        <v>0</v>
      </c>
      <c r="I156" s="335">
        <f>SUMIF('NFI Tracking'!AO$12:AO$1048576,Table10[[#This Row],[Pcode]],'NFI Tracking'!AK$12:AK$1048576)</f>
        <v>0</v>
      </c>
      <c r="J156" s="335">
        <f ca="1">MAX(Table10[[#This Row],[HH]]*VLOOKUP("Winter Clothes Adult",NFI,6)-Table10[[#This Row],[Winter Clothes Adult ]],0)</f>
        <v>108</v>
      </c>
      <c r="K156" s="335">
        <f ca="1">MAX(Table10[[#This Row],[HH]]*VLOOKUP("Winter Clothes Children ",NFI,6)-Table10[[#This Row],[Winter Clothes Children ]],0)</f>
        <v>54</v>
      </c>
      <c r="L156" s="335">
        <f ca="1">MAX(Table10[[#This Row],[HH]]*VLOOKUP("Winter Items Other ",NFI,6)-Table10[[#This Row],[Winter Items Other ]],0)</f>
        <v>54</v>
      </c>
      <c r="M156" s="368" t="str">
        <f>IF(OR(Table10[[#This Row],[Winter Clothes Adult ]]&lt;&gt;0,Table10[[#This Row],[Winter Clothes Children ]]&lt;&gt;0,Table10[[#This Row],[Winter Items Other ]]&lt;&gt;0),"No","")</f>
        <v/>
      </c>
      <c r="N156" s="369">
        <f>COUNTIF(A:A,Table10[[#This Row],[Pcode]])-1</f>
        <v>0</v>
      </c>
    </row>
    <row r="157" spans="1:14" x14ac:dyDescent="0.25">
      <c r="A157" s="312" t="s">
        <v>248</v>
      </c>
      <c r="B157" s="25" t="str">
        <f ca="1">OFFSET(CampList[Priority],MATCH(Table10[[#This Row],[Pcode]],CampList[CP_Pcode],0)-1,0,1,1)</f>
        <v>P4</v>
      </c>
      <c r="C157" s="25" t="str">
        <f ca="1">OFFSET(CampList[Camp],MATCH(Table10[[#This Row],[Pcode]],CampList[CP_Pcode],0)-1,0,1,1)</f>
        <v>Tat Kone Emanuel Church</v>
      </c>
      <c r="D157" s="25" t="str">
        <f ca="1">OFFSET(CampList[Township],MATCH(Table10[[#This Row],[Pcode]],CampList[CP_Pcode],0)-1,0,1,1)</f>
        <v>Myitkyina</v>
      </c>
      <c r="E157" s="335">
        <f ca="1">OFFSET(CampList[HH],MATCH(Table10[[#This Row],[Pcode]],CampList[CP_Pcode],0)-1,0,1,1)</f>
        <v>6</v>
      </c>
      <c r="F157" s="335">
        <f ca="1">OFFSET(CampList[Total],MATCH(Table10[[#This Row],[Pcode]],CampList[CP_Pcode],0)-1,0,1,1)</f>
        <v>29</v>
      </c>
      <c r="G157" s="335">
        <f>SUMIF('NFI Tracking'!AO$12:AO$1048576,Table10[[#This Row],[Pcode]],'NFI Tracking'!AI$12:AI$1048576)</f>
        <v>0</v>
      </c>
      <c r="H157" s="335">
        <f>SUMIF('NFI Tracking'!AO$12:AO$1048576,Table10[[#This Row],[Pcode]],'NFI Tracking'!AJ$12:AJ$1048576)</f>
        <v>0</v>
      </c>
      <c r="I157" s="335">
        <f>SUMIF('NFI Tracking'!AO$12:AO$1048576,Table10[[#This Row],[Pcode]],'NFI Tracking'!AK$12:AK$1048576)</f>
        <v>0</v>
      </c>
      <c r="J157" s="335">
        <f ca="1">MAX(Table10[[#This Row],[HH]]*VLOOKUP("Winter Clothes Adult",NFI,6)-Table10[[#This Row],[Winter Clothes Adult ]],0)</f>
        <v>12</v>
      </c>
      <c r="K157" s="335">
        <f ca="1">MAX(Table10[[#This Row],[HH]]*VLOOKUP("Winter Clothes Children ",NFI,6)-Table10[[#This Row],[Winter Clothes Children ]],0)</f>
        <v>6</v>
      </c>
      <c r="L157" s="335">
        <f ca="1">MAX(Table10[[#This Row],[HH]]*VLOOKUP("Winter Items Other ",NFI,6)-Table10[[#This Row],[Winter Items Other ]],0)</f>
        <v>6</v>
      </c>
      <c r="M157" s="368" t="str">
        <f>IF(OR(Table10[[#This Row],[Winter Clothes Adult ]]&lt;&gt;0,Table10[[#This Row],[Winter Clothes Children ]]&lt;&gt;0,Table10[[#This Row],[Winter Items Other ]]&lt;&gt;0),"No","")</f>
        <v/>
      </c>
      <c r="N157" s="369">
        <f>COUNTIF(A:A,Table10[[#This Row],[Pcode]])-1</f>
        <v>0</v>
      </c>
    </row>
    <row r="158" spans="1:14" x14ac:dyDescent="0.25">
      <c r="A158" s="312" t="s">
        <v>250</v>
      </c>
      <c r="B158" s="25" t="str">
        <f ca="1">OFFSET(CampList[Priority],MATCH(Table10[[#This Row],[Pcode]],CampList[CP_Pcode],0)-1,0,1,1)</f>
        <v>P4</v>
      </c>
      <c r="C158" s="25" t="str">
        <f ca="1">OFFSET(CampList[Camp],MATCH(Table10[[#This Row],[Pcode]],CampList[CP_Pcode],0)-1,0,1,1)</f>
        <v>Tat Kone Galile Baptist Church</v>
      </c>
      <c r="D158" s="25" t="str">
        <f ca="1">OFFSET(CampList[Township],MATCH(Table10[[#This Row],[Pcode]],CampList[CP_Pcode],0)-1,0,1,1)</f>
        <v>Myitkyina</v>
      </c>
      <c r="E158" s="335">
        <f ca="1">OFFSET(CampList[HH],MATCH(Table10[[#This Row],[Pcode]],CampList[CP_Pcode],0)-1,0,1,1)</f>
        <v>32</v>
      </c>
      <c r="F158" s="335">
        <f ca="1">OFFSET(CampList[Total],MATCH(Table10[[#This Row],[Pcode]],CampList[CP_Pcode],0)-1,0,1,1)</f>
        <v>160</v>
      </c>
      <c r="G158" s="335">
        <f>SUMIF('NFI Tracking'!AO$12:AO$1048576,Table10[[#This Row],[Pcode]],'NFI Tracking'!AI$12:AI$1048576)</f>
        <v>0</v>
      </c>
      <c r="H158" s="335">
        <f>SUMIF('NFI Tracking'!AO$12:AO$1048576,Table10[[#This Row],[Pcode]],'NFI Tracking'!AJ$12:AJ$1048576)</f>
        <v>0</v>
      </c>
      <c r="I158" s="335">
        <f>SUMIF('NFI Tracking'!AO$12:AO$1048576,Table10[[#This Row],[Pcode]],'NFI Tracking'!AK$12:AK$1048576)</f>
        <v>0</v>
      </c>
      <c r="J158" s="335">
        <f ca="1">MAX(Table10[[#This Row],[HH]]*VLOOKUP("Winter Clothes Adult",NFI,6)-Table10[[#This Row],[Winter Clothes Adult ]],0)</f>
        <v>64</v>
      </c>
      <c r="K158" s="335">
        <f ca="1">MAX(Table10[[#This Row],[HH]]*VLOOKUP("Winter Clothes Children ",NFI,6)-Table10[[#This Row],[Winter Clothes Children ]],0)</f>
        <v>32</v>
      </c>
      <c r="L158" s="335">
        <f ca="1">MAX(Table10[[#This Row],[HH]]*VLOOKUP("Winter Items Other ",NFI,6)-Table10[[#This Row],[Winter Items Other ]],0)</f>
        <v>32</v>
      </c>
      <c r="M158" s="368" t="str">
        <f>IF(OR(Table10[[#This Row],[Winter Clothes Adult ]]&lt;&gt;0,Table10[[#This Row],[Winter Clothes Children ]]&lt;&gt;0,Table10[[#This Row],[Winter Items Other ]]&lt;&gt;0),"No","")</f>
        <v/>
      </c>
      <c r="N158" s="369">
        <f>COUNTIF(A:A,Table10[[#This Row],[Pcode]])-1</f>
        <v>0</v>
      </c>
    </row>
    <row r="159" spans="1:14" x14ac:dyDescent="0.25">
      <c r="A159" s="312" t="s">
        <v>274</v>
      </c>
      <c r="B159" s="25" t="str">
        <f ca="1">OFFSET(CampList[Priority],MATCH(Table10[[#This Row],[Pcode]],CampList[CP_Pcode],0)-1,0,1,1)</f>
        <v>P4</v>
      </c>
      <c r="C159" s="25" t="str">
        <f ca="1">OFFSET(CampList[Camp],MATCH(Table10[[#This Row],[Pcode]],CampList[CP_Pcode],0)-1,0,1,1)</f>
        <v>Tat Kone San Pya Baptist Church</v>
      </c>
      <c r="D159" s="25" t="str">
        <f ca="1">OFFSET(CampList[Township],MATCH(Table10[[#This Row],[Pcode]],CampList[CP_Pcode],0)-1,0,1,1)</f>
        <v>Myitkyina</v>
      </c>
      <c r="E159" s="335">
        <f ca="1">OFFSET(CampList[HH],MATCH(Table10[[#This Row],[Pcode]],CampList[CP_Pcode],0)-1,0,1,1)</f>
        <v>43</v>
      </c>
      <c r="F159" s="335">
        <f ca="1">OFFSET(CampList[Total],MATCH(Table10[[#This Row],[Pcode]],CampList[CP_Pcode],0)-1,0,1,1)</f>
        <v>225</v>
      </c>
      <c r="G159" s="335">
        <f>SUMIF('NFI Tracking'!AO$12:AO$1048576,Table10[[#This Row],[Pcode]],'NFI Tracking'!AI$12:AI$1048576)</f>
        <v>0</v>
      </c>
      <c r="H159" s="335">
        <f>SUMIF('NFI Tracking'!AO$12:AO$1048576,Table10[[#This Row],[Pcode]],'NFI Tracking'!AJ$12:AJ$1048576)</f>
        <v>0</v>
      </c>
      <c r="I159" s="335">
        <f>SUMIF('NFI Tracking'!AO$12:AO$1048576,Table10[[#This Row],[Pcode]],'NFI Tracking'!AK$12:AK$1048576)</f>
        <v>0</v>
      </c>
      <c r="J159" s="335">
        <f ca="1">MAX(Table10[[#This Row],[HH]]*VLOOKUP("Winter Clothes Adult",NFI,6)-Table10[[#This Row],[Winter Clothes Adult ]],0)</f>
        <v>86</v>
      </c>
      <c r="K159" s="335">
        <f ca="1">MAX(Table10[[#This Row],[HH]]*VLOOKUP("Winter Clothes Children ",NFI,6)-Table10[[#This Row],[Winter Clothes Children ]],0)</f>
        <v>43</v>
      </c>
      <c r="L159" s="335">
        <f ca="1">MAX(Table10[[#This Row],[HH]]*VLOOKUP("Winter Items Other ",NFI,6)-Table10[[#This Row],[Winter Items Other ]],0)</f>
        <v>43</v>
      </c>
      <c r="M159" s="368" t="str">
        <f>IF(OR(Table10[[#This Row],[Winter Clothes Adult ]]&lt;&gt;0,Table10[[#This Row],[Winter Clothes Children ]]&lt;&gt;0,Table10[[#This Row],[Winter Items Other ]]&lt;&gt;0),"No","")</f>
        <v/>
      </c>
      <c r="N159" s="369">
        <f>COUNTIF(A:A,Table10[[#This Row],[Pcode]])-1</f>
        <v>0</v>
      </c>
    </row>
    <row r="160" spans="1:14" x14ac:dyDescent="0.25">
      <c r="A160" s="312" t="s">
        <v>348</v>
      </c>
      <c r="B160" s="25" t="str">
        <f ca="1">OFFSET(CampList[Priority],MATCH(Table10[[#This Row],[Pcode]],CampList[CP_Pcode],0)-1,0,1,1)</f>
        <v>P4</v>
      </c>
      <c r="C160" s="25" t="str">
        <f ca="1">OFFSET(CampList[Camp],MATCH(Table10[[#This Row],[Pcode]],CampList[CP_Pcode],0)-1,0,1,1)</f>
        <v>Thargaya Lisu Baptist Church</v>
      </c>
      <c r="D160" s="25" t="str">
        <f ca="1">OFFSET(CampList[Township],MATCH(Table10[[#This Row],[Pcode]],CampList[CP_Pcode],0)-1,0,1,1)</f>
        <v>Waingmaw</v>
      </c>
      <c r="E160" s="335">
        <f ca="1">OFFSET(CampList[HH],MATCH(Table10[[#This Row],[Pcode]],CampList[CP_Pcode],0)-1,0,1,1)</f>
        <v>44</v>
      </c>
      <c r="F160" s="335">
        <f ca="1">OFFSET(CampList[Total],MATCH(Table10[[#This Row],[Pcode]],CampList[CP_Pcode],0)-1,0,1,1)</f>
        <v>182</v>
      </c>
      <c r="G160" s="335">
        <f>SUMIF('NFI Tracking'!AO$12:AO$1048576,Table10[[#This Row],[Pcode]],'NFI Tracking'!AI$12:AI$1048576)</f>
        <v>0</v>
      </c>
      <c r="H160" s="335">
        <f>SUMIF('NFI Tracking'!AO$12:AO$1048576,Table10[[#This Row],[Pcode]],'NFI Tracking'!AJ$12:AJ$1048576)</f>
        <v>0</v>
      </c>
      <c r="I160" s="335">
        <f>SUMIF('NFI Tracking'!AO$12:AO$1048576,Table10[[#This Row],[Pcode]],'NFI Tracking'!AK$12:AK$1048576)</f>
        <v>0</v>
      </c>
      <c r="J160" s="335">
        <f ca="1">MAX(Table10[[#This Row],[HH]]*VLOOKUP("Winter Clothes Adult",NFI,6)-Table10[[#This Row],[Winter Clothes Adult ]],0)</f>
        <v>88</v>
      </c>
      <c r="K160" s="335">
        <f ca="1">MAX(Table10[[#This Row],[HH]]*VLOOKUP("Winter Clothes Children ",NFI,6)-Table10[[#This Row],[Winter Clothes Children ]],0)</f>
        <v>44</v>
      </c>
      <c r="L160" s="335">
        <f ca="1">MAX(Table10[[#This Row],[HH]]*VLOOKUP("Winter Items Other ",NFI,6)-Table10[[#This Row],[Winter Items Other ]],0)</f>
        <v>44</v>
      </c>
      <c r="M160" s="368" t="str">
        <f>IF(OR(Table10[[#This Row],[Winter Clothes Adult ]]&lt;&gt;0,Table10[[#This Row],[Winter Clothes Children ]]&lt;&gt;0,Table10[[#This Row],[Winter Items Other ]]&lt;&gt;0),"No","")</f>
        <v/>
      </c>
      <c r="N160" s="369">
        <f>COUNTIF(A:A,Table10[[#This Row],[Pcode]])-1</f>
        <v>0</v>
      </c>
    </row>
    <row r="161" spans="1:14" x14ac:dyDescent="0.25">
      <c r="A161" s="312" t="s">
        <v>1020</v>
      </c>
      <c r="B161" s="25" t="str">
        <f ca="1">OFFSET(CampList[Priority],MATCH(Table10[[#This Row],[Pcode]],CampList[CP_Pcode],0)-1,0,1,1)</f>
        <v>P4</v>
      </c>
      <c r="C161" s="25" t="str">
        <f ca="1">OFFSET(CampList[Camp],MATCH(Table10[[#This Row],[Pcode]],CampList[CP_Pcode],0)-1,0,1,1)</f>
        <v>Tharthana Ahlin Yaung New Monastery</v>
      </c>
      <c r="D161" s="25" t="str">
        <f ca="1">OFFSET(CampList[Township],MATCH(Table10[[#This Row],[Pcode]],CampList[CP_Pcode],0)-1,0,1,1)</f>
        <v>Bhamo</v>
      </c>
      <c r="E161" s="335">
        <f ca="1">OFFSET(CampList[HH],MATCH(Table10[[#This Row],[Pcode]],CampList[CP_Pcode],0)-1,0,1,1)</f>
        <v>0</v>
      </c>
      <c r="F161" s="335">
        <f ca="1">OFFSET(CampList[Total],MATCH(Table10[[#This Row],[Pcode]],CampList[CP_Pcode],0)-1,0,1,1)</f>
        <v>0</v>
      </c>
      <c r="G161" s="335">
        <f>SUMIF('NFI Tracking'!AO$12:AO$1048576,Table10[[#This Row],[Pcode]],'NFI Tracking'!AI$12:AI$1048576)</f>
        <v>0</v>
      </c>
      <c r="H161" s="335">
        <f>SUMIF('NFI Tracking'!AO$12:AO$1048576,Table10[[#This Row],[Pcode]],'NFI Tracking'!AJ$12:AJ$1048576)</f>
        <v>0</v>
      </c>
      <c r="I161" s="335">
        <f>SUMIF('NFI Tracking'!AO$12:AO$1048576,Table10[[#This Row],[Pcode]],'NFI Tracking'!AK$12:AK$1048576)</f>
        <v>0</v>
      </c>
      <c r="J161" s="335">
        <f ca="1">MAX(Table10[[#This Row],[HH]]*VLOOKUP("Winter Clothes Adult",NFI,6)-Table10[[#This Row],[Winter Clothes Adult ]],0)</f>
        <v>0</v>
      </c>
      <c r="K161" s="335">
        <f ca="1">MAX(Table10[[#This Row],[HH]]*VLOOKUP("Winter Clothes Children ",NFI,6)-Table10[[#This Row],[Winter Clothes Children ]],0)</f>
        <v>0</v>
      </c>
      <c r="L161" s="335">
        <f ca="1">MAX(Table10[[#This Row],[HH]]*VLOOKUP("Winter Items Other ",NFI,6)-Table10[[#This Row],[Winter Items Other ]],0)</f>
        <v>0</v>
      </c>
      <c r="M161" s="368" t="str">
        <f>IF(OR(Table10[[#This Row],[Winter Clothes Adult ]]&lt;&gt;0,Table10[[#This Row],[Winter Clothes Children ]]&lt;&gt;0,Table10[[#This Row],[Winter Items Other ]]&lt;&gt;0),"No","")</f>
        <v/>
      </c>
      <c r="N161" s="369">
        <f>COUNTIF(A:A,Table10[[#This Row],[Pcode]])-1</f>
        <v>0</v>
      </c>
    </row>
    <row r="162" spans="1:14" x14ac:dyDescent="0.25">
      <c r="A162" s="312" t="s">
        <v>315</v>
      </c>
      <c r="B162" s="25" t="str">
        <f ca="1">OFFSET(CampList[Priority],MATCH(Table10[[#This Row],[Pcode]],CampList[CP_Pcode],0)-1,0,1,1)</f>
        <v>P4</v>
      </c>
      <c r="C162" s="25" t="str">
        <f ca="1">OFFSET(CampList[Camp],MATCH(Table10[[#This Row],[Pcode]],CampList[CP_Pcode],0)-1,0,1,1)</f>
        <v>Waingmaw AG Church</v>
      </c>
      <c r="D162" s="25" t="str">
        <f ca="1">OFFSET(CampList[Township],MATCH(Table10[[#This Row],[Pcode]],CampList[CP_Pcode],0)-1,0,1,1)</f>
        <v>Waingmaw</v>
      </c>
      <c r="E162" s="335">
        <f ca="1">OFFSET(CampList[HH],MATCH(Table10[[#This Row],[Pcode]],CampList[CP_Pcode],0)-1,0,1,1)</f>
        <v>70</v>
      </c>
      <c r="F162" s="335">
        <f ca="1">OFFSET(CampList[Total],MATCH(Table10[[#This Row],[Pcode]],CampList[CP_Pcode],0)-1,0,1,1)</f>
        <v>278</v>
      </c>
      <c r="G162" s="335">
        <f>SUMIF('NFI Tracking'!AO$12:AO$1048576,Table10[[#This Row],[Pcode]],'NFI Tracking'!AI$12:AI$1048576)</f>
        <v>0</v>
      </c>
      <c r="H162" s="335">
        <f>SUMIF('NFI Tracking'!AO$12:AO$1048576,Table10[[#This Row],[Pcode]],'NFI Tracking'!AJ$12:AJ$1048576)</f>
        <v>0</v>
      </c>
      <c r="I162" s="335">
        <f>SUMIF('NFI Tracking'!AO$12:AO$1048576,Table10[[#This Row],[Pcode]],'NFI Tracking'!AK$12:AK$1048576)</f>
        <v>0</v>
      </c>
      <c r="J162" s="335">
        <f ca="1">MAX(Table10[[#This Row],[HH]]*VLOOKUP("Winter Clothes Adult",NFI,6)-Table10[[#This Row],[Winter Clothes Adult ]],0)</f>
        <v>140</v>
      </c>
      <c r="K162" s="335">
        <f ca="1">MAX(Table10[[#This Row],[HH]]*VLOOKUP("Winter Clothes Children ",NFI,6)-Table10[[#This Row],[Winter Clothes Children ]],0)</f>
        <v>70</v>
      </c>
      <c r="L162" s="335">
        <f ca="1">MAX(Table10[[#This Row],[HH]]*VLOOKUP("Winter Items Other ",NFI,6)-Table10[[#This Row],[Winter Items Other ]],0)</f>
        <v>70</v>
      </c>
      <c r="M162" s="368" t="str">
        <f>IF(OR(Table10[[#This Row],[Winter Clothes Adult ]]&lt;&gt;0,Table10[[#This Row],[Winter Clothes Children ]]&lt;&gt;0,Table10[[#This Row],[Winter Items Other ]]&lt;&gt;0),"No","")</f>
        <v/>
      </c>
      <c r="N162" s="369">
        <f>COUNTIF(A:A,Table10[[#This Row],[Pcode]])-1</f>
        <v>0</v>
      </c>
    </row>
    <row r="163" spans="1:14" x14ac:dyDescent="0.25">
      <c r="A163" s="312" t="s">
        <v>309</v>
      </c>
      <c r="B163" s="25" t="str">
        <f ca="1">OFFSET(CampList[Priority],MATCH(Table10[[#This Row],[Pcode]],CampList[CP_Pcode],0)-1,0,1,1)</f>
        <v>P4</v>
      </c>
      <c r="C163" s="25" t="str">
        <f ca="1">OFFSET(CampList[Camp],MATCH(Table10[[#This Row],[Pcode]],CampList[CP_Pcode],0)-1,0,1,1)</f>
        <v>Waingmaw Baptist Zonal Office</v>
      </c>
      <c r="D163" s="25" t="str">
        <f ca="1">OFFSET(CampList[Township],MATCH(Table10[[#This Row],[Pcode]],CampList[CP_Pcode],0)-1,0,1,1)</f>
        <v>Waingmaw</v>
      </c>
      <c r="E163" s="335">
        <f ca="1">OFFSET(CampList[HH],MATCH(Table10[[#This Row],[Pcode]],CampList[CP_Pcode],0)-1,0,1,1)</f>
        <v>0</v>
      </c>
      <c r="F163" s="335">
        <f ca="1">OFFSET(CampList[Total],MATCH(Table10[[#This Row],[Pcode]],CampList[CP_Pcode],0)-1,0,1,1)</f>
        <v>0</v>
      </c>
      <c r="G163" s="335">
        <f>SUMIF('NFI Tracking'!AO$12:AO$1048576,Table10[[#This Row],[Pcode]],'NFI Tracking'!AI$12:AI$1048576)</f>
        <v>0</v>
      </c>
      <c r="H163" s="335">
        <f>SUMIF('NFI Tracking'!AO$12:AO$1048576,Table10[[#This Row],[Pcode]],'NFI Tracking'!AJ$12:AJ$1048576)</f>
        <v>0</v>
      </c>
      <c r="I163" s="335">
        <f>SUMIF('NFI Tracking'!AO$12:AO$1048576,Table10[[#This Row],[Pcode]],'NFI Tracking'!AK$12:AK$1048576)</f>
        <v>0</v>
      </c>
      <c r="J163" s="335">
        <f ca="1">MAX(Table10[[#This Row],[HH]]*VLOOKUP("Winter Clothes Adult",NFI,6)-Table10[[#This Row],[Winter Clothes Adult ]],0)</f>
        <v>0</v>
      </c>
      <c r="K163" s="335">
        <f ca="1">MAX(Table10[[#This Row],[HH]]*VLOOKUP("Winter Clothes Children ",NFI,6)-Table10[[#This Row],[Winter Clothes Children ]],0)</f>
        <v>0</v>
      </c>
      <c r="L163" s="335">
        <f ca="1">MAX(Table10[[#This Row],[HH]]*VLOOKUP("Winter Items Other ",NFI,6)-Table10[[#This Row],[Winter Items Other ]],0)</f>
        <v>0</v>
      </c>
      <c r="M163" s="368" t="str">
        <f>IF(OR(Table10[[#This Row],[Winter Clothes Adult ]]&lt;&gt;0,Table10[[#This Row],[Winter Clothes Children ]]&lt;&gt;0,Table10[[#This Row],[Winter Items Other ]]&lt;&gt;0),"No","")</f>
        <v/>
      </c>
      <c r="N163" s="369">
        <f>COUNTIF(A:A,Table10[[#This Row],[Pcode]])-1</f>
        <v>0</v>
      </c>
    </row>
    <row r="164" spans="1:14" x14ac:dyDescent="0.25">
      <c r="A164" s="312" t="s">
        <v>125</v>
      </c>
      <c r="B164" s="25" t="str">
        <f ca="1">OFFSET(CampList[Priority],MATCH(Table10[[#This Row],[Pcode]],CampList[CP_Pcode],0)-1,0,1,1)</f>
        <v>P4</v>
      </c>
      <c r="C164" s="25" t="str">
        <f ca="1">OFFSET(CampList[Camp],MATCH(Table10[[#This Row],[Pcode]],CampList[CP_Pcode],0)-1,0,1,1)</f>
        <v xml:space="preserve">Ward 2 Sai Taung Baptist Church, Seik Mu </v>
      </c>
      <c r="D164" s="25" t="str">
        <f ca="1">OFFSET(CampList[Township],MATCH(Table10[[#This Row],[Pcode]],CampList[CP_Pcode],0)-1,0,1,1)</f>
        <v>Hpakant</v>
      </c>
      <c r="E164" s="335">
        <f ca="1">OFFSET(CampList[HH],MATCH(Table10[[#This Row],[Pcode]],CampList[CP_Pcode],0)-1,0,1,1)</f>
        <v>35</v>
      </c>
      <c r="F164" s="335">
        <f ca="1">OFFSET(CampList[Total],MATCH(Table10[[#This Row],[Pcode]],CampList[CP_Pcode],0)-1,0,1,1)</f>
        <v>173</v>
      </c>
      <c r="G164" s="335">
        <f>SUMIF('NFI Tracking'!AO$12:AO$1048576,Table10[[#This Row],[Pcode]],'NFI Tracking'!AI$12:AI$1048576)</f>
        <v>0</v>
      </c>
      <c r="H164" s="335">
        <f>SUMIF('NFI Tracking'!AO$12:AO$1048576,Table10[[#This Row],[Pcode]],'NFI Tracking'!AJ$12:AJ$1048576)</f>
        <v>0</v>
      </c>
      <c r="I164" s="335">
        <f>SUMIF('NFI Tracking'!AO$12:AO$1048576,Table10[[#This Row],[Pcode]],'NFI Tracking'!AK$12:AK$1048576)</f>
        <v>0</v>
      </c>
      <c r="J164" s="335">
        <f ca="1">MAX(Table10[[#This Row],[HH]]*VLOOKUP("Winter Clothes Adult",NFI,6)-Table10[[#This Row],[Winter Clothes Adult ]],0)</f>
        <v>70</v>
      </c>
      <c r="K164" s="335">
        <f ca="1">MAX(Table10[[#This Row],[HH]]*VLOOKUP("Winter Clothes Children ",NFI,6)-Table10[[#This Row],[Winter Clothes Children ]],0)</f>
        <v>35</v>
      </c>
      <c r="L164" s="335">
        <f ca="1">MAX(Table10[[#This Row],[HH]]*VLOOKUP("Winter Items Other ",NFI,6)-Table10[[#This Row],[Winter Items Other ]],0)</f>
        <v>35</v>
      </c>
      <c r="M164" s="368" t="str">
        <f>IF(OR(Table10[[#This Row],[Winter Clothes Adult ]]&lt;&gt;0,Table10[[#This Row],[Winter Clothes Children ]]&lt;&gt;0,Table10[[#This Row],[Winter Items Other ]]&lt;&gt;0),"No","")</f>
        <v/>
      </c>
      <c r="N164" s="369">
        <f>COUNTIF(A:A,Table10[[#This Row],[Pcode]])-1</f>
        <v>0</v>
      </c>
    </row>
    <row r="165" spans="1:14" x14ac:dyDescent="0.25">
      <c r="A165" s="312" t="s">
        <v>352</v>
      </c>
      <c r="B165" s="25" t="str">
        <f ca="1">OFFSET(CampList[Priority],MATCH(Table10[[#This Row],[Pcode]],CampList[CP_Pcode],0)-1,0,1,1)</f>
        <v>P4</v>
      </c>
      <c r="C165" s="25" t="str">
        <f ca="1">OFFSET(CampList[Camp],MATCH(Table10[[#This Row],[Pcode]],CampList[CP_Pcode],0)-1,0,1,1)</f>
        <v xml:space="preserve">Woi Chyai </v>
      </c>
      <c r="D165" s="25" t="str">
        <f ca="1">OFFSET(CampList[Township],MATCH(Table10[[#This Row],[Pcode]],CampList[CP_Pcode],0)-1,0,1,1)</f>
        <v>Waingmaw</v>
      </c>
      <c r="E165" s="335">
        <f ca="1">OFFSET(CampList[HH],MATCH(Table10[[#This Row],[Pcode]],CampList[CP_Pcode],0)-1,0,1,1)</f>
        <v>1355</v>
      </c>
      <c r="F165" s="335">
        <f ca="1">OFFSET(CampList[Total],MATCH(Table10[[#This Row],[Pcode]],CampList[CP_Pcode],0)-1,0,1,1)</f>
        <v>6602</v>
      </c>
      <c r="G165" s="335">
        <f>SUMIF('NFI Tracking'!AO$12:AO$1048576,Table10[[#This Row],[Pcode]],'NFI Tracking'!AI$12:AI$1048576)</f>
        <v>0</v>
      </c>
      <c r="H165" s="335">
        <f>SUMIF('NFI Tracking'!AO$12:AO$1048576,Table10[[#This Row],[Pcode]],'NFI Tracking'!AJ$12:AJ$1048576)</f>
        <v>0</v>
      </c>
      <c r="I165" s="335">
        <f>SUMIF('NFI Tracking'!AO$12:AO$1048576,Table10[[#This Row],[Pcode]],'NFI Tracking'!AK$12:AK$1048576)</f>
        <v>0</v>
      </c>
      <c r="J165" s="335">
        <f ca="1">MAX(Table10[[#This Row],[HH]]*VLOOKUP("Winter Clothes Adult",NFI,6)-Table10[[#This Row],[Winter Clothes Adult ]],0)</f>
        <v>2710</v>
      </c>
      <c r="K165" s="335">
        <f ca="1">MAX(Table10[[#This Row],[HH]]*VLOOKUP("Winter Clothes Children ",NFI,6)-Table10[[#This Row],[Winter Clothes Children ]],0)</f>
        <v>1355</v>
      </c>
      <c r="L165" s="335">
        <f ca="1">MAX(Table10[[#This Row],[HH]]*VLOOKUP("Winter Items Other ",NFI,6)-Table10[[#This Row],[Winter Items Other ]],0)</f>
        <v>1355</v>
      </c>
      <c r="M165" s="368" t="str">
        <f>IF(OR(Table10[[#This Row],[Winter Clothes Adult ]]&lt;&gt;0,Table10[[#This Row],[Winter Clothes Children ]]&lt;&gt;0,Table10[[#This Row],[Winter Items Other ]]&lt;&gt;0),"No","")</f>
        <v/>
      </c>
      <c r="N165" s="369">
        <f>COUNTIF(A:A,Table10[[#This Row],[Pcode]])-1</f>
        <v>0</v>
      </c>
    </row>
    <row r="166" spans="1:14" x14ac:dyDescent="0.25">
      <c r="A166" s="312" t="s">
        <v>282</v>
      </c>
      <c r="B166" s="25" t="str">
        <f ca="1">OFFSET(CampList[Priority],MATCH(Table10[[#This Row],[Pcode]],CampList[CP_Pcode],0)-1,0,1,1)</f>
        <v>P4</v>
      </c>
      <c r="C166" s="25" t="str">
        <f ca="1">OFFSET(CampList[Camp],MATCH(Table10[[#This Row],[Pcode]],CampList[CP_Pcode],0)-1,0,1,1)</f>
        <v>Wun Tho Buddhist Monastery</v>
      </c>
      <c r="D166" s="25" t="str">
        <f ca="1">OFFSET(CampList[Township],MATCH(Table10[[#This Row],[Pcode]],CampList[CP_Pcode],0)-1,0,1,1)</f>
        <v>Myitkyina</v>
      </c>
      <c r="E166" s="335">
        <f ca="1">OFFSET(CampList[HH],MATCH(Table10[[#This Row],[Pcode]],CampList[CP_Pcode],0)-1,0,1,1)</f>
        <v>7</v>
      </c>
      <c r="F166" s="335">
        <f ca="1">OFFSET(CampList[Total],MATCH(Table10[[#This Row],[Pcode]],CampList[CP_Pcode],0)-1,0,1,1)</f>
        <v>37</v>
      </c>
      <c r="G166" s="335">
        <f>SUMIF('NFI Tracking'!AO$12:AO$1048576,Table10[[#This Row],[Pcode]],'NFI Tracking'!AI$12:AI$1048576)</f>
        <v>0</v>
      </c>
      <c r="H166" s="335">
        <f>SUMIF('NFI Tracking'!AO$12:AO$1048576,Table10[[#This Row],[Pcode]],'NFI Tracking'!AJ$12:AJ$1048576)</f>
        <v>0</v>
      </c>
      <c r="I166" s="335">
        <f>SUMIF('NFI Tracking'!AO$12:AO$1048576,Table10[[#This Row],[Pcode]],'NFI Tracking'!AK$12:AK$1048576)</f>
        <v>0</v>
      </c>
      <c r="J166" s="335">
        <f ca="1">MAX(Table10[[#This Row],[HH]]*VLOOKUP("Winter Clothes Adult",NFI,6)-Table10[[#This Row],[Winter Clothes Adult ]],0)</f>
        <v>14</v>
      </c>
      <c r="K166" s="335">
        <f ca="1">MAX(Table10[[#This Row],[HH]]*VLOOKUP("Winter Clothes Children ",NFI,6)-Table10[[#This Row],[Winter Clothes Children ]],0)</f>
        <v>7</v>
      </c>
      <c r="L166" s="335">
        <f ca="1">MAX(Table10[[#This Row],[HH]]*VLOOKUP("Winter Items Other ",NFI,6)-Table10[[#This Row],[Winter Items Other ]],0)</f>
        <v>7</v>
      </c>
      <c r="M166" s="368" t="str">
        <f>IF(OR(Table10[[#This Row],[Winter Clothes Adult ]]&lt;&gt;0,Table10[[#This Row],[Winter Clothes Children ]]&lt;&gt;0,Table10[[#This Row],[Winter Items Other ]]&lt;&gt;0),"No","")</f>
        <v/>
      </c>
      <c r="N166" s="369">
        <f>COUNTIF(A:A,Table10[[#This Row],[Pcode]])-1</f>
        <v>0</v>
      </c>
    </row>
    <row r="167" spans="1:14" x14ac:dyDescent="0.25">
      <c r="A167" s="312" t="s">
        <v>25</v>
      </c>
      <c r="B167" s="25" t="str">
        <f ca="1">OFFSET(CampList[Priority],MATCH(Table10[[#This Row],[Pcode]],CampList[CP_Pcode],0)-1,0,1,1)</f>
        <v>P4</v>
      </c>
      <c r="C167" s="25" t="str">
        <f ca="1">OFFSET(CampList[Camp],MATCH(Table10[[#This Row],[Pcode]],CampList[CP_Pcode],0)-1,0,1,1)</f>
        <v>Yoe Kyi Monastery</v>
      </c>
      <c r="D167" s="25" t="str">
        <f ca="1">OFFSET(CampList[Township],MATCH(Table10[[#This Row],[Pcode]],CampList[CP_Pcode],0)-1,0,1,1)</f>
        <v>Bhamo</v>
      </c>
      <c r="E167" s="335">
        <f ca="1">OFFSET(CampList[HH],MATCH(Table10[[#This Row],[Pcode]],CampList[CP_Pcode],0)-1,0,1,1)</f>
        <v>15</v>
      </c>
      <c r="F167" s="335">
        <f ca="1">OFFSET(CampList[Total],MATCH(Table10[[#This Row],[Pcode]],CampList[CP_Pcode],0)-1,0,1,1)</f>
        <v>73</v>
      </c>
      <c r="G167" s="335">
        <f>SUMIF('NFI Tracking'!AO$12:AO$1048576,Table10[[#This Row],[Pcode]],'NFI Tracking'!AI$12:AI$1048576)</f>
        <v>0</v>
      </c>
      <c r="H167" s="335">
        <f>SUMIF('NFI Tracking'!AO$12:AO$1048576,Table10[[#This Row],[Pcode]],'NFI Tracking'!AJ$12:AJ$1048576)</f>
        <v>0</v>
      </c>
      <c r="I167" s="335">
        <f>SUMIF('NFI Tracking'!AO$12:AO$1048576,Table10[[#This Row],[Pcode]],'NFI Tracking'!AK$12:AK$1048576)</f>
        <v>0</v>
      </c>
      <c r="J167" s="335">
        <f ca="1">MAX(Table10[[#This Row],[HH]]*VLOOKUP("Winter Clothes Adult",NFI,6)-Table10[[#This Row],[Winter Clothes Adult ]],0)</f>
        <v>30</v>
      </c>
      <c r="K167" s="335">
        <f ca="1">MAX(Table10[[#This Row],[HH]]*VLOOKUP("Winter Clothes Children ",NFI,6)-Table10[[#This Row],[Winter Clothes Children ]],0)</f>
        <v>15</v>
      </c>
      <c r="L167" s="335">
        <f ca="1">MAX(Table10[[#This Row],[HH]]*VLOOKUP("Winter Items Other ",NFI,6)-Table10[[#This Row],[Winter Items Other ]],0)</f>
        <v>15</v>
      </c>
      <c r="M167" s="368" t="str">
        <f>IF(OR(Table10[[#This Row],[Winter Clothes Adult ]]&lt;&gt;0,Table10[[#This Row],[Winter Clothes Children ]]&lt;&gt;0,Table10[[#This Row],[Winter Items Other ]]&lt;&gt;0),"No","")</f>
        <v/>
      </c>
      <c r="N167" s="369">
        <f>COUNTIF(A:A,Table10[[#This Row],[Pcode]])-1</f>
        <v>0</v>
      </c>
    </row>
    <row r="168" spans="1:14" x14ac:dyDescent="0.25">
      <c r="A168" s="310" t="s">
        <v>139</v>
      </c>
      <c r="B168" s="338" t="str">
        <f ca="1">OFFSET(CampList[Priority],MATCH(Table10[[#This Row],[Pcode]],CampList[CP_Pcode],0)-1,0,1,1)</f>
        <v>P4</v>
      </c>
      <c r="C168" s="338" t="str">
        <f ca="1">OFFSET(CampList[Camp],MATCH(Table10[[#This Row],[Pcode]],CampList[CP_Pcode],0)-1,0,1,1)</f>
        <v>Yumar Baptist Church</v>
      </c>
      <c r="D168" s="338" t="str">
        <f ca="1">OFFSET(CampList[Township],MATCH(Table10[[#This Row],[Pcode]],CampList[CP_Pcode],0)-1,0,1,1)</f>
        <v>Hpakant</v>
      </c>
      <c r="E168" s="370">
        <f ca="1">OFFSET(CampList[HH],MATCH(Table10[[#This Row],[Pcode]],CampList[CP_Pcode],0)-1,0,1,1)</f>
        <v>12</v>
      </c>
      <c r="F168" s="370">
        <f ca="1">OFFSET(CampList[Total],MATCH(Table10[[#This Row],[Pcode]],CampList[CP_Pcode],0)-1,0,1,1)</f>
        <v>48</v>
      </c>
      <c r="G168" s="370">
        <f>SUMIF('NFI Tracking'!AO$12:AO$1048576,Table10[[#This Row],[Pcode]],'NFI Tracking'!AI$12:AI$1048576)</f>
        <v>0</v>
      </c>
      <c r="H168" s="370">
        <f>SUMIF('NFI Tracking'!AO$12:AO$1048576,Table10[[#This Row],[Pcode]],'NFI Tracking'!AJ$12:AJ$1048576)</f>
        <v>0</v>
      </c>
      <c r="I168" s="370">
        <f>SUMIF('NFI Tracking'!AO$12:AO$1048576,Table10[[#This Row],[Pcode]],'NFI Tracking'!AK$12:AK$1048576)</f>
        <v>0</v>
      </c>
      <c r="J168" s="370">
        <f ca="1">MAX(Table10[[#This Row],[HH]]*VLOOKUP("Winter Clothes Adult",NFI,6)-Table10[[#This Row],[Winter Clothes Adult ]],0)</f>
        <v>24</v>
      </c>
      <c r="K168" s="370">
        <f ca="1">MAX(Table10[[#This Row],[HH]]*VLOOKUP("Winter Clothes Children ",NFI,6)-Table10[[#This Row],[Winter Clothes Children ]],0)</f>
        <v>12</v>
      </c>
      <c r="L168" s="370">
        <f ca="1">MAX(Table10[[#This Row],[HH]]*VLOOKUP("Winter Items Other ",NFI,6)-Table10[[#This Row],[Winter Items Other ]],0)</f>
        <v>12</v>
      </c>
      <c r="M168" s="371" t="str">
        <f>IF(OR(Table10[[#This Row],[Winter Clothes Adult ]]&lt;&gt;0,Table10[[#This Row],[Winter Clothes Children ]]&lt;&gt;0,Table10[[#This Row],[Winter Items Other ]]&lt;&gt;0),"No","")</f>
        <v/>
      </c>
      <c r="N168" s="372">
        <f>COUNTIF(A:A,Table10[[#This Row],[Pcode]])-1</f>
        <v>0</v>
      </c>
    </row>
  </sheetData>
  <printOptions horizontalCentered="1"/>
  <pageMargins left="0" right="0" top="0" bottom="0" header="0.3" footer="0.3"/>
  <pageSetup paperSize="9"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BJ102"/>
  <sheetViews>
    <sheetView showZeros="0" zoomScaleNormal="100" zoomScaleSheetLayoutView="80" workbookViewId="0">
      <selection activeCell="H36" sqref="H36"/>
    </sheetView>
  </sheetViews>
  <sheetFormatPr defaultColWidth="11.42578125" defaultRowHeight="15" x14ac:dyDescent="0.25"/>
  <cols>
    <col min="1" max="1" width="2.42578125" style="122" customWidth="1"/>
    <col min="2" max="2" width="2.140625" style="122" customWidth="1"/>
    <col min="3" max="3" width="12.28515625" style="36" customWidth="1"/>
    <col min="4" max="10" width="6.85546875" style="36" customWidth="1"/>
    <col min="11" max="11" width="6.85546875" style="122" customWidth="1"/>
    <col min="12" max="12" width="17" style="36" customWidth="1"/>
    <col min="13" max="13" width="6.85546875" style="36" customWidth="1"/>
    <col min="14" max="14" width="6.5703125" style="36" customWidth="1"/>
    <col min="15" max="15" width="8" style="36" customWidth="1"/>
    <col min="16" max="16" width="6.85546875" style="36" customWidth="1"/>
    <col min="17" max="17" width="6.85546875" style="37" customWidth="1"/>
    <col min="18" max="19" width="6.85546875" style="122" customWidth="1"/>
    <col min="20" max="20" width="2.7109375" style="122" customWidth="1"/>
    <col min="21" max="21" width="5" style="122" customWidth="1"/>
    <col min="22" max="22" width="10.140625" style="122" hidden="1" customWidth="1"/>
    <col min="23" max="23" width="9.85546875" style="122" hidden="1" customWidth="1"/>
    <col min="24" max="24" width="8.140625" style="122" hidden="1" customWidth="1"/>
    <col min="25" max="25" width="9" style="122" hidden="1" customWidth="1"/>
    <col min="26" max="27" width="10.140625" style="122" hidden="1" customWidth="1"/>
    <col min="28" max="28" width="8.85546875" style="122" hidden="1" customWidth="1"/>
    <col min="29" max="29" width="15" style="122" hidden="1" customWidth="1"/>
    <col min="30" max="30" width="12" style="122" hidden="1" customWidth="1"/>
    <col min="31" max="31" width="13.42578125" style="122" hidden="1" customWidth="1"/>
    <col min="32" max="32" width="16" style="36" hidden="1" customWidth="1"/>
    <col min="33" max="33" width="13.42578125" style="36" customWidth="1"/>
    <col min="34" max="259" width="11.42578125" style="36"/>
    <col min="260" max="260" width="5.28515625" style="36" customWidth="1"/>
    <col min="261" max="261" width="15.28515625" style="36" customWidth="1"/>
    <col min="262" max="262" width="14.42578125" style="36" bestFit="1" customWidth="1"/>
    <col min="263" max="263" width="10.42578125" style="36" bestFit="1" customWidth="1"/>
    <col min="264" max="264" width="12.28515625" style="36" customWidth="1"/>
    <col min="265" max="269" width="11.42578125" style="36" customWidth="1"/>
    <col min="270" max="271" width="10.5703125" style="36" bestFit="1" customWidth="1"/>
    <col min="272" max="273" width="11.42578125" style="36" customWidth="1"/>
    <col min="274" max="274" width="6.140625" style="36" customWidth="1"/>
    <col min="275" max="285" width="11.42578125" style="36" customWidth="1"/>
    <col min="286" max="515" width="11.42578125" style="36"/>
    <col min="516" max="516" width="5.28515625" style="36" customWidth="1"/>
    <col min="517" max="517" width="15.28515625" style="36" customWidth="1"/>
    <col min="518" max="518" width="14.42578125" style="36" bestFit="1" customWidth="1"/>
    <col min="519" max="519" width="10.42578125" style="36" bestFit="1" customWidth="1"/>
    <col min="520" max="520" width="12.28515625" style="36" customWidth="1"/>
    <col min="521" max="525" width="11.42578125" style="36" customWidth="1"/>
    <col min="526" max="527" width="10.5703125" style="36" bestFit="1" customWidth="1"/>
    <col min="528" max="529" width="11.42578125" style="36" customWidth="1"/>
    <col min="530" max="530" width="6.140625" style="36" customWidth="1"/>
    <col min="531" max="541" width="11.42578125" style="36" customWidth="1"/>
    <col min="542" max="771" width="11.42578125" style="36"/>
    <col min="772" max="772" width="5.28515625" style="36" customWidth="1"/>
    <col min="773" max="773" width="15.28515625" style="36" customWidth="1"/>
    <col min="774" max="774" width="14.42578125" style="36" bestFit="1" customWidth="1"/>
    <col min="775" max="775" width="10.42578125" style="36" bestFit="1" customWidth="1"/>
    <col min="776" max="776" width="12.28515625" style="36" customWidth="1"/>
    <col min="777" max="781" width="11.42578125" style="36" customWidth="1"/>
    <col min="782" max="783" width="10.5703125" style="36" bestFit="1" customWidth="1"/>
    <col min="784" max="785" width="11.42578125" style="36" customWidth="1"/>
    <col min="786" max="786" width="6.140625" style="36" customWidth="1"/>
    <col min="787" max="797" width="11.42578125" style="36" customWidth="1"/>
    <col min="798" max="1027" width="11.42578125" style="36"/>
    <col min="1028" max="1028" width="5.28515625" style="36" customWidth="1"/>
    <col min="1029" max="1029" width="15.28515625" style="36" customWidth="1"/>
    <col min="1030" max="1030" width="14.42578125" style="36" bestFit="1" customWidth="1"/>
    <col min="1031" max="1031" width="10.42578125" style="36" bestFit="1" customWidth="1"/>
    <col min="1032" max="1032" width="12.28515625" style="36" customWidth="1"/>
    <col min="1033" max="1037" width="11.42578125" style="36" customWidth="1"/>
    <col min="1038" max="1039" width="10.5703125" style="36" bestFit="1" customWidth="1"/>
    <col min="1040" max="1041" width="11.42578125" style="36" customWidth="1"/>
    <col min="1042" max="1042" width="6.140625" style="36" customWidth="1"/>
    <col min="1043" max="1053" width="11.42578125" style="36" customWidth="1"/>
    <col min="1054" max="1283" width="11.42578125" style="36"/>
    <col min="1284" max="1284" width="5.28515625" style="36" customWidth="1"/>
    <col min="1285" max="1285" width="15.28515625" style="36" customWidth="1"/>
    <col min="1286" max="1286" width="14.42578125" style="36" bestFit="1" customWidth="1"/>
    <col min="1287" max="1287" width="10.42578125" style="36" bestFit="1" customWidth="1"/>
    <col min="1288" max="1288" width="12.28515625" style="36" customWidth="1"/>
    <col min="1289" max="1293" width="11.42578125" style="36" customWidth="1"/>
    <col min="1294" max="1295" width="10.5703125" style="36" bestFit="1" customWidth="1"/>
    <col min="1296" max="1297" width="11.42578125" style="36" customWidth="1"/>
    <col min="1298" max="1298" width="6.140625" style="36" customWidth="1"/>
    <col min="1299" max="1309" width="11.42578125" style="36" customWidth="1"/>
    <col min="1310" max="1539" width="11.42578125" style="36"/>
    <col min="1540" max="1540" width="5.28515625" style="36" customWidth="1"/>
    <col min="1541" max="1541" width="15.28515625" style="36" customWidth="1"/>
    <col min="1542" max="1542" width="14.42578125" style="36" bestFit="1" customWidth="1"/>
    <col min="1543" max="1543" width="10.42578125" style="36" bestFit="1" customWidth="1"/>
    <col min="1544" max="1544" width="12.28515625" style="36" customWidth="1"/>
    <col min="1545" max="1549" width="11.42578125" style="36" customWidth="1"/>
    <col min="1550" max="1551" width="10.5703125" style="36" bestFit="1" customWidth="1"/>
    <col min="1552" max="1553" width="11.42578125" style="36" customWidth="1"/>
    <col min="1554" max="1554" width="6.140625" style="36" customWidth="1"/>
    <col min="1555" max="1565" width="11.42578125" style="36" customWidth="1"/>
    <col min="1566" max="1795" width="11.42578125" style="36"/>
    <col min="1796" max="1796" width="5.28515625" style="36" customWidth="1"/>
    <col min="1797" max="1797" width="15.28515625" style="36" customWidth="1"/>
    <col min="1798" max="1798" width="14.42578125" style="36" bestFit="1" customWidth="1"/>
    <col min="1799" max="1799" width="10.42578125" style="36" bestFit="1" customWidth="1"/>
    <col min="1800" max="1800" width="12.28515625" style="36" customWidth="1"/>
    <col min="1801" max="1805" width="11.42578125" style="36" customWidth="1"/>
    <col min="1806" max="1807" width="10.5703125" style="36" bestFit="1" customWidth="1"/>
    <col min="1808" max="1809" width="11.42578125" style="36" customWidth="1"/>
    <col min="1810" max="1810" width="6.140625" style="36" customWidth="1"/>
    <col min="1811" max="1821" width="11.42578125" style="36" customWidth="1"/>
    <col min="1822" max="2051" width="11.42578125" style="36"/>
    <col min="2052" max="2052" width="5.28515625" style="36" customWidth="1"/>
    <col min="2053" max="2053" width="15.28515625" style="36" customWidth="1"/>
    <col min="2054" max="2054" width="14.42578125" style="36" bestFit="1" customWidth="1"/>
    <col min="2055" max="2055" width="10.42578125" style="36" bestFit="1" customWidth="1"/>
    <col min="2056" max="2056" width="12.28515625" style="36" customWidth="1"/>
    <col min="2057" max="2061" width="11.42578125" style="36" customWidth="1"/>
    <col min="2062" max="2063" width="10.5703125" style="36" bestFit="1" customWidth="1"/>
    <col min="2064" max="2065" width="11.42578125" style="36" customWidth="1"/>
    <col min="2066" max="2066" width="6.140625" style="36" customWidth="1"/>
    <col min="2067" max="2077" width="11.42578125" style="36" customWidth="1"/>
    <col min="2078" max="2307" width="11.42578125" style="36"/>
    <col min="2308" max="2308" width="5.28515625" style="36" customWidth="1"/>
    <col min="2309" max="2309" width="15.28515625" style="36" customWidth="1"/>
    <col min="2310" max="2310" width="14.42578125" style="36" bestFit="1" customWidth="1"/>
    <col min="2311" max="2311" width="10.42578125" style="36" bestFit="1" customWidth="1"/>
    <col min="2312" max="2312" width="12.28515625" style="36" customWidth="1"/>
    <col min="2313" max="2317" width="11.42578125" style="36" customWidth="1"/>
    <col min="2318" max="2319" width="10.5703125" style="36" bestFit="1" customWidth="1"/>
    <col min="2320" max="2321" width="11.42578125" style="36" customWidth="1"/>
    <col min="2322" max="2322" width="6.140625" style="36" customWidth="1"/>
    <col min="2323" max="2333" width="11.42578125" style="36" customWidth="1"/>
    <col min="2334" max="2563" width="11.42578125" style="36"/>
    <col min="2564" max="2564" width="5.28515625" style="36" customWidth="1"/>
    <col min="2565" max="2565" width="15.28515625" style="36" customWidth="1"/>
    <col min="2566" max="2566" width="14.42578125" style="36" bestFit="1" customWidth="1"/>
    <col min="2567" max="2567" width="10.42578125" style="36" bestFit="1" customWidth="1"/>
    <col min="2568" max="2568" width="12.28515625" style="36" customWidth="1"/>
    <col min="2569" max="2573" width="11.42578125" style="36" customWidth="1"/>
    <col min="2574" max="2575" width="10.5703125" style="36" bestFit="1" customWidth="1"/>
    <col min="2576" max="2577" width="11.42578125" style="36" customWidth="1"/>
    <col min="2578" max="2578" width="6.140625" style="36" customWidth="1"/>
    <col min="2579" max="2589" width="11.42578125" style="36" customWidth="1"/>
    <col min="2590" max="2819" width="11.42578125" style="36"/>
    <col min="2820" max="2820" width="5.28515625" style="36" customWidth="1"/>
    <col min="2821" max="2821" width="15.28515625" style="36" customWidth="1"/>
    <col min="2822" max="2822" width="14.42578125" style="36" bestFit="1" customWidth="1"/>
    <col min="2823" max="2823" width="10.42578125" style="36" bestFit="1" customWidth="1"/>
    <col min="2824" max="2824" width="12.28515625" style="36" customWidth="1"/>
    <col min="2825" max="2829" width="11.42578125" style="36" customWidth="1"/>
    <col min="2830" max="2831" width="10.5703125" style="36" bestFit="1" customWidth="1"/>
    <col min="2832" max="2833" width="11.42578125" style="36" customWidth="1"/>
    <col min="2834" max="2834" width="6.140625" style="36" customWidth="1"/>
    <col min="2835" max="2845" width="11.42578125" style="36" customWidth="1"/>
    <col min="2846" max="3075" width="11.42578125" style="36"/>
    <col min="3076" max="3076" width="5.28515625" style="36" customWidth="1"/>
    <col min="3077" max="3077" width="15.28515625" style="36" customWidth="1"/>
    <col min="3078" max="3078" width="14.42578125" style="36" bestFit="1" customWidth="1"/>
    <col min="3079" max="3079" width="10.42578125" style="36" bestFit="1" customWidth="1"/>
    <col min="3080" max="3080" width="12.28515625" style="36" customWidth="1"/>
    <col min="3081" max="3085" width="11.42578125" style="36" customWidth="1"/>
    <col min="3086" max="3087" width="10.5703125" style="36" bestFit="1" customWidth="1"/>
    <col min="3088" max="3089" width="11.42578125" style="36" customWidth="1"/>
    <col min="3090" max="3090" width="6.140625" style="36" customWidth="1"/>
    <col min="3091" max="3101" width="11.42578125" style="36" customWidth="1"/>
    <col min="3102" max="3331" width="11.42578125" style="36"/>
    <col min="3332" max="3332" width="5.28515625" style="36" customWidth="1"/>
    <col min="3333" max="3333" width="15.28515625" style="36" customWidth="1"/>
    <col min="3334" max="3334" width="14.42578125" style="36" bestFit="1" customWidth="1"/>
    <col min="3335" max="3335" width="10.42578125" style="36" bestFit="1" customWidth="1"/>
    <col min="3336" max="3336" width="12.28515625" style="36" customWidth="1"/>
    <col min="3337" max="3341" width="11.42578125" style="36" customWidth="1"/>
    <col min="3342" max="3343" width="10.5703125" style="36" bestFit="1" customWidth="1"/>
    <col min="3344" max="3345" width="11.42578125" style="36" customWidth="1"/>
    <col min="3346" max="3346" width="6.140625" style="36" customWidth="1"/>
    <col min="3347" max="3357" width="11.42578125" style="36" customWidth="1"/>
    <col min="3358" max="3587" width="11.42578125" style="36"/>
    <col min="3588" max="3588" width="5.28515625" style="36" customWidth="1"/>
    <col min="3589" max="3589" width="15.28515625" style="36" customWidth="1"/>
    <col min="3590" max="3590" width="14.42578125" style="36" bestFit="1" customWidth="1"/>
    <col min="3591" max="3591" width="10.42578125" style="36" bestFit="1" customWidth="1"/>
    <col min="3592" max="3592" width="12.28515625" style="36" customWidth="1"/>
    <col min="3593" max="3597" width="11.42578125" style="36" customWidth="1"/>
    <col min="3598" max="3599" width="10.5703125" style="36" bestFit="1" customWidth="1"/>
    <col min="3600" max="3601" width="11.42578125" style="36" customWidth="1"/>
    <col min="3602" max="3602" width="6.140625" style="36" customWidth="1"/>
    <col min="3603" max="3613" width="11.42578125" style="36" customWidth="1"/>
    <col min="3614" max="3843" width="11.42578125" style="36"/>
    <col min="3844" max="3844" width="5.28515625" style="36" customWidth="1"/>
    <col min="3845" max="3845" width="15.28515625" style="36" customWidth="1"/>
    <col min="3846" max="3846" width="14.42578125" style="36" bestFit="1" customWidth="1"/>
    <col min="3847" max="3847" width="10.42578125" style="36" bestFit="1" customWidth="1"/>
    <col min="3848" max="3848" width="12.28515625" style="36" customWidth="1"/>
    <col min="3849" max="3853" width="11.42578125" style="36" customWidth="1"/>
    <col min="3854" max="3855" width="10.5703125" style="36" bestFit="1" customWidth="1"/>
    <col min="3856" max="3857" width="11.42578125" style="36" customWidth="1"/>
    <col min="3858" max="3858" width="6.140625" style="36" customWidth="1"/>
    <col min="3859" max="3869" width="11.42578125" style="36" customWidth="1"/>
    <col min="3870" max="4099" width="11.42578125" style="36"/>
    <col min="4100" max="4100" width="5.28515625" style="36" customWidth="1"/>
    <col min="4101" max="4101" width="15.28515625" style="36" customWidth="1"/>
    <col min="4102" max="4102" width="14.42578125" style="36" bestFit="1" customWidth="1"/>
    <col min="4103" max="4103" width="10.42578125" style="36" bestFit="1" customWidth="1"/>
    <col min="4104" max="4104" width="12.28515625" style="36" customWidth="1"/>
    <col min="4105" max="4109" width="11.42578125" style="36" customWidth="1"/>
    <col min="4110" max="4111" width="10.5703125" style="36" bestFit="1" customWidth="1"/>
    <col min="4112" max="4113" width="11.42578125" style="36" customWidth="1"/>
    <col min="4114" max="4114" width="6.140625" style="36" customWidth="1"/>
    <col min="4115" max="4125" width="11.42578125" style="36" customWidth="1"/>
    <col min="4126" max="4355" width="11.42578125" style="36"/>
    <col min="4356" max="4356" width="5.28515625" style="36" customWidth="1"/>
    <col min="4357" max="4357" width="15.28515625" style="36" customWidth="1"/>
    <col min="4358" max="4358" width="14.42578125" style="36" bestFit="1" customWidth="1"/>
    <col min="4359" max="4359" width="10.42578125" style="36" bestFit="1" customWidth="1"/>
    <col min="4360" max="4360" width="12.28515625" style="36" customWidth="1"/>
    <col min="4361" max="4365" width="11.42578125" style="36" customWidth="1"/>
    <col min="4366" max="4367" width="10.5703125" style="36" bestFit="1" customWidth="1"/>
    <col min="4368" max="4369" width="11.42578125" style="36" customWidth="1"/>
    <col min="4370" max="4370" width="6.140625" style="36" customWidth="1"/>
    <col min="4371" max="4381" width="11.42578125" style="36" customWidth="1"/>
    <col min="4382" max="4611" width="11.42578125" style="36"/>
    <col min="4612" max="4612" width="5.28515625" style="36" customWidth="1"/>
    <col min="4613" max="4613" width="15.28515625" style="36" customWidth="1"/>
    <col min="4614" max="4614" width="14.42578125" style="36" bestFit="1" customWidth="1"/>
    <col min="4615" max="4615" width="10.42578125" style="36" bestFit="1" customWidth="1"/>
    <col min="4616" max="4616" width="12.28515625" style="36" customWidth="1"/>
    <col min="4617" max="4621" width="11.42578125" style="36" customWidth="1"/>
    <col min="4622" max="4623" width="10.5703125" style="36" bestFit="1" customWidth="1"/>
    <col min="4624" max="4625" width="11.42578125" style="36" customWidth="1"/>
    <col min="4626" max="4626" width="6.140625" style="36" customWidth="1"/>
    <col min="4627" max="4637" width="11.42578125" style="36" customWidth="1"/>
    <col min="4638" max="4867" width="11.42578125" style="36"/>
    <col min="4868" max="4868" width="5.28515625" style="36" customWidth="1"/>
    <col min="4869" max="4869" width="15.28515625" style="36" customWidth="1"/>
    <col min="4870" max="4870" width="14.42578125" style="36" bestFit="1" customWidth="1"/>
    <col min="4871" max="4871" width="10.42578125" style="36" bestFit="1" customWidth="1"/>
    <col min="4872" max="4872" width="12.28515625" style="36" customWidth="1"/>
    <col min="4873" max="4877" width="11.42578125" style="36" customWidth="1"/>
    <col min="4878" max="4879" width="10.5703125" style="36" bestFit="1" customWidth="1"/>
    <col min="4880" max="4881" width="11.42578125" style="36" customWidth="1"/>
    <col min="4882" max="4882" width="6.140625" style="36" customWidth="1"/>
    <col min="4883" max="4893" width="11.42578125" style="36" customWidth="1"/>
    <col min="4894" max="5123" width="11.42578125" style="36"/>
    <col min="5124" max="5124" width="5.28515625" style="36" customWidth="1"/>
    <col min="5125" max="5125" width="15.28515625" style="36" customWidth="1"/>
    <col min="5126" max="5126" width="14.42578125" style="36" bestFit="1" customWidth="1"/>
    <col min="5127" max="5127" width="10.42578125" style="36" bestFit="1" customWidth="1"/>
    <col min="5128" max="5128" width="12.28515625" style="36" customWidth="1"/>
    <col min="5129" max="5133" width="11.42578125" style="36" customWidth="1"/>
    <col min="5134" max="5135" width="10.5703125" style="36" bestFit="1" customWidth="1"/>
    <col min="5136" max="5137" width="11.42578125" style="36" customWidth="1"/>
    <col min="5138" max="5138" width="6.140625" style="36" customWidth="1"/>
    <col min="5139" max="5149" width="11.42578125" style="36" customWidth="1"/>
    <col min="5150" max="5379" width="11.42578125" style="36"/>
    <col min="5380" max="5380" width="5.28515625" style="36" customWidth="1"/>
    <col min="5381" max="5381" width="15.28515625" style="36" customWidth="1"/>
    <col min="5382" max="5382" width="14.42578125" style="36" bestFit="1" customWidth="1"/>
    <col min="5383" max="5383" width="10.42578125" style="36" bestFit="1" customWidth="1"/>
    <col min="5384" max="5384" width="12.28515625" style="36" customWidth="1"/>
    <col min="5385" max="5389" width="11.42578125" style="36" customWidth="1"/>
    <col min="5390" max="5391" width="10.5703125" style="36" bestFit="1" customWidth="1"/>
    <col min="5392" max="5393" width="11.42578125" style="36" customWidth="1"/>
    <col min="5394" max="5394" width="6.140625" style="36" customWidth="1"/>
    <col min="5395" max="5405" width="11.42578125" style="36" customWidth="1"/>
    <col min="5406" max="5635" width="11.42578125" style="36"/>
    <col min="5636" max="5636" width="5.28515625" style="36" customWidth="1"/>
    <col min="5637" max="5637" width="15.28515625" style="36" customWidth="1"/>
    <col min="5638" max="5638" width="14.42578125" style="36" bestFit="1" customWidth="1"/>
    <col min="5639" max="5639" width="10.42578125" style="36" bestFit="1" customWidth="1"/>
    <col min="5640" max="5640" width="12.28515625" style="36" customWidth="1"/>
    <col min="5641" max="5645" width="11.42578125" style="36" customWidth="1"/>
    <col min="5646" max="5647" width="10.5703125" style="36" bestFit="1" customWidth="1"/>
    <col min="5648" max="5649" width="11.42578125" style="36" customWidth="1"/>
    <col min="5650" max="5650" width="6.140625" style="36" customWidth="1"/>
    <col min="5651" max="5661" width="11.42578125" style="36" customWidth="1"/>
    <col min="5662" max="5891" width="11.42578125" style="36"/>
    <col min="5892" max="5892" width="5.28515625" style="36" customWidth="1"/>
    <col min="5893" max="5893" width="15.28515625" style="36" customWidth="1"/>
    <col min="5894" max="5894" width="14.42578125" style="36" bestFit="1" customWidth="1"/>
    <col min="5895" max="5895" width="10.42578125" style="36" bestFit="1" customWidth="1"/>
    <col min="5896" max="5896" width="12.28515625" style="36" customWidth="1"/>
    <col min="5897" max="5901" width="11.42578125" style="36" customWidth="1"/>
    <col min="5902" max="5903" width="10.5703125" style="36" bestFit="1" customWidth="1"/>
    <col min="5904" max="5905" width="11.42578125" style="36" customWidth="1"/>
    <col min="5906" max="5906" width="6.140625" style="36" customWidth="1"/>
    <col min="5907" max="5917" width="11.42578125" style="36" customWidth="1"/>
    <col min="5918" max="6147" width="11.42578125" style="36"/>
    <col min="6148" max="6148" width="5.28515625" style="36" customWidth="1"/>
    <col min="6149" max="6149" width="15.28515625" style="36" customWidth="1"/>
    <col min="6150" max="6150" width="14.42578125" style="36" bestFit="1" customWidth="1"/>
    <col min="6151" max="6151" width="10.42578125" style="36" bestFit="1" customWidth="1"/>
    <col min="6152" max="6152" width="12.28515625" style="36" customWidth="1"/>
    <col min="6153" max="6157" width="11.42578125" style="36" customWidth="1"/>
    <col min="6158" max="6159" width="10.5703125" style="36" bestFit="1" customWidth="1"/>
    <col min="6160" max="6161" width="11.42578125" style="36" customWidth="1"/>
    <col min="6162" max="6162" width="6.140625" style="36" customWidth="1"/>
    <col min="6163" max="6173" width="11.42578125" style="36" customWidth="1"/>
    <col min="6174" max="6403" width="11.42578125" style="36"/>
    <col min="6404" max="6404" width="5.28515625" style="36" customWidth="1"/>
    <col min="6405" max="6405" width="15.28515625" style="36" customWidth="1"/>
    <col min="6406" max="6406" width="14.42578125" style="36" bestFit="1" customWidth="1"/>
    <col min="6407" max="6407" width="10.42578125" style="36" bestFit="1" customWidth="1"/>
    <col min="6408" max="6408" width="12.28515625" style="36" customWidth="1"/>
    <col min="6409" max="6413" width="11.42578125" style="36" customWidth="1"/>
    <col min="6414" max="6415" width="10.5703125" style="36" bestFit="1" customWidth="1"/>
    <col min="6416" max="6417" width="11.42578125" style="36" customWidth="1"/>
    <col min="6418" max="6418" width="6.140625" style="36" customWidth="1"/>
    <col min="6419" max="6429" width="11.42578125" style="36" customWidth="1"/>
    <col min="6430" max="6659" width="11.42578125" style="36"/>
    <col min="6660" max="6660" width="5.28515625" style="36" customWidth="1"/>
    <col min="6661" max="6661" width="15.28515625" style="36" customWidth="1"/>
    <col min="6662" max="6662" width="14.42578125" style="36" bestFit="1" customWidth="1"/>
    <col min="6663" max="6663" width="10.42578125" style="36" bestFit="1" customWidth="1"/>
    <col min="6664" max="6664" width="12.28515625" style="36" customWidth="1"/>
    <col min="6665" max="6669" width="11.42578125" style="36" customWidth="1"/>
    <col min="6670" max="6671" width="10.5703125" style="36" bestFit="1" customWidth="1"/>
    <col min="6672" max="6673" width="11.42578125" style="36" customWidth="1"/>
    <col min="6674" max="6674" width="6.140625" style="36" customWidth="1"/>
    <col min="6675" max="6685" width="11.42578125" style="36" customWidth="1"/>
    <col min="6686" max="6915" width="11.42578125" style="36"/>
    <col min="6916" max="6916" width="5.28515625" style="36" customWidth="1"/>
    <col min="6917" max="6917" width="15.28515625" style="36" customWidth="1"/>
    <col min="6918" max="6918" width="14.42578125" style="36" bestFit="1" customWidth="1"/>
    <col min="6919" max="6919" width="10.42578125" style="36" bestFit="1" customWidth="1"/>
    <col min="6920" max="6920" width="12.28515625" style="36" customWidth="1"/>
    <col min="6921" max="6925" width="11.42578125" style="36" customWidth="1"/>
    <col min="6926" max="6927" width="10.5703125" style="36" bestFit="1" customWidth="1"/>
    <col min="6928" max="6929" width="11.42578125" style="36" customWidth="1"/>
    <col min="6930" max="6930" width="6.140625" style="36" customWidth="1"/>
    <col min="6931" max="6941" width="11.42578125" style="36" customWidth="1"/>
    <col min="6942" max="7171" width="11.42578125" style="36"/>
    <col min="7172" max="7172" width="5.28515625" style="36" customWidth="1"/>
    <col min="7173" max="7173" width="15.28515625" style="36" customWidth="1"/>
    <col min="7174" max="7174" width="14.42578125" style="36" bestFit="1" customWidth="1"/>
    <col min="7175" max="7175" width="10.42578125" style="36" bestFit="1" customWidth="1"/>
    <col min="7176" max="7176" width="12.28515625" style="36" customWidth="1"/>
    <col min="7177" max="7181" width="11.42578125" style="36" customWidth="1"/>
    <col min="7182" max="7183" width="10.5703125" style="36" bestFit="1" customWidth="1"/>
    <col min="7184" max="7185" width="11.42578125" style="36" customWidth="1"/>
    <col min="7186" max="7186" width="6.140625" style="36" customWidth="1"/>
    <col min="7187" max="7197" width="11.42578125" style="36" customWidth="1"/>
    <col min="7198" max="7427" width="11.42578125" style="36"/>
    <col min="7428" max="7428" width="5.28515625" style="36" customWidth="1"/>
    <col min="7429" max="7429" width="15.28515625" style="36" customWidth="1"/>
    <col min="7430" max="7430" width="14.42578125" style="36" bestFit="1" customWidth="1"/>
    <col min="7431" max="7431" width="10.42578125" style="36" bestFit="1" customWidth="1"/>
    <col min="7432" max="7432" width="12.28515625" style="36" customWidth="1"/>
    <col min="7433" max="7437" width="11.42578125" style="36" customWidth="1"/>
    <col min="7438" max="7439" width="10.5703125" style="36" bestFit="1" customWidth="1"/>
    <col min="7440" max="7441" width="11.42578125" style="36" customWidth="1"/>
    <col min="7442" max="7442" width="6.140625" style="36" customWidth="1"/>
    <col min="7443" max="7453" width="11.42578125" style="36" customWidth="1"/>
    <col min="7454" max="7683" width="11.42578125" style="36"/>
    <col min="7684" max="7684" width="5.28515625" style="36" customWidth="1"/>
    <col min="7685" max="7685" width="15.28515625" style="36" customWidth="1"/>
    <col min="7686" max="7686" width="14.42578125" style="36" bestFit="1" customWidth="1"/>
    <col min="7687" max="7687" width="10.42578125" style="36" bestFit="1" customWidth="1"/>
    <col min="7688" max="7688" width="12.28515625" style="36" customWidth="1"/>
    <col min="7689" max="7693" width="11.42578125" style="36" customWidth="1"/>
    <col min="7694" max="7695" width="10.5703125" style="36" bestFit="1" customWidth="1"/>
    <col min="7696" max="7697" width="11.42578125" style="36" customWidth="1"/>
    <col min="7698" max="7698" width="6.140625" style="36" customWidth="1"/>
    <col min="7699" max="7709" width="11.42578125" style="36" customWidth="1"/>
    <col min="7710" max="7939" width="11.42578125" style="36"/>
    <col min="7940" max="7940" width="5.28515625" style="36" customWidth="1"/>
    <col min="7941" max="7941" width="15.28515625" style="36" customWidth="1"/>
    <col min="7942" max="7942" width="14.42578125" style="36" bestFit="1" customWidth="1"/>
    <col min="7943" max="7943" width="10.42578125" style="36" bestFit="1" customWidth="1"/>
    <col min="7944" max="7944" width="12.28515625" style="36" customWidth="1"/>
    <col min="7945" max="7949" width="11.42578125" style="36" customWidth="1"/>
    <col min="7950" max="7951" width="10.5703125" style="36" bestFit="1" customWidth="1"/>
    <col min="7952" max="7953" width="11.42578125" style="36" customWidth="1"/>
    <col min="7954" max="7954" width="6.140625" style="36" customWidth="1"/>
    <col min="7955" max="7965" width="11.42578125" style="36" customWidth="1"/>
    <col min="7966" max="8195" width="11.42578125" style="36"/>
    <col min="8196" max="8196" width="5.28515625" style="36" customWidth="1"/>
    <col min="8197" max="8197" width="15.28515625" style="36" customWidth="1"/>
    <col min="8198" max="8198" width="14.42578125" style="36" bestFit="1" customWidth="1"/>
    <col min="8199" max="8199" width="10.42578125" style="36" bestFit="1" customWidth="1"/>
    <col min="8200" max="8200" width="12.28515625" style="36" customWidth="1"/>
    <col min="8201" max="8205" width="11.42578125" style="36" customWidth="1"/>
    <col min="8206" max="8207" width="10.5703125" style="36" bestFit="1" customWidth="1"/>
    <col min="8208" max="8209" width="11.42578125" style="36" customWidth="1"/>
    <col min="8210" max="8210" width="6.140625" style="36" customWidth="1"/>
    <col min="8211" max="8221" width="11.42578125" style="36" customWidth="1"/>
    <col min="8222" max="8451" width="11.42578125" style="36"/>
    <col min="8452" max="8452" width="5.28515625" style="36" customWidth="1"/>
    <col min="8453" max="8453" width="15.28515625" style="36" customWidth="1"/>
    <col min="8454" max="8454" width="14.42578125" style="36" bestFit="1" customWidth="1"/>
    <col min="8455" max="8455" width="10.42578125" style="36" bestFit="1" customWidth="1"/>
    <col min="8456" max="8456" width="12.28515625" style="36" customWidth="1"/>
    <col min="8457" max="8461" width="11.42578125" style="36" customWidth="1"/>
    <col min="8462" max="8463" width="10.5703125" style="36" bestFit="1" customWidth="1"/>
    <col min="8464" max="8465" width="11.42578125" style="36" customWidth="1"/>
    <col min="8466" max="8466" width="6.140625" style="36" customWidth="1"/>
    <col min="8467" max="8477" width="11.42578125" style="36" customWidth="1"/>
    <col min="8478" max="8707" width="11.42578125" style="36"/>
    <col min="8708" max="8708" width="5.28515625" style="36" customWidth="1"/>
    <col min="8709" max="8709" width="15.28515625" style="36" customWidth="1"/>
    <col min="8710" max="8710" width="14.42578125" style="36" bestFit="1" customWidth="1"/>
    <col min="8711" max="8711" width="10.42578125" style="36" bestFit="1" customWidth="1"/>
    <col min="8712" max="8712" width="12.28515625" style="36" customWidth="1"/>
    <col min="8713" max="8717" width="11.42578125" style="36" customWidth="1"/>
    <col min="8718" max="8719" width="10.5703125" style="36" bestFit="1" customWidth="1"/>
    <col min="8720" max="8721" width="11.42578125" style="36" customWidth="1"/>
    <col min="8722" max="8722" width="6.140625" style="36" customWidth="1"/>
    <col min="8723" max="8733" width="11.42578125" style="36" customWidth="1"/>
    <col min="8734" max="8963" width="11.42578125" style="36"/>
    <col min="8964" max="8964" width="5.28515625" style="36" customWidth="1"/>
    <col min="8965" max="8965" width="15.28515625" style="36" customWidth="1"/>
    <col min="8966" max="8966" width="14.42578125" style="36" bestFit="1" customWidth="1"/>
    <col min="8967" max="8967" width="10.42578125" style="36" bestFit="1" customWidth="1"/>
    <col min="8968" max="8968" width="12.28515625" style="36" customWidth="1"/>
    <col min="8969" max="8973" width="11.42578125" style="36" customWidth="1"/>
    <col min="8974" max="8975" width="10.5703125" style="36" bestFit="1" customWidth="1"/>
    <col min="8976" max="8977" width="11.42578125" style="36" customWidth="1"/>
    <col min="8978" max="8978" width="6.140625" style="36" customWidth="1"/>
    <col min="8979" max="8989" width="11.42578125" style="36" customWidth="1"/>
    <col min="8990" max="9219" width="11.42578125" style="36"/>
    <col min="9220" max="9220" width="5.28515625" style="36" customWidth="1"/>
    <col min="9221" max="9221" width="15.28515625" style="36" customWidth="1"/>
    <col min="9222" max="9222" width="14.42578125" style="36" bestFit="1" customWidth="1"/>
    <col min="9223" max="9223" width="10.42578125" style="36" bestFit="1" customWidth="1"/>
    <col min="9224" max="9224" width="12.28515625" style="36" customWidth="1"/>
    <col min="9225" max="9229" width="11.42578125" style="36" customWidth="1"/>
    <col min="9230" max="9231" width="10.5703125" style="36" bestFit="1" customWidth="1"/>
    <col min="9232" max="9233" width="11.42578125" style="36" customWidth="1"/>
    <col min="9234" max="9234" width="6.140625" style="36" customWidth="1"/>
    <col min="9235" max="9245" width="11.42578125" style="36" customWidth="1"/>
    <col min="9246" max="9475" width="11.42578125" style="36"/>
    <col min="9476" max="9476" width="5.28515625" style="36" customWidth="1"/>
    <col min="9477" max="9477" width="15.28515625" style="36" customWidth="1"/>
    <col min="9478" max="9478" width="14.42578125" style="36" bestFit="1" customWidth="1"/>
    <col min="9479" max="9479" width="10.42578125" style="36" bestFit="1" customWidth="1"/>
    <col min="9480" max="9480" width="12.28515625" style="36" customWidth="1"/>
    <col min="9481" max="9485" width="11.42578125" style="36" customWidth="1"/>
    <col min="9486" max="9487" width="10.5703125" style="36" bestFit="1" customWidth="1"/>
    <col min="9488" max="9489" width="11.42578125" style="36" customWidth="1"/>
    <col min="9490" max="9490" width="6.140625" style="36" customWidth="1"/>
    <col min="9491" max="9501" width="11.42578125" style="36" customWidth="1"/>
    <col min="9502" max="9731" width="11.42578125" style="36"/>
    <col min="9732" max="9732" width="5.28515625" style="36" customWidth="1"/>
    <col min="9733" max="9733" width="15.28515625" style="36" customWidth="1"/>
    <col min="9734" max="9734" width="14.42578125" style="36" bestFit="1" customWidth="1"/>
    <col min="9735" max="9735" width="10.42578125" style="36" bestFit="1" customWidth="1"/>
    <col min="9736" max="9736" width="12.28515625" style="36" customWidth="1"/>
    <col min="9737" max="9741" width="11.42578125" style="36" customWidth="1"/>
    <col min="9742" max="9743" width="10.5703125" style="36" bestFit="1" customWidth="1"/>
    <col min="9744" max="9745" width="11.42578125" style="36" customWidth="1"/>
    <col min="9746" max="9746" width="6.140625" style="36" customWidth="1"/>
    <col min="9747" max="9757" width="11.42578125" style="36" customWidth="1"/>
    <col min="9758" max="9987" width="11.42578125" style="36"/>
    <col min="9988" max="9988" width="5.28515625" style="36" customWidth="1"/>
    <col min="9989" max="9989" width="15.28515625" style="36" customWidth="1"/>
    <col min="9990" max="9990" width="14.42578125" style="36" bestFit="1" customWidth="1"/>
    <col min="9991" max="9991" width="10.42578125" style="36" bestFit="1" customWidth="1"/>
    <col min="9992" max="9992" width="12.28515625" style="36" customWidth="1"/>
    <col min="9993" max="9997" width="11.42578125" style="36" customWidth="1"/>
    <col min="9998" max="9999" width="10.5703125" style="36" bestFit="1" customWidth="1"/>
    <col min="10000" max="10001" width="11.42578125" style="36" customWidth="1"/>
    <col min="10002" max="10002" width="6.140625" style="36" customWidth="1"/>
    <col min="10003" max="10013" width="11.42578125" style="36" customWidth="1"/>
    <col min="10014" max="10243" width="11.42578125" style="36"/>
    <col min="10244" max="10244" width="5.28515625" style="36" customWidth="1"/>
    <col min="10245" max="10245" width="15.28515625" style="36" customWidth="1"/>
    <col min="10246" max="10246" width="14.42578125" style="36" bestFit="1" customWidth="1"/>
    <col min="10247" max="10247" width="10.42578125" style="36" bestFit="1" customWidth="1"/>
    <col min="10248" max="10248" width="12.28515625" style="36" customWidth="1"/>
    <col min="10249" max="10253" width="11.42578125" style="36" customWidth="1"/>
    <col min="10254" max="10255" width="10.5703125" style="36" bestFit="1" customWidth="1"/>
    <col min="10256" max="10257" width="11.42578125" style="36" customWidth="1"/>
    <col min="10258" max="10258" width="6.140625" style="36" customWidth="1"/>
    <col min="10259" max="10269" width="11.42578125" style="36" customWidth="1"/>
    <col min="10270" max="10499" width="11.42578125" style="36"/>
    <col min="10500" max="10500" width="5.28515625" style="36" customWidth="1"/>
    <col min="10501" max="10501" width="15.28515625" style="36" customWidth="1"/>
    <col min="10502" max="10502" width="14.42578125" style="36" bestFit="1" customWidth="1"/>
    <col min="10503" max="10503" width="10.42578125" style="36" bestFit="1" customWidth="1"/>
    <col min="10504" max="10504" width="12.28515625" style="36" customWidth="1"/>
    <col min="10505" max="10509" width="11.42578125" style="36" customWidth="1"/>
    <col min="10510" max="10511" width="10.5703125" style="36" bestFit="1" customWidth="1"/>
    <col min="10512" max="10513" width="11.42578125" style="36" customWidth="1"/>
    <col min="10514" max="10514" width="6.140625" style="36" customWidth="1"/>
    <col min="10515" max="10525" width="11.42578125" style="36" customWidth="1"/>
    <col min="10526" max="10755" width="11.42578125" style="36"/>
    <col min="10756" max="10756" width="5.28515625" style="36" customWidth="1"/>
    <col min="10757" max="10757" width="15.28515625" style="36" customWidth="1"/>
    <col min="10758" max="10758" width="14.42578125" style="36" bestFit="1" customWidth="1"/>
    <col min="10759" max="10759" width="10.42578125" style="36" bestFit="1" customWidth="1"/>
    <col min="10760" max="10760" width="12.28515625" style="36" customWidth="1"/>
    <col min="10761" max="10765" width="11.42578125" style="36" customWidth="1"/>
    <col min="10766" max="10767" width="10.5703125" style="36" bestFit="1" customWidth="1"/>
    <col min="10768" max="10769" width="11.42578125" style="36" customWidth="1"/>
    <col min="10770" max="10770" width="6.140625" style="36" customWidth="1"/>
    <col min="10771" max="10781" width="11.42578125" style="36" customWidth="1"/>
    <col min="10782" max="11011" width="11.42578125" style="36"/>
    <col min="11012" max="11012" width="5.28515625" style="36" customWidth="1"/>
    <col min="11013" max="11013" width="15.28515625" style="36" customWidth="1"/>
    <col min="11014" max="11014" width="14.42578125" style="36" bestFit="1" customWidth="1"/>
    <col min="11015" max="11015" width="10.42578125" style="36" bestFit="1" customWidth="1"/>
    <col min="11016" max="11016" width="12.28515625" style="36" customWidth="1"/>
    <col min="11017" max="11021" width="11.42578125" style="36" customWidth="1"/>
    <col min="11022" max="11023" width="10.5703125" style="36" bestFit="1" customWidth="1"/>
    <col min="11024" max="11025" width="11.42578125" style="36" customWidth="1"/>
    <col min="11026" max="11026" width="6.140625" style="36" customWidth="1"/>
    <col min="11027" max="11037" width="11.42578125" style="36" customWidth="1"/>
    <col min="11038" max="11267" width="11.42578125" style="36"/>
    <col min="11268" max="11268" width="5.28515625" style="36" customWidth="1"/>
    <col min="11269" max="11269" width="15.28515625" style="36" customWidth="1"/>
    <col min="11270" max="11270" width="14.42578125" style="36" bestFit="1" customWidth="1"/>
    <col min="11271" max="11271" width="10.42578125" style="36" bestFit="1" customWidth="1"/>
    <col min="11272" max="11272" width="12.28515625" style="36" customWidth="1"/>
    <col min="11273" max="11277" width="11.42578125" style="36" customWidth="1"/>
    <col min="11278" max="11279" width="10.5703125" style="36" bestFit="1" customWidth="1"/>
    <col min="11280" max="11281" width="11.42578125" style="36" customWidth="1"/>
    <col min="11282" max="11282" width="6.140625" style="36" customWidth="1"/>
    <col min="11283" max="11293" width="11.42578125" style="36" customWidth="1"/>
    <col min="11294" max="11523" width="11.42578125" style="36"/>
    <col min="11524" max="11524" width="5.28515625" style="36" customWidth="1"/>
    <col min="11525" max="11525" width="15.28515625" style="36" customWidth="1"/>
    <col min="11526" max="11526" width="14.42578125" style="36" bestFit="1" customWidth="1"/>
    <col min="11527" max="11527" width="10.42578125" style="36" bestFit="1" customWidth="1"/>
    <col min="11528" max="11528" width="12.28515625" style="36" customWidth="1"/>
    <col min="11529" max="11533" width="11.42578125" style="36" customWidth="1"/>
    <col min="11534" max="11535" width="10.5703125" style="36" bestFit="1" customWidth="1"/>
    <col min="11536" max="11537" width="11.42578125" style="36" customWidth="1"/>
    <col min="11538" max="11538" width="6.140625" style="36" customWidth="1"/>
    <col min="11539" max="11549" width="11.42578125" style="36" customWidth="1"/>
    <col min="11550" max="11779" width="11.42578125" style="36"/>
    <col min="11780" max="11780" width="5.28515625" style="36" customWidth="1"/>
    <col min="11781" max="11781" width="15.28515625" style="36" customWidth="1"/>
    <col min="11782" max="11782" width="14.42578125" style="36" bestFit="1" customWidth="1"/>
    <col min="11783" max="11783" width="10.42578125" style="36" bestFit="1" customWidth="1"/>
    <col min="11784" max="11784" width="12.28515625" style="36" customWidth="1"/>
    <col min="11785" max="11789" width="11.42578125" style="36" customWidth="1"/>
    <col min="11790" max="11791" width="10.5703125" style="36" bestFit="1" customWidth="1"/>
    <col min="11792" max="11793" width="11.42578125" style="36" customWidth="1"/>
    <col min="11794" max="11794" width="6.140625" style="36" customWidth="1"/>
    <col min="11795" max="11805" width="11.42578125" style="36" customWidth="1"/>
    <col min="11806" max="12035" width="11.42578125" style="36"/>
    <col min="12036" max="12036" width="5.28515625" style="36" customWidth="1"/>
    <col min="12037" max="12037" width="15.28515625" style="36" customWidth="1"/>
    <col min="12038" max="12038" width="14.42578125" style="36" bestFit="1" customWidth="1"/>
    <col min="12039" max="12039" width="10.42578125" style="36" bestFit="1" customWidth="1"/>
    <col min="12040" max="12040" width="12.28515625" style="36" customWidth="1"/>
    <col min="12041" max="12045" width="11.42578125" style="36" customWidth="1"/>
    <col min="12046" max="12047" width="10.5703125" style="36" bestFit="1" customWidth="1"/>
    <col min="12048" max="12049" width="11.42578125" style="36" customWidth="1"/>
    <col min="12050" max="12050" width="6.140625" style="36" customWidth="1"/>
    <col min="12051" max="12061" width="11.42578125" style="36" customWidth="1"/>
    <col min="12062" max="12291" width="11.42578125" style="36"/>
    <col min="12292" max="12292" width="5.28515625" style="36" customWidth="1"/>
    <col min="12293" max="12293" width="15.28515625" style="36" customWidth="1"/>
    <col min="12294" max="12294" width="14.42578125" style="36" bestFit="1" customWidth="1"/>
    <col min="12295" max="12295" width="10.42578125" style="36" bestFit="1" customWidth="1"/>
    <col min="12296" max="12296" width="12.28515625" style="36" customWidth="1"/>
    <col min="12297" max="12301" width="11.42578125" style="36" customWidth="1"/>
    <col min="12302" max="12303" width="10.5703125" style="36" bestFit="1" customWidth="1"/>
    <col min="12304" max="12305" width="11.42578125" style="36" customWidth="1"/>
    <col min="12306" max="12306" width="6.140625" style="36" customWidth="1"/>
    <col min="12307" max="12317" width="11.42578125" style="36" customWidth="1"/>
    <col min="12318" max="12547" width="11.42578125" style="36"/>
    <col min="12548" max="12548" width="5.28515625" style="36" customWidth="1"/>
    <col min="12549" max="12549" width="15.28515625" style="36" customWidth="1"/>
    <col min="12550" max="12550" width="14.42578125" style="36" bestFit="1" customWidth="1"/>
    <col min="12551" max="12551" width="10.42578125" style="36" bestFit="1" customWidth="1"/>
    <col min="12552" max="12552" width="12.28515625" style="36" customWidth="1"/>
    <col min="12553" max="12557" width="11.42578125" style="36" customWidth="1"/>
    <col min="12558" max="12559" width="10.5703125" style="36" bestFit="1" customWidth="1"/>
    <col min="12560" max="12561" width="11.42578125" style="36" customWidth="1"/>
    <col min="12562" max="12562" width="6.140625" style="36" customWidth="1"/>
    <col min="12563" max="12573" width="11.42578125" style="36" customWidth="1"/>
    <col min="12574" max="12803" width="11.42578125" style="36"/>
    <col min="12804" max="12804" width="5.28515625" style="36" customWidth="1"/>
    <col min="12805" max="12805" width="15.28515625" style="36" customWidth="1"/>
    <col min="12806" max="12806" width="14.42578125" style="36" bestFit="1" customWidth="1"/>
    <col min="12807" max="12807" width="10.42578125" style="36" bestFit="1" customWidth="1"/>
    <col min="12808" max="12808" width="12.28515625" style="36" customWidth="1"/>
    <col min="12809" max="12813" width="11.42578125" style="36" customWidth="1"/>
    <col min="12814" max="12815" width="10.5703125" style="36" bestFit="1" customWidth="1"/>
    <col min="12816" max="12817" width="11.42578125" style="36" customWidth="1"/>
    <col min="12818" max="12818" width="6.140625" style="36" customWidth="1"/>
    <col min="12819" max="12829" width="11.42578125" style="36" customWidth="1"/>
    <col min="12830" max="13059" width="11.42578125" style="36"/>
    <col min="13060" max="13060" width="5.28515625" style="36" customWidth="1"/>
    <col min="13061" max="13061" width="15.28515625" style="36" customWidth="1"/>
    <col min="13062" max="13062" width="14.42578125" style="36" bestFit="1" customWidth="1"/>
    <col min="13063" max="13063" width="10.42578125" style="36" bestFit="1" customWidth="1"/>
    <col min="13064" max="13064" width="12.28515625" style="36" customWidth="1"/>
    <col min="13065" max="13069" width="11.42578125" style="36" customWidth="1"/>
    <col min="13070" max="13071" width="10.5703125" style="36" bestFit="1" customWidth="1"/>
    <col min="13072" max="13073" width="11.42578125" style="36" customWidth="1"/>
    <col min="13074" max="13074" width="6.140625" style="36" customWidth="1"/>
    <col min="13075" max="13085" width="11.42578125" style="36" customWidth="1"/>
    <col min="13086" max="13315" width="11.42578125" style="36"/>
    <col min="13316" max="13316" width="5.28515625" style="36" customWidth="1"/>
    <col min="13317" max="13317" width="15.28515625" style="36" customWidth="1"/>
    <col min="13318" max="13318" width="14.42578125" style="36" bestFit="1" customWidth="1"/>
    <col min="13319" max="13319" width="10.42578125" style="36" bestFit="1" customWidth="1"/>
    <col min="13320" max="13320" width="12.28515625" style="36" customWidth="1"/>
    <col min="13321" max="13325" width="11.42578125" style="36" customWidth="1"/>
    <col min="13326" max="13327" width="10.5703125" style="36" bestFit="1" customWidth="1"/>
    <col min="13328" max="13329" width="11.42578125" style="36" customWidth="1"/>
    <col min="13330" max="13330" width="6.140625" style="36" customWidth="1"/>
    <col min="13331" max="13341" width="11.42578125" style="36" customWidth="1"/>
    <col min="13342" max="13571" width="11.42578125" style="36"/>
    <col min="13572" max="13572" width="5.28515625" style="36" customWidth="1"/>
    <col min="13573" max="13573" width="15.28515625" style="36" customWidth="1"/>
    <col min="13574" max="13574" width="14.42578125" style="36" bestFit="1" customWidth="1"/>
    <col min="13575" max="13575" width="10.42578125" style="36" bestFit="1" customWidth="1"/>
    <col min="13576" max="13576" width="12.28515625" style="36" customWidth="1"/>
    <col min="13577" max="13581" width="11.42578125" style="36" customWidth="1"/>
    <col min="13582" max="13583" width="10.5703125" style="36" bestFit="1" customWidth="1"/>
    <col min="13584" max="13585" width="11.42578125" style="36" customWidth="1"/>
    <col min="13586" max="13586" width="6.140625" style="36" customWidth="1"/>
    <col min="13587" max="13597" width="11.42578125" style="36" customWidth="1"/>
    <col min="13598" max="13827" width="11.42578125" style="36"/>
    <col min="13828" max="13828" width="5.28515625" style="36" customWidth="1"/>
    <col min="13829" max="13829" width="15.28515625" style="36" customWidth="1"/>
    <col min="13830" max="13830" width="14.42578125" style="36" bestFit="1" customWidth="1"/>
    <col min="13831" max="13831" width="10.42578125" style="36" bestFit="1" customWidth="1"/>
    <col min="13832" max="13832" width="12.28515625" style="36" customWidth="1"/>
    <col min="13833" max="13837" width="11.42578125" style="36" customWidth="1"/>
    <col min="13838" max="13839" width="10.5703125" style="36" bestFit="1" customWidth="1"/>
    <col min="13840" max="13841" width="11.42578125" style="36" customWidth="1"/>
    <col min="13842" max="13842" width="6.140625" style="36" customWidth="1"/>
    <col min="13843" max="13853" width="11.42578125" style="36" customWidth="1"/>
    <col min="13854" max="14083" width="11.42578125" style="36"/>
    <col min="14084" max="14084" width="5.28515625" style="36" customWidth="1"/>
    <col min="14085" max="14085" width="15.28515625" style="36" customWidth="1"/>
    <col min="14086" max="14086" width="14.42578125" style="36" bestFit="1" customWidth="1"/>
    <col min="14087" max="14087" width="10.42578125" style="36" bestFit="1" customWidth="1"/>
    <col min="14088" max="14088" width="12.28515625" style="36" customWidth="1"/>
    <col min="14089" max="14093" width="11.42578125" style="36" customWidth="1"/>
    <col min="14094" max="14095" width="10.5703125" style="36" bestFit="1" customWidth="1"/>
    <col min="14096" max="14097" width="11.42578125" style="36" customWidth="1"/>
    <col min="14098" max="14098" width="6.140625" style="36" customWidth="1"/>
    <col min="14099" max="14109" width="11.42578125" style="36" customWidth="1"/>
    <col min="14110" max="14339" width="11.42578125" style="36"/>
    <col min="14340" max="14340" width="5.28515625" style="36" customWidth="1"/>
    <col min="14341" max="14341" width="15.28515625" style="36" customWidth="1"/>
    <col min="14342" max="14342" width="14.42578125" style="36" bestFit="1" customWidth="1"/>
    <col min="14343" max="14343" width="10.42578125" style="36" bestFit="1" customWidth="1"/>
    <col min="14344" max="14344" width="12.28515625" style="36" customWidth="1"/>
    <col min="14345" max="14349" width="11.42578125" style="36" customWidth="1"/>
    <col min="14350" max="14351" width="10.5703125" style="36" bestFit="1" customWidth="1"/>
    <col min="14352" max="14353" width="11.42578125" style="36" customWidth="1"/>
    <col min="14354" max="14354" width="6.140625" style="36" customWidth="1"/>
    <col min="14355" max="14365" width="11.42578125" style="36" customWidth="1"/>
    <col min="14366" max="14595" width="11.42578125" style="36"/>
    <col min="14596" max="14596" width="5.28515625" style="36" customWidth="1"/>
    <col min="14597" max="14597" width="15.28515625" style="36" customWidth="1"/>
    <col min="14598" max="14598" width="14.42578125" style="36" bestFit="1" customWidth="1"/>
    <col min="14599" max="14599" width="10.42578125" style="36" bestFit="1" customWidth="1"/>
    <col min="14600" max="14600" width="12.28515625" style="36" customWidth="1"/>
    <col min="14601" max="14605" width="11.42578125" style="36" customWidth="1"/>
    <col min="14606" max="14607" width="10.5703125" style="36" bestFit="1" customWidth="1"/>
    <col min="14608" max="14609" width="11.42578125" style="36" customWidth="1"/>
    <col min="14610" max="14610" width="6.140625" style="36" customWidth="1"/>
    <col min="14611" max="14621" width="11.42578125" style="36" customWidth="1"/>
    <col min="14622" max="14851" width="11.42578125" style="36"/>
    <col min="14852" max="14852" width="5.28515625" style="36" customWidth="1"/>
    <col min="14853" max="14853" width="15.28515625" style="36" customWidth="1"/>
    <col min="14854" max="14854" width="14.42578125" style="36" bestFit="1" customWidth="1"/>
    <col min="14855" max="14855" width="10.42578125" style="36" bestFit="1" customWidth="1"/>
    <col min="14856" max="14856" width="12.28515625" style="36" customWidth="1"/>
    <col min="14857" max="14861" width="11.42578125" style="36" customWidth="1"/>
    <col min="14862" max="14863" width="10.5703125" style="36" bestFit="1" customWidth="1"/>
    <col min="14864" max="14865" width="11.42578125" style="36" customWidth="1"/>
    <col min="14866" max="14866" width="6.140625" style="36" customWidth="1"/>
    <col min="14867" max="14877" width="11.42578125" style="36" customWidth="1"/>
    <col min="14878" max="15107" width="11.42578125" style="36"/>
    <col min="15108" max="15108" width="5.28515625" style="36" customWidth="1"/>
    <col min="15109" max="15109" width="15.28515625" style="36" customWidth="1"/>
    <col min="15110" max="15110" width="14.42578125" style="36" bestFit="1" customWidth="1"/>
    <col min="15111" max="15111" width="10.42578125" style="36" bestFit="1" customWidth="1"/>
    <col min="15112" max="15112" width="12.28515625" style="36" customWidth="1"/>
    <col min="15113" max="15117" width="11.42578125" style="36" customWidth="1"/>
    <col min="15118" max="15119" width="10.5703125" style="36" bestFit="1" customWidth="1"/>
    <col min="15120" max="15121" width="11.42578125" style="36" customWidth="1"/>
    <col min="15122" max="15122" width="6.140625" style="36" customWidth="1"/>
    <col min="15123" max="15133" width="11.42578125" style="36" customWidth="1"/>
    <col min="15134" max="15363" width="11.42578125" style="36"/>
    <col min="15364" max="15364" width="5.28515625" style="36" customWidth="1"/>
    <col min="15365" max="15365" width="15.28515625" style="36" customWidth="1"/>
    <col min="15366" max="15366" width="14.42578125" style="36" bestFit="1" customWidth="1"/>
    <col min="15367" max="15367" width="10.42578125" style="36" bestFit="1" customWidth="1"/>
    <col min="15368" max="15368" width="12.28515625" style="36" customWidth="1"/>
    <col min="15369" max="15373" width="11.42578125" style="36" customWidth="1"/>
    <col min="15374" max="15375" width="10.5703125" style="36" bestFit="1" customWidth="1"/>
    <col min="15376" max="15377" width="11.42578125" style="36" customWidth="1"/>
    <col min="15378" max="15378" width="6.140625" style="36" customWidth="1"/>
    <col min="15379" max="15389" width="11.42578125" style="36" customWidth="1"/>
    <col min="15390" max="15619" width="11.42578125" style="36"/>
    <col min="15620" max="15620" width="5.28515625" style="36" customWidth="1"/>
    <col min="15621" max="15621" width="15.28515625" style="36" customWidth="1"/>
    <col min="15622" max="15622" width="14.42578125" style="36" bestFit="1" customWidth="1"/>
    <col min="15623" max="15623" width="10.42578125" style="36" bestFit="1" customWidth="1"/>
    <col min="15624" max="15624" width="12.28515625" style="36" customWidth="1"/>
    <col min="15625" max="15629" width="11.42578125" style="36" customWidth="1"/>
    <col min="15630" max="15631" width="10.5703125" style="36" bestFit="1" customWidth="1"/>
    <col min="15632" max="15633" width="11.42578125" style="36" customWidth="1"/>
    <col min="15634" max="15634" width="6.140625" style="36" customWidth="1"/>
    <col min="15635" max="15645" width="11.42578125" style="36" customWidth="1"/>
    <col min="15646" max="15875" width="11.42578125" style="36"/>
    <col min="15876" max="15876" width="5.28515625" style="36" customWidth="1"/>
    <col min="15877" max="15877" width="15.28515625" style="36" customWidth="1"/>
    <col min="15878" max="15878" width="14.42578125" style="36" bestFit="1" customWidth="1"/>
    <col min="15879" max="15879" width="10.42578125" style="36" bestFit="1" customWidth="1"/>
    <col min="15880" max="15880" width="12.28515625" style="36" customWidth="1"/>
    <col min="15881" max="15885" width="11.42578125" style="36" customWidth="1"/>
    <col min="15886" max="15887" width="10.5703125" style="36" bestFit="1" customWidth="1"/>
    <col min="15888" max="15889" width="11.42578125" style="36" customWidth="1"/>
    <col min="15890" max="15890" width="6.140625" style="36" customWidth="1"/>
    <col min="15891" max="15901" width="11.42578125" style="36" customWidth="1"/>
    <col min="15902" max="16131" width="11.42578125" style="36"/>
    <col min="16132" max="16132" width="5.28515625" style="36" customWidth="1"/>
    <col min="16133" max="16133" width="15.28515625" style="36" customWidth="1"/>
    <col min="16134" max="16134" width="14.42578125" style="36" bestFit="1" customWidth="1"/>
    <col min="16135" max="16135" width="10.42578125" style="36" bestFit="1" customWidth="1"/>
    <col min="16136" max="16136" width="12.28515625" style="36" customWidth="1"/>
    <col min="16137" max="16141" width="11.42578125" style="36" customWidth="1"/>
    <col min="16142" max="16143" width="10.5703125" style="36" bestFit="1" customWidth="1"/>
    <col min="16144" max="16145" width="11.42578125" style="36" customWidth="1"/>
    <col min="16146" max="16146" width="6.140625" style="36" customWidth="1"/>
    <col min="16147" max="16157" width="11.42578125" style="36" customWidth="1"/>
    <col min="16158" max="16384" width="11.42578125" style="36"/>
  </cols>
  <sheetData>
    <row r="1" spans="1:62" s="122" customFormat="1" ht="10.5" customHeight="1" thickBot="1" x14ac:dyDescent="0.3">
      <c r="Q1" s="37"/>
    </row>
    <row r="2" spans="1:62" s="122" customFormat="1" ht="6" customHeight="1" x14ac:dyDescent="0.25">
      <c r="B2" s="240"/>
      <c r="C2" s="241"/>
      <c r="D2" s="241"/>
      <c r="E2" s="241"/>
      <c r="F2" s="241"/>
      <c r="G2" s="241"/>
      <c r="H2" s="241"/>
      <c r="I2" s="241"/>
      <c r="J2" s="241"/>
      <c r="K2" s="241"/>
      <c r="L2" s="241"/>
      <c r="M2" s="241"/>
      <c r="N2" s="241"/>
      <c r="O2" s="241"/>
      <c r="P2" s="241"/>
      <c r="Q2" s="241"/>
      <c r="R2" s="241"/>
      <c r="S2" s="241"/>
      <c r="T2" s="242"/>
    </row>
    <row r="3" spans="1:62" s="1" customFormat="1" ht="33" customHeight="1" x14ac:dyDescent="0.25">
      <c r="B3" s="243"/>
      <c r="C3" s="256"/>
      <c r="D3" s="256"/>
      <c r="E3" s="256"/>
      <c r="F3" s="256"/>
      <c r="G3" s="256"/>
      <c r="H3" s="256"/>
      <c r="I3" s="256"/>
      <c r="J3" s="256"/>
      <c r="K3" s="256"/>
      <c r="L3" s="256"/>
      <c r="M3" s="256"/>
      <c r="N3" s="256"/>
      <c r="O3" s="256"/>
      <c r="P3" s="256"/>
      <c r="Q3" s="256"/>
      <c r="R3" s="256"/>
      <c r="S3" s="256"/>
      <c r="T3" s="244"/>
      <c r="U3" s="122"/>
      <c r="V3" s="1" t="s">
        <v>1233</v>
      </c>
      <c r="W3" s="178">
        <v>1</v>
      </c>
      <c r="X3" s="122"/>
      <c r="Y3" s="122"/>
      <c r="Z3" s="122"/>
      <c r="AA3" s="122"/>
      <c r="AB3" s="122"/>
      <c r="AC3" s="122"/>
      <c r="AD3" s="122"/>
      <c r="AE3" s="122"/>
      <c r="BI3" s="55"/>
      <c r="BJ3" s="55"/>
    </row>
    <row r="4" spans="1:62" s="1" customFormat="1" ht="25.15" customHeight="1" x14ac:dyDescent="0.25">
      <c r="B4" s="243"/>
      <c r="C4" s="274" t="s">
        <v>592</v>
      </c>
      <c r="D4" s="274"/>
      <c r="E4" s="274"/>
      <c r="F4" s="274"/>
      <c r="G4" s="274"/>
      <c r="H4" s="274"/>
      <c r="I4" s="274"/>
      <c r="J4" s="233"/>
      <c r="K4" s="233"/>
      <c r="L4" s="233"/>
      <c r="M4" s="233"/>
      <c r="N4" s="233"/>
      <c r="O4" s="233"/>
      <c r="P4" s="233"/>
      <c r="Q4" s="233"/>
      <c r="R4" s="233"/>
      <c r="S4" s="233"/>
      <c r="T4" s="244"/>
      <c r="V4" s="122" t="s">
        <v>1231</v>
      </c>
      <c r="W4" s="176">
        <f>SUMIFS(CampList[HH],CampList[Status],"open",CampList[Opening Date],"&gt;=" &amp; NFI_Monitor_Date)</f>
        <v>1850</v>
      </c>
      <c r="X4" s="122"/>
      <c r="Y4" s="122"/>
      <c r="Z4" s="122"/>
      <c r="AA4" s="122"/>
      <c r="AB4" s="122"/>
      <c r="AC4" s="122"/>
      <c r="AD4" s="122"/>
      <c r="AE4" s="122"/>
      <c r="AF4" s="76"/>
      <c r="AG4" s="76"/>
      <c r="AH4" s="76"/>
      <c r="AI4" s="76"/>
      <c r="AJ4" s="76"/>
      <c r="AK4" s="76"/>
      <c r="AL4" s="76"/>
      <c r="AM4" s="76"/>
      <c r="AN4" s="76"/>
      <c r="AO4" s="76"/>
      <c r="AP4" s="76"/>
      <c r="AQ4" s="76"/>
      <c r="AR4" s="76"/>
      <c r="AS4" s="76"/>
      <c r="BC4" s="55"/>
      <c r="BD4" s="55"/>
    </row>
    <row r="5" spans="1:62" s="17" customFormat="1" ht="12.75" customHeight="1" x14ac:dyDescent="0.25">
      <c r="B5" s="243"/>
      <c r="C5" s="885">
        <f>Definition!B23</f>
        <v>42571</v>
      </c>
      <c r="D5" s="885"/>
      <c r="E5" s="885"/>
      <c r="F5" s="885"/>
      <c r="G5" s="885"/>
      <c r="H5" s="885"/>
      <c r="I5" s="275"/>
      <c r="J5" s="233"/>
      <c r="K5" s="233"/>
      <c r="L5" s="233"/>
      <c r="M5" s="233"/>
      <c r="N5" s="233"/>
      <c r="O5" s="233"/>
      <c r="P5" s="233"/>
      <c r="Q5" s="233"/>
      <c r="R5" s="233"/>
      <c r="S5" s="233"/>
      <c r="T5" s="244"/>
      <c r="V5" s="122" t="s">
        <v>1232</v>
      </c>
      <c r="W5" s="176">
        <f>SUMIFS(CampList[HH],CampList[Status],"open",CampList[Priority],"P1")</f>
        <v>1814</v>
      </c>
      <c r="X5" s="122"/>
      <c r="Y5" s="122"/>
      <c r="Z5" s="122"/>
      <c r="AA5" s="122"/>
      <c r="AB5" s="122"/>
      <c r="AC5" s="122"/>
      <c r="AD5" s="122"/>
      <c r="AE5" s="122"/>
      <c r="AF5" s="76"/>
      <c r="AG5" s="76"/>
      <c r="AH5" s="76"/>
      <c r="AI5" s="76"/>
      <c r="AJ5" s="76"/>
      <c r="AK5" s="76"/>
      <c r="AL5" s="76"/>
      <c r="AM5" s="76"/>
      <c r="AN5" s="76"/>
      <c r="AO5" s="76"/>
      <c r="AP5" s="76"/>
      <c r="AQ5" s="76"/>
      <c r="AR5" s="76"/>
      <c r="AS5" s="76"/>
      <c r="BC5" s="56"/>
      <c r="BD5" s="56"/>
    </row>
    <row r="6" spans="1:62" s="44" customFormat="1" ht="44.25" customHeight="1" x14ac:dyDescent="0.55000000000000004">
      <c r="B6" s="279"/>
      <c r="C6" s="276"/>
      <c r="D6" s="277"/>
      <c r="E6" s="277"/>
      <c r="F6" s="277"/>
      <c r="G6" s="277"/>
      <c r="H6" s="277"/>
      <c r="I6" s="277"/>
      <c r="J6" s="277"/>
      <c r="K6" s="277"/>
      <c r="L6" s="277"/>
      <c r="M6" s="277"/>
      <c r="N6" s="277"/>
      <c r="O6" s="277"/>
      <c r="P6" s="277"/>
      <c r="Q6" s="278"/>
      <c r="R6" s="277"/>
      <c r="S6" s="277"/>
      <c r="T6" s="280"/>
    </row>
    <row r="7" spans="1:62" s="44" customFormat="1" ht="7.5" customHeight="1" x14ac:dyDescent="0.55000000000000004">
      <c r="B7" s="377"/>
      <c r="C7" s="378"/>
      <c r="D7" s="379"/>
      <c r="E7" s="379"/>
      <c r="F7" s="379"/>
      <c r="G7" s="379"/>
      <c r="H7" s="379"/>
      <c r="I7" s="379"/>
      <c r="J7" s="379"/>
      <c r="K7" s="379"/>
      <c r="L7" s="379"/>
      <c r="M7" s="379"/>
      <c r="N7" s="379"/>
      <c r="O7" s="379"/>
      <c r="P7" s="379"/>
      <c r="Q7" s="380"/>
      <c r="R7" s="379"/>
      <c r="S7" s="379"/>
      <c r="T7" s="381"/>
    </row>
    <row r="8" spans="1:62" s="76" customFormat="1" ht="12.75" customHeight="1" x14ac:dyDescent="0.35">
      <c r="A8" s="122"/>
      <c r="B8" s="263"/>
      <c r="C8" s="38"/>
      <c r="D8" s="38"/>
      <c r="E8" s="38"/>
      <c r="F8" s="38"/>
      <c r="G8" s="38"/>
      <c r="H8" s="38"/>
      <c r="I8" s="38"/>
      <c r="J8" s="38"/>
      <c r="K8" s="38"/>
      <c r="L8" s="38"/>
      <c r="M8" s="38"/>
      <c r="N8" s="38"/>
      <c r="O8" s="38"/>
      <c r="P8" s="38"/>
      <c r="Q8" s="382"/>
      <c r="R8" s="38"/>
      <c r="S8" s="38"/>
      <c r="T8" s="257"/>
      <c r="U8" s="122"/>
      <c r="V8" s="122"/>
      <c r="W8" s="122"/>
      <c r="X8" s="122"/>
      <c r="Y8" s="122"/>
      <c r="Z8" s="122"/>
      <c r="AA8" s="122"/>
      <c r="AB8" s="122"/>
      <c r="AC8" s="122"/>
      <c r="AD8" s="122"/>
      <c r="AE8" s="122"/>
    </row>
    <row r="9" spans="1:62" s="76" customFormat="1" ht="12.75" customHeight="1" x14ac:dyDescent="0.25">
      <c r="A9" s="122"/>
      <c r="B9" s="263"/>
      <c r="C9" s="38"/>
      <c r="D9" s="38"/>
      <c r="E9" s="38"/>
      <c r="F9" s="38"/>
      <c r="G9" s="38"/>
      <c r="H9" s="38"/>
      <c r="I9" s="38"/>
      <c r="J9" s="38"/>
      <c r="K9" s="38"/>
      <c r="L9" s="38"/>
      <c r="M9" s="38"/>
      <c r="N9" s="38"/>
      <c r="O9" s="38"/>
      <c r="P9" s="38"/>
      <c r="Q9" s="38"/>
      <c r="R9" s="38"/>
      <c r="S9" s="38"/>
      <c r="T9" s="257"/>
      <c r="U9" s="122"/>
      <c r="V9" s="122"/>
      <c r="W9" s="122"/>
      <c r="X9" s="122"/>
      <c r="Y9" s="122"/>
      <c r="Z9" s="122"/>
      <c r="AA9" s="122"/>
      <c r="AB9" s="122"/>
      <c r="AC9" s="122"/>
      <c r="AD9" s="122"/>
      <c r="AE9" s="122"/>
    </row>
    <row r="10" spans="1:62" ht="12.75" customHeight="1" thickBot="1" x14ac:dyDescent="0.3">
      <c r="B10" s="263"/>
      <c r="C10" s="38"/>
      <c r="D10" s="38"/>
      <c r="E10" s="38"/>
      <c r="F10" s="38"/>
      <c r="G10" s="38"/>
      <c r="H10" s="38"/>
      <c r="I10" s="38"/>
      <c r="J10" s="38"/>
      <c r="K10" s="38"/>
      <c r="L10" s="38"/>
      <c r="M10" s="38"/>
      <c r="N10" s="38"/>
      <c r="O10" s="38"/>
      <c r="P10" s="38"/>
      <c r="Q10" s="38"/>
      <c r="R10" s="38"/>
      <c r="S10" s="38"/>
      <c r="T10" s="257"/>
      <c r="Y10" s="1"/>
    </row>
    <row r="11" spans="1:62" ht="12.75" customHeight="1" x14ac:dyDescent="0.25">
      <c r="B11" s="263"/>
      <c r="C11" s="38"/>
      <c r="D11" s="38"/>
      <c r="E11" s="38"/>
      <c r="F11" s="38"/>
      <c r="G11" s="38"/>
      <c r="H11" s="38"/>
      <c r="I11" s="38"/>
      <c r="J11" s="38"/>
      <c r="K11" s="38"/>
      <c r="L11" s="38"/>
      <c r="M11" s="38"/>
      <c r="N11" s="38"/>
      <c r="O11" s="38"/>
      <c r="P11" s="38"/>
      <c r="Q11" s="38"/>
      <c r="R11" s="38"/>
      <c r="S11" s="38"/>
      <c r="T11" s="257"/>
      <c r="W11" s="281"/>
      <c r="X11" s="282"/>
      <c r="Y11" s="387"/>
      <c r="Z11" s="388"/>
      <c r="AA11" s="388"/>
      <c r="AB11" s="388"/>
      <c r="AC11" s="388"/>
      <c r="AD11" s="388"/>
      <c r="AE11" s="388"/>
      <c r="AF11" s="389"/>
    </row>
    <row r="12" spans="1:62" ht="24" customHeight="1" x14ac:dyDescent="0.25">
      <c r="B12" s="263"/>
      <c r="C12" s="189" t="s">
        <v>586</v>
      </c>
      <c r="D12" s="190" t="s">
        <v>455</v>
      </c>
      <c r="E12" s="191" t="s">
        <v>832</v>
      </c>
      <c r="F12" s="192" t="s">
        <v>828</v>
      </c>
      <c r="G12" s="192" t="s">
        <v>829</v>
      </c>
      <c r="H12" s="193" t="s">
        <v>830</v>
      </c>
      <c r="I12" s="193" t="s">
        <v>831</v>
      </c>
      <c r="J12" s="194" t="s">
        <v>1234</v>
      </c>
      <c r="K12" s="38"/>
      <c r="L12" s="189" t="s">
        <v>586</v>
      </c>
      <c r="M12" s="190" t="s">
        <v>455</v>
      </c>
      <c r="N12" s="191" t="s">
        <v>832</v>
      </c>
      <c r="O12" s="192" t="s">
        <v>828</v>
      </c>
      <c r="P12" s="192" t="s">
        <v>829</v>
      </c>
      <c r="Q12" s="193" t="s">
        <v>830</v>
      </c>
      <c r="R12" s="193" t="s">
        <v>831</v>
      </c>
      <c r="S12" s="194" t="s">
        <v>1234</v>
      </c>
      <c r="T12" s="257"/>
      <c r="W12" s="45"/>
      <c r="X12" s="1"/>
      <c r="Y12" s="263"/>
      <c r="Z12" s="383" t="s">
        <v>832</v>
      </c>
      <c r="AA12" s="383" t="s">
        <v>833</v>
      </c>
      <c r="AB12" s="135" t="s">
        <v>834</v>
      </c>
      <c r="AC12" s="135" t="s">
        <v>835</v>
      </c>
      <c r="AD12" s="136" t="s">
        <v>836</v>
      </c>
      <c r="AE12" s="136" t="s">
        <v>837</v>
      </c>
      <c r="AF12" s="257"/>
    </row>
    <row r="13" spans="1:62" ht="12.75" customHeight="1" x14ac:dyDescent="0.25">
      <c r="B13" s="263"/>
      <c r="C13" s="195" t="s">
        <v>596</v>
      </c>
      <c r="D13" s="196">
        <f t="shared" ref="D13:D19" si="0">VLOOKUP($C13,NFI,6,0)</f>
        <v>2</v>
      </c>
      <c r="E13" s="197">
        <f>$W$4*D13</f>
        <v>3700</v>
      </c>
      <c r="F13" s="198">
        <f ca="1">SUMIFS(Table_NFI[Mosquito net_LS],Table_NFI[opening_date],1,Table_NFI[Status],"open")</f>
        <v>13</v>
      </c>
      <c r="G13" s="199">
        <f t="shared" ref="G13:G18" ca="1" si="1">IF((F13/E13)&gt;100%,100%,(F13/E13))</f>
        <v>3.5135135135135136E-3</v>
      </c>
      <c r="H13" s="198">
        <f ca="1">SUM(INDIRECT(VLOOKUP($C13,NFI,3,0)))</f>
        <v>8724</v>
      </c>
      <c r="I13" s="200">
        <f ca="1">H13/E13</f>
        <v>2.3578378378378377</v>
      </c>
      <c r="J13" s="201">
        <f ca="1">MAX(0,1-G13-I13)</f>
        <v>0</v>
      </c>
      <c r="K13" s="38"/>
      <c r="L13" s="195" t="s">
        <v>989</v>
      </c>
      <c r="M13" s="196">
        <f>VLOOKUP($L13,NFI,6,0)</f>
        <v>2</v>
      </c>
      <c r="N13" s="197">
        <f>$W$5*M13</f>
        <v>3628</v>
      </c>
      <c r="O13" s="198">
        <f ca="1">SUMIFS(Table_NFI[Winter Clothes Adult_LS],Table_NFI[Priority],"P1",Table_NFI[Status],"open")</f>
        <v>710</v>
      </c>
      <c r="P13" s="199">
        <f t="shared" ref="P13:P14" ca="1" si="2">IF((O13/N13)&gt;100%,100%,(O13/N13))</f>
        <v>0.19570011025358325</v>
      </c>
      <c r="Q13" s="198">
        <f ca="1">SUM(INDIRECT(VLOOKUP($L13,NFI,3,0)))</f>
        <v>0</v>
      </c>
      <c r="R13" s="200">
        <f t="shared" ref="R13:R14" ca="1" si="3">Q13/N13</f>
        <v>0</v>
      </c>
      <c r="S13" s="201">
        <f ca="1">MAX(0,1-P13-R13)</f>
        <v>0.80429988974641675</v>
      </c>
      <c r="T13" s="257"/>
      <c r="W13" s="45"/>
      <c r="X13" s="1"/>
      <c r="Y13" s="263"/>
      <c r="Z13" s="82">
        <f t="shared" ref="Z13:Z19" ca="1" si="4">IF((E13-(SUM(F13:H13)))&lt;0,0,(E13-(SUM(F13:H13))))</f>
        <v>0</v>
      </c>
      <c r="AA13" s="384">
        <f t="shared" ref="AA13:AA19" ca="1" si="5">Z13/E13</f>
        <v>0</v>
      </c>
      <c r="AB13" s="82">
        <f t="shared" ref="AB13:AB19" ca="1" si="6">SUMIFS(INDIRECT(VLOOKUP($C13,NFI,4,0)),NFI_Pipeline_State,$C$6)</f>
        <v>0</v>
      </c>
      <c r="AC13" s="81">
        <f t="shared" ref="AC13:AC19" ca="1" si="7">AB13/E13</f>
        <v>0</v>
      </c>
      <c r="AD13" s="83">
        <f t="shared" ref="AD13:AD19" ca="1" si="8">IF((E13-(F13+H13+AB13))&lt;0,0,(E13-(F13+H13+AB13)))</f>
        <v>0</v>
      </c>
      <c r="AE13" s="84">
        <f t="shared" ref="AE13:AE19" ca="1" si="9">AD13/E13</f>
        <v>0</v>
      </c>
      <c r="AF13" s="257"/>
    </row>
    <row r="14" spans="1:62" ht="12.75" customHeight="1" x14ac:dyDescent="0.25">
      <c r="B14" s="263"/>
      <c r="C14" s="195" t="s">
        <v>458</v>
      </c>
      <c r="D14" s="196">
        <f t="shared" si="0"/>
        <v>1</v>
      </c>
      <c r="E14" s="197">
        <f>$W$4*D14</f>
        <v>1850</v>
      </c>
      <c r="F14" s="198">
        <f ca="1">SUMIFS(Table_NFI[Tarpaulin_LS],Table_NFI[opening_date],1,Table_NFI[Status],"open")</f>
        <v>7</v>
      </c>
      <c r="G14" s="199">
        <f t="shared" ca="1" si="1"/>
        <v>3.7837837837837837E-3</v>
      </c>
      <c r="H14" s="198">
        <f ca="1">SUM(INDIRECT(VLOOKUP($C14,NFI,3,0)))</f>
        <v>4391</v>
      </c>
      <c r="I14" s="200">
        <f ca="1">H14/E14</f>
        <v>2.3735135135135135</v>
      </c>
      <c r="J14" s="201">
        <f t="shared" ref="J14:J19" ca="1" si="10">MAX(0,1-G14-I14)</f>
        <v>0</v>
      </c>
      <c r="K14" s="38"/>
      <c r="L14" s="195" t="s">
        <v>993</v>
      </c>
      <c r="M14" s="196">
        <f>VLOOKUP($L14,NFI,6,0)</f>
        <v>3</v>
      </c>
      <c r="N14" s="197">
        <f>$W$5*M14</f>
        <v>5442</v>
      </c>
      <c r="O14" s="198">
        <f ca="1">SUMIFS(Table_NFI[Winter Clothes Children_LS],Table_NFI[Priority],"P1",Table_NFI[Status],"open")</f>
        <v>2145</v>
      </c>
      <c r="P14" s="199">
        <f t="shared" ca="1" si="2"/>
        <v>0.39415656008820288</v>
      </c>
      <c r="Q14" s="198">
        <f ca="1">SUM(INDIRECT(VLOOKUP($L14,NFI,3,0)))</f>
        <v>465</v>
      </c>
      <c r="R14" s="200">
        <f t="shared" ca="1" si="3"/>
        <v>8.544652701212789E-2</v>
      </c>
      <c r="S14" s="201">
        <f ca="1">MAX(0,1-P14-R14)</f>
        <v>0.52039691289966927</v>
      </c>
      <c r="T14" s="257"/>
      <c r="W14" s="45"/>
      <c r="X14" s="1"/>
      <c r="Y14" s="263"/>
      <c r="Z14" s="82">
        <f t="shared" ca="1" si="4"/>
        <v>0</v>
      </c>
      <c r="AA14" s="384">
        <f t="shared" ca="1" si="5"/>
        <v>0</v>
      </c>
      <c r="AB14" s="82">
        <f t="shared" ca="1" si="6"/>
        <v>0</v>
      </c>
      <c r="AC14" s="81">
        <f t="shared" ca="1" si="7"/>
        <v>0</v>
      </c>
      <c r="AD14" s="83">
        <f t="shared" ca="1" si="8"/>
        <v>0</v>
      </c>
      <c r="AE14" s="84">
        <f t="shared" ca="1" si="9"/>
        <v>0</v>
      </c>
      <c r="AF14" s="257"/>
    </row>
    <row r="15" spans="1:62" x14ac:dyDescent="0.25">
      <c r="B15" s="263"/>
      <c r="C15" s="195" t="s">
        <v>435</v>
      </c>
      <c r="D15" s="196">
        <f t="shared" si="0"/>
        <v>2</v>
      </c>
      <c r="E15" s="197">
        <f t="shared" ref="E15:E19" si="11">$W$4*D15</f>
        <v>3700</v>
      </c>
      <c r="F15" s="198">
        <f ca="1">SUMIFS(Table_NFI[Blanket_LS],Table_NFI[opening_date],1,Table_NFI[Status],"open")</f>
        <v>13</v>
      </c>
      <c r="G15" s="199">
        <f t="shared" ca="1" si="1"/>
        <v>3.5135135135135136E-3</v>
      </c>
      <c r="H15" s="198">
        <f t="shared" ref="H15:H19" ca="1" si="12">SUM(INDIRECT(VLOOKUP($C15,NFI,3,0)))</f>
        <v>14972</v>
      </c>
      <c r="I15" s="200">
        <f ca="1">H15/E15</f>
        <v>4.0464864864864865</v>
      </c>
      <c r="J15" s="201">
        <f ca="1">MAX(0,1-G15-I15)</f>
        <v>0</v>
      </c>
      <c r="K15" s="38"/>
      <c r="L15" s="195" t="s">
        <v>1113</v>
      </c>
      <c r="M15" s="196">
        <f>VLOOKUP(L15,NFI,6,0)</f>
        <v>2</v>
      </c>
      <c r="N15" s="197">
        <f>$W$5*M15</f>
        <v>3628</v>
      </c>
      <c r="O15" s="198">
        <f ca="1">SUMIFS(Table_NFI[Winter Blanket_LS],Table_NFI[Priority],"P1",Table_NFI[Status],"open")</f>
        <v>346</v>
      </c>
      <c r="P15" s="199">
        <f ca="1">IF((O15/N15)&gt;100%,100%,(O15/N15))</f>
        <v>9.5369349503858877E-2</v>
      </c>
      <c r="Q15" s="198">
        <f ca="1">SUM(INDIRECT(VLOOKUP($L15,NFI,3,0)))</f>
        <v>2001</v>
      </c>
      <c r="R15" s="200">
        <f t="shared" ref="R15" ca="1" si="13">Q15/N15</f>
        <v>0.55154355016538037</v>
      </c>
      <c r="S15" s="201">
        <f ca="1">MAX(0,1-P15-R15)</f>
        <v>0.35308710033076074</v>
      </c>
      <c r="T15" s="257"/>
      <c r="W15" s="45"/>
      <c r="X15" s="1"/>
      <c r="Y15" s="263"/>
      <c r="Z15" s="82">
        <f t="shared" ca="1" si="4"/>
        <v>0</v>
      </c>
      <c r="AA15" s="384">
        <f t="shared" ca="1" si="5"/>
        <v>0</v>
      </c>
      <c r="AB15" s="82">
        <f t="shared" ca="1" si="6"/>
        <v>0</v>
      </c>
      <c r="AC15" s="81">
        <f t="shared" ca="1" si="7"/>
        <v>0</v>
      </c>
      <c r="AD15" s="83">
        <f t="shared" ca="1" si="8"/>
        <v>0</v>
      </c>
      <c r="AE15" s="84">
        <f t="shared" ca="1" si="9"/>
        <v>0</v>
      </c>
      <c r="AF15" s="257"/>
    </row>
    <row r="16" spans="1:62" x14ac:dyDescent="0.25">
      <c r="B16" s="263"/>
      <c r="C16" s="195" t="s">
        <v>436</v>
      </c>
      <c r="D16" s="196">
        <f t="shared" si="0"/>
        <v>1</v>
      </c>
      <c r="E16" s="197">
        <f t="shared" si="11"/>
        <v>1850</v>
      </c>
      <c r="F16" s="198">
        <f ca="1">SUMIFS(Table_NFI[Kitchen Set_LS],Table_NFI[opening_date],1,Table_NFI[Status],"open")</f>
        <v>7</v>
      </c>
      <c r="G16" s="199">
        <f t="shared" ca="1" si="1"/>
        <v>3.7837837837837837E-3</v>
      </c>
      <c r="H16" s="198">
        <f t="shared" ca="1" si="12"/>
        <v>3532</v>
      </c>
      <c r="I16" s="200">
        <f ca="1">H16/E16</f>
        <v>1.9091891891891892</v>
      </c>
      <c r="J16" s="201">
        <f t="shared" ca="1" si="10"/>
        <v>0</v>
      </c>
      <c r="K16" s="38"/>
      <c r="L16" s="38"/>
      <c r="M16" s="38"/>
      <c r="N16" s="38"/>
      <c r="O16" s="38"/>
      <c r="P16" s="38"/>
      <c r="Q16" s="38"/>
      <c r="R16" s="38"/>
      <c r="S16" s="38"/>
      <c r="T16" s="257"/>
      <c r="W16" s="45"/>
      <c r="X16" s="1"/>
      <c r="Y16" s="263"/>
      <c r="Z16" s="82">
        <f t="shared" ca="1" si="4"/>
        <v>0</v>
      </c>
      <c r="AA16" s="384">
        <f t="shared" ca="1" si="5"/>
        <v>0</v>
      </c>
      <c r="AB16" s="82">
        <f t="shared" ca="1" si="6"/>
        <v>0</v>
      </c>
      <c r="AC16" s="81">
        <f t="shared" ca="1" si="7"/>
        <v>0</v>
      </c>
      <c r="AD16" s="83">
        <f t="shared" ca="1" si="8"/>
        <v>0</v>
      </c>
      <c r="AE16" s="84">
        <f t="shared" ca="1" si="9"/>
        <v>0</v>
      </c>
      <c r="AF16" s="257"/>
    </row>
    <row r="17" spans="2:32" x14ac:dyDescent="0.25">
      <c r="B17" s="263"/>
      <c r="C17" s="195" t="s">
        <v>1221</v>
      </c>
      <c r="D17" s="196">
        <f t="shared" si="0"/>
        <v>1</v>
      </c>
      <c r="E17" s="197">
        <f t="shared" si="11"/>
        <v>1850</v>
      </c>
      <c r="F17" s="198">
        <f ca="1">SUMIFS(Table_NFI[Clothes Kit_LS],Table_NFI[opening_date],1,Table_NFI[Status],"open")</f>
        <v>7</v>
      </c>
      <c r="G17" s="199">
        <f t="shared" ca="1" si="1"/>
        <v>3.7837837837837837E-3</v>
      </c>
      <c r="H17" s="198">
        <f t="shared" ca="1" si="12"/>
        <v>0</v>
      </c>
      <c r="I17" s="200">
        <f t="shared" ref="I17:I19" ca="1" si="14">H17/E17</f>
        <v>0</v>
      </c>
      <c r="J17" s="201">
        <f t="shared" ca="1" si="10"/>
        <v>0.99621621621621625</v>
      </c>
      <c r="K17" s="38"/>
      <c r="L17" s="38"/>
      <c r="M17" s="38"/>
      <c r="N17" s="38"/>
      <c r="O17" s="38"/>
      <c r="P17" s="38"/>
      <c r="Q17" s="38"/>
      <c r="R17" s="38"/>
      <c r="S17" s="38"/>
      <c r="T17" s="257"/>
      <c r="W17" s="45"/>
      <c r="X17" s="1"/>
      <c r="Y17" s="263"/>
      <c r="Z17" s="82">
        <f t="shared" ca="1" si="4"/>
        <v>1842.9962162162162</v>
      </c>
      <c r="AA17" s="384">
        <f t="shared" ca="1" si="5"/>
        <v>0.99621417092768449</v>
      </c>
      <c r="AB17" s="82">
        <f t="shared" ca="1" si="6"/>
        <v>0</v>
      </c>
      <c r="AC17" s="81">
        <f t="shared" ca="1" si="7"/>
        <v>0</v>
      </c>
      <c r="AD17" s="83">
        <f t="shared" ca="1" si="8"/>
        <v>1843</v>
      </c>
      <c r="AE17" s="84">
        <f t="shared" ca="1" si="9"/>
        <v>0.99621621621621625</v>
      </c>
      <c r="AF17" s="257"/>
    </row>
    <row r="18" spans="2:32" x14ac:dyDescent="0.25">
      <c r="B18" s="263"/>
      <c r="C18" s="195" t="s">
        <v>578</v>
      </c>
      <c r="D18" s="196">
        <f t="shared" si="0"/>
        <v>1</v>
      </c>
      <c r="E18" s="197">
        <f t="shared" si="11"/>
        <v>1850</v>
      </c>
      <c r="F18" s="198">
        <f ca="1">SUMIFS(Table_NFI[Plastic Bucket _LS],Table_NFI[opening_date],1,Table_NFI[Status],"open")</f>
        <v>13</v>
      </c>
      <c r="G18" s="199">
        <f t="shared" ca="1" si="1"/>
        <v>7.0270270270270272E-3</v>
      </c>
      <c r="H18" s="198">
        <f ca="1">SUM(INDIRECT(VLOOKUP($C18,NFI,3,0)))</f>
        <v>3065</v>
      </c>
      <c r="I18" s="200">
        <f t="shared" ca="1" si="14"/>
        <v>1.6567567567567567</v>
      </c>
      <c r="J18" s="201">
        <f t="shared" ca="1" si="10"/>
        <v>0</v>
      </c>
      <c r="K18" s="38"/>
      <c r="L18" s="38"/>
      <c r="M18" s="38"/>
      <c r="N18" s="38"/>
      <c r="O18" s="38"/>
      <c r="P18" s="38"/>
      <c r="Q18" s="38"/>
      <c r="R18" s="38"/>
      <c r="S18" s="38"/>
      <c r="T18" s="257"/>
      <c r="W18" s="45"/>
      <c r="X18" s="1"/>
      <c r="Y18" s="263"/>
      <c r="Z18" s="82">
        <f t="shared" ca="1" si="4"/>
        <v>0</v>
      </c>
      <c r="AA18" s="384">
        <f t="shared" ca="1" si="5"/>
        <v>0</v>
      </c>
      <c r="AB18" s="82">
        <f t="shared" ca="1" si="6"/>
        <v>0</v>
      </c>
      <c r="AC18" s="81">
        <f t="shared" ca="1" si="7"/>
        <v>0</v>
      </c>
      <c r="AD18" s="83">
        <f t="shared" ca="1" si="8"/>
        <v>0</v>
      </c>
      <c r="AE18" s="84">
        <f t="shared" ca="1" si="9"/>
        <v>0</v>
      </c>
      <c r="AF18" s="257"/>
    </row>
    <row r="19" spans="2:32" x14ac:dyDescent="0.25">
      <c r="B19" s="263"/>
      <c r="C19" s="195" t="s">
        <v>579</v>
      </c>
      <c r="D19" s="196">
        <f t="shared" si="0"/>
        <v>5</v>
      </c>
      <c r="E19" s="197">
        <f t="shared" si="11"/>
        <v>9250</v>
      </c>
      <c r="F19" s="198">
        <f ca="1">SUMIFS(Table_NFI[Plastic  Mat_LS],Table_NFI[opening_date],1,Table_NFI[Status],"open")</f>
        <v>0</v>
      </c>
      <c r="G19" s="199">
        <f ca="1">IF((F19/E19)&gt;100%,100%,(F19/E19))</f>
        <v>0</v>
      </c>
      <c r="H19" s="198">
        <f t="shared" ca="1" si="12"/>
        <v>15823</v>
      </c>
      <c r="I19" s="200">
        <f t="shared" ca="1" si="14"/>
        <v>1.7105945945945946</v>
      </c>
      <c r="J19" s="201">
        <f t="shared" ca="1" si="10"/>
        <v>0</v>
      </c>
      <c r="K19" s="38"/>
      <c r="L19" s="38"/>
      <c r="M19" s="38"/>
      <c r="N19" s="38"/>
      <c r="O19" s="38"/>
      <c r="P19" s="38"/>
      <c r="Q19" s="38"/>
      <c r="R19" s="38"/>
      <c r="S19" s="38"/>
      <c r="T19" s="257"/>
      <c r="W19" s="45"/>
      <c r="X19" s="1"/>
      <c r="Y19" s="263"/>
      <c r="Z19" s="82">
        <f t="shared" ca="1" si="4"/>
        <v>0</v>
      </c>
      <c r="AA19" s="384">
        <f t="shared" ca="1" si="5"/>
        <v>0</v>
      </c>
      <c r="AB19" s="82">
        <f t="shared" ca="1" si="6"/>
        <v>0</v>
      </c>
      <c r="AC19" s="81">
        <f t="shared" ca="1" si="7"/>
        <v>0</v>
      </c>
      <c r="AD19" s="83">
        <f t="shared" ca="1" si="8"/>
        <v>0</v>
      </c>
      <c r="AE19" s="84">
        <f t="shared" ca="1" si="9"/>
        <v>0</v>
      </c>
      <c r="AF19" s="257"/>
    </row>
    <row r="20" spans="2:32" s="122" customFormat="1" x14ac:dyDescent="0.25">
      <c r="B20" s="263"/>
      <c r="C20" s="38"/>
      <c r="D20" s="38"/>
      <c r="E20" s="38"/>
      <c r="F20" s="38"/>
      <c r="G20" s="38"/>
      <c r="H20" s="38"/>
      <c r="I20" s="38"/>
      <c r="J20" s="38"/>
      <c r="K20" s="38"/>
      <c r="L20" s="38"/>
      <c r="M20" s="38"/>
      <c r="N20" s="38"/>
      <c r="O20" s="38"/>
      <c r="P20" s="38"/>
      <c r="Q20" s="38"/>
      <c r="R20" s="38"/>
      <c r="S20" s="38"/>
      <c r="T20" s="257"/>
      <c r="W20" s="45"/>
      <c r="X20" s="1"/>
      <c r="Y20" s="263"/>
      <c r="Z20" s="82">
        <f ca="1">IF((N13-(SUM(O13:Q13)))&lt;0,0,(N13-(SUM(O13:Q13))))</f>
        <v>2917.8042998897463</v>
      </c>
      <c r="AA20" s="384">
        <f ca="1">Z20/N13</f>
        <v>0.80424594815042616</v>
      </c>
      <c r="AB20" s="82">
        <f ca="1">SUMIFS(INDIRECT(VLOOKUP($L13,NFI,4,0)),NFI_Pipeline_State,$C$6)</f>
        <v>0</v>
      </c>
      <c r="AC20" s="81">
        <f ca="1">AB20/N13</f>
        <v>0</v>
      </c>
      <c r="AD20" s="83">
        <f ca="1">IF((N13-(O13+Q13+AB20))&lt;0,0,(N13-(O13+Q13+AB20)))</f>
        <v>2918</v>
      </c>
      <c r="AE20" s="84">
        <f ca="1">AD20/N13</f>
        <v>0.80429988974641675</v>
      </c>
      <c r="AF20" s="257"/>
    </row>
    <row r="21" spans="2:32" s="122" customFormat="1" x14ac:dyDescent="0.25">
      <c r="B21" s="263"/>
      <c r="C21" s="38"/>
      <c r="D21" s="38"/>
      <c r="E21" s="38"/>
      <c r="F21" s="38"/>
      <c r="G21" s="38"/>
      <c r="H21" s="38"/>
      <c r="I21" s="38"/>
      <c r="J21" s="38"/>
      <c r="K21" s="38"/>
      <c r="L21" s="38"/>
      <c r="M21" s="38"/>
      <c r="N21" s="38"/>
      <c r="O21" s="38"/>
      <c r="P21" s="38"/>
      <c r="Q21" s="38"/>
      <c r="R21" s="38"/>
      <c r="S21" s="38"/>
      <c r="T21" s="257"/>
      <c r="W21" s="45"/>
      <c r="X21" s="1"/>
      <c r="Y21" s="263"/>
      <c r="Z21" s="82">
        <f ca="1">IF((N14-(SUM(O14:Q14)))&lt;0,0,(N14-(SUM(O14:Q14))))</f>
        <v>2831.605843439912</v>
      </c>
      <c r="AA21" s="384">
        <f ca="1">Z21/N14</f>
        <v>0.52032448427782285</v>
      </c>
      <c r="AB21" s="82">
        <f ca="1">SUMIFS(INDIRECT(VLOOKUP($L14,NFI,4,0)),NFI_Pipeline_State,$C$6)</f>
        <v>0</v>
      </c>
      <c r="AC21" s="81">
        <f ca="1">AB21/N14</f>
        <v>0</v>
      </c>
      <c r="AD21" s="83">
        <f ca="1">IF((N14-(O14+Q14+AB21))&lt;0,0,(N14-(O14+Q14+AB21)))</f>
        <v>2832</v>
      </c>
      <c r="AE21" s="84">
        <f ca="1">AD21/N14</f>
        <v>0.52039691289966927</v>
      </c>
      <c r="AF21" s="257"/>
    </row>
    <row r="22" spans="2:32" x14ac:dyDescent="0.25">
      <c r="B22" s="263"/>
      <c r="C22" s="38"/>
      <c r="D22" s="38"/>
      <c r="E22" s="38"/>
      <c r="F22" s="38"/>
      <c r="G22" s="38"/>
      <c r="H22" s="38"/>
      <c r="I22" s="38"/>
      <c r="J22" s="38"/>
      <c r="K22" s="38"/>
      <c r="L22" s="38"/>
      <c r="M22" s="38"/>
      <c r="N22" s="38"/>
      <c r="O22" s="38"/>
      <c r="P22" s="38"/>
      <c r="Q22" s="38"/>
      <c r="R22" s="38"/>
      <c r="S22" s="38"/>
      <c r="T22" s="257"/>
      <c r="W22" s="45"/>
      <c r="X22" s="1"/>
      <c r="Y22" s="263"/>
      <c r="Z22" s="82">
        <f ca="1">IF((N15-(SUM(O15:Q15)))&lt;0,0,(N15-(SUM(O15:Q15))))</f>
        <v>1280.9046306504961</v>
      </c>
      <c r="AA22" s="384">
        <f ca="1">Z22/N15</f>
        <v>0.3530608132994752</v>
      </c>
      <c r="AB22" s="82">
        <f ca="1">SUMIFS(INDIRECT(VLOOKUP($L15,NFI,4,0)),NFI_Pipeline_State,$C$6)</f>
        <v>0</v>
      </c>
      <c r="AC22" s="81">
        <f ca="1">AB22/N15</f>
        <v>0</v>
      </c>
      <c r="AD22" s="83">
        <f ca="1">IF((N15-(O15+Q15+AB22))&lt;0,0,(N15-(O15+Q15+AB22)))</f>
        <v>1281</v>
      </c>
      <c r="AE22" s="84">
        <f ca="1">AD22/N15</f>
        <v>0.35308710033076074</v>
      </c>
      <c r="AF22" s="257"/>
    </row>
    <row r="23" spans="2:32" ht="15.75" thickBot="1" x14ac:dyDescent="0.3">
      <c r="B23" s="263"/>
      <c r="C23" s="38"/>
      <c r="D23" s="38"/>
      <c r="E23" s="38"/>
      <c r="F23" s="38"/>
      <c r="G23" s="38"/>
      <c r="H23" s="38"/>
      <c r="I23" s="38"/>
      <c r="J23" s="38"/>
      <c r="K23" s="38"/>
      <c r="L23" s="38"/>
      <c r="M23" s="38"/>
      <c r="N23" s="38"/>
      <c r="O23" s="38"/>
      <c r="P23" s="38"/>
      <c r="Q23" s="38"/>
      <c r="R23" s="38"/>
      <c r="S23" s="38"/>
      <c r="T23" s="257"/>
      <c r="W23" s="247"/>
      <c r="X23" s="248"/>
      <c r="Y23" s="264"/>
      <c r="Z23" s="249"/>
      <c r="AA23" s="249"/>
      <c r="AB23" s="249"/>
      <c r="AC23" s="249"/>
      <c r="AD23" s="249"/>
      <c r="AE23" s="249"/>
      <c r="AF23" s="262"/>
    </row>
    <row r="24" spans="2:32" x14ac:dyDescent="0.25">
      <c r="B24" s="263"/>
      <c r="C24" s="38"/>
      <c r="D24" s="38"/>
      <c r="E24" s="38"/>
      <c r="F24" s="38"/>
      <c r="G24" s="38"/>
      <c r="H24" s="38"/>
      <c r="I24" s="38"/>
      <c r="J24" s="38"/>
      <c r="K24" s="38"/>
      <c r="L24" s="38"/>
      <c r="M24" s="38"/>
      <c r="N24" s="38"/>
      <c r="O24" s="38"/>
      <c r="P24" s="38"/>
      <c r="Q24" s="38"/>
      <c r="R24" s="38"/>
      <c r="S24" s="38"/>
      <c r="T24" s="257"/>
      <c r="Y24" s="1"/>
    </row>
    <row r="25" spans="2:32" x14ac:dyDescent="0.25">
      <c r="B25" s="263"/>
      <c r="C25" s="38"/>
      <c r="D25" s="38"/>
      <c r="E25" s="38"/>
      <c r="F25" s="38"/>
      <c r="G25" s="38"/>
      <c r="H25" s="38"/>
      <c r="I25" s="38"/>
      <c r="J25" s="38"/>
      <c r="K25" s="38"/>
      <c r="L25" s="38"/>
      <c r="M25" s="38"/>
      <c r="N25" s="38"/>
      <c r="O25" s="38"/>
      <c r="P25" s="38"/>
      <c r="Q25" s="38"/>
      <c r="R25" s="38"/>
      <c r="S25" s="38"/>
      <c r="T25" s="257"/>
      <c r="Y25" s="1"/>
    </row>
    <row r="26" spans="2:32" x14ac:dyDescent="0.25">
      <c r="B26" s="263"/>
      <c r="C26" s="38"/>
      <c r="D26" s="38"/>
      <c r="E26" s="38"/>
      <c r="F26" s="38"/>
      <c r="G26" s="38"/>
      <c r="H26" s="38"/>
      <c r="I26" s="38"/>
      <c r="J26" s="38"/>
      <c r="K26" s="38"/>
      <c r="L26" s="38"/>
      <c r="M26" s="38"/>
      <c r="N26" s="38"/>
      <c r="O26" s="38"/>
      <c r="P26" s="38"/>
      <c r="Q26" s="38"/>
      <c r="R26" s="38"/>
      <c r="S26" s="38"/>
      <c r="T26" s="257"/>
    </row>
    <row r="27" spans="2:32" x14ac:dyDescent="0.25">
      <c r="B27" s="263"/>
      <c r="C27" s="38"/>
      <c r="D27" s="38"/>
      <c r="E27" s="38"/>
      <c r="F27" s="38"/>
      <c r="G27" s="38"/>
      <c r="H27" s="38"/>
      <c r="I27" s="38"/>
      <c r="J27" s="38"/>
      <c r="K27" s="38"/>
      <c r="L27" s="38"/>
      <c r="M27" s="38"/>
      <c r="N27" s="38"/>
      <c r="O27" s="38"/>
      <c r="P27" s="38"/>
      <c r="Q27" s="38"/>
      <c r="R27" s="38"/>
      <c r="S27" s="38"/>
      <c r="T27" s="257"/>
    </row>
    <row r="28" spans="2:32" x14ac:dyDescent="0.25">
      <c r="B28" s="263"/>
      <c r="C28" s="38"/>
      <c r="D28" s="38"/>
      <c r="E28" s="38"/>
      <c r="F28" s="38"/>
      <c r="G28" s="38"/>
      <c r="H28" s="38"/>
      <c r="I28" s="38"/>
      <c r="J28" s="38"/>
      <c r="K28" s="38"/>
      <c r="L28" s="38"/>
      <c r="M28" s="38"/>
      <c r="N28" s="38"/>
      <c r="O28" s="38"/>
      <c r="P28" s="38"/>
      <c r="Q28" s="38"/>
      <c r="R28" s="38"/>
      <c r="S28" s="38"/>
      <c r="T28" s="257"/>
    </row>
    <row r="29" spans="2:32" x14ac:dyDescent="0.25">
      <c r="B29" s="263"/>
      <c r="C29" s="38"/>
      <c r="D29" s="38"/>
      <c r="E29" s="38"/>
      <c r="F29" s="38"/>
      <c r="G29" s="38"/>
      <c r="H29" s="38"/>
      <c r="I29" s="38"/>
      <c r="J29" s="38"/>
      <c r="K29" s="38"/>
      <c r="L29" s="38"/>
      <c r="M29" s="38"/>
      <c r="N29" s="38"/>
      <c r="O29" s="38"/>
      <c r="P29" s="38"/>
      <c r="Q29" s="38"/>
      <c r="R29" s="38"/>
      <c r="S29" s="38"/>
      <c r="T29" s="257"/>
    </row>
    <row r="30" spans="2:32" x14ac:dyDescent="0.25">
      <c r="B30" s="263"/>
      <c r="C30" s="38"/>
      <c r="D30" s="38"/>
      <c r="E30" s="38"/>
      <c r="F30" s="38"/>
      <c r="G30" s="38"/>
      <c r="H30" s="38"/>
      <c r="I30" s="38"/>
      <c r="J30" s="38"/>
      <c r="K30" s="38"/>
      <c r="L30" s="38"/>
      <c r="M30" s="38"/>
      <c r="N30" s="38"/>
      <c r="O30" s="38"/>
      <c r="P30" s="38"/>
      <c r="Q30" s="38"/>
      <c r="R30" s="38"/>
      <c r="S30" s="38"/>
      <c r="T30" s="257"/>
    </row>
    <row r="31" spans="2:32" x14ac:dyDescent="0.25">
      <c r="B31" s="263"/>
      <c r="C31" s="38"/>
      <c r="D31" s="38"/>
      <c r="E31" s="38"/>
      <c r="F31" s="38"/>
      <c r="G31" s="38"/>
      <c r="H31" s="38"/>
      <c r="I31" s="38"/>
      <c r="J31" s="38"/>
      <c r="K31" s="38"/>
      <c r="L31" s="38"/>
      <c r="M31" s="38"/>
      <c r="N31" s="38"/>
      <c r="O31" s="38"/>
      <c r="P31" s="38"/>
      <c r="Q31" s="38"/>
      <c r="R31" s="38"/>
      <c r="S31" s="38"/>
      <c r="T31" s="257"/>
    </row>
    <row r="32" spans="2:32" s="122" customFormat="1" x14ac:dyDescent="0.25">
      <c r="B32" s="263"/>
      <c r="C32" s="38"/>
      <c r="D32" s="38"/>
      <c r="E32" s="38"/>
      <c r="F32" s="38"/>
      <c r="G32" s="38"/>
      <c r="H32" s="38"/>
      <c r="I32" s="38"/>
      <c r="J32" s="38"/>
      <c r="K32" s="38"/>
      <c r="L32" s="38"/>
      <c r="M32" s="38"/>
      <c r="N32" s="38"/>
      <c r="O32" s="38"/>
      <c r="P32" s="38"/>
      <c r="Q32" s="38"/>
      <c r="R32" s="38"/>
      <c r="S32" s="38"/>
      <c r="T32" s="257"/>
    </row>
    <row r="33" spans="2:20" s="122" customFormat="1" x14ac:dyDescent="0.25">
      <c r="B33" s="263"/>
      <c r="C33" s="38"/>
      <c r="D33" s="38"/>
      <c r="E33" s="38"/>
      <c r="F33" s="38"/>
      <c r="G33" s="38"/>
      <c r="H33" s="38"/>
      <c r="I33" s="38"/>
      <c r="J33" s="38"/>
      <c r="K33" s="38"/>
      <c r="L33" s="38"/>
      <c r="M33" s="38"/>
      <c r="N33" s="38"/>
      <c r="O33" s="38"/>
      <c r="P33" s="38"/>
      <c r="Q33" s="38"/>
      <c r="R33" s="38"/>
      <c r="S33" s="38"/>
      <c r="T33" s="257"/>
    </row>
    <row r="34" spans="2:20" x14ac:dyDescent="0.25">
      <c r="B34" s="263"/>
      <c r="C34" s="38"/>
      <c r="D34" s="38"/>
      <c r="E34" s="38"/>
      <c r="F34" s="38"/>
      <c r="G34" s="38"/>
      <c r="H34" s="38"/>
      <c r="I34" s="38"/>
      <c r="J34" s="38"/>
      <c r="K34" s="38"/>
      <c r="L34" s="38"/>
      <c r="M34" s="38"/>
      <c r="N34" s="38"/>
      <c r="O34" s="38"/>
      <c r="P34" s="38"/>
      <c r="Q34" s="38"/>
      <c r="R34" s="38"/>
      <c r="S34" s="38"/>
      <c r="T34" s="257"/>
    </row>
    <row r="35" spans="2:20" x14ac:dyDescent="0.25">
      <c r="B35" s="263"/>
      <c r="C35" s="38"/>
      <c r="D35" s="38"/>
      <c r="E35" s="38"/>
      <c r="F35" s="38"/>
      <c r="G35" s="38"/>
      <c r="H35" s="38"/>
      <c r="I35" s="38"/>
      <c r="J35" s="38"/>
      <c r="K35" s="38"/>
      <c r="L35" s="38"/>
      <c r="M35" s="38"/>
      <c r="N35" s="38"/>
      <c r="O35" s="38"/>
      <c r="P35" s="38"/>
      <c r="Q35" s="38"/>
      <c r="R35" s="38"/>
      <c r="S35" s="38"/>
      <c r="T35" s="257"/>
    </row>
    <row r="36" spans="2:20" x14ac:dyDescent="0.25">
      <c r="B36" s="263"/>
      <c r="C36" s="38"/>
      <c r="D36" s="38"/>
      <c r="E36" s="38"/>
      <c r="F36" s="38"/>
      <c r="G36" s="38"/>
      <c r="H36" s="38"/>
      <c r="I36" s="38"/>
      <c r="J36" s="38"/>
      <c r="K36" s="38"/>
      <c r="L36" s="38"/>
      <c r="M36" s="38"/>
      <c r="N36" s="38"/>
      <c r="O36" s="38"/>
      <c r="P36" s="38"/>
      <c r="Q36" s="38"/>
      <c r="R36" s="38"/>
      <c r="S36" s="38"/>
      <c r="T36" s="257"/>
    </row>
    <row r="37" spans="2:20" s="122" customFormat="1" ht="4.1500000000000004" customHeight="1" x14ac:dyDescent="0.25">
      <c r="B37" s="263"/>
      <c r="C37" s="38"/>
      <c r="D37" s="38"/>
      <c r="E37" s="38"/>
      <c r="F37" s="38"/>
      <c r="G37" s="38"/>
      <c r="H37" s="38"/>
      <c r="I37" s="38"/>
      <c r="J37" s="38"/>
      <c r="K37" s="38"/>
      <c r="L37" s="38"/>
      <c r="M37" s="38"/>
      <c r="N37" s="38"/>
      <c r="O37" s="38"/>
      <c r="P37" s="38"/>
      <c r="Q37" s="38"/>
      <c r="R37" s="38"/>
      <c r="S37" s="38"/>
      <c r="T37" s="257"/>
    </row>
    <row r="38" spans="2:20" s="122" customFormat="1" x14ac:dyDescent="0.25">
      <c r="B38" s="263"/>
      <c r="C38" s="38"/>
      <c r="D38" s="38"/>
      <c r="E38" s="38"/>
      <c r="F38" s="38"/>
      <c r="G38" s="38"/>
      <c r="H38" s="38"/>
      <c r="I38" s="38"/>
      <c r="J38" s="38"/>
      <c r="K38" s="38"/>
      <c r="L38" s="38"/>
      <c r="M38" s="38"/>
      <c r="N38" s="38"/>
      <c r="O38" s="38"/>
      <c r="P38" s="38"/>
      <c r="Q38" s="38"/>
      <c r="R38" s="38"/>
      <c r="S38" s="38"/>
      <c r="T38" s="257"/>
    </row>
    <row r="39" spans="2:20" ht="20.25" customHeight="1" x14ac:dyDescent="0.25">
      <c r="B39" s="263"/>
      <c r="C39" s="38"/>
      <c r="D39" s="38"/>
      <c r="E39" s="38"/>
      <c r="F39" s="38"/>
      <c r="G39" s="38"/>
      <c r="H39" s="38"/>
      <c r="I39" s="38"/>
      <c r="J39" s="38"/>
      <c r="K39" s="38"/>
      <c r="L39" s="38"/>
      <c r="M39" s="38"/>
      <c r="N39" s="38"/>
      <c r="O39" s="38"/>
      <c r="P39" s="38"/>
      <c r="Q39" s="38"/>
      <c r="R39" s="38"/>
      <c r="S39" s="38"/>
      <c r="T39" s="257"/>
    </row>
    <row r="40" spans="2:20" ht="14.25" customHeight="1" thickBot="1" x14ac:dyDescent="0.3">
      <c r="B40" s="264"/>
      <c r="C40" s="249"/>
      <c r="D40" s="249"/>
      <c r="E40" s="249"/>
      <c r="F40" s="249"/>
      <c r="G40" s="249"/>
      <c r="H40" s="249"/>
      <c r="I40" s="249"/>
      <c r="J40" s="249"/>
      <c r="K40" s="249"/>
      <c r="L40" s="249"/>
      <c r="M40" s="249"/>
      <c r="N40" s="249"/>
      <c r="O40" s="249"/>
      <c r="P40" s="249"/>
      <c r="Q40" s="249"/>
      <c r="R40" s="249"/>
      <c r="S40" s="249"/>
      <c r="T40" s="262"/>
    </row>
    <row r="41" spans="2:20" x14ac:dyDescent="0.25">
      <c r="C41" s="5"/>
      <c r="D41" s="5"/>
      <c r="E41" s="5"/>
      <c r="F41" s="5"/>
      <c r="G41" s="5"/>
      <c r="H41" s="5"/>
      <c r="I41" s="5"/>
      <c r="J41" s="5"/>
      <c r="K41" s="5"/>
      <c r="L41" s="5"/>
      <c r="M41" s="5"/>
      <c r="N41" s="5"/>
      <c r="O41" s="5"/>
      <c r="P41" s="5"/>
      <c r="Q41" s="5"/>
    </row>
    <row r="43" spans="2:20" ht="3.75" customHeight="1" x14ac:dyDescent="0.25"/>
    <row r="44" spans="2:20" x14ac:dyDescent="0.25">
      <c r="J44" s="37"/>
      <c r="K44" s="37"/>
    </row>
    <row r="49" spans="3:10" x14ac:dyDescent="0.25">
      <c r="C49"/>
      <c r="D49"/>
      <c r="E49"/>
      <c r="F49"/>
      <c r="G49"/>
      <c r="H49"/>
      <c r="I49"/>
      <c r="J49"/>
    </row>
    <row r="80" spans="3:10" x14ac:dyDescent="0.25">
      <c r="C80"/>
      <c r="D80"/>
      <c r="E80"/>
      <c r="F80"/>
      <c r="G80"/>
      <c r="H80"/>
      <c r="I80"/>
      <c r="J80"/>
    </row>
    <row r="81" spans="3:10" x14ac:dyDescent="0.25">
      <c r="C81"/>
      <c r="D81"/>
      <c r="E81"/>
      <c r="F81"/>
      <c r="G81"/>
      <c r="H81"/>
      <c r="I81"/>
      <c r="J81"/>
    </row>
    <row r="82" spans="3:10" x14ac:dyDescent="0.25">
      <c r="C82"/>
      <c r="D82"/>
      <c r="E82"/>
      <c r="F82"/>
      <c r="G82"/>
      <c r="H82"/>
      <c r="I82"/>
      <c r="J82"/>
    </row>
    <row r="83" spans="3:10" x14ac:dyDescent="0.25">
      <c r="C83"/>
      <c r="D83"/>
      <c r="E83"/>
      <c r="F83"/>
      <c r="G83"/>
      <c r="H83"/>
      <c r="I83"/>
      <c r="J83"/>
    </row>
    <row r="84" spans="3:10" x14ac:dyDescent="0.25">
      <c r="C84"/>
      <c r="D84"/>
      <c r="E84"/>
      <c r="F84"/>
      <c r="G84"/>
      <c r="H84"/>
      <c r="I84"/>
      <c r="J84"/>
    </row>
    <row r="85" spans="3:10" x14ac:dyDescent="0.25">
      <c r="C85"/>
      <c r="D85"/>
      <c r="E85"/>
      <c r="F85"/>
      <c r="G85"/>
      <c r="H85"/>
      <c r="I85"/>
      <c r="J85"/>
    </row>
    <row r="86" spans="3:10" x14ac:dyDescent="0.25">
      <c r="C86"/>
      <c r="D86"/>
      <c r="E86"/>
      <c r="F86"/>
      <c r="G86"/>
      <c r="H86"/>
      <c r="I86"/>
      <c r="J86"/>
    </row>
    <row r="87" spans="3:10" x14ac:dyDescent="0.25">
      <c r="C87"/>
      <c r="D87"/>
      <c r="E87"/>
      <c r="F87"/>
      <c r="G87"/>
      <c r="H87"/>
      <c r="I87"/>
      <c r="J87"/>
    </row>
    <row r="88" spans="3:10" x14ac:dyDescent="0.25">
      <c r="C88"/>
      <c r="D88"/>
      <c r="E88"/>
      <c r="F88"/>
      <c r="G88"/>
      <c r="H88"/>
      <c r="I88"/>
      <c r="J88"/>
    </row>
    <row r="89" spans="3:10" x14ac:dyDescent="0.25">
      <c r="C89"/>
      <c r="D89"/>
      <c r="E89"/>
      <c r="F89"/>
      <c r="G89"/>
      <c r="H89"/>
      <c r="I89"/>
      <c r="J89"/>
    </row>
    <row r="90" spans="3:10" x14ac:dyDescent="0.25">
      <c r="C90"/>
      <c r="D90"/>
      <c r="E90"/>
      <c r="F90"/>
      <c r="G90"/>
      <c r="H90"/>
      <c r="I90"/>
      <c r="J90"/>
    </row>
    <row r="91" spans="3:10" x14ac:dyDescent="0.25">
      <c r="C91"/>
      <c r="D91"/>
      <c r="E91"/>
      <c r="F91"/>
      <c r="G91"/>
      <c r="H91"/>
      <c r="I91"/>
      <c r="J91"/>
    </row>
    <row r="92" spans="3:10" x14ac:dyDescent="0.25">
      <c r="C92"/>
      <c r="D92"/>
      <c r="E92"/>
      <c r="F92"/>
      <c r="G92"/>
      <c r="H92"/>
      <c r="I92"/>
      <c r="J92"/>
    </row>
    <row r="93" spans="3:10" x14ac:dyDescent="0.25">
      <c r="C93"/>
      <c r="D93"/>
      <c r="E93"/>
      <c r="F93"/>
      <c r="G93"/>
      <c r="H93"/>
      <c r="I93"/>
      <c r="J93"/>
    </row>
    <row r="94" spans="3:10" x14ac:dyDescent="0.25">
      <c r="C94"/>
      <c r="D94"/>
      <c r="E94"/>
      <c r="F94"/>
      <c r="G94"/>
      <c r="H94"/>
      <c r="I94"/>
      <c r="J94"/>
    </row>
    <row r="95" spans="3:10" x14ac:dyDescent="0.25">
      <c r="C95"/>
      <c r="D95"/>
      <c r="E95"/>
      <c r="F95"/>
      <c r="G95"/>
      <c r="H95"/>
      <c r="I95"/>
      <c r="J95"/>
    </row>
    <row r="96" spans="3:10" x14ac:dyDescent="0.25">
      <c r="C96"/>
      <c r="D96"/>
      <c r="E96"/>
      <c r="F96"/>
      <c r="G96"/>
      <c r="H96"/>
      <c r="I96"/>
      <c r="J96"/>
    </row>
    <row r="97" spans="3:10" x14ac:dyDescent="0.25">
      <c r="C97"/>
      <c r="D97"/>
      <c r="E97"/>
      <c r="F97"/>
      <c r="G97"/>
      <c r="H97"/>
      <c r="I97"/>
      <c r="J97"/>
    </row>
    <row r="98" spans="3:10" x14ac:dyDescent="0.25">
      <c r="C98"/>
      <c r="D98"/>
      <c r="E98"/>
      <c r="F98"/>
      <c r="G98"/>
      <c r="H98"/>
      <c r="I98"/>
      <c r="J98"/>
    </row>
    <row r="99" spans="3:10" x14ac:dyDescent="0.25">
      <c r="C99"/>
      <c r="D99"/>
      <c r="E99"/>
      <c r="F99"/>
      <c r="G99"/>
      <c r="H99"/>
      <c r="I99"/>
      <c r="J99"/>
    </row>
    <row r="100" spans="3:10" x14ac:dyDescent="0.25">
      <c r="C100"/>
      <c r="D100"/>
      <c r="E100"/>
      <c r="F100"/>
      <c r="G100"/>
      <c r="H100"/>
      <c r="I100"/>
      <c r="J100"/>
    </row>
    <row r="101" spans="3:10" x14ac:dyDescent="0.25">
      <c r="C101"/>
      <c r="D101"/>
      <c r="E101"/>
      <c r="F101"/>
      <c r="G101"/>
      <c r="H101"/>
      <c r="I101"/>
      <c r="J101"/>
    </row>
    <row r="102" spans="3:10" x14ac:dyDescent="0.25">
      <c r="C102"/>
      <c r="D102"/>
      <c r="E102"/>
      <c r="F102"/>
      <c r="G102"/>
      <c r="H102"/>
      <c r="I102"/>
      <c r="J102"/>
    </row>
  </sheetData>
  <mergeCells count="1">
    <mergeCell ref="C5:H5"/>
  </mergeCells>
  <printOptions horizontalCentered="1" verticalCentered="1"/>
  <pageMargins left="0.19685039370078741" right="0.19685039370078741" top="0.19685039370078741" bottom="0.19685039370078741" header="0" footer="0"/>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V256"/>
  <sheetViews>
    <sheetView topLeftCell="A211" workbookViewId="0">
      <selection activeCell="G13" sqref="G4:G246"/>
      <pivotSelection pane="bottomRight" showHeader="1" activeRow="12" activeCol="6" click="1" r:id="rId4">
        <pivotArea dataOnly="0" labelOnly="1" outline="0" fieldPosition="0">
          <references count="1">
            <reference field="11" count="0"/>
          </references>
        </pivotArea>
      </pivotSelection>
    </sheetView>
  </sheetViews>
  <sheetFormatPr defaultRowHeight="15" x14ac:dyDescent="0.25"/>
  <cols>
    <col min="1" max="1" width="13.85546875" customWidth="1"/>
    <col min="2" max="2" width="56.5703125" customWidth="1"/>
    <col min="3" max="3" width="56.5703125" bestFit="1" customWidth="1"/>
    <col min="4" max="4" width="13.85546875" customWidth="1"/>
    <col min="6" max="6" width="4.5703125" customWidth="1"/>
    <col min="7" max="7" width="56.7109375" bestFit="1" customWidth="1"/>
    <col min="8" max="8" width="16.140625" bestFit="1" customWidth="1"/>
    <col min="9" max="9" width="7" bestFit="1" customWidth="1"/>
    <col min="10" max="10" width="10.140625" bestFit="1" customWidth="1"/>
    <col min="13" max="13" width="16.140625" style="122" bestFit="1" customWidth="1"/>
    <col min="14" max="14" width="56.7109375" style="122" bestFit="1" customWidth="1"/>
    <col min="15" max="15" width="13.85546875" style="122" bestFit="1" customWidth="1"/>
    <col min="16" max="16" width="10.140625" style="122" bestFit="1" customWidth="1"/>
    <col min="17" max="17" width="12" bestFit="1" customWidth="1"/>
    <col min="21" max="21" width="16.140625" bestFit="1" customWidth="1"/>
    <col min="22" max="22" width="23.28515625" customWidth="1"/>
  </cols>
  <sheetData>
    <row r="1" spans="1:22" x14ac:dyDescent="0.25">
      <c r="A1" s="402" t="s">
        <v>499</v>
      </c>
      <c r="B1" s="394" t="s">
        <v>597</v>
      </c>
      <c r="M1" s="402" t="s">
        <v>499</v>
      </c>
      <c r="N1" s="394" t="s">
        <v>597</v>
      </c>
    </row>
    <row r="2" spans="1:22" x14ac:dyDescent="0.25">
      <c r="G2" s="105"/>
      <c r="U2" s="402" t="s">
        <v>499</v>
      </c>
      <c r="V2" s="394" t="s">
        <v>597</v>
      </c>
    </row>
    <row r="3" spans="1:22" x14ac:dyDescent="0.25">
      <c r="A3" s="402" t="s">
        <v>0</v>
      </c>
      <c r="B3" s="402" t="s">
        <v>555</v>
      </c>
      <c r="G3" s="402" t="s">
        <v>555</v>
      </c>
      <c r="H3" s="402" t="s">
        <v>927</v>
      </c>
      <c r="I3" s="402" t="s">
        <v>499</v>
      </c>
      <c r="J3" t="s">
        <v>869</v>
      </c>
      <c r="M3" s="402" t="s">
        <v>927</v>
      </c>
      <c r="N3" s="402" t="s">
        <v>555</v>
      </c>
      <c r="O3" s="402" t="s">
        <v>1185</v>
      </c>
      <c r="P3" s="402" t="s">
        <v>0</v>
      </c>
      <c r="Q3" s="394" t="s">
        <v>869</v>
      </c>
      <c r="R3" s="394" t="s">
        <v>827</v>
      </c>
    </row>
    <row r="4" spans="1:22" x14ac:dyDescent="0.25">
      <c r="A4" s="394" t="s">
        <v>5</v>
      </c>
      <c r="B4" s="394" t="s">
        <v>6</v>
      </c>
      <c r="G4" s="394" t="s">
        <v>128</v>
      </c>
      <c r="H4" s="394" t="s">
        <v>127</v>
      </c>
      <c r="I4" s="394" t="s">
        <v>844</v>
      </c>
      <c r="J4" s="396">
        <v>0</v>
      </c>
      <c r="M4" s="394" t="s">
        <v>236</v>
      </c>
      <c r="N4" s="394" t="s">
        <v>238</v>
      </c>
      <c r="O4" s="394" t="s">
        <v>237</v>
      </c>
      <c r="P4" s="394" t="s">
        <v>237</v>
      </c>
      <c r="Q4" s="396">
        <v>67</v>
      </c>
      <c r="R4" s="396">
        <v>365</v>
      </c>
      <c r="U4" s="402" t="s">
        <v>927</v>
      </c>
      <c r="V4" s="402" t="s">
        <v>401</v>
      </c>
    </row>
    <row r="5" spans="1:22" x14ac:dyDescent="0.25">
      <c r="A5" s="394" t="s">
        <v>5</v>
      </c>
      <c r="B5" s="394" t="s">
        <v>513</v>
      </c>
      <c r="G5" s="394" t="s">
        <v>62</v>
      </c>
      <c r="H5" s="394" t="s">
        <v>61</v>
      </c>
      <c r="I5" s="394" t="s">
        <v>501</v>
      </c>
      <c r="J5" s="396">
        <v>73</v>
      </c>
      <c r="M5" s="394" t="s">
        <v>268</v>
      </c>
      <c r="N5" s="394" t="s">
        <v>269</v>
      </c>
      <c r="O5" s="394" t="s">
        <v>237</v>
      </c>
      <c r="P5" s="394" t="s">
        <v>237</v>
      </c>
      <c r="Q5" s="396">
        <v>60</v>
      </c>
      <c r="R5" s="396">
        <v>256</v>
      </c>
      <c r="U5" s="394" t="s">
        <v>236</v>
      </c>
      <c r="V5" s="394" t="s">
        <v>555</v>
      </c>
    </row>
    <row r="6" spans="1:22" x14ac:dyDescent="0.25">
      <c r="A6" s="394" t="s">
        <v>5</v>
      </c>
      <c r="B6" s="394" t="s">
        <v>10</v>
      </c>
      <c r="G6" s="394" t="s">
        <v>120</v>
      </c>
      <c r="H6" s="394" t="s">
        <v>119</v>
      </c>
      <c r="I6" s="394" t="s">
        <v>501</v>
      </c>
      <c r="J6" s="396">
        <v>77</v>
      </c>
      <c r="M6" s="394" t="s">
        <v>250</v>
      </c>
      <c r="N6" s="394" t="s">
        <v>251</v>
      </c>
      <c r="O6" s="394" t="s">
        <v>237</v>
      </c>
      <c r="P6" s="394" t="s">
        <v>237</v>
      </c>
      <c r="Q6" s="396">
        <v>32</v>
      </c>
      <c r="R6" s="396">
        <v>160</v>
      </c>
      <c r="U6" s="394" t="s">
        <v>268</v>
      </c>
      <c r="V6" s="394" t="s">
        <v>555</v>
      </c>
    </row>
    <row r="7" spans="1:22" x14ac:dyDescent="0.25">
      <c r="A7" s="394" t="s">
        <v>5</v>
      </c>
      <c r="B7" s="394" t="s">
        <v>12</v>
      </c>
      <c r="G7" s="394" t="s">
        <v>6</v>
      </c>
      <c r="H7" s="394" t="s">
        <v>4</v>
      </c>
      <c r="I7" s="394" t="s">
        <v>501</v>
      </c>
      <c r="J7" s="396">
        <v>274</v>
      </c>
      <c r="M7" s="394" t="s">
        <v>248</v>
      </c>
      <c r="N7" s="394" t="s">
        <v>249</v>
      </c>
      <c r="O7" s="394" t="s">
        <v>237</v>
      </c>
      <c r="P7" s="394" t="s">
        <v>237</v>
      </c>
      <c r="Q7" s="396">
        <v>6</v>
      </c>
      <c r="R7" s="396">
        <v>29</v>
      </c>
      <c r="U7" s="394" t="s">
        <v>250</v>
      </c>
      <c r="V7" s="394" t="s">
        <v>555</v>
      </c>
    </row>
    <row r="8" spans="1:22" x14ac:dyDescent="0.25">
      <c r="A8" s="394" t="s">
        <v>5</v>
      </c>
      <c r="B8" s="394" t="s">
        <v>14</v>
      </c>
      <c r="G8" s="394" t="s">
        <v>41</v>
      </c>
      <c r="H8" s="394" t="s">
        <v>40</v>
      </c>
      <c r="I8" s="394" t="s">
        <v>501</v>
      </c>
      <c r="J8" s="396">
        <v>67</v>
      </c>
      <c r="M8" s="394" t="s">
        <v>274</v>
      </c>
      <c r="N8" s="394" t="s">
        <v>275</v>
      </c>
      <c r="O8" s="394" t="s">
        <v>237</v>
      </c>
      <c r="P8" s="394" t="s">
        <v>237</v>
      </c>
      <c r="Q8" s="396">
        <v>43</v>
      </c>
      <c r="R8" s="396">
        <v>225</v>
      </c>
      <c r="U8" s="394" t="s">
        <v>248</v>
      </c>
      <c r="V8" s="394" t="s">
        <v>555</v>
      </c>
    </row>
    <row r="9" spans="1:22" x14ac:dyDescent="0.25">
      <c r="A9" s="394" t="s">
        <v>5</v>
      </c>
      <c r="B9" s="394" t="s">
        <v>16</v>
      </c>
      <c r="G9" s="394" t="s">
        <v>43</v>
      </c>
      <c r="H9" s="394" t="s">
        <v>42</v>
      </c>
      <c r="I9" s="394" t="s">
        <v>501</v>
      </c>
      <c r="J9" s="396">
        <v>14</v>
      </c>
      <c r="M9" s="394" t="s">
        <v>276</v>
      </c>
      <c r="N9" s="394" t="s">
        <v>277</v>
      </c>
      <c r="O9" s="394" t="s">
        <v>237</v>
      </c>
      <c r="P9" s="394" t="s">
        <v>237</v>
      </c>
      <c r="Q9" s="396">
        <v>90</v>
      </c>
      <c r="R9" s="396">
        <v>394</v>
      </c>
      <c r="U9" s="394" t="s">
        <v>274</v>
      </c>
      <c r="V9" s="394" t="s">
        <v>555</v>
      </c>
    </row>
    <row r="10" spans="1:22" x14ac:dyDescent="0.25">
      <c r="A10" s="394" t="s">
        <v>5</v>
      </c>
      <c r="B10" s="394" t="s">
        <v>18</v>
      </c>
      <c r="G10" s="394" t="s">
        <v>39</v>
      </c>
      <c r="H10" s="394" t="s">
        <v>38</v>
      </c>
      <c r="I10" s="394" t="s">
        <v>844</v>
      </c>
      <c r="J10" s="396">
        <v>0</v>
      </c>
      <c r="M10" s="394" t="s">
        <v>278</v>
      </c>
      <c r="N10" s="394" t="s">
        <v>279</v>
      </c>
      <c r="O10" s="394" t="s">
        <v>237</v>
      </c>
      <c r="P10" s="394" t="s">
        <v>237</v>
      </c>
      <c r="Q10" s="396">
        <v>22</v>
      </c>
      <c r="R10" s="396">
        <v>111</v>
      </c>
      <c r="U10" s="394" t="s">
        <v>276</v>
      </c>
      <c r="V10" s="394" t="s">
        <v>555</v>
      </c>
    </row>
    <row r="11" spans="1:22" x14ac:dyDescent="0.25">
      <c r="A11" s="394" t="s">
        <v>5</v>
      </c>
      <c r="B11" s="394" t="s">
        <v>8</v>
      </c>
      <c r="G11" s="394" t="s">
        <v>513</v>
      </c>
      <c r="H11" s="394" t="s">
        <v>377</v>
      </c>
      <c r="I11" s="394" t="s">
        <v>501</v>
      </c>
      <c r="J11" s="396">
        <v>12</v>
      </c>
      <c r="M11" s="394" t="s">
        <v>260</v>
      </c>
      <c r="N11" s="394" t="s">
        <v>261</v>
      </c>
      <c r="O11" s="394" t="s">
        <v>237</v>
      </c>
      <c r="P11" s="394" t="s">
        <v>237</v>
      </c>
      <c r="Q11" s="396">
        <v>99</v>
      </c>
      <c r="R11" s="396">
        <v>537</v>
      </c>
      <c r="U11" s="394" t="s">
        <v>278</v>
      </c>
      <c r="V11" s="394" t="s">
        <v>555</v>
      </c>
    </row>
    <row r="12" spans="1:22" x14ac:dyDescent="0.25">
      <c r="A12" s="394" t="s">
        <v>5</v>
      </c>
      <c r="B12" s="394" t="s">
        <v>20</v>
      </c>
      <c r="G12" s="394" t="s">
        <v>48</v>
      </c>
      <c r="H12" s="394" t="s">
        <v>47</v>
      </c>
      <c r="I12" s="394" t="s">
        <v>844</v>
      </c>
      <c r="J12" s="396">
        <v>0</v>
      </c>
      <c r="M12" s="394" t="s">
        <v>280</v>
      </c>
      <c r="N12" s="394" t="s">
        <v>281</v>
      </c>
      <c r="O12" s="394" t="s">
        <v>237</v>
      </c>
      <c r="P12" s="394" t="s">
        <v>237</v>
      </c>
      <c r="Q12" s="396">
        <v>89</v>
      </c>
      <c r="R12" s="396">
        <v>492</v>
      </c>
      <c r="U12" s="394" t="s">
        <v>260</v>
      </c>
      <c r="V12" s="394" t="s">
        <v>555</v>
      </c>
    </row>
    <row r="13" spans="1:22" x14ac:dyDescent="0.25">
      <c r="A13" s="394" t="s">
        <v>5</v>
      </c>
      <c r="B13" s="394" t="s">
        <v>366</v>
      </c>
      <c r="G13" s="394" t="s">
        <v>50</v>
      </c>
      <c r="H13" s="394" t="s">
        <v>49</v>
      </c>
      <c r="I13" s="394" t="s">
        <v>844</v>
      </c>
      <c r="J13" s="396">
        <v>0</v>
      </c>
      <c r="M13" s="394" t="s">
        <v>244</v>
      </c>
      <c r="N13" s="394" t="s">
        <v>245</v>
      </c>
      <c r="O13" s="394" t="s">
        <v>237</v>
      </c>
      <c r="P13" s="394" t="s">
        <v>237</v>
      </c>
      <c r="Q13" s="396">
        <v>6</v>
      </c>
      <c r="R13" s="396">
        <v>39</v>
      </c>
      <c r="U13" s="394" t="s">
        <v>280</v>
      </c>
      <c r="V13" s="394" t="s">
        <v>555</v>
      </c>
    </row>
    <row r="14" spans="1:22" x14ac:dyDescent="0.25">
      <c r="A14" s="394" t="s">
        <v>5</v>
      </c>
      <c r="B14" s="394" t="s">
        <v>22</v>
      </c>
      <c r="G14" s="394" t="s">
        <v>883</v>
      </c>
      <c r="H14" s="394" t="s">
        <v>881</v>
      </c>
      <c r="I14" s="394" t="s">
        <v>844</v>
      </c>
      <c r="J14" s="396">
        <v>0</v>
      </c>
      <c r="M14" s="394" t="s">
        <v>246</v>
      </c>
      <c r="N14" s="394" t="s">
        <v>247</v>
      </c>
      <c r="O14" s="394" t="s">
        <v>237</v>
      </c>
      <c r="P14" s="394" t="s">
        <v>237</v>
      </c>
      <c r="Q14" s="396">
        <v>44</v>
      </c>
      <c r="R14" s="396">
        <v>212</v>
      </c>
      <c r="U14" s="394" t="s">
        <v>244</v>
      </c>
      <c r="V14" s="394" t="s">
        <v>555</v>
      </c>
    </row>
    <row r="15" spans="1:22" x14ac:dyDescent="0.25">
      <c r="A15" s="394" t="s">
        <v>5</v>
      </c>
      <c r="B15" s="394" t="s">
        <v>899</v>
      </c>
      <c r="G15" s="394" t="s">
        <v>878</v>
      </c>
      <c r="H15" s="394" t="s">
        <v>882</v>
      </c>
      <c r="I15" s="394" t="s">
        <v>844</v>
      </c>
      <c r="J15" s="396">
        <v>0</v>
      </c>
      <c r="M15" s="394" t="s">
        <v>242</v>
      </c>
      <c r="N15" s="394" t="s">
        <v>243</v>
      </c>
      <c r="O15" s="394" t="s">
        <v>237</v>
      </c>
      <c r="P15" s="394" t="s">
        <v>237</v>
      </c>
      <c r="Q15" s="396">
        <v>6</v>
      </c>
      <c r="R15" s="396">
        <v>28</v>
      </c>
      <c r="U15" s="394" t="s">
        <v>246</v>
      </c>
      <c r="V15" s="394" t="s">
        <v>555</v>
      </c>
    </row>
    <row r="16" spans="1:22" x14ac:dyDescent="0.25">
      <c r="A16" s="394" t="s">
        <v>5</v>
      </c>
      <c r="B16" s="394" t="s">
        <v>24</v>
      </c>
      <c r="G16" s="394" t="s">
        <v>879</v>
      </c>
      <c r="H16" s="394" t="s">
        <v>880</v>
      </c>
      <c r="I16" s="394" t="s">
        <v>844</v>
      </c>
      <c r="J16" s="396">
        <v>0</v>
      </c>
      <c r="M16" s="394" t="s">
        <v>256</v>
      </c>
      <c r="N16" s="394" t="s">
        <v>257</v>
      </c>
      <c r="O16" s="394" t="s">
        <v>237</v>
      </c>
      <c r="P16" s="394" t="s">
        <v>237</v>
      </c>
      <c r="Q16" s="396">
        <v>44</v>
      </c>
      <c r="R16" s="396">
        <v>194</v>
      </c>
      <c r="U16" s="394" t="s">
        <v>242</v>
      </c>
      <c r="V16" s="394" t="s">
        <v>555</v>
      </c>
    </row>
    <row r="17" spans="1:22" x14ac:dyDescent="0.25">
      <c r="A17" s="394" t="s">
        <v>5</v>
      </c>
      <c r="B17" s="394" t="s">
        <v>870</v>
      </c>
      <c r="G17" s="394" t="s">
        <v>52</v>
      </c>
      <c r="H17" s="394" t="s">
        <v>51</v>
      </c>
      <c r="I17" s="394" t="s">
        <v>501</v>
      </c>
      <c r="J17" s="396">
        <v>35</v>
      </c>
      <c r="M17" s="394" t="s">
        <v>284</v>
      </c>
      <c r="N17" s="394" t="s">
        <v>285</v>
      </c>
      <c r="O17" s="394" t="s">
        <v>237</v>
      </c>
      <c r="P17" s="394" t="s">
        <v>237</v>
      </c>
      <c r="Q17" s="396">
        <v>138</v>
      </c>
      <c r="R17" s="396">
        <v>697</v>
      </c>
      <c r="U17" s="394" t="s">
        <v>256</v>
      </c>
      <c r="V17" s="394" t="s">
        <v>555</v>
      </c>
    </row>
    <row r="18" spans="1:22" x14ac:dyDescent="0.25">
      <c r="A18" s="394" t="s">
        <v>5</v>
      </c>
      <c r="B18" s="394" t="s">
        <v>26</v>
      </c>
      <c r="G18" s="394" t="s">
        <v>58</v>
      </c>
      <c r="H18" s="394" t="s">
        <v>57</v>
      </c>
      <c r="I18" s="394" t="s">
        <v>844</v>
      </c>
      <c r="J18" s="396">
        <v>0</v>
      </c>
      <c r="M18" s="394" t="s">
        <v>239</v>
      </c>
      <c r="N18" s="394" t="s">
        <v>240</v>
      </c>
      <c r="O18" s="394" t="s">
        <v>237</v>
      </c>
      <c r="P18" s="394" t="s">
        <v>237</v>
      </c>
      <c r="Q18" s="396">
        <v>96</v>
      </c>
      <c r="R18" s="396">
        <v>544</v>
      </c>
      <c r="U18" s="394" t="s">
        <v>284</v>
      </c>
      <c r="V18" s="394" t="s">
        <v>555</v>
      </c>
    </row>
    <row r="19" spans="1:22" x14ac:dyDescent="0.25">
      <c r="A19" s="394" t="s">
        <v>5</v>
      </c>
      <c r="B19" s="394" t="s">
        <v>1023</v>
      </c>
      <c r="G19" s="394" t="s">
        <v>60</v>
      </c>
      <c r="H19" s="394" t="s">
        <v>59</v>
      </c>
      <c r="I19" s="394" t="s">
        <v>844</v>
      </c>
      <c r="J19" s="396">
        <v>0</v>
      </c>
      <c r="M19" s="394" t="s">
        <v>258</v>
      </c>
      <c r="N19" s="394" t="s">
        <v>259</v>
      </c>
      <c r="O19" s="394" t="s">
        <v>237</v>
      </c>
      <c r="P19" s="394" t="s">
        <v>237</v>
      </c>
      <c r="Q19" s="396">
        <v>60</v>
      </c>
      <c r="R19" s="396">
        <v>293</v>
      </c>
      <c r="U19" s="394" t="s">
        <v>239</v>
      </c>
      <c r="V19" s="394" t="s">
        <v>555</v>
      </c>
    </row>
    <row r="20" spans="1:22" x14ac:dyDescent="0.25">
      <c r="A20" s="394" t="s">
        <v>27</v>
      </c>
      <c r="B20" s="394" t="s">
        <v>28</v>
      </c>
      <c r="G20" s="394" t="s">
        <v>358</v>
      </c>
      <c r="H20" s="394" t="s">
        <v>357</v>
      </c>
      <c r="I20" s="394" t="s">
        <v>844</v>
      </c>
      <c r="J20" s="396">
        <v>0</v>
      </c>
      <c r="M20" s="394" t="s">
        <v>266</v>
      </c>
      <c r="N20" s="394" t="s">
        <v>267</v>
      </c>
      <c r="O20" s="394" t="s">
        <v>237</v>
      </c>
      <c r="P20" s="394" t="s">
        <v>237</v>
      </c>
      <c r="Q20" s="396">
        <v>0</v>
      </c>
      <c r="R20" s="396">
        <v>0</v>
      </c>
      <c r="U20" s="394" t="s">
        <v>258</v>
      </c>
      <c r="V20" s="394" t="s">
        <v>555</v>
      </c>
    </row>
    <row r="21" spans="1:22" x14ac:dyDescent="0.25">
      <c r="A21" s="394" t="s">
        <v>27</v>
      </c>
      <c r="B21" s="394" t="s">
        <v>32</v>
      </c>
      <c r="G21" s="394" t="s">
        <v>334</v>
      </c>
      <c r="H21" s="394" t="s">
        <v>333</v>
      </c>
      <c r="I21" s="394" t="s">
        <v>501</v>
      </c>
      <c r="J21" s="396">
        <v>160</v>
      </c>
      <c r="M21" s="394" t="s">
        <v>252</v>
      </c>
      <c r="N21" s="394" t="s">
        <v>253</v>
      </c>
      <c r="O21" s="394" t="s">
        <v>237</v>
      </c>
      <c r="P21" s="394" t="s">
        <v>237</v>
      </c>
      <c r="Q21" s="396">
        <v>198</v>
      </c>
      <c r="R21" s="396">
        <v>1084</v>
      </c>
      <c r="U21" s="394" t="s">
        <v>266</v>
      </c>
      <c r="V21" s="394" t="s">
        <v>555</v>
      </c>
    </row>
    <row r="22" spans="1:22" x14ac:dyDescent="0.25">
      <c r="A22" s="394" t="s">
        <v>27</v>
      </c>
      <c r="B22" s="394" t="s">
        <v>364</v>
      </c>
      <c r="G22" s="394" t="s">
        <v>188</v>
      </c>
      <c r="H22" s="394" t="s">
        <v>187</v>
      </c>
      <c r="I22" s="394" t="s">
        <v>501</v>
      </c>
      <c r="J22" s="396">
        <v>245</v>
      </c>
      <c r="M22" s="394" t="s">
        <v>254</v>
      </c>
      <c r="N22" s="394" t="s">
        <v>255</v>
      </c>
      <c r="O22" s="394" t="s">
        <v>237</v>
      </c>
      <c r="P22" s="394" t="s">
        <v>237</v>
      </c>
      <c r="Q22" s="396">
        <v>101</v>
      </c>
      <c r="R22" s="396">
        <v>451</v>
      </c>
      <c r="U22" s="394" t="s">
        <v>252</v>
      </c>
      <c r="V22" s="394" t="s">
        <v>555</v>
      </c>
    </row>
    <row r="23" spans="1:22" x14ac:dyDescent="0.25">
      <c r="A23" s="394" t="s">
        <v>27</v>
      </c>
      <c r="B23" s="394" t="s">
        <v>34</v>
      </c>
      <c r="G23" s="394" t="s">
        <v>1036</v>
      </c>
      <c r="H23" s="394" t="s">
        <v>1037</v>
      </c>
      <c r="I23" s="394" t="s">
        <v>501</v>
      </c>
      <c r="J23" s="396">
        <v>219</v>
      </c>
      <c r="M23" s="394" t="s">
        <v>262</v>
      </c>
      <c r="N23" s="394" t="s">
        <v>263</v>
      </c>
      <c r="O23" s="394" t="s">
        <v>237</v>
      </c>
      <c r="P23" s="394" t="s">
        <v>237</v>
      </c>
      <c r="Q23" s="396">
        <v>21</v>
      </c>
      <c r="R23" s="396">
        <v>97</v>
      </c>
      <c r="U23" s="394" t="s">
        <v>254</v>
      </c>
      <c r="V23" s="394" t="s">
        <v>555</v>
      </c>
    </row>
    <row r="24" spans="1:22" x14ac:dyDescent="0.25">
      <c r="A24" s="394" t="s">
        <v>27</v>
      </c>
      <c r="B24" s="394" t="s">
        <v>365</v>
      </c>
      <c r="G24" s="394" t="s">
        <v>72</v>
      </c>
      <c r="H24" s="394" t="s">
        <v>71</v>
      </c>
      <c r="I24" s="394" t="s">
        <v>501</v>
      </c>
      <c r="J24" s="396">
        <v>6</v>
      </c>
      <c r="M24" s="394" t="s">
        <v>264</v>
      </c>
      <c r="N24" s="394" t="s">
        <v>265</v>
      </c>
      <c r="O24" s="394" t="s">
        <v>237</v>
      </c>
      <c r="P24" s="394" t="s">
        <v>237</v>
      </c>
      <c r="Q24" s="396">
        <v>14</v>
      </c>
      <c r="R24" s="396">
        <v>71</v>
      </c>
      <c r="U24" s="394" t="s">
        <v>262</v>
      </c>
      <c r="V24" s="394" t="s">
        <v>555</v>
      </c>
    </row>
    <row r="25" spans="1:22" x14ac:dyDescent="0.25">
      <c r="A25" s="394" t="s">
        <v>27</v>
      </c>
      <c r="B25" s="394" t="s">
        <v>865</v>
      </c>
      <c r="G25" s="394" t="s">
        <v>70</v>
      </c>
      <c r="H25" s="394" t="s">
        <v>69</v>
      </c>
      <c r="I25" s="394" t="s">
        <v>844</v>
      </c>
      <c r="J25" s="396">
        <v>0</v>
      </c>
      <c r="M25" s="394" t="s">
        <v>282</v>
      </c>
      <c r="N25" s="394" t="s">
        <v>283</v>
      </c>
      <c r="O25" s="394" t="s">
        <v>237</v>
      </c>
      <c r="P25" s="394" t="s">
        <v>237</v>
      </c>
      <c r="Q25" s="396">
        <v>7</v>
      </c>
      <c r="R25" s="396">
        <v>37</v>
      </c>
      <c r="U25" s="394" t="s">
        <v>264</v>
      </c>
      <c r="V25" s="394" t="s">
        <v>555</v>
      </c>
    </row>
    <row r="26" spans="1:22" x14ac:dyDescent="0.25">
      <c r="A26" s="394" t="s">
        <v>27</v>
      </c>
      <c r="B26" s="394" t="s">
        <v>37</v>
      </c>
      <c r="G26" s="394" t="s">
        <v>28</v>
      </c>
      <c r="H26" s="394" t="s">
        <v>30</v>
      </c>
      <c r="I26" s="394" t="s">
        <v>501</v>
      </c>
      <c r="J26" s="396">
        <v>109</v>
      </c>
      <c r="M26" s="394" t="s">
        <v>241</v>
      </c>
      <c r="N26" s="394" t="s">
        <v>1247</v>
      </c>
      <c r="O26" s="394" t="s">
        <v>237</v>
      </c>
      <c r="P26" s="394" t="s">
        <v>237</v>
      </c>
      <c r="Q26" s="396">
        <v>54</v>
      </c>
      <c r="R26" s="396">
        <v>258</v>
      </c>
      <c r="U26" s="394" t="s">
        <v>282</v>
      </c>
      <c r="V26" s="394" t="s">
        <v>555</v>
      </c>
    </row>
    <row r="27" spans="1:22" x14ac:dyDescent="0.25">
      <c r="A27" s="394" t="s">
        <v>27</v>
      </c>
      <c r="B27" s="394" t="s">
        <v>1021</v>
      </c>
      <c r="G27" s="394" t="s">
        <v>10</v>
      </c>
      <c r="H27" s="394" t="s">
        <v>9</v>
      </c>
      <c r="I27" s="394" t="s">
        <v>844</v>
      </c>
      <c r="J27" s="396">
        <v>0</v>
      </c>
      <c r="M27" s="394" t="s">
        <v>270</v>
      </c>
      <c r="N27" s="394" t="s">
        <v>271</v>
      </c>
      <c r="O27" s="394" t="s">
        <v>237</v>
      </c>
      <c r="P27" s="394" t="s">
        <v>237</v>
      </c>
      <c r="Q27" s="396">
        <v>68</v>
      </c>
      <c r="R27" s="396">
        <v>333</v>
      </c>
      <c r="U27" s="394" t="s">
        <v>241</v>
      </c>
      <c r="V27" s="394" t="s">
        <v>555</v>
      </c>
    </row>
    <row r="28" spans="1:22" x14ac:dyDescent="0.25">
      <c r="A28" s="394" t="s">
        <v>528</v>
      </c>
      <c r="B28" s="394" t="s">
        <v>128</v>
      </c>
      <c r="G28" s="394" t="s">
        <v>1317</v>
      </c>
      <c r="H28" s="394" t="s">
        <v>1318</v>
      </c>
      <c r="I28" s="394" t="s">
        <v>501</v>
      </c>
      <c r="J28" s="396"/>
      <c r="M28" s="394" t="s">
        <v>341</v>
      </c>
      <c r="N28" s="394" t="s">
        <v>342</v>
      </c>
      <c r="O28" s="394" t="s">
        <v>310</v>
      </c>
      <c r="P28" s="394" t="s">
        <v>310</v>
      </c>
      <c r="Q28" s="396">
        <v>65</v>
      </c>
      <c r="R28" s="396">
        <v>328</v>
      </c>
      <c r="U28" s="394" t="s">
        <v>270</v>
      </c>
      <c r="V28" s="394" t="s">
        <v>555</v>
      </c>
    </row>
    <row r="29" spans="1:22" x14ac:dyDescent="0.25">
      <c r="A29" s="394" t="s">
        <v>528</v>
      </c>
      <c r="B29" s="394" t="s">
        <v>62</v>
      </c>
      <c r="G29" s="394" t="s">
        <v>76</v>
      </c>
      <c r="H29" s="394" t="s">
        <v>75</v>
      </c>
      <c r="I29" s="394" t="s">
        <v>501</v>
      </c>
      <c r="J29" s="396">
        <v>66</v>
      </c>
      <c r="M29" s="394" t="s">
        <v>350</v>
      </c>
      <c r="N29" s="394" t="s">
        <v>351</v>
      </c>
      <c r="O29" s="394" t="s">
        <v>310</v>
      </c>
      <c r="P29" s="394" t="s">
        <v>310</v>
      </c>
      <c r="Q29" s="396">
        <v>88</v>
      </c>
      <c r="R29" s="396">
        <v>482</v>
      </c>
      <c r="U29" s="394" t="s">
        <v>341</v>
      </c>
      <c r="V29" s="394" t="s">
        <v>555</v>
      </c>
    </row>
    <row r="30" spans="1:22" x14ac:dyDescent="0.25">
      <c r="A30" s="394" t="s">
        <v>528</v>
      </c>
      <c r="B30" s="394" t="s">
        <v>120</v>
      </c>
      <c r="G30" s="394" t="s">
        <v>243</v>
      </c>
      <c r="H30" s="394" t="s">
        <v>242</v>
      </c>
      <c r="I30" s="394" t="s">
        <v>501</v>
      </c>
      <c r="J30" s="396">
        <v>6</v>
      </c>
      <c r="M30" s="394" t="s">
        <v>319</v>
      </c>
      <c r="N30" s="394" t="s">
        <v>320</v>
      </c>
      <c r="O30" s="394" t="s">
        <v>310</v>
      </c>
      <c r="P30" s="394" t="s">
        <v>310</v>
      </c>
      <c r="Q30" s="396">
        <v>22</v>
      </c>
      <c r="R30" s="396">
        <v>128</v>
      </c>
      <c r="U30" s="394" t="s">
        <v>350</v>
      </c>
      <c r="V30" s="394" t="s">
        <v>555</v>
      </c>
    </row>
    <row r="31" spans="1:22" x14ac:dyDescent="0.25">
      <c r="A31" s="394" t="s">
        <v>528</v>
      </c>
      <c r="B31" s="394" t="s">
        <v>41</v>
      </c>
      <c r="G31" s="394" t="s">
        <v>245</v>
      </c>
      <c r="H31" s="394" t="s">
        <v>244</v>
      </c>
      <c r="I31" s="394" t="s">
        <v>501</v>
      </c>
      <c r="J31" s="396">
        <v>6</v>
      </c>
      <c r="M31" s="394" t="s">
        <v>312</v>
      </c>
      <c r="N31" s="394" t="s">
        <v>313</v>
      </c>
      <c r="O31" s="394" t="s">
        <v>310</v>
      </c>
      <c r="P31" s="394" t="s">
        <v>310</v>
      </c>
      <c r="Q31" s="396">
        <v>99</v>
      </c>
      <c r="R31" s="396">
        <v>480</v>
      </c>
      <c r="U31" s="394" t="s">
        <v>319</v>
      </c>
      <c r="V31" s="394" t="s">
        <v>555</v>
      </c>
    </row>
    <row r="32" spans="1:22" x14ac:dyDescent="0.25">
      <c r="A32" s="394" t="s">
        <v>528</v>
      </c>
      <c r="B32" s="394" t="s">
        <v>43</v>
      </c>
      <c r="G32" s="394" t="s">
        <v>247</v>
      </c>
      <c r="H32" s="394" t="s">
        <v>246</v>
      </c>
      <c r="I32" s="394" t="s">
        <v>501</v>
      </c>
      <c r="J32" s="396">
        <v>44</v>
      </c>
      <c r="M32" s="394" t="s">
        <v>329</v>
      </c>
      <c r="N32" s="394" t="s">
        <v>330</v>
      </c>
      <c r="O32" s="394" t="s">
        <v>310</v>
      </c>
      <c r="P32" s="394" t="s">
        <v>310</v>
      </c>
      <c r="Q32" s="396">
        <v>222</v>
      </c>
      <c r="R32" s="396">
        <v>1251</v>
      </c>
      <c r="U32" s="394" t="s">
        <v>312</v>
      </c>
      <c r="V32" s="394" t="s">
        <v>555</v>
      </c>
    </row>
    <row r="33" spans="1:22" x14ac:dyDescent="0.25">
      <c r="A33" s="394" t="s">
        <v>528</v>
      </c>
      <c r="B33" s="394" t="s">
        <v>39</v>
      </c>
      <c r="G33" s="394" t="s">
        <v>192</v>
      </c>
      <c r="H33" s="394" t="s">
        <v>191</v>
      </c>
      <c r="I33" s="394" t="s">
        <v>501</v>
      </c>
      <c r="J33" s="396">
        <v>116</v>
      </c>
      <c r="M33" s="394" t="s">
        <v>337</v>
      </c>
      <c r="N33" s="394" t="s">
        <v>338</v>
      </c>
      <c r="O33" s="394" t="s">
        <v>310</v>
      </c>
      <c r="P33" s="394" t="s">
        <v>310</v>
      </c>
      <c r="Q33" s="396">
        <v>31</v>
      </c>
      <c r="R33" s="396">
        <v>171</v>
      </c>
      <c r="U33" s="394" t="s">
        <v>329</v>
      </c>
      <c r="V33" s="394" t="s">
        <v>555</v>
      </c>
    </row>
    <row r="34" spans="1:22" x14ac:dyDescent="0.25">
      <c r="A34" s="394" t="s">
        <v>528</v>
      </c>
      <c r="B34" s="394" t="s">
        <v>48</v>
      </c>
      <c r="G34" s="394" t="s">
        <v>78</v>
      </c>
      <c r="H34" s="394" t="s">
        <v>77</v>
      </c>
      <c r="I34" s="394" t="s">
        <v>844</v>
      </c>
      <c r="J34" s="396">
        <v>0</v>
      </c>
      <c r="M34" s="394" t="s">
        <v>327</v>
      </c>
      <c r="N34" s="394" t="s">
        <v>328</v>
      </c>
      <c r="O34" s="394" t="s">
        <v>310</v>
      </c>
      <c r="P34" s="394" t="s">
        <v>310</v>
      </c>
      <c r="Q34" s="396">
        <v>143</v>
      </c>
      <c r="R34" s="396">
        <v>800</v>
      </c>
      <c r="U34" s="394" t="s">
        <v>337</v>
      </c>
      <c r="V34" s="394" t="s">
        <v>555</v>
      </c>
    </row>
    <row r="35" spans="1:22" x14ac:dyDescent="0.25">
      <c r="A35" s="394" t="s">
        <v>528</v>
      </c>
      <c r="B35" s="394" t="s">
        <v>50</v>
      </c>
      <c r="G35" s="394" t="s">
        <v>82</v>
      </c>
      <c r="H35" s="394" t="s">
        <v>81</v>
      </c>
      <c r="I35" s="394" t="s">
        <v>844</v>
      </c>
      <c r="J35" s="396">
        <v>0</v>
      </c>
      <c r="M35" s="394" t="s">
        <v>317</v>
      </c>
      <c r="N35" s="394" t="s">
        <v>318</v>
      </c>
      <c r="O35" s="394" t="s">
        <v>310</v>
      </c>
      <c r="P35" s="394" t="s">
        <v>310</v>
      </c>
      <c r="Q35" s="396">
        <v>91</v>
      </c>
      <c r="R35" s="396">
        <v>329</v>
      </c>
      <c r="U35" s="394" t="s">
        <v>327</v>
      </c>
      <c r="V35" s="394" t="s">
        <v>555</v>
      </c>
    </row>
    <row r="36" spans="1:22" x14ac:dyDescent="0.25">
      <c r="A36" s="394" t="s">
        <v>528</v>
      </c>
      <c r="B36" s="394" t="s">
        <v>52</v>
      </c>
      <c r="G36" s="394" t="s">
        <v>932</v>
      </c>
      <c r="H36" s="394" t="s">
        <v>933</v>
      </c>
      <c r="I36" s="394" t="s">
        <v>844</v>
      </c>
      <c r="J36" s="396">
        <v>0</v>
      </c>
      <c r="M36" s="394" t="s">
        <v>343</v>
      </c>
      <c r="N36" s="394" t="s">
        <v>344</v>
      </c>
      <c r="O36" s="394" t="s">
        <v>310</v>
      </c>
      <c r="P36" s="394" t="s">
        <v>310</v>
      </c>
      <c r="Q36" s="396">
        <v>18</v>
      </c>
      <c r="R36" s="396">
        <v>82</v>
      </c>
      <c r="U36" s="394" t="s">
        <v>317</v>
      </c>
      <c r="V36" s="394" t="s">
        <v>555</v>
      </c>
    </row>
    <row r="37" spans="1:22" x14ac:dyDescent="0.25">
      <c r="A37" s="394" t="s">
        <v>528</v>
      </c>
      <c r="B37" s="394" t="s">
        <v>58</v>
      </c>
      <c r="G37" s="394" t="s">
        <v>934</v>
      </c>
      <c r="H37" s="394" t="s">
        <v>935</v>
      </c>
      <c r="I37" s="394" t="s">
        <v>844</v>
      </c>
      <c r="J37" s="396">
        <v>0</v>
      </c>
      <c r="M37" s="394" t="s">
        <v>360</v>
      </c>
      <c r="N37" s="394" t="s">
        <v>1250</v>
      </c>
      <c r="O37" s="394" t="s">
        <v>310</v>
      </c>
      <c r="P37" s="394" t="s">
        <v>310</v>
      </c>
      <c r="Q37" s="396">
        <v>0</v>
      </c>
      <c r="R37" s="396">
        <v>0</v>
      </c>
      <c r="U37" s="394" t="s">
        <v>343</v>
      </c>
      <c r="V37" s="394" t="s">
        <v>555</v>
      </c>
    </row>
    <row r="38" spans="1:22" x14ac:dyDescent="0.25">
      <c r="A38" s="394" t="s">
        <v>528</v>
      </c>
      <c r="B38" s="394" t="s">
        <v>60</v>
      </c>
      <c r="G38" s="394" t="s">
        <v>32</v>
      </c>
      <c r="H38" s="394" t="s">
        <v>31</v>
      </c>
      <c r="I38" s="394" t="s">
        <v>844</v>
      </c>
      <c r="J38" s="396"/>
      <c r="M38" s="394" t="s">
        <v>359</v>
      </c>
      <c r="N38" s="394" t="s">
        <v>1249</v>
      </c>
      <c r="O38" s="394" t="s">
        <v>310</v>
      </c>
      <c r="P38" s="394" t="s">
        <v>310</v>
      </c>
      <c r="Q38" s="396">
        <v>0</v>
      </c>
      <c r="R38" s="396">
        <v>0</v>
      </c>
      <c r="U38" s="394" t="s">
        <v>360</v>
      </c>
      <c r="V38" s="394" t="s">
        <v>555</v>
      </c>
    </row>
    <row r="39" spans="1:22" x14ac:dyDescent="0.25">
      <c r="A39" s="394" t="s">
        <v>528</v>
      </c>
      <c r="B39" s="394" t="s">
        <v>72</v>
      </c>
      <c r="G39" s="394" t="s">
        <v>313</v>
      </c>
      <c r="H39" s="394" t="s">
        <v>312</v>
      </c>
      <c r="I39" s="394" t="s">
        <v>501</v>
      </c>
      <c r="J39" s="396">
        <v>99</v>
      </c>
      <c r="M39" s="394" t="s">
        <v>309</v>
      </c>
      <c r="N39" s="394" t="s">
        <v>311</v>
      </c>
      <c r="O39" s="394" t="s">
        <v>310</v>
      </c>
      <c r="P39" s="394" t="s">
        <v>310</v>
      </c>
      <c r="Q39" s="396"/>
      <c r="R39" s="396"/>
      <c r="U39" s="394" t="s">
        <v>359</v>
      </c>
      <c r="V39" s="394" t="s">
        <v>555</v>
      </c>
    </row>
    <row r="40" spans="1:22" x14ac:dyDescent="0.25">
      <c r="A40" s="394" t="s">
        <v>528</v>
      </c>
      <c r="B40" s="394" t="s">
        <v>70</v>
      </c>
      <c r="G40" s="394" t="s">
        <v>336</v>
      </c>
      <c r="H40" s="394" t="s">
        <v>335</v>
      </c>
      <c r="I40" s="394" t="s">
        <v>501</v>
      </c>
      <c r="J40" s="396">
        <v>146</v>
      </c>
      <c r="M40" s="394" t="s">
        <v>348</v>
      </c>
      <c r="N40" s="394" t="s">
        <v>349</v>
      </c>
      <c r="O40" s="394" t="s">
        <v>310</v>
      </c>
      <c r="P40" s="394" t="s">
        <v>310</v>
      </c>
      <c r="Q40" s="396">
        <v>44</v>
      </c>
      <c r="R40" s="396">
        <v>182</v>
      </c>
      <c r="U40" s="394" t="s">
        <v>309</v>
      </c>
      <c r="V40" s="394" t="s">
        <v>988</v>
      </c>
    </row>
    <row r="41" spans="1:22" x14ac:dyDescent="0.25">
      <c r="A41" s="394" t="s">
        <v>528</v>
      </c>
      <c r="B41" s="394" t="s">
        <v>76</v>
      </c>
      <c r="G41" s="394" t="s">
        <v>88</v>
      </c>
      <c r="H41" s="394" t="s">
        <v>87</v>
      </c>
      <c r="I41" s="394" t="s">
        <v>501</v>
      </c>
      <c r="J41" s="396">
        <v>14</v>
      </c>
      <c r="M41" s="394" t="s">
        <v>315</v>
      </c>
      <c r="N41" s="394" t="s">
        <v>316</v>
      </c>
      <c r="O41" s="394" t="s">
        <v>310</v>
      </c>
      <c r="P41" s="394" t="s">
        <v>310</v>
      </c>
      <c r="Q41" s="396">
        <v>70</v>
      </c>
      <c r="R41" s="396">
        <v>278</v>
      </c>
      <c r="U41" s="394" t="s">
        <v>348</v>
      </c>
      <c r="V41" s="394" t="s">
        <v>555</v>
      </c>
    </row>
    <row r="42" spans="1:22" x14ac:dyDescent="0.25">
      <c r="A42" s="394" t="s">
        <v>528</v>
      </c>
      <c r="B42" s="394" t="s">
        <v>78</v>
      </c>
      <c r="G42" s="394" t="s">
        <v>44</v>
      </c>
      <c r="H42" s="394" t="s">
        <v>45</v>
      </c>
      <c r="I42" s="394" t="s">
        <v>501</v>
      </c>
      <c r="J42" s="396">
        <v>8</v>
      </c>
      <c r="M42" s="394" t="s">
        <v>325</v>
      </c>
      <c r="N42" s="394" t="s">
        <v>326</v>
      </c>
      <c r="O42" s="394" t="s">
        <v>310</v>
      </c>
      <c r="P42" s="394" t="s">
        <v>310</v>
      </c>
      <c r="Q42" s="396">
        <v>46</v>
      </c>
      <c r="R42" s="396">
        <v>192</v>
      </c>
      <c r="U42" s="394" t="s">
        <v>315</v>
      </c>
      <c r="V42" s="394" t="s">
        <v>555</v>
      </c>
    </row>
    <row r="43" spans="1:22" x14ac:dyDescent="0.25">
      <c r="A43" s="394" t="s">
        <v>528</v>
      </c>
      <c r="B43" s="394" t="s">
        <v>82</v>
      </c>
      <c r="G43" s="394" t="s">
        <v>56</v>
      </c>
      <c r="H43" s="394" t="s">
        <v>55</v>
      </c>
      <c r="I43" s="394" t="s">
        <v>844</v>
      </c>
      <c r="J43" s="396">
        <v>0</v>
      </c>
      <c r="M43" s="394" t="s">
        <v>323</v>
      </c>
      <c r="N43" s="394" t="s">
        <v>324</v>
      </c>
      <c r="O43" s="394" t="s">
        <v>310</v>
      </c>
      <c r="P43" s="394" t="s">
        <v>310</v>
      </c>
      <c r="Q43" s="396">
        <v>396</v>
      </c>
      <c r="R43" s="396">
        <v>2120</v>
      </c>
      <c r="U43" s="394" t="s">
        <v>325</v>
      </c>
      <c r="V43" s="394" t="s">
        <v>555</v>
      </c>
    </row>
    <row r="44" spans="1:22" x14ac:dyDescent="0.25">
      <c r="A44" s="394" t="s">
        <v>528</v>
      </c>
      <c r="B44" s="394" t="s">
        <v>88</v>
      </c>
      <c r="G44" s="394" t="s">
        <v>1159</v>
      </c>
      <c r="H44" s="394" t="s">
        <v>1161</v>
      </c>
      <c r="I44" s="394" t="s">
        <v>501</v>
      </c>
      <c r="J44" s="396">
        <v>36</v>
      </c>
      <c r="M44" s="394" t="s">
        <v>346</v>
      </c>
      <c r="N44" s="394" t="s">
        <v>347</v>
      </c>
      <c r="O44" s="394" t="s">
        <v>310</v>
      </c>
      <c r="P44" s="394" t="s">
        <v>310</v>
      </c>
      <c r="Q44" s="396">
        <v>179</v>
      </c>
      <c r="R44" s="396">
        <v>940</v>
      </c>
      <c r="U44" s="394" t="s">
        <v>323</v>
      </c>
      <c r="V44" s="394" t="s">
        <v>555</v>
      </c>
    </row>
    <row r="45" spans="1:22" x14ac:dyDescent="0.25">
      <c r="A45" s="394" t="s">
        <v>528</v>
      </c>
      <c r="B45" s="394" t="s">
        <v>44</v>
      </c>
      <c r="G45" s="394" t="s">
        <v>12</v>
      </c>
      <c r="H45" s="394" t="s">
        <v>11</v>
      </c>
      <c r="I45" s="394" t="s">
        <v>501</v>
      </c>
      <c r="J45" s="396">
        <v>211</v>
      </c>
      <c r="M45" s="394" t="s">
        <v>30</v>
      </c>
      <c r="N45" s="394" t="s">
        <v>28</v>
      </c>
      <c r="O45" s="394" t="s">
        <v>27</v>
      </c>
      <c r="P45" s="394" t="s">
        <v>27</v>
      </c>
      <c r="Q45" s="396">
        <v>109</v>
      </c>
      <c r="R45" s="396">
        <v>504</v>
      </c>
      <c r="U45" s="394" t="s">
        <v>346</v>
      </c>
      <c r="V45" s="394" t="s">
        <v>555</v>
      </c>
    </row>
    <row r="46" spans="1:22" x14ac:dyDescent="0.25">
      <c r="A46" s="394" t="s">
        <v>528</v>
      </c>
      <c r="B46" s="394" t="s">
        <v>56</v>
      </c>
      <c r="G46" s="394" t="s">
        <v>12</v>
      </c>
      <c r="H46" s="394" t="s">
        <v>390</v>
      </c>
      <c r="I46" s="394" t="s">
        <v>501</v>
      </c>
      <c r="J46" s="396">
        <v>76</v>
      </c>
      <c r="M46" s="394" t="s">
        <v>29</v>
      </c>
      <c r="N46" s="394" t="s">
        <v>364</v>
      </c>
      <c r="O46" s="394" t="s">
        <v>27</v>
      </c>
      <c r="P46" s="394" t="s">
        <v>27</v>
      </c>
      <c r="Q46" s="396">
        <v>152</v>
      </c>
      <c r="R46" s="396">
        <v>1015</v>
      </c>
      <c r="U46" s="394" t="s">
        <v>30</v>
      </c>
      <c r="V46" s="394" t="s">
        <v>555</v>
      </c>
    </row>
    <row r="47" spans="1:22" x14ac:dyDescent="0.25">
      <c r="A47" s="394" t="s">
        <v>528</v>
      </c>
      <c r="B47" s="394" t="s">
        <v>90</v>
      </c>
      <c r="G47" s="394" t="s">
        <v>12</v>
      </c>
      <c r="H47" s="394" t="s">
        <v>391</v>
      </c>
      <c r="I47" s="394" t="s">
        <v>501</v>
      </c>
      <c r="J47" s="396">
        <v>320</v>
      </c>
      <c r="M47" s="394" t="s">
        <v>36</v>
      </c>
      <c r="N47" s="394" t="s">
        <v>37</v>
      </c>
      <c r="O47" s="394" t="s">
        <v>27</v>
      </c>
      <c r="P47" s="394" t="s">
        <v>27</v>
      </c>
      <c r="Q47" s="396">
        <v>0</v>
      </c>
      <c r="R47" s="396">
        <v>0</v>
      </c>
      <c r="U47" s="394" t="s">
        <v>29</v>
      </c>
      <c r="V47" s="394" t="s">
        <v>555</v>
      </c>
    </row>
    <row r="48" spans="1:22" x14ac:dyDescent="0.25">
      <c r="A48" s="394" t="s">
        <v>528</v>
      </c>
      <c r="B48" s="394" t="s">
        <v>92</v>
      </c>
      <c r="G48" s="394" t="s">
        <v>12</v>
      </c>
      <c r="H48" s="394" t="s">
        <v>393</v>
      </c>
      <c r="I48" s="394" t="s">
        <v>501</v>
      </c>
      <c r="J48" s="396">
        <v>9</v>
      </c>
      <c r="M48" s="394" t="s">
        <v>33</v>
      </c>
      <c r="N48" s="394" t="s">
        <v>34</v>
      </c>
      <c r="O48" s="394" t="s">
        <v>27</v>
      </c>
      <c r="P48" s="394" t="s">
        <v>27</v>
      </c>
      <c r="Q48" s="396"/>
      <c r="R48" s="396"/>
      <c r="U48" s="394" t="s">
        <v>36</v>
      </c>
      <c r="V48" s="394" t="s">
        <v>555</v>
      </c>
    </row>
    <row r="49" spans="1:22" x14ac:dyDescent="0.25">
      <c r="A49" s="394" t="s">
        <v>528</v>
      </c>
      <c r="B49" s="394" t="s">
        <v>94</v>
      </c>
      <c r="G49" s="394" t="s">
        <v>169</v>
      </c>
      <c r="H49" s="394" t="s">
        <v>168</v>
      </c>
      <c r="I49" s="394" t="s">
        <v>501</v>
      </c>
      <c r="J49" s="396">
        <v>32</v>
      </c>
      <c r="M49" s="394" t="s">
        <v>31</v>
      </c>
      <c r="N49" s="394" t="s">
        <v>32</v>
      </c>
      <c r="O49" s="394" t="s">
        <v>27</v>
      </c>
      <c r="P49" s="394" t="s">
        <v>27</v>
      </c>
      <c r="Q49" s="396"/>
      <c r="R49" s="396"/>
      <c r="U49" s="394" t="s">
        <v>33</v>
      </c>
      <c r="V49" s="394" t="s">
        <v>12</v>
      </c>
    </row>
    <row r="50" spans="1:22" x14ac:dyDescent="0.25">
      <c r="A50" s="394" t="s">
        <v>528</v>
      </c>
      <c r="B50" s="394" t="s">
        <v>54</v>
      </c>
      <c r="G50" s="394" t="s">
        <v>231</v>
      </c>
      <c r="H50" s="394" t="s">
        <v>388</v>
      </c>
      <c r="I50" s="394" t="s">
        <v>501</v>
      </c>
      <c r="J50" s="396">
        <v>32</v>
      </c>
      <c r="M50" s="394" t="s">
        <v>21</v>
      </c>
      <c r="N50" s="394" t="s">
        <v>22</v>
      </c>
      <c r="O50" s="394" t="s">
        <v>5</v>
      </c>
      <c r="P50" s="394" t="s">
        <v>5</v>
      </c>
      <c r="Q50" s="396">
        <v>629</v>
      </c>
      <c r="R50" s="396">
        <v>3801</v>
      </c>
      <c r="U50" s="394" t="s">
        <v>31</v>
      </c>
      <c r="V50" s="394" t="s">
        <v>555</v>
      </c>
    </row>
    <row r="51" spans="1:22" x14ac:dyDescent="0.25">
      <c r="A51" s="394" t="s">
        <v>528</v>
      </c>
      <c r="B51" s="394" t="s">
        <v>66</v>
      </c>
      <c r="G51" s="394" t="s">
        <v>1067</v>
      </c>
      <c r="H51" s="394" t="s">
        <v>1068</v>
      </c>
      <c r="I51" s="394" t="s">
        <v>501</v>
      </c>
      <c r="J51" s="396">
        <v>105</v>
      </c>
      <c r="M51" s="394" t="s">
        <v>15</v>
      </c>
      <c r="N51" s="394" t="s">
        <v>16</v>
      </c>
      <c r="O51" s="394" t="s">
        <v>5</v>
      </c>
      <c r="P51" s="394" t="s">
        <v>5</v>
      </c>
      <c r="Q51" s="396">
        <v>0</v>
      </c>
      <c r="R51" s="396">
        <v>0</v>
      </c>
      <c r="U51" s="394" t="s">
        <v>21</v>
      </c>
      <c r="V51" s="394" t="s">
        <v>555</v>
      </c>
    </row>
    <row r="52" spans="1:22" x14ac:dyDescent="0.25">
      <c r="A52" s="394" t="s">
        <v>528</v>
      </c>
      <c r="B52" s="394" t="s">
        <v>80</v>
      </c>
      <c r="G52" s="394" t="s">
        <v>364</v>
      </c>
      <c r="H52" s="394" t="s">
        <v>29</v>
      </c>
      <c r="I52" s="394" t="s">
        <v>501</v>
      </c>
      <c r="J52" s="396">
        <v>152</v>
      </c>
      <c r="M52" s="394" t="s">
        <v>17</v>
      </c>
      <c r="N52" s="394" t="s">
        <v>18</v>
      </c>
      <c r="O52" s="394" t="s">
        <v>5</v>
      </c>
      <c r="P52" s="394" t="s">
        <v>5</v>
      </c>
      <c r="Q52" s="396">
        <v>116</v>
      </c>
      <c r="R52" s="396">
        <v>659</v>
      </c>
      <c r="U52" s="394" t="s">
        <v>15</v>
      </c>
      <c r="V52" s="394" t="s">
        <v>555</v>
      </c>
    </row>
    <row r="53" spans="1:22" x14ac:dyDescent="0.25">
      <c r="A53" s="394" t="s">
        <v>528</v>
      </c>
      <c r="B53" s="394" t="s">
        <v>102</v>
      </c>
      <c r="G53" s="394" t="s">
        <v>194</v>
      </c>
      <c r="H53" s="394" t="s">
        <v>193</v>
      </c>
      <c r="I53" s="394" t="s">
        <v>501</v>
      </c>
      <c r="J53" s="396">
        <v>604</v>
      </c>
      <c r="M53" s="394" t="s">
        <v>4</v>
      </c>
      <c r="N53" s="394" t="s">
        <v>6</v>
      </c>
      <c r="O53" s="394" t="s">
        <v>5</v>
      </c>
      <c r="P53" s="394" t="s">
        <v>5</v>
      </c>
      <c r="Q53" s="396">
        <v>274</v>
      </c>
      <c r="R53" s="396">
        <v>1349</v>
      </c>
      <c r="U53" s="394" t="s">
        <v>17</v>
      </c>
      <c r="V53" s="394" t="s">
        <v>555</v>
      </c>
    </row>
    <row r="54" spans="1:22" x14ac:dyDescent="0.25">
      <c r="A54" s="394" t="s">
        <v>528</v>
      </c>
      <c r="B54" s="394" t="s">
        <v>106</v>
      </c>
      <c r="G54" s="394" t="s">
        <v>14</v>
      </c>
      <c r="H54" s="394" t="s">
        <v>13</v>
      </c>
      <c r="I54" s="394" t="s">
        <v>501</v>
      </c>
      <c r="J54" s="396">
        <v>39</v>
      </c>
      <c r="M54" s="394" t="s">
        <v>7</v>
      </c>
      <c r="N54" s="394" t="s">
        <v>8</v>
      </c>
      <c r="O54" s="394" t="s">
        <v>5</v>
      </c>
      <c r="P54" s="394" t="s">
        <v>5</v>
      </c>
      <c r="Q54" s="396">
        <v>14</v>
      </c>
      <c r="R54" s="396">
        <v>65</v>
      </c>
      <c r="U54" s="394" t="s">
        <v>4</v>
      </c>
      <c r="V54" s="394" t="s">
        <v>555</v>
      </c>
    </row>
    <row r="55" spans="1:22" x14ac:dyDescent="0.25">
      <c r="A55" s="394" t="s">
        <v>528</v>
      </c>
      <c r="B55" s="394" t="s">
        <v>116</v>
      </c>
      <c r="G55" s="394" t="s">
        <v>814</v>
      </c>
      <c r="H55" s="394" t="s">
        <v>815</v>
      </c>
      <c r="I55" s="394" t="s">
        <v>501</v>
      </c>
      <c r="J55" s="396"/>
      <c r="M55" s="394" t="s">
        <v>13</v>
      </c>
      <c r="N55" s="394" t="s">
        <v>14</v>
      </c>
      <c r="O55" s="394" t="s">
        <v>5</v>
      </c>
      <c r="P55" s="394" t="s">
        <v>5</v>
      </c>
      <c r="Q55" s="396">
        <v>39</v>
      </c>
      <c r="R55" s="396">
        <v>232</v>
      </c>
      <c r="U55" s="394" t="s">
        <v>7</v>
      </c>
      <c r="V55" s="394" t="s">
        <v>555</v>
      </c>
    </row>
    <row r="56" spans="1:22" x14ac:dyDescent="0.25">
      <c r="A56" s="394" t="s">
        <v>528</v>
      </c>
      <c r="B56" s="394" t="s">
        <v>130</v>
      </c>
      <c r="G56" s="394" t="s">
        <v>885</v>
      </c>
      <c r="H56" s="394" t="s">
        <v>884</v>
      </c>
      <c r="I56" s="394" t="s">
        <v>844</v>
      </c>
      <c r="J56" s="396">
        <v>0</v>
      </c>
      <c r="M56" s="394" t="s">
        <v>25</v>
      </c>
      <c r="N56" s="394" t="s">
        <v>26</v>
      </c>
      <c r="O56" s="394" t="s">
        <v>5</v>
      </c>
      <c r="P56" s="394" t="s">
        <v>5</v>
      </c>
      <c r="Q56" s="396">
        <v>15</v>
      </c>
      <c r="R56" s="396">
        <v>73</v>
      </c>
      <c r="U56" s="394" t="s">
        <v>13</v>
      </c>
      <c r="V56" s="394" t="s">
        <v>555</v>
      </c>
    </row>
    <row r="57" spans="1:22" x14ac:dyDescent="0.25">
      <c r="A57" s="394" t="s">
        <v>528</v>
      </c>
      <c r="B57" s="394" t="s">
        <v>138</v>
      </c>
      <c r="G57" s="394" t="s">
        <v>1043</v>
      </c>
      <c r="H57" s="394" t="s">
        <v>1045</v>
      </c>
      <c r="I57" s="394" t="s">
        <v>501</v>
      </c>
      <c r="J57" s="396">
        <v>10</v>
      </c>
      <c r="M57" s="394" t="s">
        <v>19</v>
      </c>
      <c r="N57" s="394" t="s">
        <v>20</v>
      </c>
      <c r="O57" s="394" t="s">
        <v>5</v>
      </c>
      <c r="P57" s="394" t="s">
        <v>5</v>
      </c>
      <c r="Q57" s="396">
        <v>20</v>
      </c>
      <c r="R57" s="396">
        <v>103</v>
      </c>
      <c r="U57" s="394" t="s">
        <v>25</v>
      </c>
      <c r="V57" s="394" t="s">
        <v>555</v>
      </c>
    </row>
    <row r="58" spans="1:22" x14ac:dyDescent="0.25">
      <c r="A58" s="394" t="s">
        <v>528</v>
      </c>
      <c r="B58" s="394" t="s">
        <v>136</v>
      </c>
      <c r="G58" s="394" t="s">
        <v>253</v>
      </c>
      <c r="H58" s="394" t="s">
        <v>252</v>
      </c>
      <c r="I58" s="394" t="s">
        <v>501</v>
      </c>
      <c r="J58" s="396">
        <v>198</v>
      </c>
      <c r="M58" s="394" t="s">
        <v>23</v>
      </c>
      <c r="N58" s="394" t="s">
        <v>24</v>
      </c>
      <c r="O58" s="394" t="s">
        <v>5</v>
      </c>
      <c r="P58" s="394" t="s">
        <v>5</v>
      </c>
      <c r="Q58" s="396">
        <v>21</v>
      </c>
      <c r="R58" s="396">
        <v>97</v>
      </c>
      <c r="U58" s="394" t="s">
        <v>19</v>
      </c>
      <c r="V58" s="394" t="s">
        <v>555</v>
      </c>
    </row>
    <row r="59" spans="1:22" x14ac:dyDescent="0.25">
      <c r="A59" s="394" t="s">
        <v>528</v>
      </c>
      <c r="B59" s="394" t="s">
        <v>68</v>
      </c>
      <c r="G59" s="394" t="s">
        <v>255</v>
      </c>
      <c r="H59" s="394" t="s">
        <v>254</v>
      </c>
      <c r="I59" s="394" t="s">
        <v>501</v>
      </c>
      <c r="J59" s="396">
        <v>101</v>
      </c>
      <c r="M59" s="394" t="s">
        <v>208</v>
      </c>
      <c r="N59" s="394" t="s">
        <v>209</v>
      </c>
      <c r="O59" s="394" t="s">
        <v>185</v>
      </c>
      <c r="P59" s="394" t="s">
        <v>185</v>
      </c>
      <c r="Q59" s="396">
        <v>226</v>
      </c>
      <c r="R59" s="396">
        <v>1824</v>
      </c>
      <c r="U59" s="394" t="s">
        <v>23</v>
      </c>
      <c r="V59" s="394" t="s">
        <v>555</v>
      </c>
    </row>
    <row r="60" spans="1:22" x14ac:dyDescent="0.25">
      <c r="A60" s="394" t="s">
        <v>528</v>
      </c>
      <c r="B60" s="394" t="s">
        <v>84</v>
      </c>
      <c r="G60" s="394" t="s">
        <v>196</v>
      </c>
      <c r="H60" s="394" t="s">
        <v>195</v>
      </c>
      <c r="I60" s="394" t="s">
        <v>501</v>
      </c>
      <c r="J60" s="396">
        <v>1658</v>
      </c>
      <c r="M60" s="394" t="s">
        <v>210</v>
      </c>
      <c r="N60" s="394" t="s">
        <v>211</v>
      </c>
      <c r="O60" s="394" t="s">
        <v>185</v>
      </c>
      <c r="P60" s="394" t="s">
        <v>185</v>
      </c>
      <c r="Q60" s="396"/>
      <c r="R60" s="396"/>
      <c r="U60" s="394" t="s">
        <v>208</v>
      </c>
      <c r="V60" s="394" t="s">
        <v>555</v>
      </c>
    </row>
    <row r="61" spans="1:22" x14ac:dyDescent="0.25">
      <c r="A61" s="394" t="s">
        <v>528</v>
      </c>
      <c r="B61" s="394" t="s">
        <v>86</v>
      </c>
      <c r="G61" s="394" t="s">
        <v>16</v>
      </c>
      <c r="H61" s="394" t="s">
        <v>15</v>
      </c>
      <c r="I61" s="394" t="s">
        <v>844</v>
      </c>
      <c r="J61" s="396">
        <v>0</v>
      </c>
      <c r="M61" s="394" t="s">
        <v>206</v>
      </c>
      <c r="N61" s="394" t="s">
        <v>207</v>
      </c>
      <c r="O61" s="394" t="s">
        <v>185</v>
      </c>
      <c r="P61" s="394" t="s">
        <v>185</v>
      </c>
      <c r="Q61" s="396"/>
      <c r="R61" s="396"/>
      <c r="U61" s="394" t="s">
        <v>210</v>
      </c>
      <c r="V61" s="394" t="s">
        <v>555</v>
      </c>
    </row>
    <row r="62" spans="1:22" x14ac:dyDescent="0.25">
      <c r="A62" s="394" t="s">
        <v>528</v>
      </c>
      <c r="B62" s="394" t="s">
        <v>100</v>
      </c>
      <c r="G62" s="394" t="s">
        <v>522</v>
      </c>
      <c r="H62" s="394" t="s">
        <v>523</v>
      </c>
      <c r="I62" s="394" t="s">
        <v>501</v>
      </c>
      <c r="J62" s="396">
        <v>4</v>
      </c>
      <c r="M62" s="394" t="s">
        <v>216</v>
      </c>
      <c r="N62" s="394" t="s">
        <v>217</v>
      </c>
      <c r="O62" s="394" t="s">
        <v>185</v>
      </c>
      <c r="P62" s="394" t="s">
        <v>185</v>
      </c>
      <c r="Q62" s="396"/>
      <c r="R62" s="396"/>
      <c r="U62" s="394" t="s">
        <v>206</v>
      </c>
      <c r="V62" s="394" t="s">
        <v>555</v>
      </c>
    </row>
    <row r="63" spans="1:22" x14ac:dyDescent="0.25">
      <c r="A63" s="394" t="s">
        <v>528</v>
      </c>
      <c r="B63" s="394" t="s">
        <v>104</v>
      </c>
      <c r="G63" s="394" t="s">
        <v>372</v>
      </c>
      <c r="H63" s="394" t="s">
        <v>382</v>
      </c>
      <c r="I63" s="394" t="s">
        <v>501</v>
      </c>
      <c r="J63" s="396">
        <v>88</v>
      </c>
      <c r="M63" s="394" t="s">
        <v>226</v>
      </c>
      <c r="N63" s="394" t="s">
        <v>227</v>
      </c>
      <c r="O63" s="394" t="s">
        <v>185</v>
      </c>
      <c r="P63" s="394" t="s">
        <v>185</v>
      </c>
      <c r="Q63" s="396">
        <v>10</v>
      </c>
      <c r="R63" s="396">
        <v>38</v>
      </c>
      <c r="U63" s="394" t="s">
        <v>216</v>
      </c>
      <c r="V63" s="394" t="s">
        <v>555</v>
      </c>
    </row>
    <row r="64" spans="1:22" x14ac:dyDescent="0.25">
      <c r="A64" s="394" t="s">
        <v>528</v>
      </c>
      <c r="B64" s="394" t="s">
        <v>98</v>
      </c>
      <c r="G64" s="394" t="s">
        <v>1122</v>
      </c>
      <c r="H64" s="394" t="s">
        <v>1123</v>
      </c>
      <c r="I64" s="394" t="s">
        <v>501</v>
      </c>
      <c r="J64" s="396">
        <v>50</v>
      </c>
      <c r="M64" s="394" t="s">
        <v>212</v>
      </c>
      <c r="N64" s="394" t="s">
        <v>213</v>
      </c>
      <c r="O64" s="394" t="s">
        <v>185</v>
      </c>
      <c r="P64" s="394" t="s">
        <v>185</v>
      </c>
      <c r="Q64" s="396">
        <v>13</v>
      </c>
      <c r="R64" s="396">
        <v>53</v>
      </c>
      <c r="U64" s="394" t="s">
        <v>226</v>
      </c>
      <c r="V64" s="394" t="s">
        <v>12</v>
      </c>
    </row>
    <row r="65" spans="1:22" x14ac:dyDescent="0.25">
      <c r="A65" s="394" t="s">
        <v>528</v>
      </c>
      <c r="B65" s="394" t="s">
        <v>142</v>
      </c>
      <c r="G65" s="394" t="s">
        <v>369</v>
      </c>
      <c r="H65" s="394" t="s">
        <v>383</v>
      </c>
      <c r="I65" s="394" t="s">
        <v>501</v>
      </c>
      <c r="J65" s="396">
        <v>63</v>
      </c>
      <c r="M65" s="394" t="s">
        <v>201</v>
      </c>
      <c r="N65" s="394" t="s">
        <v>202</v>
      </c>
      <c r="O65" s="394" t="s">
        <v>185</v>
      </c>
      <c r="P65" s="394" t="s">
        <v>185</v>
      </c>
      <c r="Q65" s="396">
        <v>261</v>
      </c>
      <c r="R65" s="396">
        <v>1155</v>
      </c>
      <c r="U65" s="394" t="s">
        <v>212</v>
      </c>
      <c r="V65" s="394" t="s">
        <v>12</v>
      </c>
    </row>
    <row r="66" spans="1:22" x14ac:dyDescent="0.25">
      <c r="A66" s="394" t="s">
        <v>528</v>
      </c>
      <c r="B66" s="394" t="s">
        <v>612</v>
      </c>
      <c r="G66" s="394" t="s">
        <v>370</v>
      </c>
      <c r="H66" s="394" t="s">
        <v>384</v>
      </c>
      <c r="I66" s="394" t="s">
        <v>501</v>
      </c>
      <c r="J66" s="396">
        <v>30</v>
      </c>
      <c r="M66" s="394" t="s">
        <v>203</v>
      </c>
      <c r="N66" s="394" t="s">
        <v>204</v>
      </c>
      <c r="O66" s="394" t="s">
        <v>185</v>
      </c>
      <c r="P66" s="394" t="s">
        <v>185</v>
      </c>
      <c r="Q66" s="396">
        <v>28</v>
      </c>
      <c r="R66" s="396">
        <v>136</v>
      </c>
      <c r="U66" s="394" t="s">
        <v>201</v>
      </c>
      <c r="V66" s="394" t="s">
        <v>555</v>
      </c>
    </row>
    <row r="67" spans="1:22" x14ac:dyDescent="0.25">
      <c r="A67" s="394" t="s">
        <v>528</v>
      </c>
      <c r="B67" s="394" t="s">
        <v>108</v>
      </c>
      <c r="G67" s="394" t="s">
        <v>257</v>
      </c>
      <c r="H67" s="394" t="s">
        <v>256</v>
      </c>
      <c r="I67" s="394" t="s">
        <v>501</v>
      </c>
      <c r="J67" s="396">
        <v>44</v>
      </c>
      <c r="M67" s="394" t="s">
        <v>199</v>
      </c>
      <c r="N67" s="394" t="s">
        <v>200</v>
      </c>
      <c r="O67" s="394" t="s">
        <v>185</v>
      </c>
      <c r="P67" s="394" t="s">
        <v>185</v>
      </c>
      <c r="Q67" s="396">
        <v>2</v>
      </c>
      <c r="R67" s="396">
        <v>9</v>
      </c>
      <c r="U67" s="394" t="s">
        <v>203</v>
      </c>
      <c r="V67" s="394" t="s">
        <v>12</v>
      </c>
    </row>
    <row r="68" spans="1:22" x14ac:dyDescent="0.25">
      <c r="A68" s="394" t="s">
        <v>528</v>
      </c>
      <c r="B68" s="394" t="s">
        <v>110</v>
      </c>
      <c r="G68" s="394" t="s">
        <v>174</v>
      </c>
      <c r="H68" s="394" t="s">
        <v>172</v>
      </c>
      <c r="I68" s="394" t="s">
        <v>501</v>
      </c>
      <c r="J68" s="396">
        <v>13</v>
      </c>
      <c r="M68" s="394" t="s">
        <v>220</v>
      </c>
      <c r="N68" s="394" t="s">
        <v>221</v>
      </c>
      <c r="O68" s="394" t="s">
        <v>185</v>
      </c>
      <c r="P68" s="394" t="s">
        <v>185</v>
      </c>
      <c r="Q68" s="396">
        <v>39</v>
      </c>
      <c r="R68" s="396">
        <v>176</v>
      </c>
      <c r="U68" s="394" t="s">
        <v>199</v>
      </c>
      <c r="V68" s="394" t="s">
        <v>12</v>
      </c>
    </row>
    <row r="69" spans="1:22" x14ac:dyDescent="0.25">
      <c r="A69" s="394" t="s">
        <v>528</v>
      </c>
      <c r="B69" s="394" t="s">
        <v>112</v>
      </c>
      <c r="G69" s="394" t="s">
        <v>145</v>
      </c>
      <c r="H69" s="394" t="s">
        <v>143</v>
      </c>
      <c r="I69" s="394" t="s">
        <v>501</v>
      </c>
      <c r="J69" s="396">
        <v>11</v>
      </c>
      <c r="M69" s="394" t="s">
        <v>150</v>
      </c>
      <c r="N69" s="394" t="s">
        <v>152</v>
      </c>
      <c r="O69" s="394" t="s">
        <v>151</v>
      </c>
      <c r="P69" s="394" t="s">
        <v>151</v>
      </c>
      <c r="Q69" s="396">
        <v>196</v>
      </c>
      <c r="R69" s="396">
        <v>908</v>
      </c>
      <c r="U69" s="394" t="s">
        <v>220</v>
      </c>
      <c r="V69" s="394" t="s">
        <v>12</v>
      </c>
    </row>
    <row r="70" spans="1:22" x14ac:dyDescent="0.25">
      <c r="A70" s="394" t="s">
        <v>528</v>
      </c>
      <c r="B70" s="394" t="s">
        <v>114</v>
      </c>
      <c r="G70" s="394" t="s">
        <v>517</v>
      </c>
      <c r="H70" s="394" t="s">
        <v>518</v>
      </c>
      <c r="I70" s="394" t="s">
        <v>844</v>
      </c>
      <c r="J70" s="396">
        <v>0</v>
      </c>
      <c r="M70" s="394" t="s">
        <v>305</v>
      </c>
      <c r="N70" s="394" t="s">
        <v>306</v>
      </c>
      <c r="O70" s="394" t="s">
        <v>1184</v>
      </c>
      <c r="P70" s="394" t="s">
        <v>302</v>
      </c>
      <c r="Q70" s="396">
        <v>86</v>
      </c>
      <c r="R70" s="396">
        <v>313</v>
      </c>
      <c r="U70" s="394" t="s">
        <v>150</v>
      </c>
      <c r="V70" s="394" t="s">
        <v>555</v>
      </c>
    </row>
    <row r="71" spans="1:22" x14ac:dyDescent="0.25">
      <c r="A71" s="394" t="s">
        <v>528</v>
      </c>
      <c r="B71" s="394" t="s">
        <v>118</v>
      </c>
      <c r="G71" s="394" t="s">
        <v>1251</v>
      </c>
      <c r="H71" s="394" t="s">
        <v>314</v>
      </c>
      <c r="I71" s="394" t="s">
        <v>844</v>
      </c>
      <c r="J71" s="396">
        <v>0</v>
      </c>
      <c r="M71" s="394" t="s">
        <v>307</v>
      </c>
      <c r="N71" s="394" t="s">
        <v>308</v>
      </c>
      <c r="O71" s="394" t="s">
        <v>1184</v>
      </c>
      <c r="P71" s="394" t="s">
        <v>302</v>
      </c>
      <c r="Q71" s="396">
        <v>41</v>
      </c>
      <c r="R71" s="396">
        <v>152</v>
      </c>
      <c r="U71" s="394" t="s">
        <v>305</v>
      </c>
      <c r="V71" s="394" t="s">
        <v>555</v>
      </c>
    </row>
    <row r="72" spans="1:22" x14ac:dyDescent="0.25">
      <c r="A72" s="394" t="s">
        <v>528</v>
      </c>
      <c r="B72" s="394" t="s">
        <v>122</v>
      </c>
      <c r="G72" s="394" t="s">
        <v>340</v>
      </c>
      <c r="H72" s="394" t="s">
        <v>339</v>
      </c>
      <c r="I72" s="394" t="s">
        <v>501</v>
      </c>
      <c r="J72" s="396">
        <v>355</v>
      </c>
      <c r="M72" s="394" t="s">
        <v>222</v>
      </c>
      <c r="N72" s="394" t="s">
        <v>223</v>
      </c>
      <c r="O72" s="394" t="s">
        <v>185</v>
      </c>
      <c r="P72" s="394" t="s">
        <v>185</v>
      </c>
      <c r="Q72" s="396">
        <v>124</v>
      </c>
      <c r="R72" s="396">
        <v>544</v>
      </c>
      <c r="U72" s="394" t="s">
        <v>307</v>
      </c>
      <c r="V72" s="394" t="s">
        <v>555</v>
      </c>
    </row>
    <row r="73" spans="1:22" x14ac:dyDescent="0.25">
      <c r="A73" s="394" t="s">
        <v>528</v>
      </c>
      <c r="B73" s="394" t="s">
        <v>124</v>
      </c>
      <c r="G73" s="394" t="s">
        <v>34</v>
      </c>
      <c r="H73" s="394" t="s">
        <v>33</v>
      </c>
      <c r="I73" s="394" t="s">
        <v>501</v>
      </c>
      <c r="J73" s="396"/>
      <c r="M73" s="394" t="s">
        <v>189</v>
      </c>
      <c r="N73" s="394" t="s">
        <v>190</v>
      </c>
      <c r="O73" s="394" t="s">
        <v>185</v>
      </c>
      <c r="P73" s="394" t="s">
        <v>185</v>
      </c>
      <c r="Q73" s="396">
        <v>190</v>
      </c>
      <c r="R73" s="396">
        <v>1021</v>
      </c>
      <c r="U73" s="394" t="s">
        <v>222</v>
      </c>
      <c r="V73" s="394" t="s">
        <v>555</v>
      </c>
    </row>
    <row r="74" spans="1:22" x14ac:dyDescent="0.25">
      <c r="A74" s="394" t="s">
        <v>528</v>
      </c>
      <c r="B74" s="394" t="s">
        <v>96</v>
      </c>
      <c r="G74" s="394" t="s">
        <v>198</v>
      </c>
      <c r="H74" s="394" t="s">
        <v>197</v>
      </c>
      <c r="I74" s="394" t="s">
        <v>501</v>
      </c>
      <c r="J74" s="396">
        <v>545</v>
      </c>
      <c r="M74" s="394" t="s">
        <v>184</v>
      </c>
      <c r="N74" s="394" t="s">
        <v>186</v>
      </c>
      <c r="O74" s="394" t="s">
        <v>185</v>
      </c>
      <c r="P74" s="394" t="s">
        <v>185</v>
      </c>
      <c r="Q74" s="396">
        <v>36</v>
      </c>
      <c r="R74" s="396">
        <v>215</v>
      </c>
      <c r="U74" s="394" t="s">
        <v>189</v>
      </c>
      <c r="V74" s="394" t="s">
        <v>555</v>
      </c>
    </row>
    <row r="75" spans="1:22" x14ac:dyDescent="0.25">
      <c r="A75" s="394" t="s">
        <v>528</v>
      </c>
      <c r="B75" s="394" t="s">
        <v>132</v>
      </c>
      <c r="G75" s="394" t="s">
        <v>304</v>
      </c>
      <c r="H75" s="394" t="s">
        <v>303</v>
      </c>
      <c r="I75" s="394" t="s">
        <v>501</v>
      </c>
      <c r="J75" s="396">
        <v>375</v>
      </c>
      <c r="M75" s="394" t="s">
        <v>228</v>
      </c>
      <c r="N75" s="394" t="s">
        <v>229</v>
      </c>
      <c r="O75" s="394" t="s">
        <v>185</v>
      </c>
      <c r="P75" s="394" t="s">
        <v>185</v>
      </c>
      <c r="Q75" s="396">
        <v>50</v>
      </c>
      <c r="R75" s="396">
        <v>309</v>
      </c>
      <c r="U75" s="394" t="s">
        <v>184</v>
      </c>
      <c r="V75" s="394" t="s">
        <v>555</v>
      </c>
    </row>
    <row r="76" spans="1:22" x14ac:dyDescent="0.25">
      <c r="A76" s="394" t="s">
        <v>528</v>
      </c>
      <c r="B76" s="394" t="s">
        <v>134</v>
      </c>
      <c r="G76" s="394" t="s">
        <v>35</v>
      </c>
      <c r="H76" s="394" t="s">
        <v>362</v>
      </c>
      <c r="I76" s="394" t="s">
        <v>844</v>
      </c>
      <c r="J76" s="396">
        <v>0</v>
      </c>
      <c r="M76" s="394" t="s">
        <v>224</v>
      </c>
      <c r="N76" s="394" t="s">
        <v>225</v>
      </c>
      <c r="O76" s="394" t="s">
        <v>185</v>
      </c>
      <c r="P76" s="394" t="s">
        <v>185</v>
      </c>
      <c r="Q76" s="396">
        <v>39</v>
      </c>
      <c r="R76" s="396">
        <v>248</v>
      </c>
      <c r="U76" s="394" t="s">
        <v>228</v>
      </c>
      <c r="V76" s="394" t="s">
        <v>555</v>
      </c>
    </row>
    <row r="77" spans="1:22" x14ac:dyDescent="0.25">
      <c r="A77" s="394" t="s">
        <v>528</v>
      </c>
      <c r="B77" s="394" t="s">
        <v>64</v>
      </c>
      <c r="G77" s="394" t="s">
        <v>240</v>
      </c>
      <c r="H77" s="394" t="s">
        <v>239</v>
      </c>
      <c r="I77" s="394" t="s">
        <v>501</v>
      </c>
      <c r="J77" s="396">
        <v>96</v>
      </c>
      <c r="M77" s="394" t="s">
        <v>143</v>
      </c>
      <c r="N77" s="394" t="s">
        <v>145</v>
      </c>
      <c r="O77" s="394" t="s">
        <v>1184</v>
      </c>
      <c r="P77" s="394" t="s">
        <v>144</v>
      </c>
      <c r="Q77" s="396">
        <v>11</v>
      </c>
      <c r="R77" s="396">
        <v>17</v>
      </c>
      <c r="U77" s="394" t="s">
        <v>224</v>
      </c>
      <c r="V77" s="394" t="s">
        <v>555</v>
      </c>
    </row>
    <row r="78" spans="1:22" x14ac:dyDescent="0.25">
      <c r="A78" s="394" t="s">
        <v>528</v>
      </c>
      <c r="B78" s="394" t="s">
        <v>126</v>
      </c>
      <c r="G78" s="394" t="s">
        <v>285</v>
      </c>
      <c r="H78" s="394" t="s">
        <v>284</v>
      </c>
      <c r="I78" s="394" t="s">
        <v>501</v>
      </c>
      <c r="J78" s="396">
        <v>138</v>
      </c>
      <c r="M78" s="394" t="s">
        <v>299</v>
      </c>
      <c r="N78" s="394" t="s">
        <v>301</v>
      </c>
      <c r="O78" s="394" t="s">
        <v>1184</v>
      </c>
      <c r="P78" s="394" t="s">
        <v>300</v>
      </c>
      <c r="Q78" s="396">
        <v>14</v>
      </c>
      <c r="R78" s="396">
        <v>64</v>
      </c>
      <c r="U78" s="394" t="s">
        <v>143</v>
      </c>
      <c r="V78" s="394" t="s">
        <v>555</v>
      </c>
    </row>
    <row r="79" spans="1:22" x14ac:dyDescent="0.25">
      <c r="A79" s="394" t="s">
        <v>528</v>
      </c>
      <c r="B79" s="394" t="s">
        <v>74</v>
      </c>
      <c r="G79" s="394" t="s">
        <v>365</v>
      </c>
      <c r="H79" s="394" t="s">
        <v>378</v>
      </c>
      <c r="I79" s="394" t="s">
        <v>501</v>
      </c>
      <c r="J79" s="396">
        <v>143</v>
      </c>
      <c r="M79" s="394" t="s">
        <v>175</v>
      </c>
      <c r="N79" s="394" t="s">
        <v>176</v>
      </c>
      <c r="O79" s="394" t="s">
        <v>1184</v>
      </c>
      <c r="P79" s="394" t="s">
        <v>173</v>
      </c>
      <c r="Q79" s="396">
        <v>16</v>
      </c>
      <c r="R79" s="396">
        <v>71</v>
      </c>
      <c r="U79" s="394" t="s">
        <v>299</v>
      </c>
      <c r="V79" s="394" t="s">
        <v>12</v>
      </c>
    </row>
    <row r="80" spans="1:22" x14ac:dyDescent="0.25">
      <c r="A80" s="394" t="s">
        <v>528</v>
      </c>
      <c r="B80" s="394" t="s">
        <v>140</v>
      </c>
      <c r="G80" s="394" t="s">
        <v>90</v>
      </c>
      <c r="H80" s="394" t="s">
        <v>89</v>
      </c>
      <c r="I80" s="394" t="s">
        <v>501</v>
      </c>
      <c r="J80" s="396">
        <v>25</v>
      </c>
      <c r="M80" s="394" t="s">
        <v>172</v>
      </c>
      <c r="N80" s="394" t="s">
        <v>174</v>
      </c>
      <c r="O80" s="394" t="s">
        <v>1184</v>
      </c>
      <c r="P80" s="394" t="s">
        <v>173</v>
      </c>
      <c r="Q80" s="396">
        <v>13</v>
      </c>
      <c r="R80" s="396">
        <v>64</v>
      </c>
      <c r="U80" s="394" t="s">
        <v>175</v>
      </c>
      <c r="V80" s="394" t="s">
        <v>555</v>
      </c>
    </row>
    <row r="81" spans="1:22" x14ac:dyDescent="0.25">
      <c r="A81" s="394" t="s">
        <v>528</v>
      </c>
      <c r="B81" s="394" t="s">
        <v>515</v>
      </c>
      <c r="G81" s="394" t="s">
        <v>92</v>
      </c>
      <c r="H81" s="394" t="s">
        <v>91</v>
      </c>
      <c r="I81" s="394" t="s">
        <v>501</v>
      </c>
      <c r="J81" s="396">
        <v>15</v>
      </c>
      <c r="M81" s="394" t="s">
        <v>177</v>
      </c>
      <c r="N81" s="394" t="s">
        <v>178</v>
      </c>
      <c r="O81" s="394" t="s">
        <v>1184</v>
      </c>
      <c r="P81" s="394" t="s">
        <v>173</v>
      </c>
      <c r="Q81" s="396">
        <v>12</v>
      </c>
      <c r="R81" s="396">
        <v>46</v>
      </c>
      <c r="U81" s="394" t="s">
        <v>172</v>
      </c>
      <c r="V81" s="394" t="s">
        <v>555</v>
      </c>
    </row>
    <row r="82" spans="1:22" x14ac:dyDescent="0.25">
      <c r="A82" s="394" t="s">
        <v>528</v>
      </c>
      <c r="B82" s="394" t="s">
        <v>1067</v>
      </c>
      <c r="G82" s="394" t="s">
        <v>18</v>
      </c>
      <c r="H82" s="394" t="s">
        <v>17</v>
      </c>
      <c r="I82" s="394" t="s">
        <v>501</v>
      </c>
      <c r="J82" s="396">
        <v>116</v>
      </c>
      <c r="M82" s="394" t="s">
        <v>179</v>
      </c>
      <c r="N82" s="394" t="s">
        <v>181</v>
      </c>
      <c r="O82" s="394" t="s">
        <v>1184</v>
      </c>
      <c r="P82" s="394" t="s">
        <v>180</v>
      </c>
      <c r="Q82" s="396">
        <v>12</v>
      </c>
      <c r="R82" s="396">
        <v>61</v>
      </c>
      <c r="U82" s="394" t="s">
        <v>177</v>
      </c>
      <c r="V82" s="394" t="s">
        <v>555</v>
      </c>
    </row>
    <row r="83" spans="1:22" x14ac:dyDescent="0.25">
      <c r="A83" s="394" t="s">
        <v>528</v>
      </c>
      <c r="B83" s="394" t="s">
        <v>1122</v>
      </c>
      <c r="G83" s="394" t="s">
        <v>186</v>
      </c>
      <c r="H83" s="394" t="s">
        <v>184</v>
      </c>
      <c r="I83" s="394" t="s">
        <v>501</v>
      </c>
      <c r="J83" s="396">
        <v>36</v>
      </c>
      <c r="M83" s="394" t="s">
        <v>182</v>
      </c>
      <c r="N83" s="394" t="s">
        <v>183</v>
      </c>
      <c r="O83" s="394" t="s">
        <v>1184</v>
      </c>
      <c r="P83" s="394" t="s">
        <v>180</v>
      </c>
      <c r="Q83" s="396">
        <v>0</v>
      </c>
      <c r="R83" s="396">
        <v>0</v>
      </c>
      <c r="U83" s="394" t="s">
        <v>179</v>
      </c>
      <c r="V83" s="394" t="s">
        <v>555</v>
      </c>
    </row>
    <row r="84" spans="1:22" x14ac:dyDescent="0.25">
      <c r="A84" s="394" t="s">
        <v>780</v>
      </c>
      <c r="B84" s="394" t="s">
        <v>595</v>
      </c>
      <c r="G84" s="394" t="s">
        <v>223</v>
      </c>
      <c r="H84" s="394" t="s">
        <v>222</v>
      </c>
      <c r="I84" s="394" t="s">
        <v>501</v>
      </c>
      <c r="J84" s="396">
        <v>124</v>
      </c>
      <c r="M84" s="394" t="s">
        <v>109</v>
      </c>
      <c r="N84" s="394" t="s">
        <v>110</v>
      </c>
      <c r="O84" s="394" t="s">
        <v>528</v>
      </c>
      <c r="P84" s="394" t="s">
        <v>528</v>
      </c>
      <c r="Q84" s="396">
        <v>0</v>
      </c>
      <c r="R84" s="396">
        <v>0</v>
      </c>
      <c r="U84" s="394" t="s">
        <v>182</v>
      </c>
      <c r="V84" s="394" t="s">
        <v>555</v>
      </c>
    </row>
    <row r="85" spans="1:22" x14ac:dyDescent="0.25">
      <c r="A85" s="394" t="s">
        <v>780</v>
      </c>
      <c r="B85" s="394" t="s">
        <v>1278</v>
      </c>
      <c r="G85" s="394" t="s">
        <v>190</v>
      </c>
      <c r="H85" s="394" t="s">
        <v>189</v>
      </c>
      <c r="I85" s="394" t="s">
        <v>501</v>
      </c>
      <c r="J85" s="396">
        <v>190</v>
      </c>
      <c r="M85" s="394" t="s">
        <v>111</v>
      </c>
      <c r="N85" s="394" t="s">
        <v>112</v>
      </c>
      <c r="O85" s="394" t="s">
        <v>528</v>
      </c>
      <c r="P85" s="394" t="s">
        <v>528</v>
      </c>
      <c r="Q85" s="396">
        <v>0</v>
      </c>
      <c r="R85" s="396">
        <v>0</v>
      </c>
      <c r="U85" s="394" t="s">
        <v>109</v>
      </c>
      <c r="V85" s="394" t="s">
        <v>555</v>
      </c>
    </row>
    <row r="86" spans="1:22" x14ac:dyDescent="0.25">
      <c r="A86" s="394" t="s">
        <v>780</v>
      </c>
      <c r="B86" s="394" t="s">
        <v>1552</v>
      </c>
      <c r="G86" s="394" t="s">
        <v>158</v>
      </c>
      <c r="H86" s="394" t="s">
        <v>157</v>
      </c>
      <c r="I86" s="394" t="s">
        <v>844</v>
      </c>
      <c r="J86" s="396">
        <v>0</v>
      </c>
      <c r="M86" s="394" t="s">
        <v>85</v>
      </c>
      <c r="N86" s="394" t="s">
        <v>86</v>
      </c>
      <c r="O86" s="394" t="s">
        <v>528</v>
      </c>
      <c r="P86" s="394" t="s">
        <v>528</v>
      </c>
      <c r="Q86" s="396">
        <v>0</v>
      </c>
      <c r="R86" s="396">
        <v>0</v>
      </c>
      <c r="U86" s="394" t="s">
        <v>111</v>
      </c>
      <c r="V86" s="394" t="s">
        <v>555</v>
      </c>
    </row>
    <row r="87" spans="1:22" x14ac:dyDescent="0.25">
      <c r="A87" s="394" t="s">
        <v>363</v>
      </c>
      <c r="B87" s="394" t="s">
        <v>35</v>
      </c>
      <c r="G87" s="394" t="s">
        <v>1263</v>
      </c>
      <c r="H87" s="394" t="s">
        <v>1262</v>
      </c>
      <c r="I87" s="394" t="s">
        <v>501</v>
      </c>
      <c r="J87" s="396">
        <v>59</v>
      </c>
      <c r="M87" s="394" t="s">
        <v>83</v>
      </c>
      <c r="N87" s="394" t="s">
        <v>84</v>
      </c>
      <c r="O87" s="394" t="s">
        <v>528</v>
      </c>
      <c r="P87" s="394" t="s">
        <v>528</v>
      </c>
      <c r="Q87" s="396">
        <v>0</v>
      </c>
      <c r="R87" s="396">
        <v>0</v>
      </c>
      <c r="U87" s="394" t="s">
        <v>85</v>
      </c>
      <c r="V87" s="394" t="s">
        <v>555</v>
      </c>
    </row>
    <row r="88" spans="1:22" x14ac:dyDescent="0.25">
      <c r="A88" s="394" t="s">
        <v>144</v>
      </c>
      <c r="B88" s="394" t="s">
        <v>145</v>
      </c>
      <c r="G88" s="394" t="s">
        <v>1271</v>
      </c>
      <c r="H88" s="394" t="s">
        <v>1274</v>
      </c>
      <c r="I88" s="394" t="s">
        <v>501</v>
      </c>
      <c r="J88" s="396">
        <v>7</v>
      </c>
      <c r="M88" s="394" t="s">
        <v>69</v>
      </c>
      <c r="N88" s="394" t="s">
        <v>70</v>
      </c>
      <c r="O88" s="394" t="s">
        <v>528</v>
      </c>
      <c r="P88" s="394" t="s">
        <v>528</v>
      </c>
      <c r="Q88" s="396">
        <v>0</v>
      </c>
      <c r="R88" s="396">
        <v>0</v>
      </c>
      <c r="U88" s="394" t="s">
        <v>83</v>
      </c>
      <c r="V88" s="394" t="s">
        <v>555</v>
      </c>
    </row>
    <row r="89" spans="1:22" x14ac:dyDescent="0.25">
      <c r="A89" s="394" t="s">
        <v>146</v>
      </c>
      <c r="B89" s="394" t="s">
        <v>932</v>
      </c>
      <c r="G89" s="394" t="s">
        <v>94</v>
      </c>
      <c r="H89" s="394" t="s">
        <v>93</v>
      </c>
      <c r="I89" s="394" t="s">
        <v>844</v>
      </c>
      <c r="J89" s="396">
        <v>0</v>
      </c>
      <c r="M89" s="394" t="s">
        <v>103</v>
      </c>
      <c r="N89" s="394" t="s">
        <v>104</v>
      </c>
      <c r="O89" s="394" t="s">
        <v>528</v>
      </c>
      <c r="P89" s="394" t="s">
        <v>528</v>
      </c>
      <c r="Q89" s="396">
        <v>0</v>
      </c>
      <c r="R89" s="396">
        <v>0</v>
      </c>
      <c r="U89" s="394" t="s">
        <v>69</v>
      </c>
      <c r="V89" s="394" t="s">
        <v>555</v>
      </c>
    </row>
    <row r="90" spans="1:22" x14ac:dyDescent="0.25">
      <c r="A90" s="394" t="s">
        <v>146</v>
      </c>
      <c r="B90" s="394" t="s">
        <v>934</v>
      </c>
      <c r="G90" s="394" t="s">
        <v>896</v>
      </c>
      <c r="H90" s="394" t="s">
        <v>897</v>
      </c>
      <c r="I90" s="394" t="s">
        <v>844</v>
      </c>
      <c r="J90" s="396">
        <v>0</v>
      </c>
      <c r="M90" s="394" t="s">
        <v>67</v>
      </c>
      <c r="N90" s="394" t="s">
        <v>68</v>
      </c>
      <c r="O90" s="394" t="s">
        <v>528</v>
      </c>
      <c r="P90" s="394" t="s">
        <v>528</v>
      </c>
      <c r="Q90" s="396">
        <v>0</v>
      </c>
      <c r="R90" s="396">
        <v>0</v>
      </c>
      <c r="U90" s="394" t="s">
        <v>103</v>
      </c>
      <c r="V90" s="394" t="s">
        <v>555</v>
      </c>
    </row>
    <row r="91" spans="1:22" x14ac:dyDescent="0.25">
      <c r="A91" s="394" t="s">
        <v>146</v>
      </c>
      <c r="B91" s="394" t="s">
        <v>372</v>
      </c>
      <c r="G91" s="394" t="s">
        <v>320</v>
      </c>
      <c r="H91" s="394" t="s">
        <v>319</v>
      </c>
      <c r="I91" s="394" t="s">
        <v>501</v>
      </c>
      <c r="J91" s="396">
        <v>22</v>
      </c>
      <c r="M91" s="394" t="s">
        <v>99</v>
      </c>
      <c r="N91" s="394" t="s">
        <v>100</v>
      </c>
      <c r="O91" s="394" t="s">
        <v>528</v>
      </c>
      <c r="P91" s="394" t="s">
        <v>528</v>
      </c>
      <c r="Q91" s="396">
        <v>5</v>
      </c>
      <c r="R91" s="396">
        <v>26</v>
      </c>
      <c r="U91" s="394" t="s">
        <v>67</v>
      </c>
      <c r="V91" s="394" t="s">
        <v>555</v>
      </c>
    </row>
    <row r="92" spans="1:22" x14ac:dyDescent="0.25">
      <c r="A92" s="394" t="s">
        <v>146</v>
      </c>
      <c r="B92" s="394" t="s">
        <v>369</v>
      </c>
      <c r="G92" s="394" t="s">
        <v>322</v>
      </c>
      <c r="H92" s="394" t="s">
        <v>321</v>
      </c>
      <c r="I92" s="394" t="s">
        <v>501</v>
      </c>
      <c r="J92" s="396">
        <v>586</v>
      </c>
      <c r="M92" s="394" t="s">
        <v>49</v>
      </c>
      <c r="N92" s="394" t="s">
        <v>50</v>
      </c>
      <c r="O92" s="394" t="s">
        <v>528</v>
      </c>
      <c r="P92" s="394" t="s">
        <v>528</v>
      </c>
      <c r="Q92" s="396">
        <v>0</v>
      </c>
      <c r="R92" s="396">
        <v>0</v>
      </c>
      <c r="U92" s="394" t="s">
        <v>99</v>
      </c>
      <c r="V92" s="394" t="s">
        <v>555</v>
      </c>
    </row>
    <row r="93" spans="1:22" x14ac:dyDescent="0.25">
      <c r="A93" s="394" t="s">
        <v>146</v>
      </c>
      <c r="B93" s="394" t="s">
        <v>370</v>
      </c>
      <c r="G93" s="394" t="s">
        <v>200</v>
      </c>
      <c r="H93" s="394" t="s">
        <v>199</v>
      </c>
      <c r="I93" s="394" t="s">
        <v>501</v>
      </c>
      <c r="J93" s="396">
        <v>2</v>
      </c>
      <c r="M93" s="394" t="s">
        <v>65</v>
      </c>
      <c r="N93" s="394" t="s">
        <v>66</v>
      </c>
      <c r="O93" s="394" t="s">
        <v>528</v>
      </c>
      <c r="P93" s="394" t="s">
        <v>528</v>
      </c>
      <c r="Q93" s="396">
        <v>0</v>
      </c>
      <c r="R93" s="396">
        <v>0</v>
      </c>
      <c r="U93" s="394" t="s">
        <v>49</v>
      </c>
      <c r="V93" s="394" t="s">
        <v>555</v>
      </c>
    </row>
    <row r="94" spans="1:22" x14ac:dyDescent="0.25">
      <c r="A94" s="394" t="s">
        <v>146</v>
      </c>
      <c r="B94" s="394" t="s">
        <v>368</v>
      </c>
      <c r="G94" s="394" t="s">
        <v>1535</v>
      </c>
      <c r="H94" s="394" t="s">
        <v>1527</v>
      </c>
      <c r="I94" s="394" t="s">
        <v>501</v>
      </c>
      <c r="J94" s="396">
        <v>142</v>
      </c>
      <c r="M94" s="394" t="s">
        <v>53</v>
      </c>
      <c r="N94" s="394" t="s">
        <v>54</v>
      </c>
      <c r="O94" s="394" t="s">
        <v>528</v>
      </c>
      <c r="P94" s="394" t="s">
        <v>528</v>
      </c>
      <c r="Q94" s="396">
        <v>0</v>
      </c>
      <c r="R94" s="396">
        <v>0</v>
      </c>
      <c r="U94" s="394" t="s">
        <v>65</v>
      </c>
      <c r="V94" s="394" t="s">
        <v>555</v>
      </c>
    </row>
    <row r="95" spans="1:22" x14ac:dyDescent="0.25">
      <c r="A95" s="394" t="s">
        <v>146</v>
      </c>
      <c r="B95" s="394" t="s">
        <v>371</v>
      </c>
      <c r="G95" s="394" t="s">
        <v>328</v>
      </c>
      <c r="H95" s="394" t="s">
        <v>327</v>
      </c>
      <c r="I95" s="394" t="s">
        <v>501</v>
      </c>
      <c r="J95" s="396">
        <v>143</v>
      </c>
      <c r="M95" s="394" t="s">
        <v>115</v>
      </c>
      <c r="N95" s="394" t="s">
        <v>116</v>
      </c>
      <c r="O95" s="394" t="s">
        <v>528</v>
      </c>
      <c r="P95" s="394" t="s">
        <v>528</v>
      </c>
      <c r="Q95" s="396">
        <v>0</v>
      </c>
      <c r="R95" s="396">
        <v>0</v>
      </c>
      <c r="U95" s="394" t="s">
        <v>53</v>
      </c>
      <c r="V95" s="394" t="s">
        <v>555</v>
      </c>
    </row>
    <row r="96" spans="1:22" x14ac:dyDescent="0.25">
      <c r="A96" s="394" t="s">
        <v>146</v>
      </c>
      <c r="B96" s="394" t="s">
        <v>367</v>
      </c>
      <c r="G96" s="394" t="s">
        <v>330</v>
      </c>
      <c r="H96" s="394" t="s">
        <v>329</v>
      </c>
      <c r="I96" s="394" t="s">
        <v>501</v>
      </c>
      <c r="J96" s="396">
        <v>222</v>
      </c>
      <c r="M96" s="394" t="s">
        <v>79</v>
      </c>
      <c r="N96" s="394" t="s">
        <v>80</v>
      </c>
      <c r="O96" s="394" t="s">
        <v>528</v>
      </c>
      <c r="P96" s="394" t="s">
        <v>528</v>
      </c>
      <c r="Q96" s="396">
        <v>0</v>
      </c>
      <c r="R96" s="396">
        <v>0</v>
      </c>
      <c r="U96" s="394" t="s">
        <v>115</v>
      </c>
      <c r="V96" s="394" t="s">
        <v>555</v>
      </c>
    </row>
    <row r="97" spans="1:22" x14ac:dyDescent="0.25">
      <c r="A97" s="394" t="s">
        <v>146</v>
      </c>
      <c r="B97" s="394" t="s">
        <v>149</v>
      </c>
      <c r="G97" s="394" t="s">
        <v>324</v>
      </c>
      <c r="H97" s="394" t="s">
        <v>323</v>
      </c>
      <c r="I97" s="394" t="s">
        <v>501</v>
      </c>
      <c r="J97" s="396">
        <v>396</v>
      </c>
      <c r="M97" s="394" t="s">
        <v>137</v>
      </c>
      <c r="N97" s="394" t="s">
        <v>138</v>
      </c>
      <c r="O97" s="394" t="s">
        <v>528</v>
      </c>
      <c r="P97" s="394" t="s">
        <v>528</v>
      </c>
      <c r="Q97" s="396">
        <v>0</v>
      </c>
      <c r="R97" s="396">
        <v>0</v>
      </c>
      <c r="U97" s="394" t="s">
        <v>79</v>
      </c>
      <c r="V97" s="394" t="s">
        <v>555</v>
      </c>
    </row>
    <row r="98" spans="1:22" x14ac:dyDescent="0.25">
      <c r="A98" s="394" t="s">
        <v>146</v>
      </c>
      <c r="B98" s="394" t="s">
        <v>373</v>
      </c>
      <c r="G98" s="394" t="s">
        <v>326</v>
      </c>
      <c r="H98" s="394" t="s">
        <v>325</v>
      </c>
      <c r="I98" s="394" t="s">
        <v>501</v>
      </c>
      <c r="J98" s="396">
        <v>46</v>
      </c>
      <c r="M98" s="394" t="s">
        <v>101</v>
      </c>
      <c r="N98" s="394" t="s">
        <v>102</v>
      </c>
      <c r="O98" s="394" t="s">
        <v>528</v>
      </c>
      <c r="P98" s="394" t="s">
        <v>528</v>
      </c>
      <c r="Q98" s="396">
        <v>0</v>
      </c>
      <c r="R98" s="396">
        <v>0</v>
      </c>
      <c r="U98" s="394" t="s">
        <v>137</v>
      </c>
      <c r="V98" s="394" t="s">
        <v>555</v>
      </c>
    </row>
    <row r="99" spans="1:22" x14ac:dyDescent="0.25">
      <c r="A99" s="394" t="s">
        <v>146</v>
      </c>
      <c r="B99" s="394" t="s">
        <v>1104</v>
      </c>
      <c r="G99" s="394" t="s">
        <v>886</v>
      </c>
      <c r="H99" s="394" t="s">
        <v>887</v>
      </c>
      <c r="I99" s="394" t="s">
        <v>501</v>
      </c>
      <c r="J99" s="396">
        <v>390</v>
      </c>
      <c r="M99" s="394" t="s">
        <v>105</v>
      </c>
      <c r="N99" s="394" t="s">
        <v>106</v>
      </c>
      <c r="O99" s="394" t="s">
        <v>528</v>
      </c>
      <c r="P99" s="394" t="s">
        <v>528</v>
      </c>
      <c r="Q99" s="396">
        <v>0</v>
      </c>
      <c r="R99" s="396">
        <v>0</v>
      </c>
      <c r="U99" s="394" t="s">
        <v>101</v>
      </c>
      <c r="V99" s="394" t="s">
        <v>555</v>
      </c>
    </row>
    <row r="100" spans="1:22" x14ac:dyDescent="0.25">
      <c r="A100" s="394" t="s">
        <v>146</v>
      </c>
      <c r="B100" s="394" t="s">
        <v>1319</v>
      </c>
      <c r="G100" s="394" t="s">
        <v>944</v>
      </c>
      <c r="H100" s="394" t="s">
        <v>943</v>
      </c>
      <c r="I100" s="394" t="s">
        <v>501</v>
      </c>
      <c r="J100" s="396">
        <v>123</v>
      </c>
      <c r="M100" s="394" t="s">
        <v>129</v>
      </c>
      <c r="N100" s="394" t="s">
        <v>130</v>
      </c>
      <c r="O100" s="394" t="s">
        <v>528</v>
      </c>
      <c r="P100" s="394" t="s">
        <v>528</v>
      </c>
      <c r="Q100" s="396">
        <v>0</v>
      </c>
      <c r="R100" s="396">
        <v>0</v>
      </c>
      <c r="U100" s="394" t="s">
        <v>105</v>
      </c>
      <c r="V100" s="394" t="s">
        <v>555</v>
      </c>
    </row>
    <row r="101" spans="1:22" x14ac:dyDescent="0.25">
      <c r="A101" s="394" t="s">
        <v>146</v>
      </c>
      <c r="B101" s="394" t="s">
        <v>1535</v>
      </c>
      <c r="G101" s="394" t="s">
        <v>259</v>
      </c>
      <c r="H101" s="394" t="s">
        <v>258</v>
      </c>
      <c r="I101" s="394" t="s">
        <v>501</v>
      </c>
      <c r="J101" s="396">
        <v>60</v>
      </c>
      <c r="M101" s="394" t="s">
        <v>133</v>
      </c>
      <c r="N101" s="394" t="s">
        <v>134</v>
      </c>
      <c r="O101" s="394" t="s">
        <v>528</v>
      </c>
      <c r="P101" s="394" t="s">
        <v>528</v>
      </c>
      <c r="Q101" s="396">
        <v>0</v>
      </c>
      <c r="R101" s="396">
        <v>0</v>
      </c>
      <c r="U101" s="394" t="s">
        <v>129</v>
      </c>
      <c r="V101" s="394" t="s">
        <v>555</v>
      </c>
    </row>
    <row r="102" spans="1:22" x14ac:dyDescent="0.25">
      <c r="A102" s="394" t="s">
        <v>146</v>
      </c>
      <c r="B102" s="394" t="s">
        <v>1538</v>
      </c>
      <c r="G102" s="394" t="s">
        <v>202</v>
      </c>
      <c r="H102" s="394" t="s">
        <v>201</v>
      </c>
      <c r="I102" s="394" t="s">
        <v>501</v>
      </c>
      <c r="J102" s="396">
        <v>261</v>
      </c>
      <c r="M102" s="394" t="s">
        <v>113</v>
      </c>
      <c r="N102" s="394" t="s">
        <v>114</v>
      </c>
      <c r="O102" s="394" t="s">
        <v>528</v>
      </c>
      <c r="P102" s="394" t="s">
        <v>528</v>
      </c>
      <c r="Q102" s="396">
        <v>0</v>
      </c>
      <c r="R102" s="396">
        <v>0</v>
      </c>
      <c r="U102" s="394" t="s">
        <v>133</v>
      </c>
      <c r="V102" s="394" t="s">
        <v>555</v>
      </c>
    </row>
    <row r="103" spans="1:22" x14ac:dyDescent="0.25">
      <c r="A103" s="394" t="s">
        <v>146</v>
      </c>
      <c r="B103" s="394" t="s">
        <v>1556</v>
      </c>
      <c r="G103" s="394" t="s">
        <v>261</v>
      </c>
      <c r="H103" s="394" t="s">
        <v>260</v>
      </c>
      <c r="I103" s="394" t="s">
        <v>501</v>
      </c>
      <c r="J103" s="396">
        <v>99</v>
      </c>
      <c r="M103" s="394" t="s">
        <v>107</v>
      </c>
      <c r="N103" s="394" t="s">
        <v>108</v>
      </c>
      <c r="O103" s="394" t="s">
        <v>528</v>
      </c>
      <c r="P103" s="394" t="s">
        <v>528</v>
      </c>
      <c r="Q103" s="396">
        <v>52</v>
      </c>
      <c r="R103" s="396">
        <v>240</v>
      </c>
      <c r="U103" s="394" t="s">
        <v>113</v>
      </c>
      <c r="V103" s="394" t="s">
        <v>555</v>
      </c>
    </row>
    <row r="104" spans="1:22" x14ac:dyDescent="0.25">
      <c r="A104" s="394" t="s">
        <v>894</v>
      </c>
      <c r="B104" s="394" t="s">
        <v>896</v>
      </c>
      <c r="G104" s="394" t="s">
        <v>877</v>
      </c>
      <c r="H104" s="394" t="s">
        <v>871</v>
      </c>
      <c r="I104" s="394" t="s">
        <v>844</v>
      </c>
      <c r="J104" s="396">
        <v>0</v>
      </c>
      <c r="M104" s="394" t="s">
        <v>95</v>
      </c>
      <c r="N104" s="394" t="s">
        <v>96</v>
      </c>
      <c r="O104" s="394" t="s">
        <v>528</v>
      </c>
      <c r="P104" s="394" t="s">
        <v>528</v>
      </c>
      <c r="Q104" s="396">
        <v>0</v>
      </c>
      <c r="R104" s="396">
        <v>0</v>
      </c>
      <c r="U104" s="394" t="s">
        <v>107</v>
      </c>
      <c r="V104" s="394" t="s">
        <v>555</v>
      </c>
    </row>
    <row r="105" spans="1:22" x14ac:dyDescent="0.25">
      <c r="A105" s="394" t="s">
        <v>151</v>
      </c>
      <c r="B105" s="394" t="s">
        <v>883</v>
      </c>
      <c r="G105" s="394" t="s">
        <v>876</v>
      </c>
      <c r="H105" s="394" t="s">
        <v>875</v>
      </c>
      <c r="I105" s="394" t="s">
        <v>844</v>
      </c>
      <c r="J105" s="396">
        <v>0</v>
      </c>
      <c r="M105" s="394" t="s">
        <v>139</v>
      </c>
      <c r="N105" s="394" t="s">
        <v>140</v>
      </c>
      <c r="O105" s="394" t="s">
        <v>528</v>
      </c>
      <c r="P105" s="394" t="s">
        <v>528</v>
      </c>
      <c r="Q105" s="396">
        <v>12</v>
      </c>
      <c r="R105" s="396">
        <v>48</v>
      </c>
      <c r="U105" s="394" t="s">
        <v>95</v>
      </c>
      <c r="V105" s="394" t="s">
        <v>555</v>
      </c>
    </row>
    <row r="106" spans="1:22" x14ac:dyDescent="0.25">
      <c r="A106" s="394" t="s">
        <v>151</v>
      </c>
      <c r="B106" s="394" t="s">
        <v>878</v>
      </c>
      <c r="G106" s="394" t="s">
        <v>204</v>
      </c>
      <c r="H106" s="394" t="s">
        <v>203</v>
      </c>
      <c r="I106" s="394" t="s">
        <v>501</v>
      </c>
      <c r="J106" s="396">
        <v>28</v>
      </c>
      <c r="M106" s="394" t="s">
        <v>135</v>
      </c>
      <c r="N106" s="394" t="s">
        <v>136</v>
      </c>
      <c r="O106" s="394" t="s">
        <v>528</v>
      </c>
      <c r="P106" s="394" t="s">
        <v>528</v>
      </c>
      <c r="Q106" s="396">
        <v>0</v>
      </c>
      <c r="R106" s="396">
        <v>0</v>
      </c>
      <c r="U106" s="394" t="s">
        <v>139</v>
      </c>
      <c r="V106" s="394" t="s">
        <v>555</v>
      </c>
    </row>
    <row r="107" spans="1:22" x14ac:dyDescent="0.25">
      <c r="A107" s="394" t="s">
        <v>151</v>
      </c>
      <c r="B107" s="394" t="s">
        <v>879</v>
      </c>
      <c r="G107" s="394" t="s">
        <v>1549</v>
      </c>
      <c r="H107" s="394" t="s">
        <v>1529</v>
      </c>
      <c r="I107" s="394" t="s">
        <v>501</v>
      </c>
      <c r="J107" s="396">
        <v>36</v>
      </c>
      <c r="M107" s="394" t="s">
        <v>93</v>
      </c>
      <c r="N107" s="394" t="s">
        <v>94</v>
      </c>
      <c r="O107" s="394" t="s">
        <v>528</v>
      </c>
      <c r="P107" s="394" t="s">
        <v>528</v>
      </c>
      <c r="Q107" s="396">
        <v>0</v>
      </c>
      <c r="R107" s="396">
        <v>0</v>
      </c>
      <c r="U107" s="394" t="s">
        <v>135</v>
      </c>
      <c r="V107" s="394" t="s">
        <v>555</v>
      </c>
    </row>
    <row r="108" spans="1:22" x14ac:dyDescent="0.25">
      <c r="A108" s="394" t="s">
        <v>151</v>
      </c>
      <c r="B108" s="394" t="s">
        <v>188</v>
      </c>
      <c r="G108" s="394" t="s">
        <v>205</v>
      </c>
      <c r="H108" s="394" t="s">
        <v>392</v>
      </c>
      <c r="I108" s="394" t="s">
        <v>501</v>
      </c>
      <c r="J108" s="396"/>
      <c r="M108" s="394" t="s">
        <v>121</v>
      </c>
      <c r="N108" s="394" t="s">
        <v>122</v>
      </c>
      <c r="O108" s="394" t="s">
        <v>528</v>
      </c>
      <c r="P108" s="394" t="s">
        <v>528</v>
      </c>
      <c r="Q108" s="396">
        <v>0</v>
      </c>
      <c r="R108" s="396">
        <v>0</v>
      </c>
      <c r="U108" s="394" t="s">
        <v>93</v>
      </c>
      <c r="V108" s="394" t="s">
        <v>555</v>
      </c>
    </row>
    <row r="109" spans="1:22" x14ac:dyDescent="0.25">
      <c r="A109" s="394" t="s">
        <v>151</v>
      </c>
      <c r="B109" s="394" t="s">
        <v>12</v>
      </c>
      <c r="G109" s="394" t="s">
        <v>160</v>
      </c>
      <c r="H109" s="394" t="s">
        <v>159</v>
      </c>
      <c r="I109" s="394" t="s">
        <v>501</v>
      </c>
      <c r="J109" s="396">
        <v>107</v>
      </c>
      <c r="M109" s="394" t="s">
        <v>71</v>
      </c>
      <c r="N109" s="394" t="s">
        <v>72</v>
      </c>
      <c r="O109" s="394" t="s">
        <v>528</v>
      </c>
      <c r="P109" s="394" t="s">
        <v>528</v>
      </c>
      <c r="Q109" s="396">
        <v>6</v>
      </c>
      <c r="R109" s="396">
        <v>30</v>
      </c>
      <c r="U109" s="394" t="s">
        <v>121</v>
      </c>
      <c r="V109" s="394" t="s">
        <v>555</v>
      </c>
    </row>
    <row r="110" spans="1:22" x14ac:dyDescent="0.25">
      <c r="A110" s="394" t="s">
        <v>151</v>
      </c>
      <c r="B110" s="394" t="s">
        <v>885</v>
      </c>
      <c r="G110" s="394" t="s">
        <v>1097</v>
      </c>
      <c r="H110" s="394" t="s">
        <v>1098</v>
      </c>
      <c r="I110" s="394" t="s">
        <v>501</v>
      </c>
      <c r="J110" s="396">
        <v>113</v>
      </c>
      <c r="M110" s="394" t="s">
        <v>131</v>
      </c>
      <c r="N110" s="394" t="s">
        <v>132</v>
      </c>
      <c r="O110" s="394" t="s">
        <v>528</v>
      </c>
      <c r="P110" s="394" t="s">
        <v>528</v>
      </c>
      <c r="Q110" s="396">
        <v>0</v>
      </c>
      <c r="R110" s="396">
        <v>0</v>
      </c>
      <c r="U110" s="394" t="s">
        <v>71</v>
      </c>
      <c r="V110" s="394" t="s">
        <v>555</v>
      </c>
    </row>
    <row r="111" spans="1:22" x14ac:dyDescent="0.25">
      <c r="A111" s="394" t="s">
        <v>151</v>
      </c>
      <c r="B111" s="394" t="s">
        <v>517</v>
      </c>
      <c r="G111" s="394" t="s">
        <v>154</v>
      </c>
      <c r="H111" s="394" t="s">
        <v>153</v>
      </c>
      <c r="I111" s="394" t="s">
        <v>501</v>
      </c>
      <c r="J111" s="396">
        <v>458</v>
      </c>
      <c r="M111" s="394" t="s">
        <v>356</v>
      </c>
      <c r="N111" s="394" t="s">
        <v>1248</v>
      </c>
      <c r="O111" s="394" t="s">
        <v>310</v>
      </c>
      <c r="P111" s="394" t="s">
        <v>310</v>
      </c>
      <c r="Q111" s="396">
        <v>604</v>
      </c>
      <c r="R111" s="396">
        <v>2785</v>
      </c>
      <c r="U111" s="394" t="s">
        <v>131</v>
      </c>
      <c r="V111" s="394" t="s">
        <v>555</v>
      </c>
    </row>
    <row r="112" spans="1:22" x14ac:dyDescent="0.25">
      <c r="A112" s="394" t="s">
        <v>151</v>
      </c>
      <c r="B112" s="394" t="s">
        <v>198</v>
      </c>
      <c r="G112" s="394" t="s">
        <v>1063</v>
      </c>
      <c r="H112" s="394" t="s">
        <v>1064</v>
      </c>
      <c r="I112" s="394" t="s">
        <v>501</v>
      </c>
      <c r="J112" s="396">
        <v>123</v>
      </c>
      <c r="M112" s="394" t="s">
        <v>333</v>
      </c>
      <c r="N112" s="394" t="s">
        <v>334</v>
      </c>
      <c r="O112" s="394" t="s">
        <v>310</v>
      </c>
      <c r="P112" s="394" t="s">
        <v>310</v>
      </c>
      <c r="Q112" s="396">
        <v>160</v>
      </c>
      <c r="R112" s="396">
        <v>648</v>
      </c>
      <c r="U112" s="394" t="s">
        <v>356</v>
      </c>
      <c r="V112" s="394" t="s">
        <v>555</v>
      </c>
    </row>
    <row r="113" spans="1:22" x14ac:dyDescent="0.25">
      <c r="A113" s="394" t="s">
        <v>151</v>
      </c>
      <c r="B113" s="394" t="s">
        <v>158</v>
      </c>
      <c r="G113" s="394" t="s">
        <v>156</v>
      </c>
      <c r="H113" s="394" t="s">
        <v>155</v>
      </c>
      <c r="I113" s="394" t="s">
        <v>501</v>
      </c>
      <c r="J113" s="396">
        <v>175</v>
      </c>
      <c r="M113" s="394" t="s">
        <v>357</v>
      </c>
      <c r="N113" s="394" t="s">
        <v>358</v>
      </c>
      <c r="O113" s="394" t="s">
        <v>310</v>
      </c>
      <c r="P113" s="394" t="s">
        <v>310</v>
      </c>
      <c r="Q113" s="396">
        <v>0</v>
      </c>
      <c r="R113" s="396">
        <v>0</v>
      </c>
      <c r="U113" s="394" t="s">
        <v>333</v>
      </c>
      <c r="V113" s="394" t="s">
        <v>555</v>
      </c>
    </row>
    <row r="114" spans="1:22" x14ac:dyDescent="0.25">
      <c r="A114" s="394" t="s">
        <v>151</v>
      </c>
      <c r="B114" s="394" t="s">
        <v>886</v>
      </c>
      <c r="G114" s="394" t="s">
        <v>332</v>
      </c>
      <c r="H114" s="394" t="s">
        <v>331</v>
      </c>
      <c r="I114" s="394" t="s">
        <v>844</v>
      </c>
      <c r="J114" s="396">
        <v>0</v>
      </c>
      <c r="M114" s="394" t="s">
        <v>335</v>
      </c>
      <c r="N114" s="394" t="s">
        <v>336</v>
      </c>
      <c r="O114" s="394" t="s">
        <v>310</v>
      </c>
      <c r="P114" s="394" t="s">
        <v>310</v>
      </c>
      <c r="Q114" s="396">
        <v>146</v>
      </c>
      <c r="R114" s="396">
        <v>1072</v>
      </c>
      <c r="U114" s="394" t="s">
        <v>357</v>
      </c>
      <c r="V114" s="394" t="s">
        <v>555</v>
      </c>
    </row>
    <row r="115" spans="1:22" x14ac:dyDescent="0.25">
      <c r="A115" s="394" t="s">
        <v>151</v>
      </c>
      <c r="B115" s="394" t="s">
        <v>877</v>
      </c>
      <c r="G115" s="394" t="s">
        <v>207</v>
      </c>
      <c r="H115" s="394" t="s">
        <v>206</v>
      </c>
      <c r="I115" s="394" t="s">
        <v>844</v>
      </c>
      <c r="J115" s="396"/>
      <c r="M115" s="394" t="s">
        <v>352</v>
      </c>
      <c r="N115" s="394" t="s">
        <v>353</v>
      </c>
      <c r="O115" s="394" t="s">
        <v>310</v>
      </c>
      <c r="P115" s="394" t="s">
        <v>310</v>
      </c>
      <c r="Q115" s="396">
        <v>1355</v>
      </c>
      <c r="R115" s="396">
        <v>6602</v>
      </c>
      <c r="U115" s="394" t="s">
        <v>335</v>
      </c>
      <c r="V115" s="394" t="s">
        <v>555</v>
      </c>
    </row>
    <row r="116" spans="1:22" x14ac:dyDescent="0.25">
      <c r="A116" s="394" t="s">
        <v>151</v>
      </c>
      <c r="B116" s="394" t="s">
        <v>876</v>
      </c>
      <c r="G116" s="394" t="s">
        <v>167</v>
      </c>
      <c r="H116" s="394" t="s">
        <v>165</v>
      </c>
      <c r="I116" s="394" t="s">
        <v>501</v>
      </c>
      <c r="J116" s="396">
        <v>37</v>
      </c>
      <c r="M116" s="394" t="s">
        <v>314</v>
      </c>
      <c r="N116" s="394" t="s">
        <v>1251</v>
      </c>
      <c r="O116" s="394" t="s">
        <v>310</v>
      </c>
      <c r="P116" s="394" t="s">
        <v>310</v>
      </c>
      <c r="Q116" s="396">
        <v>0</v>
      </c>
      <c r="R116" s="396">
        <v>0</v>
      </c>
      <c r="U116" s="394" t="s">
        <v>352</v>
      </c>
      <c r="V116" s="394" t="s">
        <v>555</v>
      </c>
    </row>
    <row r="117" spans="1:22" x14ac:dyDescent="0.25">
      <c r="A117" s="394" t="s">
        <v>151</v>
      </c>
      <c r="B117" s="394" t="s">
        <v>160</v>
      </c>
      <c r="G117" s="394" t="s">
        <v>823</v>
      </c>
      <c r="H117" s="394" t="s">
        <v>824</v>
      </c>
      <c r="I117" s="394" t="s">
        <v>501</v>
      </c>
      <c r="J117" s="396">
        <v>29</v>
      </c>
      <c r="M117" s="394" t="s">
        <v>331</v>
      </c>
      <c r="N117" s="394" t="s">
        <v>332</v>
      </c>
      <c r="O117" s="394" t="s">
        <v>310</v>
      </c>
      <c r="P117" s="394" t="s">
        <v>310</v>
      </c>
      <c r="Q117" s="396">
        <v>0</v>
      </c>
      <c r="R117" s="396">
        <v>0</v>
      </c>
      <c r="U117" s="394" t="s">
        <v>314</v>
      </c>
      <c r="V117" s="394" t="s">
        <v>555</v>
      </c>
    </row>
    <row r="118" spans="1:22" x14ac:dyDescent="0.25">
      <c r="A118" s="394" t="s">
        <v>151</v>
      </c>
      <c r="B118" s="394" t="s">
        <v>154</v>
      </c>
      <c r="G118" s="394" t="s">
        <v>176</v>
      </c>
      <c r="H118" s="394" t="s">
        <v>175</v>
      </c>
      <c r="I118" s="394" t="s">
        <v>501</v>
      </c>
      <c r="J118" s="396">
        <v>16</v>
      </c>
      <c r="M118" s="394" t="s">
        <v>321</v>
      </c>
      <c r="N118" s="394" t="s">
        <v>322</v>
      </c>
      <c r="O118" s="394" t="s">
        <v>310</v>
      </c>
      <c r="P118" s="394" t="s">
        <v>310</v>
      </c>
      <c r="Q118" s="396">
        <v>586</v>
      </c>
      <c r="R118" s="396">
        <v>2574</v>
      </c>
      <c r="U118" s="394" t="s">
        <v>331</v>
      </c>
      <c r="V118" s="394" t="s">
        <v>555</v>
      </c>
    </row>
    <row r="119" spans="1:22" x14ac:dyDescent="0.25">
      <c r="A119" s="394" t="s">
        <v>151</v>
      </c>
      <c r="B119" s="394" t="s">
        <v>156</v>
      </c>
      <c r="G119" s="394" t="s">
        <v>152</v>
      </c>
      <c r="H119" s="394" t="s">
        <v>150</v>
      </c>
      <c r="I119" s="394" t="s">
        <v>501</v>
      </c>
      <c r="J119" s="396">
        <v>196</v>
      </c>
      <c r="M119" s="394" t="s">
        <v>345</v>
      </c>
      <c r="N119" s="394" t="s">
        <v>1246</v>
      </c>
      <c r="O119" s="394" t="s">
        <v>310</v>
      </c>
      <c r="P119" s="394" t="s">
        <v>310</v>
      </c>
      <c r="Q119" s="396">
        <v>177</v>
      </c>
      <c r="R119" s="396">
        <v>844</v>
      </c>
      <c r="U119" s="394" t="s">
        <v>321</v>
      </c>
      <c r="V119" s="394" t="s">
        <v>555</v>
      </c>
    </row>
    <row r="120" spans="1:22" x14ac:dyDescent="0.25">
      <c r="A120" s="394" t="s">
        <v>151</v>
      </c>
      <c r="B120" s="394" t="s">
        <v>152</v>
      </c>
      <c r="G120" s="394" t="s">
        <v>54</v>
      </c>
      <c r="H120" s="394" t="s">
        <v>53</v>
      </c>
      <c r="I120" s="394" t="s">
        <v>844</v>
      </c>
      <c r="J120" s="396">
        <v>0</v>
      </c>
      <c r="M120" s="394" t="s">
        <v>195</v>
      </c>
      <c r="N120" s="394" t="s">
        <v>196</v>
      </c>
      <c r="O120" s="394" t="s">
        <v>310</v>
      </c>
      <c r="P120" s="394" t="s">
        <v>310</v>
      </c>
      <c r="Q120" s="396">
        <v>1658</v>
      </c>
      <c r="R120" s="396">
        <v>8585</v>
      </c>
      <c r="U120" s="394" t="s">
        <v>345</v>
      </c>
      <c r="V120" s="394" t="s">
        <v>555</v>
      </c>
    </row>
    <row r="121" spans="1:22" x14ac:dyDescent="0.25">
      <c r="A121" s="394" t="s">
        <v>151</v>
      </c>
      <c r="B121" s="394" t="s">
        <v>296</v>
      </c>
      <c r="G121" s="394" t="s">
        <v>66</v>
      </c>
      <c r="H121" s="394" t="s">
        <v>65</v>
      </c>
      <c r="I121" s="394" t="s">
        <v>844</v>
      </c>
      <c r="J121" s="396">
        <v>0</v>
      </c>
      <c r="M121" s="394" t="s">
        <v>193</v>
      </c>
      <c r="N121" s="394" t="s">
        <v>194</v>
      </c>
      <c r="O121" s="394" t="s">
        <v>185</v>
      </c>
      <c r="P121" s="394" t="s">
        <v>185</v>
      </c>
      <c r="Q121" s="396">
        <v>604</v>
      </c>
      <c r="R121" s="396">
        <v>2888</v>
      </c>
      <c r="U121" s="394" t="s">
        <v>195</v>
      </c>
      <c r="V121" s="394" t="s">
        <v>555</v>
      </c>
    </row>
    <row r="122" spans="1:22" x14ac:dyDescent="0.25">
      <c r="A122" s="394" t="s">
        <v>151</v>
      </c>
      <c r="B122" s="394" t="s">
        <v>519</v>
      </c>
      <c r="G122" s="394" t="s">
        <v>80</v>
      </c>
      <c r="H122" s="394" t="s">
        <v>79</v>
      </c>
      <c r="I122" s="394" t="s">
        <v>844</v>
      </c>
      <c r="J122" s="396">
        <v>0</v>
      </c>
      <c r="M122" s="394" t="s">
        <v>191</v>
      </c>
      <c r="N122" s="394" t="s">
        <v>192</v>
      </c>
      <c r="O122" s="394" t="s">
        <v>185</v>
      </c>
      <c r="P122" s="394" t="s">
        <v>185</v>
      </c>
      <c r="Q122" s="396">
        <v>116</v>
      </c>
      <c r="R122" s="396">
        <v>602</v>
      </c>
      <c r="U122" s="394" t="s">
        <v>193</v>
      </c>
      <c r="V122" s="394" t="s">
        <v>555</v>
      </c>
    </row>
    <row r="123" spans="1:22" x14ac:dyDescent="0.25">
      <c r="A123" s="394" t="s">
        <v>151</v>
      </c>
      <c r="B123" s="394" t="s">
        <v>162</v>
      </c>
      <c r="G123" s="394" t="s">
        <v>102</v>
      </c>
      <c r="H123" s="394" t="s">
        <v>101</v>
      </c>
      <c r="I123" s="394" t="s">
        <v>844</v>
      </c>
      <c r="J123" s="396">
        <v>0</v>
      </c>
      <c r="M123" s="394" t="s">
        <v>218</v>
      </c>
      <c r="N123" s="394" t="s">
        <v>219</v>
      </c>
      <c r="O123" s="394" t="s">
        <v>185</v>
      </c>
      <c r="P123" s="394" t="s">
        <v>185</v>
      </c>
      <c r="Q123" s="396">
        <v>677</v>
      </c>
      <c r="R123" s="396">
        <v>3622</v>
      </c>
      <c r="U123" s="394" t="s">
        <v>191</v>
      </c>
      <c r="V123" s="394" t="s">
        <v>555</v>
      </c>
    </row>
    <row r="124" spans="1:22" x14ac:dyDescent="0.25">
      <c r="A124" s="394" t="s">
        <v>151</v>
      </c>
      <c r="B124" s="394" t="s">
        <v>866</v>
      </c>
      <c r="G124" s="394" t="s">
        <v>106</v>
      </c>
      <c r="H124" s="394" t="s">
        <v>105</v>
      </c>
      <c r="I124" s="394" t="s">
        <v>844</v>
      </c>
      <c r="J124" s="396">
        <v>0</v>
      </c>
      <c r="M124" s="394" t="s">
        <v>197</v>
      </c>
      <c r="N124" s="394" t="s">
        <v>198</v>
      </c>
      <c r="O124" s="394" t="s">
        <v>151</v>
      </c>
      <c r="P124" s="394" t="s">
        <v>151</v>
      </c>
      <c r="Q124" s="396">
        <v>545</v>
      </c>
      <c r="R124" s="396">
        <v>2560</v>
      </c>
      <c r="U124" s="394" t="s">
        <v>218</v>
      </c>
      <c r="V124" s="394" t="s">
        <v>555</v>
      </c>
    </row>
    <row r="125" spans="1:22" x14ac:dyDescent="0.25">
      <c r="A125" s="394" t="s">
        <v>151</v>
      </c>
      <c r="B125" s="394" t="s">
        <v>867</v>
      </c>
      <c r="G125" s="394" t="s">
        <v>116</v>
      </c>
      <c r="H125" s="394" t="s">
        <v>115</v>
      </c>
      <c r="I125" s="394" t="s">
        <v>844</v>
      </c>
      <c r="J125" s="396">
        <v>0</v>
      </c>
      <c r="M125" s="394" t="s">
        <v>187</v>
      </c>
      <c r="N125" s="394" t="s">
        <v>188</v>
      </c>
      <c r="O125" s="394" t="s">
        <v>151</v>
      </c>
      <c r="P125" s="394" t="s">
        <v>151</v>
      </c>
      <c r="Q125" s="396">
        <v>245</v>
      </c>
      <c r="R125" s="396">
        <v>1232</v>
      </c>
      <c r="U125" s="394" t="s">
        <v>197</v>
      </c>
      <c r="V125" s="394" t="s">
        <v>555</v>
      </c>
    </row>
    <row r="126" spans="1:22" x14ac:dyDescent="0.25">
      <c r="A126" s="394" t="s">
        <v>151</v>
      </c>
      <c r="B126" s="394" t="s">
        <v>164</v>
      </c>
      <c r="G126" s="394" t="s">
        <v>130</v>
      </c>
      <c r="H126" s="394" t="s">
        <v>129</v>
      </c>
      <c r="I126" s="394" t="s">
        <v>844</v>
      </c>
      <c r="J126" s="396">
        <v>0</v>
      </c>
      <c r="M126" s="394" t="s">
        <v>214</v>
      </c>
      <c r="N126" s="394" t="s">
        <v>215</v>
      </c>
      <c r="O126" s="394" t="s">
        <v>185</v>
      </c>
      <c r="P126" s="394" t="s">
        <v>185</v>
      </c>
      <c r="Q126" s="396">
        <v>375</v>
      </c>
      <c r="R126" s="396">
        <v>1598</v>
      </c>
      <c r="U126" s="394" t="s">
        <v>187</v>
      </c>
      <c r="V126" s="394" t="s">
        <v>555</v>
      </c>
    </row>
    <row r="127" spans="1:22" x14ac:dyDescent="0.25">
      <c r="A127" s="394" t="s">
        <v>151</v>
      </c>
      <c r="B127" s="394" t="s">
        <v>888</v>
      </c>
      <c r="G127" s="394" t="s">
        <v>138</v>
      </c>
      <c r="H127" s="394" t="s">
        <v>137</v>
      </c>
      <c r="I127" s="394" t="s">
        <v>844</v>
      </c>
      <c r="J127" s="396">
        <v>0</v>
      </c>
      <c r="M127" s="394" t="s">
        <v>153</v>
      </c>
      <c r="N127" s="394" t="s">
        <v>154</v>
      </c>
      <c r="O127" s="394" t="s">
        <v>151</v>
      </c>
      <c r="P127" s="394" t="s">
        <v>151</v>
      </c>
      <c r="Q127" s="396">
        <v>458</v>
      </c>
      <c r="R127" s="396">
        <v>2139</v>
      </c>
      <c r="U127" s="394" t="s">
        <v>214</v>
      </c>
      <c r="V127" s="394" t="s">
        <v>555</v>
      </c>
    </row>
    <row r="128" spans="1:22" x14ac:dyDescent="0.25">
      <c r="A128" s="394" t="s">
        <v>151</v>
      </c>
      <c r="B128" s="394" t="s">
        <v>944</v>
      </c>
      <c r="G128" s="394" t="s">
        <v>263</v>
      </c>
      <c r="H128" s="394" t="s">
        <v>262</v>
      </c>
      <c r="I128" s="394" t="s">
        <v>501</v>
      </c>
      <c r="J128" s="396">
        <v>21</v>
      </c>
      <c r="M128" s="394" t="s">
        <v>159</v>
      </c>
      <c r="N128" s="394" t="s">
        <v>160</v>
      </c>
      <c r="O128" s="394" t="s">
        <v>151</v>
      </c>
      <c r="P128" s="394" t="s">
        <v>151</v>
      </c>
      <c r="Q128" s="396">
        <v>107</v>
      </c>
      <c r="R128" s="396">
        <v>525</v>
      </c>
      <c r="U128" s="394" t="s">
        <v>153</v>
      </c>
      <c r="V128" s="394" t="s">
        <v>555</v>
      </c>
    </row>
    <row r="129" spans="1:22" x14ac:dyDescent="0.25">
      <c r="A129" s="394" t="s">
        <v>151</v>
      </c>
      <c r="B129" s="394" t="s">
        <v>1036</v>
      </c>
      <c r="G129" s="394" t="s">
        <v>265</v>
      </c>
      <c r="H129" s="394" t="s">
        <v>264</v>
      </c>
      <c r="I129" s="394" t="s">
        <v>501</v>
      </c>
      <c r="J129" s="396">
        <v>14</v>
      </c>
      <c r="M129" s="394" t="s">
        <v>155</v>
      </c>
      <c r="N129" s="394" t="s">
        <v>156</v>
      </c>
      <c r="O129" s="394" t="s">
        <v>151</v>
      </c>
      <c r="P129" s="394" t="s">
        <v>151</v>
      </c>
      <c r="Q129" s="396">
        <v>175</v>
      </c>
      <c r="R129" s="396">
        <v>834</v>
      </c>
      <c r="U129" s="394" t="s">
        <v>159</v>
      </c>
      <c r="V129" s="394" t="s">
        <v>555</v>
      </c>
    </row>
    <row r="130" spans="1:22" x14ac:dyDescent="0.25">
      <c r="A130" s="394" t="s">
        <v>151</v>
      </c>
      <c r="B130" s="394" t="s">
        <v>1063</v>
      </c>
      <c r="G130" s="394" t="s">
        <v>136</v>
      </c>
      <c r="H130" s="394" t="s">
        <v>135</v>
      </c>
      <c r="I130" s="394" t="s">
        <v>844</v>
      </c>
      <c r="J130" s="396">
        <v>0</v>
      </c>
      <c r="M130" s="394" t="s">
        <v>157</v>
      </c>
      <c r="N130" s="394" t="s">
        <v>158</v>
      </c>
      <c r="O130" s="394" t="s">
        <v>151</v>
      </c>
      <c r="P130" s="394" t="s">
        <v>151</v>
      </c>
      <c r="Q130" s="396">
        <v>0</v>
      </c>
      <c r="R130" s="396">
        <v>0</v>
      </c>
      <c r="U130" s="394" t="s">
        <v>155</v>
      </c>
      <c r="V130" s="394" t="s">
        <v>12</v>
      </c>
    </row>
    <row r="131" spans="1:22" x14ac:dyDescent="0.25">
      <c r="A131" s="394" t="s">
        <v>151</v>
      </c>
      <c r="B131" s="394" t="s">
        <v>1097</v>
      </c>
      <c r="G131" s="394" t="s">
        <v>68</v>
      </c>
      <c r="H131" s="394" t="s">
        <v>67</v>
      </c>
      <c r="I131" s="394" t="s">
        <v>844</v>
      </c>
      <c r="J131" s="396">
        <v>0</v>
      </c>
      <c r="M131" s="394" t="s">
        <v>161</v>
      </c>
      <c r="N131" s="394" t="s">
        <v>162</v>
      </c>
      <c r="O131" s="394" t="s">
        <v>151</v>
      </c>
      <c r="P131" s="394" t="s">
        <v>151</v>
      </c>
      <c r="Q131" s="396">
        <v>0</v>
      </c>
      <c r="R131" s="396">
        <v>0</v>
      </c>
      <c r="U131" s="394" t="s">
        <v>157</v>
      </c>
      <c r="V131" s="394" t="s">
        <v>555</v>
      </c>
    </row>
    <row r="132" spans="1:22" x14ac:dyDescent="0.25">
      <c r="A132" s="394" t="s">
        <v>166</v>
      </c>
      <c r="B132" s="394" t="s">
        <v>167</v>
      </c>
      <c r="G132" s="394" t="s">
        <v>84</v>
      </c>
      <c r="H132" s="394" t="s">
        <v>83</v>
      </c>
      <c r="I132" s="394" t="s">
        <v>844</v>
      </c>
      <c r="J132" s="396">
        <v>0</v>
      </c>
      <c r="M132" s="394" t="s">
        <v>163</v>
      </c>
      <c r="N132" s="394" t="s">
        <v>164</v>
      </c>
      <c r="O132" s="394" t="s">
        <v>151</v>
      </c>
      <c r="P132" s="394" t="s">
        <v>151</v>
      </c>
      <c r="Q132" s="396">
        <v>0</v>
      </c>
      <c r="R132" s="396">
        <v>0</v>
      </c>
      <c r="U132" s="394" t="s">
        <v>161</v>
      </c>
      <c r="V132" s="394" t="s">
        <v>555</v>
      </c>
    </row>
    <row r="133" spans="1:22" x14ac:dyDescent="0.25">
      <c r="A133" s="394" t="s">
        <v>166</v>
      </c>
      <c r="B133" s="394" t="s">
        <v>823</v>
      </c>
      <c r="G133" s="394" t="s">
        <v>86</v>
      </c>
      <c r="H133" s="394" t="s">
        <v>85</v>
      </c>
      <c r="I133" s="394" t="s">
        <v>844</v>
      </c>
      <c r="J133" s="396">
        <v>0</v>
      </c>
      <c r="M133" s="394" t="s">
        <v>362</v>
      </c>
      <c r="N133" s="394" t="s">
        <v>35</v>
      </c>
      <c r="O133" s="394" t="s">
        <v>363</v>
      </c>
      <c r="P133" s="394" t="s">
        <v>363</v>
      </c>
      <c r="Q133" s="396">
        <v>0</v>
      </c>
      <c r="R133" s="396">
        <v>0</v>
      </c>
      <c r="U133" s="394" t="s">
        <v>163</v>
      </c>
      <c r="V133" s="394" t="s">
        <v>555</v>
      </c>
    </row>
    <row r="134" spans="1:22" x14ac:dyDescent="0.25">
      <c r="A134" s="394" t="s">
        <v>166</v>
      </c>
      <c r="B134" s="394" t="s">
        <v>1549</v>
      </c>
      <c r="G134" s="394" t="s">
        <v>100</v>
      </c>
      <c r="H134" s="394" t="s">
        <v>99</v>
      </c>
      <c r="I134" s="394" t="s">
        <v>501</v>
      </c>
      <c r="J134" s="396">
        <v>5</v>
      </c>
      <c r="M134" s="394" t="s">
        <v>303</v>
      </c>
      <c r="N134" s="394" t="s">
        <v>304</v>
      </c>
      <c r="O134" s="394" t="s">
        <v>1184</v>
      </c>
      <c r="P134" s="394" t="s">
        <v>302</v>
      </c>
      <c r="Q134" s="396">
        <v>375</v>
      </c>
      <c r="R134" s="396">
        <v>1691</v>
      </c>
      <c r="U134" s="394" t="s">
        <v>362</v>
      </c>
      <c r="V134" s="394" t="s">
        <v>555</v>
      </c>
    </row>
    <row r="135" spans="1:22" x14ac:dyDescent="0.25">
      <c r="A135" s="394" t="s">
        <v>173</v>
      </c>
      <c r="B135" s="394" t="s">
        <v>174</v>
      </c>
      <c r="G135" s="394" t="s">
        <v>104</v>
      </c>
      <c r="H135" s="394" t="s">
        <v>103</v>
      </c>
      <c r="I135" s="394" t="s">
        <v>844</v>
      </c>
      <c r="J135" s="396">
        <v>0</v>
      </c>
      <c r="M135" s="394" t="s">
        <v>87</v>
      </c>
      <c r="N135" s="394" t="s">
        <v>88</v>
      </c>
      <c r="O135" s="394" t="s">
        <v>528</v>
      </c>
      <c r="P135" s="394" t="s">
        <v>528</v>
      </c>
      <c r="Q135" s="396">
        <v>14</v>
      </c>
      <c r="R135" s="396">
        <v>46</v>
      </c>
      <c r="U135" s="394" t="s">
        <v>303</v>
      </c>
      <c r="V135" s="394" t="s">
        <v>12</v>
      </c>
    </row>
    <row r="136" spans="1:22" x14ac:dyDescent="0.25">
      <c r="A136" s="394" t="s">
        <v>173</v>
      </c>
      <c r="B136" s="394" t="s">
        <v>176</v>
      </c>
      <c r="G136" s="394" t="s">
        <v>98</v>
      </c>
      <c r="H136" s="394" t="s">
        <v>97</v>
      </c>
      <c r="I136" s="394" t="s">
        <v>844</v>
      </c>
      <c r="J136" s="396">
        <v>0</v>
      </c>
      <c r="M136" s="394" t="s">
        <v>339</v>
      </c>
      <c r="N136" s="394" t="s">
        <v>340</v>
      </c>
      <c r="O136" s="394" t="s">
        <v>310</v>
      </c>
      <c r="P136" s="394" t="s">
        <v>310</v>
      </c>
      <c r="Q136" s="396">
        <v>355</v>
      </c>
      <c r="R136" s="396">
        <v>4450</v>
      </c>
      <c r="U136" s="394" t="s">
        <v>87</v>
      </c>
      <c r="V136" s="394" t="s">
        <v>555</v>
      </c>
    </row>
    <row r="137" spans="1:22" x14ac:dyDescent="0.25">
      <c r="A137" s="394" t="s">
        <v>173</v>
      </c>
      <c r="B137" s="394" t="s">
        <v>178</v>
      </c>
      <c r="G137" s="394" t="s">
        <v>368</v>
      </c>
      <c r="H137" s="394" t="s">
        <v>385</v>
      </c>
      <c r="I137" s="394" t="s">
        <v>501</v>
      </c>
      <c r="J137" s="396">
        <v>69</v>
      </c>
      <c r="M137" s="394" t="s">
        <v>286</v>
      </c>
      <c r="N137" s="394" t="s">
        <v>287</v>
      </c>
      <c r="O137" s="394" t="s">
        <v>1184</v>
      </c>
      <c r="P137" s="394" t="s">
        <v>180</v>
      </c>
      <c r="Q137" s="396">
        <v>19</v>
      </c>
      <c r="R137" s="396">
        <v>100</v>
      </c>
      <c r="U137" s="394" t="s">
        <v>339</v>
      </c>
      <c r="V137" s="394" t="s">
        <v>1238</v>
      </c>
    </row>
    <row r="138" spans="1:22" x14ac:dyDescent="0.25">
      <c r="A138" s="394" t="s">
        <v>173</v>
      </c>
      <c r="B138" s="394" t="s">
        <v>1281</v>
      </c>
      <c r="G138" s="394" t="s">
        <v>1160</v>
      </c>
      <c r="H138" s="394" t="s">
        <v>1162</v>
      </c>
      <c r="I138" s="394" t="s">
        <v>501</v>
      </c>
      <c r="J138" s="396">
        <v>15</v>
      </c>
      <c r="M138" s="394" t="s">
        <v>9</v>
      </c>
      <c r="N138" s="394" t="s">
        <v>10</v>
      </c>
      <c r="O138" s="394" t="s">
        <v>5</v>
      </c>
      <c r="P138" s="394" t="s">
        <v>5</v>
      </c>
      <c r="Q138" s="396">
        <v>0</v>
      </c>
      <c r="R138" s="396">
        <v>0</v>
      </c>
      <c r="U138" s="394" t="s">
        <v>286</v>
      </c>
      <c r="V138" s="394" t="s">
        <v>555</v>
      </c>
    </row>
    <row r="139" spans="1:22" x14ac:dyDescent="0.25">
      <c r="A139" s="394" t="s">
        <v>173</v>
      </c>
      <c r="B139" s="394" t="s">
        <v>1280</v>
      </c>
      <c r="G139" s="394" t="s">
        <v>1249</v>
      </c>
      <c r="H139" s="394" t="s">
        <v>359</v>
      </c>
      <c r="I139" s="394" t="s">
        <v>844</v>
      </c>
      <c r="J139" s="396">
        <v>0</v>
      </c>
      <c r="M139" s="394" t="s">
        <v>354</v>
      </c>
      <c r="N139" s="394" t="s">
        <v>355</v>
      </c>
      <c r="O139" s="394" t="s">
        <v>310</v>
      </c>
      <c r="P139" s="394" t="s">
        <v>310</v>
      </c>
      <c r="Q139" s="396">
        <v>98</v>
      </c>
      <c r="R139" s="396">
        <v>554</v>
      </c>
      <c r="U139" s="394" t="s">
        <v>9</v>
      </c>
      <c r="V139" s="394" t="s">
        <v>12</v>
      </c>
    </row>
    <row r="140" spans="1:22" x14ac:dyDescent="0.25">
      <c r="A140" s="394" t="s">
        <v>173</v>
      </c>
      <c r="B140" s="394" t="s">
        <v>1271</v>
      </c>
      <c r="G140" s="394" t="s">
        <v>209</v>
      </c>
      <c r="H140" s="394" t="s">
        <v>208</v>
      </c>
      <c r="I140" s="394" t="s">
        <v>501</v>
      </c>
      <c r="J140" s="396">
        <v>226</v>
      </c>
      <c r="M140" s="394" t="s">
        <v>272</v>
      </c>
      <c r="N140" s="394" t="s">
        <v>273</v>
      </c>
      <c r="O140" s="394" t="s">
        <v>237</v>
      </c>
      <c r="P140" s="394" t="s">
        <v>237</v>
      </c>
      <c r="Q140" s="396">
        <v>44</v>
      </c>
      <c r="R140" s="396">
        <v>274</v>
      </c>
      <c r="U140" s="394" t="s">
        <v>354</v>
      </c>
      <c r="V140" s="394" t="s">
        <v>555</v>
      </c>
    </row>
    <row r="141" spans="1:22" x14ac:dyDescent="0.25">
      <c r="A141" s="394" t="s">
        <v>180</v>
      </c>
      <c r="B141" s="394" t="s">
        <v>183</v>
      </c>
      <c r="G141" s="394" t="s">
        <v>211</v>
      </c>
      <c r="H141" s="394" t="s">
        <v>210</v>
      </c>
      <c r="I141" s="394" t="s">
        <v>844</v>
      </c>
      <c r="J141" s="396"/>
      <c r="M141" s="394" t="s">
        <v>11</v>
      </c>
      <c r="N141" s="394" t="s">
        <v>12</v>
      </c>
      <c r="O141" s="394" t="s">
        <v>5</v>
      </c>
      <c r="P141" s="394" t="s">
        <v>5</v>
      </c>
      <c r="Q141" s="396">
        <v>211</v>
      </c>
      <c r="R141" s="396">
        <v>989</v>
      </c>
      <c r="U141" s="394" t="s">
        <v>272</v>
      </c>
      <c r="V141" s="394" t="s">
        <v>555</v>
      </c>
    </row>
    <row r="142" spans="1:22" x14ac:dyDescent="0.25">
      <c r="A142" s="394" t="s">
        <v>180</v>
      </c>
      <c r="B142" s="394" t="s">
        <v>287</v>
      </c>
      <c r="G142" s="394" t="s">
        <v>1537</v>
      </c>
      <c r="H142" s="394" t="s">
        <v>1531</v>
      </c>
      <c r="I142" s="394" t="s">
        <v>501</v>
      </c>
      <c r="J142" s="396">
        <v>61</v>
      </c>
      <c r="M142" s="394" t="s">
        <v>91</v>
      </c>
      <c r="N142" s="394" t="s">
        <v>92</v>
      </c>
      <c r="O142" s="394" t="s">
        <v>528</v>
      </c>
      <c r="P142" s="394" t="s">
        <v>528</v>
      </c>
      <c r="Q142" s="396">
        <v>15</v>
      </c>
      <c r="R142" s="396">
        <v>74</v>
      </c>
      <c r="U142" s="394" t="s">
        <v>11</v>
      </c>
      <c r="V142" s="394" t="s">
        <v>12</v>
      </c>
    </row>
    <row r="143" spans="1:22" x14ac:dyDescent="0.25">
      <c r="A143" s="394" t="s">
        <v>180</v>
      </c>
      <c r="B143" s="394" t="s">
        <v>181</v>
      </c>
      <c r="G143" s="394" t="s">
        <v>1536</v>
      </c>
      <c r="H143" s="394" t="s">
        <v>1530</v>
      </c>
      <c r="I143" s="394" t="s">
        <v>501</v>
      </c>
      <c r="J143" s="396">
        <v>200</v>
      </c>
      <c r="M143" s="394" t="s">
        <v>119</v>
      </c>
      <c r="N143" s="394" t="s">
        <v>120</v>
      </c>
      <c r="O143" s="394" t="s">
        <v>528</v>
      </c>
      <c r="P143" s="394" t="s">
        <v>528</v>
      </c>
      <c r="Q143" s="396">
        <v>77</v>
      </c>
      <c r="R143" s="396">
        <v>411</v>
      </c>
      <c r="U143" s="394" t="s">
        <v>91</v>
      </c>
      <c r="V143" s="394" t="s">
        <v>555</v>
      </c>
    </row>
    <row r="144" spans="1:22" x14ac:dyDescent="0.25">
      <c r="A144" s="394" t="s">
        <v>180</v>
      </c>
      <c r="B144" s="394" t="s">
        <v>1159</v>
      </c>
      <c r="G144" s="394" t="s">
        <v>233</v>
      </c>
      <c r="H144" s="394" t="s">
        <v>232</v>
      </c>
      <c r="I144" s="394" t="s">
        <v>844</v>
      </c>
      <c r="J144" s="396"/>
      <c r="M144" s="394" t="s">
        <v>51</v>
      </c>
      <c r="N144" s="394" t="s">
        <v>52</v>
      </c>
      <c r="O144" s="394" t="s">
        <v>528</v>
      </c>
      <c r="P144" s="394" t="s">
        <v>528</v>
      </c>
      <c r="Q144" s="396">
        <v>35</v>
      </c>
      <c r="R144" s="396">
        <v>226</v>
      </c>
      <c r="U144" s="394" t="s">
        <v>119</v>
      </c>
      <c r="V144" s="394" t="s">
        <v>555</v>
      </c>
    </row>
    <row r="145" spans="1:22" x14ac:dyDescent="0.25">
      <c r="A145" s="394" t="s">
        <v>180</v>
      </c>
      <c r="B145" s="394" t="s">
        <v>1160</v>
      </c>
      <c r="G145" s="394" t="s">
        <v>235</v>
      </c>
      <c r="H145" s="394" t="s">
        <v>234</v>
      </c>
      <c r="I145" s="394" t="s">
        <v>501</v>
      </c>
      <c r="J145" s="396">
        <v>123</v>
      </c>
      <c r="M145" s="394" t="s">
        <v>47</v>
      </c>
      <c r="N145" s="394" t="s">
        <v>48</v>
      </c>
      <c r="O145" s="394" t="s">
        <v>528</v>
      </c>
      <c r="P145" s="394" t="s">
        <v>528</v>
      </c>
      <c r="Q145" s="396">
        <v>0</v>
      </c>
      <c r="R145" s="396">
        <v>0</v>
      </c>
      <c r="U145" s="394" t="s">
        <v>51</v>
      </c>
      <c r="V145" s="394" t="s">
        <v>555</v>
      </c>
    </row>
    <row r="146" spans="1:22" x14ac:dyDescent="0.25">
      <c r="A146" s="394" t="s">
        <v>185</v>
      </c>
      <c r="B146" s="394" t="s">
        <v>192</v>
      </c>
      <c r="G146" s="394" t="s">
        <v>296</v>
      </c>
      <c r="H146" s="394" t="s">
        <v>1540</v>
      </c>
      <c r="I146" s="394" t="s">
        <v>844</v>
      </c>
      <c r="J146" s="396">
        <v>0</v>
      </c>
      <c r="M146" s="394" t="s">
        <v>127</v>
      </c>
      <c r="N146" s="394" t="s">
        <v>128</v>
      </c>
      <c r="O146" s="394" t="s">
        <v>528</v>
      </c>
      <c r="P146" s="394" t="s">
        <v>528</v>
      </c>
      <c r="Q146" s="396">
        <v>0</v>
      </c>
      <c r="R146" s="396">
        <v>0</v>
      </c>
      <c r="U146" s="394" t="s">
        <v>47</v>
      </c>
      <c r="V146" s="394" t="s">
        <v>555</v>
      </c>
    </row>
    <row r="147" spans="1:22" x14ac:dyDescent="0.25">
      <c r="A147" s="394" t="s">
        <v>185</v>
      </c>
      <c r="B147" s="394" t="s">
        <v>12</v>
      </c>
      <c r="G147" s="394" t="s">
        <v>519</v>
      </c>
      <c r="H147" s="394" t="s">
        <v>520</v>
      </c>
      <c r="I147" s="394" t="s">
        <v>844</v>
      </c>
      <c r="J147" s="396">
        <v>0</v>
      </c>
      <c r="M147" s="394" t="s">
        <v>59</v>
      </c>
      <c r="N147" s="394" t="s">
        <v>60</v>
      </c>
      <c r="O147" s="394" t="s">
        <v>528</v>
      </c>
      <c r="P147" s="394" t="s">
        <v>528</v>
      </c>
      <c r="Q147" s="396">
        <v>0</v>
      </c>
      <c r="R147" s="396">
        <v>0</v>
      </c>
      <c r="U147" s="394" t="s">
        <v>127</v>
      </c>
      <c r="V147" s="394" t="s">
        <v>555</v>
      </c>
    </row>
    <row r="148" spans="1:22" x14ac:dyDescent="0.25">
      <c r="A148" s="394" t="s">
        <v>185</v>
      </c>
      <c r="B148" s="394" t="s">
        <v>194</v>
      </c>
      <c r="G148" s="394" t="s">
        <v>1556</v>
      </c>
      <c r="H148" s="394" t="s">
        <v>1534</v>
      </c>
      <c r="I148" s="394" t="s">
        <v>501</v>
      </c>
      <c r="J148" s="396">
        <v>30</v>
      </c>
      <c r="M148" s="394" t="s">
        <v>38</v>
      </c>
      <c r="N148" s="394" t="s">
        <v>39</v>
      </c>
      <c r="O148" s="394" t="s">
        <v>528</v>
      </c>
      <c r="P148" s="394" t="s">
        <v>528</v>
      </c>
      <c r="Q148" s="396">
        <v>0</v>
      </c>
      <c r="R148" s="396">
        <v>0</v>
      </c>
      <c r="U148" s="394" t="s">
        <v>59</v>
      </c>
      <c r="V148" s="394" t="s">
        <v>555</v>
      </c>
    </row>
    <row r="149" spans="1:22" x14ac:dyDescent="0.25">
      <c r="A149" s="394" t="s">
        <v>185</v>
      </c>
      <c r="B149" s="394" t="s">
        <v>522</v>
      </c>
      <c r="G149" s="394" t="s">
        <v>371</v>
      </c>
      <c r="H149" s="394" t="s">
        <v>147</v>
      </c>
      <c r="I149" s="394" t="s">
        <v>501</v>
      </c>
      <c r="J149" s="396">
        <v>62</v>
      </c>
      <c r="M149" s="394" t="s">
        <v>75</v>
      </c>
      <c r="N149" s="394" t="s">
        <v>76</v>
      </c>
      <c r="O149" s="394" t="s">
        <v>528</v>
      </c>
      <c r="P149" s="394" t="s">
        <v>528</v>
      </c>
      <c r="Q149" s="396">
        <v>66</v>
      </c>
      <c r="R149" s="396">
        <v>356</v>
      </c>
      <c r="U149" s="394" t="s">
        <v>38</v>
      </c>
      <c r="V149" s="394" t="s">
        <v>555</v>
      </c>
    </row>
    <row r="150" spans="1:22" x14ac:dyDescent="0.25">
      <c r="A150" s="394" t="s">
        <v>185</v>
      </c>
      <c r="B150" s="394" t="s">
        <v>186</v>
      </c>
      <c r="G150" s="394" t="s">
        <v>1104</v>
      </c>
      <c r="H150" s="394" t="s">
        <v>1103</v>
      </c>
      <c r="I150" s="394" t="s">
        <v>501</v>
      </c>
      <c r="J150" s="396">
        <v>22</v>
      </c>
      <c r="M150" s="394" t="s">
        <v>73</v>
      </c>
      <c r="N150" s="394" t="s">
        <v>74</v>
      </c>
      <c r="O150" s="394" t="s">
        <v>528</v>
      </c>
      <c r="P150" s="394" t="s">
        <v>528</v>
      </c>
      <c r="Q150" s="396">
        <v>0</v>
      </c>
      <c r="R150" s="396">
        <v>0</v>
      </c>
      <c r="U150" s="394" t="s">
        <v>75</v>
      </c>
      <c r="V150" s="394" t="s">
        <v>555</v>
      </c>
    </row>
    <row r="151" spans="1:22" x14ac:dyDescent="0.25">
      <c r="A151" s="394" t="s">
        <v>185</v>
      </c>
      <c r="B151" s="394" t="s">
        <v>223</v>
      </c>
      <c r="G151" s="394" t="s">
        <v>367</v>
      </c>
      <c r="H151" s="394" t="s">
        <v>386</v>
      </c>
      <c r="I151" s="394" t="s">
        <v>844</v>
      </c>
      <c r="J151" s="396">
        <v>0</v>
      </c>
      <c r="M151" s="394" t="s">
        <v>40</v>
      </c>
      <c r="N151" s="394" t="s">
        <v>41</v>
      </c>
      <c r="O151" s="394" t="s">
        <v>528</v>
      </c>
      <c r="P151" s="394" t="s">
        <v>528</v>
      </c>
      <c r="Q151" s="396">
        <v>67</v>
      </c>
      <c r="R151" s="396">
        <v>350</v>
      </c>
      <c r="U151" s="394" t="s">
        <v>73</v>
      </c>
      <c r="V151" s="394" t="s">
        <v>555</v>
      </c>
    </row>
    <row r="152" spans="1:22" x14ac:dyDescent="0.25">
      <c r="A152" s="394" t="s">
        <v>185</v>
      </c>
      <c r="B152" s="394" t="s">
        <v>190</v>
      </c>
      <c r="G152" s="394" t="s">
        <v>142</v>
      </c>
      <c r="H152" s="394" t="s">
        <v>141</v>
      </c>
      <c r="I152" s="394" t="s">
        <v>844</v>
      </c>
      <c r="J152" s="396">
        <v>0</v>
      </c>
      <c r="M152" s="394" t="s">
        <v>141</v>
      </c>
      <c r="N152" s="394" t="s">
        <v>142</v>
      </c>
      <c r="O152" s="394" t="s">
        <v>528</v>
      </c>
      <c r="P152" s="394" t="s">
        <v>528</v>
      </c>
      <c r="Q152" s="396">
        <v>0</v>
      </c>
      <c r="R152" s="396">
        <v>0</v>
      </c>
      <c r="U152" s="394" t="s">
        <v>40</v>
      </c>
      <c r="V152" s="394" t="s">
        <v>555</v>
      </c>
    </row>
    <row r="153" spans="1:22" x14ac:dyDescent="0.25">
      <c r="A153" s="394" t="s">
        <v>185</v>
      </c>
      <c r="B153" s="394" t="s">
        <v>200</v>
      </c>
      <c r="G153" s="394" t="s">
        <v>1055</v>
      </c>
      <c r="H153" s="394" t="s">
        <v>1056</v>
      </c>
      <c r="I153" s="394" t="s">
        <v>501</v>
      </c>
      <c r="J153" s="396">
        <v>52</v>
      </c>
      <c r="M153" s="394" t="s">
        <v>97</v>
      </c>
      <c r="N153" s="394" t="s">
        <v>98</v>
      </c>
      <c r="O153" s="394" t="s">
        <v>528</v>
      </c>
      <c r="P153" s="394" t="s">
        <v>528</v>
      </c>
      <c r="Q153" s="396">
        <v>0</v>
      </c>
      <c r="R153" s="396">
        <v>0</v>
      </c>
      <c r="U153" s="394" t="s">
        <v>141</v>
      </c>
      <c r="V153" s="394" t="s">
        <v>555</v>
      </c>
    </row>
    <row r="154" spans="1:22" x14ac:dyDescent="0.25">
      <c r="A154" s="394" t="s">
        <v>185</v>
      </c>
      <c r="B154" s="394" t="s">
        <v>202</v>
      </c>
      <c r="G154" s="394" t="s">
        <v>1065</v>
      </c>
      <c r="H154" s="394" t="s">
        <v>1066</v>
      </c>
      <c r="I154" s="394" t="s">
        <v>501</v>
      </c>
      <c r="J154" s="396">
        <v>26</v>
      </c>
      <c r="M154" s="394" t="s">
        <v>61</v>
      </c>
      <c r="N154" s="394" t="s">
        <v>62</v>
      </c>
      <c r="O154" s="394" t="s">
        <v>528</v>
      </c>
      <c r="P154" s="394" t="s">
        <v>528</v>
      </c>
      <c r="Q154" s="396">
        <v>73</v>
      </c>
      <c r="R154" s="396">
        <v>350</v>
      </c>
      <c r="U154" s="394" t="s">
        <v>97</v>
      </c>
      <c r="V154" s="394" t="s">
        <v>555</v>
      </c>
    </row>
    <row r="155" spans="1:22" x14ac:dyDescent="0.25">
      <c r="A155" s="394" t="s">
        <v>185</v>
      </c>
      <c r="B155" s="394" t="s">
        <v>204</v>
      </c>
      <c r="G155" s="394" t="s">
        <v>8</v>
      </c>
      <c r="H155" s="394" t="s">
        <v>7</v>
      </c>
      <c r="I155" s="394" t="s">
        <v>501</v>
      </c>
      <c r="J155" s="396">
        <v>14</v>
      </c>
      <c r="M155" s="394" t="s">
        <v>77</v>
      </c>
      <c r="N155" s="394" t="s">
        <v>78</v>
      </c>
      <c r="O155" s="394" t="s">
        <v>528</v>
      </c>
      <c r="P155" s="394" t="s">
        <v>528</v>
      </c>
      <c r="Q155" s="396">
        <v>0</v>
      </c>
      <c r="R155" s="396">
        <v>0</v>
      </c>
      <c r="U155" s="394" t="s">
        <v>61</v>
      </c>
      <c r="V155" s="394" t="s">
        <v>555</v>
      </c>
    </row>
    <row r="156" spans="1:22" x14ac:dyDescent="0.25">
      <c r="A156" s="394" t="s">
        <v>185</v>
      </c>
      <c r="B156" s="394" t="s">
        <v>205</v>
      </c>
      <c r="G156" s="394" t="s">
        <v>267</v>
      </c>
      <c r="H156" s="394" t="s">
        <v>266</v>
      </c>
      <c r="I156" s="394" t="s">
        <v>844</v>
      </c>
      <c r="J156" s="396">
        <v>0</v>
      </c>
      <c r="M156" s="394" t="s">
        <v>89</v>
      </c>
      <c r="N156" s="394" t="s">
        <v>90</v>
      </c>
      <c r="O156" s="394" t="s">
        <v>528</v>
      </c>
      <c r="P156" s="394" t="s">
        <v>528</v>
      </c>
      <c r="Q156" s="396">
        <v>25</v>
      </c>
      <c r="R156" s="396">
        <v>133</v>
      </c>
      <c r="U156" s="394" t="s">
        <v>77</v>
      </c>
      <c r="V156" s="394" t="s">
        <v>555</v>
      </c>
    </row>
    <row r="157" spans="1:22" x14ac:dyDescent="0.25">
      <c r="A157" s="394" t="s">
        <v>185</v>
      </c>
      <c r="B157" s="394" t="s">
        <v>207</v>
      </c>
      <c r="G157" s="394" t="s">
        <v>213</v>
      </c>
      <c r="H157" s="394" t="s">
        <v>212</v>
      </c>
      <c r="I157" s="394" t="s">
        <v>501</v>
      </c>
      <c r="J157" s="396">
        <v>13</v>
      </c>
      <c r="M157" s="394" t="s">
        <v>117</v>
      </c>
      <c r="N157" s="394" t="s">
        <v>118</v>
      </c>
      <c r="O157" s="394" t="s">
        <v>528</v>
      </c>
      <c r="P157" s="394" t="s">
        <v>528</v>
      </c>
      <c r="Q157" s="396">
        <v>10</v>
      </c>
      <c r="R157" s="396">
        <v>39</v>
      </c>
      <c r="U157" s="394" t="s">
        <v>89</v>
      </c>
      <c r="V157" s="394" t="s">
        <v>555</v>
      </c>
    </row>
    <row r="158" spans="1:22" x14ac:dyDescent="0.25">
      <c r="A158" s="394" t="s">
        <v>185</v>
      </c>
      <c r="B158" s="394" t="s">
        <v>209</v>
      </c>
      <c r="G158" s="394" t="s">
        <v>162</v>
      </c>
      <c r="H158" s="394" t="s">
        <v>161</v>
      </c>
      <c r="I158" s="394" t="s">
        <v>844</v>
      </c>
      <c r="J158" s="396">
        <v>0</v>
      </c>
      <c r="M158" s="394" t="s">
        <v>123</v>
      </c>
      <c r="N158" s="394" t="s">
        <v>124</v>
      </c>
      <c r="O158" s="394" t="s">
        <v>528</v>
      </c>
      <c r="P158" s="394" t="s">
        <v>528</v>
      </c>
      <c r="Q158" s="396">
        <v>8</v>
      </c>
      <c r="R158" s="396">
        <v>40</v>
      </c>
      <c r="U158" s="394" t="s">
        <v>117</v>
      </c>
      <c r="V158" s="394" t="s">
        <v>555</v>
      </c>
    </row>
    <row r="159" spans="1:22" x14ac:dyDescent="0.25">
      <c r="A159" s="394" t="s">
        <v>185</v>
      </c>
      <c r="B159" s="394" t="s">
        <v>211</v>
      </c>
      <c r="G159" s="394" t="s">
        <v>292</v>
      </c>
      <c r="H159" s="394" t="s">
        <v>291</v>
      </c>
      <c r="I159" s="394" t="s">
        <v>501</v>
      </c>
      <c r="J159" s="396">
        <v>70</v>
      </c>
      <c r="M159" s="394" t="s">
        <v>125</v>
      </c>
      <c r="N159" s="394" t="s">
        <v>126</v>
      </c>
      <c r="O159" s="394" t="s">
        <v>528</v>
      </c>
      <c r="P159" s="394" t="s">
        <v>528</v>
      </c>
      <c r="Q159" s="396">
        <v>35</v>
      </c>
      <c r="R159" s="396">
        <v>173</v>
      </c>
      <c r="U159" s="394" t="s">
        <v>123</v>
      </c>
      <c r="V159" s="394" t="s">
        <v>555</v>
      </c>
    </row>
    <row r="160" spans="1:22" x14ac:dyDescent="0.25">
      <c r="A160" s="394" t="s">
        <v>185</v>
      </c>
      <c r="B160" s="394" t="s">
        <v>213</v>
      </c>
      <c r="G160" s="394" t="s">
        <v>290</v>
      </c>
      <c r="H160" s="394" t="s">
        <v>288</v>
      </c>
      <c r="I160" s="394" t="s">
        <v>501</v>
      </c>
      <c r="J160" s="396">
        <v>68</v>
      </c>
      <c r="M160" s="394" t="s">
        <v>63</v>
      </c>
      <c r="N160" s="394" t="s">
        <v>64</v>
      </c>
      <c r="O160" s="394" t="s">
        <v>528</v>
      </c>
      <c r="P160" s="394" t="s">
        <v>528</v>
      </c>
      <c r="Q160" s="396">
        <v>0</v>
      </c>
      <c r="R160" s="396">
        <v>0</v>
      </c>
      <c r="U160" s="394" t="s">
        <v>125</v>
      </c>
      <c r="V160" s="394" t="s">
        <v>555</v>
      </c>
    </row>
    <row r="161" spans="1:22" x14ac:dyDescent="0.25">
      <c r="A161" s="394" t="s">
        <v>185</v>
      </c>
      <c r="B161" s="394" t="s">
        <v>215</v>
      </c>
      <c r="G161" s="394" t="s">
        <v>1057</v>
      </c>
      <c r="H161" s="394" t="s">
        <v>1058</v>
      </c>
      <c r="I161" s="394" t="s">
        <v>501</v>
      </c>
      <c r="J161" s="396">
        <v>35</v>
      </c>
      <c r="M161" s="394" t="s">
        <v>81</v>
      </c>
      <c r="N161" s="394" t="s">
        <v>82</v>
      </c>
      <c r="O161" s="394" t="s">
        <v>528</v>
      </c>
      <c r="P161" s="394" t="s">
        <v>528</v>
      </c>
      <c r="Q161" s="396">
        <v>0</v>
      </c>
      <c r="R161" s="396">
        <v>0</v>
      </c>
      <c r="U161" s="394" t="s">
        <v>63</v>
      </c>
      <c r="V161" s="394" t="s">
        <v>555</v>
      </c>
    </row>
    <row r="162" spans="1:22" x14ac:dyDescent="0.25">
      <c r="A162" s="394" t="s">
        <v>185</v>
      </c>
      <c r="B162" s="394" t="s">
        <v>217</v>
      </c>
      <c r="G162" s="394" t="s">
        <v>374</v>
      </c>
      <c r="H162" s="394" t="s">
        <v>295</v>
      </c>
      <c r="I162" s="394" t="s">
        <v>501</v>
      </c>
      <c r="J162" s="396">
        <v>44</v>
      </c>
      <c r="M162" s="394" t="s">
        <v>57</v>
      </c>
      <c r="N162" s="394" t="s">
        <v>58</v>
      </c>
      <c r="O162" s="394" t="s">
        <v>528</v>
      </c>
      <c r="P162" s="394" t="s">
        <v>528</v>
      </c>
      <c r="Q162" s="396">
        <v>0</v>
      </c>
      <c r="R162" s="396">
        <v>0</v>
      </c>
      <c r="U162" s="394" t="s">
        <v>81</v>
      </c>
      <c r="V162" s="394" t="s">
        <v>555</v>
      </c>
    </row>
    <row r="163" spans="1:22" x14ac:dyDescent="0.25">
      <c r="A163" s="394" t="s">
        <v>185</v>
      </c>
      <c r="B163" s="394" t="s">
        <v>229</v>
      </c>
      <c r="G163" s="394" t="s">
        <v>375</v>
      </c>
      <c r="H163" s="394" t="s">
        <v>389</v>
      </c>
      <c r="I163" s="394" t="s">
        <v>844</v>
      </c>
      <c r="J163" s="396">
        <v>0</v>
      </c>
      <c r="M163" s="394" t="s">
        <v>55</v>
      </c>
      <c r="N163" s="394" t="s">
        <v>56</v>
      </c>
      <c r="O163" s="394" t="s">
        <v>528</v>
      </c>
      <c r="P163" s="394" t="s">
        <v>528</v>
      </c>
      <c r="Q163" s="396">
        <v>0</v>
      </c>
      <c r="R163" s="396">
        <v>0</v>
      </c>
      <c r="U163" s="394" t="s">
        <v>57</v>
      </c>
      <c r="V163" s="394" t="s">
        <v>555</v>
      </c>
    </row>
    <row r="164" spans="1:22" x14ac:dyDescent="0.25">
      <c r="A164" s="394" t="s">
        <v>185</v>
      </c>
      <c r="B164" s="394" t="s">
        <v>219</v>
      </c>
      <c r="G164" s="394" t="s">
        <v>294</v>
      </c>
      <c r="H164" s="394" t="s">
        <v>293</v>
      </c>
      <c r="I164" s="394" t="s">
        <v>844</v>
      </c>
      <c r="J164" s="396">
        <v>0</v>
      </c>
      <c r="M164" s="394" t="s">
        <v>42</v>
      </c>
      <c r="N164" s="394" t="s">
        <v>43</v>
      </c>
      <c r="O164" s="394" t="s">
        <v>528</v>
      </c>
      <c r="P164" s="394" t="s">
        <v>528</v>
      </c>
      <c r="Q164" s="396">
        <v>14</v>
      </c>
      <c r="R164" s="396">
        <v>83</v>
      </c>
      <c r="U164" s="394" t="s">
        <v>55</v>
      </c>
      <c r="V164" s="394" t="s">
        <v>555</v>
      </c>
    </row>
    <row r="165" spans="1:22" x14ac:dyDescent="0.25">
      <c r="A165" s="394" t="s">
        <v>185</v>
      </c>
      <c r="B165" s="394" t="s">
        <v>221</v>
      </c>
      <c r="G165" s="394" t="s">
        <v>361</v>
      </c>
      <c r="H165" s="394" t="s">
        <v>838</v>
      </c>
      <c r="I165" s="394" t="s">
        <v>844</v>
      </c>
      <c r="J165" s="396"/>
      <c r="M165" s="394" t="s">
        <v>45</v>
      </c>
      <c r="N165" s="394" t="s">
        <v>44</v>
      </c>
      <c r="O165" s="394" t="s">
        <v>528</v>
      </c>
      <c r="P165" s="394" t="s">
        <v>528</v>
      </c>
      <c r="Q165" s="396">
        <v>8</v>
      </c>
      <c r="R165" s="396">
        <v>46</v>
      </c>
      <c r="U165" s="394" t="s">
        <v>42</v>
      </c>
      <c r="V165" s="394" t="s">
        <v>555</v>
      </c>
    </row>
    <row r="166" spans="1:22" x14ac:dyDescent="0.25">
      <c r="A166" s="394" t="s">
        <v>185</v>
      </c>
      <c r="B166" s="394" t="s">
        <v>225</v>
      </c>
      <c r="G166" s="394" t="s">
        <v>171</v>
      </c>
      <c r="H166" s="394" t="s">
        <v>170</v>
      </c>
      <c r="I166" s="394" t="s">
        <v>501</v>
      </c>
      <c r="J166" s="396">
        <v>6</v>
      </c>
      <c r="M166" s="394" t="s">
        <v>46</v>
      </c>
      <c r="N166" s="394" t="s">
        <v>612</v>
      </c>
      <c r="O166" s="394" t="s">
        <v>528</v>
      </c>
      <c r="P166" s="394" t="s">
        <v>528</v>
      </c>
      <c r="Q166" s="396">
        <v>17</v>
      </c>
      <c r="R166" s="396">
        <v>64</v>
      </c>
      <c r="U166" s="394" t="s">
        <v>45</v>
      </c>
      <c r="V166" s="394" t="s">
        <v>555</v>
      </c>
    </row>
    <row r="167" spans="1:22" x14ac:dyDescent="0.25">
      <c r="A167" s="394" t="s">
        <v>185</v>
      </c>
      <c r="B167" s="394" t="s">
        <v>227</v>
      </c>
      <c r="G167" s="394" t="s">
        <v>149</v>
      </c>
      <c r="H167" s="394" t="s">
        <v>148</v>
      </c>
      <c r="I167" s="394" t="s">
        <v>501</v>
      </c>
      <c r="J167" s="396">
        <v>62</v>
      </c>
      <c r="M167" s="394" t="s">
        <v>376</v>
      </c>
      <c r="N167" s="394" t="s">
        <v>366</v>
      </c>
      <c r="O167" s="394" t="s">
        <v>5</v>
      </c>
      <c r="P167" s="394" t="s">
        <v>5</v>
      </c>
      <c r="Q167" s="396">
        <v>150</v>
      </c>
      <c r="R167" s="396">
        <v>761</v>
      </c>
      <c r="U167" s="394" t="s">
        <v>46</v>
      </c>
      <c r="V167" s="394" t="s">
        <v>555</v>
      </c>
    </row>
    <row r="168" spans="1:22" x14ac:dyDescent="0.25">
      <c r="A168" s="394" t="s">
        <v>185</v>
      </c>
      <c r="B168" s="394" t="s">
        <v>1317</v>
      </c>
      <c r="G168" s="394" t="s">
        <v>1538</v>
      </c>
      <c r="H168" s="394" t="s">
        <v>1532</v>
      </c>
      <c r="I168" s="394" t="s">
        <v>501</v>
      </c>
      <c r="J168" s="396">
        <v>176</v>
      </c>
      <c r="M168" s="394" t="s">
        <v>377</v>
      </c>
      <c r="N168" s="394" t="s">
        <v>513</v>
      </c>
      <c r="O168" s="394" t="s">
        <v>5</v>
      </c>
      <c r="P168" s="394" t="s">
        <v>5</v>
      </c>
      <c r="Q168" s="396">
        <v>12</v>
      </c>
      <c r="R168" s="396">
        <v>55</v>
      </c>
      <c r="U168" s="394" t="s">
        <v>376</v>
      </c>
      <c r="V168" s="394" t="s">
        <v>555</v>
      </c>
    </row>
    <row r="169" spans="1:22" x14ac:dyDescent="0.25">
      <c r="A169" s="394" t="s">
        <v>230</v>
      </c>
      <c r="B169" s="394" t="s">
        <v>169</v>
      </c>
      <c r="G169" s="394" t="s">
        <v>866</v>
      </c>
      <c r="H169" s="394" t="s">
        <v>521</v>
      </c>
      <c r="I169" s="394" t="s">
        <v>844</v>
      </c>
      <c r="J169" s="396">
        <v>0</v>
      </c>
      <c r="M169" s="394" t="s">
        <v>378</v>
      </c>
      <c r="N169" s="394" t="s">
        <v>365</v>
      </c>
      <c r="O169" s="394" t="s">
        <v>27</v>
      </c>
      <c r="P169" s="394" t="s">
        <v>27</v>
      </c>
      <c r="Q169" s="396">
        <v>143</v>
      </c>
      <c r="R169" s="396">
        <v>638</v>
      </c>
      <c r="U169" s="394" t="s">
        <v>377</v>
      </c>
      <c r="V169" s="394" t="s">
        <v>555</v>
      </c>
    </row>
    <row r="170" spans="1:22" x14ac:dyDescent="0.25">
      <c r="A170" s="394" t="s">
        <v>230</v>
      </c>
      <c r="B170" s="394" t="s">
        <v>231</v>
      </c>
      <c r="G170" s="394" t="s">
        <v>867</v>
      </c>
      <c r="H170" s="394" t="s">
        <v>868</v>
      </c>
      <c r="I170" s="394" t="s">
        <v>844</v>
      </c>
      <c r="J170" s="396">
        <v>0</v>
      </c>
      <c r="M170" s="394" t="s">
        <v>390</v>
      </c>
      <c r="N170" s="394" t="s">
        <v>12</v>
      </c>
      <c r="O170" s="394" t="s">
        <v>151</v>
      </c>
      <c r="P170" s="394" t="s">
        <v>151</v>
      </c>
      <c r="Q170" s="396">
        <v>76</v>
      </c>
      <c r="R170" s="396">
        <v>256</v>
      </c>
      <c r="U170" s="394" t="s">
        <v>378</v>
      </c>
      <c r="V170" s="394" t="s">
        <v>555</v>
      </c>
    </row>
    <row r="171" spans="1:22" x14ac:dyDescent="0.25">
      <c r="A171" s="394" t="s">
        <v>230</v>
      </c>
      <c r="B171" s="394" t="s">
        <v>233</v>
      </c>
      <c r="G171" s="394" t="s">
        <v>164</v>
      </c>
      <c r="H171" s="394" t="s">
        <v>163</v>
      </c>
      <c r="I171" s="394" t="s">
        <v>844</v>
      </c>
      <c r="J171" s="396">
        <v>0</v>
      </c>
      <c r="M171" s="394" t="s">
        <v>391</v>
      </c>
      <c r="N171" s="394" t="s">
        <v>12</v>
      </c>
      <c r="O171" s="394" t="s">
        <v>185</v>
      </c>
      <c r="P171" s="394" t="s">
        <v>185</v>
      </c>
      <c r="Q171" s="396">
        <v>320</v>
      </c>
      <c r="R171" s="396">
        <v>1125</v>
      </c>
      <c r="U171" s="394" t="s">
        <v>390</v>
      </c>
      <c r="V171" s="394" t="s">
        <v>12</v>
      </c>
    </row>
    <row r="172" spans="1:22" x14ac:dyDescent="0.25">
      <c r="A172" s="394" t="s">
        <v>230</v>
      </c>
      <c r="B172" s="394" t="s">
        <v>235</v>
      </c>
      <c r="G172" s="394" t="s">
        <v>612</v>
      </c>
      <c r="H172" s="394" t="s">
        <v>46</v>
      </c>
      <c r="I172" s="394" t="s">
        <v>501</v>
      </c>
      <c r="J172" s="396">
        <v>17</v>
      </c>
      <c r="M172" s="394" t="s">
        <v>392</v>
      </c>
      <c r="N172" s="394" t="s">
        <v>205</v>
      </c>
      <c r="O172" s="394" t="s">
        <v>185</v>
      </c>
      <c r="P172" s="394" t="s">
        <v>185</v>
      </c>
      <c r="Q172" s="396"/>
      <c r="R172" s="396"/>
      <c r="U172" s="394" t="s">
        <v>391</v>
      </c>
      <c r="V172" s="394" t="s">
        <v>12</v>
      </c>
    </row>
    <row r="173" spans="1:22" x14ac:dyDescent="0.25">
      <c r="A173" s="394" t="s">
        <v>230</v>
      </c>
      <c r="B173" s="394" t="s">
        <v>361</v>
      </c>
      <c r="G173" s="394" t="s">
        <v>1278</v>
      </c>
      <c r="H173" s="394" t="s">
        <v>1261</v>
      </c>
      <c r="I173" s="394" t="s">
        <v>501</v>
      </c>
      <c r="J173" s="396">
        <v>38</v>
      </c>
      <c r="M173" s="394" t="s">
        <v>393</v>
      </c>
      <c r="N173" s="394" t="s">
        <v>12</v>
      </c>
      <c r="O173" s="394" t="s">
        <v>1184</v>
      </c>
      <c r="P173" s="394" t="s">
        <v>302</v>
      </c>
      <c r="Q173" s="396">
        <v>9</v>
      </c>
      <c r="R173" s="396">
        <v>30</v>
      </c>
      <c r="U173" s="394" t="s">
        <v>392</v>
      </c>
      <c r="V173" s="394" t="s">
        <v>12</v>
      </c>
    </row>
    <row r="174" spans="1:22" x14ac:dyDescent="0.25">
      <c r="A174" s="394" t="s">
        <v>230</v>
      </c>
      <c r="B174" s="394" t="s">
        <v>171</v>
      </c>
      <c r="G174" s="394" t="s">
        <v>822</v>
      </c>
      <c r="H174" s="394" t="s">
        <v>297</v>
      </c>
      <c r="I174" s="394" t="s">
        <v>501</v>
      </c>
      <c r="J174" s="396">
        <v>9</v>
      </c>
      <c r="M174" s="394" t="s">
        <v>523</v>
      </c>
      <c r="N174" s="394" t="s">
        <v>522</v>
      </c>
      <c r="O174" s="394" t="s">
        <v>185</v>
      </c>
      <c r="P174" s="394" t="s">
        <v>185</v>
      </c>
      <c r="Q174" s="396">
        <v>4</v>
      </c>
      <c r="R174" s="396">
        <v>26</v>
      </c>
      <c r="U174" s="394" t="s">
        <v>393</v>
      </c>
      <c r="V174" s="394" t="s">
        <v>12</v>
      </c>
    </row>
    <row r="175" spans="1:22" x14ac:dyDescent="0.25">
      <c r="A175" s="394" t="s">
        <v>230</v>
      </c>
      <c r="B175" s="394" t="s">
        <v>1055</v>
      </c>
      <c r="G175" s="394" t="s">
        <v>594</v>
      </c>
      <c r="H175" s="394" t="s">
        <v>825</v>
      </c>
      <c r="I175" s="394" t="s">
        <v>501</v>
      </c>
      <c r="J175" s="396">
        <v>118</v>
      </c>
      <c r="M175" s="394" t="s">
        <v>516</v>
      </c>
      <c r="N175" s="394" t="s">
        <v>515</v>
      </c>
      <c r="O175" s="394" t="s">
        <v>528</v>
      </c>
      <c r="P175" s="394" t="s">
        <v>528</v>
      </c>
      <c r="Q175" s="396">
        <v>0</v>
      </c>
      <c r="R175" s="396">
        <v>0</v>
      </c>
      <c r="U175" s="394" t="s">
        <v>523</v>
      </c>
      <c r="V175" s="394" t="s">
        <v>12</v>
      </c>
    </row>
    <row r="176" spans="1:22" x14ac:dyDescent="0.25">
      <c r="A176" s="394" t="s">
        <v>230</v>
      </c>
      <c r="B176" s="394" t="s">
        <v>1065</v>
      </c>
      <c r="G176" s="394" t="s">
        <v>1069</v>
      </c>
      <c r="H176" s="394" t="s">
        <v>1062</v>
      </c>
      <c r="I176" s="394" t="s">
        <v>501</v>
      </c>
      <c r="J176" s="396">
        <v>123</v>
      </c>
      <c r="M176" s="394" t="s">
        <v>518</v>
      </c>
      <c r="N176" s="394" t="s">
        <v>517</v>
      </c>
      <c r="O176" s="394" t="s">
        <v>151</v>
      </c>
      <c r="P176" s="394" t="s">
        <v>151</v>
      </c>
      <c r="Q176" s="396">
        <v>0</v>
      </c>
      <c r="R176" s="396">
        <v>0</v>
      </c>
      <c r="U176" s="394" t="s">
        <v>516</v>
      </c>
      <c r="V176" s="394" t="s">
        <v>555</v>
      </c>
    </row>
    <row r="177" spans="1:22" x14ac:dyDescent="0.25">
      <c r="A177" s="394" t="s">
        <v>237</v>
      </c>
      <c r="B177" s="394" t="s">
        <v>243</v>
      </c>
      <c r="G177" s="394" t="s">
        <v>271</v>
      </c>
      <c r="H177" s="394" t="s">
        <v>270</v>
      </c>
      <c r="I177" s="394" t="s">
        <v>501</v>
      </c>
      <c r="J177" s="396">
        <v>68</v>
      </c>
      <c r="M177" s="394" t="s">
        <v>520</v>
      </c>
      <c r="N177" s="394" t="s">
        <v>519</v>
      </c>
      <c r="O177" s="394" t="s">
        <v>151</v>
      </c>
      <c r="P177" s="394" t="s">
        <v>151</v>
      </c>
      <c r="Q177" s="396">
        <v>0</v>
      </c>
      <c r="R177" s="396">
        <v>0</v>
      </c>
      <c r="U177" s="394" t="s">
        <v>518</v>
      </c>
      <c r="V177" s="394" t="s">
        <v>555</v>
      </c>
    </row>
    <row r="178" spans="1:22" x14ac:dyDescent="0.25">
      <c r="A178" s="394" t="s">
        <v>237</v>
      </c>
      <c r="B178" s="394" t="s">
        <v>245</v>
      </c>
      <c r="G178" s="394" t="s">
        <v>20</v>
      </c>
      <c r="H178" s="394" t="s">
        <v>19</v>
      </c>
      <c r="I178" s="394" t="s">
        <v>501</v>
      </c>
      <c r="J178" s="396">
        <v>20</v>
      </c>
      <c r="M178" s="394" t="s">
        <v>521</v>
      </c>
      <c r="N178" s="394" t="s">
        <v>866</v>
      </c>
      <c r="O178" s="394" t="s">
        <v>151</v>
      </c>
      <c r="P178" s="394" t="s">
        <v>151</v>
      </c>
      <c r="Q178" s="396">
        <v>0</v>
      </c>
      <c r="R178" s="396">
        <v>0</v>
      </c>
      <c r="U178" s="394" t="s">
        <v>520</v>
      </c>
      <c r="V178" s="394" t="s">
        <v>555</v>
      </c>
    </row>
    <row r="179" spans="1:22" x14ac:dyDescent="0.25">
      <c r="A179" s="394" t="s">
        <v>237</v>
      </c>
      <c r="B179" s="394" t="s">
        <v>247</v>
      </c>
      <c r="G179" s="394" t="s">
        <v>108</v>
      </c>
      <c r="H179" s="394" t="s">
        <v>107</v>
      </c>
      <c r="I179" s="394" t="s">
        <v>501</v>
      </c>
      <c r="J179" s="396">
        <v>52</v>
      </c>
      <c r="M179" s="394" t="s">
        <v>813</v>
      </c>
      <c r="N179" s="394" t="s">
        <v>809</v>
      </c>
      <c r="O179" s="394" t="s">
        <v>1184</v>
      </c>
      <c r="P179" s="394" t="s">
        <v>809</v>
      </c>
      <c r="Q179" s="396">
        <v>5</v>
      </c>
      <c r="R179" s="396">
        <v>32</v>
      </c>
      <c r="U179" s="394" t="s">
        <v>521</v>
      </c>
      <c r="V179" s="394" t="s">
        <v>555</v>
      </c>
    </row>
    <row r="180" spans="1:22" x14ac:dyDescent="0.25">
      <c r="A180" s="394" t="s">
        <v>237</v>
      </c>
      <c r="B180" s="394" t="s">
        <v>253</v>
      </c>
      <c r="G180" s="394" t="s">
        <v>183</v>
      </c>
      <c r="H180" s="394" t="s">
        <v>182</v>
      </c>
      <c r="I180" s="394" t="s">
        <v>844</v>
      </c>
      <c r="J180" s="396">
        <v>0</v>
      </c>
      <c r="M180" s="394" t="s">
        <v>815</v>
      </c>
      <c r="N180" s="394" t="s">
        <v>814</v>
      </c>
      <c r="O180" s="394" t="s">
        <v>310</v>
      </c>
      <c r="P180" s="394" t="s">
        <v>310</v>
      </c>
      <c r="Q180" s="396"/>
      <c r="R180" s="396">
        <v>1047</v>
      </c>
      <c r="U180" s="394" t="s">
        <v>813</v>
      </c>
      <c r="V180" s="394" t="s">
        <v>555</v>
      </c>
    </row>
    <row r="181" spans="1:22" x14ac:dyDescent="0.25">
      <c r="A181" s="394" t="s">
        <v>237</v>
      </c>
      <c r="B181" s="394" t="s">
        <v>255</v>
      </c>
      <c r="G181" s="394" t="s">
        <v>595</v>
      </c>
      <c r="H181" s="394" t="s">
        <v>839</v>
      </c>
      <c r="I181" s="394" t="s">
        <v>501</v>
      </c>
      <c r="J181" s="396">
        <v>67</v>
      </c>
      <c r="M181" s="394" t="s">
        <v>868</v>
      </c>
      <c r="N181" s="394" t="s">
        <v>867</v>
      </c>
      <c r="O181" s="394" t="s">
        <v>151</v>
      </c>
      <c r="P181" s="394" t="s">
        <v>151</v>
      </c>
      <c r="Q181" s="396">
        <v>0</v>
      </c>
      <c r="R181" s="396">
        <v>0</v>
      </c>
      <c r="U181" s="394" t="s">
        <v>815</v>
      </c>
      <c r="V181" s="394" t="s">
        <v>988</v>
      </c>
    </row>
    <row r="182" spans="1:22" x14ac:dyDescent="0.25">
      <c r="A182" s="394" t="s">
        <v>237</v>
      </c>
      <c r="B182" s="394" t="s">
        <v>257</v>
      </c>
      <c r="G182" s="394" t="s">
        <v>178</v>
      </c>
      <c r="H182" s="394" t="s">
        <v>177</v>
      </c>
      <c r="I182" s="394" t="s">
        <v>501</v>
      </c>
      <c r="J182" s="396">
        <v>12</v>
      </c>
      <c r="M182" s="394" t="s">
        <v>864</v>
      </c>
      <c r="N182" s="394" t="s">
        <v>865</v>
      </c>
      <c r="O182" s="394" t="s">
        <v>27</v>
      </c>
      <c r="P182" s="394" t="s">
        <v>27</v>
      </c>
      <c r="Q182" s="396">
        <v>60</v>
      </c>
      <c r="R182" s="396">
        <v>277</v>
      </c>
      <c r="U182" s="394" t="s">
        <v>868</v>
      </c>
      <c r="V182" s="394" t="s">
        <v>555</v>
      </c>
    </row>
    <row r="183" spans="1:22" x14ac:dyDescent="0.25">
      <c r="A183" s="394" t="s">
        <v>237</v>
      </c>
      <c r="B183" s="394" t="s">
        <v>240</v>
      </c>
      <c r="G183" s="394" t="s">
        <v>892</v>
      </c>
      <c r="H183" s="394" t="s">
        <v>893</v>
      </c>
      <c r="I183" s="394" t="s">
        <v>844</v>
      </c>
      <c r="J183" s="396">
        <v>0</v>
      </c>
      <c r="M183" s="394" t="s">
        <v>856</v>
      </c>
      <c r="N183" s="394" t="s">
        <v>870</v>
      </c>
      <c r="O183" s="394" t="s">
        <v>5</v>
      </c>
      <c r="P183" s="394" t="s">
        <v>5</v>
      </c>
      <c r="Q183" s="396">
        <v>0</v>
      </c>
      <c r="R183" s="396">
        <v>0</v>
      </c>
      <c r="U183" s="394" t="s">
        <v>864</v>
      </c>
      <c r="V183" s="394" t="s">
        <v>555</v>
      </c>
    </row>
    <row r="184" spans="1:22" x14ac:dyDescent="0.25">
      <c r="A184" s="394" t="s">
        <v>237</v>
      </c>
      <c r="B184" s="394" t="s">
        <v>285</v>
      </c>
      <c r="G184" s="394" t="s">
        <v>344</v>
      </c>
      <c r="H184" s="394" t="s">
        <v>343</v>
      </c>
      <c r="I184" s="394" t="s">
        <v>501</v>
      </c>
      <c r="J184" s="396">
        <v>18</v>
      </c>
      <c r="M184" s="394" t="s">
        <v>871</v>
      </c>
      <c r="N184" s="394" t="s">
        <v>877</v>
      </c>
      <c r="O184" s="394" t="s">
        <v>151</v>
      </c>
      <c r="P184" s="394" t="s">
        <v>151</v>
      </c>
      <c r="Q184" s="396">
        <v>0</v>
      </c>
      <c r="R184" s="396">
        <v>0</v>
      </c>
      <c r="U184" s="394" t="s">
        <v>856</v>
      </c>
      <c r="V184" s="394" t="s">
        <v>555</v>
      </c>
    </row>
    <row r="185" spans="1:22" x14ac:dyDescent="0.25">
      <c r="A185" s="394" t="s">
        <v>237</v>
      </c>
      <c r="B185" s="394" t="s">
        <v>259</v>
      </c>
      <c r="G185" s="394" t="s">
        <v>287</v>
      </c>
      <c r="H185" s="394" t="s">
        <v>286</v>
      </c>
      <c r="I185" s="394" t="s">
        <v>501</v>
      </c>
      <c r="J185" s="396">
        <v>19</v>
      </c>
      <c r="M185" s="394" t="s">
        <v>875</v>
      </c>
      <c r="N185" s="394" t="s">
        <v>876</v>
      </c>
      <c r="O185" s="394" t="s">
        <v>151</v>
      </c>
      <c r="P185" s="394" t="s">
        <v>151</v>
      </c>
      <c r="Q185" s="396">
        <v>0</v>
      </c>
      <c r="R185" s="396">
        <v>0</v>
      </c>
      <c r="U185" s="394" t="s">
        <v>871</v>
      </c>
      <c r="V185" s="394" t="s">
        <v>555</v>
      </c>
    </row>
    <row r="186" spans="1:22" x14ac:dyDescent="0.25">
      <c r="A186" s="394" t="s">
        <v>237</v>
      </c>
      <c r="B186" s="394" t="s">
        <v>261</v>
      </c>
      <c r="G186" s="394" t="s">
        <v>1250</v>
      </c>
      <c r="H186" s="394" t="s">
        <v>360</v>
      </c>
      <c r="I186" s="394" t="s">
        <v>844</v>
      </c>
      <c r="J186" s="396">
        <v>0</v>
      </c>
      <c r="M186" s="394" t="s">
        <v>880</v>
      </c>
      <c r="N186" s="394" t="s">
        <v>879</v>
      </c>
      <c r="O186" s="394" t="s">
        <v>151</v>
      </c>
      <c r="P186" s="394" t="s">
        <v>151</v>
      </c>
      <c r="Q186" s="396">
        <v>0</v>
      </c>
      <c r="R186" s="396">
        <v>0</v>
      </c>
      <c r="U186" s="394" t="s">
        <v>875</v>
      </c>
      <c r="V186" s="394" t="s">
        <v>555</v>
      </c>
    </row>
    <row r="187" spans="1:22" x14ac:dyDescent="0.25">
      <c r="A187" s="394" t="s">
        <v>237</v>
      </c>
      <c r="B187" s="394" t="s">
        <v>263</v>
      </c>
      <c r="G187" s="394" t="s">
        <v>1301</v>
      </c>
      <c r="H187" s="394" t="s">
        <v>1302</v>
      </c>
      <c r="I187" s="394" t="s">
        <v>501</v>
      </c>
      <c r="J187" s="396">
        <v>161</v>
      </c>
      <c r="M187" s="394" t="s">
        <v>881</v>
      </c>
      <c r="N187" s="394" t="s">
        <v>883</v>
      </c>
      <c r="O187" s="394" t="s">
        <v>151</v>
      </c>
      <c r="P187" s="394" t="s">
        <v>151</v>
      </c>
      <c r="Q187" s="396">
        <v>0</v>
      </c>
      <c r="R187" s="396">
        <v>0</v>
      </c>
      <c r="U187" s="394" t="s">
        <v>880</v>
      </c>
      <c r="V187" s="394" t="s">
        <v>555</v>
      </c>
    </row>
    <row r="188" spans="1:22" x14ac:dyDescent="0.25">
      <c r="A188" s="394" t="s">
        <v>237</v>
      </c>
      <c r="B188" s="394" t="s">
        <v>265</v>
      </c>
      <c r="G188" s="394" t="s">
        <v>1319</v>
      </c>
      <c r="H188" s="394" t="s">
        <v>1320</v>
      </c>
      <c r="I188" s="394" t="s">
        <v>501</v>
      </c>
      <c r="J188" s="396">
        <v>105</v>
      </c>
      <c r="M188" s="394" t="s">
        <v>882</v>
      </c>
      <c r="N188" s="394" t="s">
        <v>878</v>
      </c>
      <c r="O188" s="394" t="s">
        <v>151</v>
      </c>
      <c r="P188" s="394" t="s">
        <v>151</v>
      </c>
      <c r="Q188" s="396">
        <v>0</v>
      </c>
      <c r="R188" s="396">
        <v>0</v>
      </c>
      <c r="U188" s="394" t="s">
        <v>881</v>
      </c>
      <c r="V188" s="394" t="s">
        <v>555</v>
      </c>
    </row>
    <row r="189" spans="1:22" x14ac:dyDescent="0.25">
      <c r="A189" s="394" t="s">
        <v>237</v>
      </c>
      <c r="B189" s="394" t="s">
        <v>267</v>
      </c>
      <c r="G189" s="394" t="s">
        <v>110</v>
      </c>
      <c r="H189" s="394" t="s">
        <v>109</v>
      </c>
      <c r="I189" s="394" t="s">
        <v>844</v>
      </c>
      <c r="J189" s="396">
        <v>0</v>
      </c>
      <c r="M189" s="394" t="s">
        <v>884</v>
      </c>
      <c r="N189" s="394" t="s">
        <v>885</v>
      </c>
      <c r="O189" s="394" t="s">
        <v>151</v>
      </c>
      <c r="P189" s="394" t="s">
        <v>151</v>
      </c>
      <c r="Q189" s="396">
        <v>0</v>
      </c>
      <c r="R189" s="396">
        <v>0</v>
      </c>
      <c r="U189" s="394" t="s">
        <v>882</v>
      </c>
      <c r="V189" s="394" t="s">
        <v>12</v>
      </c>
    </row>
    <row r="190" spans="1:22" x14ac:dyDescent="0.25">
      <c r="A190" s="394" t="s">
        <v>237</v>
      </c>
      <c r="B190" s="394" t="s">
        <v>271</v>
      </c>
      <c r="G190" s="394" t="s">
        <v>112</v>
      </c>
      <c r="H190" s="394" t="s">
        <v>111</v>
      </c>
      <c r="I190" s="394" t="s">
        <v>844</v>
      </c>
      <c r="J190" s="396">
        <v>0</v>
      </c>
      <c r="M190" s="394" t="s">
        <v>887</v>
      </c>
      <c r="N190" s="394" t="s">
        <v>886</v>
      </c>
      <c r="O190" s="394" t="s">
        <v>151</v>
      </c>
      <c r="P190" s="394" t="s">
        <v>151</v>
      </c>
      <c r="Q190" s="396">
        <v>390</v>
      </c>
      <c r="R190" s="396">
        <v>1672</v>
      </c>
      <c r="U190" s="394" t="s">
        <v>884</v>
      </c>
      <c r="V190" s="394" t="s">
        <v>857</v>
      </c>
    </row>
    <row r="191" spans="1:22" x14ac:dyDescent="0.25">
      <c r="A191" s="394" t="s">
        <v>237</v>
      </c>
      <c r="B191" s="394" t="s">
        <v>269</v>
      </c>
      <c r="G191" s="394" t="s">
        <v>215</v>
      </c>
      <c r="H191" s="394" t="s">
        <v>214</v>
      </c>
      <c r="I191" s="394" t="s">
        <v>501</v>
      </c>
      <c r="J191" s="396">
        <v>375</v>
      </c>
      <c r="M191" s="394" t="s">
        <v>889</v>
      </c>
      <c r="N191" s="394" t="s">
        <v>888</v>
      </c>
      <c r="O191" s="394" t="s">
        <v>151</v>
      </c>
      <c r="P191" s="394" t="s">
        <v>151</v>
      </c>
      <c r="Q191" s="396">
        <v>0</v>
      </c>
      <c r="R191" s="396">
        <v>0</v>
      </c>
      <c r="U191" s="394" t="s">
        <v>887</v>
      </c>
      <c r="V191" s="394" t="s">
        <v>555</v>
      </c>
    </row>
    <row r="192" spans="1:22" x14ac:dyDescent="0.25">
      <c r="A192" s="394" t="s">
        <v>237</v>
      </c>
      <c r="B192" s="394" t="s">
        <v>273</v>
      </c>
      <c r="G192" s="394" t="s">
        <v>217</v>
      </c>
      <c r="H192" s="394" t="s">
        <v>216</v>
      </c>
      <c r="I192" s="394" t="s">
        <v>844</v>
      </c>
      <c r="J192" s="396"/>
      <c r="M192" s="394" t="s">
        <v>893</v>
      </c>
      <c r="N192" s="394" t="s">
        <v>892</v>
      </c>
      <c r="O192" s="394" t="s">
        <v>1184</v>
      </c>
      <c r="P192" s="394" t="s">
        <v>300</v>
      </c>
      <c r="Q192" s="396">
        <v>0</v>
      </c>
      <c r="R192" s="396">
        <v>0</v>
      </c>
      <c r="U192" s="394" t="s">
        <v>889</v>
      </c>
      <c r="V192" s="394" t="s">
        <v>555</v>
      </c>
    </row>
    <row r="193" spans="1:22" x14ac:dyDescent="0.25">
      <c r="A193" s="394" t="s">
        <v>237</v>
      </c>
      <c r="B193" s="394" t="s">
        <v>277</v>
      </c>
      <c r="G193" s="394" t="s">
        <v>269</v>
      </c>
      <c r="H193" s="394" t="s">
        <v>268</v>
      </c>
      <c r="I193" s="394" t="s">
        <v>501</v>
      </c>
      <c r="J193" s="396">
        <v>60</v>
      </c>
      <c r="M193" s="394" t="s">
        <v>897</v>
      </c>
      <c r="N193" s="394" t="s">
        <v>896</v>
      </c>
      <c r="O193" s="394" t="s">
        <v>1184</v>
      </c>
      <c r="P193" s="394" t="s">
        <v>894</v>
      </c>
      <c r="Q193" s="396">
        <v>0</v>
      </c>
      <c r="R193" s="396">
        <v>0</v>
      </c>
      <c r="U193" s="394" t="s">
        <v>893</v>
      </c>
      <c r="V193" s="394" t="s">
        <v>555</v>
      </c>
    </row>
    <row r="194" spans="1:22" x14ac:dyDescent="0.25">
      <c r="A194" s="394" t="s">
        <v>237</v>
      </c>
      <c r="B194" s="394" t="s">
        <v>279</v>
      </c>
      <c r="G194" s="394" t="s">
        <v>229</v>
      </c>
      <c r="H194" s="394" t="s">
        <v>228</v>
      </c>
      <c r="I194" s="394" t="s">
        <v>501</v>
      </c>
      <c r="J194" s="396">
        <v>50</v>
      </c>
      <c r="M194" s="394" t="s">
        <v>898</v>
      </c>
      <c r="N194" s="394" t="s">
        <v>899</v>
      </c>
      <c r="O194" s="394" t="s">
        <v>5</v>
      </c>
      <c r="P194" s="394" t="s">
        <v>5</v>
      </c>
      <c r="Q194" s="396">
        <v>0</v>
      </c>
      <c r="R194" s="396">
        <v>0</v>
      </c>
      <c r="U194" s="394" t="s">
        <v>897</v>
      </c>
      <c r="V194" s="394" t="s">
        <v>555</v>
      </c>
    </row>
    <row r="195" spans="1:22" x14ac:dyDescent="0.25">
      <c r="A195" s="394" t="s">
        <v>237</v>
      </c>
      <c r="B195" s="394" t="s">
        <v>281</v>
      </c>
      <c r="G195" s="394" t="s">
        <v>273</v>
      </c>
      <c r="H195" s="394" t="s">
        <v>272</v>
      </c>
      <c r="I195" s="394" t="s">
        <v>501</v>
      </c>
      <c r="J195" s="396">
        <v>44</v>
      </c>
      <c r="M195" s="394" t="s">
        <v>288</v>
      </c>
      <c r="N195" s="394" t="s">
        <v>290</v>
      </c>
      <c r="O195" s="394" t="s">
        <v>289</v>
      </c>
      <c r="P195" s="394" t="s">
        <v>289</v>
      </c>
      <c r="Q195" s="396">
        <v>68</v>
      </c>
      <c r="R195" s="396">
        <v>380</v>
      </c>
      <c r="U195" s="394" t="s">
        <v>898</v>
      </c>
      <c r="V195" s="394" t="s">
        <v>555</v>
      </c>
    </row>
    <row r="196" spans="1:22" x14ac:dyDescent="0.25">
      <c r="A196" s="394" t="s">
        <v>237</v>
      </c>
      <c r="B196" s="394" t="s">
        <v>238</v>
      </c>
      <c r="G196" s="394" t="s">
        <v>219</v>
      </c>
      <c r="H196" s="394" t="s">
        <v>218</v>
      </c>
      <c r="I196" s="394" t="s">
        <v>501</v>
      </c>
      <c r="J196" s="396">
        <v>677</v>
      </c>
      <c r="M196" s="394" t="s">
        <v>293</v>
      </c>
      <c r="N196" s="394" t="s">
        <v>294</v>
      </c>
      <c r="O196" s="394" t="s">
        <v>289</v>
      </c>
      <c r="P196" s="394" t="s">
        <v>289</v>
      </c>
      <c r="Q196" s="396">
        <v>0</v>
      </c>
      <c r="R196" s="396">
        <v>0</v>
      </c>
      <c r="U196" s="394" t="s">
        <v>943</v>
      </c>
      <c r="V196" s="394" t="s">
        <v>555</v>
      </c>
    </row>
    <row r="197" spans="1:22" x14ac:dyDescent="0.25">
      <c r="A197" s="394" t="s">
        <v>237</v>
      </c>
      <c r="B197" s="394" t="s">
        <v>249</v>
      </c>
      <c r="G197" s="394" t="s">
        <v>1246</v>
      </c>
      <c r="H197" s="394" t="s">
        <v>345</v>
      </c>
      <c r="I197" s="394" t="s">
        <v>501</v>
      </c>
      <c r="J197" s="396">
        <v>177</v>
      </c>
      <c r="M197" s="394" t="s">
        <v>295</v>
      </c>
      <c r="N197" s="394" t="s">
        <v>374</v>
      </c>
      <c r="O197" s="394" t="s">
        <v>289</v>
      </c>
      <c r="P197" s="394" t="s">
        <v>289</v>
      </c>
      <c r="Q197" s="396">
        <v>44</v>
      </c>
      <c r="R197" s="396">
        <v>215</v>
      </c>
      <c r="U197" s="394" t="s">
        <v>1020</v>
      </c>
      <c r="V197" s="394" t="s">
        <v>555</v>
      </c>
    </row>
    <row r="198" spans="1:22" x14ac:dyDescent="0.25">
      <c r="A198" s="394" t="s">
        <v>237</v>
      </c>
      <c r="B198" s="394" t="s">
        <v>251</v>
      </c>
      <c r="G198" s="394" t="s">
        <v>1546</v>
      </c>
      <c r="H198" s="394" t="s">
        <v>1528</v>
      </c>
      <c r="I198" s="394" t="s">
        <v>501</v>
      </c>
      <c r="J198" s="396">
        <v>19</v>
      </c>
      <c r="M198" s="394" t="s">
        <v>291</v>
      </c>
      <c r="N198" s="394" t="s">
        <v>292</v>
      </c>
      <c r="O198" s="394" t="s">
        <v>289</v>
      </c>
      <c r="P198" s="394" t="s">
        <v>289</v>
      </c>
      <c r="Q198" s="396">
        <v>70</v>
      </c>
      <c r="R198" s="396">
        <v>363</v>
      </c>
      <c r="U198" s="394" t="s">
        <v>1022</v>
      </c>
      <c r="V198" s="394" t="s">
        <v>555</v>
      </c>
    </row>
    <row r="199" spans="1:22" x14ac:dyDescent="0.25">
      <c r="A199" s="394" t="s">
        <v>237</v>
      </c>
      <c r="B199" s="394" t="s">
        <v>275</v>
      </c>
      <c r="G199" s="394" t="s">
        <v>865</v>
      </c>
      <c r="H199" s="394" t="s">
        <v>864</v>
      </c>
      <c r="I199" s="394" t="s">
        <v>501</v>
      </c>
      <c r="J199" s="396">
        <v>60</v>
      </c>
      <c r="M199" s="394" t="s">
        <v>234</v>
      </c>
      <c r="N199" s="394" t="s">
        <v>235</v>
      </c>
      <c r="O199" s="394" t="s">
        <v>1184</v>
      </c>
      <c r="P199" s="394" t="s">
        <v>230</v>
      </c>
      <c r="Q199" s="396">
        <v>123</v>
      </c>
      <c r="R199" s="396">
        <v>503</v>
      </c>
      <c r="U199" s="394" t="s">
        <v>1037</v>
      </c>
      <c r="V199" s="394" t="s">
        <v>555</v>
      </c>
    </row>
    <row r="200" spans="1:22" x14ac:dyDescent="0.25">
      <c r="A200" s="394" t="s">
        <v>237</v>
      </c>
      <c r="B200" s="394" t="s">
        <v>283</v>
      </c>
      <c r="G200" s="394" t="s">
        <v>114</v>
      </c>
      <c r="H200" s="394" t="s">
        <v>113</v>
      </c>
      <c r="I200" s="394" t="s">
        <v>844</v>
      </c>
      <c r="J200" s="396">
        <v>0</v>
      </c>
      <c r="M200" s="394" t="s">
        <v>147</v>
      </c>
      <c r="N200" s="394" t="s">
        <v>371</v>
      </c>
      <c r="O200" s="394" t="s">
        <v>146</v>
      </c>
      <c r="P200" s="394" t="s">
        <v>146</v>
      </c>
      <c r="Q200" s="396">
        <v>62</v>
      </c>
      <c r="R200" s="396">
        <v>281</v>
      </c>
      <c r="U200" s="394" t="s">
        <v>1045</v>
      </c>
      <c r="V200" s="394" t="s">
        <v>12</v>
      </c>
    </row>
    <row r="201" spans="1:22" x14ac:dyDescent="0.25">
      <c r="A201" s="394" t="s">
        <v>237</v>
      </c>
      <c r="B201" s="394" t="s">
        <v>1247</v>
      </c>
      <c r="G201" s="394" t="s">
        <v>366</v>
      </c>
      <c r="H201" s="394" t="s">
        <v>376</v>
      </c>
      <c r="I201" s="394" t="s">
        <v>501</v>
      </c>
      <c r="J201" s="396">
        <v>150</v>
      </c>
      <c r="M201" s="394" t="s">
        <v>148</v>
      </c>
      <c r="N201" s="394" t="s">
        <v>149</v>
      </c>
      <c r="O201" s="394" t="s">
        <v>146</v>
      </c>
      <c r="P201" s="394" t="s">
        <v>146</v>
      </c>
      <c r="Q201" s="396">
        <v>62</v>
      </c>
      <c r="R201" s="396">
        <v>281</v>
      </c>
      <c r="U201" s="394" t="s">
        <v>1064</v>
      </c>
      <c r="V201" s="394" t="s">
        <v>555</v>
      </c>
    </row>
    <row r="202" spans="1:22" x14ac:dyDescent="0.25">
      <c r="A202" s="394" t="s">
        <v>289</v>
      </c>
      <c r="B202" s="394" t="s">
        <v>292</v>
      </c>
      <c r="G202" s="394" t="s">
        <v>221</v>
      </c>
      <c r="H202" s="394" t="s">
        <v>220</v>
      </c>
      <c r="I202" s="394" t="s">
        <v>501</v>
      </c>
      <c r="J202" s="396">
        <v>39</v>
      </c>
      <c r="M202" s="394" t="s">
        <v>165</v>
      </c>
      <c r="N202" s="394" t="s">
        <v>167</v>
      </c>
      <c r="O202" s="394" t="s">
        <v>1184</v>
      </c>
      <c r="P202" s="394" t="s">
        <v>166</v>
      </c>
      <c r="Q202" s="396">
        <v>37</v>
      </c>
      <c r="R202" s="396">
        <v>159</v>
      </c>
      <c r="U202" s="394" t="s">
        <v>1068</v>
      </c>
      <c r="V202" s="394" t="s">
        <v>555</v>
      </c>
    </row>
    <row r="203" spans="1:22" x14ac:dyDescent="0.25">
      <c r="A203" s="394" t="s">
        <v>289</v>
      </c>
      <c r="B203" s="394" t="s">
        <v>290</v>
      </c>
      <c r="G203" s="394" t="s">
        <v>355</v>
      </c>
      <c r="H203" s="394" t="s">
        <v>354</v>
      </c>
      <c r="I203" s="394" t="s">
        <v>501</v>
      </c>
      <c r="J203" s="396">
        <v>98</v>
      </c>
      <c r="M203" s="394" t="s">
        <v>168</v>
      </c>
      <c r="N203" s="394" t="s">
        <v>169</v>
      </c>
      <c r="O203" s="394" t="s">
        <v>1184</v>
      </c>
      <c r="P203" s="394" t="s">
        <v>230</v>
      </c>
      <c r="Q203" s="396">
        <v>32</v>
      </c>
      <c r="R203" s="396"/>
      <c r="U203" s="394" t="s">
        <v>288</v>
      </c>
      <c r="V203" s="394" t="s">
        <v>555</v>
      </c>
    </row>
    <row r="204" spans="1:22" x14ac:dyDescent="0.25">
      <c r="A204" s="394" t="s">
        <v>289</v>
      </c>
      <c r="B204" s="394" t="s">
        <v>374</v>
      </c>
      <c r="G204" s="394" t="s">
        <v>318</v>
      </c>
      <c r="H204" s="394" t="s">
        <v>317</v>
      </c>
      <c r="I204" s="394" t="s">
        <v>501</v>
      </c>
      <c r="J204" s="396">
        <v>91</v>
      </c>
      <c r="M204" s="394" t="s">
        <v>170</v>
      </c>
      <c r="N204" s="394" t="s">
        <v>171</v>
      </c>
      <c r="O204" s="394" t="s">
        <v>1184</v>
      </c>
      <c r="P204" s="394" t="s">
        <v>230</v>
      </c>
      <c r="Q204" s="396">
        <v>6</v>
      </c>
      <c r="R204" s="396"/>
      <c r="U204" s="394" t="s">
        <v>293</v>
      </c>
      <c r="V204" s="394" t="s">
        <v>555</v>
      </c>
    </row>
    <row r="205" spans="1:22" x14ac:dyDescent="0.25">
      <c r="A205" s="394" t="s">
        <v>289</v>
      </c>
      <c r="B205" s="394" t="s">
        <v>375</v>
      </c>
      <c r="G205" s="394" t="s">
        <v>342</v>
      </c>
      <c r="H205" s="394" t="s">
        <v>341</v>
      </c>
      <c r="I205" s="394" t="s">
        <v>501</v>
      </c>
      <c r="J205" s="396">
        <v>65</v>
      </c>
      <c r="M205" s="394" t="s">
        <v>232</v>
      </c>
      <c r="N205" s="394" t="s">
        <v>233</v>
      </c>
      <c r="O205" s="394" t="s">
        <v>1184</v>
      </c>
      <c r="P205" s="394" t="s">
        <v>230</v>
      </c>
      <c r="Q205" s="396"/>
      <c r="R205" s="396"/>
      <c r="U205" s="394" t="s">
        <v>295</v>
      </c>
      <c r="V205" s="394" t="s">
        <v>555</v>
      </c>
    </row>
    <row r="206" spans="1:22" x14ac:dyDescent="0.25">
      <c r="A206" s="394" t="s">
        <v>289</v>
      </c>
      <c r="B206" s="394" t="s">
        <v>294</v>
      </c>
      <c r="G206" s="394" t="s">
        <v>338</v>
      </c>
      <c r="H206" s="394" t="s">
        <v>337</v>
      </c>
      <c r="I206" s="394" t="s">
        <v>501</v>
      </c>
      <c r="J206" s="396">
        <v>31</v>
      </c>
      <c r="M206" s="394" t="s">
        <v>297</v>
      </c>
      <c r="N206" s="394" t="s">
        <v>822</v>
      </c>
      <c r="O206" s="394" t="s">
        <v>1184</v>
      </c>
      <c r="P206" s="394" t="s">
        <v>298</v>
      </c>
      <c r="Q206" s="396">
        <v>9</v>
      </c>
      <c r="R206" s="396">
        <v>37</v>
      </c>
      <c r="U206" s="394" t="s">
        <v>291</v>
      </c>
      <c r="V206" s="394" t="s">
        <v>555</v>
      </c>
    </row>
    <row r="207" spans="1:22" x14ac:dyDescent="0.25">
      <c r="A207" s="394" t="s">
        <v>289</v>
      </c>
      <c r="B207" s="394" t="s">
        <v>1057</v>
      </c>
      <c r="G207" s="394" t="s">
        <v>351</v>
      </c>
      <c r="H207" s="394" t="s">
        <v>350</v>
      </c>
      <c r="I207" s="394" t="s">
        <v>501</v>
      </c>
      <c r="J207" s="396">
        <v>88</v>
      </c>
      <c r="M207" s="394" t="s">
        <v>382</v>
      </c>
      <c r="N207" s="394" t="s">
        <v>372</v>
      </c>
      <c r="O207" s="394" t="s">
        <v>146</v>
      </c>
      <c r="P207" s="394" t="s">
        <v>146</v>
      </c>
      <c r="Q207" s="396">
        <v>88</v>
      </c>
      <c r="R207" s="396">
        <v>505</v>
      </c>
      <c r="U207" s="394" t="s">
        <v>234</v>
      </c>
      <c r="V207" s="394" t="s">
        <v>12</v>
      </c>
    </row>
    <row r="208" spans="1:22" x14ac:dyDescent="0.25">
      <c r="A208" s="394" t="s">
        <v>289</v>
      </c>
      <c r="B208" s="394" t="s">
        <v>1069</v>
      </c>
      <c r="G208" s="394" t="s">
        <v>118</v>
      </c>
      <c r="H208" s="394" t="s">
        <v>117</v>
      </c>
      <c r="I208" s="394" t="s">
        <v>501</v>
      </c>
      <c r="J208" s="396">
        <v>10</v>
      </c>
      <c r="M208" s="394" t="s">
        <v>383</v>
      </c>
      <c r="N208" s="394" t="s">
        <v>369</v>
      </c>
      <c r="O208" s="394" t="s">
        <v>146</v>
      </c>
      <c r="P208" s="394" t="s">
        <v>146</v>
      </c>
      <c r="Q208" s="396">
        <v>63</v>
      </c>
      <c r="R208" s="396">
        <v>286</v>
      </c>
      <c r="U208" s="394" t="s">
        <v>147</v>
      </c>
      <c r="V208" s="394" t="s">
        <v>555</v>
      </c>
    </row>
    <row r="209" spans="1:22" x14ac:dyDescent="0.25">
      <c r="A209" s="394" t="s">
        <v>289</v>
      </c>
      <c r="B209" s="394" t="s">
        <v>1536</v>
      </c>
      <c r="G209" s="394" t="s">
        <v>22</v>
      </c>
      <c r="H209" s="394" t="s">
        <v>21</v>
      </c>
      <c r="I209" s="394" t="s">
        <v>501</v>
      </c>
      <c r="J209" s="396">
        <v>629</v>
      </c>
      <c r="M209" s="394" t="s">
        <v>384</v>
      </c>
      <c r="N209" s="394" t="s">
        <v>370</v>
      </c>
      <c r="O209" s="394" t="s">
        <v>146</v>
      </c>
      <c r="P209" s="394" t="s">
        <v>146</v>
      </c>
      <c r="Q209" s="396">
        <v>30</v>
      </c>
      <c r="R209" s="396">
        <v>139</v>
      </c>
      <c r="U209" s="394" t="s">
        <v>148</v>
      </c>
      <c r="V209" s="394" t="s">
        <v>555</v>
      </c>
    </row>
    <row r="210" spans="1:22" x14ac:dyDescent="0.25">
      <c r="A210" s="394" t="s">
        <v>289</v>
      </c>
      <c r="B210" s="394" t="s">
        <v>1537</v>
      </c>
      <c r="G210" s="394" t="s">
        <v>122</v>
      </c>
      <c r="H210" s="394" t="s">
        <v>121</v>
      </c>
      <c r="I210" s="394" t="s">
        <v>844</v>
      </c>
      <c r="J210" s="396">
        <v>0</v>
      </c>
      <c r="M210" s="394" t="s">
        <v>385</v>
      </c>
      <c r="N210" s="394" t="s">
        <v>368</v>
      </c>
      <c r="O210" s="394" t="s">
        <v>146</v>
      </c>
      <c r="P210" s="394" t="s">
        <v>146</v>
      </c>
      <c r="Q210" s="396">
        <v>69</v>
      </c>
      <c r="R210" s="396">
        <v>305</v>
      </c>
      <c r="U210" s="394" t="s">
        <v>165</v>
      </c>
      <c r="V210" s="394" t="s">
        <v>555</v>
      </c>
    </row>
    <row r="211" spans="1:22" x14ac:dyDescent="0.25">
      <c r="A211" s="394" t="s">
        <v>298</v>
      </c>
      <c r="B211" s="394" t="s">
        <v>822</v>
      </c>
      <c r="G211" s="394" t="s">
        <v>124</v>
      </c>
      <c r="H211" s="394" t="s">
        <v>123</v>
      </c>
      <c r="I211" s="394" t="s">
        <v>501</v>
      </c>
      <c r="J211" s="396">
        <v>8</v>
      </c>
      <c r="M211" s="394" t="s">
        <v>386</v>
      </c>
      <c r="N211" s="394" t="s">
        <v>367</v>
      </c>
      <c r="O211" s="394" t="s">
        <v>146</v>
      </c>
      <c r="P211" s="394" t="s">
        <v>146</v>
      </c>
      <c r="Q211" s="396">
        <v>0</v>
      </c>
      <c r="R211" s="396">
        <v>0</v>
      </c>
      <c r="U211" s="394" t="s">
        <v>168</v>
      </c>
      <c r="V211" s="394" t="s">
        <v>12</v>
      </c>
    </row>
    <row r="212" spans="1:22" x14ac:dyDescent="0.25">
      <c r="A212" s="394" t="s">
        <v>298</v>
      </c>
      <c r="B212" s="394" t="s">
        <v>594</v>
      </c>
      <c r="G212" s="394" t="s">
        <v>1304</v>
      </c>
      <c r="H212" s="394" t="s">
        <v>1305</v>
      </c>
      <c r="I212" s="394" t="s">
        <v>501</v>
      </c>
      <c r="J212" s="396"/>
      <c r="M212" s="394" t="s">
        <v>387</v>
      </c>
      <c r="N212" s="394" t="s">
        <v>373</v>
      </c>
      <c r="O212" s="394" t="s">
        <v>146</v>
      </c>
      <c r="P212" s="394" t="s">
        <v>146</v>
      </c>
      <c r="Q212" s="396">
        <v>202</v>
      </c>
      <c r="R212" s="396">
        <v>906</v>
      </c>
      <c r="U212" s="394" t="s">
        <v>170</v>
      </c>
      <c r="V212" s="394" t="s">
        <v>12</v>
      </c>
    </row>
    <row r="213" spans="1:22" x14ac:dyDescent="0.25">
      <c r="A213" s="394" t="s">
        <v>298</v>
      </c>
      <c r="B213" s="394" t="s">
        <v>1546</v>
      </c>
      <c r="G213" s="394" t="s">
        <v>96</v>
      </c>
      <c r="H213" s="394" t="s">
        <v>95</v>
      </c>
      <c r="I213" s="394" t="s">
        <v>844</v>
      </c>
      <c r="J213" s="396">
        <v>0</v>
      </c>
      <c r="M213" s="394" t="s">
        <v>388</v>
      </c>
      <c r="N213" s="394" t="s">
        <v>231</v>
      </c>
      <c r="O213" s="394" t="s">
        <v>1184</v>
      </c>
      <c r="P213" s="394" t="s">
        <v>230</v>
      </c>
      <c r="Q213" s="396">
        <v>32</v>
      </c>
      <c r="R213" s="396">
        <v>187</v>
      </c>
      <c r="U213" s="394" t="s">
        <v>232</v>
      </c>
      <c r="V213" s="394" t="s">
        <v>555</v>
      </c>
    </row>
    <row r="214" spans="1:22" x14ac:dyDescent="0.25">
      <c r="A214" s="394" t="s">
        <v>300</v>
      </c>
      <c r="B214" s="394" t="s">
        <v>892</v>
      </c>
      <c r="G214" s="394" t="s">
        <v>1281</v>
      </c>
      <c r="H214" s="394" t="s">
        <v>1272</v>
      </c>
      <c r="I214" s="394" t="s">
        <v>501</v>
      </c>
      <c r="J214" s="396">
        <v>24</v>
      </c>
      <c r="M214" s="394" t="s">
        <v>389</v>
      </c>
      <c r="N214" s="394" t="s">
        <v>375</v>
      </c>
      <c r="O214" s="394" t="s">
        <v>289</v>
      </c>
      <c r="P214" s="394" t="s">
        <v>289</v>
      </c>
      <c r="Q214" s="396">
        <v>0</v>
      </c>
      <c r="R214" s="396">
        <v>0</v>
      </c>
      <c r="U214" s="394" t="s">
        <v>297</v>
      </c>
      <c r="V214" s="394" t="s">
        <v>555</v>
      </c>
    </row>
    <row r="215" spans="1:22" x14ac:dyDescent="0.25">
      <c r="A215" s="394" t="s">
        <v>300</v>
      </c>
      <c r="B215" s="394" t="s">
        <v>301</v>
      </c>
      <c r="G215" s="394" t="s">
        <v>1280</v>
      </c>
      <c r="H215" s="394" t="s">
        <v>1273</v>
      </c>
      <c r="I215" s="394" t="s">
        <v>501</v>
      </c>
      <c r="J215" s="396">
        <v>30</v>
      </c>
      <c r="M215" s="394" t="s">
        <v>838</v>
      </c>
      <c r="N215" s="394" t="s">
        <v>361</v>
      </c>
      <c r="O215" s="394" t="s">
        <v>1184</v>
      </c>
      <c r="P215" s="394" t="s">
        <v>230</v>
      </c>
      <c r="Q215" s="396"/>
      <c r="R215" s="396"/>
      <c r="U215" s="394" t="s">
        <v>382</v>
      </c>
      <c r="V215" s="394" t="s">
        <v>555</v>
      </c>
    </row>
    <row r="216" spans="1:22" x14ac:dyDescent="0.25">
      <c r="A216" s="394" t="s">
        <v>300</v>
      </c>
      <c r="B216" s="394" t="s">
        <v>1043</v>
      </c>
      <c r="G216" s="394" t="s">
        <v>1021</v>
      </c>
      <c r="H216" s="394" t="s">
        <v>1022</v>
      </c>
      <c r="I216" s="394" t="s">
        <v>501</v>
      </c>
      <c r="J216" s="396">
        <v>30</v>
      </c>
      <c r="M216" s="394" t="s">
        <v>839</v>
      </c>
      <c r="N216" s="394" t="s">
        <v>595</v>
      </c>
      <c r="O216" s="394" t="s">
        <v>780</v>
      </c>
      <c r="P216" s="394" t="s">
        <v>780</v>
      </c>
      <c r="Q216" s="396">
        <v>67</v>
      </c>
      <c r="R216" s="396">
        <v>392</v>
      </c>
      <c r="U216" s="394" t="s">
        <v>383</v>
      </c>
      <c r="V216" s="394" t="s">
        <v>555</v>
      </c>
    </row>
    <row r="217" spans="1:22" x14ac:dyDescent="0.25">
      <c r="A217" s="394" t="s">
        <v>300</v>
      </c>
      <c r="B217" s="394" t="s">
        <v>1263</v>
      </c>
      <c r="G217" s="394" t="s">
        <v>225</v>
      </c>
      <c r="H217" s="394" t="s">
        <v>224</v>
      </c>
      <c r="I217" s="394" t="s">
        <v>501</v>
      </c>
      <c r="J217" s="396">
        <v>39</v>
      </c>
      <c r="M217" s="394" t="s">
        <v>824</v>
      </c>
      <c r="N217" s="394" t="s">
        <v>823</v>
      </c>
      <c r="O217" s="394" t="s">
        <v>1184</v>
      </c>
      <c r="P217" s="394" t="s">
        <v>166</v>
      </c>
      <c r="Q217" s="396">
        <v>29</v>
      </c>
      <c r="R217" s="396">
        <v>157</v>
      </c>
      <c r="U217" s="394" t="s">
        <v>384</v>
      </c>
      <c r="V217" s="394" t="s">
        <v>555</v>
      </c>
    </row>
    <row r="218" spans="1:22" x14ac:dyDescent="0.25">
      <c r="A218" s="394" t="s">
        <v>302</v>
      </c>
      <c r="B218" s="394" t="s">
        <v>12</v>
      </c>
      <c r="G218" s="394" t="s">
        <v>277</v>
      </c>
      <c r="H218" s="394" t="s">
        <v>276</v>
      </c>
      <c r="I218" s="394" t="s">
        <v>501</v>
      </c>
      <c r="J218" s="396">
        <v>90</v>
      </c>
      <c r="M218" s="394" t="s">
        <v>825</v>
      </c>
      <c r="N218" s="394" t="s">
        <v>594</v>
      </c>
      <c r="O218" s="394" t="s">
        <v>1184</v>
      </c>
      <c r="P218" s="394" t="s">
        <v>298</v>
      </c>
      <c r="Q218" s="396">
        <v>118</v>
      </c>
      <c r="R218" s="396">
        <v>520</v>
      </c>
      <c r="U218" s="394" t="s">
        <v>385</v>
      </c>
      <c r="V218" s="394" t="s">
        <v>555</v>
      </c>
    </row>
    <row r="219" spans="1:22" x14ac:dyDescent="0.25">
      <c r="A219" s="394" t="s">
        <v>302</v>
      </c>
      <c r="B219" s="394" t="s">
        <v>304</v>
      </c>
      <c r="G219" s="394" t="s">
        <v>279</v>
      </c>
      <c r="H219" s="394" t="s">
        <v>278</v>
      </c>
      <c r="I219" s="394" t="s">
        <v>501</v>
      </c>
      <c r="J219" s="396">
        <v>22</v>
      </c>
      <c r="M219" s="394" t="s">
        <v>933</v>
      </c>
      <c r="N219" s="394" t="s">
        <v>932</v>
      </c>
      <c r="O219" s="394" t="s">
        <v>146</v>
      </c>
      <c r="P219" s="394" t="s">
        <v>146</v>
      </c>
      <c r="Q219" s="396">
        <v>0</v>
      </c>
      <c r="R219" s="396">
        <v>0</v>
      </c>
      <c r="U219" s="394" t="s">
        <v>386</v>
      </c>
      <c r="V219" s="394" t="s">
        <v>555</v>
      </c>
    </row>
    <row r="220" spans="1:22" x14ac:dyDescent="0.25">
      <c r="A220" s="394" t="s">
        <v>302</v>
      </c>
      <c r="B220" s="394" t="s">
        <v>306</v>
      </c>
      <c r="G220" s="394" t="s">
        <v>347</v>
      </c>
      <c r="H220" s="394" t="s">
        <v>346</v>
      </c>
      <c r="I220" s="394" t="s">
        <v>501</v>
      </c>
      <c r="J220" s="396">
        <v>179</v>
      </c>
      <c r="M220" s="394" t="s">
        <v>935</v>
      </c>
      <c r="N220" s="394" t="s">
        <v>934</v>
      </c>
      <c r="O220" s="394" t="s">
        <v>146</v>
      </c>
      <c r="P220" s="394" t="s">
        <v>146</v>
      </c>
      <c r="Q220" s="396">
        <v>0</v>
      </c>
      <c r="R220" s="396">
        <v>0</v>
      </c>
      <c r="U220" s="394" t="s">
        <v>387</v>
      </c>
      <c r="V220" s="394" t="s">
        <v>555</v>
      </c>
    </row>
    <row r="221" spans="1:22" x14ac:dyDescent="0.25">
      <c r="A221" s="394" t="s">
        <v>302</v>
      </c>
      <c r="B221" s="394" t="s">
        <v>308</v>
      </c>
      <c r="G221" s="394" t="s">
        <v>306</v>
      </c>
      <c r="H221" s="394" t="s">
        <v>305</v>
      </c>
      <c r="I221" s="394" t="s">
        <v>501</v>
      </c>
      <c r="J221" s="396">
        <v>86</v>
      </c>
      <c r="M221" s="394" t="s">
        <v>943</v>
      </c>
      <c r="N221" s="394" t="s">
        <v>944</v>
      </c>
      <c r="O221" s="394" t="s">
        <v>151</v>
      </c>
      <c r="P221" s="394" t="s">
        <v>151</v>
      </c>
      <c r="Q221" s="396">
        <v>123</v>
      </c>
      <c r="R221" s="396">
        <v>582</v>
      </c>
      <c r="U221" s="394" t="s">
        <v>388</v>
      </c>
      <c r="V221" s="394" t="s">
        <v>12</v>
      </c>
    </row>
    <row r="222" spans="1:22" x14ac:dyDescent="0.25">
      <c r="A222" s="394" t="s">
        <v>809</v>
      </c>
      <c r="B222" s="394" t="s">
        <v>809</v>
      </c>
      <c r="G222" s="394" t="s">
        <v>308</v>
      </c>
      <c r="H222" s="394" t="s">
        <v>307</v>
      </c>
      <c r="I222" s="394" t="s">
        <v>501</v>
      </c>
      <c r="J222" s="396">
        <v>41</v>
      </c>
      <c r="M222" s="394" t="s">
        <v>1020</v>
      </c>
      <c r="N222" s="394" t="s">
        <v>1023</v>
      </c>
      <c r="O222" s="394" t="s">
        <v>5</v>
      </c>
      <c r="P222" s="394" t="s">
        <v>5</v>
      </c>
      <c r="Q222" s="396">
        <v>0</v>
      </c>
      <c r="R222" s="396">
        <v>0</v>
      </c>
      <c r="U222" s="394" t="s">
        <v>389</v>
      </c>
      <c r="V222" s="394" t="s">
        <v>555</v>
      </c>
    </row>
    <row r="223" spans="1:22" x14ac:dyDescent="0.25">
      <c r="A223" s="394" t="s">
        <v>809</v>
      </c>
      <c r="B223" s="394" t="s">
        <v>1301</v>
      </c>
      <c r="G223" s="394" t="s">
        <v>281</v>
      </c>
      <c r="H223" s="394" t="s">
        <v>280</v>
      </c>
      <c r="I223" s="394" t="s">
        <v>501</v>
      </c>
      <c r="J223" s="396">
        <v>89</v>
      </c>
      <c r="M223" s="394" t="s">
        <v>1022</v>
      </c>
      <c r="N223" s="394" t="s">
        <v>1021</v>
      </c>
      <c r="O223" s="394" t="s">
        <v>27</v>
      </c>
      <c r="P223" s="394" t="s">
        <v>27</v>
      </c>
      <c r="Q223" s="396">
        <v>30</v>
      </c>
      <c r="R223" s="396">
        <v>175</v>
      </c>
      <c r="U223" s="394" t="s">
        <v>838</v>
      </c>
      <c r="V223" s="394" t="s">
        <v>555</v>
      </c>
    </row>
    <row r="224" spans="1:22" x14ac:dyDescent="0.25">
      <c r="A224" s="394" t="s">
        <v>809</v>
      </c>
      <c r="B224" s="394" t="s">
        <v>1304</v>
      </c>
      <c r="G224" s="394" t="s">
        <v>888</v>
      </c>
      <c r="H224" s="394" t="s">
        <v>889</v>
      </c>
      <c r="I224" s="394" t="s">
        <v>844</v>
      </c>
      <c r="J224" s="396">
        <v>0</v>
      </c>
      <c r="M224" s="394" t="s">
        <v>1037</v>
      </c>
      <c r="N224" s="394" t="s">
        <v>1036</v>
      </c>
      <c r="O224" s="394" t="s">
        <v>151</v>
      </c>
      <c r="P224" s="394" t="s">
        <v>151</v>
      </c>
      <c r="Q224" s="396">
        <v>219</v>
      </c>
      <c r="R224" s="396">
        <v>891</v>
      </c>
      <c r="U224" s="394" t="s">
        <v>839</v>
      </c>
      <c r="V224" s="394" t="s">
        <v>12</v>
      </c>
    </row>
    <row r="225" spans="1:22" x14ac:dyDescent="0.25">
      <c r="A225" s="394" t="s">
        <v>310</v>
      </c>
      <c r="B225" s="394" t="s">
        <v>358</v>
      </c>
      <c r="G225" s="394" t="s">
        <v>181</v>
      </c>
      <c r="H225" s="394" t="s">
        <v>179</v>
      </c>
      <c r="I225" s="394" t="s">
        <v>501</v>
      </c>
      <c r="J225" s="396">
        <v>12</v>
      </c>
      <c r="M225" s="394" t="s">
        <v>1045</v>
      </c>
      <c r="N225" s="394" t="s">
        <v>1043</v>
      </c>
      <c r="O225" s="394" t="s">
        <v>1184</v>
      </c>
      <c r="P225" s="394" t="s">
        <v>300</v>
      </c>
      <c r="Q225" s="396">
        <v>10</v>
      </c>
      <c r="R225" s="396">
        <v>56</v>
      </c>
      <c r="U225" s="394" t="s">
        <v>824</v>
      </c>
      <c r="V225" s="394" t="s">
        <v>555</v>
      </c>
    </row>
    <row r="226" spans="1:22" x14ac:dyDescent="0.25">
      <c r="A226" s="394" t="s">
        <v>310</v>
      </c>
      <c r="B226" s="394" t="s">
        <v>334</v>
      </c>
      <c r="G226" s="394" t="s">
        <v>899</v>
      </c>
      <c r="H226" s="394" t="s">
        <v>898</v>
      </c>
      <c r="I226" s="394" t="s">
        <v>844</v>
      </c>
      <c r="J226" s="396">
        <v>0</v>
      </c>
      <c r="M226" s="394" t="s">
        <v>1056</v>
      </c>
      <c r="N226" s="394" t="s">
        <v>1055</v>
      </c>
      <c r="O226" s="394" t="s">
        <v>1184</v>
      </c>
      <c r="P226" s="394" t="s">
        <v>230</v>
      </c>
      <c r="Q226" s="396">
        <v>52</v>
      </c>
      <c r="R226" s="396">
        <v>212</v>
      </c>
      <c r="U226" s="394" t="s">
        <v>825</v>
      </c>
      <c r="V226" s="394" t="s">
        <v>12</v>
      </c>
    </row>
    <row r="227" spans="1:22" x14ac:dyDescent="0.25">
      <c r="A227" s="394" t="s">
        <v>310</v>
      </c>
      <c r="B227" s="394" t="s">
        <v>313</v>
      </c>
      <c r="G227" s="394" t="s">
        <v>809</v>
      </c>
      <c r="H227" s="394" t="s">
        <v>813</v>
      </c>
      <c r="I227" s="394" t="s">
        <v>501</v>
      </c>
      <c r="J227" s="396">
        <v>5</v>
      </c>
      <c r="M227" s="394" t="s">
        <v>1058</v>
      </c>
      <c r="N227" s="394" t="s">
        <v>1057</v>
      </c>
      <c r="O227" s="394" t="s">
        <v>289</v>
      </c>
      <c r="P227" s="394" t="s">
        <v>289</v>
      </c>
      <c r="Q227" s="396">
        <v>35</v>
      </c>
      <c r="R227" s="396">
        <v>198</v>
      </c>
      <c r="U227" s="394" t="s">
        <v>933</v>
      </c>
      <c r="V227" s="394" t="s">
        <v>555</v>
      </c>
    </row>
    <row r="228" spans="1:22" x14ac:dyDescent="0.25">
      <c r="A228" s="394" t="s">
        <v>310</v>
      </c>
      <c r="B228" s="394" t="s">
        <v>336</v>
      </c>
      <c r="G228" s="394" t="s">
        <v>24</v>
      </c>
      <c r="H228" s="394" t="s">
        <v>23</v>
      </c>
      <c r="I228" s="394" t="s">
        <v>501</v>
      </c>
      <c r="J228" s="396">
        <v>21</v>
      </c>
      <c r="M228" s="394" t="s">
        <v>1062</v>
      </c>
      <c r="N228" s="394" t="s">
        <v>1069</v>
      </c>
      <c r="O228" s="394" t="s">
        <v>289</v>
      </c>
      <c r="P228" s="394" t="s">
        <v>289</v>
      </c>
      <c r="Q228" s="396">
        <v>123</v>
      </c>
      <c r="R228" s="396">
        <v>575</v>
      </c>
      <c r="U228" s="394" t="s">
        <v>935</v>
      </c>
      <c r="V228" s="394" t="s">
        <v>555</v>
      </c>
    </row>
    <row r="229" spans="1:22" x14ac:dyDescent="0.25">
      <c r="A229" s="394" t="s">
        <v>310</v>
      </c>
      <c r="B229" s="394" t="s">
        <v>814</v>
      </c>
      <c r="G229" s="394" t="s">
        <v>132</v>
      </c>
      <c r="H229" s="394" t="s">
        <v>131</v>
      </c>
      <c r="I229" s="394" t="s">
        <v>844</v>
      </c>
      <c r="J229" s="396">
        <v>0</v>
      </c>
      <c r="M229" s="394" t="s">
        <v>1064</v>
      </c>
      <c r="N229" s="394" t="s">
        <v>1063</v>
      </c>
      <c r="O229" s="394" t="s">
        <v>151</v>
      </c>
      <c r="P229" s="394" t="s">
        <v>151</v>
      </c>
      <c r="Q229" s="396">
        <v>123</v>
      </c>
      <c r="R229" s="396">
        <v>555</v>
      </c>
      <c r="U229" s="394" t="s">
        <v>1056</v>
      </c>
      <c r="V229" s="394" t="s">
        <v>555</v>
      </c>
    </row>
    <row r="230" spans="1:22" x14ac:dyDescent="0.25">
      <c r="A230" s="394" t="s">
        <v>310</v>
      </c>
      <c r="B230" s="394" t="s">
        <v>196</v>
      </c>
      <c r="G230" s="394" t="s">
        <v>227</v>
      </c>
      <c r="H230" s="394" t="s">
        <v>226</v>
      </c>
      <c r="I230" s="394" t="s">
        <v>501</v>
      </c>
      <c r="J230" s="396">
        <v>10</v>
      </c>
      <c r="M230" s="394" t="s">
        <v>1066</v>
      </c>
      <c r="N230" s="394" t="s">
        <v>1065</v>
      </c>
      <c r="O230" s="394" t="s">
        <v>1184</v>
      </c>
      <c r="P230" s="394" t="s">
        <v>230</v>
      </c>
      <c r="Q230" s="396">
        <v>26</v>
      </c>
      <c r="R230" s="396">
        <v>118</v>
      </c>
      <c r="U230" s="394" t="s">
        <v>1058</v>
      </c>
      <c r="V230" s="394" t="s">
        <v>555</v>
      </c>
    </row>
    <row r="231" spans="1:22" x14ac:dyDescent="0.25">
      <c r="A231" s="394" t="s">
        <v>310</v>
      </c>
      <c r="B231" s="394" t="s">
        <v>340</v>
      </c>
      <c r="G231" s="394" t="s">
        <v>238</v>
      </c>
      <c r="H231" s="394" t="s">
        <v>236</v>
      </c>
      <c r="I231" s="394" t="s">
        <v>501</v>
      </c>
      <c r="J231" s="396">
        <v>67</v>
      </c>
      <c r="M231" s="394" t="s">
        <v>1068</v>
      </c>
      <c r="N231" s="394" t="s">
        <v>1067</v>
      </c>
      <c r="O231" s="394" t="s">
        <v>528</v>
      </c>
      <c r="P231" s="394" t="s">
        <v>528</v>
      </c>
      <c r="Q231" s="396">
        <v>105</v>
      </c>
      <c r="R231" s="396">
        <v>506</v>
      </c>
      <c r="U231" s="394" t="s">
        <v>1062</v>
      </c>
      <c r="V231" s="394" t="s">
        <v>555</v>
      </c>
    </row>
    <row r="232" spans="1:22" x14ac:dyDescent="0.25">
      <c r="A232" s="394" t="s">
        <v>310</v>
      </c>
      <c r="B232" s="394" t="s">
        <v>320</v>
      </c>
      <c r="G232" s="394" t="s">
        <v>1247</v>
      </c>
      <c r="H232" s="394" t="s">
        <v>241</v>
      </c>
      <c r="I232" s="394" t="s">
        <v>501</v>
      </c>
      <c r="J232" s="396">
        <v>54</v>
      </c>
      <c r="M232" s="394" t="s">
        <v>1098</v>
      </c>
      <c r="N232" s="394" t="s">
        <v>1097</v>
      </c>
      <c r="O232" s="394" t="s">
        <v>151</v>
      </c>
      <c r="P232" s="394" t="s">
        <v>151</v>
      </c>
      <c r="Q232" s="396">
        <v>113</v>
      </c>
      <c r="R232" s="396">
        <v>476</v>
      </c>
      <c r="U232" s="394" t="s">
        <v>1066</v>
      </c>
      <c r="V232" s="394" t="s">
        <v>555</v>
      </c>
    </row>
    <row r="233" spans="1:22" x14ac:dyDescent="0.25">
      <c r="A233" s="394" t="s">
        <v>310</v>
      </c>
      <c r="B233" s="394" t="s">
        <v>322</v>
      </c>
      <c r="G233" s="394" t="s">
        <v>249</v>
      </c>
      <c r="H233" s="394" t="s">
        <v>248</v>
      </c>
      <c r="I233" s="394" t="s">
        <v>501</v>
      </c>
      <c r="J233" s="396">
        <v>6</v>
      </c>
      <c r="M233" s="394" t="s">
        <v>1103</v>
      </c>
      <c r="N233" s="394" t="s">
        <v>1104</v>
      </c>
      <c r="O233" s="394" t="s">
        <v>146</v>
      </c>
      <c r="P233" s="394" t="s">
        <v>146</v>
      </c>
      <c r="Q233" s="396">
        <v>22</v>
      </c>
      <c r="R233" s="396">
        <v>111</v>
      </c>
      <c r="U233" s="394" t="s">
        <v>1098</v>
      </c>
      <c r="V233" s="394" t="s">
        <v>555</v>
      </c>
    </row>
    <row r="234" spans="1:22" x14ac:dyDescent="0.25">
      <c r="A234" s="394" t="s">
        <v>310</v>
      </c>
      <c r="B234" s="394" t="s">
        <v>328</v>
      </c>
      <c r="G234" s="394" t="s">
        <v>251</v>
      </c>
      <c r="H234" s="394" t="s">
        <v>250</v>
      </c>
      <c r="I234" s="394" t="s">
        <v>501</v>
      </c>
      <c r="J234" s="396">
        <v>32</v>
      </c>
      <c r="M234" s="394" t="s">
        <v>1123</v>
      </c>
      <c r="N234" s="394" t="s">
        <v>1122</v>
      </c>
      <c r="O234" s="394" t="s">
        <v>528</v>
      </c>
      <c r="P234" s="394" t="s">
        <v>528</v>
      </c>
      <c r="Q234" s="396">
        <v>50</v>
      </c>
      <c r="R234" s="396">
        <v>241</v>
      </c>
      <c r="U234" s="394" t="s">
        <v>1103</v>
      </c>
      <c r="V234" s="394" t="s">
        <v>555</v>
      </c>
    </row>
    <row r="235" spans="1:22" x14ac:dyDescent="0.25">
      <c r="A235" s="394" t="s">
        <v>310</v>
      </c>
      <c r="B235" s="394" t="s">
        <v>330</v>
      </c>
      <c r="G235" s="394" t="s">
        <v>275</v>
      </c>
      <c r="H235" s="394" t="s">
        <v>274</v>
      </c>
      <c r="I235" s="394" t="s">
        <v>501</v>
      </c>
      <c r="J235" s="396">
        <v>43</v>
      </c>
      <c r="M235" s="394" t="s">
        <v>1161</v>
      </c>
      <c r="N235" s="394" t="s">
        <v>1159</v>
      </c>
      <c r="O235" s="394" t="s">
        <v>1184</v>
      </c>
      <c r="P235" s="394" t="s">
        <v>180</v>
      </c>
      <c r="Q235" s="396">
        <v>36</v>
      </c>
      <c r="R235" s="396">
        <v>153</v>
      </c>
      <c r="U235" s="394" t="s">
        <v>1123</v>
      </c>
      <c r="V235" s="394" t="s">
        <v>555</v>
      </c>
    </row>
    <row r="236" spans="1:22" x14ac:dyDescent="0.25">
      <c r="A236" s="394" t="s">
        <v>310</v>
      </c>
      <c r="B236" s="394" t="s">
        <v>324</v>
      </c>
      <c r="G236" s="394" t="s">
        <v>349</v>
      </c>
      <c r="H236" s="394" t="s">
        <v>348</v>
      </c>
      <c r="I236" s="394" t="s">
        <v>501</v>
      </c>
      <c r="J236" s="396">
        <v>44</v>
      </c>
      <c r="M236" s="394" t="s">
        <v>1162</v>
      </c>
      <c r="N236" s="394" t="s">
        <v>1160</v>
      </c>
      <c r="O236" s="394" t="s">
        <v>1184</v>
      </c>
      <c r="P236" s="394" t="s">
        <v>180</v>
      </c>
      <c r="Q236" s="396">
        <v>15</v>
      </c>
      <c r="R236" s="396">
        <v>64</v>
      </c>
      <c r="U236" s="394" t="s">
        <v>1161</v>
      </c>
      <c r="V236" s="394" t="s">
        <v>12</v>
      </c>
    </row>
    <row r="237" spans="1:22" x14ac:dyDescent="0.25">
      <c r="A237" s="394" t="s">
        <v>310</v>
      </c>
      <c r="B237" s="394" t="s">
        <v>326</v>
      </c>
      <c r="G237" s="394" t="s">
        <v>1023</v>
      </c>
      <c r="H237" s="394" t="s">
        <v>1020</v>
      </c>
      <c r="I237" s="394" t="s">
        <v>844</v>
      </c>
      <c r="J237" s="396">
        <v>0</v>
      </c>
      <c r="M237" s="394" t="s">
        <v>1261</v>
      </c>
      <c r="N237" s="394" t="s">
        <v>1278</v>
      </c>
      <c r="O237" s="394" t="s">
        <v>780</v>
      </c>
      <c r="P237" s="394" t="s">
        <v>780</v>
      </c>
      <c r="Q237" s="396">
        <v>38</v>
      </c>
      <c r="R237" s="396">
        <v>202</v>
      </c>
      <c r="U237" s="394" t="s">
        <v>1162</v>
      </c>
      <c r="V237" s="394" t="s">
        <v>12</v>
      </c>
    </row>
    <row r="238" spans="1:22" x14ac:dyDescent="0.25">
      <c r="A238" s="394" t="s">
        <v>310</v>
      </c>
      <c r="B238" s="394" t="s">
        <v>332</v>
      </c>
      <c r="G238" s="394" t="s">
        <v>134</v>
      </c>
      <c r="H238" s="394" t="s">
        <v>133</v>
      </c>
      <c r="I238" s="394" t="s">
        <v>844</v>
      </c>
      <c r="J238" s="396">
        <v>0</v>
      </c>
      <c r="M238" s="394" t="s">
        <v>1262</v>
      </c>
      <c r="N238" s="394" t="s">
        <v>1263</v>
      </c>
      <c r="O238" s="394" t="s">
        <v>1184</v>
      </c>
      <c r="P238" s="394" t="s">
        <v>300</v>
      </c>
      <c r="Q238" s="396">
        <v>59</v>
      </c>
      <c r="R238" s="396">
        <v>370</v>
      </c>
      <c r="U238" s="394" t="s">
        <v>1261</v>
      </c>
      <c r="V238" s="394" t="s">
        <v>555</v>
      </c>
    </row>
    <row r="239" spans="1:22" x14ac:dyDescent="0.25">
      <c r="A239" s="394" t="s">
        <v>310</v>
      </c>
      <c r="B239" s="394" t="s">
        <v>344</v>
      </c>
      <c r="G239" s="394" t="s">
        <v>870</v>
      </c>
      <c r="H239" s="394" t="s">
        <v>856</v>
      </c>
      <c r="I239" s="394" t="s">
        <v>844</v>
      </c>
      <c r="J239" s="396">
        <v>0</v>
      </c>
      <c r="M239" s="394" t="s">
        <v>1272</v>
      </c>
      <c r="N239" s="394" t="s">
        <v>1281</v>
      </c>
      <c r="O239" s="394" t="s">
        <v>1184</v>
      </c>
      <c r="P239" s="394" t="s">
        <v>173</v>
      </c>
      <c r="Q239" s="396">
        <v>24</v>
      </c>
      <c r="R239" s="396">
        <v>83</v>
      </c>
      <c r="U239" s="394" t="s">
        <v>1262</v>
      </c>
      <c r="V239" s="394" t="s">
        <v>555</v>
      </c>
    </row>
    <row r="240" spans="1:22" x14ac:dyDescent="0.25">
      <c r="A240" s="394" t="s">
        <v>310</v>
      </c>
      <c r="B240" s="394" t="s">
        <v>355</v>
      </c>
      <c r="G240" s="394" t="s">
        <v>301</v>
      </c>
      <c r="H240" s="394" t="s">
        <v>299</v>
      </c>
      <c r="I240" s="394" t="s">
        <v>501</v>
      </c>
      <c r="J240" s="396">
        <v>14</v>
      </c>
      <c r="M240" s="394" t="s">
        <v>1273</v>
      </c>
      <c r="N240" s="394" t="s">
        <v>1280</v>
      </c>
      <c r="O240" s="394" t="s">
        <v>1184</v>
      </c>
      <c r="P240" s="394" t="s">
        <v>173</v>
      </c>
      <c r="Q240" s="396">
        <v>30</v>
      </c>
      <c r="R240" s="396">
        <v>137</v>
      </c>
      <c r="U240" s="394" t="s">
        <v>1272</v>
      </c>
      <c r="V240" s="394" t="s">
        <v>12</v>
      </c>
    </row>
    <row r="241" spans="1:22" x14ac:dyDescent="0.25">
      <c r="A241" s="394" t="s">
        <v>310</v>
      </c>
      <c r="B241" s="394" t="s">
        <v>318</v>
      </c>
      <c r="G241" s="394" t="s">
        <v>1552</v>
      </c>
      <c r="H241" s="394" t="s">
        <v>1533</v>
      </c>
      <c r="I241" s="394" t="s">
        <v>501</v>
      </c>
      <c r="J241" s="396">
        <v>20</v>
      </c>
      <c r="M241" s="394" t="s">
        <v>1274</v>
      </c>
      <c r="N241" s="394" t="s">
        <v>1271</v>
      </c>
      <c r="O241" s="394" t="s">
        <v>1184</v>
      </c>
      <c r="P241" s="394" t="s">
        <v>173</v>
      </c>
      <c r="Q241" s="396">
        <v>7</v>
      </c>
      <c r="R241" s="396">
        <v>32</v>
      </c>
      <c r="U241" s="394" t="s">
        <v>1273</v>
      </c>
      <c r="V241" s="394" t="s">
        <v>555</v>
      </c>
    </row>
    <row r="242" spans="1:22" x14ac:dyDescent="0.25">
      <c r="A242" s="394" t="s">
        <v>310</v>
      </c>
      <c r="B242" s="394" t="s">
        <v>342</v>
      </c>
      <c r="G242" s="394" t="s">
        <v>316</v>
      </c>
      <c r="H242" s="394" t="s">
        <v>315</v>
      </c>
      <c r="I242" s="394" t="s">
        <v>501</v>
      </c>
      <c r="J242" s="396">
        <v>70</v>
      </c>
      <c r="M242" s="394" t="s">
        <v>1302</v>
      </c>
      <c r="N242" s="394" t="s">
        <v>1301</v>
      </c>
      <c r="O242" s="394" t="s">
        <v>1184</v>
      </c>
      <c r="P242" s="394" t="s">
        <v>809</v>
      </c>
      <c r="Q242" s="396">
        <v>161</v>
      </c>
      <c r="R242" s="396">
        <v>711</v>
      </c>
      <c r="U242" s="394" t="s">
        <v>1274</v>
      </c>
      <c r="V242" s="394" t="s">
        <v>555</v>
      </c>
    </row>
    <row r="243" spans="1:22" x14ac:dyDescent="0.25">
      <c r="A243" s="394" t="s">
        <v>310</v>
      </c>
      <c r="B243" s="394" t="s">
        <v>338</v>
      </c>
      <c r="G243" s="394" t="s">
        <v>311</v>
      </c>
      <c r="H243" s="394" t="s">
        <v>309</v>
      </c>
      <c r="I243" s="394" t="s">
        <v>844</v>
      </c>
      <c r="J243" s="396"/>
      <c r="M243" s="394" t="s">
        <v>1305</v>
      </c>
      <c r="N243" s="394" t="s">
        <v>1304</v>
      </c>
      <c r="O243" s="394" t="s">
        <v>1184</v>
      </c>
      <c r="P243" s="394" t="s">
        <v>809</v>
      </c>
      <c r="Q243" s="396"/>
      <c r="R243" s="396">
        <v>489</v>
      </c>
      <c r="U243" s="394" t="s">
        <v>1302</v>
      </c>
      <c r="V243" s="394" t="s">
        <v>555</v>
      </c>
    </row>
    <row r="244" spans="1:22" x14ac:dyDescent="0.25">
      <c r="A244" s="394" t="s">
        <v>310</v>
      </c>
      <c r="B244" s="394" t="s">
        <v>351</v>
      </c>
      <c r="G244" s="394" t="s">
        <v>1541</v>
      </c>
      <c r="H244" s="394" t="s">
        <v>1542</v>
      </c>
      <c r="I244" s="394" t="s">
        <v>501</v>
      </c>
      <c r="J244" s="396">
        <v>6</v>
      </c>
      <c r="M244" s="394" t="s">
        <v>1318</v>
      </c>
      <c r="N244" s="394" t="s">
        <v>1317</v>
      </c>
      <c r="O244" s="394" t="s">
        <v>185</v>
      </c>
      <c r="P244" s="394" t="s">
        <v>185</v>
      </c>
      <c r="Q244" s="396"/>
      <c r="R244" s="396">
        <v>49</v>
      </c>
      <c r="U244" s="394" t="s">
        <v>1305</v>
      </c>
      <c r="V244" s="394" t="s">
        <v>555</v>
      </c>
    </row>
    <row r="245" spans="1:22" x14ac:dyDescent="0.25">
      <c r="A245" s="394" t="s">
        <v>310</v>
      </c>
      <c r="B245" s="394" t="s">
        <v>347</v>
      </c>
      <c r="G245" s="394" t="s">
        <v>64</v>
      </c>
      <c r="H245" s="394" t="s">
        <v>63</v>
      </c>
      <c r="I245" s="394" t="s">
        <v>844</v>
      </c>
      <c r="J245" s="396">
        <v>0</v>
      </c>
      <c r="M245" s="394" t="s">
        <v>1320</v>
      </c>
      <c r="N245" s="394" t="s">
        <v>1319</v>
      </c>
      <c r="O245" s="394" t="s">
        <v>146</v>
      </c>
      <c r="P245" s="394" t="s">
        <v>146</v>
      </c>
      <c r="Q245" s="396">
        <v>105</v>
      </c>
      <c r="R245" s="396">
        <v>568</v>
      </c>
      <c r="U245" s="394" t="s">
        <v>1318</v>
      </c>
      <c r="V245" s="394" t="s">
        <v>988</v>
      </c>
    </row>
    <row r="246" spans="1:22" x14ac:dyDescent="0.25">
      <c r="A246" s="394" t="s">
        <v>310</v>
      </c>
      <c r="B246" s="394" t="s">
        <v>349</v>
      </c>
      <c r="G246" s="394" t="s">
        <v>126</v>
      </c>
      <c r="H246" s="394" t="s">
        <v>125</v>
      </c>
      <c r="I246" s="394" t="s">
        <v>501</v>
      </c>
      <c r="J246" s="396">
        <v>35</v>
      </c>
      <c r="M246" s="394" t="s">
        <v>1542</v>
      </c>
      <c r="N246" s="394" t="s">
        <v>1541</v>
      </c>
      <c r="O246" s="394" t="s">
        <v>1544</v>
      </c>
      <c r="P246" s="394" t="s">
        <v>1544</v>
      </c>
      <c r="Q246" s="396">
        <v>6</v>
      </c>
      <c r="R246" s="396">
        <v>9</v>
      </c>
      <c r="U246" s="394" t="s">
        <v>1320</v>
      </c>
      <c r="V246" s="394" t="s">
        <v>555</v>
      </c>
    </row>
    <row r="247" spans="1:22" x14ac:dyDescent="0.25">
      <c r="A247" s="394" t="s">
        <v>310</v>
      </c>
      <c r="B247" s="394" t="s">
        <v>316</v>
      </c>
      <c r="G247" s="394" t="s">
        <v>353</v>
      </c>
      <c r="H247" s="394" t="s">
        <v>352</v>
      </c>
      <c r="I247" s="394" t="s">
        <v>501</v>
      </c>
      <c r="J247" s="396">
        <v>1355</v>
      </c>
      <c r="M247" s="394" t="s">
        <v>1540</v>
      </c>
      <c r="N247" s="394" t="s">
        <v>296</v>
      </c>
      <c r="O247" s="394" t="s">
        <v>151</v>
      </c>
      <c r="P247" s="394" t="s">
        <v>151</v>
      </c>
      <c r="Q247" s="396">
        <v>0</v>
      </c>
      <c r="R247" s="396">
        <v>0</v>
      </c>
      <c r="U247" s="394" t="s">
        <v>1542</v>
      </c>
      <c r="V247" s="394" t="s">
        <v>555</v>
      </c>
    </row>
    <row r="248" spans="1:22" x14ac:dyDescent="0.25">
      <c r="A248" s="394" t="s">
        <v>310</v>
      </c>
      <c r="B248" s="394" t="s">
        <v>311</v>
      </c>
      <c r="G248" s="394" t="s">
        <v>37</v>
      </c>
      <c r="H248" s="394" t="s">
        <v>36</v>
      </c>
      <c r="I248" s="394" t="s">
        <v>844</v>
      </c>
      <c r="J248" s="396">
        <v>0</v>
      </c>
      <c r="M248" s="394" t="s">
        <v>1527</v>
      </c>
      <c r="N248" s="394" t="s">
        <v>1535</v>
      </c>
      <c r="O248" s="394" t="s">
        <v>146</v>
      </c>
      <c r="P248" s="394" t="s">
        <v>146</v>
      </c>
      <c r="Q248" s="396">
        <v>142</v>
      </c>
      <c r="R248" s="396">
        <v>710</v>
      </c>
      <c r="U248" s="394" t="s">
        <v>1540</v>
      </c>
      <c r="V248" s="394" t="s">
        <v>555</v>
      </c>
    </row>
    <row r="249" spans="1:22" x14ac:dyDescent="0.25">
      <c r="A249" s="394" t="s">
        <v>310</v>
      </c>
      <c r="B249" s="394" t="s">
        <v>353</v>
      </c>
      <c r="G249" s="394" t="s">
        <v>74</v>
      </c>
      <c r="H249" s="394" t="s">
        <v>73</v>
      </c>
      <c r="I249" s="394" t="s">
        <v>844</v>
      </c>
      <c r="J249" s="396">
        <v>0</v>
      </c>
      <c r="M249" s="394" t="s">
        <v>1528</v>
      </c>
      <c r="N249" s="394" t="s">
        <v>1546</v>
      </c>
      <c r="O249" s="394" t="s">
        <v>1184</v>
      </c>
      <c r="P249" s="394" t="s">
        <v>298</v>
      </c>
      <c r="Q249" s="396">
        <v>19</v>
      </c>
      <c r="R249" s="396">
        <v>82</v>
      </c>
      <c r="U249" s="394" t="s">
        <v>1527</v>
      </c>
      <c r="V249" s="394" t="s">
        <v>555</v>
      </c>
    </row>
    <row r="250" spans="1:22" x14ac:dyDescent="0.25">
      <c r="A250" s="394" t="s">
        <v>310</v>
      </c>
      <c r="B250" s="394" t="s">
        <v>1249</v>
      </c>
      <c r="G250" s="394" t="s">
        <v>283</v>
      </c>
      <c r="H250" s="394" t="s">
        <v>282</v>
      </c>
      <c r="I250" s="394" t="s">
        <v>501</v>
      </c>
      <c r="J250" s="396">
        <v>7</v>
      </c>
      <c r="M250" s="394" t="s">
        <v>1529</v>
      </c>
      <c r="N250" s="394" t="s">
        <v>1549</v>
      </c>
      <c r="O250" s="394" t="s">
        <v>1184</v>
      </c>
      <c r="P250" s="394" t="s">
        <v>166</v>
      </c>
      <c r="Q250" s="396">
        <v>36</v>
      </c>
      <c r="R250" s="396">
        <v>188</v>
      </c>
      <c r="U250" s="394" t="s">
        <v>1528</v>
      </c>
      <c r="V250" s="394" t="s">
        <v>555</v>
      </c>
    </row>
    <row r="251" spans="1:22" x14ac:dyDescent="0.25">
      <c r="A251" s="394" t="s">
        <v>310</v>
      </c>
      <c r="B251" s="394" t="s">
        <v>1250</v>
      </c>
      <c r="G251" s="394" t="s">
        <v>26</v>
      </c>
      <c r="H251" s="394" t="s">
        <v>25</v>
      </c>
      <c r="I251" s="394" t="s">
        <v>501</v>
      </c>
      <c r="J251" s="396">
        <v>15</v>
      </c>
      <c r="M251" s="394" t="s">
        <v>1530</v>
      </c>
      <c r="N251" s="394" t="s">
        <v>1536</v>
      </c>
      <c r="O251" s="394" t="s">
        <v>289</v>
      </c>
      <c r="P251" s="394" t="s">
        <v>289</v>
      </c>
      <c r="Q251" s="396">
        <v>200</v>
      </c>
      <c r="R251" s="396">
        <v>827</v>
      </c>
      <c r="U251" s="394" t="s">
        <v>1529</v>
      </c>
      <c r="V251" s="394" t="s">
        <v>555</v>
      </c>
    </row>
    <row r="252" spans="1:22" x14ac:dyDescent="0.25">
      <c r="A252" s="394" t="s">
        <v>310</v>
      </c>
      <c r="B252" s="394" t="s">
        <v>1251</v>
      </c>
      <c r="G252" s="394" t="s">
        <v>140</v>
      </c>
      <c r="H252" s="394" t="s">
        <v>139</v>
      </c>
      <c r="I252" s="394" t="s">
        <v>501</v>
      </c>
      <c r="J252" s="396">
        <v>12</v>
      </c>
      <c r="M252" s="394" t="s">
        <v>1531</v>
      </c>
      <c r="N252" s="394" t="s">
        <v>1537</v>
      </c>
      <c r="O252" s="394" t="s">
        <v>289</v>
      </c>
      <c r="P252" s="394" t="s">
        <v>289</v>
      </c>
      <c r="Q252" s="396">
        <v>61</v>
      </c>
      <c r="R252" s="396">
        <v>247</v>
      </c>
      <c r="U252" s="394" t="s">
        <v>1530</v>
      </c>
      <c r="V252" s="394" t="s">
        <v>555</v>
      </c>
    </row>
    <row r="253" spans="1:22" x14ac:dyDescent="0.25">
      <c r="A253" s="394" t="s">
        <v>310</v>
      </c>
      <c r="B253" s="394" t="s">
        <v>1246</v>
      </c>
      <c r="G253" s="394" t="s">
        <v>1248</v>
      </c>
      <c r="H253" s="394" t="s">
        <v>356</v>
      </c>
      <c r="I253" s="394" t="s">
        <v>501</v>
      </c>
      <c r="J253" s="396">
        <v>604</v>
      </c>
      <c r="M253" s="394" t="s">
        <v>1532</v>
      </c>
      <c r="N253" s="394" t="s">
        <v>1538</v>
      </c>
      <c r="O253" s="394" t="s">
        <v>146</v>
      </c>
      <c r="P253" s="394" t="s">
        <v>146</v>
      </c>
      <c r="Q253" s="396">
        <v>176</v>
      </c>
      <c r="R253" s="396">
        <v>798</v>
      </c>
      <c r="U253" s="394" t="s">
        <v>1531</v>
      </c>
      <c r="V253" s="394" t="s">
        <v>555</v>
      </c>
    </row>
    <row r="254" spans="1:22" x14ac:dyDescent="0.25">
      <c r="A254" s="394" t="s">
        <v>310</v>
      </c>
      <c r="B254" s="394" t="s">
        <v>1248</v>
      </c>
      <c r="G254" s="394" t="s">
        <v>515</v>
      </c>
      <c r="H254" s="394" t="s">
        <v>516</v>
      </c>
      <c r="I254" s="394" t="s">
        <v>844</v>
      </c>
      <c r="J254" s="396">
        <v>0</v>
      </c>
      <c r="M254" s="394" t="s">
        <v>1533</v>
      </c>
      <c r="N254" s="394" t="s">
        <v>1552</v>
      </c>
      <c r="O254" s="394" t="s">
        <v>780</v>
      </c>
      <c r="P254" s="394" t="s">
        <v>780</v>
      </c>
      <c r="Q254" s="396">
        <v>20</v>
      </c>
      <c r="R254" s="396">
        <v>75</v>
      </c>
      <c r="U254" s="394" t="s">
        <v>1532</v>
      </c>
      <c r="V254" s="394" t="s">
        <v>555</v>
      </c>
    </row>
    <row r="255" spans="1:22" x14ac:dyDescent="0.25">
      <c r="A255" s="394" t="s">
        <v>1544</v>
      </c>
      <c r="B255" s="394" t="s">
        <v>1541</v>
      </c>
      <c r="G255" s="394" t="s">
        <v>373</v>
      </c>
      <c r="H255" s="394" t="s">
        <v>387</v>
      </c>
      <c r="I255" s="394" t="s">
        <v>501</v>
      </c>
      <c r="J255" s="396">
        <v>202</v>
      </c>
      <c r="M255" s="394" t="s">
        <v>1534</v>
      </c>
      <c r="N255" s="394" t="s">
        <v>1556</v>
      </c>
      <c r="O255" s="394" t="s">
        <v>146</v>
      </c>
      <c r="P255" s="394" t="s">
        <v>146</v>
      </c>
      <c r="Q255" s="396">
        <v>30</v>
      </c>
      <c r="R255" s="396">
        <v>170</v>
      </c>
      <c r="U255" s="394" t="s">
        <v>1533</v>
      </c>
      <c r="V255" s="394" t="s">
        <v>555</v>
      </c>
    </row>
    <row r="256" spans="1:22" x14ac:dyDescent="0.25">
      <c r="U256" s="394" t="s">
        <v>1534</v>
      </c>
      <c r="V256" s="394" t="s">
        <v>555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M13"/>
  <sheetViews>
    <sheetView workbookViewId="0">
      <selection activeCell="J19" sqref="J19"/>
    </sheetView>
  </sheetViews>
  <sheetFormatPr defaultColWidth="9.140625" defaultRowHeight="15" x14ac:dyDescent="0.25"/>
  <cols>
    <col min="1" max="1" width="6.7109375" style="122" customWidth="1"/>
    <col min="2" max="2" width="34.42578125" style="122" customWidth="1"/>
    <col min="3" max="3" width="22.5703125" style="122" customWidth="1"/>
    <col min="4" max="16384" width="9.140625" style="122"/>
  </cols>
  <sheetData>
    <row r="1" spans="1:13" x14ac:dyDescent="0.25">
      <c r="A1" s="130"/>
      <c r="B1" s="131"/>
      <c r="E1" s="122" t="s">
        <v>947</v>
      </c>
      <c r="K1" s="122" t="s">
        <v>948</v>
      </c>
      <c r="L1" s="122" t="s">
        <v>949</v>
      </c>
    </row>
    <row r="2" spans="1:13" ht="44.25" customHeight="1" x14ac:dyDescent="0.25">
      <c r="A2" s="130"/>
      <c r="B2" s="131" t="s">
        <v>950</v>
      </c>
      <c r="C2" s="131" t="str">
        <f>CONCATENATE("d:\",C3,".kml")</f>
        <v>d:\Kachin_CampList_20160720.kml</v>
      </c>
      <c r="G2" s="122" t="s">
        <v>951</v>
      </c>
      <c r="H2" s="122" t="s">
        <v>952</v>
      </c>
      <c r="K2" s="122" t="s">
        <v>953</v>
      </c>
      <c r="L2" s="122" t="s">
        <v>954</v>
      </c>
      <c r="M2" s="122" t="s">
        <v>955</v>
      </c>
    </row>
    <row r="3" spans="1:13" x14ac:dyDescent="0.25">
      <c r="A3" s="130"/>
      <c r="B3" s="132" t="s">
        <v>956</v>
      </c>
      <c r="C3" s="122" t="str">
        <f>CONCATENATE("Kachin_CampList_",TEXT(Report_Date,"yyyymmdd"))</f>
        <v>Kachin_CampList_20160720</v>
      </c>
      <c r="G3" s="122" t="s">
        <v>957</v>
      </c>
      <c r="H3" s="122" t="s">
        <v>958</v>
      </c>
      <c r="K3" s="122" t="s">
        <v>959</v>
      </c>
      <c r="L3" s="122" t="s">
        <v>960</v>
      </c>
      <c r="M3" s="122" t="s">
        <v>961</v>
      </c>
    </row>
    <row r="4" spans="1:13" x14ac:dyDescent="0.25">
      <c r="A4" s="130"/>
      <c r="B4" s="132"/>
      <c r="G4" s="122" t="s">
        <v>962</v>
      </c>
      <c r="H4" s="122" t="s">
        <v>963</v>
      </c>
      <c r="K4" s="122" t="s">
        <v>964</v>
      </c>
      <c r="L4" s="122" t="s">
        <v>965</v>
      </c>
      <c r="M4" s="122" t="s">
        <v>966</v>
      </c>
    </row>
    <row r="5" spans="1:13" x14ac:dyDescent="0.25">
      <c r="B5" s="122" t="s">
        <v>967</v>
      </c>
      <c r="C5" s="122" t="s">
        <v>968</v>
      </c>
      <c r="K5" s="122" t="s">
        <v>969</v>
      </c>
      <c r="L5" s="122" t="s">
        <v>970</v>
      </c>
      <c r="M5" s="122" t="s">
        <v>971</v>
      </c>
    </row>
    <row r="6" spans="1:13" x14ac:dyDescent="0.25">
      <c r="B6" s="122" t="s">
        <v>972</v>
      </c>
      <c r="C6" s="122" t="s">
        <v>973</v>
      </c>
      <c r="K6" s="122" t="s">
        <v>974</v>
      </c>
      <c r="L6" s="122" t="s">
        <v>975</v>
      </c>
      <c r="M6" s="122" t="s">
        <v>976</v>
      </c>
    </row>
    <row r="8" spans="1:13" x14ac:dyDescent="0.25">
      <c r="B8" s="122" t="s">
        <v>977</v>
      </c>
      <c r="C8" s="122" t="s">
        <v>978</v>
      </c>
    </row>
    <row r="9" spans="1:13" x14ac:dyDescent="0.25">
      <c r="B9" s="122" t="s">
        <v>979</v>
      </c>
      <c r="C9" s="122" t="s">
        <v>980</v>
      </c>
      <c r="D9" s="122" t="s">
        <v>981</v>
      </c>
    </row>
    <row r="10" spans="1:13" x14ac:dyDescent="0.25">
      <c r="B10" s="122" t="s">
        <v>982</v>
      </c>
      <c r="C10" s="122" t="s">
        <v>983</v>
      </c>
    </row>
    <row r="11" spans="1:13" x14ac:dyDescent="0.25">
      <c r="B11" s="122" t="s">
        <v>984</v>
      </c>
      <c r="C11" s="122" t="s">
        <v>985</v>
      </c>
    </row>
    <row r="13" spans="1:13" x14ac:dyDescent="0.25">
      <c r="B13" s="122" t="s">
        <v>986</v>
      </c>
      <c r="C13" s="122" t="s">
        <v>987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pageSetUpPr fitToPage="1"/>
  </sheetPr>
  <dimension ref="A1:S25"/>
  <sheetViews>
    <sheetView showZeros="0" workbookViewId="0">
      <selection activeCell="D26" sqref="D26"/>
    </sheetView>
  </sheetViews>
  <sheetFormatPr defaultRowHeight="15" x14ac:dyDescent="0.25"/>
  <cols>
    <col min="1" max="1" width="22.7109375" bestFit="1" customWidth="1"/>
    <col min="2" max="2" width="33.85546875" bestFit="1" customWidth="1"/>
    <col min="3" max="3" width="34" bestFit="1" customWidth="1"/>
    <col min="4" max="4" width="36.7109375" bestFit="1" customWidth="1"/>
    <col min="5" max="5" width="18" bestFit="1" customWidth="1"/>
    <col min="6" max="6" width="3.5703125" bestFit="1" customWidth="1"/>
    <col min="10" max="10" width="14" customWidth="1"/>
    <col min="11" max="11" width="14" style="122" customWidth="1"/>
    <col min="12" max="12" width="15.28515625" customWidth="1"/>
    <col min="13" max="13" width="15.28515625" style="122" customWidth="1"/>
    <col min="14" max="14" width="14.85546875" customWidth="1"/>
    <col min="16" max="16" width="22.5703125" customWidth="1"/>
    <col min="17" max="17" width="21.42578125" customWidth="1"/>
  </cols>
  <sheetData>
    <row r="1" spans="1:19" s="40" customFormat="1" x14ac:dyDescent="0.25">
      <c r="A1" s="40" t="s">
        <v>486</v>
      </c>
      <c r="B1" s="40" t="s">
        <v>488</v>
      </c>
      <c r="C1" s="40" t="s">
        <v>487</v>
      </c>
      <c r="D1" s="40" t="s">
        <v>410</v>
      </c>
      <c r="E1" s="40" t="s">
        <v>490</v>
      </c>
      <c r="F1" s="40" t="s">
        <v>489</v>
      </c>
      <c r="J1" s="2" t="s">
        <v>395</v>
      </c>
      <c r="K1" s="2"/>
      <c r="L1" s="2" t="s">
        <v>380</v>
      </c>
      <c r="M1" s="2"/>
      <c r="N1" s="2" t="s">
        <v>554</v>
      </c>
      <c r="O1" s="2"/>
      <c r="P1" s="2" t="s">
        <v>401</v>
      </c>
      <c r="Q1" s="2" t="s">
        <v>500</v>
      </c>
      <c r="R1"/>
      <c r="S1" s="2" t="s">
        <v>1306</v>
      </c>
    </row>
    <row r="2" spans="1:19" x14ac:dyDescent="0.25">
      <c r="A2" t="s">
        <v>435</v>
      </c>
      <c r="B2" t="s">
        <v>477</v>
      </c>
      <c r="C2" t="s">
        <v>467</v>
      </c>
      <c r="D2" t="s">
        <v>470</v>
      </c>
      <c r="E2" s="122">
        <v>12</v>
      </c>
      <c r="F2">
        <v>2</v>
      </c>
      <c r="J2" s="44" t="s">
        <v>380</v>
      </c>
      <c r="K2" s="44"/>
      <c r="L2" s="44" t="s">
        <v>5</v>
      </c>
      <c r="M2" s="44"/>
      <c r="N2" s="44" t="s">
        <v>146</v>
      </c>
      <c r="O2" s="44"/>
      <c r="P2" s="44" t="s">
        <v>396</v>
      </c>
      <c r="Q2" s="44" t="s">
        <v>495</v>
      </c>
      <c r="S2" t="s">
        <v>1308</v>
      </c>
    </row>
    <row r="3" spans="1:19" x14ac:dyDescent="0.25">
      <c r="A3" t="s">
        <v>1221</v>
      </c>
      <c r="B3" t="s">
        <v>1223</v>
      </c>
      <c r="C3" t="s">
        <v>1224</v>
      </c>
      <c r="D3" t="s">
        <v>1225</v>
      </c>
      <c r="E3" s="122">
        <v>12</v>
      </c>
      <c r="F3">
        <v>1</v>
      </c>
      <c r="J3" s="44" t="s">
        <v>381</v>
      </c>
      <c r="K3" s="44"/>
      <c r="L3" s="44" t="s">
        <v>27</v>
      </c>
      <c r="M3" s="44"/>
      <c r="N3" s="44" t="s">
        <v>166</v>
      </c>
      <c r="O3" s="44"/>
      <c r="P3" s="44" t="s">
        <v>397</v>
      </c>
      <c r="Q3" s="44" t="s">
        <v>496</v>
      </c>
      <c r="S3" t="s">
        <v>1309</v>
      </c>
    </row>
    <row r="4" spans="1:19" x14ac:dyDescent="0.25">
      <c r="A4" t="s">
        <v>456</v>
      </c>
      <c r="B4" t="s">
        <v>478</v>
      </c>
      <c r="C4" t="s">
        <v>463</v>
      </c>
      <c r="D4" t="s">
        <v>473</v>
      </c>
      <c r="E4" s="122">
        <v>12</v>
      </c>
      <c r="F4">
        <v>1</v>
      </c>
      <c r="J4" s="44" t="s">
        <v>554</v>
      </c>
      <c r="K4" s="44"/>
      <c r="L4" s="44" t="s">
        <v>528</v>
      </c>
      <c r="M4" s="44"/>
      <c r="N4" s="44" t="s">
        <v>230</v>
      </c>
      <c r="O4" s="44"/>
      <c r="P4" s="44" t="s">
        <v>398</v>
      </c>
      <c r="Q4" s="44" t="s">
        <v>494</v>
      </c>
    </row>
    <row r="5" spans="1:19" x14ac:dyDescent="0.25">
      <c r="A5" t="s">
        <v>436</v>
      </c>
      <c r="B5" t="s">
        <v>479</v>
      </c>
      <c r="C5" t="s">
        <v>468</v>
      </c>
      <c r="D5" t="s">
        <v>471</v>
      </c>
      <c r="E5" s="122">
        <v>12</v>
      </c>
      <c r="F5">
        <v>1</v>
      </c>
      <c r="J5" s="2"/>
      <c r="K5" s="2"/>
      <c r="L5" s="44" t="s">
        <v>363</v>
      </c>
      <c r="M5" s="44"/>
      <c r="N5" s="44" t="s">
        <v>289</v>
      </c>
      <c r="O5" s="44"/>
      <c r="P5" s="44" t="s">
        <v>399</v>
      </c>
      <c r="Q5" s="44"/>
    </row>
    <row r="6" spans="1:19" x14ac:dyDescent="0.25">
      <c r="A6" t="s">
        <v>596</v>
      </c>
      <c r="B6" t="s">
        <v>480</v>
      </c>
      <c r="C6" t="s">
        <v>472</v>
      </c>
      <c r="D6" t="s">
        <v>476</v>
      </c>
      <c r="E6" s="122">
        <v>12</v>
      </c>
      <c r="F6">
        <v>2</v>
      </c>
      <c r="J6" s="44"/>
      <c r="K6" s="44"/>
      <c r="L6" s="44" t="s">
        <v>144</v>
      </c>
      <c r="M6" s="44"/>
      <c r="N6" s="44" t="s">
        <v>298</v>
      </c>
      <c r="O6" s="44"/>
      <c r="P6" s="44" t="s">
        <v>400</v>
      </c>
      <c r="Q6" s="44"/>
    </row>
    <row r="7" spans="1:19" x14ac:dyDescent="0.25">
      <c r="A7" t="s">
        <v>404</v>
      </c>
      <c r="B7" t="s">
        <v>481</v>
      </c>
      <c r="C7" t="s">
        <v>464</v>
      </c>
      <c r="D7" t="s">
        <v>474</v>
      </c>
      <c r="E7" s="122">
        <v>12</v>
      </c>
      <c r="F7">
        <v>1</v>
      </c>
      <c r="J7" s="44"/>
      <c r="K7" s="44"/>
      <c r="L7" s="122" t="s">
        <v>894</v>
      </c>
      <c r="N7" s="44" t="s">
        <v>780</v>
      </c>
      <c r="O7" s="44"/>
      <c r="P7" s="44"/>
      <c r="Q7" s="44"/>
    </row>
    <row r="8" spans="1:19" x14ac:dyDescent="0.25">
      <c r="A8" t="s">
        <v>457</v>
      </c>
      <c r="B8" t="s">
        <v>482</v>
      </c>
      <c r="C8" t="s">
        <v>465</v>
      </c>
      <c r="D8" t="s">
        <v>475</v>
      </c>
      <c r="E8" s="122">
        <v>12</v>
      </c>
      <c r="F8">
        <v>1</v>
      </c>
      <c r="J8" s="44"/>
      <c r="K8" s="44"/>
      <c r="L8" s="44" t="s">
        <v>151</v>
      </c>
      <c r="M8" s="44"/>
      <c r="O8" s="44"/>
      <c r="P8" s="44"/>
      <c r="Q8" s="44"/>
    </row>
    <row r="9" spans="1:19" x14ac:dyDescent="0.25">
      <c r="A9" t="s">
        <v>458</v>
      </c>
      <c r="B9" t="s">
        <v>483</v>
      </c>
      <c r="C9" t="s">
        <v>466</v>
      </c>
      <c r="D9" t="s">
        <v>469</v>
      </c>
      <c r="E9" s="122">
        <v>12</v>
      </c>
      <c r="F9">
        <v>1</v>
      </c>
      <c r="J9" s="44"/>
      <c r="K9" s="44"/>
      <c r="L9" s="44" t="s">
        <v>173</v>
      </c>
      <c r="M9" s="44"/>
      <c r="N9" s="44"/>
      <c r="O9" s="44"/>
      <c r="P9" s="44"/>
      <c r="Q9" s="44"/>
    </row>
    <row r="10" spans="1:19" x14ac:dyDescent="0.25">
      <c r="A10" t="s">
        <v>578</v>
      </c>
      <c r="B10" s="76" t="s">
        <v>580</v>
      </c>
      <c r="C10" s="76" t="s">
        <v>582</v>
      </c>
      <c r="D10" s="76" t="s">
        <v>584</v>
      </c>
      <c r="E10" s="122">
        <v>12</v>
      </c>
      <c r="F10" s="76">
        <v>1</v>
      </c>
      <c r="J10" s="44"/>
      <c r="K10" s="44"/>
      <c r="L10" s="44" t="s">
        <v>180</v>
      </c>
      <c r="M10" s="44"/>
      <c r="N10" s="44"/>
      <c r="O10" s="44"/>
      <c r="P10" s="44"/>
      <c r="Q10" s="44"/>
    </row>
    <row r="11" spans="1:19" x14ac:dyDescent="0.25">
      <c r="A11" t="s">
        <v>579</v>
      </c>
      <c r="B11" s="76" t="s">
        <v>581</v>
      </c>
      <c r="C11" s="76" t="s">
        <v>583</v>
      </c>
      <c r="D11" s="76" t="s">
        <v>585</v>
      </c>
      <c r="E11" s="122">
        <v>12</v>
      </c>
      <c r="F11" s="76">
        <v>5</v>
      </c>
      <c r="J11" s="44"/>
      <c r="K11" s="44"/>
      <c r="L11" s="44" t="s">
        <v>185</v>
      </c>
      <c r="M11" s="44"/>
      <c r="N11" s="44"/>
      <c r="O11" s="44"/>
      <c r="P11" s="44"/>
      <c r="Q11" s="44"/>
    </row>
    <row r="12" spans="1:19" x14ac:dyDescent="0.25">
      <c r="A12" t="s">
        <v>989</v>
      </c>
      <c r="B12" s="122" t="s">
        <v>990</v>
      </c>
      <c r="C12" s="122" t="s">
        <v>991</v>
      </c>
      <c r="D12" s="122" t="s">
        <v>992</v>
      </c>
      <c r="E12" s="122">
        <v>12</v>
      </c>
      <c r="F12">
        <v>2</v>
      </c>
      <c r="J12" s="44"/>
      <c r="K12" s="44"/>
      <c r="L12" s="44" t="s">
        <v>379</v>
      </c>
      <c r="M12" s="44"/>
      <c r="N12" s="44"/>
      <c r="O12" s="44"/>
      <c r="P12" s="44"/>
      <c r="Q12" s="44"/>
    </row>
    <row r="13" spans="1:19" x14ac:dyDescent="0.25">
      <c r="A13" s="122" t="s">
        <v>993</v>
      </c>
      <c r="B13" s="122" t="s">
        <v>994</v>
      </c>
      <c r="C13" s="122" t="s">
        <v>995</v>
      </c>
      <c r="D13" s="122" t="s">
        <v>996</v>
      </c>
      <c r="E13" s="122">
        <v>12</v>
      </c>
      <c r="F13">
        <v>3</v>
      </c>
      <c r="J13" s="44"/>
      <c r="K13" s="44"/>
      <c r="L13" s="44" t="s">
        <v>237</v>
      </c>
      <c r="M13" s="44"/>
      <c r="N13" s="44"/>
      <c r="O13" s="44"/>
      <c r="P13" s="44"/>
      <c r="Q13" s="44"/>
    </row>
    <row r="14" spans="1:19" x14ac:dyDescent="0.25">
      <c r="A14" t="s">
        <v>997</v>
      </c>
      <c r="B14" s="122" t="s">
        <v>998</v>
      </c>
      <c r="C14" s="122" t="s">
        <v>999</v>
      </c>
      <c r="D14" s="122" t="s">
        <v>1000</v>
      </c>
      <c r="E14" s="122">
        <v>12</v>
      </c>
      <c r="F14">
        <v>10</v>
      </c>
      <c r="J14" s="44"/>
      <c r="K14" s="44"/>
      <c r="L14" s="44" t="s">
        <v>300</v>
      </c>
      <c r="M14" s="44"/>
      <c r="N14" s="44"/>
      <c r="O14" s="44"/>
      <c r="P14" s="44"/>
      <c r="Q14" s="44"/>
    </row>
    <row r="15" spans="1:19" x14ac:dyDescent="0.25">
      <c r="A15" t="s">
        <v>1113</v>
      </c>
      <c r="B15" t="s">
        <v>1114</v>
      </c>
      <c r="C15" s="122" t="s">
        <v>1115</v>
      </c>
      <c r="D15" s="122" t="s">
        <v>1116</v>
      </c>
      <c r="E15" s="122">
        <v>24</v>
      </c>
      <c r="F15">
        <v>2</v>
      </c>
      <c r="J15" s="44"/>
      <c r="K15" s="44"/>
      <c r="L15" s="44" t="s">
        <v>302</v>
      </c>
      <c r="M15" s="44"/>
      <c r="N15" s="44"/>
      <c r="O15" s="44"/>
      <c r="P15" s="44"/>
      <c r="Q15" s="44"/>
    </row>
    <row r="16" spans="1:19" x14ac:dyDescent="0.25">
      <c r="A16" t="s">
        <v>1310</v>
      </c>
      <c r="B16" t="s">
        <v>1312</v>
      </c>
      <c r="C16" t="s">
        <v>1313</v>
      </c>
      <c r="D16" t="s">
        <v>1314</v>
      </c>
      <c r="E16">
        <v>12</v>
      </c>
      <c r="F16">
        <v>1</v>
      </c>
      <c r="J16" s="44"/>
      <c r="K16" s="44"/>
      <c r="L16" s="44" t="s">
        <v>809</v>
      </c>
      <c r="M16" s="44"/>
      <c r="N16" s="44"/>
      <c r="O16" s="44"/>
      <c r="P16" s="44"/>
      <c r="Q16" s="44"/>
    </row>
    <row r="17" spans="1:17" x14ac:dyDescent="0.25">
      <c r="J17" s="44"/>
      <c r="K17" s="44"/>
      <c r="L17" s="44" t="s">
        <v>310</v>
      </c>
      <c r="M17" s="44"/>
      <c r="N17" s="44"/>
      <c r="O17" s="44"/>
      <c r="P17" s="44"/>
      <c r="Q17" s="44"/>
    </row>
    <row r="18" spans="1:17" x14ac:dyDescent="0.25">
      <c r="J18" s="44"/>
      <c r="K18" s="44"/>
      <c r="L18" s="44"/>
      <c r="M18" s="44"/>
      <c r="N18" s="44"/>
      <c r="O18" s="44"/>
      <c r="P18" s="44"/>
      <c r="Q18" s="44"/>
    </row>
    <row r="19" spans="1:17" x14ac:dyDescent="0.25">
      <c r="J19" s="44"/>
      <c r="K19" s="44"/>
      <c r="L19" s="44"/>
      <c r="M19" s="44"/>
      <c r="N19" s="44"/>
      <c r="O19" s="44"/>
      <c r="P19" s="44"/>
      <c r="Q19" s="44"/>
    </row>
    <row r="20" spans="1:17" x14ac:dyDescent="0.25">
      <c r="A20" s="2"/>
      <c r="J20" s="44"/>
      <c r="K20" s="44"/>
      <c r="L20" s="44"/>
      <c r="M20" s="44"/>
      <c r="N20" s="44"/>
      <c r="O20" s="44"/>
      <c r="P20" s="44"/>
      <c r="Q20" s="44"/>
    </row>
    <row r="23" spans="1:17" x14ac:dyDescent="0.25">
      <c r="A23" t="s">
        <v>1151</v>
      </c>
      <c r="B23" s="60">
        <v>42571</v>
      </c>
    </row>
    <row r="24" spans="1:17" x14ac:dyDescent="0.25">
      <c r="A24" t="s">
        <v>1152</v>
      </c>
      <c r="B24" s="177">
        <v>41640</v>
      </c>
      <c r="C24" s="177"/>
    </row>
    <row r="25" spans="1:17" x14ac:dyDescent="0.25">
      <c r="B25" s="177"/>
    </row>
  </sheetData>
  <sortState ref="J2:M17">
    <sortCondition ref="L11"/>
  </sortState>
  <printOptions gridLines="1"/>
  <pageMargins left="0.25" right="0.25" top="0.75" bottom="0.75" header="0.3" footer="0.3"/>
  <pageSetup paperSize="9" orientation="landscape"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3957C5D7-EFF0-44A3-9298-445924399827}">
  <ds:schemaRefs/>
</ds:datastoreItem>
</file>

<file path=customXml/itemProps2.xml><?xml version="1.0" encoding="utf-8"?>
<ds:datastoreItem xmlns:ds="http://schemas.openxmlformats.org/officeDocument/2006/customXml" ds:itemID="{813269B1-46E6-446B-AAFD-6C3C2E019447}">
  <ds:schemaRefs/>
</ds:datastoreItem>
</file>

<file path=customXml/itemProps3.xml><?xml version="1.0" encoding="utf-8"?>
<ds:datastoreItem xmlns:ds="http://schemas.openxmlformats.org/officeDocument/2006/customXml" ds:itemID="{69B4A3EE-0A3F-4462-99AB-FF7F45263C2E}">
  <ds:schemaRefs/>
</ds:datastoreItem>
</file>

<file path=customXml/itemProps4.xml><?xml version="1.0" encoding="utf-8"?>
<ds:datastoreItem xmlns:ds="http://schemas.openxmlformats.org/officeDocument/2006/customXml" ds:itemID="{EFDD4649-07B9-495C-8FFA-CE327D4258B8}">
  <ds:schemaRefs/>
</ds:datastoreItem>
</file>

<file path=customXml/itemProps5.xml><?xml version="1.0" encoding="utf-8"?>
<ds:datastoreItem xmlns:ds="http://schemas.openxmlformats.org/officeDocument/2006/customXml" ds:itemID="{D50E7055-9622-4A96-82B8-EBACB5B39629}">
  <ds:schemaRefs/>
</ds:datastoreItem>
</file>

<file path=customXml/itemProps6.xml><?xml version="1.0" encoding="utf-8"?>
<ds:datastoreItem xmlns:ds="http://schemas.openxmlformats.org/officeDocument/2006/customXml" ds:itemID="{56F54182-A2E7-46D3-9B50-3EE12C2ED11C}">
  <ds:schemaRefs/>
</ds:datastoreItem>
</file>

<file path=customXml/itemProps7.xml><?xml version="1.0" encoding="utf-8"?>
<ds:datastoreItem xmlns:ds="http://schemas.openxmlformats.org/officeDocument/2006/customXml" ds:itemID="{21F44420-13F1-4F50-9105-F761EFC3AFFE}">
  <ds:schemaRefs/>
</ds:datastoreItem>
</file>

<file path=customXml/itemProps8.xml><?xml version="1.0" encoding="utf-8"?>
<ds:datastoreItem xmlns:ds="http://schemas.openxmlformats.org/officeDocument/2006/customXml" ds:itemID="{54F841B6-B55C-4835-A603-634668231C4E}">
  <ds:schemaRefs/>
</ds:datastoreItem>
</file>

<file path=customXml/itemProps9.xml><?xml version="1.0" encoding="utf-8"?>
<ds:datastoreItem xmlns:ds="http://schemas.openxmlformats.org/officeDocument/2006/customXml" ds:itemID="{C2BE83A5-448A-4B18-BB34-D729CAA9F86F}">
  <ds:schemaRefs/>
</ds:datastoreItem>
</file>

<file path=customXml/itemProps10.xml><?xml version="1.0" encoding="utf-8"?>
<ds:datastoreItem xmlns:ds="http://schemas.openxmlformats.org/officeDocument/2006/customXml" ds:itemID="{29F038A7-53D4-43C9-BA81-F04FA320B26C}">
  <ds:schemaRefs/>
</ds:datastoreItem>
</file>

<file path=customXml/itemProps11.xml><?xml version="1.0" encoding="utf-8"?>
<ds:datastoreItem xmlns:ds="http://schemas.openxmlformats.org/officeDocument/2006/customXml" ds:itemID="{DB9160EE-0167-41E4-AC28-973692AB29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102</vt:i4>
      </vt:variant>
    </vt:vector>
  </HeadingPairs>
  <TitlesOfParts>
    <vt:vector size="125" baseType="lpstr">
      <vt:lpstr>Home</vt:lpstr>
      <vt:lpstr>Camp List</vt:lpstr>
      <vt:lpstr>DistanceToCamp</vt:lpstr>
      <vt:lpstr>Camp Analysis</vt:lpstr>
      <vt:lpstr>Camp List (printable)</vt:lpstr>
      <vt:lpstr>CCCM Dashboard</vt:lpstr>
      <vt:lpstr>ForGIS</vt:lpstr>
      <vt:lpstr>Shelter Cross Check</vt:lpstr>
      <vt:lpstr>Map</vt:lpstr>
      <vt:lpstr>Shelter Tracking</vt:lpstr>
      <vt:lpstr>Shelter Progress</vt:lpstr>
      <vt:lpstr>Shelter Summary (by Agency)</vt:lpstr>
      <vt:lpstr>Shelter Coverage Camp</vt:lpstr>
      <vt:lpstr>Shelter Coverage &amp; Gaps</vt:lpstr>
      <vt:lpstr>NFI Tracking</vt:lpstr>
      <vt:lpstr>NFI Pipeline</vt:lpstr>
      <vt:lpstr>Sheet2</vt:lpstr>
      <vt:lpstr>NFI Distribution (by Tship)</vt:lpstr>
      <vt:lpstr>Winter Item</vt:lpstr>
      <vt:lpstr>NFI Summary</vt:lpstr>
      <vt:lpstr>Define_TCL</vt:lpstr>
      <vt:lpstr>File_Details</vt:lpstr>
      <vt:lpstr>Definition</vt:lpstr>
      <vt:lpstr>Map!AllData_Camplist</vt:lpstr>
      <vt:lpstr>'Shelter Coverage &amp; Gaps'!AllData_Camplist</vt:lpstr>
      <vt:lpstr>AllData_Camplist</vt:lpstr>
      <vt:lpstr>Camp_Accessibility</vt:lpstr>
      <vt:lpstr>Camp_List</vt:lpstr>
      <vt:lpstr>Camplist_HH</vt:lpstr>
      <vt:lpstr>Camplist_Popl</vt:lpstr>
      <vt:lpstr>CampList_Status</vt:lpstr>
      <vt:lpstr>Camplist_Township</vt:lpstr>
      <vt:lpstr>Camplist_Type_Of_Acc</vt:lpstr>
      <vt:lpstr>CL</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Kachin</vt:lpstr>
      <vt:lpstr>Kashin</vt:lpstr>
      <vt:lpstr>Map!Kyauk_Phyu_G</vt:lpstr>
      <vt:lpstr>NameTSPOP</vt:lpstr>
      <vt:lpstr>NFI</vt:lpstr>
      <vt:lpstr>NFI_Blanket_Pipeline</vt:lpstr>
      <vt:lpstr>NFI_Blanket_Stock</vt:lpstr>
      <vt:lpstr>NFI_Blanket_Track</vt:lpstr>
      <vt:lpstr>NFI_Clothes_Pipeline</vt:lpstr>
      <vt:lpstr>NFI_Clothes_Stock</vt:lpstr>
      <vt:lpstr>NFI_Clothes_Track</vt:lpstr>
      <vt:lpstr>NFI_Core_Pipeline</vt:lpstr>
      <vt:lpstr>NFI_Core_Stock</vt:lpstr>
      <vt:lpstr>NFI_Core_Track</vt:lpstr>
      <vt:lpstr>NFI_Expiration</vt:lpstr>
      <vt:lpstr>NFI_Hygiene_Pipeline</vt:lpstr>
      <vt:lpstr>NFI_Hygiene_Stock</vt:lpstr>
      <vt:lpstr>NFI_Hygiene_Track</vt:lpstr>
      <vt:lpstr>NFI_Kitchen_Pipeline</vt:lpstr>
      <vt:lpstr>NFI_Kitchen_Stock</vt:lpstr>
      <vt:lpstr>NFI_Kitchen_Track</vt:lpstr>
      <vt:lpstr>NFI_Monitor_Date</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NFI_State</vt:lpstr>
      <vt:lpstr>NFI_Tarpaulin_Pipeline</vt:lpstr>
      <vt:lpstr>NFI_Tarpaulin_Stock</vt:lpstr>
      <vt:lpstr>NFI_Tarpaulin_Track</vt:lpstr>
      <vt:lpstr>NFI_Township</vt:lpstr>
      <vt:lpstr>NFI_Winter_Blanket_Pipeline</vt:lpstr>
      <vt:lpstr>NFI_Winter_Blanket_Stock</vt:lpstr>
      <vt:lpstr>NFI_Winter_Blanket_Track</vt:lpstr>
      <vt:lpstr>NFI_Winter_Clothes_Adult_Pipeline</vt:lpstr>
      <vt:lpstr>NFI_Winter_Clothes_Adult_Stock</vt:lpstr>
      <vt:lpstr>NFI_Winter_Clothes_Adult_Track</vt:lpstr>
      <vt:lpstr>NFI_Winter_Clothes_Children_Pipeline</vt:lpstr>
      <vt:lpstr>NFI_Winter_Clothes_Children_Stock</vt:lpstr>
      <vt:lpstr>NFI_Winter_Clothes_Children_Track</vt:lpstr>
      <vt:lpstr>NFI_Winter_Items_Other_Pipeline</vt:lpstr>
      <vt:lpstr>NFI_Winter_Items_Other_Stock</vt:lpstr>
      <vt:lpstr>NFI_Winter_Items_Other_Track</vt:lpstr>
      <vt:lpstr>Pcode_Priority</vt:lpstr>
      <vt:lpstr>'Camp Analysis'!Print_Area</vt:lpstr>
      <vt:lpstr>'Camp List'!Print_Area</vt:lpstr>
      <vt:lpstr>'CCCM Dashboard'!Print_Area</vt:lpstr>
      <vt:lpstr>Map!Print_Area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 List (printable)'!Print_Titles</vt:lpstr>
      <vt:lpstr>'Shelter Cross Check'!Print_Titles</vt:lpstr>
      <vt:lpstr>PriorityCampWin</vt:lpstr>
      <vt:lpstr>Map!Rakhine_DB</vt:lpstr>
      <vt:lpstr>Report_Date</vt:lpstr>
      <vt:lpstr>Shan_North</vt:lpstr>
      <vt:lpstr>Shelter_Draw_Ratio</vt:lpstr>
      <vt:lpstr>Shelter_HH_Covered</vt:lpstr>
      <vt:lpstr>Stat01</vt:lpstr>
      <vt:lpstr>State</vt:lpstr>
      <vt:lpstr>TCL_C</vt:lpstr>
      <vt:lpstr>TCL_T</vt:lpstr>
      <vt:lpstr>TCL_T1</vt:lpstr>
      <vt:lpstr>WinAccomo</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UNHCRuser</dc:creator>
  <cp:lastModifiedBy>Thi Thi Lwin</cp:lastModifiedBy>
  <cp:lastPrinted>2016-08-08T10:59:28Z</cp:lastPrinted>
  <dcterms:created xsi:type="dcterms:W3CDTF">2013-03-18T02:36:38Z</dcterms:created>
  <dcterms:modified xsi:type="dcterms:W3CDTF">2016-08-22T07:04:09Z</dcterms:modified>
</cp:coreProperties>
</file>